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7100" yWindow="-210" windowWidth="17175" windowHeight="7725" tabRatio="805"/>
  </bookViews>
  <sheets>
    <sheet name="Table 2_State Distrib and Adjs" sheetId="33" r:id="rId1"/>
    <sheet name="Table 2A-1_EFT (Annual)" sheetId="100" r:id="rId2"/>
    <sheet name="Table 2A-2 EFT (Monthly)" sheetId="72" r:id="rId3"/>
    <sheet name="Table 3 Levels 1&amp;2" sheetId="1" r:id="rId4"/>
    <sheet name="Table 3A Level 3" sheetId="2" r:id="rId5"/>
    <sheet name="Table 4 Level 4" sheetId="167" r:id="rId6"/>
    <sheet name="Table 5A1_Labs" sheetId="5" r:id="rId7"/>
    <sheet name="Table 5A2- Legacy Type 2" sheetId="137" r:id="rId8"/>
    <sheet name="Table 5A3_OJJ" sheetId="67" r:id="rId9"/>
    <sheet name="Table 5A4_NOCCA" sheetId="140" r:id="rId10"/>
    <sheet name="Table 5A5_LSMSA" sheetId="141" r:id="rId11"/>
    <sheet name="Table 5B1_RSD_Orleans" sheetId="31" r:id="rId12"/>
    <sheet name="Table 5B2_RSD_LA" sheetId="46" r:id="rId13"/>
    <sheet name="Table 5C1A-Madison Prep" sheetId="113" r:id="rId14"/>
    <sheet name="Table 5C1B-DArbonne" sheetId="114" r:id="rId15"/>
    <sheet name="Table 5C1C-Intl_VIBE" sheetId="115" r:id="rId16"/>
    <sheet name="Table 5C1D-NOMMA" sheetId="116" r:id="rId17"/>
    <sheet name="Table 5C1E-LFNO" sheetId="117" r:id="rId18"/>
    <sheet name="Table 5C1F-Lake Charles Charter" sheetId="118" r:id="rId19"/>
    <sheet name="Table 5C1G-JS Clark Academy" sheetId="119" r:id="rId20"/>
    <sheet name="Table 5C1H-Southwest LA Charter" sheetId="120" r:id="rId21"/>
    <sheet name="Table 5C1I-LA Key Academy" sheetId="125" r:id="rId22"/>
    <sheet name="Table 5C1J-Jefferson Chamber" sheetId="126" r:id="rId23"/>
    <sheet name="Table 5C1K-Tallulah Charter" sheetId="127" r:id="rId24"/>
    <sheet name="Table 5C1L-Northshore Charter" sheetId="128" r:id="rId25"/>
    <sheet name="Table 5C1M-B.R. Charter" sheetId="129" r:id="rId26"/>
    <sheet name="Table 5C1N-Delta Charter" sheetId="131" r:id="rId27"/>
    <sheet name="Table 5C1O-Impact" sheetId="144" r:id="rId28"/>
    <sheet name="Table 5C1P-Vision" sheetId="145" r:id="rId29"/>
    <sheet name="Table 5C1Q-Advantage" sheetId="146" r:id="rId30"/>
    <sheet name="Table 5C1R-Iberville" sheetId="147" r:id="rId31"/>
    <sheet name="Table 5C1S-L.C. Coll Prep" sheetId="148" r:id="rId32"/>
    <sheet name="Table 5C1T-Northeast" sheetId="149" r:id="rId33"/>
    <sheet name="Table 5C1U-Acadiana Ren" sheetId="151" r:id="rId34"/>
    <sheet name="Table 5C1V-Laf Ren" sheetId="152" r:id="rId35"/>
    <sheet name="Table 5C1W-Willow" sheetId="153" r:id="rId36"/>
    <sheet name="Table 5C2 - LA Virtual Admy" sheetId="76" r:id="rId37"/>
    <sheet name="Table 5C3 - LA Connections EBR" sheetId="80" r:id="rId38"/>
    <sheet name="Table 6 (Local Deduct Calc.)" sheetId="25" r:id="rId39"/>
    <sheet name="Table 7 Local Revenue" sheetId="13" r:id="rId40"/>
    <sheet name="Table 8 Membership 2.1.14" sheetId="162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1_2004_2005_AFR_4_Ad_Valorem_Taxes" localSheetId="1">#REF!</definedName>
    <definedName name="_1_2004_2005_AFR_4_Ad_Valorem_Taxes" localSheetId="7">#REF!</definedName>
    <definedName name="_1_2004_2005_AFR_4_Ad_Valorem_Taxes" localSheetId="9">#REF!</definedName>
    <definedName name="_1_2004_2005_AFR_4_Ad_Valorem_Taxes" localSheetId="10">#REF!</definedName>
    <definedName name="_1_2004_2005_AFR_4_Ad_Valorem_Taxes" localSheetId="14">#REF!</definedName>
    <definedName name="_1_2004_2005_AFR_4_Ad_Valorem_Taxes" localSheetId="15">#REF!</definedName>
    <definedName name="_1_2004_2005_AFR_4_Ad_Valorem_Taxes" localSheetId="16">#REF!</definedName>
    <definedName name="_1_2004_2005_AFR_4_Ad_Valorem_Taxes" localSheetId="17">#REF!</definedName>
    <definedName name="_1_2004_2005_AFR_4_Ad_Valorem_Taxes" localSheetId="18">#REF!</definedName>
    <definedName name="_1_2004_2005_AFR_4_Ad_Valorem_Taxes" localSheetId="19">#REF!</definedName>
    <definedName name="_1_2004_2005_AFR_4_Ad_Valorem_Taxes" localSheetId="20">#REF!</definedName>
    <definedName name="_1_2004_2005_AFR_4_Ad_Valorem_Taxes" localSheetId="21">#REF!</definedName>
    <definedName name="_1_2004_2005_AFR_4_Ad_Valorem_Taxes" localSheetId="22">#REF!</definedName>
    <definedName name="_1_2004_2005_AFR_4_Ad_Valorem_Taxes" localSheetId="23">#REF!</definedName>
    <definedName name="_1_2004_2005_AFR_4_Ad_Valorem_Taxes" localSheetId="24">#REF!</definedName>
    <definedName name="_1_2004_2005_AFR_4_Ad_Valorem_Taxes" localSheetId="25">#REF!</definedName>
    <definedName name="_1_2004_2005_AFR_4_Ad_Valorem_Taxes" localSheetId="26">#REF!</definedName>
    <definedName name="_1_2004_2005_AFR_4_Ad_Valorem_Taxes" localSheetId="27">#REF!</definedName>
    <definedName name="_1_2004_2005_AFR_4_Ad_Valorem_Taxes" localSheetId="28">#REF!</definedName>
    <definedName name="_1_2004_2005_AFR_4_Ad_Valorem_Taxes" localSheetId="29">#REF!</definedName>
    <definedName name="_1_2004_2005_AFR_4_Ad_Valorem_Taxes" localSheetId="30">#REF!</definedName>
    <definedName name="_1_2004_2005_AFR_4_Ad_Valorem_Taxes" localSheetId="31">#REF!</definedName>
    <definedName name="_1_2004_2005_AFR_4_Ad_Valorem_Taxes" localSheetId="32">#REF!</definedName>
    <definedName name="_1_2004_2005_AFR_4_Ad_Valorem_Taxes" localSheetId="33">#REF!</definedName>
    <definedName name="_1_2004_2005_AFR_4_Ad_Valorem_Taxes" localSheetId="34">#REF!</definedName>
    <definedName name="_1_2004_2005_AFR_4_Ad_Valorem_Taxes" localSheetId="35">#REF!</definedName>
    <definedName name="_1_2004_2005_AFR_4_Ad_Valorem_Taxes">#REF!</definedName>
    <definedName name="_2004_2005_AFR_4_Ad_Valorem_Taxes" localSheetId="9">#REF!</definedName>
    <definedName name="_2004_2005_AFR_4_Ad_Valorem_Taxes" localSheetId="10">#REF!</definedName>
    <definedName name="_2004_2005_AFR_4_Ad_Valorem_Taxes" localSheetId="27">#REF!</definedName>
    <definedName name="_2004_2005_AFR_4_Ad_Valorem_Taxes" localSheetId="28">#REF!</definedName>
    <definedName name="_2004_2005_AFR_4_Ad_Valorem_Taxes" localSheetId="29">#REF!</definedName>
    <definedName name="_2004_2005_AFR_4_Ad_Valorem_Taxes" localSheetId="30">#REF!</definedName>
    <definedName name="_2004_2005_AFR_4_Ad_Valorem_Taxes" localSheetId="31">#REF!</definedName>
    <definedName name="_2004_2005_AFR_4_Ad_Valorem_Taxes" localSheetId="32">#REF!</definedName>
    <definedName name="_2004_2005_AFR_4_Ad_Valorem_Taxes" localSheetId="33">#REF!</definedName>
    <definedName name="_2004_2005_AFR_4_Ad_Valorem_Taxes" localSheetId="34">#REF!</definedName>
    <definedName name="_2004_2005_AFR_4_Ad_Valorem_Taxes" localSheetId="35">#REF!</definedName>
    <definedName name="_2004_2005_AFR_4_Ad_Valorem_Taxes">#REF!</definedName>
    <definedName name="Import_Elem_Secondary_ByLEA" localSheetId="1">#REF!</definedName>
    <definedName name="Import_Elem_Secondary_ByLEA" localSheetId="9">#REF!</definedName>
    <definedName name="Import_Elem_Secondary_ByLEA" localSheetId="10">#REF!</definedName>
    <definedName name="Import_Elem_Secondary_ByLEA" localSheetId="14">#REF!</definedName>
    <definedName name="Import_Elem_Secondary_ByLEA" localSheetId="15">#REF!</definedName>
    <definedName name="Import_Elem_Secondary_ByLEA" localSheetId="16">#REF!</definedName>
    <definedName name="Import_Elem_Secondary_ByLEA" localSheetId="17">#REF!</definedName>
    <definedName name="Import_Elem_Secondary_ByLEA" localSheetId="18">#REF!</definedName>
    <definedName name="Import_Elem_Secondary_ByLEA" localSheetId="19">#REF!</definedName>
    <definedName name="Import_Elem_Secondary_ByLEA" localSheetId="20">#REF!</definedName>
    <definedName name="Import_Elem_Secondary_ByLEA" localSheetId="21">#REF!</definedName>
    <definedName name="Import_Elem_Secondary_ByLEA" localSheetId="22">#REF!</definedName>
    <definedName name="Import_Elem_Secondary_ByLEA" localSheetId="23">#REF!</definedName>
    <definedName name="Import_Elem_Secondary_ByLEA" localSheetId="24">#REF!</definedName>
    <definedName name="Import_Elem_Secondary_ByLEA" localSheetId="25">#REF!</definedName>
    <definedName name="Import_Elem_Secondary_ByLEA" localSheetId="26">#REF!</definedName>
    <definedName name="Import_Elem_Secondary_ByLEA" localSheetId="27">#REF!</definedName>
    <definedName name="Import_Elem_Secondary_ByLEA" localSheetId="28">#REF!</definedName>
    <definedName name="Import_Elem_Secondary_ByLEA" localSheetId="29">#REF!</definedName>
    <definedName name="Import_Elem_Secondary_ByLEA" localSheetId="30">#REF!</definedName>
    <definedName name="Import_Elem_Secondary_ByLEA" localSheetId="31">#REF!</definedName>
    <definedName name="Import_Elem_Secondary_ByLEA" localSheetId="32">#REF!</definedName>
    <definedName name="Import_Elem_Secondary_ByLEA" localSheetId="33">#REF!</definedName>
    <definedName name="Import_Elem_Secondary_ByLEA" localSheetId="34">#REF!</definedName>
    <definedName name="Import_Elem_Secondary_ByLEA" localSheetId="35">#REF!</definedName>
    <definedName name="Import_Elem_Secondary_ByLEA">#REF!</definedName>
    <definedName name="Import_K_12_ByLEA" localSheetId="1">#REF!</definedName>
    <definedName name="Import_K_12_ByLEA" localSheetId="9">#REF!</definedName>
    <definedName name="Import_K_12_ByLEA" localSheetId="10">#REF!</definedName>
    <definedName name="Import_K_12_ByLEA" localSheetId="14">#REF!</definedName>
    <definedName name="Import_K_12_ByLEA" localSheetId="15">#REF!</definedName>
    <definedName name="Import_K_12_ByLEA" localSheetId="16">#REF!</definedName>
    <definedName name="Import_K_12_ByLEA" localSheetId="17">#REF!</definedName>
    <definedName name="Import_K_12_ByLEA" localSheetId="18">#REF!</definedName>
    <definedName name="Import_K_12_ByLEA" localSheetId="19">#REF!</definedName>
    <definedName name="Import_K_12_ByLEA" localSheetId="20">#REF!</definedName>
    <definedName name="Import_K_12_ByLEA" localSheetId="21">#REF!</definedName>
    <definedName name="Import_K_12_ByLEA" localSheetId="22">#REF!</definedName>
    <definedName name="Import_K_12_ByLEA" localSheetId="23">#REF!</definedName>
    <definedName name="Import_K_12_ByLEA" localSheetId="24">#REF!</definedName>
    <definedName name="Import_K_12_ByLEA" localSheetId="25">#REF!</definedName>
    <definedName name="Import_K_12_ByLEA" localSheetId="26">#REF!</definedName>
    <definedName name="Import_K_12_ByLEA" localSheetId="27">#REF!</definedName>
    <definedName name="Import_K_12_ByLEA" localSheetId="28">#REF!</definedName>
    <definedName name="Import_K_12_ByLEA" localSheetId="29">#REF!</definedName>
    <definedName name="Import_K_12_ByLEA" localSheetId="30">#REF!</definedName>
    <definedName name="Import_K_12_ByLEA" localSheetId="31">#REF!</definedName>
    <definedName name="Import_K_12_ByLEA" localSheetId="32">#REF!</definedName>
    <definedName name="Import_K_12_ByLEA" localSheetId="33">#REF!</definedName>
    <definedName name="Import_K_12_ByLEA" localSheetId="34">#REF!</definedName>
    <definedName name="Import_K_12_ByLEA" localSheetId="35">#REF!</definedName>
    <definedName name="Import_K_12_ByLEA">#REF!</definedName>
    <definedName name="Import_MFP_and_Other_Funded_ByLEA" localSheetId="1">#REF!</definedName>
    <definedName name="Import_MFP_and_Other_Funded_ByLEA" localSheetId="9">#REF!</definedName>
    <definedName name="Import_MFP_and_Other_Funded_ByLEA" localSheetId="10">#REF!</definedName>
    <definedName name="Import_MFP_and_Other_Funded_ByLEA" localSheetId="14">#REF!</definedName>
    <definedName name="Import_MFP_and_Other_Funded_ByLEA" localSheetId="15">#REF!</definedName>
    <definedName name="Import_MFP_and_Other_Funded_ByLEA" localSheetId="16">#REF!</definedName>
    <definedName name="Import_MFP_and_Other_Funded_ByLEA" localSheetId="17">#REF!</definedName>
    <definedName name="Import_MFP_and_Other_Funded_ByLEA" localSheetId="18">#REF!</definedName>
    <definedName name="Import_MFP_and_Other_Funded_ByLEA" localSheetId="19">#REF!</definedName>
    <definedName name="Import_MFP_and_Other_Funded_ByLEA" localSheetId="20">#REF!</definedName>
    <definedName name="Import_MFP_and_Other_Funded_ByLEA" localSheetId="21">#REF!</definedName>
    <definedName name="Import_MFP_and_Other_Funded_ByLEA" localSheetId="22">#REF!</definedName>
    <definedName name="Import_MFP_and_Other_Funded_ByLEA" localSheetId="23">#REF!</definedName>
    <definedName name="Import_MFP_and_Other_Funded_ByLEA" localSheetId="24">#REF!</definedName>
    <definedName name="Import_MFP_and_Other_Funded_ByLEA" localSheetId="25">#REF!</definedName>
    <definedName name="Import_MFP_and_Other_Funded_ByLEA" localSheetId="26">#REF!</definedName>
    <definedName name="Import_MFP_and_Other_Funded_ByLEA" localSheetId="27">#REF!</definedName>
    <definedName name="Import_MFP_and_Other_Funded_ByLEA" localSheetId="28">#REF!</definedName>
    <definedName name="Import_MFP_and_Other_Funded_ByLEA" localSheetId="29">#REF!</definedName>
    <definedName name="Import_MFP_and_Other_Funded_ByLEA" localSheetId="30">#REF!</definedName>
    <definedName name="Import_MFP_and_Other_Funded_ByLEA" localSheetId="31">#REF!</definedName>
    <definedName name="Import_MFP_and_Other_Funded_ByLEA" localSheetId="32">#REF!</definedName>
    <definedName name="Import_MFP_and_Other_Funded_ByLEA" localSheetId="33">#REF!</definedName>
    <definedName name="Import_MFP_and_Other_Funded_ByLEA" localSheetId="34">#REF!</definedName>
    <definedName name="Import_MFP_and_Other_Funded_ByLEA" localSheetId="35">#REF!</definedName>
    <definedName name="Import_MFP_and_Other_Funded_ByLEA">#REF!</definedName>
    <definedName name="Import_Total_Reported_ByLEA" localSheetId="1">#REF!</definedName>
    <definedName name="Import_Total_Reported_ByLEA" localSheetId="9">#REF!</definedName>
    <definedName name="Import_Total_Reported_ByLEA" localSheetId="10">#REF!</definedName>
    <definedName name="Import_Total_Reported_ByLEA" localSheetId="14">#REF!</definedName>
    <definedName name="Import_Total_Reported_ByLEA" localSheetId="15">#REF!</definedName>
    <definedName name="Import_Total_Reported_ByLEA" localSheetId="16">#REF!</definedName>
    <definedName name="Import_Total_Reported_ByLEA" localSheetId="17">#REF!</definedName>
    <definedName name="Import_Total_Reported_ByLEA" localSheetId="18">#REF!</definedName>
    <definedName name="Import_Total_Reported_ByLEA" localSheetId="19">#REF!</definedName>
    <definedName name="Import_Total_Reported_ByLEA" localSheetId="20">#REF!</definedName>
    <definedName name="Import_Total_Reported_ByLEA" localSheetId="21">#REF!</definedName>
    <definedName name="Import_Total_Reported_ByLEA" localSheetId="22">#REF!</definedName>
    <definedName name="Import_Total_Reported_ByLEA" localSheetId="23">#REF!</definedName>
    <definedName name="Import_Total_Reported_ByLEA" localSheetId="24">#REF!</definedName>
    <definedName name="Import_Total_Reported_ByLEA" localSheetId="25">#REF!</definedName>
    <definedName name="Import_Total_Reported_ByLEA" localSheetId="26">#REF!</definedName>
    <definedName name="Import_Total_Reported_ByLEA" localSheetId="27">#REF!</definedName>
    <definedName name="Import_Total_Reported_ByLEA" localSheetId="28">#REF!</definedName>
    <definedName name="Import_Total_Reported_ByLEA" localSheetId="29">#REF!</definedName>
    <definedName name="Import_Total_Reported_ByLEA" localSheetId="30">#REF!</definedName>
    <definedName name="Import_Total_Reported_ByLEA" localSheetId="31">#REF!</definedName>
    <definedName name="Import_Total_Reported_ByLEA" localSheetId="32">#REF!</definedName>
    <definedName name="Import_Total_Reported_ByLEA" localSheetId="33">#REF!</definedName>
    <definedName name="Import_Total_Reported_ByLEA" localSheetId="34">#REF!</definedName>
    <definedName name="Import_Total_Reported_ByLEA" localSheetId="35">#REF!</definedName>
    <definedName name="Import_Total_Reported_ByLEA">#REF!</definedName>
    <definedName name="_xlnm.Print_Area" localSheetId="0">'Table 2_State Distrib and Adjs'!$A$1:$AP$76</definedName>
    <definedName name="_xlnm.Print_Area" localSheetId="1">'Table 2A-1_EFT (Annual)'!$A$1:$AG$73</definedName>
    <definedName name="_xlnm.Print_Area" localSheetId="2">'Table 2A-2 EFT (Monthly)'!$A$1:$BJ$73</definedName>
    <definedName name="_xlnm.Print_Area" localSheetId="3">'Table 3 Levels 1&amp;2'!$A$1:$AY$73</definedName>
    <definedName name="_xlnm.Print_Area" localSheetId="4">'Table 3A Level 3'!$A$1:$P$75</definedName>
    <definedName name="_xlnm.Print_Area" localSheetId="5">'Table 4 Level 4'!$B$1:$P$195</definedName>
    <definedName name="_xlnm.Print_Area" localSheetId="6">'Table 5A1_Labs'!$A$1:$X$8</definedName>
    <definedName name="_xlnm.Print_Area" localSheetId="7">'Table 5A2- Legacy Type 2'!$A$1:$Z$15</definedName>
    <definedName name="_xlnm.Print_Area" localSheetId="8">'Table 5A3_OJJ'!$A$1:$Y$81</definedName>
    <definedName name="_xlnm.Print_Area" localSheetId="9">'Table 5A4_NOCCA'!$A$1:$R$82</definedName>
    <definedName name="_xlnm.Print_Area" localSheetId="10">'Table 5A5_LSMSA'!$A$1:$R$82</definedName>
    <definedName name="_xlnm.Print_Area" localSheetId="11">'Table 5B1_RSD_Orleans'!$A$1:$AQ$79</definedName>
    <definedName name="_xlnm.Print_Area" localSheetId="12">'Table 5B2_RSD_LA'!$A$1:$AU$23</definedName>
    <definedName name="_xlnm.Print_Area" localSheetId="13">'Table 5C1A-Madison Prep'!$A$1:$AK$85</definedName>
    <definedName name="_xlnm.Print_Area" localSheetId="14">'Table 5C1B-DArbonne'!$A$1:$AK$86</definedName>
    <definedName name="_xlnm.Print_Area" localSheetId="15">'Table 5C1C-Intl_VIBE'!$A$1:$AK$85</definedName>
    <definedName name="_xlnm.Print_Area" localSheetId="16">'Table 5C1D-NOMMA'!$A$1:$AK$86</definedName>
    <definedName name="_xlnm.Print_Area" localSheetId="17">'Table 5C1E-LFNO'!$A$1:$AK$86</definedName>
    <definedName name="_xlnm.Print_Area" localSheetId="18">'Table 5C1F-Lake Charles Charter'!$A$1:$AK$86</definedName>
    <definedName name="_xlnm.Print_Area" localSheetId="19">'Table 5C1G-JS Clark Academy'!$A$1:$AK$86</definedName>
    <definedName name="_xlnm.Print_Area" localSheetId="20">'Table 5C1H-Southwest LA Charter'!$A$1:$AK$86</definedName>
    <definedName name="_xlnm.Print_Area" localSheetId="21">'Table 5C1I-LA Key Academy'!$A$1:$AK$86</definedName>
    <definedName name="_xlnm.Print_Area" localSheetId="22">'Table 5C1J-Jefferson Chamber'!$A$1:$AK$85</definedName>
    <definedName name="_xlnm.Print_Area" localSheetId="23">'Table 5C1K-Tallulah Charter'!$A$1:$AK$86</definedName>
    <definedName name="_xlnm.Print_Area" localSheetId="24">'Table 5C1L-Northshore Charter'!$A$1:$AK$86</definedName>
    <definedName name="_xlnm.Print_Area" localSheetId="25">'Table 5C1M-B.R. Charter'!$A$1:$AK$86</definedName>
    <definedName name="_xlnm.Print_Area" localSheetId="26">'Table 5C1N-Delta Charter'!$A$1:$AK$85</definedName>
    <definedName name="_xlnm.Print_Area" localSheetId="27">'Table 5C1O-Impact'!$A$1:$AK$86</definedName>
    <definedName name="_xlnm.Print_Area" localSheetId="28">'Table 5C1P-Vision'!$A$1:$AK$86</definedName>
    <definedName name="_xlnm.Print_Area" localSheetId="29">'Table 5C1Q-Advantage'!$A$1:$AK$86</definedName>
    <definedName name="_xlnm.Print_Area" localSheetId="30">'Table 5C1R-Iberville'!$A$1:$AK$86</definedName>
    <definedName name="_xlnm.Print_Area" localSheetId="31">'Table 5C1S-L.C. Coll Prep'!$A$1:$AK$86</definedName>
    <definedName name="_xlnm.Print_Area" localSheetId="32">'Table 5C1T-Northeast'!$A$1:$AK$86</definedName>
    <definedName name="_xlnm.Print_Area" localSheetId="33">'Table 5C1U-Acadiana Ren'!$A$1:$AK$86</definedName>
    <definedName name="_xlnm.Print_Area" localSheetId="34">'Table 5C1V-Laf Ren'!$A$1:$AK$86</definedName>
    <definedName name="_xlnm.Print_Area" localSheetId="35">'Table 5C1W-Willow'!$A$1:$AK$86</definedName>
    <definedName name="_xlnm.Print_Area" localSheetId="36">'Table 5C2 - LA Virtual Admy'!$A$1:$AL$86</definedName>
    <definedName name="_xlnm.Print_Area" localSheetId="37">'Table 5C3 - LA Connections EBR'!$A$1:$AL$86</definedName>
    <definedName name="_xlnm.Print_Area" localSheetId="38">'Table 6 (Local Deduct Calc.)'!$A$2:$J$75</definedName>
    <definedName name="_xlnm.Print_Area" localSheetId="39">'Table 7 Local Revenue'!$A$3:$AR$76</definedName>
    <definedName name="_xlnm.Print_Area" localSheetId="40">'Table 8 Membership 2.1.14'!$A$1:$AJ$76</definedName>
    <definedName name="_xlnm.Print_Titles" localSheetId="0">'Table 2_State Distrib and Adjs'!$A:$B</definedName>
    <definedName name="_xlnm.Print_Titles" localSheetId="1">'Table 2A-1_EFT (Annual)'!$B:$B</definedName>
    <definedName name="_xlnm.Print_Titles" localSheetId="2">'Table 2A-2 EFT (Monthly)'!$A:$B</definedName>
    <definedName name="_xlnm.Print_Titles" localSheetId="3">'Table 3 Levels 1&amp;2'!$A:$B,'Table 3 Levels 1&amp;2'!$1:$3</definedName>
    <definedName name="_xlnm.Print_Titles" localSheetId="4">'Table 3A Level 3'!$A:$B</definedName>
    <definedName name="_xlnm.Print_Titles" localSheetId="5">'Table 4 Level 4'!$B:$C,'Table 4 Level 4'!$1:$4</definedName>
    <definedName name="_xlnm.Print_Titles" localSheetId="6">'Table 5A1_Labs'!$A:$B,'Table 5A1_Labs'!$2:$4</definedName>
    <definedName name="_xlnm.Print_Titles" localSheetId="7">'Table 5A2- Legacy Type 2'!$A:$B,'Table 5A2- Legacy Type 2'!$2:$4</definedName>
    <definedName name="_xlnm.Print_Titles" localSheetId="8">'Table 5A3_OJJ'!$A:$B,'Table 5A3_OJJ'!$1:$4</definedName>
    <definedName name="_xlnm.Print_Titles" localSheetId="9">'Table 5A4_NOCCA'!$A:$B,'Table 5A4_NOCCA'!$2:$6</definedName>
    <definedName name="_xlnm.Print_Titles" localSheetId="10">'Table 5A5_LSMSA'!$A:$B,'Table 5A5_LSMSA'!$2:$6</definedName>
    <definedName name="_xlnm.Print_Titles" localSheetId="11">'Table 5B1_RSD_Orleans'!$A:$B,'Table 5B1_RSD_Orleans'!$1:$5</definedName>
    <definedName name="_xlnm.Print_Titles" localSheetId="12">'Table 5B2_RSD_LA'!$A:$B</definedName>
    <definedName name="_xlnm.Print_Titles" localSheetId="13">'Table 5C1A-Madison Prep'!$A:$B,'Table 5C1A-Madison Prep'!$1:$6</definedName>
    <definedName name="_xlnm.Print_Titles" localSheetId="14">'Table 5C1B-DArbonne'!$A:$B,'Table 5C1B-DArbonne'!$1:$6</definedName>
    <definedName name="_xlnm.Print_Titles" localSheetId="15">'Table 5C1C-Intl_VIBE'!$A:$B,'Table 5C1C-Intl_VIBE'!$1:$6</definedName>
    <definedName name="_xlnm.Print_Titles" localSheetId="16">'Table 5C1D-NOMMA'!$A:$B,'Table 5C1D-NOMMA'!$1:$6</definedName>
    <definedName name="_xlnm.Print_Titles" localSheetId="17">'Table 5C1E-LFNO'!$A:$B,'Table 5C1E-LFNO'!$1:$6</definedName>
    <definedName name="_xlnm.Print_Titles" localSheetId="18">'Table 5C1F-Lake Charles Charter'!$A:$B,'Table 5C1F-Lake Charles Charter'!$1:$6</definedName>
    <definedName name="_xlnm.Print_Titles" localSheetId="19">'Table 5C1G-JS Clark Academy'!$A:$B,'Table 5C1G-JS Clark Academy'!$1:$6</definedName>
    <definedName name="_xlnm.Print_Titles" localSheetId="20">'Table 5C1H-Southwest LA Charter'!$A:$B,'Table 5C1H-Southwest LA Charter'!$1:$6</definedName>
    <definedName name="_xlnm.Print_Titles" localSheetId="21">'Table 5C1I-LA Key Academy'!$A:$B,'Table 5C1I-LA Key Academy'!$1:$6</definedName>
    <definedName name="_xlnm.Print_Titles" localSheetId="22">'Table 5C1J-Jefferson Chamber'!$A:$B,'Table 5C1J-Jefferson Chamber'!$1:$6</definedName>
    <definedName name="_xlnm.Print_Titles" localSheetId="23">'Table 5C1K-Tallulah Charter'!$A:$B,'Table 5C1K-Tallulah Charter'!$1:$6</definedName>
    <definedName name="_xlnm.Print_Titles" localSheetId="24">'Table 5C1L-Northshore Charter'!$A:$B,'Table 5C1L-Northshore Charter'!$1:$6</definedName>
    <definedName name="_xlnm.Print_Titles" localSheetId="25">'Table 5C1M-B.R. Charter'!$A:$B,'Table 5C1M-B.R. Charter'!$1:$6</definedName>
    <definedName name="_xlnm.Print_Titles" localSheetId="26">'Table 5C1N-Delta Charter'!$A:$B,'Table 5C1N-Delta Charter'!$1:$6</definedName>
    <definedName name="_xlnm.Print_Titles" localSheetId="27">'Table 5C1O-Impact'!$A:$B,'Table 5C1O-Impact'!$1:$6</definedName>
    <definedName name="_xlnm.Print_Titles" localSheetId="28">'Table 5C1P-Vision'!$A:$B,'Table 5C1P-Vision'!$1:$6</definedName>
    <definedName name="_xlnm.Print_Titles" localSheetId="29">'Table 5C1Q-Advantage'!$A:$B,'Table 5C1Q-Advantage'!$1:$6</definedName>
    <definedName name="_xlnm.Print_Titles" localSheetId="30">'Table 5C1R-Iberville'!$A:$B,'Table 5C1R-Iberville'!$1:$6</definedName>
    <definedName name="_xlnm.Print_Titles" localSheetId="31">'Table 5C1S-L.C. Coll Prep'!$A:$B,'Table 5C1S-L.C. Coll Prep'!$1:$6</definedName>
    <definedName name="_xlnm.Print_Titles" localSheetId="32">'Table 5C1T-Northeast'!$A:$B,'Table 5C1T-Northeast'!$1:$6</definedName>
    <definedName name="_xlnm.Print_Titles" localSheetId="33">'Table 5C1U-Acadiana Ren'!$A:$B,'Table 5C1U-Acadiana Ren'!$1:$6</definedName>
    <definedName name="_xlnm.Print_Titles" localSheetId="34">'Table 5C1V-Laf Ren'!$A:$B,'Table 5C1V-Laf Ren'!$1:$6</definedName>
    <definedName name="_xlnm.Print_Titles" localSheetId="35">'Table 5C1W-Willow'!$A:$B,'Table 5C1W-Willow'!$1:$6</definedName>
    <definedName name="_xlnm.Print_Titles" localSheetId="36">'Table 5C2 - LA Virtual Admy'!$A:$B</definedName>
    <definedName name="_xlnm.Print_Titles" localSheetId="37">'Table 5C3 - LA Connections EBR'!$A:$B</definedName>
    <definedName name="_xlnm.Print_Titles" localSheetId="38">'Table 6 (Local Deduct Calc.)'!$A:$B,'Table 6 (Local Deduct Calc.)'!$2:$5</definedName>
    <definedName name="_xlnm.Print_Titles" localSheetId="39">'Table 7 Local Revenue'!$A:$B,'Table 7 Local Revenue'!$1:$6</definedName>
    <definedName name="_xlnm.Print_Titles" localSheetId="40">'Table 8 Membership 2.1.14'!$A:$B</definedName>
  </definedNames>
  <calcPr calcId="145621" concurrentCalc="0"/>
</workbook>
</file>

<file path=xl/calcChain.xml><?xml version="1.0" encoding="utf-8"?>
<calcChain xmlns="http://schemas.openxmlformats.org/spreadsheetml/2006/main">
  <c r="N77" i="31" l="1"/>
  <c r="N79" i="31"/>
  <c r="Z4" i="31"/>
  <c r="Z12" i="31"/>
  <c r="C12" i="31"/>
  <c r="AB12" i="31"/>
  <c r="AC12" i="31"/>
  <c r="AD12" i="31"/>
  <c r="AE12" i="31"/>
  <c r="AF12" i="31"/>
  <c r="AG12" i="31"/>
  <c r="AH12" i="31"/>
  <c r="AJ12" i="31"/>
  <c r="Z13" i="31"/>
  <c r="C13" i="31"/>
  <c r="AB13" i="31"/>
  <c r="AC13" i="31"/>
  <c r="AD13" i="31"/>
  <c r="AE13" i="31"/>
  <c r="AF13" i="31"/>
  <c r="AG13" i="31"/>
  <c r="AH13" i="31"/>
  <c r="AJ13" i="31"/>
  <c r="Z14" i="31"/>
  <c r="C14" i="31"/>
  <c r="AB14" i="31"/>
  <c r="AC14" i="31"/>
  <c r="AD14" i="31"/>
  <c r="AE14" i="31"/>
  <c r="AF14" i="31"/>
  <c r="AG14" i="31"/>
  <c r="AH14" i="31"/>
  <c r="AJ14" i="31"/>
  <c r="Z15" i="31"/>
  <c r="C15" i="31"/>
  <c r="AB15" i="31"/>
  <c r="AC15" i="31"/>
  <c r="AD15" i="31"/>
  <c r="AE15" i="31"/>
  <c r="AF15" i="31"/>
  <c r="AG15" i="31"/>
  <c r="AH15" i="31"/>
  <c r="AJ15" i="31"/>
  <c r="AA4" i="31"/>
  <c r="AA16" i="31"/>
  <c r="C16" i="31"/>
  <c r="AB16" i="31"/>
  <c r="AC16" i="31"/>
  <c r="AD16" i="31"/>
  <c r="AE16" i="31"/>
  <c r="AF16" i="31"/>
  <c r="AG16" i="31"/>
  <c r="AH16" i="31"/>
  <c r="AJ16" i="31"/>
  <c r="AA17" i="31"/>
  <c r="AB17" i="31"/>
  <c r="Z18" i="31"/>
  <c r="AB18" i="31"/>
  <c r="AB19" i="31"/>
  <c r="AC17" i="31"/>
  <c r="AD17" i="31"/>
  <c r="AC18" i="31"/>
  <c r="AD18" i="31"/>
  <c r="AD19" i="31"/>
  <c r="AF17" i="31"/>
  <c r="AF18" i="31"/>
  <c r="AF19" i="31"/>
  <c r="AG19" i="31"/>
  <c r="AH19" i="31"/>
  <c r="AJ19" i="31"/>
  <c r="Z20" i="31"/>
  <c r="C20" i="31"/>
  <c r="AB20" i="31"/>
  <c r="AC20" i="31"/>
  <c r="AD20" i="31"/>
  <c r="AE20" i="31"/>
  <c r="AF20" i="31"/>
  <c r="AG20" i="31"/>
  <c r="AH20" i="31"/>
  <c r="AJ20" i="31"/>
  <c r="Z21" i="31"/>
  <c r="C21" i="31"/>
  <c r="AB21" i="31"/>
  <c r="AC21" i="31"/>
  <c r="AD21" i="31"/>
  <c r="AE21" i="31"/>
  <c r="AF21" i="31"/>
  <c r="AG21" i="31"/>
  <c r="AH21" i="31"/>
  <c r="AJ21" i="31"/>
  <c r="Z22" i="31"/>
  <c r="C22" i="31"/>
  <c r="AB22" i="31"/>
  <c r="AC22" i="31"/>
  <c r="AD22" i="31"/>
  <c r="AE22" i="31"/>
  <c r="AF22" i="31"/>
  <c r="AG22" i="31"/>
  <c r="AH22" i="31"/>
  <c r="AJ22" i="31"/>
  <c r="AA23" i="31"/>
  <c r="C23" i="31"/>
  <c r="AB23" i="31"/>
  <c r="AC23" i="31"/>
  <c r="AD23" i="31"/>
  <c r="AE23" i="31"/>
  <c r="AF23" i="31"/>
  <c r="AG23" i="31"/>
  <c r="AH23" i="31"/>
  <c r="AJ23" i="31"/>
  <c r="Z24" i="31"/>
  <c r="C24" i="31"/>
  <c r="AB24" i="31"/>
  <c r="AC24" i="31"/>
  <c r="AD24" i="31"/>
  <c r="AE24" i="31"/>
  <c r="AF24" i="31"/>
  <c r="AG24" i="31"/>
  <c r="AH24" i="31"/>
  <c r="AJ24" i="31"/>
  <c r="AA25" i="31"/>
  <c r="AB25" i="31"/>
  <c r="Z26" i="31"/>
  <c r="AB26" i="31"/>
  <c r="AB27" i="31"/>
  <c r="AD25" i="31"/>
  <c r="AD26" i="31"/>
  <c r="AD27" i="31"/>
  <c r="AF25" i="31"/>
  <c r="AE26" i="31"/>
  <c r="AF26" i="31"/>
  <c r="AF27" i="31"/>
  <c r="AG27" i="31"/>
  <c r="AH27" i="31"/>
  <c r="AJ27" i="31"/>
  <c r="Z28" i="31"/>
  <c r="C28" i="31"/>
  <c r="AB28" i="31"/>
  <c r="AC28" i="31"/>
  <c r="AD28" i="31"/>
  <c r="AE28" i="31"/>
  <c r="AF28" i="31"/>
  <c r="AG28" i="31"/>
  <c r="AH28" i="31"/>
  <c r="AJ28" i="31"/>
  <c r="Z29" i="31"/>
  <c r="C29" i="31"/>
  <c r="AB29" i="31"/>
  <c r="AC29" i="31"/>
  <c r="AD29" i="31"/>
  <c r="AE29" i="31"/>
  <c r="AF29" i="31"/>
  <c r="AG29" i="31"/>
  <c r="AH29" i="31"/>
  <c r="AJ29" i="31"/>
  <c r="Z30" i="31"/>
  <c r="C30" i="31"/>
  <c r="AB30" i="31"/>
  <c r="AC30" i="31"/>
  <c r="AD30" i="31"/>
  <c r="AE30" i="31"/>
  <c r="AF30" i="31"/>
  <c r="AG30" i="31"/>
  <c r="AH30" i="31"/>
  <c r="AJ30" i="31"/>
  <c r="Z31" i="31"/>
  <c r="C31" i="31"/>
  <c r="AB31" i="31"/>
  <c r="AC31" i="31"/>
  <c r="AD31" i="31"/>
  <c r="AE31" i="31"/>
  <c r="AF31" i="31"/>
  <c r="AG31" i="31"/>
  <c r="AH31" i="31"/>
  <c r="AJ31" i="31"/>
  <c r="Z32" i="31"/>
  <c r="C32" i="31"/>
  <c r="AB32" i="31"/>
  <c r="AC32" i="31"/>
  <c r="AD32" i="31"/>
  <c r="AE32" i="31"/>
  <c r="AF32" i="31"/>
  <c r="AG32" i="31"/>
  <c r="AH32" i="31"/>
  <c r="AJ32" i="31"/>
  <c r="Z33" i="31"/>
  <c r="C33" i="31"/>
  <c r="AB33" i="31"/>
  <c r="AC33" i="31"/>
  <c r="AD33" i="31"/>
  <c r="AE33" i="31"/>
  <c r="AF33" i="31"/>
  <c r="AG33" i="31"/>
  <c r="AH33" i="31"/>
  <c r="AJ33" i="31"/>
  <c r="Z34" i="31"/>
  <c r="C34" i="31"/>
  <c r="AB34" i="31"/>
  <c r="AC34" i="31"/>
  <c r="AD34" i="31"/>
  <c r="AE34" i="31"/>
  <c r="AF34" i="31"/>
  <c r="AG34" i="31"/>
  <c r="AH34" i="31"/>
  <c r="AJ34" i="31"/>
  <c r="Z35" i="31"/>
  <c r="C35" i="31"/>
  <c r="AB35" i="31"/>
  <c r="AC35" i="31"/>
  <c r="AD35" i="31"/>
  <c r="AE35" i="31"/>
  <c r="AF35" i="31"/>
  <c r="AG35" i="31"/>
  <c r="AH35" i="31"/>
  <c r="AJ35" i="31"/>
  <c r="Z36" i="31"/>
  <c r="C36" i="31"/>
  <c r="AB36" i="31"/>
  <c r="AC36" i="31"/>
  <c r="AD36" i="31"/>
  <c r="AE36" i="31"/>
  <c r="AF36" i="31"/>
  <c r="AG36" i="31"/>
  <c r="AH36" i="31"/>
  <c r="AJ36" i="31"/>
  <c r="Z37" i="31"/>
  <c r="C37" i="31"/>
  <c r="AB37" i="31"/>
  <c r="AC37" i="31"/>
  <c r="AD37" i="31"/>
  <c r="AE37" i="31"/>
  <c r="AF37" i="31"/>
  <c r="AG37" i="31"/>
  <c r="AH37" i="31"/>
  <c r="AJ37" i="31"/>
  <c r="Z38" i="31"/>
  <c r="C38" i="31"/>
  <c r="AB38" i="31"/>
  <c r="AC38" i="31"/>
  <c r="AD38" i="31"/>
  <c r="AE38" i="31"/>
  <c r="AF38" i="31"/>
  <c r="AG38" i="31"/>
  <c r="AH38" i="31"/>
  <c r="AJ38" i="31"/>
  <c r="Z39" i="31"/>
  <c r="C39" i="31"/>
  <c r="AB39" i="31"/>
  <c r="AC39" i="31"/>
  <c r="AD39" i="31"/>
  <c r="AE39" i="31"/>
  <c r="AF39" i="31"/>
  <c r="AG39" i="31"/>
  <c r="AH39" i="31"/>
  <c r="AJ39" i="31"/>
  <c r="Z40" i="31"/>
  <c r="C40" i="31"/>
  <c r="AB40" i="31"/>
  <c r="AC40" i="31"/>
  <c r="AD40" i="31"/>
  <c r="AE40" i="31"/>
  <c r="AF40" i="31"/>
  <c r="AG40" i="31"/>
  <c r="AH40" i="31"/>
  <c r="AJ40" i="31"/>
  <c r="Z41" i="31"/>
  <c r="C41" i="31"/>
  <c r="AB41" i="31"/>
  <c r="AC41" i="31"/>
  <c r="AD41" i="31"/>
  <c r="AE41" i="31"/>
  <c r="AF41" i="31"/>
  <c r="AG41" i="31"/>
  <c r="AH41" i="31"/>
  <c r="AJ41" i="31"/>
  <c r="Z42" i="31"/>
  <c r="C42" i="31"/>
  <c r="AB42" i="31"/>
  <c r="AC42" i="31"/>
  <c r="AD42" i="31"/>
  <c r="AE42" i="31"/>
  <c r="AF42" i="31"/>
  <c r="AG42" i="31"/>
  <c r="AH42" i="31"/>
  <c r="AJ42" i="31"/>
  <c r="Z43" i="31"/>
  <c r="C43" i="31"/>
  <c r="AB43" i="31"/>
  <c r="AC43" i="31"/>
  <c r="AD43" i="31"/>
  <c r="AE43" i="31"/>
  <c r="AF43" i="31"/>
  <c r="AG43" i="31"/>
  <c r="AH43" i="31"/>
  <c r="AJ43" i="31"/>
  <c r="Z44" i="31"/>
  <c r="C44" i="31"/>
  <c r="AB44" i="31"/>
  <c r="AC44" i="31"/>
  <c r="AD44" i="31"/>
  <c r="AE44" i="31"/>
  <c r="AF44" i="31"/>
  <c r="AG44" i="31"/>
  <c r="AH44" i="31"/>
  <c r="AJ44" i="31"/>
  <c r="Z45" i="31"/>
  <c r="C45" i="31"/>
  <c r="AB45" i="31"/>
  <c r="AC45" i="31"/>
  <c r="AD45" i="31"/>
  <c r="AE45" i="31"/>
  <c r="AF45" i="31"/>
  <c r="AG45" i="31"/>
  <c r="AH45" i="31"/>
  <c r="AJ45" i="31"/>
  <c r="AA46" i="31"/>
  <c r="C46" i="31"/>
  <c r="AB46" i="31"/>
  <c r="AC46" i="31"/>
  <c r="AD46" i="31"/>
  <c r="AE46" i="31"/>
  <c r="AF46" i="31"/>
  <c r="AG46" i="31"/>
  <c r="AH46" i="31"/>
  <c r="AJ46" i="31"/>
  <c r="Z47" i="31"/>
  <c r="C47" i="31"/>
  <c r="AB47" i="31"/>
  <c r="AC47" i="31"/>
  <c r="AD47" i="31"/>
  <c r="AE47" i="31"/>
  <c r="AF47" i="31"/>
  <c r="AG47" i="31"/>
  <c r="AH47" i="31"/>
  <c r="AJ47" i="31"/>
  <c r="Z48" i="31"/>
  <c r="C48" i="31"/>
  <c r="AB48" i="31"/>
  <c r="AC48" i="31"/>
  <c r="AD48" i="31"/>
  <c r="AE48" i="31"/>
  <c r="AF48" i="31"/>
  <c r="AG48" i="31"/>
  <c r="AH48" i="31"/>
  <c r="AJ48" i="31"/>
  <c r="Z49" i="31"/>
  <c r="C49" i="31"/>
  <c r="AB49" i="31"/>
  <c r="AC49" i="31"/>
  <c r="AD49" i="31"/>
  <c r="AE49" i="31"/>
  <c r="AF49" i="31"/>
  <c r="AG49" i="31"/>
  <c r="AH49" i="31"/>
  <c r="AJ49" i="31"/>
  <c r="Z50" i="31"/>
  <c r="C50" i="31"/>
  <c r="AB50" i="31"/>
  <c r="AC50" i="31"/>
  <c r="AD50" i="31"/>
  <c r="AE50" i="31"/>
  <c r="AF50" i="31"/>
  <c r="AG50" i="31"/>
  <c r="AH50" i="31"/>
  <c r="AJ50" i="31"/>
  <c r="Z51" i="31"/>
  <c r="C51" i="31"/>
  <c r="AB51" i="31"/>
  <c r="AC51" i="31"/>
  <c r="AD51" i="31"/>
  <c r="AE51" i="31"/>
  <c r="AF51" i="31"/>
  <c r="AG51" i="31"/>
  <c r="AH51" i="31"/>
  <c r="AJ51" i="31"/>
  <c r="Z52" i="31"/>
  <c r="C52" i="31"/>
  <c r="AB52" i="31"/>
  <c r="AC52" i="31"/>
  <c r="AD52" i="31"/>
  <c r="AE52" i="31"/>
  <c r="AF52" i="31"/>
  <c r="AG52" i="31"/>
  <c r="AH52" i="31"/>
  <c r="AJ52" i="31"/>
  <c r="Z53" i="31"/>
  <c r="C53" i="31"/>
  <c r="AB53" i="31"/>
  <c r="AC53" i="31"/>
  <c r="AD53" i="31"/>
  <c r="AE53" i="31"/>
  <c r="AF53" i="31"/>
  <c r="AG53" i="31"/>
  <c r="AH53" i="31"/>
  <c r="AJ53" i="31"/>
  <c r="Z54" i="31"/>
  <c r="C54" i="31"/>
  <c r="AB54" i="31"/>
  <c r="AC54" i="31"/>
  <c r="AD54" i="31"/>
  <c r="AE54" i="31"/>
  <c r="AF54" i="31"/>
  <c r="AG54" i="31"/>
  <c r="AH54" i="31"/>
  <c r="AJ54" i="31"/>
  <c r="Z55" i="31"/>
  <c r="C55" i="31"/>
  <c r="AB55" i="31"/>
  <c r="AC55" i="31"/>
  <c r="AD55" i="31"/>
  <c r="AE55" i="31"/>
  <c r="AF55" i="31"/>
  <c r="AG55" i="31"/>
  <c r="AH55" i="31"/>
  <c r="AJ55" i="31"/>
  <c r="Z56" i="31"/>
  <c r="C56" i="31"/>
  <c r="AB56" i="31"/>
  <c r="AC56" i="31"/>
  <c r="AD56" i="31"/>
  <c r="AE56" i="31"/>
  <c r="AF56" i="31"/>
  <c r="AG56" i="31"/>
  <c r="AH56" i="31"/>
  <c r="AJ56" i="31"/>
  <c r="Z57" i="31"/>
  <c r="C57" i="31"/>
  <c r="AB57" i="31"/>
  <c r="AC57" i="31"/>
  <c r="AD57" i="31"/>
  <c r="AE57" i="31"/>
  <c r="AF57" i="31"/>
  <c r="AG57" i="31"/>
  <c r="AH57" i="31"/>
  <c r="AJ57" i="31"/>
  <c r="Z58" i="31"/>
  <c r="C58" i="31"/>
  <c r="AB58" i="31"/>
  <c r="AC58" i="31"/>
  <c r="AD58" i="31"/>
  <c r="AE58" i="31"/>
  <c r="AF58" i="31"/>
  <c r="AG58" i="31"/>
  <c r="AH58" i="31"/>
  <c r="AJ58" i="31"/>
  <c r="Z59" i="31"/>
  <c r="C59" i="31"/>
  <c r="AB59" i="31"/>
  <c r="AC59" i="31"/>
  <c r="AD59" i="31"/>
  <c r="AE59" i="31"/>
  <c r="AF59" i="31"/>
  <c r="AG59" i="31"/>
  <c r="AH59" i="31"/>
  <c r="AJ59" i="31"/>
  <c r="Z60" i="31"/>
  <c r="C60" i="31"/>
  <c r="AB60" i="31"/>
  <c r="AC60" i="31"/>
  <c r="AD60" i="31"/>
  <c r="AE60" i="31"/>
  <c r="AF60" i="31"/>
  <c r="AG60" i="31"/>
  <c r="AH60" i="31"/>
  <c r="AJ60" i="31"/>
  <c r="Z61" i="31"/>
  <c r="C61" i="31"/>
  <c r="AB61" i="31"/>
  <c r="AC61" i="31"/>
  <c r="AD61" i="31"/>
  <c r="AE61" i="31"/>
  <c r="AF61" i="31"/>
  <c r="AG61" i="31"/>
  <c r="AH61" i="31"/>
  <c r="AJ61" i="31"/>
  <c r="Z62" i="31"/>
  <c r="C62" i="31"/>
  <c r="AB62" i="31"/>
  <c r="AC62" i="31"/>
  <c r="AD62" i="31"/>
  <c r="AE62" i="31"/>
  <c r="AF62" i="31"/>
  <c r="AG62" i="31"/>
  <c r="AH62" i="31"/>
  <c r="AJ62" i="31"/>
  <c r="Z63" i="31"/>
  <c r="C63" i="31"/>
  <c r="AB63" i="31"/>
  <c r="AC63" i="31"/>
  <c r="AD63" i="31"/>
  <c r="AE63" i="31"/>
  <c r="AF63" i="31"/>
  <c r="AG63" i="31"/>
  <c r="AH63" i="31"/>
  <c r="AJ63" i="31"/>
  <c r="Z64" i="31"/>
  <c r="C64" i="31"/>
  <c r="AB64" i="31"/>
  <c r="AC64" i="31"/>
  <c r="AD64" i="31"/>
  <c r="AE64" i="31"/>
  <c r="AF64" i="31"/>
  <c r="AG64" i="31"/>
  <c r="AH64" i="31"/>
  <c r="AJ64" i="31"/>
  <c r="Z65" i="31"/>
  <c r="C65" i="31"/>
  <c r="AB65" i="31"/>
  <c r="AC65" i="31"/>
  <c r="AD65" i="31"/>
  <c r="AE65" i="31"/>
  <c r="AF65" i="31"/>
  <c r="AG65" i="31"/>
  <c r="AH65" i="31"/>
  <c r="AJ65" i="31"/>
  <c r="Z66" i="31"/>
  <c r="AB66" i="31"/>
  <c r="AC66" i="31"/>
  <c r="AD66" i="31"/>
  <c r="AE66" i="31"/>
  <c r="AF66" i="31"/>
  <c r="AG66" i="31"/>
  <c r="AH66" i="31"/>
  <c r="AJ66" i="31"/>
  <c r="Z67" i="31"/>
  <c r="C67" i="31"/>
  <c r="AB67" i="31"/>
  <c r="AC67" i="31"/>
  <c r="AD67" i="31"/>
  <c r="AE67" i="31"/>
  <c r="AF67" i="31"/>
  <c r="AG67" i="31"/>
  <c r="AH67" i="31"/>
  <c r="AJ67" i="31"/>
  <c r="Z68" i="31"/>
  <c r="C68" i="31"/>
  <c r="AB68" i="31"/>
  <c r="AC68" i="31"/>
  <c r="AD68" i="31"/>
  <c r="AE68" i="31"/>
  <c r="AF68" i="31"/>
  <c r="AG68" i="31"/>
  <c r="AH68" i="31"/>
  <c r="AJ68" i="31"/>
  <c r="Z69" i="31"/>
  <c r="C69" i="31"/>
  <c r="AB69" i="31"/>
  <c r="AC69" i="31"/>
  <c r="AD69" i="31"/>
  <c r="AE69" i="31"/>
  <c r="AF69" i="31"/>
  <c r="AG69" i="31"/>
  <c r="AH69" i="31"/>
  <c r="AJ69" i="31"/>
  <c r="AA70" i="31"/>
  <c r="C70" i="31"/>
  <c r="AB70" i="31"/>
  <c r="AC70" i="31"/>
  <c r="AD70" i="31"/>
  <c r="AE70" i="31"/>
  <c r="AF70" i="31"/>
  <c r="AG70" i="31"/>
  <c r="AH70" i="31"/>
  <c r="AJ70" i="31"/>
  <c r="Z71" i="31"/>
  <c r="C71" i="31"/>
  <c r="AB71" i="31"/>
  <c r="AC71" i="31"/>
  <c r="AD71" i="31"/>
  <c r="AE71" i="31"/>
  <c r="AF71" i="31"/>
  <c r="AG71" i="31"/>
  <c r="AH71" i="31"/>
  <c r="AJ71" i="31"/>
  <c r="Z72" i="31"/>
  <c r="C72" i="31"/>
  <c r="AB72" i="31"/>
  <c r="AC72" i="31"/>
  <c r="AD72" i="31"/>
  <c r="AE72" i="31"/>
  <c r="AF72" i="31"/>
  <c r="AG72" i="31"/>
  <c r="AH72" i="31"/>
  <c r="AJ72" i="31"/>
  <c r="AJ73" i="31"/>
  <c r="AJ79" i="31"/>
  <c r="I6" i="46"/>
  <c r="J6" i="46"/>
  <c r="K6" i="46"/>
  <c r="C6" i="46"/>
  <c r="E4" i="25"/>
  <c r="E22" i="25"/>
  <c r="H4" i="25"/>
  <c r="H22" i="25"/>
  <c r="J22" i="25"/>
  <c r="S20" i="1"/>
  <c r="T20" i="1"/>
  <c r="U20" i="1"/>
  <c r="Z20" i="1"/>
  <c r="AC20" i="1"/>
  <c r="W20" i="1"/>
  <c r="AD20" i="1"/>
  <c r="AE20" i="1"/>
  <c r="AG20" i="1"/>
  <c r="AK20" i="1"/>
  <c r="AL20" i="1"/>
  <c r="D6" i="46"/>
  <c r="E6" i="46"/>
  <c r="G6" i="46"/>
  <c r="H6" i="46"/>
  <c r="L6" i="46"/>
  <c r="M6" i="46"/>
  <c r="I7" i="46"/>
  <c r="J7" i="46"/>
  <c r="K7" i="46"/>
  <c r="C7" i="46"/>
  <c r="D7" i="46"/>
  <c r="E7" i="46"/>
  <c r="G7" i="46"/>
  <c r="H7" i="46"/>
  <c r="L7" i="46"/>
  <c r="M7" i="46"/>
  <c r="I8" i="46"/>
  <c r="J8" i="46"/>
  <c r="K8" i="46"/>
  <c r="C8" i="46"/>
  <c r="D8" i="46"/>
  <c r="E8" i="46"/>
  <c r="G8" i="46"/>
  <c r="H8" i="46"/>
  <c r="L8" i="46"/>
  <c r="M8" i="46"/>
  <c r="I9" i="46"/>
  <c r="J9" i="46"/>
  <c r="K9" i="46"/>
  <c r="C9" i="46"/>
  <c r="D9" i="46"/>
  <c r="E9" i="46"/>
  <c r="G9" i="46"/>
  <c r="H9" i="46"/>
  <c r="L9" i="46"/>
  <c r="M9" i="46"/>
  <c r="I10" i="46"/>
  <c r="J10" i="46"/>
  <c r="K10" i="46"/>
  <c r="C10" i="46"/>
  <c r="D10" i="46"/>
  <c r="E10" i="46"/>
  <c r="G10" i="46"/>
  <c r="H10" i="46"/>
  <c r="L10" i="46"/>
  <c r="M10" i="46"/>
  <c r="I11" i="46"/>
  <c r="J11" i="46"/>
  <c r="K11" i="46"/>
  <c r="C11" i="46"/>
  <c r="D11" i="46"/>
  <c r="E11" i="46"/>
  <c r="G11" i="46"/>
  <c r="H11" i="46"/>
  <c r="L11" i="46"/>
  <c r="M11" i="46"/>
  <c r="M12" i="46"/>
  <c r="M20" i="46"/>
  <c r="N6" i="46"/>
  <c r="N7" i="46"/>
  <c r="N8" i="46"/>
  <c r="N9" i="46"/>
  <c r="N10" i="46"/>
  <c r="N11" i="46"/>
  <c r="N12" i="46"/>
  <c r="N20" i="46"/>
  <c r="AC6" i="46"/>
  <c r="AD6" i="46"/>
  <c r="AG6" i="46"/>
  <c r="AH6" i="46"/>
  <c r="AE6" i="46"/>
  <c r="AF6" i="46"/>
  <c r="AI6" i="46"/>
  <c r="AJ6" i="46"/>
  <c r="AK6" i="46"/>
  <c r="AC7" i="46"/>
  <c r="AD7" i="46"/>
  <c r="AG7" i="46"/>
  <c r="AH7" i="46"/>
  <c r="AE7" i="46"/>
  <c r="AF7" i="46"/>
  <c r="AI7" i="46"/>
  <c r="AJ7" i="46"/>
  <c r="AK7" i="46"/>
  <c r="AC8" i="46"/>
  <c r="AD8" i="46"/>
  <c r="AG8" i="46"/>
  <c r="AH8" i="46"/>
  <c r="AE8" i="46"/>
  <c r="AF8" i="46"/>
  <c r="AI8" i="46"/>
  <c r="AJ8" i="46"/>
  <c r="AK8" i="46"/>
  <c r="AC9" i="46"/>
  <c r="AD9" i="46"/>
  <c r="AG9" i="46"/>
  <c r="AH9" i="46"/>
  <c r="AE9" i="46"/>
  <c r="AF9" i="46"/>
  <c r="AI9" i="46"/>
  <c r="AJ9" i="46"/>
  <c r="AK9" i="46"/>
  <c r="AC10" i="46"/>
  <c r="AD10" i="46"/>
  <c r="AG10" i="46"/>
  <c r="AH10" i="46"/>
  <c r="AE10" i="46"/>
  <c r="AF10" i="46"/>
  <c r="AI10" i="46"/>
  <c r="AJ10" i="46"/>
  <c r="AK10" i="46"/>
  <c r="AC11" i="46"/>
  <c r="AD11" i="46"/>
  <c r="AG11" i="46"/>
  <c r="AH11" i="46"/>
  <c r="AE11" i="46"/>
  <c r="AF11" i="46"/>
  <c r="AI11" i="46"/>
  <c r="AJ11" i="46"/>
  <c r="AK11" i="46"/>
  <c r="AK12" i="46"/>
  <c r="AK20" i="46"/>
  <c r="AL6" i="46"/>
  <c r="AL7" i="46"/>
  <c r="AL8" i="46"/>
  <c r="AL9" i="46"/>
  <c r="AL10" i="46"/>
  <c r="AL11" i="46"/>
  <c r="AL12" i="46"/>
  <c r="AL20" i="46"/>
  <c r="I14" i="46"/>
  <c r="J14" i="46"/>
  <c r="K14" i="46"/>
  <c r="C14" i="46"/>
  <c r="E14" i="25"/>
  <c r="H14" i="25"/>
  <c r="J14" i="25"/>
  <c r="S12" i="1"/>
  <c r="T12" i="1"/>
  <c r="U12" i="1"/>
  <c r="Z12" i="1"/>
  <c r="AC12" i="1"/>
  <c r="W12" i="1"/>
  <c r="AD12" i="1"/>
  <c r="AE12" i="1"/>
  <c r="AG12" i="1"/>
  <c r="AK12" i="1"/>
  <c r="AL12" i="1"/>
  <c r="D14" i="46"/>
  <c r="E14" i="46"/>
  <c r="G14" i="46"/>
  <c r="H14" i="46"/>
  <c r="L14" i="46"/>
  <c r="M14" i="46"/>
  <c r="M15" i="46"/>
  <c r="M23" i="46"/>
  <c r="N14" i="46"/>
  <c r="N15" i="46"/>
  <c r="N23" i="46"/>
  <c r="AC14" i="46"/>
  <c r="AD14" i="46"/>
  <c r="AG14" i="46"/>
  <c r="AH14" i="46"/>
  <c r="AE14" i="46"/>
  <c r="AF14" i="46"/>
  <c r="AI14" i="46"/>
  <c r="AJ14" i="46"/>
  <c r="AK14" i="46"/>
  <c r="AK15" i="46"/>
  <c r="AK23" i="46"/>
  <c r="AL14" i="46"/>
  <c r="AL15" i="46"/>
  <c r="AL23" i="46"/>
  <c r="W7" i="113"/>
  <c r="U7" i="113"/>
  <c r="X7" i="113"/>
  <c r="Y7" i="113"/>
  <c r="Z7" i="113"/>
  <c r="AA7" i="113"/>
  <c r="C7" i="113"/>
  <c r="V7" i="113"/>
  <c r="AB7" i="113"/>
  <c r="AC7" i="113"/>
  <c r="AN7" i="113"/>
  <c r="AO7" i="113"/>
  <c r="W8" i="113"/>
  <c r="U8" i="113"/>
  <c r="X8" i="113"/>
  <c r="Y8" i="113"/>
  <c r="Z8" i="113"/>
  <c r="AA8" i="113"/>
  <c r="C8" i="113"/>
  <c r="V8" i="113"/>
  <c r="AB8" i="113"/>
  <c r="AC8" i="113"/>
  <c r="AN8" i="113"/>
  <c r="AO8" i="113"/>
  <c r="W9" i="113"/>
  <c r="U9" i="113"/>
  <c r="X9" i="113"/>
  <c r="Y9" i="113"/>
  <c r="Z9" i="113"/>
  <c r="AA9" i="113"/>
  <c r="C9" i="113"/>
  <c r="V9" i="113"/>
  <c r="AB9" i="113"/>
  <c r="AC9" i="113"/>
  <c r="AN9" i="113"/>
  <c r="AO9" i="113"/>
  <c r="W10" i="113"/>
  <c r="U10" i="113"/>
  <c r="X10" i="113"/>
  <c r="Y10" i="113"/>
  <c r="Z10" i="113"/>
  <c r="AA10" i="113"/>
  <c r="C10" i="113"/>
  <c r="V10" i="113"/>
  <c r="AB10" i="113"/>
  <c r="AC10" i="113"/>
  <c r="AN10" i="113"/>
  <c r="AO10" i="113"/>
  <c r="W11" i="113"/>
  <c r="U11" i="113"/>
  <c r="X11" i="113"/>
  <c r="Y11" i="113"/>
  <c r="Z11" i="113"/>
  <c r="AA11" i="113"/>
  <c r="C11" i="113"/>
  <c r="V11" i="113"/>
  <c r="AB11" i="113"/>
  <c r="AC11" i="113"/>
  <c r="AN11" i="113"/>
  <c r="AO11" i="113"/>
  <c r="W12" i="113"/>
  <c r="U12" i="113"/>
  <c r="X12" i="113"/>
  <c r="Y12" i="113"/>
  <c r="Z12" i="113"/>
  <c r="AA12" i="113"/>
  <c r="C12" i="113"/>
  <c r="V12" i="113"/>
  <c r="AB12" i="113"/>
  <c r="AC12" i="113"/>
  <c r="AN12" i="113"/>
  <c r="AO12" i="113"/>
  <c r="W13" i="113"/>
  <c r="U13" i="113"/>
  <c r="X13" i="113"/>
  <c r="Y13" i="113"/>
  <c r="Z13" i="113"/>
  <c r="AA13" i="113"/>
  <c r="C13" i="113"/>
  <c r="V13" i="113"/>
  <c r="AB13" i="113"/>
  <c r="AC13" i="113"/>
  <c r="AN13" i="113"/>
  <c r="AO13" i="113"/>
  <c r="W14" i="113"/>
  <c r="U14" i="113"/>
  <c r="X14" i="113"/>
  <c r="Y14" i="113"/>
  <c r="Z14" i="113"/>
  <c r="AA14" i="113"/>
  <c r="C14" i="113"/>
  <c r="V14" i="113"/>
  <c r="AB14" i="113"/>
  <c r="AC14" i="113"/>
  <c r="AN14" i="113"/>
  <c r="AO14" i="113"/>
  <c r="W15" i="113"/>
  <c r="U15" i="113"/>
  <c r="X15" i="113"/>
  <c r="Y15" i="113"/>
  <c r="Z15" i="113"/>
  <c r="AA15" i="113"/>
  <c r="C15" i="113"/>
  <c r="V15" i="113"/>
  <c r="AB15" i="113"/>
  <c r="AC15" i="113"/>
  <c r="AN15" i="113"/>
  <c r="AO15" i="113"/>
  <c r="W16" i="113"/>
  <c r="U16" i="113"/>
  <c r="X16" i="113"/>
  <c r="Y16" i="113"/>
  <c r="Z16" i="113"/>
  <c r="AA16" i="113"/>
  <c r="C16" i="113"/>
  <c r="V16" i="113"/>
  <c r="AB16" i="113"/>
  <c r="AC16" i="113"/>
  <c r="AN16" i="113"/>
  <c r="AO16" i="113"/>
  <c r="W17" i="113"/>
  <c r="U17" i="113"/>
  <c r="X17" i="113"/>
  <c r="Y17" i="113"/>
  <c r="Z17" i="113"/>
  <c r="AA17" i="113"/>
  <c r="C17" i="113"/>
  <c r="V17" i="113"/>
  <c r="AB17" i="113"/>
  <c r="AC17" i="113"/>
  <c r="AN17" i="113"/>
  <c r="AO17" i="113"/>
  <c r="W18" i="113"/>
  <c r="U18" i="113"/>
  <c r="X18" i="113"/>
  <c r="Y18" i="113"/>
  <c r="Z18" i="113"/>
  <c r="AA18" i="113"/>
  <c r="C18" i="113"/>
  <c r="V18" i="113"/>
  <c r="AB18" i="113"/>
  <c r="AC18" i="113"/>
  <c r="AN18" i="113"/>
  <c r="AO18" i="113"/>
  <c r="W19" i="113"/>
  <c r="U19" i="113"/>
  <c r="X19" i="113"/>
  <c r="Y19" i="113"/>
  <c r="Z19" i="113"/>
  <c r="AA19" i="113"/>
  <c r="C19" i="113"/>
  <c r="V19" i="113"/>
  <c r="AB19" i="113"/>
  <c r="AC19" i="113"/>
  <c r="AN19" i="113"/>
  <c r="AO19" i="113"/>
  <c r="W20" i="113"/>
  <c r="U20" i="113"/>
  <c r="X20" i="113"/>
  <c r="Y20" i="113"/>
  <c r="Z20" i="113"/>
  <c r="AA20" i="113"/>
  <c r="C20" i="113"/>
  <c r="V20" i="113"/>
  <c r="AB20" i="113"/>
  <c r="AC20" i="113"/>
  <c r="AN20" i="113"/>
  <c r="AO20" i="113"/>
  <c r="W21" i="113"/>
  <c r="U21" i="113"/>
  <c r="X21" i="113"/>
  <c r="Y21" i="113"/>
  <c r="Z21" i="113"/>
  <c r="AA21" i="113"/>
  <c r="C21" i="113"/>
  <c r="V21" i="113"/>
  <c r="AB21" i="113"/>
  <c r="AC21" i="113"/>
  <c r="AN21" i="113"/>
  <c r="AO21" i="113"/>
  <c r="W22" i="113"/>
  <c r="U22" i="113"/>
  <c r="X22" i="113"/>
  <c r="Y22" i="113"/>
  <c r="Z22" i="113"/>
  <c r="AA22" i="113"/>
  <c r="C22" i="113"/>
  <c r="V22" i="113"/>
  <c r="AB22" i="113"/>
  <c r="AC22" i="113"/>
  <c r="AN22" i="113"/>
  <c r="AO22" i="113"/>
  <c r="W23" i="113"/>
  <c r="U23" i="113"/>
  <c r="X23" i="113"/>
  <c r="Y23" i="113"/>
  <c r="Z23" i="113"/>
  <c r="AA23" i="113"/>
  <c r="C23" i="113"/>
  <c r="V23" i="113"/>
  <c r="AB23" i="113"/>
  <c r="AC23" i="113"/>
  <c r="AN23" i="113"/>
  <c r="AO23" i="113"/>
  <c r="W24" i="113"/>
  <c r="U24" i="113"/>
  <c r="X24" i="113"/>
  <c r="Y24" i="113"/>
  <c r="Z24" i="113"/>
  <c r="AA24" i="113"/>
  <c r="C24" i="113"/>
  <c r="V24" i="113"/>
  <c r="AB24" i="113"/>
  <c r="AC24" i="113"/>
  <c r="AN24" i="113"/>
  <c r="AO24" i="113"/>
  <c r="W25" i="113"/>
  <c r="U25" i="113"/>
  <c r="X25" i="113"/>
  <c r="Y25" i="113"/>
  <c r="Z25" i="113"/>
  <c r="AA25" i="113"/>
  <c r="C25" i="113"/>
  <c r="V25" i="113"/>
  <c r="AB25" i="113"/>
  <c r="AC25" i="113"/>
  <c r="AN25" i="113"/>
  <c r="AO25" i="113"/>
  <c r="W26" i="113"/>
  <c r="U26" i="113"/>
  <c r="X26" i="113"/>
  <c r="Y26" i="113"/>
  <c r="Z26" i="113"/>
  <c r="AA26" i="113"/>
  <c r="C26" i="113"/>
  <c r="V26" i="113"/>
  <c r="AB26" i="113"/>
  <c r="AC26" i="113"/>
  <c r="AN26" i="113"/>
  <c r="AO26" i="113"/>
  <c r="W27" i="113"/>
  <c r="U27" i="113"/>
  <c r="X27" i="113"/>
  <c r="Y27" i="113"/>
  <c r="Z27" i="113"/>
  <c r="AA27" i="113"/>
  <c r="C27" i="113"/>
  <c r="V27" i="113"/>
  <c r="AB27" i="113"/>
  <c r="AC27" i="113"/>
  <c r="AN27" i="113"/>
  <c r="AO27" i="113"/>
  <c r="W28" i="113"/>
  <c r="U28" i="113"/>
  <c r="X28" i="113"/>
  <c r="Y28" i="113"/>
  <c r="Z28" i="113"/>
  <c r="AA28" i="113"/>
  <c r="C28" i="113"/>
  <c r="V28" i="113"/>
  <c r="AB28" i="113"/>
  <c r="AC28" i="113"/>
  <c r="AN28" i="113"/>
  <c r="AO28" i="113"/>
  <c r="W29" i="113"/>
  <c r="U29" i="113"/>
  <c r="X29" i="113"/>
  <c r="Y29" i="113"/>
  <c r="Z29" i="113"/>
  <c r="AA29" i="113"/>
  <c r="C29" i="113"/>
  <c r="V29" i="113"/>
  <c r="AB29" i="113"/>
  <c r="AC29" i="113"/>
  <c r="AN29" i="113"/>
  <c r="AO29" i="113"/>
  <c r="W30" i="113"/>
  <c r="U30" i="113"/>
  <c r="X30" i="113"/>
  <c r="Y30" i="113"/>
  <c r="Z30" i="113"/>
  <c r="AA30" i="113"/>
  <c r="C30" i="113"/>
  <c r="V30" i="113"/>
  <c r="AB30" i="113"/>
  <c r="AC30" i="113"/>
  <c r="AN30" i="113"/>
  <c r="AO30" i="113"/>
  <c r="W31" i="113"/>
  <c r="U31" i="113"/>
  <c r="X31" i="113"/>
  <c r="Y31" i="113"/>
  <c r="Z31" i="113"/>
  <c r="AA31" i="113"/>
  <c r="C31" i="113"/>
  <c r="V31" i="113"/>
  <c r="AB31" i="113"/>
  <c r="AC31" i="113"/>
  <c r="AN31" i="113"/>
  <c r="AO31" i="113"/>
  <c r="W32" i="113"/>
  <c r="U32" i="113"/>
  <c r="X32" i="113"/>
  <c r="Y32" i="113"/>
  <c r="Z32" i="113"/>
  <c r="AA32" i="113"/>
  <c r="C32" i="113"/>
  <c r="V32" i="113"/>
  <c r="AB32" i="113"/>
  <c r="AC32" i="113"/>
  <c r="AN32" i="113"/>
  <c r="AO32" i="113"/>
  <c r="W33" i="113"/>
  <c r="U33" i="113"/>
  <c r="X33" i="113"/>
  <c r="Y33" i="113"/>
  <c r="Z33" i="113"/>
  <c r="AA33" i="113"/>
  <c r="C33" i="113"/>
  <c r="V33" i="113"/>
  <c r="AB33" i="113"/>
  <c r="AC33" i="113"/>
  <c r="AN33" i="113"/>
  <c r="AO33" i="113"/>
  <c r="W34" i="113"/>
  <c r="U34" i="113"/>
  <c r="X34" i="113"/>
  <c r="Y34" i="113"/>
  <c r="Z34" i="113"/>
  <c r="AA34" i="113"/>
  <c r="C34" i="113"/>
  <c r="V34" i="113"/>
  <c r="AB34" i="113"/>
  <c r="AC34" i="113"/>
  <c r="AN34" i="113"/>
  <c r="AO34" i="113"/>
  <c r="W35" i="113"/>
  <c r="U35" i="113"/>
  <c r="X35" i="113"/>
  <c r="Y35" i="113"/>
  <c r="Z35" i="113"/>
  <c r="AA35" i="113"/>
  <c r="C35" i="113"/>
  <c r="V35" i="113"/>
  <c r="AB35" i="113"/>
  <c r="AC35" i="113"/>
  <c r="AN35" i="113"/>
  <c r="AO35" i="113"/>
  <c r="W36" i="113"/>
  <c r="U36" i="113"/>
  <c r="X36" i="113"/>
  <c r="Y36" i="113"/>
  <c r="Z36" i="113"/>
  <c r="AA36" i="113"/>
  <c r="C36" i="113"/>
  <c r="V36" i="113"/>
  <c r="AB36" i="113"/>
  <c r="AC36" i="113"/>
  <c r="AN36" i="113"/>
  <c r="AO36" i="113"/>
  <c r="W37" i="113"/>
  <c r="U37" i="113"/>
  <c r="X37" i="113"/>
  <c r="Y37" i="113"/>
  <c r="Z37" i="113"/>
  <c r="AA37" i="113"/>
  <c r="C37" i="113"/>
  <c r="V37" i="113"/>
  <c r="AB37" i="113"/>
  <c r="AC37" i="113"/>
  <c r="AN37" i="113"/>
  <c r="AO37" i="113"/>
  <c r="W38" i="113"/>
  <c r="U38" i="113"/>
  <c r="X38" i="113"/>
  <c r="Y38" i="113"/>
  <c r="Z38" i="113"/>
  <c r="AA38" i="113"/>
  <c r="C38" i="113"/>
  <c r="V38" i="113"/>
  <c r="AB38" i="113"/>
  <c r="AC38" i="113"/>
  <c r="AN38" i="113"/>
  <c r="AO38" i="113"/>
  <c r="W39" i="113"/>
  <c r="U39" i="113"/>
  <c r="X39" i="113"/>
  <c r="Y39" i="113"/>
  <c r="Z39" i="113"/>
  <c r="AA39" i="113"/>
  <c r="C39" i="113"/>
  <c r="V39" i="113"/>
  <c r="AB39" i="113"/>
  <c r="AC39" i="113"/>
  <c r="AN39" i="113"/>
  <c r="AO39" i="113"/>
  <c r="W40" i="113"/>
  <c r="U40" i="113"/>
  <c r="X40" i="113"/>
  <c r="Y40" i="113"/>
  <c r="Z40" i="113"/>
  <c r="AA40" i="113"/>
  <c r="C40" i="113"/>
  <c r="V40" i="113"/>
  <c r="AB40" i="113"/>
  <c r="AC40" i="113"/>
  <c r="AN40" i="113"/>
  <c r="AO40" i="113"/>
  <c r="W41" i="113"/>
  <c r="U41" i="113"/>
  <c r="X41" i="113"/>
  <c r="Y41" i="113"/>
  <c r="Z41" i="113"/>
  <c r="AA41" i="113"/>
  <c r="C41" i="113"/>
  <c r="V41" i="113"/>
  <c r="AB41" i="113"/>
  <c r="AC41" i="113"/>
  <c r="AN41" i="113"/>
  <c r="AO41" i="113"/>
  <c r="W42" i="113"/>
  <c r="U42" i="113"/>
  <c r="X42" i="113"/>
  <c r="Y42" i="113"/>
  <c r="Z42" i="113"/>
  <c r="AA42" i="113"/>
  <c r="C42" i="113"/>
  <c r="V42" i="113"/>
  <c r="AB42" i="113"/>
  <c r="AC42" i="113"/>
  <c r="AN42" i="113"/>
  <c r="AO42" i="113"/>
  <c r="W43" i="113"/>
  <c r="U43" i="113"/>
  <c r="X43" i="113"/>
  <c r="Y43" i="113"/>
  <c r="Z43" i="113"/>
  <c r="AA43" i="113"/>
  <c r="C43" i="113"/>
  <c r="V43" i="113"/>
  <c r="AB43" i="113"/>
  <c r="AC43" i="113"/>
  <c r="AN43" i="113"/>
  <c r="AO43" i="113"/>
  <c r="W44" i="113"/>
  <c r="U44" i="113"/>
  <c r="X44" i="113"/>
  <c r="Y44" i="113"/>
  <c r="Z44" i="113"/>
  <c r="AA44" i="113"/>
  <c r="C44" i="113"/>
  <c r="V44" i="113"/>
  <c r="AB44" i="113"/>
  <c r="AC44" i="113"/>
  <c r="AN44" i="113"/>
  <c r="AO44" i="113"/>
  <c r="W45" i="113"/>
  <c r="U45" i="113"/>
  <c r="X45" i="113"/>
  <c r="Y45" i="113"/>
  <c r="Z45" i="113"/>
  <c r="AA45" i="113"/>
  <c r="C45" i="113"/>
  <c r="V45" i="113"/>
  <c r="AB45" i="113"/>
  <c r="AC45" i="113"/>
  <c r="AN45" i="113"/>
  <c r="AO45" i="113"/>
  <c r="W46" i="113"/>
  <c r="U46" i="113"/>
  <c r="X46" i="113"/>
  <c r="Y46" i="113"/>
  <c r="Z46" i="113"/>
  <c r="AA46" i="113"/>
  <c r="C46" i="113"/>
  <c r="V46" i="113"/>
  <c r="AB46" i="113"/>
  <c r="AC46" i="113"/>
  <c r="AN46" i="113"/>
  <c r="AO46" i="113"/>
  <c r="W47" i="113"/>
  <c r="U47" i="113"/>
  <c r="X47" i="113"/>
  <c r="Y47" i="113"/>
  <c r="Z47" i="113"/>
  <c r="AA47" i="113"/>
  <c r="C47" i="113"/>
  <c r="V47" i="113"/>
  <c r="AB47" i="113"/>
  <c r="AC47" i="113"/>
  <c r="AN47" i="113"/>
  <c r="AO47" i="113"/>
  <c r="W48" i="113"/>
  <c r="U48" i="113"/>
  <c r="X48" i="113"/>
  <c r="Y48" i="113"/>
  <c r="Z48" i="113"/>
  <c r="AA48" i="113"/>
  <c r="C48" i="113"/>
  <c r="V48" i="113"/>
  <c r="AB48" i="113"/>
  <c r="AC48" i="113"/>
  <c r="AN48" i="113"/>
  <c r="AO48" i="113"/>
  <c r="W49" i="113"/>
  <c r="U49" i="113"/>
  <c r="X49" i="113"/>
  <c r="Y49" i="113"/>
  <c r="Z49" i="113"/>
  <c r="AA49" i="113"/>
  <c r="C49" i="113"/>
  <c r="V49" i="113"/>
  <c r="AB49" i="113"/>
  <c r="AC49" i="113"/>
  <c r="AN49" i="113"/>
  <c r="AO49" i="113"/>
  <c r="W50" i="113"/>
  <c r="U50" i="113"/>
  <c r="X50" i="113"/>
  <c r="Y50" i="113"/>
  <c r="Z50" i="113"/>
  <c r="AA50" i="113"/>
  <c r="C50" i="113"/>
  <c r="V50" i="113"/>
  <c r="AB50" i="113"/>
  <c r="AC50" i="113"/>
  <c r="AN50" i="113"/>
  <c r="AO50" i="113"/>
  <c r="W51" i="113"/>
  <c r="U51" i="113"/>
  <c r="X51" i="113"/>
  <c r="Y51" i="113"/>
  <c r="Z51" i="113"/>
  <c r="AA51" i="113"/>
  <c r="C51" i="113"/>
  <c r="V51" i="113"/>
  <c r="AB51" i="113"/>
  <c r="AC51" i="113"/>
  <c r="AN51" i="113"/>
  <c r="AO51" i="113"/>
  <c r="W52" i="113"/>
  <c r="U52" i="113"/>
  <c r="X52" i="113"/>
  <c r="Y52" i="113"/>
  <c r="Z52" i="113"/>
  <c r="AA52" i="113"/>
  <c r="C52" i="113"/>
  <c r="V52" i="113"/>
  <c r="AB52" i="113"/>
  <c r="AC52" i="113"/>
  <c r="AN52" i="113"/>
  <c r="AO52" i="113"/>
  <c r="W53" i="113"/>
  <c r="U53" i="113"/>
  <c r="X53" i="113"/>
  <c r="Y53" i="113"/>
  <c r="Z53" i="113"/>
  <c r="AA53" i="113"/>
  <c r="C53" i="113"/>
  <c r="V53" i="113"/>
  <c r="AB53" i="113"/>
  <c r="AC53" i="113"/>
  <c r="AN53" i="113"/>
  <c r="AO53" i="113"/>
  <c r="W54" i="113"/>
  <c r="U54" i="113"/>
  <c r="X54" i="113"/>
  <c r="Y54" i="113"/>
  <c r="Z54" i="113"/>
  <c r="AA54" i="113"/>
  <c r="C54" i="113"/>
  <c r="V54" i="113"/>
  <c r="AB54" i="113"/>
  <c r="AC54" i="113"/>
  <c r="AN54" i="113"/>
  <c r="AO54" i="113"/>
  <c r="W55" i="113"/>
  <c r="U55" i="113"/>
  <c r="X55" i="113"/>
  <c r="Y55" i="113"/>
  <c r="Z55" i="113"/>
  <c r="AA55" i="113"/>
  <c r="C55" i="113"/>
  <c r="V55" i="113"/>
  <c r="AB55" i="113"/>
  <c r="AC55" i="113"/>
  <c r="AN55" i="113"/>
  <c r="AO55" i="113"/>
  <c r="W56" i="113"/>
  <c r="U56" i="113"/>
  <c r="X56" i="113"/>
  <c r="Y56" i="113"/>
  <c r="Z56" i="113"/>
  <c r="AA56" i="113"/>
  <c r="C56" i="113"/>
  <c r="V56" i="113"/>
  <c r="AB56" i="113"/>
  <c r="AC56" i="113"/>
  <c r="AN56" i="113"/>
  <c r="AO56" i="113"/>
  <c r="W57" i="113"/>
  <c r="U57" i="113"/>
  <c r="X57" i="113"/>
  <c r="Y57" i="113"/>
  <c r="Z57" i="113"/>
  <c r="AA57" i="113"/>
  <c r="C57" i="113"/>
  <c r="V57" i="113"/>
  <c r="AB57" i="113"/>
  <c r="AC57" i="113"/>
  <c r="AN57" i="113"/>
  <c r="AO57" i="113"/>
  <c r="W58" i="113"/>
  <c r="U58" i="113"/>
  <c r="X58" i="113"/>
  <c r="Y58" i="113"/>
  <c r="Z58" i="113"/>
  <c r="AA58" i="113"/>
  <c r="C58" i="113"/>
  <c r="V58" i="113"/>
  <c r="AB58" i="113"/>
  <c r="AC58" i="113"/>
  <c r="AN58" i="113"/>
  <c r="AO58" i="113"/>
  <c r="W59" i="113"/>
  <c r="U59" i="113"/>
  <c r="X59" i="113"/>
  <c r="Y59" i="113"/>
  <c r="Z59" i="113"/>
  <c r="AA59" i="113"/>
  <c r="C59" i="113"/>
  <c r="V59" i="113"/>
  <c r="AB59" i="113"/>
  <c r="AC59" i="113"/>
  <c r="AN59" i="113"/>
  <c r="AO59" i="113"/>
  <c r="W60" i="113"/>
  <c r="U60" i="113"/>
  <c r="X60" i="113"/>
  <c r="Y60" i="113"/>
  <c r="Z60" i="113"/>
  <c r="AA60" i="113"/>
  <c r="C60" i="113"/>
  <c r="V60" i="113"/>
  <c r="AB60" i="113"/>
  <c r="AC60" i="113"/>
  <c r="AN60" i="113"/>
  <c r="AO60" i="113"/>
  <c r="W61" i="113"/>
  <c r="U61" i="113"/>
  <c r="X61" i="113"/>
  <c r="Y61" i="113"/>
  <c r="Z61" i="113"/>
  <c r="AA61" i="113"/>
  <c r="C61" i="113"/>
  <c r="V61" i="113"/>
  <c r="AB61" i="113"/>
  <c r="AC61" i="113"/>
  <c r="AN61" i="113"/>
  <c r="AO61" i="113"/>
  <c r="W62" i="113"/>
  <c r="U62" i="113"/>
  <c r="X62" i="113"/>
  <c r="Y62" i="113"/>
  <c r="Z62" i="113"/>
  <c r="AA62" i="113"/>
  <c r="C62" i="113"/>
  <c r="V62" i="113"/>
  <c r="AB62" i="113"/>
  <c r="AC62" i="113"/>
  <c r="AN62" i="113"/>
  <c r="AO62" i="113"/>
  <c r="W63" i="113"/>
  <c r="U63" i="113"/>
  <c r="X63" i="113"/>
  <c r="Y63" i="113"/>
  <c r="Z63" i="113"/>
  <c r="AA63" i="113"/>
  <c r="C63" i="113"/>
  <c r="V63" i="113"/>
  <c r="AB63" i="113"/>
  <c r="AC63" i="113"/>
  <c r="AN63" i="113"/>
  <c r="AO63" i="113"/>
  <c r="W64" i="113"/>
  <c r="U64" i="113"/>
  <c r="X64" i="113"/>
  <c r="Y64" i="113"/>
  <c r="Z64" i="113"/>
  <c r="AA64" i="113"/>
  <c r="C64" i="113"/>
  <c r="V64" i="113"/>
  <c r="AB64" i="113"/>
  <c r="AC64" i="113"/>
  <c r="AN64" i="113"/>
  <c r="AO64" i="113"/>
  <c r="W65" i="113"/>
  <c r="U65" i="113"/>
  <c r="X65" i="113"/>
  <c r="Y65" i="113"/>
  <c r="Z65" i="113"/>
  <c r="AA65" i="113"/>
  <c r="C65" i="113"/>
  <c r="V65" i="113"/>
  <c r="AB65" i="113"/>
  <c r="AC65" i="113"/>
  <c r="AN65" i="113"/>
  <c r="AO65" i="113"/>
  <c r="W66" i="113"/>
  <c r="U66" i="113"/>
  <c r="X66" i="113"/>
  <c r="Y66" i="113"/>
  <c r="Z66" i="113"/>
  <c r="AA66" i="113"/>
  <c r="C66" i="113"/>
  <c r="V66" i="113"/>
  <c r="AB66" i="113"/>
  <c r="AC66" i="113"/>
  <c r="AN66" i="113"/>
  <c r="AO66" i="113"/>
  <c r="W67" i="113"/>
  <c r="U67" i="113"/>
  <c r="X67" i="113"/>
  <c r="Y67" i="113"/>
  <c r="Z67" i="113"/>
  <c r="AA67" i="113"/>
  <c r="C67" i="113"/>
  <c r="V67" i="113"/>
  <c r="AB67" i="113"/>
  <c r="AC67" i="113"/>
  <c r="AN67" i="113"/>
  <c r="AO67" i="113"/>
  <c r="W68" i="113"/>
  <c r="U68" i="113"/>
  <c r="X68" i="113"/>
  <c r="Y68" i="113"/>
  <c r="Z68" i="113"/>
  <c r="AA68" i="113"/>
  <c r="C68" i="113"/>
  <c r="V68" i="113"/>
  <c r="AB68" i="113"/>
  <c r="AC68" i="113"/>
  <c r="AN68" i="113"/>
  <c r="AO68" i="113"/>
  <c r="W69" i="113"/>
  <c r="U69" i="113"/>
  <c r="X69" i="113"/>
  <c r="Y69" i="113"/>
  <c r="Z69" i="113"/>
  <c r="AA69" i="113"/>
  <c r="C69" i="113"/>
  <c r="V69" i="113"/>
  <c r="AB69" i="113"/>
  <c r="AC69" i="113"/>
  <c r="AN69" i="113"/>
  <c r="AO69" i="113"/>
  <c r="W70" i="113"/>
  <c r="U70" i="113"/>
  <c r="X70" i="113"/>
  <c r="Y70" i="113"/>
  <c r="Z70" i="113"/>
  <c r="AA70" i="113"/>
  <c r="C70" i="113"/>
  <c r="V70" i="113"/>
  <c r="AB70" i="113"/>
  <c r="AC70" i="113"/>
  <c r="AN70" i="113"/>
  <c r="AO70" i="113"/>
  <c r="W71" i="113"/>
  <c r="U71" i="113"/>
  <c r="X71" i="113"/>
  <c r="Y71" i="113"/>
  <c r="Z71" i="113"/>
  <c r="AA71" i="113"/>
  <c r="C71" i="113"/>
  <c r="V71" i="113"/>
  <c r="AB71" i="113"/>
  <c r="AC71" i="113"/>
  <c r="AN71" i="113"/>
  <c r="AO71" i="113"/>
  <c r="W72" i="113"/>
  <c r="U72" i="113"/>
  <c r="X72" i="113"/>
  <c r="Y72" i="113"/>
  <c r="Z72" i="113"/>
  <c r="AA72" i="113"/>
  <c r="C72" i="113"/>
  <c r="V72" i="113"/>
  <c r="AB72" i="113"/>
  <c r="AC72" i="113"/>
  <c r="AN72" i="113"/>
  <c r="AO72" i="113"/>
  <c r="W73" i="113"/>
  <c r="U73" i="113"/>
  <c r="X73" i="113"/>
  <c r="Y73" i="113"/>
  <c r="Z73" i="113"/>
  <c r="AA73" i="113"/>
  <c r="C73" i="113"/>
  <c r="V73" i="113"/>
  <c r="AB73" i="113"/>
  <c r="AC73" i="113"/>
  <c r="AN73" i="113"/>
  <c r="AO73" i="113"/>
  <c r="W74" i="113"/>
  <c r="U74" i="113"/>
  <c r="X74" i="113"/>
  <c r="Y74" i="113"/>
  <c r="Z74" i="113"/>
  <c r="AA74" i="113"/>
  <c r="C74" i="113"/>
  <c r="V74" i="113"/>
  <c r="AB74" i="113"/>
  <c r="AC74" i="113"/>
  <c r="AN74" i="113"/>
  <c r="AO74" i="113"/>
  <c r="W75" i="113"/>
  <c r="U75" i="113"/>
  <c r="X75" i="113"/>
  <c r="Y75" i="113"/>
  <c r="Z75" i="113"/>
  <c r="AA75" i="113"/>
  <c r="C75" i="113"/>
  <c r="V75" i="113"/>
  <c r="AB75" i="113"/>
  <c r="AC75" i="113"/>
  <c r="AN75" i="113"/>
  <c r="AO75" i="113"/>
  <c r="AM76" i="113"/>
  <c r="AN76" i="113"/>
  <c r="AO76" i="113"/>
  <c r="I7" i="113"/>
  <c r="J7" i="113"/>
  <c r="K7" i="113"/>
  <c r="E6" i="25"/>
  <c r="H6" i="25"/>
  <c r="J6" i="25"/>
  <c r="S4" i="1"/>
  <c r="T4" i="1"/>
  <c r="U4" i="1"/>
  <c r="Z4" i="1"/>
  <c r="AC4" i="1"/>
  <c r="W4" i="1"/>
  <c r="AD4" i="1"/>
  <c r="AE4" i="1"/>
  <c r="AG4" i="1"/>
  <c r="AK4" i="1"/>
  <c r="AL4" i="1"/>
  <c r="D7" i="113"/>
  <c r="E7" i="113"/>
  <c r="F7" i="113"/>
  <c r="G7" i="113"/>
  <c r="H7" i="113"/>
  <c r="L7" i="113"/>
  <c r="M7" i="113"/>
  <c r="I8" i="113"/>
  <c r="J8" i="113"/>
  <c r="K8" i="113"/>
  <c r="E7" i="25"/>
  <c r="H7" i="25"/>
  <c r="J7" i="25"/>
  <c r="S5" i="1"/>
  <c r="T5" i="1"/>
  <c r="U5" i="1"/>
  <c r="Z5" i="1"/>
  <c r="AC5" i="1"/>
  <c r="W5" i="1"/>
  <c r="AD5" i="1"/>
  <c r="AE5" i="1"/>
  <c r="AG5" i="1"/>
  <c r="AK5" i="1"/>
  <c r="AL5" i="1"/>
  <c r="D8" i="113"/>
  <c r="E8" i="113"/>
  <c r="F8" i="113"/>
  <c r="G8" i="113"/>
  <c r="H8" i="113"/>
  <c r="L8" i="113"/>
  <c r="M8" i="113"/>
  <c r="I9" i="113"/>
  <c r="J9" i="113"/>
  <c r="K9" i="113"/>
  <c r="E8" i="25"/>
  <c r="H8" i="25"/>
  <c r="J8" i="25"/>
  <c r="S6" i="1"/>
  <c r="T6" i="1"/>
  <c r="U6" i="1"/>
  <c r="Z6" i="1"/>
  <c r="AC6" i="1"/>
  <c r="W6" i="1"/>
  <c r="AD6" i="1"/>
  <c r="AE6" i="1"/>
  <c r="AG6" i="1"/>
  <c r="AK6" i="1"/>
  <c r="AL6" i="1"/>
  <c r="D9" i="113"/>
  <c r="E9" i="113"/>
  <c r="F9" i="113"/>
  <c r="G9" i="113"/>
  <c r="H9" i="113"/>
  <c r="L9" i="113"/>
  <c r="M9" i="113"/>
  <c r="I10" i="113"/>
  <c r="J10" i="113"/>
  <c r="K10" i="113"/>
  <c r="E9" i="25"/>
  <c r="H9" i="25"/>
  <c r="J9" i="25"/>
  <c r="S7" i="1"/>
  <c r="T7" i="1"/>
  <c r="U7" i="1"/>
  <c r="Z7" i="1"/>
  <c r="AC7" i="1"/>
  <c r="W7" i="1"/>
  <c r="AD7" i="1"/>
  <c r="AE7" i="1"/>
  <c r="AG7" i="1"/>
  <c r="AK7" i="1"/>
  <c r="AL7" i="1"/>
  <c r="D10" i="113"/>
  <c r="E10" i="113"/>
  <c r="F10" i="113"/>
  <c r="G10" i="113"/>
  <c r="H10" i="113"/>
  <c r="L10" i="113"/>
  <c r="M10" i="113"/>
  <c r="I11" i="113"/>
  <c r="J11" i="113"/>
  <c r="K11" i="113"/>
  <c r="E10" i="25"/>
  <c r="H10" i="25"/>
  <c r="J10" i="25"/>
  <c r="S8" i="1"/>
  <c r="T8" i="1"/>
  <c r="U8" i="1"/>
  <c r="Z8" i="1"/>
  <c r="AC8" i="1"/>
  <c r="W8" i="1"/>
  <c r="AD8" i="1"/>
  <c r="AE8" i="1"/>
  <c r="AG8" i="1"/>
  <c r="AK8" i="1"/>
  <c r="AL8" i="1"/>
  <c r="D11" i="113"/>
  <c r="E11" i="113"/>
  <c r="F11" i="113"/>
  <c r="G11" i="113"/>
  <c r="H11" i="113"/>
  <c r="L11" i="113"/>
  <c r="M11" i="113"/>
  <c r="I12" i="113"/>
  <c r="J12" i="113"/>
  <c r="K12" i="113"/>
  <c r="E11" i="25"/>
  <c r="H11" i="25"/>
  <c r="J11" i="25"/>
  <c r="S9" i="1"/>
  <c r="T9" i="1"/>
  <c r="U9" i="1"/>
  <c r="Z9" i="1"/>
  <c r="AC9" i="1"/>
  <c r="W9" i="1"/>
  <c r="AD9" i="1"/>
  <c r="AE9" i="1"/>
  <c r="AG9" i="1"/>
  <c r="AK9" i="1"/>
  <c r="AL9" i="1"/>
  <c r="D12" i="113"/>
  <c r="E12" i="113"/>
  <c r="F12" i="113"/>
  <c r="G12" i="113"/>
  <c r="H12" i="113"/>
  <c r="L12" i="113"/>
  <c r="M12" i="113"/>
  <c r="I13" i="113"/>
  <c r="J13" i="113"/>
  <c r="K13" i="113"/>
  <c r="E12" i="25"/>
  <c r="H12" i="25"/>
  <c r="J12" i="25"/>
  <c r="S10" i="1"/>
  <c r="T10" i="1"/>
  <c r="U10" i="1"/>
  <c r="Z10" i="1"/>
  <c r="AC10" i="1"/>
  <c r="W10" i="1"/>
  <c r="AD10" i="1"/>
  <c r="AE10" i="1"/>
  <c r="AG10" i="1"/>
  <c r="AK10" i="1"/>
  <c r="AL10" i="1"/>
  <c r="D13" i="113"/>
  <c r="E13" i="113"/>
  <c r="F13" i="113"/>
  <c r="G13" i="113"/>
  <c r="H13" i="113"/>
  <c r="L13" i="113"/>
  <c r="M13" i="113"/>
  <c r="I14" i="113"/>
  <c r="J14" i="113"/>
  <c r="K14" i="113"/>
  <c r="E13" i="25"/>
  <c r="H13" i="25"/>
  <c r="J13" i="25"/>
  <c r="S11" i="1"/>
  <c r="T11" i="1"/>
  <c r="U11" i="1"/>
  <c r="Z11" i="1"/>
  <c r="AC11" i="1"/>
  <c r="W11" i="1"/>
  <c r="AD11" i="1"/>
  <c r="AE11" i="1"/>
  <c r="AG11" i="1"/>
  <c r="AK11" i="1"/>
  <c r="AL11" i="1"/>
  <c r="D14" i="113"/>
  <c r="E14" i="113"/>
  <c r="F14" i="113"/>
  <c r="G14" i="113"/>
  <c r="H14" i="113"/>
  <c r="L14" i="113"/>
  <c r="M14" i="113"/>
  <c r="I15" i="113"/>
  <c r="J15" i="113"/>
  <c r="K15" i="113"/>
  <c r="D15" i="113"/>
  <c r="E15" i="113"/>
  <c r="F15" i="113"/>
  <c r="G15" i="113"/>
  <c r="H15" i="113"/>
  <c r="L15" i="113"/>
  <c r="M15" i="113"/>
  <c r="I16" i="113"/>
  <c r="J16" i="113"/>
  <c r="K16" i="113"/>
  <c r="E15" i="25"/>
  <c r="H15" i="25"/>
  <c r="J15" i="25"/>
  <c r="S13" i="1"/>
  <c r="T13" i="1"/>
  <c r="U13" i="1"/>
  <c r="Z13" i="1"/>
  <c r="AC13" i="1"/>
  <c r="W13" i="1"/>
  <c r="AD13" i="1"/>
  <c r="AE13" i="1"/>
  <c r="AG13" i="1"/>
  <c r="AK13" i="1"/>
  <c r="AL13" i="1"/>
  <c r="D16" i="113"/>
  <c r="E16" i="113"/>
  <c r="F16" i="113"/>
  <c r="G16" i="113"/>
  <c r="H16" i="113"/>
  <c r="L16" i="113"/>
  <c r="M16" i="113"/>
  <c r="I17" i="113"/>
  <c r="J17" i="113"/>
  <c r="K17" i="113"/>
  <c r="E16" i="25"/>
  <c r="H16" i="25"/>
  <c r="J16" i="25"/>
  <c r="S14" i="1"/>
  <c r="T14" i="1"/>
  <c r="U14" i="1"/>
  <c r="Z14" i="1"/>
  <c r="AC14" i="1"/>
  <c r="W14" i="1"/>
  <c r="AD14" i="1"/>
  <c r="AE14" i="1"/>
  <c r="AG14" i="1"/>
  <c r="AK14" i="1"/>
  <c r="AL14" i="1"/>
  <c r="D17" i="113"/>
  <c r="E17" i="113"/>
  <c r="F17" i="113"/>
  <c r="G17" i="113"/>
  <c r="H17" i="113"/>
  <c r="L17" i="113"/>
  <c r="M17" i="113"/>
  <c r="I18" i="113"/>
  <c r="J18" i="113"/>
  <c r="K18" i="113"/>
  <c r="E17" i="25"/>
  <c r="H17" i="25"/>
  <c r="J17" i="25"/>
  <c r="S15" i="1"/>
  <c r="T15" i="1"/>
  <c r="U15" i="1"/>
  <c r="Z15" i="1"/>
  <c r="AC15" i="1"/>
  <c r="W15" i="1"/>
  <c r="AD15" i="1"/>
  <c r="AE15" i="1"/>
  <c r="AG15" i="1"/>
  <c r="AK15" i="1"/>
  <c r="AL15" i="1"/>
  <c r="D18" i="113"/>
  <c r="E18" i="113"/>
  <c r="F18" i="113"/>
  <c r="G18" i="113"/>
  <c r="H18" i="113"/>
  <c r="L18" i="113"/>
  <c r="M18" i="113"/>
  <c r="I19" i="113"/>
  <c r="J19" i="113"/>
  <c r="K19" i="113"/>
  <c r="E18" i="25"/>
  <c r="H18" i="25"/>
  <c r="J18" i="25"/>
  <c r="S16" i="1"/>
  <c r="T16" i="1"/>
  <c r="U16" i="1"/>
  <c r="Z16" i="1"/>
  <c r="AC16" i="1"/>
  <c r="W16" i="1"/>
  <c r="AD16" i="1"/>
  <c r="AE16" i="1"/>
  <c r="AG16" i="1"/>
  <c r="AK16" i="1"/>
  <c r="AL16" i="1"/>
  <c r="D19" i="113"/>
  <c r="E19" i="113"/>
  <c r="F19" i="113"/>
  <c r="G19" i="113"/>
  <c r="H19" i="113"/>
  <c r="L19" i="113"/>
  <c r="M19" i="113"/>
  <c r="I20" i="113"/>
  <c r="J20" i="113"/>
  <c r="K20" i="113"/>
  <c r="E19" i="25"/>
  <c r="H19" i="25"/>
  <c r="J19" i="25"/>
  <c r="S17" i="1"/>
  <c r="T17" i="1"/>
  <c r="U17" i="1"/>
  <c r="Z17" i="1"/>
  <c r="AC17" i="1"/>
  <c r="W17" i="1"/>
  <c r="AD17" i="1"/>
  <c r="AE17" i="1"/>
  <c r="AG17" i="1"/>
  <c r="AK17" i="1"/>
  <c r="AL17" i="1"/>
  <c r="D20" i="113"/>
  <c r="E20" i="113"/>
  <c r="F20" i="113"/>
  <c r="G20" i="113"/>
  <c r="H20" i="113"/>
  <c r="L20" i="113"/>
  <c r="M20" i="113"/>
  <c r="I21" i="113"/>
  <c r="J21" i="113"/>
  <c r="K21" i="113"/>
  <c r="E20" i="25"/>
  <c r="H20" i="25"/>
  <c r="J20" i="25"/>
  <c r="S18" i="1"/>
  <c r="T18" i="1"/>
  <c r="U18" i="1"/>
  <c r="Z18" i="1"/>
  <c r="AC18" i="1"/>
  <c r="W18" i="1"/>
  <c r="AD18" i="1"/>
  <c r="AE18" i="1"/>
  <c r="AG18" i="1"/>
  <c r="AK18" i="1"/>
  <c r="AL18" i="1"/>
  <c r="D21" i="113"/>
  <c r="E21" i="113"/>
  <c r="F21" i="113"/>
  <c r="G21" i="113"/>
  <c r="H21" i="113"/>
  <c r="L21" i="113"/>
  <c r="M21" i="113"/>
  <c r="I22" i="113"/>
  <c r="J22" i="113"/>
  <c r="K22" i="113"/>
  <c r="E21" i="25"/>
  <c r="H21" i="25"/>
  <c r="J21" i="25"/>
  <c r="S19" i="1"/>
  <c r="T19" i="1"/>
  <c r="U19" i="1"/>
  <c r="Z19" i="1"/>
  <c r="AC19" i="1"/>
  <c r="W19" i="1"/>
  <c r="AD19" i="1"/>
  <c r="AE19" i="1"/>
  <c r="AG19" i="1"/>
  <c r="AK19" i="1"/>
  <c r="AL19" i="1"/>
  <c r="D22" i="113"/>
  <c r="E22" i="113"/>
  <c r="F22" i="113"/>
  <c r="G22" i="113"/>
  <c r="H22" i="113"/>
  <c r="L22" i="113"/>
  <c r="M22" i="113"/>
  <c r="I23" i="113"/>
  <c r="J23" i="113"/>
  <c r="K23" i="113"/>
  <c r="D23" i="113"/>
  <c r="E23" i="113"/>
  <c r="F23" i="113"/>
  <c r="G23" i="113"/>
  <c r="H23" i="113"/>
  <c r="L23" i="113"/>
  <c r="M23" i="113"/>
  <c r="I24" i="113"/>
  <c r="J24" i="113"/>
  <c r="K24" i="113"/>
  <c r="E23" i="25"/>
  <c r="H23" i="25"/>
  <c r="J23" i="25"/>
  <c r="S21" i="1"/>
  <c r="T21" i="1"/>
  <c r="U21" i="1"/>
  <c r="Z21" i="1"/>
  <c r="AC21" i="1"/>
  <c r="W21" i="1"/>
  <c r="AD21" i="1"/>
  <c r="AE21" i="1"/>
  <c r="AG21" i="1"/>
  <c r="AK21" i="1"/>
  <c r="AL21" i="1"/>
  <c r="D24" i="113"/>
  <c r="E24" i="113"/>
  <c r="F24" i="113"/>
  <c r="G24" i="113"/>
  <c r="H24" i="113"/>
  <c r="L24" i="113"/>
  <c r="M24" i="113"/>
  <c r="I25" i="113"/>
  <c r="J25" i="113"/>
  <c r="K25" i="113"/>
  <c r="E24" i="25"/>
  <c r="H24" i="25"/>
  <c r="J24" i="25"/>
  <c r="S22" i="1"/>
  <c r="T22" i="1"/>
  <c r="U22" i="1"/>
  <c r="Z22" i="1"/>
  <c r="AC22" i="1"/>
  <c r="W22" i="1"/>
  <c r="AD22" i="1"/>
  <c r="AE22" i="1"/>
  <c r="AG22" i="1"/>
  <c r="AK22" i="1"/>
  <c r="AL22" i="1"/>
  <c r="D25" i="113"/>
  <c r="E25" i="113"/>
  <c r="F25" i="113"/>
  <c r="G25" i="113"/>
  <c r="H25" i="113"/>
  <c r="L25" i="113"/>
  <c r="M25" i="113"/>
  <c r="I26" i="113"/>
  <c r="J26" i="113"/>
  <c r="K26" i="113"/>
  <c r="E25" i="25"/>
  <c r="H25" i="25"/>
  <c r="J25" i="25"/>
  <c r="S23" i="1"/>
  <c r="T23" i="1"/>
  <c r="U23" i="1"/>
  <c r="Z23" i="1"/>
  <c r="AC23" i="1"/>
  <c r="W23" i="1"/>
  <c r="AD23" i="1"/>
  <c r="AE23" i="1"/>
  <c r="AG23" i="1"/>
  <c r="AK23" i="1"/>
  <c r="AL23" i="1"/>
  <c r="D26" i="113"/>
  <c r="E26" i="113"/>
  <c r="F26" i="113"/>
  <c r="G26" i="113"/>
  <c r="H26" i="113"/>
  <c r="L26" i="113"/>
  <c r="M26" i="113"/>
  <c r="I27" i="113"/>
  <c r="J27" i="113"/>
  <c r="K27" i="113"/>
  <c r="E26" i="25"/>
  <c r="H26" i="25"/>
  <c r="J26" i="25"/>
  <c r="S24" i="1"/>
  <c r="T24" i="1"/>
  <c r="U24" i="1"/>
  <c r="Z24" i="1"/>
  <c r="AC24" i="1"/>
  <c r="W24" i="1"/>
  <c r="AD24" i="1"/>
  <c r="AE24" i="1"/>
  <c r="AG24" i="1"/>
  <c r="AK24" i="1"/>
  <c r="AL24" i="1"/>
  <c r="D27" i="113"/>
  <c r="E27" i="113"/>
  <c r="F27" i="113"/>
  <c r="G27" i="113"/>
  <c r="H27" i="113"/>
  <c r="L27" i="113"/>
  <c r="M27" i="113"/>
  <c r="I28" i="113"/>
  <c r="J28" i="113"/>
  <c r="K28" i="113"/>
  <c r="E27" i="25"/>
  <c r="H27" i="25"/>
  <c r="J27" i="25"/>
  <c r="S25" i="1"/>
  <c r="T25" i="1"/>
  <c r="U25" i="1"/>
  <c r="Z25" i="1"/>
  <c r="AC25" i="1"/>
  <c r="W25" i="1"/>
  <c r="AD25" i="1"/>
  <c r="AE25" i="1"/>
  <c r="AG25" i="1"/>
  <c r="AK25" i="1"/>
  <c r="AL25" i="1"/>
  <c r="D28" i="113"/>
  <c r="E28" i="113"/>
  <c r="F28" i="113"/>
  <c r="G28" i="113"/>
  <c r="H28" i="113"/>
  <c r="L28" i="113"/>
  <c r="M28" i="113"/>
  <c r="I29" i="113"/>
  <c r="J29" i="113"/>
  <c r="K29" i="113"/>
  <c r="E28" i="25"/>
  <c r="H28" i="25"/>
  <c r="J28" i="25"/>
  <c r="S26" i="1"/>
  <c r="T26" i="1"/>
  <c r="U26" i="1"/>
  <c r="Z26" i="1"/>
  <c r="AC26" i="1"/>
  <c r="W26" i="1"/>
  <c r="AD26" i="1"/>
  <c r="AE26" i="1"/>
  <c r="AG26" i="1"/>
  <c r="AK26" i="1"/>
  <c r="AL26" i="1"/>
  <c r="D29" i="113"/>
  <c r="E29" i="113"/>
  <c r="F29" i="113"/>
  <c r="G29" i="113"/>
  <c r="H29" i="113"/>
  <c r="L29" i="113"/>
  <c r="M29" i="113"/>
  <c r="I30" i="113"/>
  <c r="J30" i="113"/>
  <c r="K30" i="113"/>
  <c r="E29" i="25"/>
  <c r="H29" i="25"/>
  <c r="J29" i="25"/>
  <c r="S27" i="1"/>
  <c r="T27" i="1"/>
  <c r="U27" i="1"/>
  <c r="Z27" i="1"/>
  <c r="AC27" i="1"/>
  <c r="W27" i="1"/>
  <c r="AD27" i="1"/>
  <c r="AE27" i="1"/>
  <c r="AG27" i="1"/>
  <c r="AK27" i="1"/>
  <c r="AL27" i="1"/>
  <c r="D30" i="113"/>
  <c r="E30" i="113"/>
  <c r="F30" i="113"/>
  <c r="G30" i="113"/>
  <c r="H30" i="113"/>
  <c r="L30" i="113"/>
  <c r="M30" i="113"/>
  <c r="I31" i="113"/>
  <c r="J31" i="113"/>
  <c r="K31" i="113"/>
  <c r="E30" i="25"/>
  <c r="H30" i="25"/>
  <c r="J30" i="25"/>
  <c r="S28" i="1"/>
  <c r="T28" i="1"/>
  <c r="U28" i="1"/>
  <c r="Z28" i="1"/>
  <c r="AC28" i="1"/>
  <c r="W28" i="1"/>
  <c r="AD28" i="1"/>
  <c r="AE28" i="1"/>
  <c r="AG28" i="1"/>
  <c r="AK28" i="1"/>
  <c r="AL28" i="1"/>
  <c r="D31" i="113"/>
  <c r="E31" i="113"/>
  <c r="F31" i="113"/>
  <c r="G31" i="113"/>
  <c r="H31" i="113"/>
  <c r="L31" i="113"/>
  <c r="M31" i="113"/>
  <c r="I32" i="113"/>
  <c r="J32" i="113"/>
  <c r="K32" i="113"/>
  <c r="E31" i="25"/>
  <c r="H31" i="25"/>
  <c r="J31" i="25"/>
  <c r="S29" i="1"/>
  <c r="T29" i="1"/>
  <c r="U29" i="1"/>
  <c r="Z29" i="1"/>
  <c r="AC29" i="1"/>
  <c r="W29" i="1"/>
  <c r="AD29" i="1"/>
  <c r="AE29" i="1"/>
  <c r="AG29" i="1"/>
  <c r="AK29" i="1"/>
  <c r="AL29" i="1"/>
  <c r="D32" i="113"/>
  <c r="E32" i="113"/>
  <c r="F32" i="113"/>
  <c r="G32" i="113"/>
  <c r="H32" i="113"/>
  <c r="L32" i="113"/>
  <c r="M32" i="113"/>
  <c r="I33" i="113"/>
  <c r="J33" i="113"/>
  <c r="K33" i="113"/>
  <c r="E32" i="25"/>
  <c r="H32" i="25"/>
  <c r="J32" i="25"/>
  <c r="S30" i="1"/>
  <c r="T30" i="1"/>
  <c r="U30" i="1"/>
  <c r="Z30" i="1"/>
  <c r="AC30" i="1"/>
  <c r="W30" i="1"/>
  <c r="AD30" i="1"/>
  <c r="AE30" i="1"/>
  <c r="AG30" i="1"/>
  <c r="AK30" i="1"/>
  <c r="AL30" i="1"/>
  <c r="D33" i="113"/>
  <c r="E33" i="113"/>
  <c r="F33" i="113"/>
  <c r="G33" i="113"/>
  <c r="H33" i="113"/>
  <c r="L33" i="113"/>
  <c r="M33" i="113"/>
  <c r="I34" i="113"/>
  <c r="J34" i="113"/>
  <c r="K34" i="113"/>
  <c r="E33" i="25"/>
  <c r="H33" i="25"/>
  <c r="J33" i="25"/>
  <c r="S31" i="1"/>
  <c r="T31" i="1"/>
  <c r="U31" i="1"/>
  <c r="Z31" i="1"/>
  <c r="AC31" i="1"/>
  <c r="W31" i="1"/>
  <c r="AD31" i="1"/>
  <c r="AE31" i="1"/>
  <c r="AG31" i="1"/>
  <c r="AK31" i="1"/>
  <c r="AL31" i="1"/>
  <c r="D34" i="113"/>
  <c r="E34" i="113"/>
  <c r="F34" i="113"/>
  <c r="G34" i="113"/>
  <c r="H34" i="113"/>
  <c r="L34" i="113"/>
  <c r="M34" i="113"/>
  <c r="I35" i="113"/>
  <c r="J35" i="113"/>
  <c r="K35" i="113"/>
  <c r="E34" i="25"/>
  <c r="H34" i="25"/>
  <c r="J34" i="25"/>
  <c r="S32" i="1"/>
  <c r="T32" i="1"/>
  <c r="U32" i="1"/>
  <c r="Z32" i="1"/>
  <c r="AC32" i="1"/>
  <c r="W32" i="1"/>
  <c r="AD32" i="1"/>
  <c r="AE32" i="1"/>
  <c r="AG32" i="1"/>
  <c r="AK32" i="1"/>
  <c r="AL32" i="1"/>
  <c r="D35" i="113"/>
  <c r="E35" i="113"/>
  <c r="F35" i="113"/>
  <c r="G35" i="113"/>
  <c r="H35" i="113"/>
  <c r="L35" i="113"/>
  <c r="M35" i="113"/>
  <c r="I36" i="113"/>
  <c r="J36" i="113"/>
  <c r="K36" i="113"/>
  <c r="E35" i="25"/>
  <c r="H35" i="25"/>
  <c r="J35" i="25"/>
  <c r="S33" i="1"/>
  <c r="T33" i="1"/>
  <c r="U33" i="1"/>
  <c r="Z33" i="1"/>
  <c r="AC33" i="1"/>
  <c r="W33" i="1"/>
  <c r="AD33" i="1"/>
  <c r="AE33" i="1"/>
  <c r="AG33" i="1"/>
  <c r="AK33" i="1"/>
  <c r="AL33" i="1"/>
  <c r="D36" i="113"/>
  <c r="E36" i="113"/>
  <c r="F36" i="113"/>
  <c r="G36" i="113"/>
  <c r="H36" i="113"/>
  <c r="L36" i="113"/>
  <c r="M36" i="113"/>
  <c r="I37" i="113"/>
  <c r="J37" i="113"/>
  <c r="K37" i="113"/>
  <c r="E36" i="25"/>
  <c r="H36" i="25"/>
  <c r="J36" i="25"/>
  <c r="S34" i="1"/>
  <c r="T34" i="1"/>
  <c r="U34" i="1"/>
  <c r="Z34" i="1"/>
  <c r="AC34" i="1"/>
  <c r="W34" i="1"/>
  <c r="AD34" i="1"/>
  <c r="AE34" i="1"/>
  <c r="AG34" i="1"/>
  <c r="AK34" i="1"/>
  <c r="AL34" i="1"/>
  <c r="D37" i="113"/>
  <c r="E37" i="113"/>
  <c r="F37" i="113"/>
  <c r="G37" i="113"/>
  <c r="H37" i="113"/>
  <c r="L37" i="113"/>
  <c r="M37" i="113"/>
  <c r="I38" i="113"/>
  <c r="J38" i="113"/>
  <c r="K38" i="113"/>
  <c r="E37" i="25"/>
  <c r="H37" i="25"/>
  <c r="J37" i="25"/>
  <c r="S35" i="1"/>
  <c r="T35" i="1"/>
  <c r="U35" i="1"/>
  <c r="Z35" i="1"/>
  <c r="AC35" i="1"/>
  <c r="W35" i="1"/>
  <c r="AD35" i="1"/>
  <c r="AE35" i="1"/>
  <c r="AG35" i="1"/>
  <c r="AK35" i="1"/>
  <c r="AL35" i="1"/>
  <c r="D38" i="113"/>
  <c r="E38" i="113"/>
  <c r="F38" i="113"/>
  <c r="G38" i="113"/>
  <c r="H38" i="113"/>
  <c r="L38" i="113"/>
  <c r="M38" i="113"/>
  <c r="I39" i="113"/>
  <c r="J39" i="113"/>
  <c r="K39" i="113"/>
  <c r="E38" i="25"/>
  <c r="H38" i="25"/>
  <c r="J38" i="25"/>
  <c r="S36" i="1"/>
  <c r="T36" i="1"/>
  <c r="U36" i="1"/>
  <c r="Z36" i="1"/>
  <c r="AC36" i="1"/>
  <c r="W36" i="1"/>
  <c r="AD36" i="1"/>
  <c r="AE36" i="1"/>
  <c r="AG36" i="1"/>
  <c r="AK36" i="1"/>
  <c r="AL36" i="1"/>
  <c r="D39" i="113"/>
  <c r="E39" i="113"/>
  <c r="F39" i="113"/>
  <c r="G39" i="113"/>
  <c r="H39" i="113"/>
  <c r="L39" i="113"/>
  <c r="M39" i="113"/>
  <c r="I40" i="113"/>
  <c r="J40" i="113"/>
  <c r="K40" i="113"/>
  <c r="E39" i="25"/>
  <c r="H39" i="25"/>
  <c r="J39" i="25"/>
  <c r="S37" i="1"/>
  <c r="T37" i="1"/>
  <c r="U37" i="1"/>
  <c r="Z37" i="1"/>
  <c r="AC37" i="1"/>
  <c r="W37" i="1"/>
  <c r="AD37" i="1"/>
  <c r="AE37" i="1"/>
  <c r="AG37" i="1"/>
  <c r="AK37" i="1"/>
  <c r="AL37" i="1"/>
  <c r="D40" i="113"/>
  <c r="E40" i="113"/>
  <c r="F40" i="113"/>
  <c r="G40" i="113"/>
  <c r="H40" i="113"/>
  <c r="L40" i="113"/>
  <c r="M40" i="113"/>
  <c r="I41" i="113"/>
  <c r="J41" i="113"/>
  <c r="K41" i="113"/>
  <c r="E40" i="25"/>
  <c r="H40" i="25"/>
  <c r="J40" i="25"/>
  <c r="S38" i="1"/>
  <c r="T38" i="1"/>
  <c r="U38" i="1"/>
  <c r="Z38" i="1"/>
  <c r="AC38" i="1"/>
  <c r="W38" i="1"/>
  <c r="AD38" i="1"/>
  <c r="AE38" i="1"/>
  <c r="AG38" i="1"/>
  <c r="AK38" i="1"/>
  <c r="AL38" i="1"/>
  <c r="D41" i="113"/>
  <c r="E41" i="113"/>
  <c r="F41" i="113"/>
  <c r="G41" i="113"/>
  <c r="H41" i="113"/>
  <c r="L41" i="113"/>
  <c r="M41" i="113"/>
  <c r="I42" i="113"/>
  <c r="J42" i="113"/>
  <c r="K42" i="113"/>
  <c r="E41" i="25"/>
  <c r="H41" i="25"/>
  <c r="J41" i="25"/>
  <c r="S39" i="1"/>
  <c r="T39" i="1"/>
  <c r="U39" i="1"/>
  <c r="Z39" i="1"/>
  <c r="AC39" i="1"/>
  <c r="W39" i="1"/>
  <c r="AD39" i="1"/>
  <c r="AE39" i="1"/>
  <c r="AG39" i="1"/>
  <c r="AK39" i="1"/>
  <c r="AL39" i="1"/>
  <c r="D42" i="113"/>
  <c r="E42" i="113"/>
  <c r="F42" i="113"/>
  <c r="G42" i="113"/>
  <c r="H42" i="113"/>
  <c r="L42" i="113"/>
  <c r="M42" i="113"/>
  <c r="I43" i="113"/>
  <c r="J43" i="113"/>
  <c r="K43" i="113"/>
  <c r="E42" i="25"/>
  <c r="H42" i="25"/>
  <c r="J42" i="25"/>
  <c r="S40" i="1"/>
  <c r="T40" i="1"/>
  <c r="U40" i="1"/>
  <c r="Z40" i="1"/>
  <c r="AC40" i="1"/>
  <c r="W40" i="1"/>
  <c r="AD40" i="1"/>
  <c r="AE40" i="1"/>
  <c r="AG40" i="1"/>
  <c r="AK40" i="1"/>
  <c r="AL40" i="1"/>
  <c r="D43" i="113"/>
  <c r="E43" i="113"/>
  <c r="F43" i="113"/>
  <c r="G43" i="113"/>
  <c r="H43" i="113"/>
  <c r="L43" i="113"/>
  <c r="M43" i="113"/>
  <c r="I44" i="113"/>
  <c r="J44" i="113"/>
  <c r="K44" i="113"/>
  <c r="E43" i="25"/>
  <c r="H43" i="25"/>
  <c r="J43" i="25"/>
  <c r="S41" i="1"/>
  <c r="T41" i="1"/>
  <c r="U41" i="1"/>
  <c r="Z41" i="1"/>
  <c r="AC41" i="1"/>
  <c r="W41" i="1"/>
  <c r="AD41" i="1"/>
  <c r="AE41" i="1"/>
  <c r="AG41" i="1"/>
  <c r="AK41" i="1"/>
  <c r="AL41" i="1"/>
  <c r="D44" i="113"/>
  <c r="E44" i="113"/>
  <c r="F44" i="113"/>
  <c r="G44" i="113"/>
  <c r="H44" i="113"/>
  <c r="L44" i="113"/>
  <c r="M44" i="113"/>
  <c r="I45" i="113"/>
  <c r="J45" i="113"/>
  <c r="K45" i="113"/>
  <c r="E44" i="25"/>
  <c r="H44" i="25"/>
  <c r="J44" i="25"/>
  <c r="S42" i="1"/>
  <c r="T42" i="1"/>
  <c r="U42" i="1"/>
  <c r="Z42" i="1"/>
  <c r="AC42" i="1"/>
  <c r="W42" i="1"/>
  <c r="AD42" i="1"/>
  <c r="AE42" i="1"/>
  <c r="AG42" i="1"/>
  <c r="AK42" i="1"/>
  <c r="AL42" i="1"/>
  <c r="D45" i="113"/>
  <c r="E45" i="113"/>
  <c r="F45" i="113"/>
  <c r="G45" i="113"/>
  <c r="H45" i="113"/>
  <c r="L45" i="113"/>
  <c r="M45" i="113"/>
  <c r="I46" i="113"/>
  <c r="J46" i="113"/>
  <c r="K46" i="113"/>
  <c r="E45" i="25"/>
  <c r="H45" i="25"/>
  <c r="J45" i="25"/>
  <c r="S43" i="1"/>
  <c r="T43" i="1"/>
  <c r="U43" i="1"/>
  <c r="Z43" i="1"/>
  <c r="AC43" i="1"/>
  <c r="W43" i="1"/>
  <c r="AD43" i="1"/>
  <c r="AE43" i="1"/>
  <c r="AG43" i="1"/>
  <c r="AK43" i="1"/>
  <c r="AL43" i="1"/>
  <c r="D46" i="113"/>
  <c r="E46" i="113"/>
  <c r="F46" i="113"/>
  <c r="G46" i="113"/>
  <c r="H46" i="113"/>
  <c r="L46" i="113"/>
  <c r="M46" i="113"/>
  <c r="I47" i="113"/>
  <c r="J47" i="113"/>
  <c r="K47" i="113"/>
  <c r="E46" i="25"/>
  <c r="H46" i="25"/>
  <c r="J46" i="25"/>
  <c r="S44" i="1"/>
  <c r="T44" i="1"/>
  <c r="U44" i="1"/>
  <c r="Z44" i="1"/>
  <c r="AC44" i="1"/>
  <c r="W44" i="1"/>
  <c r="AD44" i="1"/>
  <c r="AE44" i="1"/>
  <c r="AG44" i="1"/>
  <c r="AK44" i="1"/>
  <c r="AL44" i="1"/>
  <c r="D47" i="113"/>
  <c r="E47" i="113"/>
  <c r="F47" i="113"/>
  <c r="G47" i="113"/>
  <c r="H47" i="113"/>
  <c r="L47" i="113"/>
  <c r="M47" i="113"/>
  <c r="I48" i="113"/>
  <c r="J48" i="113"/>
  <c r="K48" i="113"/>
  <c r="E47" i="25"/>
  <c r="H47" i="25"/>
  <c r="J47" i="25"/>
  <c r="S45" i="1"/>
  <c r="T45" i="1"/>
  <c r="U45" i="1"/>
  <c r="Z45" i="1"/>
  <c r="AC45" i="1"/>
  <c r="W45" i="1"/>
  <c r="AD45" i="1"/>
  <c r="AE45" i="1"/>
  <c r="AG45" i="1"/>
  <c r="AK45" i="1"/>
  <c r="AL45" i="1"/>
  <c r="D48" i="113"/>
  <c r="E48" i="113"/>
  <c r="F48" i="113"/>
  <c r="G48" i="113"/>
  <c r="H48" i="113"/>
  <c r="L48" i="113"/>
  <c r="M48" i="113"/>
  <c r="I49" i="113"/>
  <c r="J49" i="113"/>
  <c r="K49" i="113"/>
  <c r="E48" i="25"/>
  <c r="H48" i="25"/>
  <c r="J48" i="25"/>
  <c r="S46" i="1"/>
  <c r="T46" i="1"/>
  <c r="U46" i="1"/>
  <c r="Z46" i="1"/>
  <c r="AC46" i="1"/>
  <c r="W46" i="1"/>
  <c r="AD46" i="1"/>
  <c r="AE46" i="1"/>
  <c r="AG46" i="1"/>
  <c r="AK46" i="1"/>
  <c r="AL46" i="1"/>
  <c r="D49" i="113"/>
  <c r="E49" i="113"/>
  <c r="F49" i="113"/>
  <c r="G49" i="113"/>
  <c r="H49" i="113"/>
  <c r="L49" i="113"/>
  <c r="M49" i="113"/>
  <c r="I50" i="113"/>
  <c r="J50" i="113"/>
  <c r="K50" i="113"/>
  <c r="E49" i="25"/>
  <c r="H49" i="25"/>
  <c r="J49" i="25"/>
  <c r="S47" i="1"/>
  <c r="T47" i="1"/>
  <c r="U47" i="1"/>
  <c r="Z47" i="1"/>
  <c r="AC47" i="1"/>
  <c r="W47" i="1"/>
  <c r="AD47" i="1"/>
  <c r="AE47" i="1"/>
  <c r="AG47" i="1"/>
  <c r="AK47" i="1"/>
  <c r="AL47" i="1"/>
  <c r="D50" i="113"/>
  <c r="E50" i="113"/>
  <c r="F50" i="113"/>
  <c r="G50" i="113"/>
  <c r="H50" i="113"/>
  <c r="L50" i="113"/>
  <c r="M50" i="113"/>
  <c r="I51" i="113"/>
  <c r="J51" i="113"/>
  <c r="K51" i="113"/>
  <c r="E50" i="25"/>
  <c r="H50" i="25"/>
  <c r="J50" i="25"/>
  <c r="S48" i="1"/>
  <c r="T48" i="1"/>
  <c r="U48" i="1"/>
  <c r="Z48" i="1"/>
  <c r="AC48" i="1"/>
  <c r="W48" i="1"/>
  <c r="AD48" i="1"/>
  <c r="AE48" i="1"/>
  <c r="AG48" i="1"/>
  <c r="AK48" i="1"/>
  <c r="AL48" i="1"/>
  <c r="D51" i="113"/>
  <c r="E51" i="113"/>
  <c r="F51" i="113"/>
  <c r="G51" i="113"/>
  <c r="H51" i="113"/>
  <c r="L51" i="113"/>
  <c r="M51" i="113"/>
  <c r="I52" i="113"/>
  <c r="J52" i="113"/>
  <c r="K52" i="113"/>
  <c r="E51" i="25"/>
  <c r="H51" i="25"/>
  <c r="J51" i="25"/>
  <c r="S49" i="1"/>
  <c r="T49" i="1"/>
  <c r="U49" i="1"/>
  <c r="Z49" i="1"/>
  <c r="AC49" i="1"/>
  <c r="W49" i="1"/>
  <c r="AD49" i="1"/>
  <c r="AE49" i="1"/>
  <c r="AG49" i="1"/>
  <c r="AK49" i="1"/>
  <c r="AL49" i="1"/>
  <c r="D52" i="113"/>
  <c r="E52" i="113"/>
  <c r="F52" i="113"/>
  <c r="G52" i="113"/>
  <c r="H52" i="113"/>
  <c r="L52" i="113"/>
  <c r="M52" i="113"/>
  <c r="I53" i="113"/>
  <c r="J53" i="113"/>
  <c r="K53" i="113"/>
  <c r="E52" i="25"/>
  <c r="H52" i="25"/>
  <c r="J52" i="25"/>
  <c r="S50" i="1"/>
  <c r="T50" i="1"/>
  <c r="U50" i="1"/>
  <c r="Z50" i="1"/>
  <c r="AC50" i="1"/>
  <c r="W50" i="1"/>
  <c r="AD50" i="1"/>
  <c r="AE50" i="1"/>
  <c r="AG50" i="1"/>
  <c r="AK50" i="1"/>
  <c r="AL50" i="1"/>
  <c r="D53" i="113"/>
  <c r="E53" i="113"/>
  <c r="F53" i="113"/>
  <c r="G53" i="113"/>
  <c r="H53" i="113"/>
  <c r="L53" i="113"/>
  <c r="M53" i="113"/>
  <c r="I54" i="113"/>
  <c r="J54" i="113"/>
  <c r="K54" i="113"/>
  <c r="E53" i="25"/>
  <c r="H53" i="25"/>
  <c r="J53" i="25"/>
  <c r="S51" i="1"/>
  <c r="T51" i="1"/>
  <c r="U51" i="1"/>
  <c r="Z51" i="1"/>
  <c r="AC51" i="1"/>
  <c r="W51" i="1"/>
  <c r="AD51" i="1"/>
  <c r="AE51" i="1"/>
  <c r="AG51" i="1"/>
  <c r="AK51" i="1"/>
  <c r="AL51" i="1"/>
  <c r="D54" i="113"/>
  <c r="E54" i="113"/>
  <c r="F54" i="113"/>
  <c r="G54" i="113"/>
  <c r="H54" i="113"/>
  <c r="L54" i="113"/>
  <c r="M54" i="113"/>
  <c r="I55" i="113"/>
  <c r="J55" i="113"/>
  <c r="K55" i="113"/>
  <c r="E54" i="25"/>
  <c r="H54" i="25"/>
  <c r="J54" i="25"/>
  <c r="S52" i="1"/>
  <c r="T52" i="1"/>
  <c r="U52" i="1"/>
  <c r="Z52" i="1"/>
  <c r="AC52" i="1"/>
  <c r="W52" i="1"/>
  <c r="AD52" i="1"/>
  <c r="AE52" i="1"/>
  <c r="AG52" i="1"/>
  <c r="AK52" i="1"/>
  <c r="AL52" i="1"/>
  <c r="D55" i="113"/>
  <c r="E55" i="113"/>
  <c r="F55" i="113"/>
  <c r="G55" i="113"/>
  <c r="H55" i="113"/>
  <c r="L55" i="113"/>
  <c r="M55" i="113"/>
  <c r="I56" i="113"/>
  <c r="J56" i="113"/>
  <c r="K56" i="113"/>
  <c r="E55" i="25"/>
  <c r="H55" i="25"/>
  <c r="J55" i="25"/>
  <c r="S53" i="1"/>
  <c r="T53" i="1"/>
  <c r="U53" i="1"/>
  <c r="Z53" i="1"/>
  <c r="AC53" i="1"/>
  <c r="W53" i="1"/>
  <c r="AD53" i="1"/>
  <c r="AE53" i="1"/>
  <c r="AG53" i="1"/>
  <c r="AK53" i="1"/>
  <c r="AL53" i="1"/>
  <c r="D56" i="113"/>
  <c r="E56" i="113"/>
  <c r="F56" i="113"/>
  <c r="G56" i="113"/>
  <c r="H56" i="113"/>
  <c r="L56" i="113"/>
  <c r="M56" i="113"/>
  <c r="I57" i="113"/>
  <c r="J57" i="113"/>
  <c r="K57" i="113"/>
  <c r="E56" i="25"/>
  <c r="H56" i="25"/>
  <c r="J56" i="25"/>
  <c r="S54" i="1"/>
  <c r="T54" i="1"/>
  <c r="U54" i="1"/>
  <c r="Z54" i="1"/>
  <c r="AC54" i="1"/>
  <c r="W54" i="1"/>
  <c r="AD54" i="1"/>
  <c r="AE54" i="1"/>
  <c r="AG54" i="1"/>
  <c r="AK54" i="1"/>
  <c r="AL54" i="1"/>
  <c r="D57" i="113"/>
  <c r="E57" i="113"/>
  <c r="F57" i="113"/>
  <c r="G57" i="113"/>
  <c r="H57" i="113"/>
  <c r="L57" i="113"/>
  <c r="M57" i="113"/>
  <c r="I58" i="113"/>
  <c r="J58" i="113"/>
  <c r="K58" i="113"/>
  <c r="E57" i="25"/>
  <c r="H57" i="25"/>
  <c r="J57" i="25"/>
  <c r="S55" i="1"/>
  <c r="T55" i="1"/>
  <c r="U55" i="1"/>
  <c r="Z55" i="1"/>
  <c r="AC55" i="1"/>
  <c r="W55" i="1"/>
  <c r="AD55" i="1"/>
  <c r="AE55" i="1"/>
  <c r="AG55" i="1"/>
  <c r="AK55" i="1"/>
  <c r="AL55" i="1"/>
  <c r="D58" i="113"/>
  <c r="E58" i="113"/>
  <c r="F58" i="113"/>
  <c r="G58" i="113"/>
  <c r="H58" i="113"/>
  <c r="L58" i="113"/>
  <c r="M58" i="113"/>
  <c r="I59" i="113"/>
  <c r="J59" i="113"/>
  <c r="K59" i="113"/>
  <c r="E58" i="25"/>
  <c r="H58" i="25"/>
  <c r="J58" i="25"/>
  <c r="S56" i="1"/>
  <c r="T56" i="1"/>
  <c r="U56" i="1"/>
  <c r="Z56" i="1"/>
  <c r="AC56" i="1"/>
  <c r="W56" i="1"/>
  <c r="AD56" i="1"/>
  <c r="AE56" i="1"/>
  <c r="AG56" i="1"/>
  <c r="AK56" i="1"/>
  <c r="AL56" i="1"/>
  <c r="D59" i="113"/>
  <c r="E59" i="113"/>
  <c r="F59" i="113"/>
  <c r="G59" i="113"/>
  <c r="H59" i="113"/>
  <c r="L59" i="113"/>
  <c r="M59" i="113"/>
  <c r="I60" i="113"/>
  <c r="J60" i="113"/>
  <c r="K60" i="113"/>
  <c r="E59" i="25"/>
  <c r="H59" i="25"/>
  <c r="J59" i="25"/>
  <c r="S57" i="1"/>
  <c r="T57" i="1"/>
  <c r="U57" i="1"/>
  <c r="Z57" i="1"/>
  <c r="AC57" i="1"/>
  <c r="W57" i="1"/>
  <c r="AD57" i="1"/>
  <c r="AE57" i="1"/>
  <c r="AG57" i="1"/>
  <c r="AK57" i="1"/>
  <c r="AL57" i="1"/>
  <c r="D60" i="113"/>
  <c r="E60" i="113"/>
  <c r="F60" i="113"/>
  <c r="G60" i="113"/>
  <c r="H60" i="113"/>
  <c r="L60" i="113"/>
  <c r="M60" i="113"/>
  <c r="I61" i="113"/>
  <c r="J61" i="113"/>
  <c r="K61" i="113"/>
  <c r="E60" i="25"/>
  <c r="H60" i="25"/>
  <c r="J60" i="25"/>
  <c r="S58" i="1"/>
  <c r="T58" i="1"/>
  <c r="U58" i="1"/>
  <c r="Z58" i="1"/>
  <c r="AC58" i="1"/>
  <c r="W58" i="1"/>
  <c r="AD58" i="1"/>
  <c r="AE58" i="1"/>
  <c r="AG58" i="1"/>
  <c r="AK58" i="1"/>
  <c r="AL58" i="1"/>
  <c r="D61" i="113"/>
  <c r="E61" i="113"/>
  <c r="F61" i="113"/>
  <c r="G61" i="113"/>
  <c r="H61" i="113"/>
  <c r="L61" i="113"/>
  <c r="M61" i="113"/>
  <c r="I62" i="113"/>
  <c r="J62" i="113"/>
  <c r="K62" i="113"/>
  <c r="E61" i="25"/>
  <c r="H61" i="25"/>
  <c r="J61" i="25"/>
  <c r="S59" i="1"/>
  <c r="T59" i="1"/>
  <c r="U59" i="1"/>
  <c r="Z59" i="1"/>
  <c r="AC59" i="1"/>
  <c r="W59" i="1"/>
  <c r="AD59" i="1"/>
  <c r="AE59" i="1"/>
  <c r="AG59" i="1"/>
  <c r="AK59" i="1"/>
  <c r="AL59" i="1"/>
  <c r="D62" i="113"/>
  <c r="E62" i="113"/>
  <c r="F62" i="113"/>
  <c r="G62" i="113"/>
  <c r="H62" i="113"/>
  <c r="L62" i="113"/>
  <c r="M62" i="113"/>
  <c r="I63" i="113"/>
  <c r="J63" i="113"/>
  <c r="K63" i="113"/>
  <c r="E62" i="25"/>
  <c r="H62" i="25"/>
  <c r="J62" i="25"/>
  <c r="S60" i="1"/>
  <c r="T60" i="1"/>
  <c r="U60" i="1"/>
  <c r="Z60" i="1"/>
  <c r="AC60" i="1"/>
  <c r="W60" i="1"/>
  <c r="AD60" i="1"/>
  <c r="AE60" i="1"/>
  <c r="AG60" i="1"/>
  <c r="AK60" i="1"/>
  <c r="AL60" i="1"/>
  <c r="D63" i="113"/>
  <c r="E63" i="113"/>
  <c r="F63" i="113"/>
  <c r="G63" i="113"/>
  <c r="H63" i="113"/>
  <c r="L63" i="113"/>
  <c r="M63" i="113"/>
  <c r="I64" i="113"/>
  <c r="J64" i="113"/>
  <c r="K64" i="113"/>
  <c r="E63" i="25"/>
  <c r="H63" i="25"/>
  <c r="J63" i="25"/>
  <c r="S61" i="1"/>
  <c r="T61" i="1"/>
  <c r="U61" i="1"/>
  <c r="Z61" i="1"/>
  <c r="AC61" i="1"/>
  <c r="W61" i="1"/>
  <c r="AD61" i="1"/>
  <c r="AE61" i="1"/>
  <c r="AG61" i="1"/>
  <c r="AK61" i="1"/>
  <c r="AL61" i="1"/>
  <c r="D64" i="113"/>
  <c r="E64" i="113"/>
  <c r="F64" i="113"/>
  <c r="G64" i="113"/>
  <c r="H64" i="113"/>
  <c r="L64" i="113"/>
  <c r="M64" i="113"/>
  <c r="I65" i="113"/>
  <c r="J65" i="113"/>
  <c r="K65" i="113"/>
  <c r="E64" i="25"/>
  <c r="H64" i="25"/>
  <c r="J64" i="25"/>
  <c r="S62" i="1"/>
  <c r="T62" i="1"/>
  <c r="U62" i="1"/>
  <c r="Z62" i="1"/>
  <c r="AC62" i="1"/>
  <c r="W62" i="1"/>
  <c r="AD62" i="1"/>
  <c r="AE62" i="1"/>
  <c r="AG62" i="1"/>
  <c r="AK62" i="1"/>
  <c r="AL62" i="1"/>
  <c r="D65" i="113"/>
  <c r="E65" i="113"/>
  <c r="F65" i="113"/>
  <c r="G65" i="113"/>
  <c r="H65" i="113"/>
  <c r="L65" i="113"/>
  <c r="M65" i="113"/>
  <c r="I66" i="113"/>
  <c r="J66" i="113"/>
  <c r="K66" i="113"/>
  <c r="E65" i="25"/>
  <c r="H65" i="25"/>
  <c r="J65" i="25"/>
  <c r="S63" i="1"/>
  <c r="T63" i="1"/>
  <c r="U63" i="1"/>
  <c r="Z63" i="1"/>
  <c r="AC63" i="1"/>
  <c r="W63" i="1"/>
  <c r="AD63" i="1"/>
  <c r="AE63" i="1"/>
  <c r="AG63" i="1"/>
  <c r="AK63" i="1"/>
  <c r="AL63" i="1"/>
  <c r="D66" i="113"/>
  <c r="E66" i="113"/>
  <c r="F66" i="113"/>
  <c r="G66" i="113"/>
  <c r="H66" i="113"/>
  <c r="L66" i="113"/>
  <c r="M66" i="113"/>
  <c r="I67" i="113"/>
  <c r="J67" i="113"/>
  <c r="K67" i="113"/>
  <c r="E66" i="25"/>
  <c r="H66" i="25"/>
  <c r="J66" i="25"/>
  <c r="S64" i="1"/>
  <c r="T64" i="1"/>
  <c r="U64" i="1"/>
  <c r="Z64" i="1"/>
  <c r="AC64" i="1"/>
  <c r="W64" i="1"/>
  <c r="AD64" i="1"/>
  <c r="AE64" i="1"/>
  <c r="AG64" i="1"/>
  <c r="AK64" i="1"/>
  <c r="AL64" i="1"/>
  <c r="D67" i="113"/>
  <c r="E67" i="113"/>
  <c r="F67" i="113"/>
  <c r="G67" i="113"/>
  <c r="H67" i="113"/>
  <c r="L67" i="113"/>
  <c r="M67" i="113"/>
  <c r="I68" i="113"/>
  <c r="J68" i="113"/>
  <c r="K68" i="113"/>
  <c r="E67" i="25"/>
  <c r="H67" i="25"/>
  <c r="J67" i="25"/>
  <c r="S65" i="1"/>
  <c r="T65" i="1"/>
  <c r="U65" i="1"/>
  <c r="Z65" i="1"/>
  <c r="AC65" i="1"/>
  <c r="W65" i="1"/>
  <c r="AD65" i="1"/>
  <c r="AE65" i="1"/>
  <c r="AG65" i="1"/>
  <c r="AK65" i="1"/>
  <c r="AL65" i="1"/>
  <c r="D68" i="113"/>
  <c r="E68" i="113"/>
  <c r="F68" i="113"/>
  <c r="G68" i="113"/>
  <c r="H68" i="113"/>
  <c r="L68" i="113"/>
  <c r="M68" i="113"/>
  <c r="I69" i="113"/>
  <c r="J69" i="113"/>
  <c r="K69" i="113"/>
  <c r="E68" i="25"/>
  <c r="H68" i="25"/>
  <c r="J68" i="25"/>
  <c r="S66" i="1"/>
  <c r="T66" i="1"/>
  <c r="U66" i="1"/>
  <c r="Z66" i="1"/>
  <c r="AC66" i="1"/>
  <c r="W66" i="1"/>
  <c r="AD66" i="1"/>
  <c r="AE66" i="1"/>
  <c r="AG66" i="1"/>
  <c r="AK66" i="1"/>
  <c r="AL66" i="1"/>
  <c r="D69" i="113"/>
  <c r="E69" i="113"/>
  <c r="F69" i="113"/>
  <c r="G69" i="113"/>
  <c r="H69" i="113"/>
  <c r="L69" i="113"/>
  <c r="M69" i="113"/>
  <c r="I70" i="113"/>
  <c r="J70" i="113"/>
  <c r="K70" i="113"/>
  <c r="E69" i="25"/>
  <c r="H69" i="25"/>
  <c r="J69" i="25"/>
  <c r="S67" i="1"/>
  <c r="T67" i="1"/>
  <c r="U67" i="1"/>
  <c r="Z67" i="1"/>
  <c r="AC67" i="1"/>
  <c r="W67" i="1"/>
  <c r="AD67" i="1"/>
  <c r="AE67" i="1"/>
  <c r="AG67" i="1"/>
  <c r="AK67" i="1"/>
  <c r="AL67" i="1"/>
  <c r="D70" i="113"/>
  <c r="E70" i="113"/>
  <c r="F70" i="113"/>
  <c r="G70" i="113"/>
  <c r="H70" i="113"/>
  <c r="L70" i="113"/>
  <c r="M70" i="113"/>
  <c r="I71" i="113"/>
  <c r="J71" i="113"/>
  <c r="K71" i="113"/>
  <c r="E70" i="25"/>
  <c r="H70" i="25"/>
  <c r="J70" i="25"/>
  <c r="S68" i="1"/>
  <c r="T68" i="1"/>
  <c r="U68" i="1"/>
  <c r="Z68" i="1"/>
  <c r="AC68" i="1"/>
  <c r="W68" i="1"/>
  <c r="AD68" i="1"/>
  <c r="AE68" i="1"/>
  <c r="AG68" i="1"/>
  <c r="AK68" i="1"/>
  <c r="AL68" i="1"/>
  <c r="D71" i="113"/>
  <c r="E71" i="113"/>
  <c r="F71" i="113"/>
  <c r="G71" i="113"/>
  <c r="H71" i="113"/>
  <c r="L71" i="113"/>
  <c r="M71" i="113"/>
  <c r="I72" i="113"/>
  <c r="J72" i="113"/>
  <c r="K72" i="113"/>
  <c r="E71" i="25"/>
  <c r="H71" i="25"/>
  <c r="J71" i="25"/>
  <c r="S69" i="1"/>
  <c r="T69" i="1"/>
  <c r="U69" i="1"/>
  <c r="Z69" i="1"/>
  <c r="AC69" i="1"/>
  <c r="W69" i="1"/>
  <c r="AD69" i="1"/>
  <c r="AE69" i="1"/>
  <c r="AG69" i="1"/>
  <c r="AK69" i="1"/>
  <c r="AL69" i="1"/>
  <c r="D72" i="113"/>
  <c r="E72" i="113"/>
  <c r="F72" i="113"/>
  <c r="G72" i="113"/>
  <c r="H72" i="113"/>
  <c r="L72" i="113"/>
  <c r="M72" i="113"/>
  <c r="I73" i="113"/>
  <c r="J73" i="113"/>
  <c r="K73" i="113"/>
  <c r="E72" i="25"/>
  <c r="H72" i="25"/>
  <c r="J72" i="25"/>
  <c r="S70" i="1"/>
  <c r="T70" i="1"/>
  <c r="U70" i="1"/>
  <c r="Z70" i="1"/>
  <c r="AC70" i="1"/>
  <c r="W70" i="1"/>
  <c r="AD70" i="1"/>
  <c r="AE70" i="1"/>
  <c r="AG70" i="1"/>
  <c r="AK70" i="1"/>
  <c r="AL70" i="1"/>
  <c r="D73" i="113"/>
  <c r="E73" i="113"/>
  <c r="F73" i="113"/>
  <c r="G73" i="113"/>
  <c r="H73" i="113"/>
  <c r="L73" i="113"/>
  <c r="M73" i="113"/>
  <c r="I74" i="113"/>
  <c r="J74" i="113"/>
  <c r="K74" i="113"/>
  <c r="E73" i="25"/>
  <c r="H73" i="25"/>
  <c r="J73" i="25"/>
  <c r="S71" i="1"/>
  <c r="T71" i="1"/>
  <c r="U71" i="1"/>
  <c r="Z71" i="1"/>
  <c r="AC71" i="1"/>
  <c r="W71" i="1"/>
  <c r="AD71" i="1"/>
  <c r="AE71" i="1"/>
  <c r="AG71" i="1"/>
  <c r="AK71" i="1"/>
  <c r="AL71" i="1"/>
  <c r="D74" i="113"/>
  <c r="E74" i="113"/>
  <c r="F74" i="113"/>
  <c r="G74" i="113"/>
  <c r="H74" i="113"/>
  <c r="L74" i="113"/>
  <c r="M74" i="113"/>
  <c r="I75" i="113"/>
  <c r="J75" i="113"/>
  <c r="K75" i="113"/>
  <c r="E74" i="25"/>
  <c r="H74" i="25"/>
  <c r="J74" i="25"/>
  <c r="S72" i="1"/>
  <c r="T72" i="1"/>
  <c r="U72" i="1"/>
  <c r="Z72" i="1"/>
  <c r="AC72" i="1"/>
  <c r="W72" i="1"/>
  <c r="AD72" i="1"/>
  <c r="AE72" i="1"/>
  <c r="AG72" i="1"/>
  <c r="AK72" i="1"/>
  <c r="AL72" i="1"/>
  <c r="D75" i="113"/>
  <c r="E75" i="113"/>
  <c r="F75" i="113"/>
  <c r="G75" i="113"/>
  <c r="H75" i="113"/>
  <c r="L75" i="113"/>
  <c r="M75" i="113"/>
  <c r="M76" i="113"/>
  <c r="M82" i="113"/>
  <c r="M85" i="113"/>
  <c r="C7" i="114"/>
  <c r="U7" i="114"/>
  <c r="V7" i="114"/>
  <c r="W7" i="114"/>
  <c r="X7" i="114"/>
  <c r="Y7" i="114"/>
  <c r="Z7" i="114"/>
  <c r="AA7" i="114"/>
  <c r="AB7" i="114"/>
  <c r="AC7" i="114"/>
  <c r="AN7" i="114"/>
  <c r="AO7" i="114"/>
  <c r="C8" i="114"/>
  <c r="U8" i="114"/>
  <c r="V8" i="114"/>
  <c r="W8" i="114"/>
  <c r="X8" i="114"/>
  <c r="Y8" i="114"/>
  <c r="Z8" i="114"/>
  <c r="AA8" i="114"/>
  <c r="AB8" i="114"/>
  <c r="AC8" i="114"/>
  <c r="AN8" i="114"/>
  <c r="AO8" i="114"/>
  <c r="C9" i="114"/>
  <c r="U9" i="114"/>
  <c r="V9" i="114"/>
  <c r="W9" i="114"/>
  <c r="X9" i="114"/>
  <c r="Y9" i="114"/>
  <c r="Z9" i="114"/>
  <c r="AA9" i="114"/>
  <c r="AB9" i="114"/>
  <c r="AC9" i="114"/>
  <c r="AN9" i="114"/>
  <c r="AO9" i="114"/>
  <c r="C10" i="114"/>
  <c r="U10" i="114"/>
  <c r="V10" i="114"/>
  <c r="W10" i="114"/>
  <c r="X10" i="114"/>
  <c r="Y10" i="114"/>
  <c r="Z10" i="114"/>
  <c r="AA10" i="114"/>
  <c r="AB10" i="114"/>
  <c r="AC10" i="114"/>
  <c r="AN10" i="114"/>
  <c r="AO10" i="114"/>
  <c r="C11" i="114"/>
  <c r="U11" i="114"/>
  <c r="V11" i="114"/>
  <c r="W11" i="114"/>
  <c r="X11" i="114"/>
  <c r="Y11" i="114"/>
  <c r="Z11" i="114"/>
  <c r="AA11" i="114"/>
  <c r="AB11" i="114"/>
  <c r="AC11" i="114"/>
  <c r="AN11" i="114"/>
  <c r="AO11" i="114"/>
  <c r="C12" i="114"/>
  <c r="U12" i="114"/>
  <c r="V12" i="114"/>
  <c r="W12" i="114"/>
  <c r="X12" i="114"/>
  <c r="Y12" i="114"/>
  <c r="Z12" i="114"/>
  <c r="AA12" i="114"/>
  <c r="AB12" i="114"/>
  <c r="AC12" i="114"/>
  <c r="AN12" i="114"/>
  <c r="AO12" i="114"/>
  <c r="C13" i="114"/>
  <c r="U13" i="114"/>
  <c r="V13" i="114"/>
  <c r="W13" i="114"/>
  <c r="X13" i="114"/>
  <c r="Y13" i="114"/>
  <c r="Z13" i="114"/>
  <c r="AA13" i="114"/>
  <c r="AB13" i="114"/>
  <c r="AC13" i="114"/>
  <c r="AN13" i="114"/>
  <c r="AO13" i="114"/>
  <c r="C14" i="114"/>
  <c r="U14" i="114"/>
  <c r="V14" i="114"/>
  <c r="W14" i="114"/>
  <c r="X14" i="114"/>
  <c r="Y14" i="114"/>
  <c r="Z14" i="114"/>
  <c r="AA14" i="114"/>
  <c r="AB14" i="114"/>
  <c r="AC14" i="114"/>
  <c r="AN14" i="114"/>
  <c r="AO14" i="114"/>
  <c r="C15" i="114"/>
  <c r="U15" i="114"/>
  <c r="V15" i="114"/>
  <c r="W15" i="114"/>
  <c r="X15" i="114"/>
  <c r="Y15" i="114"/>
  <c r="Z15" i="114"/>
  <c r="AA15" i="114"/>
  <c r="AB15" i="114"/>
  <c r="AC15" i="114"/>
  <c r="AN15" i="114"/>
  <c r="AO15" i="114"/>
  <c r="C16" i="114"/>
  <c r="U16" i="114"/>
  <c r="V16" i="114"/>
  <c r="W16" i="114"/>
  <c r="X16" i="114"/>
  <c r="Y16" i="114"/>
  <c r="Z16" i="114"/>
  <c r="AA16" i="114"/>
  <c r="AB16" i="114"/>
  <c r="AC16" i="114"/>
  <c r="AN16" i="114"/>
  <c r="AO16" i="114"/>
  <c r="C17" i="114"/>
  <c r="U17" i="114"/>
  <c r="V17" i="114"/>
  <c r="W17" i="114"/>
  <c r="X17" i="114"/>
  <c r="Y17" i="114"/>
  <c r="Z17" i="114"/>
  <c r="AA17" i="114"/>
  <c r="AB17" i="114"/>
  <c r="AC17" i="114"/>
  <c r="AN17" i="114"/>
  <c r="AO17" i="114"/>
  <c r="C18" i="114"/>
  <c r="U18" i="114"/>
  <c r="V18" i="114"/>
  <c r="W18" i="114"/>
  <c r="X18" i="114"/>
  <c r="Y18" i="114"/>
  <c r="Z18" i="114"/>
  <c r="AA18" i="114"/>
  <c r="AB18" i="114"/>
  <c r="AC18" i="114"/>
  <c r="AN18" i="114"/>
  <c r="AO18" i="114"/>
  <c r="C19" i="114"/>
  <c r="U19" i="114"/>
  <c r="V19" i="114"/>
  <c r="W19" i="114"/>
  <c r="X19" i="114"/>
  <c r="Y19" i="114"/>
  <c r="Z19" i="114"/>
  <c r="AA19" i="114"/>
  <c r="AB19" i="114"/>
  <c r="AC19" i="114"/>
  <c r="AN19" i="114"/>
  <c r="AO19" i="114"/>
  <c r="C20" i="114"/>
  <c r="U20" i="114"/>
  <c r="V20" i="114"/>
  <c r="W20" i="114"/>
  <c r="X20" i="114"/>
  <c r="Y20" i="114"/>
  <c r="Z20" i="114"/>
  <c r="AA20" i="114"/>
  <c r="AB20" i="114"/>
  <c r="AC20" i="114"/>
  <c r="AN20" i="114"/>
  <c r="AO20" i="114"/>
  <c r="C21" i="114"/>
  <c r="U21" i="114"/>
  <c r="V21" i="114"/>
  <c r="W21" i="114"/>
  <c r="X21" i="114"/>
  <c r="Y21" i="114"/>
  <c r="Z21" i="114"/>
  <c r="AA21" i="114"/>
  <c r="AB21" i="114"/>
  <c r="AC21" i="114"/>
  <c r="AN21" i="114"/>
  <c r="AO21" i="114"/>
  <c r="C22" i="114"/>
  <c r="U22" i="114"/>
  <c r="V22" i="114"/>
  <c r="W22" i="114"/>
  <c r="X22" i="114"/>
  <c r="Y22" i="114"/>
  <c r="Z22" i="114"/>
  <c r="AA22" i="114"/>
  <c r="AB22" i="114"/>
  <c r="AC22" i="114"/>
  <c r="AN22" i="114"/>
  <c r="AO22" i="114"/>
  <c r="C23" i="114"/>
  <c r="U23" i="114"/>
  <c r="V23" i="114"/>
  <c r="W23" i="114"/>
  <c r="X23" i="114"/>
  <c r="Y23" i="114"/>
  <c r="Z23" i="114"/>
  <c r="AA23" i="114"/>
  <c r="AB23" i="114"/>
  <c r="AC23" i="114"/>
  <c r="AN23" i="114"/>
  <c r="AO23" i="114"/>
  <c r="C24" i="114"/>
  <c r="U24" i="114"/>
  <c r="V24" i="114"/>
  <c r="W24" i="114"/>
  <c r="X24" i="114"/>
  <c r="Y24" i="114"/>
  <c r="Z24" i="114"/>
  <c r="AA24" i="114"/>
  <c r="AB24" i="114"/>
  <c r="AC24" i="114"/>
  <c r="AN24" i="114"/>
  <c r="AO24" i="114"/>
  <c r="C25" i="114"/>
  <c r="U25" i="114"/>
  <c r="V25" i="114"/>
  <c r="W25" i="114"/>
  <c r="X25" i="114"/>
  <c r="Y25" i="114"/>
  <c r="Z25" i="114"/>
  <c r="AA25" i="114"/>
  <c r="AB25" i="114"/>
  <c r="AC25" i="114"/>
  <c r="AN25" i="114"/>
  <c r="AO25" i="114"/>
  <c r="C26" i="114"/>
  <c r="U26" i="114"/>
  <c r="V26" i="114"/>
  <c r="W26" i="114"/>
  <c r="X26" i="114"/>
  <c r="Y26" i="114"/>
  <c r="Z26" i="114"/>
  <c r="AA26" i="114"/>
  <c r="AB26" i="114"/>
  <c r="AC26" i="114"/>
  <c r="AN26" i="114"/>
  <c r="AO26" i="114"/>
  <c r="C27" i="114"/>
  <c r="U27" i="114"/>
  <c r="V27" i="114"/>
  <c r="W27" i="114"/>
  <c r="X27" i="114"/>
  <c r="Y27" i="114"/>
  <c r="Z27" i="114"/>
  <c r="AA27" i="114"/>
  <c r="AB27" i="114"/>
  <c r="AC27" i="114"/>
  <c r="AN27" i="114"/>
  <c r="AO27" i="114"/>
  <c r="C28" i="114"/>
  <c r="U28" i="114"/>
  <c r="V28" i="114"/>
  <c r="W28" i="114"/>
  <c r="X28" i="114"/>
  <c r="Y28" i="114"/>
  <c r="Z28" i="114"/>
  <c r="AA28" i="114"/>
  <c r="AB28" i="114"/>
  <c r="AC28" i="114"/>
  <c r="AN28" i="114"/>
  <c r="AO28" i="114"/>
  <c r="C29" i="114"/>
  <c r="U29" i="114"/>
  <c r="V29" i="114"/>
  <c r="W29" i="114"/>
  <c r="X29" i="114"/>
  <c r="Y29" i="114"/>
  <c r="Z29" i="114"/>
  <c r="AA29" i="114"/>
  <c r="AB29" i="114"/>
  <c r="AC29" i="114"/>
  <c r="AN29" i="114"/>
  <c r="AO29" i="114"/>
  <c r="C30" i="114"/>
  <c r="U30" i="114"/>
  <c r="V30" i="114"/>
  <c r="W30" i="114"/>
  <c r="X30" i="114"/>
  <c r="Y30" i="114"/>
  <c r="Z30" i="114"/>
  <c r="AA30" i="114"/>
  <c r="AB30" i="114"/>
  <c r="AC30" i="114"/>
  <c r="AN30" i="114"/>
  <c r="AO30" i="114"/>
  <c r="C31" i="114"/>
  <c r="U31" i="114"/>
  <c r="V31" i="114"/>
  <c r="W31" i="114"/>
  <c r="X31" i="114"/>
  <c r="Y31" i="114"/>
  <c r="Z31" i="114"/>
  <c r="AA31" i="114"/>
  <c r="AB31" i="114"/>
  <c r="AC31" i="114"/>
  <c r="AN31" i="114"/>
  <c r="AO31" i="114"/>
  <c r="C32" i="114"/>
  <c r="U32" i="114"/>
  <c r="V32" i="114"/>
  <c r="W32" i="114"/>
  <c r="X32" i="114"/>
  <c r="Y32" i="114"/>
  <c r="Z32" i="114"/>
  <c r="AA32" i="114"/>
  <c r="AB32" i="114"/>
  <c r="AC32" i="114"/>
  <c r="AN32" i="114"/>
  <c r="AO32" i="114"/>
  <c r="C33" i="114"/>
  <c r="U33" i="114"/>
  <c r="V33" i="114"/>
  <c r="W33" i="114"/>
  <c r="X33" i="114"/>
  <c r="Y33" i="114"/>
  <c r="Z33" i="114"/>
  <c r="AA33" i="114"/>
  <c r="AB33" i="114"/>
  <c r="AC33" i="114"/>
  <c r="AN33" i="114"/>
  <c r="AO33" i="114"/>
  <c r="C34" i="114"/>
  <c r="U34" i="114"/>
  <c r="V34" i="114"/>
  <c r="W34" i="114"/>
  <c r="X34" i="114"/>
  <c r="Y34" i="114"/>
  <c r="Z34" i="114"/>
  <c r="AA34" i="114"/>
  <c r="AB34" i="114"/>
  <c r="AC34" i="114"/>
  <c r="AN34" i="114"/>
  <c r="AO34" i="114"/>
  <c r="C35" i="114"/>
  <c r="U35" i="114"/>
  <c r="V35" i="114"/>
  <c r="W35" i="114"/>
  <c r="X35" i="114"/>
  <c r="Y35" i="114"/>
  <c r="Z35" i="114"/>
  <c r="AA35" i="114"/>
  <c r="AB35" i="114"/>
  <c r="AC35" i="114"/>
  <c r="AN35" i="114"/>
  <c r="AO35" i="114"/>
  <c r="C36" i="114"/>
  <c r="U36" i="114"/>
  <c r="V36" i="114"/>
  <c r="W36" i="114"/>
  <c r="X36" i="114"/>
  <c r="Y36" i="114"/>
  <c r="Z36" i="114"/>
  <c r="AA36" i="114"/>
  <c r="AB36" i="114"/>
  <c r="AC36" i="114"/>
  <c r="AN36" i="114"/>
  <c r="AO36" i="114"/>
  <c r="C37" i="114"/>
  <c r="U37" i="114"/>
  <c r="V37" i="114"/>
  <c r="W37" i="114"/>
  <c r="X37" i="114"/>
  <c r="Y37" i="114"/>
  <c r="Z37" i="114"/>
  <c r="AA37" i="114"/>
  <c r="AB37" i="114"/>
  <c r="AC37" i="114"/>
  <c r="AN37" i="114"/>
  <c r="AO37" i="114"/>
  <c r="C38" i="114"/>
  <c r="U38" i="114"/>
  <c r="V38" i="114"/>
  <c r="W38" i="114"/>
  <c r="X38" i="114"/>
  <c r="Y38" i="114"/>
  <c r="Z38" i="114"/>
  <c r="AA38" i="114"/>
  <c r="AB38" i="114"/>
  <c r="AC38" i="114"/>
  <c r="AN38" i="114"/>
  <c r="AO38" i="114"/>
  <c r="C39" i="114"/>
  <c r="U39" i="114"/>
  <c r="V39" i="114"/>
  <c r="W39" i="114"/>
  <c r="X39" i="114"/>
  <c r="Y39" i="114"/>
  <c r="Z39" i="114"/>
  <c r="AA39" i="114"/>
  <c r="AB39" i="114"/>
  <c r="AC39" i="114"/>
  <c r="AN39" i="114"/>
  <c r="AO39" i="114"/>
  <c r="C40" i="114"/>
  <c r="U40" i="114"/>
  <c r="V40" i="114"/>
  <c r="W40" i="114"/>
  <c r="X40" i="114"/>
  <c r="Y40" i="114"/>
  <c r="Z40" i="114"/>
  <c r="AA40" i="114"/>
  <c r="AB40" i="114"/>
  <c r="AC40" i="114"/>
  <c r="AN40" i="114"/>
  <c r="AO40" i="114"/>
  <c r="C41" i="114"/>
  <c r="U41" i="114"/>
  <c r="V41" i="114"/>
  <c r="W41" i="114"/>
  <c r="X41" i="114"/>
  <c r="Y41" i="114"/>
  <c r="Z41" i="114"/>
  <c r="AA41" i="114"/>
  <c r="AB41" i="114"/>
  <c r="AC41" i="114"/>
  <c r="AN41" i="114"/>
  <c r="AO41" i="114"/>
  <c r="C42" i="114"/>
  <c r="U42" i="114"/>
  <c r="V42" i="114"/>
  <c r="W42" i="114"/>
  <c r="X42" i="114"/>
  <c r="Y42" i="114"/>
  <c r="Z42" i="114"/>
  <c r="AA42" i="114"/>
  <c r="AB42" i="114"/>
  <c r="AC42" i="114"/>
  <c r="AN42" i="114"/>
  <c r="AO42" i="114"/>
  <c r="C43" i="114"/>
  <c r="U43" i="114"/>
  <c r="V43" i="114"/>
  <c r="W43" i="114"/>
  <c r="X43" i="114"/>
  <c r="Y43" i="114"/>
  <c r="Z43" i="114"/>
  <c r="AA43" i="114"/>
  <c r="AB43" i="114"/>
  <c r="AC43" i="114"/>
  <c r="AN43" i="114"/>
  <c r="AO43" i="114"/>
  <c r="C44" i="114"/>
  <c r="U44" i="114"/>
  <c r="V44" i="114"/>
  <c r="W44" i="114"/>
  <c r="X44" i="114"/>
  <c r="Y44" i="114"/>
  <c r="Z44" i="114"/>
  <c r="AA44" i="114"/>
  <c r="AB44" i="114"/>
  <c r="AC44" i="114"/>
  <c r="AN44" i="114"/>
  <c r="AO44" i="114"/>
  <c r="C45" i="114"/>
  <c r="U45" i="114"/>
  <c r="V45" i="114"/>
  <c r="W45" i="114"/>
  <c r="X45" i="114"/>
  <c r="Y45" i="114"/>
  <c r="Z45" i="114"/>
  <c r="AA45" i="114"/>
  <c r="AB45" i="114"/>
  <c r="AC45" i="114"/>
  <c r="AN45" i="114"/>
  <c r="AO45" i="114"/>
  <c r="C46" i="114"/>
  <c r="U46" i="114"/>
  <c r="V46" i="114"/>
  <c r="W46" i="114"/>
  <c r="X46" i="114"/>
  <c r="Y46" i="114"/>
  <c r="Z46" i="114"/>
  <c r="AA46" i="114"/>
  <c r="AB46" i="114"/>
  <c r="AC46" i="114"/>
  <c r="AN46" i="114"/>
  <c r="AO46" i="114"/>
  <c r="C47" i="114"/>
  <c r="U47" i="114"/>
  <c r="V47" i="114"/>
  <c r="W47" i="114"/>
  <c r="X47" i="114"/>
  <c r="Y47" i="114"/>
  <c r="Z47" i="114"/>
  <c r="AA47" i="114"/>
  <c r="AB47" i="114"/>
  <c r="AC47" i="114"/>
  <c r="AN47" i="114"/>
  <c r="AO47" i="114"/>
  <c r="C48" i="114"/>
  <c r="U48" i="114"/>
  <c r="V48" i="114"/>
  <c r="W48" i="114"/>
  <c r="X48" i="114"/>
  <c r="Y48" i="114"/>
  <c r="Z48" i="114"/>
  <c r="AA48" i="114"/>
  <c r="AB48" i="114"/>
  <c r="AC48" i="114"/>
  <c r="AN48" i="114"/>
  <c r="AO48" i="114"/>
  <c r="C49" i="114"/>
  <c r="U49" i="114"/>
  <c r="V49" i="114"/>
  <c r="W49" i="114"/>
  <c r="X49" i="114"/>
  <c r="Y49" i="114"/>
  <c r="Z49" i="114"/>
  <c r="AA49" i="114"/>
  <c r="AB49" i="114"/>
  <c r="AC49" i="114"/>
  <c r="AN49" i="114"/>
  <c r="AO49" i="114"/>
  <c r="C50" i="114"/>
  <c r="U50" i="114"/>
  <c r="V50" i="114"/>
  <c r="W50" i="114"/>
  <c r="X50" i="114"/>
  <c r="Y50" i="114"/>
  <c r="Z50" i="114"/>
  <c r="AA50" i="114"/>
  <c r="AB50" i="114"/>
  <c r="AC50" i="114"/>
  <c r="AN50" i="114"/>
  <c r="AO50" i="114"/>
  <c r="C51" i="114"/>
  <c r="U51" i="114"/>
  <c r="V51" i="114"/>
  <c r="W51" i="114"/>
  <c r="X51" i="114"/>
  <c r="Y51" i="114"/>
  <c r="Z51" i="114"/>
  <c r="AA51" i="114"/>
  <c r="AB51" i="114"/>
  <c r="AC51" i="114"/>
  <c r="AN51" i="114"/>
  <c r="AO51" i="114"/>
  <c r="C52" i="114"/>
  <c r="U52" i="114"/>
  <c r="V52" i="114"/>
  <c r="W52" i="114"/>
  <c r="X52" i="114"/>
  <c r="Y52" i="114"/>
  <c r="Z52" i="114"/>
  <c r="AA52" i="114"/>
  <c r="AB52" i="114"/>
  <c r="AC52" i="114"/>
  <c r="AN52" i="114"/>
  <c r="AO52" i="114"/>
  <c r="C53" i="114"/>
  <c r="U53" i="114"/>
  <c r="V53" i="114"/>
  <c r="W53" i="114"/>
  <c r="X53" i="114"/>
  <c r="Y53" i="114"/>
  <c r="Z53" i="114"/>
  <c r="AA53" i="114"/>
  <c r="AB53" i="114"/>
  <c r="AC53" i="114"/>
  <c r="AN53" i="114"/>
  <c r="AO53" i="114"/>
  <c r="C54" i="114"/>
  <c r="U54" i="114"/>
  <c r="V54" i="114"/>
  <c r="W54" i="114"/>
  <c r="X54" i="114"/>
  <c r="Y54" i="114"/>
  <c r="Z54" i="114"/>
  <c r="AA54" i="114"/>
  <c r="AB54" i="114"/>
  <c r="AC54" i="114"/>
  <c r="AN54" i="114"/>
  <c r="AO54" i="114"/>
  <c r="C55" i="114"/>
  <c r="U55" i="114"/>
  <c r="V55" i="114"/>
  <c r="W55" i="114"/>
  <c r="X55" i="114"/>
  <c r="Y55" i="114"/>
  <c r="Z55" i="114"/>
  <c r="AA55" i="114"/>
  <c r="AB55" i="114"/>
  <c r="AC55" i="114"/>
  <c r="AN55" i="114"/>
  <c r="AO55" i="114"/>
  <c r="C56" i="114"/>
  <c r="U56" i="114"/>
  <c r="V56" i="114"/>
  <c r="W56" i="114"/>
  <c r="X56" i="114"/>
  <c r="Y56" i="114"/>
  <c r="Z56" i="114"/>
  <c r="AA56" i="114"/>
  <c r="AB56" i="114"/>
  <c r="AC56" i="114"/>
  <c r="AN56" i="114"/>
  <c r="AO56" i="114"/>
  <c r="C57" i="114"/>
  <c r="U57" i="114"/>
  <c r="V57" i="114"/>
  <c r="W57" i="114"/>
  <c r="X57" i="114"/>
  <c r="Y57" i="114"/>
  <c r="Z57" i="114"/>
  <c r="AA57" i="114"/>
  <c r="AB57" i="114"/>
  <c r="AC57" i="114"/>
  <c r="AN57" i="114"/>
  <c r="AO57" i="114"/>
  <c r="C58" i="114"/>
  <c r="U58" i="114"/>
  <c r="V58" i="114"/>
  <c r="W58" i="114"/>
  <c r="X58" i="114"/>
  <c r="Y58" i="114"/>
  <c r="Z58" i="114"/>
  <c r="AA58" i="114"/>
  <c r="AB58" i="114"/>
  <c r="AC58" i="114"/>
  <c r="AN58" i="114"/>
  <c r="AO58" i="114"/>
  <c r="C59" i="114"/>
  <c r="U59" i="114"/>
  <c r="V59" i="114"/>
  <c r="W59" i="114"/>
  <c r="X59" i="114"/>
  <c r="Y59" i="114"/>
  <c r="Z59" i="114"/>
  <c r="AA59" i="114"/>
  <c r="AB59" i="114"/>
  <c r="AC59" i="114"/>
  <c r="AN59" i="114"/>
  <c r="AO59" i="114"/>
  <c r="C60" i="114"/>
  <c r="U60" i="114"/>
  <c r="V60" i="114"/>
  <c r="W60" i="114"/>
  <c r="X60" i="114"/>
  <c r="Y60" i="114"/>
  <c r="Z60" i="114"/>
  <c r="AA60" i="114"/>
  <c r="AB60" i="114"/>
  <c r="AC60" i="114"/>
  <c r="AN60" i="114"/>
  <c r="AO60" i="114"/>
  <c r="C61" i="114"/>
  <c r="U61" i="114"/>
  <c r="V61" i="114"/>
  <c r="W61" i="114"/>
  <c r="X61" i="114"/>
  <c r="Y61" i="114"/>
  <c r="Z61" i="114"/>
  <c r="AA61" i="114"/>
  <c r="AB61" i="114"/>
  <c r="AC61" i="114"/>
  <c r="AN61" i="114"/>
  <c r="AO61" i="114"/>
  <c r="C62" i="114"/>
  <c r="U62" i="114"/>
  <c r="V62" i="114"/>
  <c r="W62" i="114"/>
  <c r="X62" i="114"/>
  <c r="Y62" i="114"/>
  <c r="Z62" i="114"/>
  <c r="AA62" i="114"/>
  <c r="AB62" i="114"/>
  <c r="AC62" i="114"/>
  <c r="AN62" i="114"/>
  <c r="AO62" i="114"/>
  <c r="C63" i="114"/>
  <c r="U63" i="114"/>
  <c r="V63" i="114"/>
  <c r="W63" i="114"/>
  <c r="X63" i="114"/>
  <c r="Y63" i="114"/>
  <c r="Z63" i="114"/>
  <c r="AA63" i="114"/>
  <c r="AB63" i="114"/>
  <c r="AC63" i="114"/>
  <c r="AN63" i="114"/>
  <c r="AO63" i="114"/>
  <c r="C64" i="114"/>
  <c r="U64" i="114"/>
  <c r="V64" i="114"/>
  <c r="W64" i="114"/>
  <c r="X64" i="114"/>
  <c r="Y64" i="114"/>
  <c r="Z64" i="114"/>
  <c r="AA64" i="114"/>
  <c r="AB64" i="114"/>
  <c r="AC64" i="114"/>
  <c r="AN64" i="114"/>
  <c r="AO64" i="114"/>
  <c r="C65" i="114"/>
  <c r="U65" i="114"/>
  <c r="V65" i="114"/>
  <c r="W65" i="114"/>
  <c r="X65" i="114"/>
  <c r="Y65" i="114"/>
  <c r="Z65" i="114"/>
  <c r="AA65" i="114"/>
  <c r="AB65" i="114"/>
  <c r="AC65" i="114"/>
  <c r="AN65" i="114"/>
  <c r="AO65" i="114"/>
  <c r="C66" i="114"/>
  <c r="U66" i="114"/>
  <c r="V66" i="114"/>
  <c r="W66" i="114"/>
  <c r="X66" i="114"/>
  <c r="Y66" i="114"/>
  <c r="Z66" i="114"/>
  <c r="AA66" i="114"/>
  <c r="AB66" i="114"/>
  <c r="AC66" i="114"/>
  <c r="AN66" i="114"/>
  <c r="AO66" i="114"/>
  <c r="C67" i="114"/>
  <c r="U67" i="114"/>
  <c r="V67" i="114"/>
  <c r="W67" i="114"/>
  <c r="X67" i="114"/>
  <c r="Y67" i="114"/>
  <c r="Z67" i="114"/>
  <c r="AA67" i="114"/>
  <c r="AB67" i="114"/>
  <c r="AC67" i="114"/>
  <c r="AN67" i="114"/>
  <c r="AO67" i="114"/>
  <c r="C68" i="114"/>
  <c r="U68" i="114"/>
  <c r="V68" i="114"/>
  <c r="W68" i="114"/>
  <c r="X68" i="114"/>
  <c r="Y68" i="114"/>
  <c r="Z68" i="114"/>
  <c r="AA68" i="114"/>
  <c r="AB68" i="114"/>
  <c r="AC68" i="114"/>
  <c r="AN68" i="114"/>
  <c r="AO68" i="114"/>
  <c r="C69" i="114"/>
  <c r="U69" i="114"/>
  <c r="V69" i="114"/>
  <c r="W69" i="114"/>
  <c r="X69" i="114"/>
  <c r="Y69" i="114"/>
  <c r="Z69" i="114"/>
  <c r="AA69" i="114"/>
  <c r="AB69" i="114"/>
  <c r="AC69" i="114"/>
  <c r="AN69" i="114"/>
  <c r="AO69" i="114"/>
  <c r="C70" i="114"/>
  <c r="U70" i="114"/>
  <c r="V70" i="114"/>
  <c r="W70" i="114"/>
  <c r="X70" i="114"/>
  <c r="Y70" i="114"/>
  <c r="Z70" i="114"/>
  <c r="AA70" i="114"/>
  <c r="AB70" i="114"/>
  <c r="AC70" i="114"/>
  <c r="AN70" i="114"/>
  <c r="AO70" i="114"/>
  <c r="C71" i="114"/>
  <c r="U71" i="114"/>
  <c r="V71" i="114"/>
  <c r="W71" i="114"/>
  <c r="X71" i="114"/>
  <c r="Y71" i="114"/>
  <c r="Z71" i="114"/>
  <c r="AA71" i="114"/>
  <c r="AB71" i="114"/>
  <c r="AC71" i="114"/>
  <c r="AN71" i="114"/>
  <c r="AO71" i="114"/>
  <c r="C72" i="114"/>
  <c r="U72" i="114"/>
  <c r="V72" i="114"/>
  <c r="W72" i="114"/>
  <c r="X72" i="114"/>
  <c r="Y72" i="114"/>
  <c r="Z72" i="114"/>
  <c r="AA72" i="114"/>
  <c r="AB72" i="114"/>
  <c r="AC72" i="114"/>
  <c r="AN72" i="114"/>
  <c r="AO72" i="114"/>
  <c r="C73" i="114"/>
  <c r="U73" i="114"/>
  <c r="V73" i="114"/>
  <c r="W73" i="114"/>
  <c r="X73" i="114"/>
  <c r="Y73" i="114"/>
  <c r="Z73" i="114"/>
  <c r="AA73" i="114"/>
  <c r="AB73" i="114"/>
  <c r="AC73" i="114"/>
  <c r="AN73" i="114"/>
  <c r="AO73" i="114"/>
  <c r="C74" i="114"/>
  <c r="U74" i="114"/>
  <c r="V74" i="114"/>
  <c r="W74" i="114"/>
  <c r="X74" i="114"/>
  <c r="Y74" i="114"/>
  <c r="Z74" i="114"/>
  <c r="AA74" i="114"/>
  <c r="AB74" i="114"/>
  <c r="AC74" i="114"/>
  <c r="AN74" i="114"/>
  <c r="AO74" i="114"/>
  <c r="C75" i="114"/>
  <c r="U75" i="114"/>
  <c r="V75" i="114"/>
  <c r="W75" i="114"/>
  <c r="X75" i="114"/>
  <c r="Y75" i="114"/>
  <c r="Z75" i="114"/>
  <c r="AA75" i="114"/>
  <c r="AB75" i="114"/>
  <c r="AC75" i="114"/>
  <c r="AN75" i="114"/>
  <c r="AO75" i="114"/>
  <c r="AN76" i="114"/>
  <c r="AO76" i="114"/>
  <c r="AM77" i="114"/>
  <c r="AN77" i="114"/>
  <c r="AO77" i="114"/>
  <c r="D7" i="114"/>
  <c r="E7" i="114"/>
  <c r="F7" i="114"/>
  <c r="G7" i="114"/>
  <c r="H7" i="114"/>
  <c r="I7" i="114"/>
  <c r="J7" i="114"/>
  <c r="K7" i="114"/>
  <c r="L7" i="114"/>
  <c r="M7" i="114"/>
  <c r="D8" i="114"/>
  <c r="E8" i="114"/>
  <c r="F8" i="114"/>
  <c r="G8" i="114"/>
  <c r="H8" i="114"/>
  <c r="I8" i="114"/>
  <c r="J8" i="114"/>
  <c r="K8" i="114"/>
  <c r="L8" i="114"/>
  <c r="M8" i="114"/>
  <c r="D9" i="114"/>
  <c r="E9" i="114"/>
  <c r="F9" i="114"/>
  <c r="G9" i="114"/>
  <c r="H9" i="114"/>
  <c r="I9" i="114"/>
  <c r="J9" i="114"/>
  <c r="K9" i="114"/>
  <c r="L9" i="114"/>
  <c r="M9" i="114"/>
  <c r="D10" i="114"/>
  <c r="E10" i="114"/>
  <c r="F10" i="114"/>
  <c r="G10" i="114"/>
  <c r="H10" i="114"/>
  <c r="I10" i="114"/>
  <c r="J10" i="114"/>
  <c r="K10" i="114"/>
  <c r="L10" i="114"/>
  <c r="M10" i="114"/>
  <c r="D11" i="114"/>
  <c r="E11" i="114"/>
  <c r="F11" i="114"/>
  <c r="G11" i="114"/>
  <c r="H11" i="114"/>
  <c r="I11" i="114"/>
  <c r="J11" i="114"/>
  <c r="K11" i="114"/>
  <c r="L11" i="114"/>
  <c r="M11" i="114"/>
  <c r="D12" i="114"/>
  <c r="E12" i="114"/>
  <c r="F12" i="114"/>
  <c r="G12" i="114"/>
  <c r="H12" i="114"/>
  <c r="I12" i="114"/>
  <c r="J12" i="114"/>
  <c r="K12" i="114"/>
  <c r="L12" i="114"/>
  <c r="M12" i="114"/>
  <c r="D13" i="114"/>
  <c r="E13" i="114"/>
  <c r="F13" i="114"/>
  <c r="G13" i="114"/>
  <c r="H13" i="114"/>
  <c r="I13" i="114"/>
  <c r="J13" i="114"/>
  <c r="K13" i="114"/>
  <c r="L13" i="114"/>
  <c r="M13" i="114"/>
  <c r="D14" i="114"/>
  <c r="E14" i="114"/>
  <c r="F14" i="114"/>
  <c r="G14" i="114"/>
  <c r="H14" i="114"/>
  <c r="I14" i="114"/>
  <c r="J14" i="114"/>
  <c r="K14" i="114"/>
  <c r="L14" i="114"/>
  <c r="M14" i="114"/>
  <c r="D15" i="114"/>
  <c r="E15" i="114"/>
  <c r="F15" i="114"/>
  <c r="G15" i="114"/>
  <c r="H15" i="114"/>
  <c r="I15" i="114"/>
  <c r="J15" i="114"/>
  <c r="K15" i="114"/>
  <c r="L15" i="114"/>
  <c r="M15" i="114"/>
  <c r="D16" i="114"/>
  <c r="E16" i="114"/>
  <c r="F16" i="114"/>
  <c r="G16" i="114"/>
  <c r="H16" i="114"/>
  <c r="I16" i="114"/>
  <c r="J16" i="114"/>
  <c r="K16" i="114"/>
  <c r="L16" i="114"/>
  <c r="M16" i="114"/>
  <c r="D17" i="114"/>
  <c r="E17" i="114"/>
  <c r="F17" i="114"/>
  <c r="G17" i="114"/>
  <c r="H17" i="114"/>
  <c r="I17" i="114"/>
  <c r="J17" i="114"/>
  <c r="K17" i="114"/>
  <c r="L17" i="114"/>
  <c r="M17" i="114"/>
  <c r="D18" i="114"/>
  <c r="E18" i="114"/>
  <c r="F18" i="114"/>
  <c r="G18" i="114"/>
  <c r="H18" i="114"/>
  <c r="I18" i="114"/>
  <c r="J18" i="114"/>
  <c r="K18" i="114"/>
  <c r="L18" i="114"/>
  <c r="M18" i="114"/>
  <c r="D19" i="114"/>
  <c r="E19" i="114"/>
  <c r="F19" i="114"/>
  <c r="G19" i="114"/>
  <c r="H19" i="114"/>
  <c r="I19" i="114"/>
  <c r="J19" i="114"/>
  <c r="K19" i="114"/>
  <c r="L19" i="114"/>
  <c r="M19" i="114"/>
  <c r="D20" i="114"/>
  <c r="E20" i="114"/>
  <c r="F20" i="114"/>
  <c r="G20" i="114"/>
  <c r="H20" i="114"/>
  <c r="I20" i="114"/>
  <c r="J20" i="114"/>
  <c r="K20" i="114"/>
  <c r="L20" i="114"/>
  <c r="M20" i="114"/>
  <c r="D21" i="114"/>
  <c r="E21" i="114"/>
  <c r="F21" i="114"/>
  <c r="G21" i="114"/>
  <c r="H21" i="114"/>
  <c r="I21" i="114"/>
  <c r="J21" i="114"/>
  <c r="K21" i="114"/>
  <c r="L21" i="114"/>
  <c r="M21" i="114"/>
  <c r="D22" i="114"/>
  <c r="E22" i="114"/>
  <c r="F22" i="114"/>
  <c r="G22" i="114"/>
  <c r="H22" i="114"/>
  <c r="I22" i="114"/>
  <c r="J22" i="114"/>
  <c r="K22" i="114"/>
  <c r="L22" i="114"/>
  <c r="M22" i="114"/>
  <c r="D23" i="114"/>
  <c r="E23" i="114"/>
  <c r="F23" i="114"/>
  <c r="G23" i="114"/>
  <c r="H23" i="114"/>
  <c r="I23" i="114"/>
  <c r="J23" i="114"/>
  <c r="K23" i="114"/>
  <c r="L23" i="114"/>
  <c r="M23" i="114"/>
  <c r="D24" i="114"/>
  <c r="E24" i="114"/>
  <c r="F24" i="114"/>
  <c r="G24" i="114"/>
  <c r="H24" i="114"/>
  <c r="I24" i="114"/>
  <c r="J24" i="114"/>
  <c r="K24" i="114"/>
  <c r="L24" i="114"/>
  <c r="M24" i="114"/>
  <c r="D25" i="114"/>
  <c r="E25" i="114"/>
  <c r="F25" i="114"/>
  <c r="G25" i="114"/>
  <c r="H25" i="114"/>
  <c r="I25" i="114"/>
  <c r="J25" i="114"/>
  <c r="K25" i="114"/>
  <c r="L25" i="114"/>
  <c r="M25" i="114"/>
  <c r="D26" i="114"/>
  <c r="E26" i="114"/>
  <c r="F26" i="114"/>
  <c r="G26" i="114"/>
  <c r="H26" i="114"/>
  <c r="I26" i="114"/>
  <c r="J26" i="114"/>
  <c r="K26" i="114"/>
  <c r="L26" i="114"/>
  <c r="M26" i="114"/>
  <c r="D27" i="114"/>
  <c r="E27" i="114"/>
  <c r="F27" i="114"/>
  <c r="G27" i="114"/>
  <c r="H27" i="114"/>
  <c r="I27" i="114"/>
  <c r="J27" i="114"/>
  <c r="K27" i="114"/>
  <c r="L27" i="114"/>
  <c r="M27" i="114"/>
  <c r="D28" i="114"/>
  <c r="E28" i="114"/>
  <c r="F28" i="114"/>
  <c r="G28" i="114"/>
  <c r="H28" i="114"/>
  <c r="I28" i="114"/>
  <c r="J28" i="114"/>
  <c r="K28" i="114"/>
  <c r="L28" i="114"/>
  <c r="M28" i="114"/>
  <c r="D29" i="114"/>
  <c r="E29" i="114"/>
  <c r="F29" i="114"/>
  <c r="G29" i="114"/>
  <c r="H29" i="114"/>
  <c r="I29" i="114"/>
  <c r="J29" i="114"/>
  <c r="K29" i="114"/>
  <c r="L29" i="114"/>
  <c r="M29" i="114"/>
  <c r="D30" i="114"/>
  <c r="E30" i="114"/>
  <c r="F30" i="114"/>
  <c r="G30" i="114"/>
  <c r="H30" i="114"/>
  <c r="I30" i="114"/>
  <c r="J30" i="114"/>
  <c r="K30" i="114"/>
  <c r="L30" i="114"/>
  <c r="M30" i="114"/>
  <c r="D31" i="114"/>
  <c r="E31" i="114"/>
  <c r="F31" i="114"/>
  <c r="G31" i="114"/>
  <c r="H31" i="114"/>
  <c r="I31" i="114"/>
  <c r="J31" i="114"/>
  <c r="K31" i="114"/>
  <c r="L31" i="114"/>
  <c r="M31" i="114"/>
  <c r="D32" i="114"/>
  <c r="E32" i="114"/>
  <c r="F32" i="114"/>
  <c r="G32" i="114"/>
  <c r="H32" i="114"/>
  <c r="I32" i="114"/>
  <c r="J32" i="114"/>
  <c r="K32" i="114"/>
  <c r="L32" i="114"/>
  <c r="M32" i="114"/>
  <c r="D33" i="114"/>
  <c r="E33" i="114"/>
  <c r="F33" i="114"/>
  <c r="G33" i="114"/>
  <c r="H33" i="114"/>
  <c r="I33" i="114"/>
  <c r="J33" i="114"/>
  <c r="K33" i="114"/>
  <c r="L33" i="114"/>
  <c r="M33" i="114"/>
  <c r="D34" i="114"/>
  <c r="E34" i="114"/>
  <c r="F34" i="114"/>
  <c r="G34" i="114"/>
  <c r="H34" i="114"/>
  <c r="I34" i="114"/>
  <c r="J34" i="114"/>
  <c r="K34" i="114"/>
  <c r="L34" i="114"/>
  <c r="M34" i="114"/>
  <c r="D35" i="114"/>
  <c r="E35" i="114"/>
  <c r="F35" i="114"/>
  <c r="G35" i="114"/>
  <c r="H35" i="114"/>
  <c r="I35" i="114"/>
  <c r="J35" i="114"/>
  <c r="K35" i="114"/>
  <c r="L35" i="114"/>
  <c r="M35" i="114"/>
  <c r="D36" i="114"/>
  <c r="E36" i="114"/>
  <c r="F36" i="114"/>
  <c r="G36" i="114"/>
  <c r="H36" i="114"/>
  <c r="I36" i="114"/>
  <c r="J36" i="114"/>
  <c r="K36" i="114"/>
  <c r="L36" i="114"/>
  <c r="M36" i="114"/>
  <c r="D37" i="114"/>
  <c r="E37" i="114"/>
  <c r="F37" i="114"/>
  <c r="G37" i="114"/>
  <c r="H37" i="114"/>
  <c r="I37" i="114"/>
  <c r="J37" i="114"/>
  <c r="K37" i="114"/>
  <c r="L37" i="114"/>
  <c r="M37" i="114"/>
  <c r="D38" i="114"/>
  <c r="E38" i="114"/>
  <c r="F38" i="114"/>
  <c r="G38" i="114"/>
  <c r="H38" i="114"/>
  <c r="I38" i="114"/>
  <c r="J38" i="114"/>
  <c r="K38" i="114"/>
  <c r="L38" i="114"/>
  <c r="M38" i="114"/>
  <c r="D39" i="114"/>
  <c r="E39" i="114"/>
  <c r="F39" i="114"/>
  <c r="G39" i="114"/>
  <c r="H39" i="114"/>
  <c r="I39" i="114"/>
  <c r="J39" i="114"/>
  <c r="K39" i="114"/>
  <c r="L39" i="114"/>
  <c r="M39" i="114"/>
  <c r="D40" i="114"/>
  <c r="E40" i="114"/>
  <c r="F40" i="114"/>
  <c r="G40" i="114"/>
  <c r="H40" i="114"/>
  <c r="I40" i="114"/>
  <c r="J40" i="114"/>
  <c r="K40" i="114"/>
  <c r="L40" i="114"/>
  <c r="M40" i="114"/>
  <c r="D41" i="114"/>
  <c r="E41" i="114"/>
  <c r="F41" i="114"/>
  <c r="G41" i="114"/>
  <c r="H41" i="114"/>
  <c r="I41" i="114"/>
  <c r="J41" i="114"/>
  <c r="K41" i="114"/>
  <c r="L41" i="114"/>
  <c r="M41" i="114"/>
  <c r="D42" i="114"/>
  <c r="E42" i="114"/>
  <c r="F42" i="114"/>
  <c r="G42" i="114"/>
  <c r="H42" i="114"/>
  <c r="I42" i="114"/>
  <c r="J42" i="114"/>
  <c r="K42" i="114"/>
  <c r="L42" i="114"/>
  <c r="M42" i="114"/>
  <c r="D43" i="114"/>
  <c r="E43" i="114"/>
  <c r="F43" i="114"/>
  <c r="G43" i="114"/>
  <c r="H43" i="114"/>
  <c r="I43" i="114"/>
  <c r="J43" i="114"/>
  <c r="K43" i="114"/>
  <c r="L43" i="114"/>
  <c r="M43" i="114"/>
  <c r="D44" i="114"/>
  <c r="E44" i="114"/>
  <c r="F44" i="114"/>
  <c r="G44" i="114"/>
  <c r="H44" i="114"/>
  <c r="I44" i="114"/>
  <c r="J44" i="114"/>
  <c r="K44" i="114"/>
  <c r="L44" i="114"/>
  <c r="M44" i="114"/>
  <c r="D45" i="114"/>
  <c r="E45" i="114"/>
  <c r="F45" i="114"/>
  <c r="G45" i="114"/>
  <c r="H45" i="114"/>
  <c r="I45" i="114"/>
  <c r="J45" i="114"/>
  <c r="K45" i="114"/>
  <c r="L45" i="114"/>
  <c r="M45" i="114"/>
  <c r="D46" i="114"/>
  <c r="E46" i="114"/>
  <c r="F46" i="114"/>
  <c r="G46" i="114"/>
  <c r="H46" i="114"/>
  <c r="I46" i="114"/>
  <c r="J46" i="114"/>
  <c r="K46" i="114"/>
  <c r="L46" i="114"/>
  <c r="M46" i="114"/>
  <c r="D47" i="114"/>
  <c r="E47" i="114"/>
  <c r="F47" i="114"/>
  <c r="G47" i="114"/>
  <c r="H47" i="114"/>
  <c r="I47" i="114"/>
  <c r="J47" i="114"/>
  <c r="K47" i="114"/>
  <c r="L47" i="114"/>
  <c r="M47" i="114"/>
  <c r="D48" i="114"/>
  <c r="E48" i="114"/>
  <c r="F48" i="114"/>
  <c r="G48" i="114"/>
  <c r="H48" i="114"/>
  <c r="I48" i="114"/>
  <c r="J48" i="114"/>
  <c r="K48" i="114"/>
  <c r="L48" i="114"/>
  <c r="M48" i="114"/>
  <c r="D49" i="114"/>
  <c r="E49" i="114"/>
  <c r="F49" i="114"/>
  <c r="G49" i="114"/>
  <c r="H49" i="114"/>
  <c r="I49" i="114"/>
  <c r="J49" i="114"/>
  <c r="K49" i="114"/>
  <c r="L49" i="114"/>
  <c r="M49" i="114"/>
  <c r="D50" i="114"/>
  <c r="E50" i="114"/>
  <c r="F50" i="114"/>
  <c r="G50" i="114"/>
  <c r="H50" i="114"/>
  <c r="I50" i="114"/>
  <c r="J50" i="114"/>
  <c r="K50" i="114"/>
  <c r="L50" i="114"/>
  <c r="M50" i="114"/>
  <c r="D51" i="114"/>
  <c r="E51" i="114"/>
  <c r="F51" i="114"/>
  <c r="G51" i="114"/>
  <c r="H51" i="114"/>
  <c r="I51" i="114"/>
  <c r="J51" i="114"/>
  <c r="K51" i="114"/>
  <c r="L51" i="114"/>
  <c r="M51" i="114"/>
  <c r="D52" i="114"/>
  <c r="E52" i="114"/>
  <c r="F52" i="114"/>
  <c r="G52" i="114"/>
  <c r="H52" i="114"/>
  <c r="I52" i="114"/>
  <c r="J52" i="114"/>
  <c r="K52" i="114"/>
  <c r="L52" i="114"/>
  <c r="M52" i="114"/>
  <c r="D53" i="114"/>
  <c r="E53" i="114"/>
  <c r="F53" i="114"/>
  <c r="G53" i="114"/>
  <c r="H53" i="114"/>
  <c r="I53" i="114"/>
  <c r="J53" i="114"/>
  <c r="K53" i="114"/>
  <c r="L53" i="114"/>
  <c r="M53" i="114"/>
  <c r="D54" i="114"/>
  <c r="E54" i="114"/>
  <c r="F54" i="114"/>
  <c r="G54" i="114"/>
  <c r="H54" i="114"/>
  <c r="I54" i="114"/>
  <c r="J54" i="114"/>
  <c r="K54" i="114"/>
  <c r="L54" i="114"/>
  <c r="M54" i="114"/>
  <c r="D55" i="114"/>
  <c r="E55" i="114"/>
  <c r="F55" i="114"/>
  <c r="G55" i="114"/>
  <c r="H55" i="114"/>
  <c r="I55" i="114"/>
  <c r="J55" i="114"/>
  <c r="K55" i="114"/>
  <c r="L55" i="114"/>
  <c r="M55" i="114"/>
  <c r="D56" i="114"/>
  <c r="E56" i="114"/>
  <c r="F56" i="114"/>
  <c r="G56" i="114"/>
  <c r="H56" i="114"/>
  <c r="I56" i="114"/>
  <c r="J56" i="114"/>
  <c r="K56" i="114"/>
  <c r="L56" i="114"/>
  <c r="M56" i="114"/>
  <c r="D57" i="114"/>
  <c r="E57" i="114"/>
  <c r="F57" i="114"/>
  <c r="G57" i="114"/>
  <c r="H57" i="114"/>
  <c r="I57" i="114"/>
  <c r="J57" i="114"/>
  <c r="K57" i="114"/>
  <c r="L57" i="114"/>
  <c r="M57" i="114"/>
  <c r="D58" i="114"/>
  <c r="E58" i="114"/>
  <c r="F58" i="114"/>
  <c r="G58" i="114"/>
  <c r="H58" i="114"/>
  <c r="I58" i="114"/>
  <c r="J58" i="114"/>
  <c r="K58" i="114"/>
  <c r="L58" i="114"/>
  <c r="M58" i="114"/>
  <c r="D59" i="114"/>
  <c r="E59" i="114"/>
  <c r="F59" i="114"/>
  <c r="G59" i="114"/>
  <c r="H59" i="114"/>
  <c r="I59" i="114"/>
  <c r="J59" i="114"/>
  <c r="K59" i="114"/>
  <c r="L59" i="114"/>
  <c r="M59" i="114"/>
  <c r="D60" i="114"/>
  <c r="E60" i="114"/>
  <c r="F60" i="114"/>
  <c r="G60" i="114"/>
  <c r="H60" i="114"/>
  <c r="I60" i="114"/>
  <c r="J60" i="114"/>
  <c r="K60" i="114"/>
  <c r="L60" i="114"/>
  <c r="M60" i="114"/>
  <c r="D61" i="114"/>
  <c r="E61" i="114"/>
  <c r="F61" i="114"/>
  <c r="G61" i="114"/>
  <c r="H61" i="114"/>
  <c r="I61" i="114"/>
  <c r="J61" i="114"/>
  <c r="K61" i="114"/>
  <c r="L61" i="114"/>
  <c r="M61" i="114"/>
  <c r="D62" i="114"/>
  <c r="E62" i="114"/>
  <c r="F62" i="114"/>
  <c r="G62" i="114"/>
  <c r="H62" i="114"/>
  <c r="I62" i="114"/>
  <c r="J62" i="114"/>
  <c r="K62" i="114"/>
  <c r="L62" i="114"/>
  <c r="M62" i="114"/>
  <c r="D63" i="114"/>
  <c r="E63" i="114"/>
  <c r="F63" i="114"/>
  <c r="G63" i="114"/>
  <c r="H63" i="114"/>
  <c r="I63" i="114"/>
  <c r="J63" i="114"/>
  <c r="K63" i="114"/>
  <c r="L63" i="114"/>
  <c r="M63" i="114"/>
  <c r="D64" i="114"/>
  <c r="E64" i="114"/>
  <c r="F64" i="114"/>
  <c r="G64" i="114"/>
  <c r="H64" i="114"/>
  <c r="I64" i="114"/>
  <c r="J64" i="114"/>
  <c r="K64" i="114"/>
  <c r="L64" i="114"/>
  <c r="M64" i="114"/>
  <c r="D65" i="114"/>
  <c r="E65" i="114"/>
  <c r="F65" i="114"/>
  <c r="G65" i="114"/>
  <c r="H65" i="114"/>
  <c r="I65" i="114"/>
  <c r="J65" i="114"/>
  <c r="K65" i="114"/>
  <c r="L65" i="114"/>
  <c r="M65" i="114"/>
  <c r="D66" i="114"/>
  <c r="E66" i="114"/>
  <c r="F66" i="114"/>
  <c r="G66" i="114"/>
  <c r="H66" i="114"/>
  <c r="I66" i="114"/>
  <c r="J66" i="114"/>
  <c r="K66" i="114"/>
  <c r="L66" i="114"/>
  <c r="M66" i="114"/>
  <c r="D67" i="114"/>
  <c r="E67" i="114"/>
  <c r="F67" i="114"/>
  <c r="G67" i="114"/>
  <c r="H67" i="114"/>
  <c r="I67" i="114"/>
  <c r="J67" i="114"/>
  <c r="K67" i="114"/>
  <c r="L67" i="114"/>
  <c r="M67" i="114"/>
  <c r="D68" i="114"/>
  <c r="E68" i="114"/>
  <c r="F68" i="114"/>
  <c r="G68" i="114"/>
  <c r="H68" i="114"/>
  <c r="I68" i="114"/>
  <c r="J68" i="114"/>
  <c r="K68" i="114"/>
  <c r="L68" i="114"/>
  <c r="M68" i="114"/>
  <c r="D69" i="114"/>
  <c r="E69" i="114"/>
  <c r="F69" i="114"/>
  <c r="G69" i="114"/>
  <c r="H69" i="114"/>
  <c r="I69" i="114"/>
  <c r="J69" i="114"/>
  <c r="K69" i="114"/>
  <c r="L69" i="114"/>
  <c r="M69" i="114"/>
  <c r="D70" i="114"/>
  <c r="E70" i="114"/>
  <c r="F70" i="114"/>
  <c r="G70" i="114"/>
  <c r="H70" i="114"/>
  <c r="I70" i="114"/>
  <c r="J70" i="114"/>
  <c r="K70" i="114"/>
  <c r="L70" i="114"/>
  <c r="M70" i="114"/>
  <c r="D71" i="114"/>
  <c r="E71" i="114"/>
  <c r="F71" i="114"/>
  <c r="G71" i="114"/>
  <c r="H71" i="114"/>
  <c r="I71" i="114"/>
  <c r="J71" i="114"/>
  <c r="K71" i="114"/>
  <c r="L71" i="114"/>
  <c r="M71" i="114"/>
  <c r="D72" i="114"/>
  <c r="E72" i="114"/>
  <c r="F72" i="114"/>
  <c r="G72" i="114"/>
  <c r="H72" i="114"/>
  <c r="I72" i="114"/>
  <c r="J72" i="114"/>
  <c r="K72" i="114"/>
  <c r="L72" i="114"/>
  <c r="M72" i="114"/>
  <c r="D73" i="114"/>
  <c r="E73" i="114"/>
  <c r="F73" i="114"/>
  <c r="G73" i="114"/>
  <c r="H73" i="114"/>
  <c r="I73" i="114"/>
  <c r="J73" i="114"/>
  <c r="K73" i="114"/>
  <c r="L73" i="114"/>
  <c r="M73" i="114"/>
  <c r="D74" i="114"/>
  <c r="E74" i="114"/>
  <c r="F74" i="114"/>
  <c r="G74" i="114"/>
  <c r="H74" i="114"/>
  <c r="I74" i="114"/>
  <c r="J74" i="114"/>
  <c r="K74" i="114"/>
  <c r="L74" i="114"/>
  <c r="M74" i="114"/>
  <c r="D75" i="114"/>
  <c r="E75" i="114"/>
  <c r="F75" i="114"/>
  <c r="G75" i="114"/>
  <c r="H75" i="114"/>
  <c r="I75" i="114"/>
  <c r="J75" i="114"/>
  <c r="K75" i="114"/>
  <c r="L75" i="114"/>
  <c r="M75" i="114"/>
  <c r="C76" i="114"/>
  <c r="D76" i="114"/>
  <c r="E76" i="114"/>
  <c r="F76" i="114"/>
  <c r="G76" i="114"/>
  <c r="H76" i="114"/>
  <c r="I76" i="114"/>
  <c r="J76" i="114"/>
  <c r="K76" i="114"/>
  <c r="L76" i="114"/>
  <c r="M76" i="114"/>
  <c r="M77" i="114"/>
  <c r="M83" i="114"/>
  <c r="M86" i="114"/>
  <c r="C7" i="115"/>
  <c r="U7" i="115"/>
  <c r="V7" i="115"/>
  <c r="W7" i="115"/>
  <c r="X7" i="115"/>
  <c r="Y7" i="115"/>
  <c r="Z7" i="115"/>
  <c r="AA7" i="115"/>
  <c r="AB7" i="115"/>
  <c r="AC7" i="115"/>
  <c r="AN7" i="115"/>
  <c r="AO7" i="115"/>
  <c r="C8" i="115"/>
  <c r="U8" i="115"/>
  <c r="V8" i="115"/>
  <c r="W8" i="115"/>
  <c r="X8" i="115"/>
  <c r="Y8" i="115"/>
  <c r="Z8" i="115"/>
  <c r="AA8" i="115"/>
  <c r="AB8" i="115"/>
  <c r="AC8" i="115"/>
  <c r="AN8" i="115"/>
  <c r="AO8" i="115"/>
  <c r="C9" i="115"/>
  <c r="U9" i="115"/>
  <c r="V9" i="115"/>
  <c r="W9" i="115"/>
  <c r="X9" i="115"/>
  <c r="Y9" i="115"/>
  <c r="Z9" i="115"/>
  <c r="AA9" i="115"/>
  <c r="AB9" i="115"/>
  <c r="AC9" i="115"/>
  <c r="AN9" i="115"/>
  <c r="AO9" i="115"/>
  <c r="C10" i="115"/>
  <c r="U10" i="115"/>
  <c r="V10" i="115"/>
  <c r="W10" i="115"/>
  <c r="X10" i="115"/>
  <c r="Y10" i="115"/>
  <c r="Z10" i="115"/>
  <c r="AA10" i="115"/>
  <c r="AB10" i="115"/>
  <c r="AC10" i="115"/>
  <c r="AN10" i="115"/>
  <c r="AO10" i="115"/>
  <c r="C11" i="115"/>
  <c r="U11" i="115"/>
  <c r="V11" i="115"/>
  <c r="W11" i="115"/>
  <c r="X11" i="115"/>
  <c r="Y11" i="115"/>
  <c r="Z11" i="115"/>
  <c r="AA11" i="115"/>
  <c r="AB11" i="115"/>
  <c r="AC11" i="115"/>
  <c r="AN11" i="115"/>
  <c r="AO11" i="115"/>
  <c r="C12" i="115"/>
  <c r="U12" i="115"/>
  <c r="V12" i="115"/>
  <c r="W12" i="115"/>
  <c r="X12" i="115"/>
  <c r="Y12" i="115"/>
  <c r="Z12" i="115"/>
  <c r="AA12" i="115"/>
  <c r="AB12" i="115"/>
  <c r="AC12" i="115"/>
  <c r="AN12" i="115"/>
  <c r="AO12" i="115"/>
  <c r="C13" i="115"/>
  <c r="U13" i="115"/>
  <c r="V13" i="115"/>
  <c r="W13" i="115"/>
  <c r="X13" i="115"/>
  <c r="Y13" i="115"/>
  <c r="Z13" i="115"/>
  <c r="AA13" i="115"/>
  <c r="AB13" i="115"/>
  <c r="AC13" i="115"/>
  <c r="AN13" i="115"/>
  <c r="AO13" i="115"/>
  <c r="C14" i="115"/>
  <c r="U14" i="115"/>
  <c r="V14" i="115"/>
  <c r="W14" i="115"/>
  <c r="X14" i="115"/>
  <c r="Y14" i="115"/>
  <c r="Z14" i="115"/>
  <c r="AA14" i="115"/>
  <c r="AB14" i="115"/>
  <c r="AC14" i="115"/>
  <c r="AN14" i="115"/>
  <c r="AO14" i="115"/>
  <c r="C15" i="115"/>
  <c r="U15" i="115"/>
  <c r="V15" i="115"/>
  <c r="W15" i="115"/>
  <c r="X15" i="115"/>
  <c r="Y15" i="115"/>
  <c r="Z15" i="115"/>
  <c r="AA15" i="115"/>
  <c r="AB15" i="115"/>
  <c r="AC15" i="115"/>
  <c r="AN15" i="115"/>
  <c r="AO15" i="115"/>
  <c r="C16" i="115"/>
  <c r="U16" i="115"/>
  <c r="V16" i="115"/>
  <c r="W16" i="115"/>
  <c r="X16" i="115"/>
  <c r="Y16" i="115"/>
  <c r="Z16" i="115"/>
  <c r="AA16" i="115"/>
  <c r="AB16" i="115"/>
  <c r="AC16" i="115"/>
  <c r="AN16" i="115"/>
  <c r="AO16" i="115"/>
  <c r="C17" i="115"/>
  <c r="U17" i="115"/>
  <c r="V17" i="115"/>
  <c r="W17" i="115"/>
  <c r="X17" i="115"/>
  <c r="Y17" i="115"/>
  <c r="Z17" i="115"/>
  <c r="AA17" i="115"/>
  <c r="AB17" i="115"/>
  <c r="AC17" i="115"/>
  <c r="AN17" i="115"/>
  <c r="AO17" i="115"/>
  <c r="C18" i="115"/>
  <c r="U18" i="115"/>
  <c r="V18" i="115"/>
  <c r="W18" i="115"/>
  <c r="X18" i="115"/>
  <c r="Y18" i="115"/>
  <c r="Z18" i="115"/>
  <c r="AA18" i="115"/>
  <c r="AB18" i="115"/>
  <c r="AC18" i="115"/>
  <c r="AN18" i="115"/>
  <c r="AO18" i="115"/>
  <c r="C19" i="115"/>
  <c r="U19" i="115"/>
  <c r="V19" i="115"/>
  <c r="W19" i="115"/>
  <c r="X19" i="115"/>
  <c r="Y19" i="115"/>
  <c r="Z19" i="115"/>
  <c r="AA19" i="115"/>
  <c r="AB19" i="115"/>
  <c r="AC19" i="115"/>
  <c r="AN19" i="115"/>
  <c r="AO19" i="115"/>
  <c r="C20" i="115"/>
  <c r="U20" i="115"/>
  <c r="V20" i="115"/>
  <c r="W20" i="115"/>
  <c r="X20" i="115"/>
  <c r="Y20" i="115"/>
  <c r="Z20" i="115"/>
  <c r="AA20" i="115"/>
  <c r="AB20" i="115"/>
  <c r="AC20" i="115"/>
  <c r="AN20" i="115"/>
  <c r="AO20" i="115"/>
  <c r="C21" i="115"/>
  <c r="U21" i="115"/>
  <c r="V21" i="115"/>
  <c r="W21" i="115"/>
  <c r="X21" i="115"/>
  <c r="Y21" i="115"/>
  <c r="Z21" i="115"/>
  <c r="AA21" i="115"/>
  <c r="AB21" i="115"/>
  <c r="AC21" i="115"/>
  <c r="AN21" i="115"/>
  <c r="AO21" i="115"/>
  <c r="C22" i="115"/>
  <c r="U22" i="115"/>
  <c r="V22" i="115"/>
  <c r="W22" i="115"/>
  <c r="X22" i="115"/>
  <c r="Y22" i="115"/>
  <c r="Z22" i="115"/>
  <c r="AA22" i="115"/>
  <c r="AB22" i="115"/>
  <c r="AC22" i="115"/>
  <c r="AN22" i="115"/>
  <c r="AO22" i="115"/>
  <c r="C23" i="115"/>
  <c r="U23" i="115"/>
  <c r="V23" i="115"/>
  <c r="W23" i="115"/>
  <c r="X23" i="115"/>
  <c r="Y23" i="115"/>
  <c r="Z23" i="115"/>
  <c r="AA23" i="115"/>
  <c r="AB23" i="115"/>
  <c r="AC23" i="115"/>
  <c r="AN23" i="115"/>
  <c r="AO23" i="115"/>
  <c r="C24" i="115"/>
  <c r="U24" i="115"/>
  <c r="V24" i="115"/>
  <c r="W24" i="115"/>
  <c r="X24" i="115"/>
  <c r="Y24" i="115"/>
  <c r="Z24" i="115"/>
  <c r="AA24" i="115"/>
  <c r="AB24" i="115"/>
  <c r="AC24" i="115"/>
  <c r="AN24" i="115"/>
  <c r="AO24" i="115"/>
  <c r="C25" i="115"/>
  <c r="U25" i="115"/>
  <c r="V25" i="115"/>
  <c r="W25" i="115"/>
  <c r="X25" i="115"/>
  <c r="Y25" i="115"/>
  <c r="Z25" i="115"/>
  <c r="AA25" i="115"/>
  <c r="AB25" i="115"/>
  <c r="AC25" i="115"/>
  <c r="AN25" i="115"/>
  <c r="AO25" i="115"/>
  <c r="C26" i="115"/>
  <c r="U26" i="115"/>
  <c r="V26" i="115"/>
  <c r="W26" i="115"/>
  <c r="X26" i="115"/>
  <c r="Y26" i="115"/>
  <c r="Z26" i="115"/>
  <c r="AA26" i="115"/>
  <c r="AB26" i="115"/>
  <c r="AC26" i="115"/>
  <c r="AN26" i="115"/>
  <c r="AO26" i="115"/>
  <c r="C27" i="115"/>
  <c r="U27" i="115"/>
  <c r="V27" i="115"/>
  <c r="W27" i="115"/>
  <c r="X27" i="115"/>
  <c r="Y27" i="115"/>
  <c r="Z27" i="115"/>
  <c r="AA27" i="115"/>
  <c r="AB27" i="115"/>
  <c r="AC27" i="115"/>
  <c r="AN27" i="115"/>
  <c r="AO27" i="115"/>
  <c r="C28" i="115"/>
  <c r="U28" i="115"/>
  <c r="V28" i="115"/>
  <c r="W28" i="115"/>
  <c r="X28" i="115"/>
  <c r="Y28" i="115"/>
  <c r="Z28" i="115"/>
  <c r="AA28" i="115"/>
  <c r="AB28" i="115"/>
  <c r="AC28" i="115"/>
  <c r="AN28" i="115"/>
  <c r="AO28" i="115"/>
  <c r="C29" i="115"/>
  <c r="U29" i="115"/>
  <c r="V29" i="115"/>
  <c r="W29" i="115"/>
  <c r="X29" i="115"/>
  <c r="Y29" i="115"/>
  <c r="Z29" i="115"/>
  <c r="AA29" i="115"/>
  <c r="AB29" i="115"/>
  <c r="AC29" i="115"/>
  <c r="AN29" i="115"/>
  <c r="AO29" i="115"/>
  <c r="C30" i="115"/>
  <c r="U30" i="115"/>
  <c r="V30" i="115"/>
  <c r="W30" i="115"/>
  <c r="X30" i="115"/>
  <c r="Y30" i="115"/>
  <c r="Z30" i="115"/>
  <c r="AA30" i="115"/>
  <c r="AB30" i="115"/>
  <c r="AC30" i="115"/>
  <c r="AN30" i="115"/>
  <c r="AO30" i="115"/>
  <c r="C31" i="115"/>
  <c r="U31" i="115"/>
  <c r="V31" i="115"/>
  <c r="W31" i="115"/>
  <c r="X31" i="115"/>
  <c r="Y31" i="115"/>
  <c r="Z31" i="115"/>
  <c r="AA31" i="115"/>
  <c r="AB31" i="115"/>
  <c r="AC31" i="115"/>
  <c r="AN31" i="115"/>
  <c r="AO31" i="115"/>
  <c r="C32" i="115"/>
  <c r="U32" i="115"/>
  <c r="V32" i="115"/>
  <c r="W32" i="115"/>
  <c r="X32" i="115"/>
  <c r="Y32" i="115"/>
  <c r="Z32" i="115"/>
  <c r="AA32" i="115"/>
  <c r="AB32" i="115"/>
  <c r="AC32" i="115"/>
  <c r="AN32" i="115"/>
  <c r="AO32" i="115"/>
  <c r="C33" i="115"/>
  <c r="U33" i="115"/>
  <c r="V33" i="115"/>
  <c r="W33" i="115"/>
  <c r="X33" i="115"/>
  <c r="Y33" i="115"/>
  <c r="Z33" i="115"/>
  <c r="AA33" i="115"/>
  <c r="AB33" i="115"/>
  <c r="AC33" i="115"/>
  <c r="AN33" i="115"/>
  <c r="AO33" i="115"/>
  <c r="C34" i="115"/>
  <c r="U34" i="115"/>
  <c r="V34" i="115"/>
  <c r="W34" i="115"/>
  <c r="X34" i="115"/>
  <c r="Y34" i="115"/>
  <c r="Z34" i="115"/>
  <c r="AA34" i="115"/>
  <c r="AB34" i="115"/>
  <c r="AC34" i="115"/>
  <c r="AN34" i="115"/>
  <c r="AO34" i="115"/>
  <c r="C35" i="115"/>
  <c r="U35" i="115"/>
  <c r="V35" i="115"/>
  <c r="W35" i="115"/>
  <c r="X35" i="115"/>
  <c r="Y35" i="115"/>
  <c r="Z35" i="115"/>
  <c r="AA35" i="115"/>
  <c r="AB35" i="115"/>
  <c r="AC35" i="115"/>
  <c r="AN35" i="115"/>
  <c r="AO35" i="115"/>
  <c r="C36" i="115"/>
  <c r="U36" i="115"/>
  <c r="V36" i="115"/>
  <c r="W36" i="115"/>
  <c r="X36" i="115"/>
  <c r="Y36" i="115"/>
  <c r="Z36" i="115"/>
  <c r="AA36" i="115"/>
  <c r="AB36" i="115"/>
  <c r="AC36" i="115"/>
  <c r="AN36" i="115"/>
  <c r="AO36" i="115"/>
  <c r="C37" i="115"/>
  <c r="U37" i="115"/>
  <c r="V37" i="115"/>
  <c r="W37" i="115"/>
  <c r="X37" i="115"/>
  <c r="Y37" i="115"/>
  <c r="Z37" i="115"/>
  <c r="AA37" i="115"/>
  <c r="AB37" i="115"/>
  <c r="AC37" i="115"/>
  <c r="AN37" i="115"/>
  <c r="AO37" i="115"/>
  <c r="C38" i="115"/>
  <c r="U38" i="115"/>
  <c r="V38" i="115"/>
  <c r="W38" i="115"/>
  <c r="X38" i="115"/>
  <c r="Y38" i="115"/>
  <c r="Z38" i="115"/>
  <c r="AA38" i="115"/>
  <c r="AB38" i="115"/>
  <c r="AC38" i="115"/>
  <c r="AN38" i="115"/>
  <c r="AO38" i="115"/>
  <c r="C39" i="115"/>
  <c r="U39" i="115"/>
  <c r="V39" i="115"/>
  <c r="W39" i="115"/>
  <c r="X39" i="115"/>
  <c r="Y39" i="115"/>
  <c r="Z39" i="115"/>
  <c r="AA39" i="115"/>
  <c r="AB39" i="115"/>
  <c r="AC39" i="115"/>
  <c r="AN39" i="115"/>
  <c r="AO39" i="115"/>
  <c r="C40" i="115"/>
  <c r="U40" i="115"/>
  <c r="V40" i="115"/>
  <c r="W40" i="115"/>
  <c r="X40" i="115"/>
  <c r="Y40" i="115"/>
  <c r="Z40" i="115"/>
  <c r="AA40" i="115"/>
  <c r="AB40" i="115"/>
  <c r="AC40" i="115"/>
  <c r="AN40" i="115"/>
  <c r="AO40" i="115"/>
  <c r="C41" i="115"/>
  <c r="U41" i="115"/>
  <c r="V41" i="115"/>
  <c r="W41" i="115"/>
  <c r="X41" i="115"/>
  <c r="Y41" i="115"/>
  <c r="Z41" i="115"/>
  <c r="AA41" i="115"/>
  <c r="AB41" i="115"/>
  <c r="AC41" i="115"/>
  <c r="AN41" i="115"/>
  <c r="AO41" i="115"/>
  <c r="C42" i="115"/>
  <c r="U42" i="115"/>
  <c r="V42" i="115"/>
  <c r="W42" i="115"/>
  <c r="X42" i="115"/>
  <c r="Y42" i="115"/>
  <c r="Z42" i="115"/>
  <c r="AA42" i="115"/>
  <c r="AB42" i="115"/>
  <c r="AC42" i="115"/>
  <c r="AN42" i="115"/>
  <c r="AO42" i="115"/>
  <c r="C43" i="115"/>
  <c r="U43" i="115"/>
  <c r="V43" i="115"/>
  <c r="W43" i="115"/>
  <c r="X43" i="115"/>
  <c r="Y43" i="115"/>
  <c r="Z43" i="115"/>
  <c r="AA43" i="115"/>
  <c r="AB43" i="115"/>
  <c r="AC43" i="115"/>
  <c r="AN43" i="115"/>
  <c r="AO43" i="115"/>
  <c r="C44" i="115"/>
  <c r="U44" i="115"/>
  <c r="V44" i="115"/>
  <c r="W44" i="115"/>
  <c r="X44" i="115"/>
  <c r="Y44" i="115"/>
  <c r="Z44" i="115"/>
  <c r="AA44" i="115"/>
  <c r="AB44" i="115"/>
  <c r="AC44" i="115"/>
  <c r="AN44" i="115"/>
  <c r="AO44" i="115"/>
  <c r="C45" i="115"/>
  <c r="U45" i="115"/>
  <c r="V45" i="115"/>
  <c r="W45" i="115"/>
  <c r="X45" i="115"/>
  <c r="Y45" i="115"/>
  <c r="Z45" i="115"/>
  <c r="AA45" i="115"/>
  <c r="AB45" i="115"/>
  <c r="AC45" i="115"/>
  <c r="AN45" i="115"/>
  <c r="AO45" i="115"/>
  <c r="C46" i="115"/>
  <c r="U46" i="115"/>
  <c r="V46" i="115"/>
  <c r="W46" i="115"/>
  <c r="X46" i="115"/>
  <c r="Y46" i="115"/>
  <c r="Z46" i="115"/>
  <c r="AA46" i="115"/>
  <c r="AB46" i="115"/>
  <c r="AC46" i="115"/>
  <c r="AN46" i="115"/>
  <c r="AO46" i="115"/>
  <c r="C47" i="115"/>
  <c r="U47" i="115"/>
  <c r="V47" i="115"/>
  <c r="W47" i="115"/>
  <c r="X47" i="115"/>
  <c r="Y47" i="115"/>
  <c r="Z47" i="115"/>
  <c r="AA47" i="115"/>
  <c r="AB47" i="115"/>
  <c r="AC47" i="115"/>
  <c r="AN47" i="115"/>
  <c r="AO47" i="115"/>
  <c r="C48" i="115"/>
  <c r="U48" i="115"/>
  <c r="V48" i="115"/>
  <c r="W48" i="115"/>
  <c r="X48" i="115"/>
  <c r="Y48" i="115"/>
  <c r="Z48" i="115"/>
  <c r="AA48" i="115"/>
  <c r="AB48" i="115"/>
  <c r="AC48" i="115"/>
  <c r="AN48" i="115"/>
  <c r="AO48" i="115"/>
  <c r="C49" i="115"/>
  <c r="U49" i="115"/>
  <c r="V49" i="115"/>
  <c r="W49" i="115"/>
  <c r="X49" i="115"/>
  <c r="Y49" i="115"/>
  <c r="Z49" i="115"/>
  <c r="AA49" i="115"/>
  <c r="AB49" i="115"/>
  <c r="AC49" i="115"/>
  <c r="AN49" i="115"/>
  <c r="AO49" i="115"/>
  <c r="C50" i="115"/>
  <c r="U50" i="115"/>
  <c r="V50" i="115"/>
  <c r="W50" i="115"/>
  <c r="X50" i="115"/>
  <c r="Y50" i="115"/>
  <c r="Z50" i="115"/>
  <c r="AA50" i="115"/>
  <c r="AB50" i="115"/>
  <c r="AC50" i="115"/>
  <c r="AN50" i="115"/>
  <c r="AO50" i="115"/>
  <c r="C51" i="115"/>
  <c r="U51" i="115"/>
  <c r="V51" i="115"/>
  <c r="W51" i="115"/>
  <c r="X51" i="115"/>
  <c r="Y51" i="115"/>
  <c r="Z51" i="115"/>
  <c r="AA51" i="115"/>
  <c r="AB51" i="115"/>
  <c r="AC51" i="115"/>
  <c r="AN51" i="115"/>
  <c r="AO51" i="115"/>
  <c r="C52" i="115"/>
  <c r="U52" i="115"/>
  <c r="V52" i="115"/>
  <c r="W52" i="115"/>
  <c r="X52" i="115"/>
  <c r="Y52" i="115"/>
  <c r="Z52" i="115"/>
  <c r="AA52" i="115"/>
  <c r="AB52" i="115"/>
  <c r="AC52" i="115"/>
  <c r="AN52" i="115"/>
  <c r="AO52" i="115"/>
  <c r="C53" i="115"/>
  <c r="U53" i="115"/>
  <c r="V53" i="115"/>
  <c r="W53" i="115"/>
  <c r="X53" i="115"/>
  <c r="Y53" i="115"/>
  <c r="Z53" i="115"/>
  <c r="AA53" i="115"/>
  <c r="AB53" i="115"/>
  <c r="AC53" i="115"/>
  <c r="AN53" i="115"/>
  <c r="AO53" i="115"/>
  <c r="C54" i="115"/>
  <c r="U54" i="115"/>
  <c r="V54" i="115"/>
  <c r="W54" i="115"/>
  <c r="X54" i="115"/>
  <c r="Y54" i="115"/>
  <c r="Z54" i="115"/>
  <c r="AA54" i="115"/>
  <c r="AB54" i="115"/>
  <c r="AC54" i="115"/>
  <c r="AN54" i="115"/>
  <c r="AO54" i="115"/>
  <c r="C55" i="115"/>
  <c r="U55" i="115"/>
  <c r="V55" i="115"/>
  <c r="W55" i="115"/>
  <c r="X55" i="115"/>
  <c r="Y55" i="115"/>
  <c r="Z55" i="115"/>
  <c r="AA55" i="115"/>
  <c r="AB55" i="115"/>
  <c r="AC55" i="115"/>
  <c r="AN55" i="115"/>
  <c r="AO55" i="115"/>
  <c r="C56" i="115"/>
  <c r="U56" i="115"/>
  <c r="V56" i="115"/>
  <c r="W56" i="115"/>
  <c r="X56" i="115"/>
  <c r="Y56" i="115"/>
  <c r="Z56" i="115"/>
  <c r="AA56" i="115"/>
  <c r="AB56" i="115"/>
  <c r="AC56" i="115"/>
  <c r="AN56" i="115"/>
  <c r="AO56" i="115"/>
  <c r="C57" i="115"/>
  <c r="U57" i="115"/>
  <c r="V57" i="115"/>
  <c r="W57" i="115"/>
  <c r="X57" i="115"/>
  <c r="Y57" i="115"/>
  <c r="Z57" i="115"/>
  <c r="AA57" i="115"/>
  <c r="AB57" i="115"/>
  <c r="AC57" i="115"/>
  <c r="AN57" i="115"/>
  <c r="AO57" i="115"/>
  <c r="C58" i="115"/>
  <c r="U58" i="115"/>
  <c r="V58" i="115"/>
  <c r="W58" i="115"/>
  <c r="X58" i="115"/>
  <c r="Y58" i="115"/>
  <c r="Z58" i="115"/>
  <c r="AA58" i="115"/>
  <c r="AB58" i="115"/>
  <c r="AC58" i="115"/>
  <c r="AN58" i="115"/>
  <c r="AO58" i="115"/>
  <c r="C59" i="115"/>
  <c r="U59" i="115"/>
  <c r="V59" i="115"/>
  <c r="W59" i="115"/>
  <c r="X59" i="115"/>
  <c r="Y59" i="115"/>
  <c r="Z59" i="115"/>
  <c r="AA59" i="115"/>
  <c r="AB59" i="115"/>
  <c r="AC59" i="115"/>
  <c r="AN59" i="115"/>
  <c r="AO59" i="115"/>
  <c r="C60" i="115"/>
  <c r="U60" i="115"/>
  <c r="V60" i="115"/>
  <c r="W60" i="115"/>
  <c r="X60" i="115"/>
  <c r="Y60" i="115"/>
  <c r="Z60" i="115"/>
  <c r="AA60" i="115"/>
  <c r="AB60" i="115"/>
  <c r="AC60" i="115"/>
  <c r="AN60" i="115"/>
  <c r="AO60" i="115"/>
  <c r="C61" i="115"/>
  <c r="U61" i="115"/>
  <c r="V61" i="115"/>
  <c r="W61" i="115"/>
  <c r="X61" i="115"/>
  <c r="Y61" i="115"/>
  <c r="Z61" i="115"/>
  <c r="AA61" i="115"/>
  <c r="AB61" i="115"/>
  <c r="AC61" i="115"/>
  <c r="AN61" i="115"/>
  <c r="AO61" i="115"/>
  <c r="C62" i="115"/>
  <c r="U62" i="115"/>
  <c r="V62" i="115"/>
  <c r="W62" i="115"/>
  <c r="X62" i="115"/>
  <c r="Y62" i="115"/>
  <c r="Z62" i="115"/>
  <c r="AA62" i="115"/>
  <c r="AB62" i="115"/>
  <c r="AC62" i="115"/>
  <c r="AN62" i="115"/>
  <c r="AO62" i="115"/>
  <c r="C63" i="115"/>
  <c r="U63" i="115"/>
  <c r="V63" i="115"/>
  <c r="W63" i="115"/>
  <c r="X63" i="115"/>
  <c r="Y63" i="115"/>
  <c r="Z63" i="115"/>
  <c r="AA63" i="115"/>
  <c r="AB63" i="115"/>
  <c r="AC63" i="115"/>
  <c r="AN63" i="115"/>
  <c r="AO63" i="115"/>
  <c r="C64" i="115"/>
  <c r="U64" i="115"/>
  <c r="V64" i="115"/>
  <c r="W64" i="115"/>
  <c r="X64" i="115"/>
  <c r="Y64" i="115"/>
  <c r="Z64" i="115"/>
  <c r="AA64" i="115"/>
  <c r="AB64" i="115"/>
  <c r="AC64" i="115"/>
  <c r="AN64" i="115"/>
  <c r="AO64" i="115"/>
  <c r="C65" i="115"/>
  <c r="U65" i="115"/>
  <c r="V65" i="115"/>
  <c r="W65" i="115"/>
  <c r="X65" i="115"/>
  <c r="Y65" i="115"/>
  <c r="Z65" i="115"/>
  <c r="AA65" i="115"/>
  <c r="AB65" i="115"/>
  <c r="AC65" i="115"/>
  <c r="AN65" i="115"/>
  <c r="AO65" i="115"/>
  <c r="C66" i="115"/>
  <c r="U66" i="115"/>
  <c r="V66" i="115"/>
  <c r="W66" i="115"/>
  <c r="X66" i="115"/>
  <c r="Y66" i="115"/>
  <c r="Z66" i="115"/>
  <c r="AA66" i="115"/>
  <c r="AB66" i="115"/>
  <c r="AC66" i="115"/>
  <c r="AN66" i="115"/>
  <c r="AO66" i="115"/>
  <c r="C67" i="115"/>
  <c r="U67" i="115"/>
  <c r="V67" i="115"/>
  <c r="W67" i="115"/>
  <c r="X67" i="115"/>
  <c r="Y67" i="115"/>
  <c r="Z67" i="115"/>
  <c r="AA67" i="115"/>
  <c r="AB67" i="115"/>
  <c r="AC67" i="115"/>
  <c r="AN67" i="115"/>
  <c r="AO67" i="115"/>
  <c r="C68" i="115"/>
  <c r="U68" i="115"/>
  <c r="V68" i="115"/>
  <c r="W68" i="115"/>
  <c r="X68" i="115"/>
  <c r="Y68" i="115"/>
  <c r="Z68" i="115"/>
  <c r="AA68" i="115"/>
  <c r="AB68" i="115"/>
  <c r="AC68" i="115"/>
  <c r="AN68" i="115"/>
  <c r="AO68" i="115"/>
  <c r="C69" i="115"/>
  <c r="U69" i="115"/>
  <c r="V69" i="115"/>
  <c r="W69" i="115"/>
  <c r="X69" i="115"/>
  <c r="Y69" i="115"/>
  <c r="Z69" i="115"/>
  <c r="AA69" i="115"/>
  <c r="AB69" i="115"/>
  <c r="AC69" i="115"/>
  <c r="AN69" i="115"/>
  <c r="AO69" i="115"/>
  <c r="C70" i="115"/>
  <c r="U70" i="115"/>
  <c r="V70" i="115"/>
  <c r="W70" i="115"/>
  <c r="X70" i="115"/>
  <c r="Y70" i="115"/>
  <c r="Z70" i="115"/>
  <c r="AA70" i="115"/>
  <c r="AB70" i="115"/>
  <c r="AC70" i="115"/>
  <c r="AN70" i="115"/>
  <c r="AO70" i="115"/>
  <c r="C71" i="115"/>
  <c r="U71" i="115"/>
  <c r="V71" i="115"/>
  <c r="W71" i="115"/>
  <c r="X71" i="115"/>
  <c r="Y71" i="115"/>
  <c r="Z71" i="115"/>
  <c r="AA71" i="115"/>
  <c r="AB71" i="115"/>
  <c r="AC71" i="115"/>
  <c r="AN71" i="115"/>
  <c r="AO71" i="115"/>
  <c r="C72" i="115"/>
  <c r="U72" i="115"/>
  <c r="V72" i="115"/>
  <c r="W72" i="115"/>
  <c r="X72" i="115"/>
  <c r="Y72" i="115"/>
  <c r="Z72" i="115"/>
  <c r="AA72" i="115"/>
  <c r="AB72" i="115"/>
  <c r="AC72" i="115"/>
  <c r="AN72" i="115"/>
  <c r="AO72" i="115"/>
  <c r="C73" i="115"/>
  <c r="U73" i="115"/>
  <c r="V73" i="115"/>
  <c r="W73" i="115"/>
  <c r="X73" i="115"/>
  <c r="Y73" i="115"/>
  <c r="Z73" i="115"/>
  <c r="AA73" i="115"/>
  <c r="AB73" i="115"/>
  <c r="AC73" i="115"/>
  <c r="AN73" i="115"/>
  <c r="AO73" i="115"/>
  <c r="C74" i="115"/>
  <c r="U74" i="115"/>
  <c r="V74" i="115"/>
  <c r="W74" i="115"/>
  <c r="X74" i="115"/>
  <c r="Y74" i="115"/>
  <c r="Z74" i="115"/>
  <c r="AA74" i="115"/>
  <c r="AB74" i="115"/>
  <c r="AC74" i="115"/>
  <c r="AN74" i="115"/>
  <c r="AO74" i="115"/>
  <c r="C75" i="115"/>
  <c r="U75" i="115"/>
  <c r="V75" i="115"/>
  <c r="W75" i="115"/>
  <c r="X75" i="115"/>
  <c r="Y75" i="115"/>
  <c r="Z75" i="115"/>
  <c r="AA75" i="115"/>
  <c r="AB75" i="115"/>
  <c r="AC75" i="115"/>
  <c r="AN75" i="115"/>
  <c r="AO75" i="115"/>
  <c r="AM76" i="115"/>
  <c r="AN76" i="115"/>
  <c r="AO76" i="115"/>
  <c r="D7" i="115"/>
  <c r="E7" i="115"/>
  <c r="F7" i="115"/>
  <c r="G7" i="115"/>
  <c r="H7" i="115"/>
  <c r="I7" i="115"/>
  <c r="J7" i="115"/>
  <c r="K7" i="115"/>
  <c r="L7" i="115"/>
  <c r="M7" i="115"/>
  <c r="D8" i="115"/>
  <c r="E8" i="115"/>
  <c r="F8" i="115"/>
  <c r="G8" i="115"/>
  <c r="H8" i="115"/>
  <c r="I8" i="115"/>
  <c r="J8" i="115"/>
  <c r="K8" i="115"/>
  <c r="L8" i="115"/>
  <c r="M8" i="115"/>
  <c r="D9" i="115"/>
  <c r="E9" i="115"/>
  <c r="F9" i="115"/>
  <c r="G9" i="115"/>
  <c r="H9" i="115"/>
  <c r="I9" i="115"/>
  <c r="J9" i="115"/>
  <c r="K9" i="115"/>
  <c r="L9" i="115"/>
  <c r="M9" i="115"/>
  <c r="D10" i="115"/>
  <c r="E10" i="115"/>
  <c r="F10" i="115"/>
  <c r="G10" i="115"/>
  <c r="H10" i="115"/>
  <c r="I10" i="115"/>
  <c r="J10" i="115"/>
  <c r="K10" i="115"/>
  <c r="L10" i="115"/>
  <c r="M10" i="115"/>
  <c r="D11" i="115"/>
  <c r="E11" i="115"/>
  <c r="F11" i="115"/>
  <c r="G11" i="115"/>
  <c r="H11" i="115"/>
  <c r="I11" i="115"/>
  <c r="J11" i="115"/>
  <c r="K11" i="115"/>
  <c r="L11" i="115"/>
  <c r="M11" i="115"/>
  <c r="D12" i="115"/>
  <c r="E12" i="115"/>
  <c r="F12" i="115"/>
  <c r="G12" i="115"/>
  <c r="H12" i="115"/>
  <c r="I12" i="115"/>
  <c r="J12" i="115"/>
  <c r="K12" i="115"/>
  <c r="L12" i="115"/>
  <c r="M12" i="115"/>
  <c r="D13" i="115"/>
  <c r="E13" i="115"/>
  <c r="F13" i="115"/>
  <c r="G13" i="115"/>
  <c r="H13" i="115"/>
  <c r="I13" i="115"/>
  <c r="J13" i="115"/>
  <c r="K13" i="115"/>
  <c r="L13" i="115"/>
  <c r="M13" i="115"/>
  <c r="D14" i="115"/>
  <c r="E14" i="115"/>
  <c r="F14" i="115"/>
  <c r="G14" i="115"/>
  <c r="H14" i="115"/>
  <c r="I14" i="115"/>
  <c r="J14" i="115"/>
  <c r="K14" i="115"/>
  <c r="L14" i="115"/>
  <c r="M14" i="115"/>
  <c r="D15" i="115"/>
  <c r="E15" i="115"/>
  <c r="F15" i="115"/>
  <c r="G15" i="115"/>
  <c r="H15" i="115"/>
  <c r="I15" i="115"/>
  <c r="J15" i="115"/>
  <c r="K15" i="115"/>
  <c r="L15" i="115"/>
  <c r="M15" i="115"/>
  <c r="D16" i="115"/>
  <c r="E16" i="115"/>
  <c r="F16" i="115"/>
  <c r="G16" i="115"/>
  <c r="H16" i="115"/>
  <c r="I16" i="115"/>
  <c r="J16" i="115"/>
  <c r="K16" i="115"/>
  <c r="L16" i="115"/>
  <c r="M16" i="115"/>
  <c r="D17" i="115"/>
  <c r="E17" i="115"/>
  <c r="F17" i="115"/>
  <c r="G17" i="115"/>
  <c r="H17" i="115"/>
  <c r="I17" i="115"/>
  <c r="J17" i="115"/>
  <c r="K17" i="115"/>
  <c r="L17" i="115"/>
  <c r="M17" i="115"/>
  <c r="D18" i="115"/>
  <c r="E18" i="115"/>
  <c r="F18" i="115"/>
  <c r="G18" i="115"/>
  <c r="H18" i="115"/>
  <c r="I18" i="115"/>
  <c r="J18" i="115"/>
  <c r="K18" i="115"/>
  <c r="L18" i="115"/>
  <c r="M18" i="115"/>
  <c r="D19" i="115"/>
  <c r="E19" i="115"/>
  <c r="F19" i="115"/>
  <c r="G19" i="115"/>
  <c r="H19" i="115"/>
  <c r="I19" i="115"/>
  <c r="J19" i="115"/>
  <c r="K19" i="115"/>
  <c r="L19" i="115"/>
  <c r="M19" i="115"/>
  <c r="D20" i="115"/>
  <c r="E20" i="115"/>
  <c r="F20" i="115"/>
  <c r="G20" i="115"/>
  <c r="H20" i="115"/>
  <c r="I20" i="115"/>
  <c r="J20" i="115"/>
  <c r="K20" i="115"/>
  <c r="L20" i="115"/>
  <c r="M20" i="115"/>
  <c r="D21" i="115"/>
  <c r="E21" i="115"/>
  <c r="F21" i="115"/>
  <c r="G21" i="115"/>
  <c r="H21" i="115"/>
  <c r="I21" i="115"/>
  <c r="J21" i="115"/>
  <c r="K21" i="115"/>
  <c r="L21" i="115"/>
  <c r="M21" i="115"/>
  <c r="D22" i="115"/>
  <c r="E22" i="115"/>
  <c r="F22" i="115"/>
  <c r="G22" i="115"/>
  <c r="H22" i="115"/>
  <c r="I22" i="115"/>
  <c r="J22" i="115"/>
  <c r="K22" i="115"/>
  <c r="L22" i="115"/>
  <c r="M22" i="115"/>
  <c r="D23" i="115"/>
  <c r="E23" i="115"/>
  <c r="F23" i="115"/>
  <c r="G23" i="115"/>
  <c r="H23" i="115"/>
  <c r="I23" i="115"/>
  <c r="J23" i="115"/>
  <c r="K23" i="115"/>
  <c r="L23" i="115"/>
  <c r="M23" i="115"/>
  <c r="D24" i="115"/>
  <c r="E24" i="115"/>
  <c r="F24" i="115"/>
  <c r="G24" i="115"/>
  <c r="H24" i="115"/>
  <c r="I24" i="115"/>
  <c r="J24" i="115"/>
  <c r="K24" i="115"/>
  <c r="L24" i="115"/>
  <c r="M24" i="115"/>
  <c r="D25" i="115"/>
  <c r="E25" i="115"/>
  <c r="F25" i="115"/>
  <c r="G25" i="115"/>
  <c r="H25" i="115"/>
  <c r="I25" i="115"/>
  <c r="J25" i="115"/>
  <c r="K25" i="115"/>
  <c r="L25" i="115"/>
  <c r="M25" i="115"/>
  <c r="D26" i="115"/>
  <c r="E26" i="115"/>
  <c r="F26" i="115"/>
  <c r="G26" i="115"/>
  <c r="H26" i="115"/>
  <c r="I26" i="115"/>
  <c r="J26" i="115"/>
  <c r="K26" i="115"/>
  <c r="L26" i="115"/>
  <c r="M26" i="115"/>
  <c r="D27" i="115"/>
  <c r="E27" i="115"/>
  <c r="F27" i="115"/>
  <c r="G27" i="115"/>
  <c r="H27" i="115"/>
  <c r="I27" i="115"/>
  <c r="J27" i="115"/>
  <c r="K27" i="115"/>
  <c r="L27" i="115"/>
  <c r="M27" i="115"/>
  <c r="D28" i="115"/>
  <c r="E28" i="115"/>
  <c r="F28" i="115"/>
  <c r="G28" i="115"/>
  <c r="H28" i="115"/>
  <c r="I28" i="115"/>
  <c r="J28" i="115"/>
  <c r="K28" i="115"/>
  <c r="L28" i="115"/>
  <c r="M28" i="115"/>
  <c r="D29" i="115"/>
  <c r="E29" i="115"/>
  <c r="F29" i="115"/>
  <c r="G29" i="115"/>
  <c r="H29" i="115"/>
  <c r="I29" i="115"/>
  <c r="J29" i="115"/>
  <c r="K29" i="115"/>
  <c r="L29" i="115"/>
  <c r="M29" i="115"/>
  <c r="D30" i="115"/>
  <c r="E30" i="115"/>
  <c r="F30" i="115"/>
  <c r="G30" i="115"/>
  <c r="H30" i="115"/>
  <c r="I30" i="115"/>
  <c r="J30" i="115"/>
  <c r="K30" i="115"/>
  <c r="L30" i="115"/>
  <c r="M30" i="115"/>
  <c r="D31" i="115"/>
  <c r="E31" i="115"/>
  <c r="F31" i="115"/>
  <c r="G31" i="115"/>
  <c r="H31" i="115"/>
  <c r="I31" i="115"/>
  <c r="J31" i="115"/>
  <c r="K31" i="115"/>
  <c r="L31" i="115"/>
  <c r="M31" i="115"/>
  <c r="D32" i="115"/>
  <c r="E32" i="115"/>
  <c r="F32" i="115"/>
  <c r="G32" i="115"/>
  <c r="H32" i="115"/>
  <c r="I32" i="115"/>
  <c r="J32" i="115"/>
  <c r="K32" i="115"/>
  <c r="L32" i="115"/>
  <c r="M32" i="115"/>
  <c r="D33" i="115"/>
  <c r="E33" i="115"/>
  <c r="F33" i="115"/>
  <c r="G33" i="115"/>
  <c r="H33" i="115"/>
  <c r="I33" i="115"/>
  <c r="J33" i="115"/>
  <c r="K33" i="115"/>
  <c r="L33" i="115"/>
  <c r="M33" i="115"/>
  <c r="D34" i="115"/>
  <c r="E34" i="115"/>
  <c r="F34" i="115"/>
  <c r="G34" i="115"/>
  <c r="H34" i="115"/>
  <c r="I34" i="115"/>
  <c r="J34" i="115"/>
  <c r="K34" i="115"/>
  <c r="L34" i="115"/>
  <c r="M34" i="115"/>
  <c r="D35" i="115"/>
  <c r="E35" i="115"/>
  <c r="F35" i="115"/>
  <c r="G35" i="115"/>
  <c r="H35" i="115"/>
  <c r="I35" i="115"/>
  <c r="J35" i="115"/>
  <c r="K35" i="115"/>
  <c r="L35" i="115"/>
  <c r="M35" i="115"/>
  <c r="D36" i="115"/>
  <c r="E36" i="115"/>
  <c r="F36" i="115"/>
  <c r="G36" i="115"/>
  <c r="H36" i="115"/>
  <c r="I36" i="115"/>
  <c r="J36" i="115"/>
  <c r="K36" i="115"/>
  <c r="L36" i="115"/>
  <c r="M36" i="115"/>
  <c r="D37" i="115"/>
  <c r="E37" i="115"/>
  <c r="F37" i="115"/>
  <c r="G37" i="115"/>
  <c r="H37" i="115"/>
  <c r="I37" i="115"/>
  <c r="J37" i="115"/>
  <c r="K37" i="115"/>
  <c r="L37" i="115"/>
  <c r="M37" i="115"/>
  <c r="D38" i="115"/>
  <c r="E38" i="115"/>
  <c r="F38" i="115"/>
  <c r="G38" i="115"/>
  <c r="H38" i="115"/>
  <c r="I38" i="115"/>
  <c r="J38" i="115"/>
  <c r="K38" i="115"/>
  <c r="L38" i="115"/>
  <c r="M38" i="115"/>
  <c r="D39" i="115"/>
  <c r="E39" i="115"/>
  <c r="F39" i="115"/>
  <c r="G39" i="115"/>
  <c r="H39" i="115"/>
  <c r="I39" i="115"/>
  <c r="J39" i="115"/>
  <c r="K39" i="115"/>
  <c r="L39" i="115"/>
  <c r="M39" i="115"/>
  <c r="D40" i="115"/>
  <c r="E40" i="115"/>
  <c r="F40" i="115"/>
  <c r="G40" i="115"/>
  <c r="H40" i="115"/>
  <c r="I40" i="115"/>
  <c r="J40" i="115"/>
  <c r="K40" i="115"/>
  <c r="L40" i="115"/>
  <c r="M40" i="115"/>
  <c r="D41" i="115"/>
  <c r="E41" i="115"/>
  <c r="F41" i="115"/>
  <c r="G41" i="115"/>
  <c r="H41" i="115"/>
  <c r="I41" i="115"/>
  <c r="J41" i="115"/>
  <c r="K41" i="115"/>
  <c r="L41" i="115"/>
  <c r="M41" i="115"/>
  <c r="D42" i="115"/>
  <c r="E42" i="115"/>
  <c r="F42" i="115"/>
  <c r="G42" i="115"/>
  <c r="H42" i="115"/>
  <c r="I42" i="115"/>
  <c r="J42" i="115"/>
  <c r="K42" i="115"/>
  <c r="L42" i="115"/>
  <c r="M42" i="115"/>
  <c r="D43" i="115"/>
  <c r="E43" i="115"/>
  <c r="F43" i="115"/>
  <c r="G43" i="115"/>
  <c r="H43" i="115"/>
  <c r="I43" i="115"/>
  <c r="J43" i="115"/>
  <c r="K43" i="115"/>
  <c r="L43" i="115"/>
  <c r="M43" i="115"/>
  <c r="D44" i="115"/>
  <c r="E44" i="115"/>
  <c r="F44" i="115"/>
  <c r="G44" i="115"/>
  <c r="H44" i="115"/>
  <c r="I44" i="115"/>
  <c r="J44" i="115"/>
  <c r="K44" i="115"/>
  <c r="L44" i="115"/>
  <c r="M44" i="115"/>
  <c r="D45" i="115"/>
  <c r="E45" i="115"/>
  <c r="F45" i="115"/>
  <c r="G45" i="115"/>
  <c r="H45" i="115"/>
  <c r="I45" i="115"/>
  <c r="J45" i="115"/>
  <c r="K45" i="115"/>
  <c r="L45" i="115"/>
  <c r="M45" i="115"/>
  <c r="D46" i="115"/>
  <c r="E46" i="115"/>
  <c r="F46" i="115"/>
  <c r="G46" i="115"/>
  <c r="H46" i="115"/>
  <c r="I46" i="115"/>
  <c r="J46" i="115"/>
  <c r="K46" i="115"/>
  <c r="L46" i="115"/>
  <c r="M46" i="115"/>
  <c r="D47" i="115"/>
  <c r="E47" i="115"/>
  <c r="F47" i="115"/>
  <c r="G47" i="115"/>
  <c r="H47" i="115"/>
  <c r="I47" i="115"/>
  <c r="J47" i="115"/>
  <c r="K47" i="115"/>
  <c r="L47" i="115"/>
  <c r="M47" i="115"/>
  <c r="D48" i="115"/>
  <c r="E48" i="115"/>
  <c r="F48" i="115"/>
  <c r="G48" i="115"/>
  <c r="H48" i="115"/>
  <c r="I48" i="115"/>
  <c r="J48" i="115"/>
  <c r="K48" i="115"/>
  <c r="L48" i="115"/>
  <c r="M48" i="115"/>
  <c r="D49" i="115"/>
  <c r="E49" i="115"/>
  <c r="F49" i="115"/>
  <c r="G49" i="115"/>
  <c r="H49" i="115"/>
  <c r="I49" i="115"/>
  <c r="J49" i="115"/>
  <c r="K49" i="115"/>
  <c r="L49" i="115"/>
  <c r="M49" i="115"/>
  <c r="D50" i="115"/>
  <c r="E50" i="115"/>
  <c r="F50" i="115"/>
  <c r="G50" i="115"/>
  <c r="H50" i="115"/>
  <c r="I50" i="115"/>
  <c r="J50" i="115"/>
  <c r="K50" i="115"/>
  <c r="L50" i="115"/>
  <c r="M50" i="115"/>
  <c r="D51" i="115"/>
  <c r="E51" i="115"/>
  <c r="F51" i="115"/>
  <c r="G51" i="115"/>
  <c r="H51" i="115"/>
  <c r="I51" i="115"/>
  <c r="J51" i="115"/>
  <c r="K51" i="115"/>
  <c r="L51" i="115"/>
  <c r="M51" i="115"/>
  <c r="D52" i="115"/>
  <c r="E52" i="115"/>
  <c r="F52" i="115"/>
  <c r="G52" i="115"/>
  <c r="H52" i="115"/>
  <c r="I52" i="115"/>
  <c r="J52" i="115"/>
  <c r="K52" i="115"/>
  <c r="L52" i="115"/>
  <c r="M52" i="115"/>
  <c r="D53" i="115"/>
  <c r="E53" i="115"/>
  <c r="F53" i="115"/>
  <c r="G53" i="115"/>
  <c r="H53" i="115"/>
  <c r="I53" i="115"/>
  <c r="J53" i="115"/>
  <c r="K53" i="115"/>
  <c r="L53" i="115"/>
  <c r="M53" i="115"/>
  <c r="D54" i="115"/>
  <c r="E54" i="115"/>
  <c r="F54" i="115"/>
  <c r="G54" i="115"/>
  <c r="H54" i="115"/>
  <c r="I54" i="115"/>
  <c r="J54" i="115"/>
  <c r="K54" i="115"/>
  <c r="L54" i="115"/>
  <c r="M54" i="115"/>
  <c r="D55" i="115"/>
  <c r="E55" i="115"/>
  <c r="F55" i="115"/>
  <c r="G55" i="115"/>
  <c r="H55" i="115"/>
  <c r="I55" i="115"/>
  <c r="J55" i="115"/>
  <c r="K55" i="115"/>
  <c r="L55" i="115"/>
  <c r="M55" i="115"/>
  <c r="D56" i="115"/>
  <c r="E56" i="115"/>
  <c r="F56" i="115"/>
  <c r="G56" i="115"/>
  <c r="H56" i="115"/>
  <c r="I56" i="115"/>
  <c r="J56" i="115"/>
  <c r="K56" i="115"/>
  <c r="L56" i="115"/>
  <c r="M56" i="115"/>
  <c r="D57" i="115"/>
  <c r="E57" i="115"/>
  <c r="F57" i="115"/>
  <c r="G57" i="115"/>
  <c r="H57" i="115"/>
  <c r="I57" i="115"/>
  <c r="J57" i="115"/>
  <c r="K57" i="115"/>
  <c r="L57" i="115"/>
  <c r="M57" i="115"/>
  <c r="D58" i="115"/>
  <c r="E58" i="115"/>
  <c r="F58" i="115"/>
  <c r="G58" i="115"/>
  <c r="H58" i="115"/>
  <c r="I58" i="115"/>
  <c r="J58" i="115"/>
  <c r="K58" i="115"/>
  <c r="L58" i="115"/>
  <c r="M58" i="115"/>
  <c r="D59" i="115"/>
  <c r="E59" i="115"/>
  <c r="F59" i="115"/>
  <c r="G59" i="115"/>
  <c r="H59" i="115"/>
  <c r="I59" i="115"/>
  <c r="J59" i="115"/>
  <c r="K59" i="115"/>
  <c r="L59" i="115"/>
  <c r="M59" i="115"/>
  <c r="D60" i="115"/>
  <c r="E60" i="115"/>
  <c r="F60" i="115"/>
  <c r="G60" i="115"/>
  <c r="H60" i="115"/>
  <c r="I60" i="115"/>
  <c r="J60" i="115"/>
  <c r="K60" i="115"/>
  <c r="L60" i="115"/>
  <c r="M60" i="115"/>
  <c r="D61" i="115"/>
  <c r="E61" i="115"/>
  <c r="F61" i="115"/>
  <c r="G61" i="115"/>
  <c r="H61" i="115"/>
  <c r="I61" i="115"/>
  <c r="J61" i="115"/>
  <c r="K61" i="115"/>
  <c r="L61" i="115"/>
  <c r="M61" i="115"/>
  <c r="D62" i="115"/>
  <c r="E62" i="115"/>
  <c r="F62" i="115"/>
  <c r="G62" i="115"/>
  <c r="H62" i="115"/>
  <c r="I62" i="115"/>
  <c r="J62" i="115"/>
  <c r="K62" i="115"/>
  <c r="L62" i="115"/>
  <c r="M62" i="115"/>
  <c r="D63" i="115"/>
  <c r="E63" i="115"/>
  <c r="F63" i="115"/>
  <c r="G63" i="115"/>
  <c r="H63" i="115"/>
  <c r="I63" i="115"/>
  <c r="J63" i="115"/>
  <c r="K63" i="115"/>
  <c r="L63" i="115"/>
  <c r="M63" i="115"/>
  <c r="D64" i="115"/>
  <c r="E64" i="115"/>
  <c r="F64" i="115"/>
  <c r="G64" i="115"/>
  <c r="H64" i="115"/>
  <c r="I64" i="115"/>
  <c r="J64" i="115"/>
  <c r="K64" i="115"/>
  <c r="L64" i="115"/>
  <c r="M64" i="115"/>
  <c r="D65" i="115"/>
  <c r="E65" i="115"/>
  <c r="F65" i="115"/>
  <c r="G65" i="115"/>
  <c r="H65" i="115"/>
  <c r="I65" i="115"/>
  <c r="J65" i="115"/>
  <c r="K65" i="115"/>
  <c r="L65" i="115"/>
  <c r="M65" i="115"/>
  <c r="D66" i="115"/>
  <c r="E66" i="115"/>
  <c r="F66" i="115"/>
  <c r="G66" i="115"/>
  <c r="H66" i="115"/>
  <c r="I66" i="115"/>
  <c r="J66" i="115"/>
  <c r="K66" i="115"/>
  <c r="L66" i="115"/>
  <c r="M66" i="115"/>
  <c r="D67" i="115"/>
  <c r="E67" i="115"/>
  <c r="F67" i="115"/>
  <c r="G67" i="115"/>
  <c r="H67" i="115"/>
  <c r="I67" i="115"/>
  <c r="J67" i="115"/>
  <c r="K67" i="115"/>
  <c r="L67" i="115"/>
  <c r="M67" i="115"/>
  <c r="D68" i="115"/>
  <c r="E68" i="115"/>
  <c r="F68" i="115"/>
  <c r="G68" i="115"/>
  <c r="H68" i="115"/>
  <c r="I68" i="115"/>
  <c r="J68" i="115"/>
  <c r="K68" i="115"/>
  <c r="L68" i="115"/>
  <c r="M68" i="115"/>
  <c r="D69" i="115"/>
  <c r="E69" i="115"/>
  <c r="F69" i="115"/>
  <c r="G69" i="115"/>
  <c r="H69" i="115"/>
  <c r="I69" i="115"/>
  <c r="J69" i="115"/>
  <c r="K69" i="115"/>
  <c r="L69" i="115"/>
  <c r="M69" i="115"/>
  <c r="D70" i="115"/>
  <c r="E70" i="115"/>
  <c r="F70" i="115"/>
  <c r="G70" i="115"/>
  <c r="H70" i="115"/>
  <c r="I70" i="115"/>
  <c r="J70" i="115"/>
  <c r="K70" i="115"/>
  <c r="L70" i="115"/>
  <c r="M70" i="115"/>
  <c r="D71" i="115"/>
  <c r="E71" i="115"/>
  <c r="F71" i="115"/>
  <c r="G71" i="115"/>
  <c r="H71" i="115"/>
  <c r="I71" i="115"/>
  <c r="J71" i="115"/>
  <c r="K71" i="115"/>
  <c r="L71" i="115"/>
  <c r="M71" i="115"/>
  <c r="D72" i="115"/>
  <c r="E72" i="115"/>
  <c r="F72" i="115"/>
  <c r="G72" i="115"/>
  <c r="H72" i="115"/>
  <c r="I72" i="115"/>
  <c r="J72" i="115"/>
  <c r="K72" i="115"/>
  <c r="L72" i="115"/>
  <c r="M72" i="115"/>
  <c r="D73" i="115"/>
  <c r="E73" i="115"/>
  <c r="F73" i="115"/>
  <c r="G73" i="115"/>
  <c r="H73" i="115"/>
  <c r="I73" i="115"/>
  <c r="J73" i="115"/>
  <c r="K73" i="115"/>
  <c r="L73" i="115"/>
  <c r="M73" i="115"/>
  <c r="D74" i="115"/>
  <c r="E74" i="115"/>
  <c r="F74" i="115"/>
  <c r="G74" i="115"/>
  <c r="H74" i="115"/>
  <c r="I74" i="115"/>
  <c r="J74" i="115"/>
  <c r="K74" i="115"/>
  <c r="L74" i="115"/>
  <c r="M74" i="115"/>
  <c r="D75" i="115"/>
  <c r="E75" i="115"/>
  <c r="F75" i="115"/>
  <c r="G75" i="115"/>
  <c r="H75" i="115"/>
  <c r="I75" i="115"/>
  <c r="J75" i="115"/>
  <c r="K75" i="115"/>
  <c r="L75" i="115"/>
  <c r="M75" i="115"/>
  <c r="M76" i="115"/>
  <c r="M82" i="115"/>
  <c r="M85" i="115"/>
  <c r="O15" i="137"/>
  <c r="Q73" i="31"/>
  <c r="Q74" i="31"/>
  <c r="Q12" i="46"/>
  <c r="Q15" i="46"/>
  <c r="Q17" i="46"/>
  <c r="O76" i="113"/>
  <c r="O77" i="114"/>
  <c r="O76" i="115"/>
  <c r="C5" i="137"/>
  <c r="D5" i="137"/>
  <c r="E5" i="137"/>
  <c r="G5" i="137"/>
  <c r="H5" i="137"/>
  <c r="I5" i="137"/>
  <c r="J5" i="137"/>
  <c r="K5" i="137"/>
  <c r="L5" i="137"/>
  <c r="M5" i="137"/>
  <c r="C6" i="137"/>
  <c r="D6" i="137"/>
  <c r="E6" i="137"/>
  <c r="G6" i="137"/>
  <c r="H6" i="137"/>
  <c r="I6" i="137"/>
  <c r="J6" i="137"/>
  <c r="K6" i="137"/>
  <c r="L6" i="137"/>
  <c r="M6" i="137"/>
  <c r="D8" i="137"/>
  <c r="E8" i="137"/>
  <c r="C7" i="137"/>
  <c r="D7" i="137"/>
  <c r="E7" i="137"/>
  <c r="E9" i="137"/>
  <c r="C9" i="137"/>
  <c r="G9" i="137"/>
  <c r="H9" i="137"/>
  <c r="I9" i="137"/>
  <c r="J9" i="137"/>
  <c r="K9" i="137"/>
  <c r="L9" i="137"/>
  <c r="M9" i="137"/>
  <c r="C10" i="137"/>
  <c r="D10" i="137"/>
  <c r="E10" i="137"/>
  <c r="G10" i="137"/>
  <c r="H10" i="137"/>
  <c r="I10" i="137"/>
  <c r="J10" i="137"/>
  <c r="K10" i="137"/>
  <c r="L10" i="137"/>
  <c r="M10" i="137"/>
  <c r="C11" i="137"/>
  <c r="D11" i="137"/>
  <c r="E11" i="137"/>
  <c r="G11" i="137"/>
  <c r="H11" i="137"/>
  <c r="I11" i="137"/>
  <c r="J11" i="137"/>
  <c r="K11" i="137"/>
  <c r="L11" i="137"/>
  <c r="M11" i="137"/>
  <c r="C12" i="137"/>
  <c r="D12" i="137"/>
  <c r="E12" i="137"/>
  <c r="G12" i="137"/>
  <c r="H12" i="137"/>
  <c r="I12" i="137"/>
  <c r="J12" i="137"/>
  <c r="K12" i="137"/>
  <c r="L12" i="137"/>
  <c r="M12" i="137"/>
  <c r="C13" i="137"/>
  <c r="D13" i="137"/>
  <c r="E13" i="137"/>
  <c r="G13" i="137"/>
  <c r="H13" i="137"/>
  <c r="I13" i="137"/>
  <c r="J13" i="137"/>
  <c r="K13" i="137"/>
  <c r="L13" i="137"/>
  <c r="M13" i="137"/>
  <c r="C14" i="137"/>
  <c r="D14" i="137"/>
  <c r="E14" i="137"/>
  <c r="G14" i="137"/>
  <c r="H14" i="137"/>
  <c r="I14" i="137"/>
  <c r="J14" i="137"/>
  <c r="K14" i="137"/>
  <c r="L14" i="137"/>
  <c r="M14" i="137"/>
  <c r="M15" i="137"/>
  <c r="C15" i="137"/>
  <c r="E15" i="137"/>
  <c r="G15" i="137"/>
  <c r="H15" i="137"/>
  <c r="I15" i="137"/>
  <c r="K15" i="137"/>
  <c r="L15" i="137"/>
  <c r="N5" i="137"/>
  <c r="N6" i="137"/>
  <c r="N9" i="137"/>
  <c r="N10" i="137"/>
  <c r="N11" i="137"/>
  <c r="N12" i="137"/>
  <c r="N13" i="137"/>
  <c r="N14" i="137"/>
  <c r="N15" i="137"/>
  <c r="P5" i="137"/>
  <c r="P6" i="137"/>
  <c r="P9" i="137"/>
  <c r="P10" i="137"/>
  <c r="P11" i="137"/>
  <c r="P12" i="137"/>
  <c r="P13" i="137"/>
  <c r="P14" i="137"/>
  <c r="P15" i="137"/>
  <c r="Q5" i="137"/>
  <c r="Q6" i="137"/>
  <c r="Q9" i="137"/>
  <c r="Q10" i="137"/>
  <c r="Q11" i="137"/>
  <c r="Q12" i="137"/>
  <c r="Q13" i="137"/>
  <c r="Q14" i="137"/>
  <c r="Q15" i="137"/>
  <c r="R5" i="137"/>
  <c r="R6" i="137"/>
  <c r="R9" i="137"/>
  <c r="R10" i="137"/>
  <c r="R11" i="137"/>
  <c r="R12" i="137"/>
  <c r="R13" i="137"/>
  <c r="R14" i="137"/>
  <c r="R15" i="137"/>
  <c r="S5" i="137"/>
  <c r="S6" i="137"/>
  <c r="S9" i="137"/>
  <c r="S10" i="137"/>
  <c r="S11" i="137"/>
  <c r="S12" i="137"/>
  <c r="S13" i="137"/>
  <c r="S14" i="137"/>
  <c r="S15" i="137"/>
  <c r="T5" i="137"/>
  <c r="T6" i="137"/>
  <c r="T9" i="137"/>
  <c r="T10" i="137"/>
  <c r="T11" i="137"/>
  <c r="T12" i="137"/>
  <c r="T13" i="137"/>
  <c r="T14" i="137"/>
  <c r="T15" i="137"/>
  <c r="U5" i="137"/>
  <c r="U6" i="137"/>
  <c r="U9" i="137"/>
  <c r="U10" i="137"/>
  <c r="U11" i="137"/>
  <c r="U12" i="137"/>
  <c r="U13" i="137"/>
  <c r="U14" i="137"/>
  <c r="U15" i="137"/>
  <c r="V18" i="137"/>
  <c r="V5" i="137"/>
  <c r="V6" i="137"/>
  <c r="V9" i="137"/>
  <c r="V10" i="137"/>
  <c r="V11" i="137"/>
  <c r="V12" i="137"/>
  <c r="V13" i="137"/>
  <c r="V14" i="137"/>
  <c r="V15" i="137"/>
  <c r="W5" i="137"/>
  <c r="W6" i="137"/>
  <c r="W9" i="137"/>
  <c r="W10" i="137"/>
  <c r="W11" i="137"/>
  <c r="W12" i="137"/>
  <c r="W13" i="137"/>
  <c r="W14" i="137"/>
  <c r="W15" i="137"/>
  <c r="X5" i="137"/>
  <c r="X6" i="137"/>
  <c r="X9" i="137"/>
  <c r="X10" i="137"/>
  <c r="X11" i="137"/>
  <c r="X12" i="137"/>
  <c r="X13" i="137"/>
  <c r="X14" i="137"/>
  <c r="X15" i="137"/>
  <c r="Y5" i="137"/>
  <c r="Y6" i="137"/>
  <c r="Y9" i="137"/>
  <c r="Y10" i="137"/>
  <c r="Y11" i="137"/>
  <c r="Y12" i="137"/>
  <c r="Y13" i="137"/>
  <c r="Y14" i="137"/>
  <c r="Y15" i="137"/>
  <c r="Z5" i="137"/>
  <c r="Z6" i="137"/>
  <c r="Z9" i="137"/>
  <c r="Z10" i="137"/>
  <c r="Z11" i="137"/>
  <c r="Z12" i="137"/>
  <c r="Z13" i="137"/>
  <c r="Z14" i="137"/>
  <c r="Z15" i="137"/>
  <c r="Y4" i="1"/>
  <c r="D4" i="1"/>
  <c r="E4" i="1"/>
  <c r="F4" i="1"/>
  <c r="G4" i="1"/>
  <c r="H4" i="1"/>
  <c r="I4" i="1"/>
  <c r="J4" i="1"/>
  <c r="K4" i="1"/>
  <c r="C4" i="1"/>
  <c r="L4" i="1"/>
  <c r="M4" i="1"/>
  <c r="N4" i="1"/>
  <c r="O4" i="1"/>
  <c r="P4" i="1"/>
  <c r="Q1" i="1"/>
  <c r="Q4" i="1"/>
  <c r="R4" i="1"/>
  <c r="AB4" i="1"/>
  <c r="Y5" i="1"/>
  <c r="D5" i="1"/>
  <c r="E5" i="1"/>
  <c r="F5" i="1"/>
  <c r="G5" i="1"/>
  <c r="H5" i="1"/>
  <c r="I5" i="1"/>
  <c r="J5" i="1"/>
  <c r="K5" i="1"/>
  <c r="C5" i="1"/>
  <c r="L5" i="1"/>
  <c r="M5" i="1"/>
  <c r="N5" i="1"/>
  <c r="O5" i="1"/>
  <c r="P5" i="1"/>
  <c r="Q5" i="1"/>
  <c r="R5" i="1"/>
  <c r="AB5" i="1"/>
  <c r="Y6" i="1"/>
  <c r="D6" i="1"/>
  <c r="E6" i="1"/>
  <c r="F6" i="1"/>
  <c r="G6" i="1"/>
  <c r="H6" i="1"/>
  <c r="I6" i="1"/>
  <c r="J6" i="1"/>
  <c r="K6" i="1"/>
  <c r="C6" i="1"/>
  <c r="L6" i="1"/>
  <c r="M6" i="1"/>
  <c r="N6" i="1"/>
  <c r="O6" i="1"/>
  <c r="P6" i="1"/>
  <c r="Q6" i="1"/>
  <c r="R6" i="1"/>
  <c r="AB6" i="1"/>
  <c r="Y7" i="1"/>
  <c r="D7" i="1"/>
  <c r="E7" i="1"/>
  <c r="F7" i="1"/>
  <c r="G7" i="1"/>
  <c r="H7" i="1"/>
  <c r="I7" i="1"/>
  <c r="J7" i="1"/>
  <c r="K7" i="1"/>
  <c r="C7" i="1"/>
  <c r="L7" i="1"/>
  <c r="M7" i="1"/>
  <c r="N7" i="1"/>
  <c r="O7" i="1"/>
  <c r="P7" i="1"/>
  <c r="Q7" i="1"/>
  <c r="R7" i="1"/>
  <c r="AB7" i="1"/>
  <c r="Y8" i="1"/>
  <c r="D8" i="1"/>
  <c r="E8" i="1"/>
  <c r="F8" i="1"/>
  <c r="G8" i="1"/>
  <c r="H8" i="1"/>
  <c r="I8" i="1"/>
  <c r="J8" i="1"/>
  <c r="K8" i="1"/>
  <c r="C8" i="1"/>
  <c r="L8" i="1"/>
  <c r="M8" i="1"/>
  <c r="N8" i="1"/>
  <c r="O8" i="1"/>
  <c r="P8" i="1"/>
  <c r="Q8" i="1"/>
  <c r="R8" i="1"/>
  <c r="AB8" i="1"/>
  <c r="Y9" i="1"/>
  <c r="D9" i="1"/>
  <c r="E9" i="1"/>
  <c r="F9" i="1"/>
  <c r="G9" i="1"/>
  <c r="H9" i="1"/>
  <c r="I9" i="1"/>
  <c r="J9" i="1"/>
  <c r="K9" i="1"/>
  <c r="C9" i="1"/>
  <c r="L9" i="1"/>
  <c r="M9" i="1"/>
  <c r="N9" i="1"/>
  <c r="O9" i="1"/>
  <c r="P9" i="1"/>
  <c r="Q9" i="1"/>
  <c r="R9" i="1"/>
  <c r="AB9" i="1"/>
  <c r="Y10" i="1"/>
  <c r="D10" i="1"/>
  <c r="E10" i="1"/>
  <c r="F10" i="1"/>
  <c r="G10" i="1"/>
  <c r="H10" i="1"/>
  <c r="I10" i="1"/>
  <c r="J10" i="1"/>
  <c r="K10" i="1"/>
  <c r="C10" i="1"/>
  <c r="L10" i="1"/>
  <c r="M10" i="1"/>
  <c r="N10" i="1"/>
  <c r="O10" i="1"/>
  <c r="P10" i="1"/>
  <c r="Q10" i="1"/>
  <c r="R10" i="1"/>
  <c r="AB10" i="1"/>
  <c r="Y11" i="1"/>
  <c r="D11" i="1"/>
  <c r="E11" i="1"/>
  <c r="F11" i="1"/>
  <c r="G11" i="1"/>
  <c r="H11" i="1"/>
  <c r="I11" i="1"/>
  <c r="J11" i="1"/>
  <c r="K11" i="1"/>
  <c r="C11" i="1"/>
  <c r="L11" i="1"/>
  <c r="M11" i="1"/>
  <c r="N11" i="1"/>
  <c r="O11" i="1"/>
  <c r="P11" i="1"/>
  <c r="Q11" i="1"/>
  <c r="R11" i="1"/>
  <c r="AB11" i="1"/>
  <c r="Y12" i="1"/>
  <c r="D12" i="1"/>
  <c r="E12" i="1"/>
  <c r="F12" i="1"/>
  <c r="G12" i="1"/>
  <c r="H12" i="1"/>
  <c r="I12" i="1"/>
  <c r="J12" i="1"/>
  <c r="K12" i="1"/>
  <c r="C12" i="1"/>
  <c r="L12" i="1"/>
  <c r="M12" i="1"/>
  <c r="N12" i="1"/>
  <c r="O12" i="1"/>
  <c r="P12" i="1"/>
  <c r="Q12" i="1"/>
  <c r="R12" i="1"/>
  <c r="AB12" i="1"/>
  <c r="Y13" i="1"/>
  <c r="D13" i="1"/>
  <c r="E13" i="1"/>
  <c r="F13" i="1"/>
  <c r="G13" i="1"/>
  <c r="H13" i="1"/>
  <c r="I13" i="1"/>
  <c r="J13" i="1"/>
  <c r="K13" i="1"/>
  <c r="C13" i="1"/>
  <c r="L13" i="1"/>
  <c r="M13" i="1"/>
  <c r="N13" i="1"/>
  <c r="O13" i="1"/>
  <c r="P13" i="1"/>
  <c r="Q13" i="1"/>
  <c r="R13" i="1"/>
  <c r="AB13" i="1"/>
  <c r="Y14" i="1"/>
  <c r="D14" i="1"/>
  <c r="E14" i="1"/>
  <c r="F14" i="1"/>
  <c r="G14" i="1"/>
  <c r="H14" i="1"/>
  <c r="I14" i="1"/>
  <c r="J14" i="1"/>
  <c r="K14" i="1"/>
  <c r="C14" i="1"/>
  <c r="L14" i="1"/>
  <c r="M14" i="1"/>
  <c r="N14" i="1"/>
  <c r="O14" i="1"/>
  <c r="P14" i="1"/>
  <c r="Q14" i="1"/>
  <c r="R14" i="1"/>
  <c r="AB14" i="1"/>
  <c r="Y15" i="1"/>
  <c r="D15" i="1"/>
  <c r="E15" i="1"/>
  <c r="F15" i="1"/>
  <c r="G15" i="1"/>
  <c r="H15" i="1"/>
  <c r="I15" i="1"/>
  <c r="J15" i="1"/>
  <c r="K15" i="1"/>
  <c r="C15" i="1"/>
  <c r="L15" i="1"/>
  <c r="M15" i="1"/>
  <c r="N15" i="1"/>
  <c r="O15" i="1"/>
  <c r="P15" i="1"/>
  <c r="Q15" i="1"/>
  <c r="R15" i="1"/>
  <c r="AB15" i="1"/>
  <c r="Y16" i="1"/>
  <c r="D16" i="1"/>
  <c r="E16" i="1"/>
  <c r="F16" i="1"/>
  <c r="G16" i="1"/>
  <c r="H16" i="1"/>
  <c r="I16" i="1"/>
  <c r="J16" i="1"/>
  <c r="K16" i="1"/>
  <c r="C16" i="1"/>
  <c r="L16" i="1"/>
  <c r="M16" i="1"/>
  <c r="N16" i="1"/>
  <c r="O16" i="1"/>
  <c r="P16" i="1"/>
  <c r="Q16" i="1"/>
  <c r="R16" i="1"/>
  <c r="AB16" i="1"/>
  <c r="Y17" i="1"/>
  <c r="D17" i="1"/>
  <c r="E17" i="1"/>
  <c r="F17" i="1"/>
  <c r="G17" i="1"/>
  <c r="H17" i="1"/>
  <c r="I17" i="1"/>
  <c r="J17" i="1"/>
  <c r="K17" i="1"/>
  <c r="C17" i="1"/>
  <c r="L17" i="1"/>
  <c r="M17" i="1"/>
  <c r="N17" i="1"/>
  <c r="O17" i="1"/>
  <c r="P17" i="1"/>
  <c r="Q17" i="1"/>
  <c r="R17" i="1"/>
  <c r="AB17" i="1"/>
  <c r="Y18" i="1"/>
  <c r="D18" i="1"/>
  <c r="E18" i="1"/>
  <c r="F18" i="1"/>
  <c r="G18" i="1"/>
  <c r="H18" i="1"/>
  <c r="I18" i="1"/>
  <c r="J18" i="1"/>
  <c r="K18" i="1"/>
  <c r="C18" i="1"/>
  <c r="L18" i="1"/>
  <c r="M18" i="1"/>
  <c r="N18" i="1"/>
  <c r="O18" i="1"/>
  <c r="P18" i="1"/>
  <c r="Q18" i="1"/>
  <c r="R18" i="1"/>
  <c r="AB18" i="1"/>
  <c r="Y19" i="1"/>
  <c r="D19" i="1"/>
  <c r="E19" i="1"/>
  <c r="F19" i="1"/>
  <c r="G19" i="1"/>
  <c r="H19" i="1"/>
  <c r="I19" i="1"/>
  <c r="J19" i="1"/>
  <c r="K19" i="1"/>
  <c r="C19" i="1"/>
  <c r="L19" i="1"/>
  <c r="M19" i="1"/>
  <c r="N19" i="1"/>
  <c r="O19" i="1"/>
  <c r="P19" i="1"/>
  <c r="Q19" i="1"/>
  <c r="R19" i="1"/>
  <c r="AB19" i="1"/>
  <c r="Y20" i="1"/>
  <c r="D20" i="1"/>
  <c r="E20" i="1"/>
  <c r="F20" i="1"/>
  <c r="G20" i="1"/>
  <c r="H20" i="1"/>
  <c r="I20" i="1"/>
  <c r="J20" i="1"/>
  <c r="K20" i="1"/>
  <c r="C20" i="1"/>
  <c r="L20" i="1"/>
  <c r="M20" i="1"/>
  <c r="N20" i="1"/>
  <c r="O20" i="1"/>
  <c r="P20" i="1"/>
  <c r="Q20" i="1"/>
  <c r="R20" i="1"/>
  <c r="AB20" i="1"/>
  <c r="Y21" i="1"/>
  <c r="D21" i="1"/>
  <c r="E21" i="1"/>
  <c r="F21" i="1"/>
  <c r="G21" i="1"/>
  <c r="H21" i="1"/>
  <c r="I21" i="1"/>
  <c r="J21" i="1"/>
  <c r="K21" i="1"/>
  <c r="C21" i="1"/>
  <c r="L21" i="1"/>
  <c r="M21" i="1"/>
  <c r="N21" i="1"/>
  <c r="O21" i="1"/>
  <c r="P21" i="1"/>
  <c r="Q21" i="1"/>
  <c r="R21" i="1"/>
  <c r="AB21" i="1"/>
  <c r="Y22" i="1"/>
  <c r="D22" i="1"/>
  <c r="E22" i="1"/>
  <c r="F22" i="1"/>
  <c r="G22" i="1"/>
  <c r="H22" i="1"/>
  <c r="I22" i="1"/>
  <c r="J22" i="1"/>
  <c r="K22" i="1"/>
  <c r="C22" i="1"/>
  <c r="L22" i="1"/>
  <c r="M22" i="1"/>
  <c r="N22" i="1"/>
  <c r="O22" i="1"/>
  <c r="P22" i="1"/>
  <c r="Q22" i="1"/>
  <c r="R22" i="1"/>
  <c r="AB22" i="1"/>
  <c r="Y23" i="1"/>
  <c r="D23" i="1"/>
  <c r="E23" i="1"/>
  <c r="F23" i="1"/>
  <c r="G23" i="1"/>
  <c r="H23" i="1"/>
  <c r="I23" i="1"/>
  <c r="J23" i="1"/>
  <c r="K23" i="1"/>
  <c r="C23" i="1"/>
  <c r="L23" i="1"/>
  <c r="M23" i="1"/>
  <c r="N23" i="1"/>
  <c r="O23" i="1"/>
  <c r="P23" i="1"/>
  <c r="Q23" i="1"/>
  <c r="R23" i="1"/>
  <c r="AB23" i="1"/>
  <c r="Y24" i="1"/>
  <c r="D24" i="1"/>
  <c r="E24" i="1"/>
  <c r="F24" i="1"/>
  <c r="G24" i="1"/>
  <c r="H24" i="1"/>
  <c r="I24" i="1"/>
  <c r="J24" i="1"/>
  <c r="K24" i="1"/>
  <c r="C24" i="1"/>
  <c r="L24" i="1"/>
  <c r="M24" i="1"/>
  <c r="N24" i="1"/>
  <c r="O24" i="1"/>
  <c r="P24" i="1"/>
  <c r="Q24" i="1"/>
  <c r="R24" i="1"/>
  <c r="AB24" i="1"/>
  <c r="Y25" i="1"/>
  <c r="D25" i="1"/>
  <c r="E25" i="1"/>
  <c r="F25" i="1"/>
  <c r="G25" i="1"/>
  <c r="H25" i="1"/>
  <c r="I25" i="1"/>
  <c r="J25" i="1"/>
  <c r="K25" i="1"/>
  <c r="C25" i="1"/>
  <c r="L25" i="1"/>
  <c r="M25" i="1"/>
  <c r="N25" i="1"/>
  <c r="O25" i="1"/>
  <c r="P25" i="1"/>
  <c r="Q25" i="1"/>
  <c r="R25" i="1"/>
  <c r="AB25" i="1"/>
  <c r="Y26" i="1"/>
  <c r="D26" i="1"/>
  <c r="E26" i="1"/>
  <c r="F26" i="1"/>
  <c r="G26" i="1"/>
  <c r="H26" i="1"/>
  <c r="I26" i="1"/>
  <c r="J26" i="1"/>
  <c r="K26" i="1"/>
  <c r="C26" i="1"/>
  <c r="L26" i="1"/>
  <c r="M26" i="1"/>
  <c r="N26" i="1"/>
  <c r="O26" i="1"/>
  <c r="P26" i="1"/>
  <c r="Q26" i="1"/>
  <c r="R26" i="1"/>
  <c r="AB26" i="1"/>
  <c r="Y27" i="1"/>
  <c r="D27" i="1"/>
  <c r="E27" i="1"/>
  <c r="F27" i="1"/>
  <c r="G27" i="1"/>
  <c r="H27" i="1"/>
  <c r="I27" i="1"/>
  <c r="J27" i="1"/>
  <c r="K27" i="1"/>
  <c r="C27" i="1"/>
  <c r="L27" i="1"/>
  <c r="M27" i="1"/>
  <c r="N27" i="1"/>
  <c r="O27" i="1"/>
  <c r="P27" i="1"/>
  <c r="Q27" i="1"/>
  <c r="R27" i="1"/>
  <c r="AB27" i="1"/>
  <c r="Y28" i="1"/>
  <c r="D28" i="1"/>
  <c r="E28" i="1"/>
  <c r="F28" i="1"/>
  <c r="G28" i="1"/>
  <c r="H28" i="1"/>
  <c r="I28" i="1"/>
  <c r="J28" i="1"/>
  <c r="K28" i="1"/>
  <c r="C28" i="1"/>
  <c r="L28" i="1"/>
  <c r="M28" i="1"/>
  <c r="N28" i="1"/>
  <c r="O28" i="1"/>
  <c r="P28" i="1"/>
  <c r="Q28" i="1"/>
  <c r="R28" i="1"/>
  <c r="AB28" i="1"/>
  <c r="Y29" i="1"/>
  <c r="D29" i="1"/>
  <c r="E29" i="1"/>
  <c r="F29" i="1"/>
  <c r="G29" i="1"/>
  <c r="H29" i="1"/>
  <c r="I29" i="1"/>
  <c r="J29" i="1"/>
  <c r="K29" i="1"/>
  <c r="C29" i="1"/>
  <c r="L29" i="1"/>
  <c r="M29" i="1"/>
  <c r="N29" i="1"/>
  <c r="O29" i="1"/>
  <c r="P29" i="1"/>
  <c r="Q29" i="1"/>
  <c r="R29" i="1"/>
  <c r="AB29" i="1"/>
  <c r="Y30" i="1"/>
  <c r="D30" i="1"/>
  <c r="E30" i="1"/>
  <c r="F30" i="1"/>
  <c r="G30" i="1"/>
  <c r="H30" i="1"/>
  <c r="I30" i="1"/>
  <c r="J30" i="1"/>
  <c r="K30" i="1"/>
  <c r="C30" i="1"/>
  <c r="L30" i="1"/>
  <c r="M30" i="1"/>
  <c r="N30" i="1"/>
  <c r="O30" i="1"/>
  <c r="P30" i="1"/>
  <c r="Q30" i="1"/>
  <c r="R30" i="1"/>
  <c r="AB30" i="1"/>
  <c r="Y31" i="1"/>
  <c r="D31" i="1"/>
  <c r="E31" i="1"/>
  <c r="F31" i="1"/>
  <c r="G31" i="1"/>
  <c r="H31" i="1"/>
  <c r="I31" i="1"/>
  <c r="J31" i="1"/>
  <c r="K31" i="1"/>
  <c r="C31" i="1"/>
  <c r="L31" i="1"/>
  <c r="M31" i="1"/>
  <c r="N31" i="1"/>
  <c r="O31" i="1"/>
  <c r="P31" i="1"/>
  <c r="Q31" i="1"/>
  <c r="R31" i="1"/>
  <c r="AB31" i="1"/>
  <c r="Y32" i="1"/>
  <c r="D32" i="1"/>
  <c r="E32" i="1"/>
  <c r="F32" i="1"/>
  <c r="G32" i="1"/>
  <c r="H32" i="1"/>
  <c r="I32" i="1"/>
  <c r="J32" i="1"/>
  <c r="K32" i="1"/>
  <c r="C32" i="1"/>
  <c r="L32" i="1"/>
  <c r="M32" i="1"/>
  <c r="N32" i="1"/>
  <c r="O32" i="1"/>
  <c r="P32" i="1"/>
  <c r="Q32" i="1"/>
  <c r="R32" i="1"/>
  <c r="AB32" i="1"/>
  <c r="Y33" i="1"/>
  <c r="D33" i="1"/>
  <c r="E33" i="1"/>
  <c r="F33" i="1"/>
  <c r="G33" i="1"/>
  <c r="H33" i="1"/>
  <c r="I33" i="1"/>
  <c r="J33" i="1"/>
  <c r="K33" i="1"/>
  <c r="C33" i="1"/>
  <c r="L33" i="1"/>
  <c r="M33" i="1"/>
  <c r="N33" i="1"/>
  <c r="O33" i="1"/>
  <c r="P33" i="1"/>
  <c r="Q33" i="1"/>
  <c r="R33" i="1"/>
  <c r="AB33" i="1"/>
  <c r="Y34" i="1"/>
  <c r="D34" i="1"/>
  <c r="E34" i="1"/>
  <c r="F34" i="1"/>
  <c r="G34" i="1"/>
  <c r="H34" i="1"/>
  <c r="I34" i="1"/>
  <c r="J34" i="1"/>
  <c r="K34" i="1"/>
  <c r="C34" i="1"/>
  <c r="L34" i="1"/>
  <c r="M34" i="1"/>
  <c r="N34" i="1"/>
  <c r="O34" i="1"/>
  <c r="P34" i="1"/>
  <c r="Q34" i="1"/>
  <c r="R34" i="1"/>
  <c r="AB34" i="1"/>
  <c r="Y35" i="1"/>
  <c r="D35" i="1"/>
  <c r="E35" i="1"/>
  <c r="F35" i="1"/>
  <c r="G35" i="1"/>
  <c r="H35" i="1"/>
  <c r="I35" i="1"/>
  <c r="J35" i="1"/>
  <c r="K35" i="1"/>
  <c r="C35" i="1"/>
  <c r="L35" i="1"/>
  <c r="M35" i="1"/>
  <c r="N35" i="1"/>
  <c r="O35" i="1"/>
  <c r="P35" i="1"/>
  <c r="Q35" i="1"/>
  <c r="R35" i="1"/>
  <c r="AB35" i="1"/>
  <c r="Y36" i="1"/>
  <c r="D36" i="1"/>
  <c r="E36" i="1"/>
  <c r="F36" i="1"/>
  <c r="G36" i="1"/>
  <c r="H36" i="1"/>
  <c r="I36" i="1"/>
  <c r="J36" i="1"/>
  <c r="K36" i="1"/>
  <c r="C36" i="1"/>
  <c r="L36" i="1"/>
  <c r="M36" i="1"/>
  <c r="N36" i="1"/>
  <c r="O36" i="1"/>
  <c r="P36" i="1"/>
  <c r="Q36" i="1"/>
  <c r="R36" i="1"/>
  <c r="AB36" i="1"/>
  <c r="Y37" i="1"/>
  <c r="D37" i="1"/>
  <c r="E37" i="1"/>
  <c r="F37" i="1"/>
  <c r="G37" i="1"/>
  <c r="H37" i="1"/>
  <c r="I37" i="1"/>
  <c r="J37" i="1"/>
  <c r="K37" i="1"/>
  <c r="C37" i="1"/>
  <c r="L37" i="1"/>
  <c r="M37" i="1"/>
  <c r="N37" i="1"/>
  <c r="O37" i="1"/>
  <c r="P37" i="1"/>
  <c r="Q37" i="1"/>
  <c r="R37" i="1"/>
  <c r="AB37" i="1"/>
  <c r="Y38" i="1"/>
  <c r="D38" i="1"/>
  <c r="E38" i="1"/>
  <c r="F38" i="1"/>
  <c r="G38" i="1"/>
  <c r="H38" i="1"/>
  <c r="I38" i="1"/>
  <c r="J38" i="1"/>
  <c r="K38" i="1"/>
  <c r="C38" i="1"/>
  <c r="L38" i="1"/>
  <c r="M38" i="1"/>
  <c r="N38" i="1"/>
  <c r="O38" i="1"/>
  <c r="P38" i="1"/>
  <c r="Q38" i="1"/>
  <c r="R38" i="1"/>
  <c r="AB38" i="1"/>
  <c r="Y39" i="1"/>
  <c r="D39" i="1"/>
  <c r="E39" i="1"/>
  <c r="F39" i="1"/>
  <c r="G39" i="1"/>
  <c r="H39" i="1"/>
  <c r="I39" i="1"/>
  <c r="J39" i="1"/>
  <c r="K39" i="1"/>
  <c r="C39" i="1"/>
  <c r="L39" i="1"/>
  <c r="M39" i="1"/>
  <c r="N39" i="1"/>
  <c r="O39" i="1"/>
  <c r="P39" i="1"/>
  <c r="Q39" i="1"/>
  <c r="R39" i="1"/>
  <c r="AB39" i="1"/>
  <c r="Y40" i="1"/>
  <c r="D40" i="1"/>
  <c r="E40" i="1"/>
  <c r="F40" i="1"/>
  <c r="G40" i="1"/>
  <c r="H40" i="1"/>
  <c r="I40" i="1"/>
  <c r="J40" i="1"/>
  <c r="K40" i="1"/>
  <c r="C40" i="1"/>
  <c r="L40" i="1"/>
  <c r="M40" i="1"/>
  <c r="N40" i="1"/>
  <c r="O40" i="1"/>
  <c r="P40" i="1"/>
  <c r="Q40" i="1"/>
  <c r="R40" i="1"/>
  <c r="AB40" i="1"/>
  <c r="Y41" i="1"/>
  <c r="D41" i="1"/>
  <c r="E41" i="1"/>
  <c r="F41" i="1"/>
  <c r="G41" i="1"/>
  <c r="H41" i="1"/>
  <c r="I41" i="1"/>
  <c r="J41" i="1"/>
  <c r="K41" i="1"/>
  <c r="C41" i="1"/>
  <c r="L41" i="1"/>
  <c r="M41" i="1"/>
  <c r="N41" i="1"/>
  <c r="O41" i="1"/>
  <c r="P41" i="1"/>
  <c r="Q41" i="1"/>
  <c r="R41" i="1"/>
  <c r="AB41" i="1"/>
  <c r="Y42" i="1"/>
  <c r="D42" i="1"/>
  <c r="E42" i="1"/>
  <c r="F42" i="1"/>
  <c r="G42" i="1"/>
  <c r="H42" i="1"/>
  <c r="I42" i="1"/>
  <c r="J42" i="1"/>
  <c r="K42" i="1"/>
  <c r="C42" i="1"/>
  <c r="L42" i="1"/>
  <c r="M42" i="1"/>
  <c r="N42" i="1"/>
  <c r="O42" i="1"/>
  <c r="P42" i="1"/>
  <c r="Q42" i="1"/>
  <c r="R42" i="1"/>
  <c r="AB42" i="1"/>
  <c r="Y43" i="1"/>
  <c r="D43" i="1"/>
  <c r="E43" i="1"/>
  <c r="F43" i="1"/>
  <c r="G43" i="1"/>
  <c r="H43" i="1"/>
  <c r="I43" i="1"/>
  <c r="J43" i="1"/>
  <c r="K43" i="1"/>
  <c r="C43" i="1"/>
  <c r="L43" i="1"/>
  <c r="M43" i="1"/>
  <c r="N43" i="1"/>
  <c r="O43" i="1"/>
  <c r="P43" i="1"/>
  <c r="Q43" i="1"/>
  <c r="R43" i="1"/>
  <c r="AB43" i="1"/>
  <c r="Y44" i="1"/>
  <c r="D44" i="1"/>
  <c r="E44" i="1"/>
  <c r="F44" i="1"/>
  <c r="G44" i="1"/>
  <c r="H44" i="1"/>
  <c r="I44" i="1"/>
  <c r="J44" i="1"/>
  <c r="K44" i="1"/>
  <c r="C44" i="1"/>
  <c r="L44" i="1"/>
  <c r="M44" i="1"/>
  <c r="N44" i="1"/>
  <c r="O44" i="1"/>
  <c r="P44" i="1"/>
  <c r="Q44" i="1"/>
  <c r="R44" i="1"/>
  <c r="AB44" i="1"/>
  <c r="Y45" i="1"/>
  <c r="D45" i="1"/>
  <c r="E45" i="1"/>
  <c r="F45" i="1"/>
  <c r="G45" i="1"/>
  <c r="H45" i="1"/>
  <c r="I45" i="1"/>
  <c r="J45" i="1"/>
  <c r="K45" i="1"/>
  <c r="C45" i="1"/>
  <c r="L45" i="1"/>
  <c r="M45" i="1"/>
  <c r="N45" i="1"/>
  <c r="O45" i="1"/>
  <c r="P45" i="1"/>
  <c r="Q45" i="1"/>
  <c r="R45" i="1"/>
  <c r="AB45" i="1"/>
  <c r="Y46" i="1"/>
  <c r="D46" i="1"/>
  <c r="E46" i="1"/>
  <c r="F46" i="1"/>
  <c r="G46" i="1"/>
  <c r="H46" i="1"/>
  <c r="I46" i="1"/>
  <c r="J46" i="1"/>
  <c r="K46" i="1"/>
  <c r="C46" i="1"/>
  <c r="L46" i="1"/>
  <c r="M46" i="1"/>
  <c r="N46" i="1"/>
  <c r="O46" i="1"/>
  <c r="P46" i="1"/>
  <c r="Q46" i="1"/>
  <c r="R46" i="1"/>
  <c r="AB46" i="1"/>
  <c r="Y47" i="1"/>
  <c r="D47" i="1"/>
  <c r="E47" i="1"/>
  <c r="F47" i="1"/>
  <c r="G47" i="1"/>
  <c r="H47" i="1"/>
  <c r="I47" i="1"/>
  <c r="J47" i="1"/>
  <c r="K47" i="1"/>
  <c r="C47" i="1"/>
  <c r="L47" i="1"/>
  <c r="M47" i="1"/>
  <c r="N47" i="1"/>
  <c r="O47" i="1"/>
  <c r="P47" i="1"/>
  <c r="Q47" i="1"/>
  <c r="R47" i="1"/>
  <c r="AB47" i="1"/>
  <c r="Y48" i="1"/>
  <c r="D48" i="1"/>
  <c r="E48" i="1"/>
  <c r="F48" i="1"/>
  <c r="G48" i="1"/>
  <c r="H48" i="1"/>
  <c r="I48" i="1"/>
  <c r="J48" i="1"/>
  <c r="K48" i="1"/>
  <c r="C48" i="1"/>
  <c r="L48" i="1"/>
  <c r="M48" i="1"/>
  <c r="N48" i="1"/>
  <c r="O48" i="1"/>
  <c r="P48" i="1"/>
  <c r="Q48" i="1"/>
  <c r="R48" i="1"/>
  <c r="AB48" i="1"/>
  <c r="Y49" i="1"/>
  <c r="D49" i="1"/>
  <c r="E49" i="1"/>
  <c r="F49" i="1"/>
  <c r="G49" i="1"/>
  <c r="H49" i="1"/>
  <c r="I49" i="1"/>
  <c r="J49" i="1"/>
  <c r="K49" i="1"/>
  <c r="C49" i="1"/>
  <c r="L49" i="1"/>
  <c r="M49" i="1"/>
  <c r="N49" i="1"/>
  <c r="O49" i="1"/>
  <c r="P49" i="1"/>
  <c r="Q49" i="1"/>
  <c r="R49" i="1"/>
  <c r="AB49" i="1"/>
  <c r="Y50" i="1"/>
  <c r="D50" i="1"/>
  <c r="E50" i="1"/>
  <c r="F50" i="1"/>
  <c r="G50" i="1"/>
  <c r="H50" i="1"/>
  <c r="I50" i="1"/>
  <c r="J50" i="1"/>
  <c r="K50" i="1"/>
  <c r="C50" i="1"/>
  <c r="L50" i="1"/>
  <c r="M50" i="1"/>
  <c r="N50" i="1"/>
  <c r="O50" i="1"/>
  <c r="P50" i="1"/>
  <c r="Q50" i="1"/>
  <c r="R50" i="1"/>
  <c r="AB50" i="1"/>
  <c r="Y51" i="1"/>
  <c r="D51" i="1"/>
  <c r="E51" i="1"/>
  <c r="F51" i="1"/>
  <c r="G51" i="1"/>
  <c r="H51" i="1"/>
  <c r="I51" i="1"/>
  <c r="J51" i="1"/>
  <c r="K51" i="1"/>
  <c r="C51" i="1"/>
  <c r="L51" i="1"/>
  <c r="M51" i="1"/>
  <c r="N51" i="1"/>
  <c r="O51" i="1"/>
  <c r="P51" i="1"/>
  <c r="Q51" i="1"/>
  <c r="R51" i="1"/>
  <c r="AB51" i="1"/>
  <c r="Y52" i="1"/>
  <c r="D52" i="1"/>
  <c r="E52" i="1"/>
  <c r="F52" i="1"/>
  <c r="G52" i="1"/>
  <c r="H52" i="1"/>
  <c r="I52" i="1"/>
  <c r="J52" i="1"/>
  <c r="K52" i="1"/>
  <c r="C52" i="1"/>
  <c r="L52" i="1"/>
  <c r="M52" i="1"/>
  <c r="N52" i="1"/>
  <c r="O52" i="1"/>
  <c r="P52" i="1"/>
  <c r="Q52" i="1"/>
  <c r="R52" i="1"/>
  <c r="AB52" i="1"/>
  <c r="Y53" i="1"/>
  <c r="D53" i="1"/>
  <c r="E53" i="1"/>
  <c r="F53" i="1"/>
  <c r="G53" i="1"/>
  <c r="H53" i="1"/>
  <c r="I53" i="1"/>
  <c r="J53" i="1"/>
  <c r="K53" i="1"/>
  <c r="C53" i="1"/>
  <c r="L53" i="1"/>
  <c r="M53" i="1"/>
  <c r="N53" i="1"/>
  <c r="O53" i="1"/>
  <c r="P53" i="1"/>
  <c r="Q53" i="1"/>
  <c r="R53" i="1"/>
  <c r="AB53" i="1"/>
  <c r="Y54" i="1"/>
  <c r="D54" i="1"/>
  <c r="E54" i="1"/>
  <c r="F54" i="1"/>
  <c r="G54" i="1"/>
  <c r="H54" i="1"/>
  <c r="I54" i="1"/>
  <c r="J54" i="1"/>
  <c r="K54" i="1"/>
  <c r="C54" i="1"/>
  <c r="L54" i="1"/>
  <c r="M54" i="1"/>
  <c r="N54" i="1"/>
  <c r="O54" i="1"/>
  <c r="P54" i="1"/>
  <c r="Q54" i="1"/>
  <c r="R54" i="1"/>
  <c r="AB54" i="1"/>
  <c r="Y55" i="1"/>
  <c r="D55" i="1"/>
  <c r="E55" i="1"/>
  <c r="F55" i="1"/>
  <c r="G55" i="1"/>
  <c r="H55" i="1"/>
  <c r="I55" i="1"/>
  <c r="J55" i="1"/>
  <c r="K55" i="1"/>
  <c r="C55" i="1"/>
  <c r="L55" i="1"/>
  <c r="M55" i="1"/>
  <c r="N55" i="1"/>
  <c r="O55" i="1"/>
  <c r="P55" i="1"/>
  <c r="Q55" i="1"/>
  <c r="R55" i="1"/>
  <c r="AB55" i="1"/>
  <c r="Y56" i="1"/>
  <c r="D56" i="1"/>
  <c r="E56" i="1"/>
  <c r="F56" i="1"/>
  <c r="G56" i="1"/>
  <c r="H56" i="1"/>
  <c r="I56" i="1"/>
  <c r="J56" i="1"/>
  <c r="K56" i="1"/>
  <c r="C56" i="1"/>
  <c r="L56" i="1"/>
  <c r="M56" i="1"/>
  <c r="N56" i="1"/>
  <c r="O56" i="1"/>
  <c r="P56" i="1"/>
  <c r="Q56" i="1"/>
  <c r="R56" i="1"/>
  <c r="AB56" i="1"/>
  <c r="Y57" i="1"/>
  <c r="D57" i="1"/>
  <c r="E57" i="1"/>
  <c r="F57" i="1"/>
  <c r="G57" i="1"/>
  <c r="H57" i="1"/>
  <c r="I57" i="1"/>
  <c r="J57" i="1"/>
  <c r="K57" i="1"/>
  <c r="C57" i="1"/>
  <c r="L57" i="1"/>
  <c r="M57" i="1"/>
  <c r="N57" i="1"/>
  <c r="O57" i="1"/>
  <c r="P57" i="1"/>
  <c r="Q57" i="1"/>
  <c r="R57" i="1"/>
  <c r="AB57" i="1"/>
  <c r="Y58" i="1"/>
  <c r="D58" i="1"/>
  <c r="E58" i="1"/>
  <c r="F58" i="1"/>
  <c r="G58" i="1"/>
  <c r="H58" i="1"/>
  <c r="I58" i="1"/>
  <c r="J58" i="1"/>
  <c r="K58" i="1"/>
  <c r="C58" i="1"/>
  <c r="L58" i="1"/>
  <c r="M58" i="1"/>
  <c r="N58" i="1"/>
  <c r="O58" i="1"/>
  <c r="P58" i="1"/>
  <c r="Q58" i="1"/>
  <c r="R58" i="1"/>
  <c r="AB58" i="1"/>
  <c r="Y59" i="1"/>
  <c r="D59" i="1"/>
  <c r="E59" i="1"/>
  <c r="F59" i="1"/>
  <c r="G59" i="1"/>
  <c r="H59" i="1"/>
  <c r="I59" i="1"/>
  <c r="J59" i="1"/>
  <c r="K59" i="1"/>
  <c r="C59" i="1"/>
  <c r="L59" i="1"/>
  <c r="M59" i="1"/>
  <c r="N59" i="1"/>
  <c r="O59" i="1"/>
  <c r="P59" i="1"/>
  <c r="Q59" i="1"/>
  <c r="R59" i="1"/>
  <c r="AB59" i="1"/>
  <c r="Y60" i="1"/>
  <c r="D60" i="1"/>
  <c r="E60" i="1"/>
  <c r="F60" i="1"/>
  <c r="G60" i="1"/>
  <c r="H60" i="1"/>
  <c r="I60" i="1"/>
  <c r="J60" i="1"/>
  <c r="K60" i="1"/>
  <c r="C60" i="1"/>
  <c r="L60" i="1"/>
  <c r="M60" i="1"/>
  <c r="N60" i="1"/>
  <c r="O60" i="1"/>
  <c r="P60" i="1"/>
  <c r="Q60" i="1"/>
  <c r="R60" i="1"/>
  <c r="AB60" i="1"/>
  <c r="Y61" i="1"/>
  <c r="D61" i="1"/>
  <c r="E61" i="1"/>
  <c r="F61" i="1"/>
  <c r="G61" i="1"/>
  <c r="H61" i="1"/>
  <c r="I61" i="1"/>
  <c r="J61" i="1"/>
  <c r="K61" i="1"/>
  <c r="C61" i="1"/>
  <c r="L61" i="1"/>
  <c r="M61" i="1"/>
  <c r="N61" i="1"/>
  <c r="O61" i="1"/>
  <c r="P61" i="1"/>
  <c r="Q61" i="1"/>
  <c r="R61" i="1"/>
  <c r="AB61" i="1"/>
  <c r="Y62" i="1"/>
  <c r="D62" i="1"/>
  <c r="E62" i="1"/>
  <c r="F62" i="1"/>
  <c r="G62" i="1"/>
  <c r="H62" i="1"/>
  <c r="I62" i="1"/>
  <c r="J62" i="1"/>
  <c r="K62" i="1"/>
  <c r="C62" i="1"/>
  <c r="L62" i="1"/>
  <c r="M62" i="1"/>
  <c r="N62" i="1"/>
  <c r="O62" i="1"/>
  <c r="P62" i="1"/>
  <c r="Q62" i="1"/>
  <c r="R62" i="1"/>
  <c r="AB62" i="1"/>
  <c r="Y63" i="1"/>
  <c r="D63" i="1"/>
  <c r="E63" i="1"/>
  <c r="F63" i="1"/>
  <c r="G63" i="1"/>
  <c r="H63" i="1"/>
  <c r="I63" i="1"/>
  <c r="J63" i="1"/>
  <c r="K63" i="1"/>
  <c r="C63" i="1"/>
  <c r="L63" i="1"/>
  <c r="M63" i="1"/>
  <c r="N63" i="1"/>
  <c r="O63" i="1"/>
  <c r="P63" i="1"/>
  <c r="Q63" i="1"/>
  <c r="R63" i="1"/>
  <c r="AB63" i="1"/>
  <c r="Y64" i="1"/>
  <c r="D64" i="1"/>
  <c r="E64" i="1"/>
  <c r="F64" i="1"/>
  <c r="G64" i="1"/>
  <c r="H64" i="1"/>
  <c r="I64" i="1"/>
  <c r="J64" i="1"/>
  <c r="K64" i="1"/>
  <c r="C64" i="1"/>
  <c r="L64" i="1"/>
  <c r="M64" i="1"/>
  <c r="N64" i="1"/>
  <c r="O64" i="1"/>
  <c r="P64" i="1"/>
  <c r="Q64" i="1"/>
  <c r="R64" i="1"/>
  <c r="AB64" i="1"/>
  <c r="Y65" i="1"/>
  <c r="D65" i="1"/>
  <c r="E65" i="1"/>
  <c r="F65" i="1"/>
  <c r="G65" i="1"/>
  <c r="H65" i="1"/>
  <c r="I65" i="1"/>
  <c r="J65" i="1"/>
  <c r="K65" i="1"/>
  <c r="C65" i="1"/>
  <c r="L65" i="1"/>
  <c r="M65" i="1"/>
  <c r="N65" i="1"/>
  <c r="O65" i="1"/>
  <c r="P65" i="1"/>
  <c r="Q65" i="1"/>
  <c r="R65" i="1"/>
  <c r="AB65" i="1"/>
  <c r="Y66" i="1"/>
  <c r="D66" i="1"/>
  <c r="E66" i="1"/>
  <c r="F66" i="1"/>
  <c r="G66" i="1"/>
  <c r="H66" i="1"/>
  <c r="I66" i="1"/>
  <c r="J66" i="1"/>
  <c r="K66" i="1"/>
  <c r="C66" i="1"/>
  <c r="L66" i="1"/>
  <c r="M66" i="1"/>
  <c r="N66" i="1"/>
  <c r="O66" i="1"/>
  <c r="P66" i="1"/>
  <c r="Q66" i="1"/>
  <c r="R66" i="1"/>
  <c r="AB66" i="1"/>
  <c r="Y67" i="1"/>
  <c r="D67" i="1"/>
  <c r="E67" i="1"/>
  <c r="F67" i="1"/>
  <c r="G67" i="1"/>
  <c r="H67" i="1"/>
  <c r="I67" i="1"/>
  <c r="J67" i="1"/>
  <c r="K67" i="1"/>
  <c r="C67" i="1"/>
  <c r="L67" i="1"/>
  <c r="M67" i="1"/>
  <c r="N67" i="1"/>
  <c r="O67" i="1"/>
  <c r="P67" i="1"/>
  <c r="Q67" i="1"/>
  <c r="R67" i="1"/>
  <c r="AB67" i="1"/>
  <c r="Y68" i="1"/>
  <c r="D68" i="1"/>
  <c r="E68" i="1"/>
  <c r="F68" i="1"/>
  <c r="G68" i="1"/>
  <c r="H68" i="1"/>
  <c r="I68" i="1"/>
  <c r="J68" i="1"/>
  <c r="K68" i="1"/>
  <c r="C68" i="1"/>
  <c r="L68" i="1"/>
  <c r="M68" i="1"/>
  <c r="N68" i="1"/>
  <c r="O68" i="1"/>
  <c r="P68" i="1"/>
  <c r="Q68" i="1"/>
  <c r="R68" i="1"/>
  <c r="AB68" i="1"/>
  <c r="Y69" i="1"/>
  <c r="D69" i="1"/>
  <c r="E69" i="1"/>
  <c r="F69" i="1"/>
  <c r="G69" i="1"/>
  <c r="H69" i="1"/>
  <c r="I69" i="1"/>
  <c r="J69" i="1"/>
  <c r="K69" i="1"/>
  <c r="C69" i="1"/>
  <c r="L69" i="1"/>
  <c r="M69" i="1"/>
  <c r="N69" i="1"/>
  <c r="O69" i="1"/>
  <c r="P69" i="1"/>
  <c r="Q69" i="1"/>
  <c r="R69" i="1"/>
  <c r="AB69" i="1"/>
  <c r="Y70" i="1"/>
  <c r="D70" i="1"/>
  <c r="E70" i="1"/>
  <c r="F70" i="1"/>
  <c r="G70" i="1"/>
  <c r="H70" i="1"/>
  <c r="I70" i="1"/>
  <c r="J70" i="1"/>
  <c r="K70" i="1"/>
  <c r="C70" i="1"/>
  <c r="L70" i="1"/>
  <c r="M70" i="1"/>
  <c r="N70" i="1"/>
  <c r="O70" i="1"/>
  <c r="P70" i="1"/>
  <c r="Q70" i="1"/>
  <c r="R70" i="1"/>
  <c r="AB70" i="1"/>
  <c r="Y71" i="1"/>
  <c r="D71" i="1"/>
  <c r="E71" i="1"/>
  <c r="F71" i="1"/>
  <c r="G71" i="1"/>
  <c r="H71" i="1"/>
  <c r="I71" i="1"/>
  <c r="J71" i="1"/>
  <c r="K71" i="1"/>
  <c r="C71" i="1"/>
  <c r="L71" i="1"/>
  <c r="M71" i="1"/>
  <c r="N71" i="1"/>
  <c r="O71" i="1"/>
  <c r="P71" i="1"/>
  <c r="Q71" i="1"/>
  <c r="R71" i="1"/>
  <c r="AB71" i="1"/>
  <c r="Y72" i="1"/>
  <c r="D72" i="1"/>
  <c r="E72" i="1"/>
  <c r="F72" i="1"/>
  <c r="G72" i="1"/>
  <c r="H72" i="1"/>
  <c r="I72" i="1"/>
  <c r="J72" i="1"/>
  <c r="K72" i="1"/>
  <c r="C72" i="1"/>
  <c r="L72" i="1"/>
  <c r="M72" i="1"/>
  <c r="N72" i="1"/>
  <c r="O72" i="1"/>
  <c r="P72" i="1"/>
  <c r="Q72" i="1"/>
  <c r="R72" i="1"/>
  <c r="AB72" i="1"/>
  <c r="AE73" i="1"/>
  <c r="U73" i="1"/>
  <c r="AG75" i="1"/>
  <c r="H6" i="2"/>
  <c r="K6" i="2"/>
  <c r="H7" i="2"/>
  <c r="K7" i="2"/>
  <c r="H8" i="2"/>
  <c r="K8" i="2"/>
  <c r="H9" i="2"/>
  <c r="K9" i="2"/>
  <c r="H10" i="2"/>
  <c r="K10" i="2"/>
  <c r="H11" i="2"/>
  <c r="K11" i="2"/>
  <c r="H12" i="2"/>
  <c r="K12" i="2"/>
  <c r="H13" i="2"/>
  <c r="K13" i="2"/>
  <c r="H14" i="2"/>
  <c r="K14" i="2"/>
  <c r="H15" i="2"/>
  <c r="K15" i="2"/>
  <c r="H16" i="2"/>
  <c r="K16" i="2"/>
  <c r="H17" i="2"/>
  <c r="K17" i="2"/>
  <c r="H18" i="2"/>
  <c r="K18" i="2"/>
  <c r="H19" i="2"/>
  <c r="K19" i="2"/>
  <c r="H20" i="2"/>
  <c r="K20" i="2"/>
  <c r="H21" i="2"/>
  <c r="K21" i="2"/>
  <c r="H22" i="2"/>
  <c r="K22" i="2"/>
  <c r="H23" i="2"/>
  <c r="K23" i="2"/>
  <c r="H24" i="2"/>
  <c r="K24" i="2"/>
  <c r="H25" i="2"/>
  <c r="K25" i="2"/>
  <c r="H26" i="2"/>
  <c r="K26" i="2"/>
  <c r="H27" i="2"/>
  <c r="K27" i="2"/>
  <c r="H28" i="2"/>
  <c r="K28" i="2"/>
  <c r="H29" i="2"/>
  <c r="K29" i="2"/>
  <c r="H30" i="2"/>
  <c r="K30" i="2"/>
  <c r="H31" i="2"/>
  <c r="K31" i="2"/>
  <c r="H32" i="2"/>
  <c r="K32" i="2"/>
  <c r="H33" i="2"/>
  <c r="K33" i="2"/>
  <c r="H34" i="2"/>
  <c r="K34" i="2"/>
  <c r="H35" i="2"/>
  <c r="K35" i="2"/>
  <c r="H36" i="2"/>
  <c r="K36" i="2"/>
  <c r="H37" i="2"/>
  <c r="K37" i="2"/>
  <c r="H38" i="2"/>
  <c r="K38" i="2"/>
  <c r="H39" i="2"/>
  <c r="K39" i="2"/>
  <c r="H40" i="2"/>
  <c r="K40" i="2"/>
  <c r="H41" i="2"/>
  <c r="K41" i="2"/>
  <c r="H42" i="2"/>
  <c r="K42" i="2"/>
  <c r="H43" i="2"/>
  <c r="K43" i="2"/>
  <c r="H44" i="2"/>
  <c r="K44" i="2"/>
  <c r="H45" i="2"/>
  <c r="K45" i="2"/>
  <c r="H46" i="2"/>
  <c r="K46" i="2"/>
  <c r="H47" i="2"/>
  <c r="K47" i="2"/>
  <c r="H48" i="2"/>
  <c r="K48" i="2"/>
  <c r="H49" i="2"/>
  <c r="K49" i="2"/>
  <c r="H50" i="2"/>
  <c r="K50" i="2"/>
  <c r="H51" i="2"/>
  <c r="K51" i="2"/>
  <c r="H52" i="2"/>
  <c r="K52" i="2"/>
  <c r="H53" i="2"/>
  <c r="K53" i="2"/>
  <c r="H54" i="2"/>
  <c r="K54" i="2"/>
  <c r="H55" i="2"/>
  <c r="K55" i="2"/>
  <c r="H56" i="2"/>
  <c r="K56" i="2"/>
  <c r="H57" i="2"/>
  <c r="K57" i="2"/>
  <c r="H58" i="2"/>
  <c r="K58" i="2"/>
  <c r="H59" i="2"/>
  <c r="K59" i="2"/>
  <c r="H60" i="2"/>
  <c r="K60" i="2"/>
  <c r="H61" i="2"/>
  <c r="K61" i="2"/>
  <c r="H62" i="2"/>
  <c r="K62" i="2"/>
  <c r="H63" i="2"/>
  <c r="K63" i="2"/>
  <c r="H64" i="2"/>
  <c r="K64" i="2"/>
  <c r="H65" i="2"/>
  <c r="K65" i="2"/>
  <c r="H66" i="2"/>
  <c r="K66" i="2"/>
  <c r="H67" i="2"/>
  <c r="K67" i="2"/>
  <c r="H68" i="2"/>
  <c r="K68" i="2"/>
  <c r="H69" i="2"/>
  <c r="K69" i="2"/>
  <c r="H70" i="2"/>
  <c r="K70" i="2"/>
  <c r="H71" i="2"/>
  <c r="K71" i="2"/>
  <c r="H72" i="2"/>
  <c r="K72" i="2"/>
  <c r="H73" i="2"/>
  <c r="K73" i="2"/>
  <c r="H74" i="2"/>
  <c r="K74" i="2"/>
  <c r="K75" i="2"/>
  <c r="H75" i="2"/>
  <c r="G6" i="2"/>
  <c r="I6" i="2"/>
  <c r="J6" i="2"/>
  <c r="G7" i="2"/>
  <c r="I7" i="2"/>
  <c r="J7" i="2"/>
  <c r="G8" i="2"/>
  <c r="I8" i="2"/>
  <c r="J8" i="2"/>
  <c r="G9" i="2"/>
  <c r="I9" i="2"/>
  <c r="J9" i="2"/>
  <c r="G10" i="2"/>
  <c r="I10" i="2"/>
  <c r="J10" i="2"/>
  <c r="G11" i="2"/>
  <c r="I11" i="2"/>
  <c r="J11" i="2"/>
  <c r="G12" i="2"/>
  <c r="I12" i="2"/>
  <c r="J12" i="2"/>
  <c r="G13" i="2"/>
  <c r="I13" i="2"/>
  <c r="J13" i="2"/>
  <c r="G14" i="2"/>
  <c r="I14" i="2"/>
  <c r="J14" i="2"/>
  <c r="G15" i="2"/>
  <c r="I15" i="2"/>
  <c r="J15" i="2"/>
  <c r="G16" i="2"/>
  <c r="I16" i="2"/>
  <c r="J16" i="2"/>
  <c r="G17" i="2"/>
  <c r="I17" i="2"/>
  <c r="J17" i="2"/>
  <c r="G18" i="2"/>
  <c r="I18" i="2"/>
  <c r="J18" i="2"/>
  <c r="G19" i="2"/>
  <c r="I19" i="2"/>
  <c r="J19" i="2"/>
  <c r="G20" i="2"/>
  <c r="I20" i="2"/>
  <c r="J20" i="2"/>
  <c r="G21" i="2"/>
  <c r="I21" i="2"/>
  <c r="J21" i="2"/>
  <c r="G22" i="2"/>
  <c r="I22" i="2"/>
  <c r="J22" i="2"/>
  <c r="G23" i="2"/>
  <c r="I23" i="2"/>
  <c r="J23" i="2"/>
  <c r="G24" i="2"/>
  <c r="I24" i="2"/>
  <c r="J24" i="2"/>
  <c r="G25" i="2"/>
  <c r="I25" i="2"/>
  <c r="J25" i="2"/>
  <c r="G26" i="2"/>
  <c r="I26" i="2"/>
  <c r="J26" i="2"/>
  <c r="G27" i="2"/>
  <c r="I27" i="2"/>
  <c r="J27" i="2"/>
  <c r="G28" i="2"/>
  <c r="I28" i="2"/>
  <c r="J28" i="2"/>
  <c r="G29" i="2"/>
  <c r="I29" i="2"/>
  <c r="J29" i="2"/>
  <c r="G30" i="2"/>
  <c r="I30" i="2"/>
  <c r="J30" i="2"/>
  <c r="G31" i="2"/>
  <c r="I31" i="2"/>
  <c r="J31" i="2"/>
  <c r="G32" i="2"/>
  <c r="I32" i="2"/>
  <c r="J32" i="2"/>
  <c r="G33" i="2"/>
  <c r="I33" i="2"/>
  <c r="J33" i="2"/>
  <c r="G34" i="2"/>
  <c r="I34" i="2"/>
  <c r="J34" i="2"/>
  <c r="G35" i="2"/>
  <c r="I35" i="2"/>
  <c r="J35" i="2"/>
  <c r="G36" i="2"/>
  <c r="I36" i="2"/>
  <c r="J36" i="2"/>
  <c r="G37" i="2"/>
  <c r="I37" i="2"/>
  <c r="J37" i="2"/>
  <c r="G38" i="2"/>
  <c r="I38" i="2"/>
  <c r="J38" i="2"/>
  <c r="G39" i="2"/>
  <c r="I39" i="2"/>
  <c r="J39" i="2"/>
  <c r="G40" i="2"/>
  <c r="I40" i="2"/>
  <c r="J40" i="2"/>
  <c r="G41" i="2"/>
  <c r="I41" i="2"/>
  <c r="J41" i="2"/>
  <c r="G42" i="2"/>
  <c r="I42" i="2"/>
  <c r="J42" i="2"/>
  <c r="G43" i="2"/>
  <c r="I43" i="2"/>
  <c r="J43" i="2"/>
  <c r="G44" i="2"/>
  <c r="I44" i="2"/>
  <c r="J44" i="2"/>
  <c r="G45" i="2"/>
  <c r="I45" i="2"/>
  <c r="J45" i="2"/>
  <c r="G46" i="2"/>
  <c r="I46" i="2"/>
  <c r="J46" i="2"/>
  <c r="G47" i="2"/>
  <c r="I47" i="2"/>
  <c r="J47" i="2"/>
  <c r="G48" i="2"/>
  <c r="I48" i="2"/>
  <c r="J48" i="2"/>
  <c r="G49" i="2"/>
  <c r="I49" i="2"/>
  <c r="J49" i="2"/>
  <c r="G50" i="2"/>
  <c r="I50" i="2"/>
  <c r="J50" i="2"/>
  <c r="G51" i="2"/>
  <c r="I51" i="2"/>
  <c r="J51" i="2"/>
  <c r="G52" i="2"/>
  <c r="I52" i="2"/>
  <c r="J52" i="2"/>
  <c r="G53" i="2"/>
  <c r="I53" i="2"/>
  <c r="J53" i="2"/>
  <c r="G54" i="2"/>
  <c r="I54" i="2"/>
  <c r="J54" i="2"/>
  <c r="G55" i="2"/>
  <c r="I55" i="2"/>
  <c r="J55" i="2"/>
  <c r="G56" i="2"/>
  <c r="I56" i="2"/>
  <c r="J56" i="2"/>
  <c r="G57" i="2"/>
  <c r="I57" i="2"/>
  <c r="J57" i="2"/>
  <c r="G58" i="2"/>
  <c r="I58" i="2"/>
  <c r="J58" i="2"/>
  <c r="G59" i="2"/>
  <c r="I59" i="2"/>
  <c r="J59" i="2"/>
  <c r="G60" i="2"/>
  <c r="I60" i="2"/>
  <c r="J60" i="2"/>
  <c r="G61" i="2"/>
  <c r="I61" i="2"/>
  <c r="J61" i="2"/>
  <c r="G62" i="2"/>
  <c r="I62" i="2"/>
  <c r="J62" i="2"/>
  <c r="G63" i="2"/>
  <c r="I63" i="2"/>
  <c r="J63" i="2"/>
  <c r="G64" i="2"/>
  <c r="I64" i="2"/>
  <c r="J64" i="2"/>
  <c r="G65" i="2"/>
  <c r="I65" i="2"/>
  <c r="J65" i="2"/>
  <c r="G66" i="2"/>
  <c r="I66" i="2"/>
  <c r="J66" i="2"/>
  <c r="G67" i="2"/>
  <c r="I67" i="2"/>
  <c r="J67" i="2"/>
  <c r="G68" i="2"/>
  <c r="I68" i="2"/>
  <c r="J68" i="2"/>
  <c r="G69" i="2"/>
  <c r="I69" i="2"/>
  <c r="J69" i="2"/>
  <c r="G70" i="2"/>
  <c r="I70" i="2"/>
  <c r="J70" i="2"/>
  <c r="G71" i="2"/>
  <c r="I71" i="2"/>
  <c r="J71" i="2"/>
  <c r="G72" i="2"/>
  <c r="I72" i="2"/>
  <c r="J72" i="2"/>
  <c r="G73" i="2"/>
  <c r="I73" i="2"/>
  <c r="J73" i="2"/>
  <c r="G74" i="2"/>
  <c r="I74" i="2"/>
  <c r="J74" i="2"/>
  <c r="J75" i="2"/>
  <c r="L4" i="2"/>
  <c r="L6" i="2"/>
  <c r="M6" i="2"/>
  <c r="N6" i="2"/>
  <c r="O6" i="2"/>
  <c r="L7" i="2"/>
  <c r="M7" i="2"/>
  <c r="N7" i="2"/>
  <c r="O7" i="2"/>
  <c r="L8" i="2"/>
  <c r="M8" i="2"/>
  <c r="N8" i="2"/>
  <c r="O8" i="2"/>
  <c r="L9" i="2"/>
  <c r="M9" i="2"/>
  <c r="N9" i="2"/>
  <c r="O9" i="2"/>
  <c r="L10" i="2"/>
  <c r="M10" i="2"/>
  <c r="N10" i="2"/>
  <c r="O10" i="2"/>
  <c r="L11" i="2"/>
  <c r="M11" i="2"/>
  <c r="N11" i="2"/>
  <c r="O11" i="2"/>
  <c r="L12" i="2"/>
  <c r="M12" i="2"/>
  <c r="N12" i="2"/>
  <c r="O12" i="2"/>
  <c r="L13" i="2"/>
  <c r="M13" i="2"/>
  <c r="N13" i="2"/>
  <c r="O13" i="2"/>
  <c r="L14" i="2"/>
  <c r="M14" i="2"/>
  <c r="N14" i="2"/>
  <c r="O14" i="2"/>
  <c r="L15" i="2"/>
  <c r="M15" i="2"/>
  <c r="N15" i="2"/>
  <c r="O15" i="2"/>
  <c r="L16" i="2"/>
  <c r="M16" i="2"/>
  <c r="N16" i="2"/>
  <c r="O16" i="2"/>
  <c r="L17" i="2"/>
  <c r="M17" i="2"/>
  <c r="N17" i="2"/>
  <c r="O17" i="2"/>
  <c r="L18" i="2"/>
  <c r="M18" i="2"/>
  <c r="N18" i="2"/>
  <c r="O18" i="2"/>
  <c r="L19" i="2"/>
  <c r="M19" i="2"/>
  <c r="N19" i="2"/>
  <c r="O19" i="2"/>
  <c r="L20" i="2"/>
  <c r="M20" i="2"/>
  <c r="N20" i="2"/>
  <c r="O20" i="2"/>
  <c r="L21" i="2"/>
  <c r="M21" i="2"/>
  <c r="N21" i="2"/>
  <c r="O21" i="2"/>
  <c r="L22" i="2"/>
  <c r="M22" i="2"/>
  <c r="N22" i="2"/>
  <c r="O22" i="2"/>
  <c r="L23" i="2"/>
  <c r="M23" i="2"/>
  <c r="N23" i="2"/>
  <c r="O23" i="2"/>
  <c r="L24" i="2"/>
  <c r="M24" i="2"/>
  <c r="N24" i="2"/>
  <c r="O24" i="2"/>
  <c r="L25" i="2"/>
  <c r="M25" i="2"/>
  <c r="N25" i="2"/>
  <c r="O25" i="2"/>
  <c r="L26" i="2"/>
  <c r="M26" i="2"/>
  <c r="N26" i="2"/>
  <c r="O26" i="2"/>
  <c r="L27" i="2"/>
  <c r="M27" i="2"/>
  <c r="N27" i="2"/>
  <c r="O27" i="2"/>
  <c r="L28" i="2"/>
  <c r="M28" i="2"/>
  <c r="N28" i="2"/>
  <c r="O28" i="2"/>
  <c r="L29" i="2"/>
  <c r="M29" i="2"/>
  <c r="N29" i="2"/>
  <c r="O29" i="2"/>
  <c r="L30" i="2"/>
  <c r="M30" i="2"/>
  <c r="N30" i="2"/>
  <c r="O30" i="2"/>
  <c r="L31" i="2"/>
  <c r="M31" i="2"/>
  <c r="N31" i="2"/>
  <c r="O31" i="2"/>
  <c r="L32" i="2"/>
  <c r="M32" i="2"/>
  <c r="N32" i="2"/>
  <c r="O32" i="2"/>
  <c r="L33" i="2"/>
  <c r="M33" i="2"/>
  <c r="N33" i="2"/>
  <c r="O33" i="2"/>
  <c r="L34" i="2"/>
  <c r="M34" i="2"/>
  <c r="N34" i="2"/>
  <c r="O34" i="2"/>
  <c r="L35" i="2"/>
  <c r="M35" i="2"/>
  <c r="N35" i="2"/>
  <c r="O35" i="2"/>
  <c r="L36" i="2"/>
  <c r="M36" i="2"/>
  <c r="N36" i="2"/>
  <c r="O36" i="2"/>
  <c r="L37" i="2"/>
  <c r="M37" i="2"/>
  <c r="N37" i="2"/>
  <c r="O37" i="2"/>
  <c r="L38" i="2"/>
  <c r="M38" i="2"/>
  <c r="N38" i="2"/>
  <c r="O38" i="2"/>
  <c r="L39" i="2"/>
  <c r="M39" i="2"/>
  <c r="N39" i="2"/>
  <c r="O39" i="2"/>
  <c r="L40" i="2"/>
  <c r="M40" i="2"/>
  <c r="N40" i="2"/>
  <c r="O40" i="2"/>
  <c r="L41" i="2"/>
  <c r="M41" i="2"/>
  <c r="N41" i="2"/>
  <c r="O41" i="2"/>
  <c r="L42" i="2"/>
  <c r="M42" i="2"/>
  <c r="N42" i="2"/>
  <c r="O42" i="2"/>
  <c r="L43" i="2"/>
  <c r="M43" i="2"/>
  <c r="N43" i="2"/>
  <c r="O43" i="2"/>
  <c r="L44" i="2"/>
  <c r="M44" i="2"/>
  <c r="N44" i="2"/>
  <c r="O44" i="2"/>
  <c r="L45" i="2"/>
  <c r="M45" i="2"/>
  <c r="N45" i="2"/>
  <c r="O45" i="2"/>
  <c r="L46" i="2"/>
  <c r="M46" i="2"/>
  <c r="N46" i="2"/>
  <c r="O46" i="2"/>
  <c r="L47" i="2"/>
  <c r="M47" i="2"/>
  <c r="N47" i="2"/>
  <c r="O47" i="2"/>
  <c r="L48" i="2"/>
  <c r="M48" i="2"/>
  <c r="N48" i="2"/>
  <c r="O48" i="2"/>
  <c r="L49" i="2"/>
  <c r="M49" i="2"/>
  <c r="N49" i="2"/>
  <c r="O49" i="2"/>
  <c r="L50" i="2"/>
  <c r="M50" i="2"/>
  <c r="N50" i="2"/>
  <c r="O50" i="2"/>
  <c r="L51" i="2"/>
  <c r="M51" i="2"/>
  <c r="N51" i="2"/>
  <c r="O51" i="2"/>
  <c r="L52" i="2"/>
  <c r="M52" i="2"/>
  <c r="N52" i="2"/>
  <c r="O52" i="2"/>
  <c r="L53" i="2"/>
  <c r="M53" i="2"/>
  <c r="N53" i="2"/>
  <c r="O53" i="2"/>
  <c r="L54" i="2"/>
  <c r="M54" i="2"/>
  <c r="N54" i="2"/>
  <c r="O54" i="2"/>
  <c r="L55" i="2"/>
  <c r="M55" i="2"/>
  <c r="N55" i="2"/>
  <c r="O55" i="2"/>
  <c r="L56" i="2"/>
  <c r="M56" i="2"/>
  <c r="N56" i="2"/>
  <c r="O56" i="2"/>
  <c r="L57" i="2"/>
  <c r="M57" i="2"/>
  <c r="N57" i="2"/>
  <c r="O57" i="2"/>
  <c r="L58" i="2"/>
  <c r="M58" i="2"/>
  <c r="N58" i="2"/>
  <c r="O58" i="2"/>
  <c r="L59" i="2"/>
  <c r="M59" i="2"/>
  <c r="N59" i="2"/>
  <c r="O59" i="2"/>
  <c r="L60" i="2"/>
  <c r="M60" i="2"/>
  <c r="N60" i="2"/>
  <c r="O60" i="2"/>
  <c r="L61" i="2"/>
  <c r="M61" i="2"/>
  <c r="N61" i="2"/>
  <c r="O61" i="2"/>
  <c r="L62" i="2"/>
  <c r="M62" i="2"/>
  <c r="N62" i="2"/>
  <c r="O62" i="2"/>
  <c r="L63" i="2"/>
  <c r="M63" i="2"/>
  <c r="N63" i="2"/>
  <c r="O63" i="2"/>
  <c r="L64" i="2"/>
  <c r="M64" i="2"/>
  <c r="N64" i="2"/>
  <c r="O64" i="2"/>
  <c r="L65" i="2"/>
  <c r="M65" i="2"/>
  <c r="N65" i="2"/>
  <c r="O65" i="2"/>
  <c r="L66" i="2"/>
  <c r="M66" i="2"/>
  <c r="N66" i="2"/>
  <c r="O66" i="2"/>
  <c r="L67" i="2"/>
  <c r="M67" i="2"/>
  <c r="N67" i="2"/>
  <c r="O67" i="2"/>
  <c r="L68" i="2"/>
  <c r="M68" i="2"/>
  <c r="N68" i="2"/>
  <c r="O68" i="2"/>
  <c r="L69" i="2"/>
  <c r="M69" i="2"/>
  <c r="N69" i="2"/>
  <c r="O69" i="2"/>
  <c r="L70" i="2"/>
  <c r="M70" i="2"/>
  <c r="N70" i="2"/>
  <c r="O70" i="2"/>
  <c r="L71" i="2"/>
  <c r="M71" i="2"/>
  <c r="N71" i="2"/>
  <c r="O71" i="2"/>
  <c r="L72" i="2"/>
  <c r="M72" i="2"/>
  <c r="N72" i="2"/>
  <c r="O72" i="2"/>
  <c r="L73" i="2"/>
  <c r="M73" i="2"/>
  <c r="N73" i="2"/>
  <c r="O73" i="2"/>
  <c r="L74" i="2"/>
  <c r="M74" i="2"/>
  <c r="N74" i="2"/>
  <c r="O74" i="2"/>
  <c r="O75" i="2"/>
  <c r="AI75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G73" i="1"/>
  <c r="AK75" i="1"/>
  <c r="D6" i="2"/>
  <c r="P6" i="2"/>
  <c r="D7" i="2"/>
  <c r="P7" i="2"/>
  <c r="D8" i="2"/>
  <c r="P8" i="2"/>
  <c r="D9" i="2"/>
  <c r="P9" i="2"/>
  <c r="D10" i="2"/>
  <c r="P10" i="2"/>
  <c r="D11" i="2"/>
  <c r="P11" i="2"/>
  <c r="D12" i="2"/>
  <c r="P12" i="2"/>
  <c r="D13" i="2"/>
  <c r="P13" i="2"/>
  <c r="D14" i="2"/>
  <c r="P14" i="2"/>
  <c r="D15" i="2"/>
  <c r="P15" i="2"/>
  <c r="D16" i="2"/>
  <c r="P16" i="2"/>
  <c r="D17" i="2"/>
  <c r="P17" i="2"/>
  <c r="D18" i="2"/>
  <c r="P18" i="2"/>
  <c r="D19" i="2"/>
  <c r="P19" i="2"/>
  <c r="D20" i="2"/>
  <c r="P20" i="2"/>
  <c r="D21" i="2"/>
  <c r="P21" i="2"/>
  <c r="D22" i="2"/>
  <c r="P22" i="2"/>
  <c r="D23" i="2"/>
  <c r="P23" i="2"/>
  <c r="D24" i="2"/>
  <c r="P24" i="2"/>
  <c r="D25" i="2"/>
  <c r="P25" i="2"/>
  <c r="D26" i="2"/>
  <c r="P26" i="2"/>
  <c r="D27" i="2"/>
  <c r="P27" i="2"/>
  <c r="D28" i="2"/>
  <c r="P28" i="2"/>
  <c r="D29" i="2"/>
  <c r="P29" i="2"/>
  <c r="D30" i="2"/>
  <c r="P30" i="2"/>
  <c r="D31" i="2"/>
  <c r="P31" i="2"/>
  <c r="D32" i="2"/>
  <c r="P32" i="2"/>
  <c r="D33" i="2"/>
  <c r="P33" i="2"/>
  <c r="D34" i="2"/>
  <c r="P34" i="2"/>
  <c r="D35" i="2"/>
  <c r="P35" i="2"/>
  <c r="D36" i="2"/>
  <c r="P36" i="2"/>
  <c r="D37" i="2"/>
  <c r="P37" i="2"/>
  <c r="D38" i="2"/>
  <c r="P38" i="2"/>
  <c r="D39" i="2"/>
  <c r="P39" i="2"/>
  <c r="D40" i="2"/>
  <c r="P40" i="2"/>
  <c r="G12" i="31"/>
  <c r="G13" i="31"/>
  <c r="G14" i="31"/>
  <c r="G15" i="31"/>
  <c r="G16" i="31"/>
  <c r="C19" i="31"/>
  <c r="G19" i="31"/>
  <c r="G20" i="31"/>
  <c r="G21" i="31"/>
  <c r="G22" i="31"/>
  <c r="G23" i="31"/>
  <c r="G24" i="31"/>
  <c r="C27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F66" i="31"/>
  <c r="G66" i="31"/>
  <c r="G67" i="31"/>
  <c r="G68" i="31"/>
  <c r="G69" i="31"/>
  <c r="G70" i="31"/>
  <c r="G71" i="31"/>
  <c r="G72" i="31"/>
  <c r="G73" i="31"/>
  <c r="G8" i="31"/>
  <c r="G9" i="31"/>
  <c r="G74" i="31"/>
  <c r="C6" i="31"/>
  <c r="G6" i="31"/>
  <c r="G76" i="31"/>
  <c r="D41" i="2"/>
  <c r="P41" i="2"/>
  <c r="D42" i="2"/>
  <c r="P42" i="2"/>
  <c r="D43" i="2"/>
  <c r="P43" i="2"/>
  <c r="D44" i="2"/>
  <c r="P44" i="2"/>
  <c r="D45" i="2"/>
  <c r="P45" i="2"/>
  <c r="D46" i="2"/>
  <c r="P46" i="2"/>
  <c r="D47" i="2"/>
  <c r="P47" i="2"/>
  <c r="D48" i="2"/>
  <c r="P48" i="2"/>
  <c r="D49" i="2"/>
  <c r="P49" i="2"/>
  <c r="D50" i="2"/>
  <c r="P50" i="2"/>
  <c r="D51" i="2"/>
  <c r="P51" i="2"/>
  <c r="D52" i="2"/>
  <c r="P52" i="2"/>
  <c r="D53" i="2"/>
  <c r="P53" i="2"/>
  <c r="D54" i="2"/>
  <c r="P54" i="2"/>
  <c r="D55" i="2"/>
  <c r="P55" i="2"/>
  <c r="D56" i="2"/>
  <c r="P56" i="2"/>
  <c r="D57" i="2"/>
  <c r="P57" i="2"/>
  <c r="D58" i="2"/>
  <c r="P58" i="2"/>
  <c r="D59" i="2"/>
  <c r="P59" i="2"/>
  <c r="D60" i="2"/>
  <c r="P60" i="2"/>
  <c r="D61" i="2"/>
  <c r="P61" i="2"/>
  <c r="D62" i="2"/>
  <c r="P62" i="2"/>
  <c r="D63" i="2"/>
  <c r="P63" i="2"/>
  <c r="D64" i="2"/>
  <c r="P64" i="2"/>
  <c r="D65" i="2"/>
  <c r="P65" i="2"/>
  <c r="D66" i="2"/>
  <c r="P66" i="2"/>
  <c r="D67" i="2"/>
  <c r="P67" i="2"/>
  <c r="D68" i="2"/>
  <c r="P68" i="2"/>
  <c r="D69" i="2"/>
  <c r="P69" i="2"/>
  <c r="D70" i="2"/>
  <c r="P70" i="2"/>
  <c r="D71" i="2"/>
  <c r="P71" i="2"/>
  <c r="D72" i="2"/>
  <c r="P72" i="2"/>
  <c r="D73" i="2"/>
  <c r="P73" i="2"/>
  <c r="D74" i="2"/>
  <c r="P74" i="2"/>
  <c r="P75" i="2"/>
  <c r="AM75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O75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W75" i="1"/>
  <c r="AK73" i="1"/>
  <c r="C73" i="1"/>
  <c r="AL73" i="1"/>
  <c r="D5" i="5"/>
  <c r="E5" i="5"/>
  <c r="H5" i="5"/>
  <c r="D6" i="5"/>
  <c r="E6" i="5"/>
  <c r="H6" i="5"/>
  <c r="AP4" i="1"/>
  <c r="D6" i="67"/>
  <c r="E85" i="67"/>
  <c r="E87" i="67"/>
  <c r="E3" i="67"/>
  <c r="E6" i="67"/>
  <c r="C96" i="67"/>
  <c r="C99" i="67"/>
  <c r="C100" i="67"/>
  <c r="C101" i="67"/>
  <c r="C102" i="67"/>
  <c r="C103" i="67"/>
  <c r="C104" i="67"/>
  <c r="C105" i="67"/>
  <c r="C106" i="67"/>
  <c r="F3" i="67"/>
  <c r="F6" i="67"/>
  <c r="G6" i="67"/>
  <c r="AP5" i="1"/>
  <c r="D7" i="67"/>
  <c r="E7" i="67"/>
  <c r="F7" i="67"/>
  <c r="G7" i="67"/>
  <c r="AP6" i="1"/>
  <c r="D8" i="67"/>
  <c r="E8" i="67"/>
  <c r="F8" i="67"/>
  <c r="G8" i="67"/>
  <c r="AP7" i="1"/>
  <c r="D9" i="67"/>
  <c r="E9" i="67"/>
  <c r="F9" i="67"/>
  <c r="G9" i="67"/>
  <c r="AP8" i="1"/>
  <c r="D10" i="67"/>
  <c r="E10" i="67"/>
  <c r="F10" i="67"/>
  <c r="G10" i="67"/>
  <c r="AP9" i="1"/>
  <c r="D11" i="67"/>
  <c r="E11" i="67"/>
  <c r="F11" i="67"/>
  <c r="G11" i="67"/>
  <c r="AP10" i="1"/>
  <c r="D12" i="67"/>
  <c r="E12" i="67"/>
  <c r="F12" i="67"/>
  <c r="G12" i="67"/>
  <c r="AP11" i="1"/>
  <c r="D13" i="67"/>
  <c r="E13" i="67"/>
  <c r="F13" i="67"/>
  <c r="G13" i="67"/>
  <c r="AP12" i="1"/>
  <c r="D14" i="67"/>
  <c r="E14" i="67"/>
  <c r="F14" i="67"/>
  <c r="G14" i="67"/>
  <c r="AP13" i="1"/>
  <c r="D15" i="67"/>
  <c r="E15" i="67"/>
  <c r="F15" i="67"/>
  <c r="G15" i="67"/>
  <c r="AP14" i="1"/>
  <c r="D16" i="67"/>
  <c r="E16" i="67"/>
  <c r="F16" i="67"/>
  <c r="G16" i="67"/>
  <c r="AP15" i="1"/>
  <c r="D17" i="67"/>
  <c r="E17" i="67"/>
  <c r="F17" i="67"/>
  <c r="G17" i="67"/>
  <c r="AP16" i="1"/>
  <c r="D18" i="67"/>
  <c r="E18" i="67"/>
  <c r="F18" i="67"/>
  <c r="G18" i="67"/>
  <c r="AP17" i="1"/>
  <c r="D19" i="67"/>
  <c r="E19" i="67"/>
  <c r="F19" i="67"/>
  <c r="G19" i="67"/>
  <c r="AP18" i="1"/>
  <c r="D20" i="67"/>
  <c r="E20" i="67"/>
  <c r="F20" i="67"/>
  <c r="G20" i="67"/>
  <c r="AP19" i="1"/>
  <c r="D21" i="67"/>
  <c r="E21" i="67"/>
  <c r="F21" i="67"/>
  <c r="G21" i="67"/>
  <c r="AP20" i="1"/>
  <c r="D22" i="67"/>
  <c r="E22" i="67"/>
  <c r="F22" i="67"/>
  <c r="G22" i="67"/>
  <c r="AP21" i="1"/>
  <c r="D23" i="67"/>
  <c r="E23" i="67"/>
  <c r="F23" i="67"/>
  <c r="G23" i="67"/>
  <c r="AP22" i="1"/>
  <c r="D24" i="67"/>
  <c r="E24" i="67"/>
  <c r="F24" i="67"/>
  <c r="G24" i="67"/>
  <c r="AP23" i="1"/>
  <c r="D25" i="67"/>
  <c r="E25" i="67"/>
  <c r="F25" i="67"/>
  <c r="G25" i="67"/>
  <c r="AP24" i="1"/>
  <c r="D26" i="67"/>
  <c r="E26" i="67"/>
  <c r="F26" i="67"/>
  <c r="G26" i="67"/>
  <c r="AP25" i="1"/>
  <c r="D27" i="67"/>
  <c r="E27" i="67"/>
  <c r="F27" i="67"/>
  <c r="G27" i="67"/>
  <c r="AP26" i="1"/>
  <c r="D28" i="67"/>
  <c r="E28" i="67"/>
  <c r="F28" i="67"/>
  <c r="G28" i="67"/>
  <c r="AP27" i="1"/>
  <c r="D29" i="67"/>
  <c r="E29" i="67"/>
  <c r="F29" i="67"/>
  <c r="G29" i="67"/>
  <c r="AP28" i="1"/>
  <c r="D30" i="67"/>
  <c r="E30" i="67"/>
  <c r="F30" i="67"/>
  <c r="G30" i="67"/>
  <c r="AP29" i="1"/>
  <c r="D31" i="67"/>
  <c r="E31" i="67"/>
  <c r="F31" i="67"/>
  <c r="G31" i="67"/>
  <c r="AP30" i="1"/>
  <c r="D32" i="67"/>
  <c r="E32" i="67"/>
  <c r="F32" i="67"/>
  <c r="G32" i="67"/>
  <c r="AP31" i="1"/>
  <c r="D33" i="67"/>
  <c r="E33" i="67"/>
  <c r="F33" i="67"/>
  <c r="G33" i="67"/>
  <c r="AP32" i="1"/>
  <c r="D34" i="67"/>
  <c r="E34" i="67"/>
  <c r="F34" i="67"/>
  <c r="G34" i="67"/>
  <c r="AP33" i="1"/>
  <c r="D35" i="67"/>
  <c r="E35" i="67"/>
  <c r="F35" i="67"/>
  <c r="G35" i="67"/>
  <c r="AP34" i="1"/>
  <c r="D36" i="67"/>
  <c r="E36" i="67"/>
  <c r="F36" i="67"/>
  <c r="G36" i="67"/>
  <c r="AP35" i="1"/>
  <c r="D37" i="67"/>
  <c r="E37" i="67"/>
  <c r="F37" i="67"/>
  <c r="G37" i="67"/>
  <c r="AP36" i="1"/>
  <c r="D38" i="67"/>
  <c r="E38" i="67"/>
  <c r="F38" i="67"/>
  <c r="G38" i="67"/>
  <c r="AP37" i="1"/>
  <c r="D39" i="67"/>
  <c r="E39" i="67"/>
  <c r="F39" i="67"/>
  <c r="G39" i="67"/>
  <c r="AP38" i="1"/>
  <c r="D40" i="67"/>
  <c r="E40" i="67"/>
  <c r="F40" i="67"/>
  <c r="G40" i="67"/>
  <c r="AP39" i="1"/>
  <c r="D41" i="67"/>
  <c r="E41" i="67"/>
  <c r="F41" i="67"/>
  <c r="G41" i="67"/>
  <c r="AP40" i="1"/>
  <c r="D42" i="67"/>
  <c r="E42" i="67"/>
  <c r="F42" i="67"/>
  <c r="G42" i="67"/>
  <c r="AP41" i="1"/>
  <c r="D43" i="67"/>
  <c r="E43" i="67"/>
  <c r="F43" i="67"/>
  <c r="G43" i="67"/>
  <c r="AP42" i="1"/>
  <c r="D44" i="67"/>
  <c r="E44" i="67"/>
  <c r="F44" i="67"/>
  <c r="G44" i="67"/>
  <c r="AP43" i="1"/>
  <c r="D45" i="67"/>
  <c r="E45" i="67"/>
  <c r="F45" i="67"/>
  <c r="G45" i="67"/>
  <c r="AP44" i="1"/>
  <c r="D46" i="67"/>
  <c r="E46" i="67"/>
  <c r="F46" i="67"/>
  <c r="G46" i="67"/>
  <c r="AP45" i="1"/>
  <c r="D47" i="67"/>
  <c r="E47" i="67"/>
  <c r="F47" i="67"/>
  <c r="G47" i="67"/>
  <c r="AP46" i="1"/>
  <c r="D48" i="67"/>
  <c r="E48" i="67"/>
  <c r="F48" i="67"/>
  <c r="G48" i="67"/>
  <c r="AP47" i="1"/>
  <c r="D49" i="67"/>
  <c r="E49" i="67"/>
  <c r="F49" i="67"/>
  <c r="G49" i="67"/>
  <c r="AP48" i="1"/>
  <c r="D50" i="67"/>
  <c r="E50" i="67"/>
  <c r="F50" i="67"/>
  <c r="G50" i="67"/>
  <c r="AP49" i="1"/>
  <c r="D51" i="67"/>
  <c r="E51" i="67"/>
  <c r="F51" i="67"/>
  <c r="G51" i="67"/>
  <c r="AP50" i="1"/>
  <c r="D52" i="67"/>
  <c r="E52" i="67"/>
  <c r="F52" i="67"/>
  <c r="G52" i="67"/>
  <c r="AP51" i="1"/>
  <c r="D53" i="67"/>
  <c r="E53" i="67"/>
  <c r="F53" i="67"/>
  <c r="G53" i="67"/>
  <c r="AP52" i="1"/>
  <c r="D54" i="67"/>
  <c r="E54" i="67"/>
  <c r="F54" i="67"/>
  <c r="G54" i="67"/>
  <c r="AP53" i="1"/>
  <c r="D55" i="67"/>
  <c r="E55" i="67"/>
  <c r="F55" i="67"/>
  <c r="G55" i="67"/>
  <c r="AP54" i="1"/>
  <c r="D56" i="67"/>
  <c r="E56" i="67"/>
  <c r="F56" i="67"/>
  <c r="G56" i="67"/>
  <c r="AP55" i="1"/>
  <c r="D57" i="67"/>
  <c r="E57" i="67"/>
  <c r="F57" i="67"/>
  <c r="G57" i="67"/>
  <c r="AP56" i="1"/>
  <c r="D58" i="67"/>
  <c r="E58" i="67"/>
  <c r="F58" i="67"/>
  <c r="G58" i="67"/>
  <c r="AP57" i="1"/>
  <c r="D59" i="67"/>
  <c r="E59" i="67"/>
  <c r="F59" i="67"/>
  <c r="G59" i="67"/>
  <c r="AP58" i="1"/>
  <c r="D60" i="67"/>
  <c r="E60" i="67"/>
  <c r="F60" i="67"/>
  <c r="G60" i="67"/>
  <c r="AP59" i="1"/>
  <c r="D61" i="67"/>
  <c r="E61" i="67"/>
  <c r="F61" i="67"/>
  <c r="G61" i="67"/>
  <c r="AP60" i="1"/>
  <c r="D62" i="67"/>
  <c r="E62" i="67"/>
  <c r="F62" i="67"/>
  <c r="G62" i="67"/>
  <c r="AP61" i="1"/>
  <c r="D63" i="67"/>
  <c r="E63" i="67"/>
  <c r="F63" i="67"/>
  <c r="G63" i="67"/>
  <c r="AP62" i="1"/>
  <c r="D64" i="67"/>
  <c r="E64" i="67"/>
  <c r="F64" i="67"/>
  <c r="G64" i="67"/>
  <c r="AP63" i="1"/>
  <c r="D65" i="67"/>
  <c r="E65" i="67"/>
  <c r="F65" i="67"/>
  <c r="G65" i="67"/>
  <c r="AP64" i="1"/>
  <c r="D66" i="67"/>
  <c r="E66" i="67"/>
  <c r="F66" i="67"/>
  <c r="G66" i="67"/>
  <c r="AP65" i="1"/>
  <c r="D67" i="67"/>
  <c r="E67" i="67"/>
  <c r="F67" i="67"/>
  <c r="G67" i="67"/>
  <c r="AP66" i="1"/>
  <c r="D68" i="67"/>
  <c r="E68" i="67"/>
  <c r="F68" i="67"/>
  <c r="G68" i="67"/>
  <c r="AP67" i="1"/>
  <c r="D69" i="67"/>
  <c r="E69" i="67"/>
  <c r="F69" i="67"/>
  <c r="G69" i="67"/>
  <c r="AP68" i="1"/>
  <c r="D70" i="67"/>
  <c r="E70" i="67"/>
  <c r="F70" i="67"/>
  <c r="G70" i="67"/>
  <c r="AP69" i="1"/>
  <c r="D71" i="67"/>
  <c r="E71" i="67"/>
  <c r="F71" i="67"/>
  <c r="G71" i="67"/>
  <c r="AP70" i="1"/>
  <c r="D72" i="67"/>
  <c r="E72" i="67"/>
  <c r="F72" i="67"/>
  <c r="G72" i="67"/>
  <c r="AP71" i="1"/>
  <c r="D73" i="67"/>
  <c r="E73" i="67"/>
  <c r="F73" i="67"/>
  <c r="G73" i="67"/>
  <c r="AP72" i="1"/>
  <c r="D74" i="67"/>
  <c r="E74" i="67"/>
  <c r="F74" i="67"/>
  <c r="G74" i="67"/>
  <c r="G75" i="67"/>
  <c r="AT4" i="1"/>
  <c r="D7" i="141"/>
  <c r="E7" i="141"/>
  <c r="F7" i="141"/>
  <c r="G7" i="141"/>
  <c r="H7" i="141"/>
  <c r="AT5" i="1"/>
  <c r="D8" i="141"/>
  <c r="E8" i="141"/>
  <c r="F8" i="141"/>
  <c r="G8" i="141"/>
  <c r="H8" i="141"/>
  <c r="AT6" i="1"/>
  <c r="D9" i="141"/>
  <c r="E9" i="141"/>
  <c r="F9" i="141"/>
  <c r="G9" i="141"/>
  <c r="H9" i="141"/>
  <c r="AT7" i="1"/>
  <c r="D10" i="141"/>
  <c r="E10" i="141"/>
  <c r="F10" i="141"/>
  <c r="G10" i="141"/>
  <c r="H10" i="141"/>
  <c r="AT8" i="1"/>
  <c r="D11" i="141"/>
  <c r="E11" i="141"/>
  <c r="F11" i="141"/>
  <c r="G11" i="141"/>
  <c r="H11" i="141"/>
  <c r="AT9" i="1"/>
  <c r="D12" i="141"/>
  <c r="E12" i="141"/>
  <c r="F12" i="141"/>
  <c r="G12" i="141"/>
  <c r="H12" i="141"/>
  <c r="AT10" i="1"/>
  <c r="D13" i="141"/>
  <c r="E13" i="141"/>
  <c r="F13" i="141"/>
  <c r="G13" i="141"/>
  <c r="H13" i="141"/>
  <c r="AT11" i="1"/>
  <c r="D14" i="141"/>
  <c r="E14" i="141"/>
  <c r="F14" i="141"/>
  <c r="G14" i="141"/>
  <c r="H14" i="141"/>
  <c r="AT12" i="1"/>
  <c r="D15" i="141"/>
  <c r="E15" i="141"/>
  <c r="F15" i="141"/>
  <c r="G15" i="141"/>
  <c r="H15" i="141"/>
  <c r="AT13" i="1"/>
  <c r="D16" i="141"/>
  <c r="E16" i="141"/>
  <c r="F16" i="141"/>
  <c r="G16" i="141"/>
  <c r="H16" i="141"/>
  <c r="AT14" i="1"/>
  <c r="D17" i="141"/>
  <c r="E17" i="141"/>
  <c r="F17" i="141"/>
  <c r="G17" i="141"/>
  <c r="H17" i="141"/>
  <c r="AT15" i="1"/>
  <c r="D18" i="141"/>
  <c r="E18" i="141"/>
  <c r="F18" i="141"/>
  <c r="G18" i="141"/>
  <c r="H18" i="141"/>
  <c r="AT16" i="1"/>
  <c r="D19" i="141"/>
  <c r="E19" i="141"/>
  <c r="F19" i="141"/>
  <c r="G19" i="141"/>
  <c r="H19" i="141"/>
  <c r="AT17" i="1"/>
  <c r="D20" i="141"/>
  <c r="E20" i="141"/>
  <c r="F20" i="141"/>
  <c r="G20" i="141"/>
  <c r="H20" i="141"/>
  <c r="AT18" i="1"/>
  <c r="D21" i="141"/>
  <c r="E21" i="141"/>
  <c r="F21" i="141"/>
  <c r="G21" i="141"/>
  <c r="H21" i="141"/>
  <c r="AT19" i="1"/>
  <c r="D22" i="141"/>
  <c r="E22" i="141"/>
  <c r="F22" i="141"/>
  <c r="G22" i="141"/>
  <c r="H22" i="141"/>
  <c r="AT20" i="1"/>
  <c r="D23" i="141"/>
  <c r="E23" i="141"/>
  <c r="F23" i="141"/>
  <c r="G23" i="141"/>
  <c r="H23" i="141"/>
  <c r="AT21" i="1"/>
  <c r="D24" i="141"/>
  <c r="E24" i="141"/>
  <c r="F24" i="141"/>
  <c r="G24" i="141"/>
  <c r="H24" i="141"/>
  <c r="AT22" i="1"/>
  <c r="D25" i="141"/>
  <c r="E25" i="141"/>
  <c r="F25" i="141"/>
  <c r="G25" i="141"/>
  <c r="H25" i="141"/>
  <c r="AT23" i="1"/>
  <c r="D26" i="141"/>
  <c r="E26" i="141"/>
  <c r="F26" i="141"/>
  <c r="G26" i="141"/>
  <c r="H26" i="141"/>
  <c r="AT24" i="1"/>
  <c r="D27" i="141"/>
  <c r="E27" i="141"/>
  <c r="F27" i="141"/>
  <c r="G27" i="141"/>
  <c r="H27" i="141"/>
  <c r="AT25" i="1"/>
  <c r="D28" i="141"/>
  <c r="E28" i="141"/>
  <c r="F28" i="141"/>
  <c r="G28" i="141"/>
  <c r="H28" i="141"/>
  <c r="AT26" i="1"/>
  <c r="D29" i="141"/>
  <c r="E29" i="141"/>
  <c r="F29" i="141"/>
  <c r="G29" i="141"/>
  <c r="H29" i="141"/>
  <c r="AT27" i="1"/>
  <c r="D30" i="141"/>
  <c r="E30" i="141"/>
  <c r="F30" i="141"/>
  <c r="G30" i="141"/>
  <c r="H30" i="141"/>
  <c r="AT28" i="1"/>
  <c r="D31" i="141"/>
  <c r="E31" i="141"/>
  <c r="F31" i="141"/>
  <c r="G31" i="141"/>
  <c r="H31" i="141"/>
  <c r="AT29" i="1"/>
  <c r="D32" i="141"/>
  <c r="E32" i="141"/>
  <c r="F32" i="141"/>
  <c r="G32" i="141"/>
  <c r="H32" i="141"/>
  <c r="AT30" i="1"/>
  <c r="D33" i="141"/>
  <c r="E33" i="141"/>
  <c r="F33" i="141"/>
  <c r="G33" i="141"/>
  <c r="H33" i="141"/>
  <c r="AT31" i="1"/>
  <c r="D34" i="141"/>
  <c r="E34" i="141"/>
  <c r="F34" i="141"/>
  <c r="G34" i="141"/>
  <c r="H34" i="141"/>
  <c r="AT32" i="1"/>
  <c r="D35" i="141"/>
  <c r="E35" i="141"/>
  <c r="F35" i="141"/>
  <c r="G35" i="141"/>
  <c r="H35" i="141"/>
  <c r="AT33" i="1"/>
  <c r="D36" i="141"/>
  <c r="E36" i="141"/>
  <c r="F36" i="141"/>
  <c r="G36" i="141"/>
  <c r="H36" i="141"/>
  <c r="AT34" i="1"/>
  <c r="D37" i="141"/>
  <c r="E37" i="141"/>
  <c r="F37" i="141"/>
  <c r="G37" i="141"/>
  <c r="H37" i="141"/>
  <c r="AT35" i="1"/>
  <c r="D38" i="141"/>
  <c r="E38" i="141"/>
  <c r="F38" i="141"/>
  <c r="G38" i="141"/>
  <c r="H38" i="141"/>
  <c r="AT36" i="1"/>
  <c r="D39" i="141"/>
  <c r="E39" i="141"/>
  <c r="F39" i="141"/>
  <c r="G39" i="141"/>
  <c r="H39" i="141"/>
  <c r="AT37" i="1"/>
  <c r="D40" i="141"/>
  <c r="E40" i="141"/>
  <c r="F40" i="141"/>
  <c r="G40" i="141"/>
  <c r="H40" i="141"/>
  <c r="AT38" i="1"/>
  <c r="D41" i="141"/>
  <c r="E41" i="141"/>
  <c r="F41" i="141"/>
  <c r="G41" i="141"/>
  <c r="H41" i="141"/>
  <c r="AT39" i="1"/>
  <c r="D42" i="141"/>
  <c r="E42" i="141"/>
  <c r="F42" i="141"/>
  <c r="G42" i="141"/>
  <c r="H42" i="141"/>
  <c r="AT40" i="1"/>
  <c r="D43" i="141"/>
  <c r="E43" i="141"/>
  <c r="F43" i="141"/>
  <c r="G43" i="141"/>
  <c r="H43" i="141"/>
  <c r="AT41" i="1"/>
  <c r="D44" i="141"/>
  <c r="E44" i="141"/>
  <c r="F44" i="141"/>
  <c r="G44" i="141"/>
  <c r="H44" i="141"/>
  <c r="AT42" i="1"/>
  <c r="D45" i="141"/>
  <c r="E45" i="141"/>
  <c r="F45" i="141"/>
  <c r="G45" i="141"/>
  <c r="H45" i="141"/>
  <c r="AT43" i="1"/>
  <c r="D46" i="141"/>
  <c r="E46" i="141"/>
  <c r="F46" i="141"/>
  <c r="G46" i="141"/>
  <c r="H46" i="141"/>
  <c r="AT44" i="1"/>
  <c r="D47" i="141"/>
  <c r="E47" i="141"/>
  <c r="F47" i="141"/>
  <c r="G47" i="141"/>
  <c r="H47" i="141"/>
  <c r="AT45" i="1"/>
  <c r="D48" i="141"/>
  <c r="E48" i="141"/>
  <c r="F48" i="141"/>
  <c r="G48" i="141"/>
  <c r="H48" i="141"/>
  <c r="AT46" i="1"/>
  <c r="D49" i="141"/>
  <c r="E49" i="141"/>
  <c r="F49" i="141"/>
  <c r="G49" i="141"/>
  <c r="H49" i="141"/>
  <c r="AT47" i="1"/>
  <c r="D50" i="141"/>
  <c r="E50" i="141"/>
  <c r="F50" i="141"/>
  <c r="G50" i="141"/>
  <c r="H50" i="141"/>
  <c r="AT48" i="1"/>
  <c r="D51" i="141"/>
  <c r="E51" i="141"/>
  <c r="F51" i="141"/>
  <c r="G51" i="141"/>
  <c r="H51" i="141"/>
  <c r="AT49" i="1"/>
  <c r="D52" i="141"/>
  <c r="E52" i="141"/>
  <c r="F52" i="141"/>
  <c r="G52" i="141"/>
  <c r="H52" i="141"/>
  <c r="AT50" i="1"/>
  <c r="D53" i="141"/>
  <c r="E53" i="141"/>
  <c r="F53" i="141"/>
  <c r="G53" i="141"/>
  <c r="H53" i="141"/>
  <c r="AT51" i="1"/>
  <c r="D54" i="141"/>
  <c r="E54" i="141"/>
  <c r="F54" i="141"/>
  <c r="G54" i="141"/>
  <c r="H54" i="141"/>
  <c r="AT52" i="1"/>
  <c r="D55" i="141"/>
  <c r="E55" i="141"/>
  <c r="F55" i="141"/>
  <c r="G55" i="141"/>
  <c r="H55" i="141"/>
  <c r="AT53" i="1"/>
  <c r="D56" i="141"/>
  <c r="E56" i="141"/>
  <c r="F56" i="141"/>
  <c r="G56" i="141"/>
  <c r="H56" i="141"/>
  <c r="AT54" i="1"/>
  <c r="D57" i="141"/>
  <c r="E57" i="141"/>
  <c r="F57" i="141"/>
  <c r="G57" i="141"/>
  <c r="H57" i="141"/>
  <c r="AT55" i="1"/>
  <c r="D58" i="141"/>
  <c r="E58" i="141"/>
  <c r="F58" i="141"/>
  <c r="G58" i="141"/>
  <c r="H58" i="141"/>
  <c r="AT56" i="1"/>
  <c r="D59" i="141"/>
  <c r="E59" i="141"/>
  <c r="F59" i="141"/>
  <c r="G59" i="141"/>
  <c r="H59" i="141"/>
  <c r="AT57" i="1"/>
  <c r="D60" i="141"/>
  <c r="E60" i="141"/>
  <c r="F60" i="141"/>
  <c r="G60" i="141"/>
  <c r="H60" i="141"/>
  <c r="AT58" i="1"/>
  <c r="D61" i="141"/>
  <c r="E61" i="141"/>
  <c r="F61" i="141"/>
  <c r="G61" i="141"/>
  <c r="H61" i="141"/>
  <c r="AT59" i="1"/>
  <c r="D62" i="141"/>
  <c r="E62" i="141"/>
  <c r="F62" i="141"/>
  <c r="G62" i="141"/>
  <c r="H62" i="141"/>
  <c r="AT60" i="1"/>
  <c r="D63" i="141"/>
  <c r="E63" i="141"/>
  <c r="F63" i="141"/>
  <c r="G63" i="141"/>
  <c r="H63" i="141"/>
  <c r="AT61" i="1"/>
  <c r="D64" i="141"/>
  <c r="E64" i="141"/>
  <c r="F64" i="141"/>
  <c r="G64" i="141"/>
  <c r="H64" i="141"/>
  <c r="AT62" i="1"/>
  <c r="D65" i="141"/>
  <c r="E65" i="141"/>
  <c r="F65" i="141"/>
  <c r="G65" i="141"/>
  <c r="H65" i="141"/>
  <c r="AT63" i="1"/>
  <c r="D66" i="141"/>
  <c r="E66" i="141"/>
  <c r="F66" i="141"/>
  <c r="G66" i="141"/>
  <c r="H66" i="141"/>
  <c r="AT64" i="1"/>
  <c r="D67" i="141"/>
  <c r="E67" i="141"/>
  <c r="F67" i="141"/>
  <c r="G67" i="141"/>
  <c r="H67" i="141"/>
  <c r="AT65" i="1"/>
  <c r="D68" i="141"/>
  <c r="E68" i="141"/>
  <c r="F68" i="141"/>
  <c r="G68" i="141"/>
  <c r="H68" i="141"/>
  <c r="AT66" i="1"/>
  <c r="D69" i="141"/>
  <c r="E69" i="141"/>
  <c r="F69" i="141"/>
  <c r="G69" i="141"/>
  <c r="H69" i="141"/>
  <c r="AT67" i="1"/>
  <c r="D70" i="141"/>
  <c r="E70" i="141"/>
  <c r="F70" i="141"/>
  <c r="G70" i="141"/>
  <c r="H70" i="141"/>
  <c r="AT68" i="1"/>
  <c r="D71" i="141"/>
  <c r="E71" i="141"/>
  <c r="F71" i="141"/>
  <c r="G71" i="141"/>
  <c r="H71" i="141"/>
  <c r="AT69" i="1"/>
  <c r="D72" i="141"/>
  <c r="E72" i="141"/>
  <c r="F72" i="141"/>
  <c r="G72" i="141"/>
  <c r="H72" i="141"/>
  <c r="AT70" i="1"/>
  <c r="D73" i="141"/>
  <c r="E73" i="141"/>
  <c r="F73" i="141"/>
  <c r="G73" i="141"/>
  <c r="H73" i="141"/>
  <c r="AT71" i="1"/>
  <c r="D74" i="141"/>
  <c r="E74" i="141"/>
  <c r="F74" i="141"/>
  <c r="G74" i="141"/>
  <c r="H74" i="141"/>
  <c r="AT72" i="1"/>
  <c r="D75" i="141"/>
  <c r="E75" i="141"/>
  <c r="F75" i="141"/>
  <c r="G75" i="141"/>
  <c r="H75" i="141"/>
  <c r="H76" i="141"/>
  <c r="D7" i="140"/>
  <c r="E7" i="140"/>
  <c r="F7" i="140"/>
  <c r="G7" i="140"/>
  <c r="H7" i="140"/>
  <c r="D8" i="140"/>
  <c r="E8" i="140"/>
  <c r="F8" i="140"/>
  <c r="G8" i="140"/>
  <c r="H8" i="140"/>
  <c r="D9" i="140"/>
  <c r="E9" i="140"/>
  <c r="F9" i="140"/>
  <c r="G9" i="140"/>
  <c r="H9" i="140"/>
  <c r="D10" i="140"/>
  <c r="E10" i="140"/>
  <c r="F10" i="140"/>
  <c r="G10" i="140"/>
  <c r="H10" i="140"/>
  <c r="D11" i="140"/>
  <c r="E11" i="140"/>
  <c r="F11" i="140"/>
  <c r="G11" i="140"/>
  <c r="H11" i="140"/>
  <c r="D12" i="140"/>
  <c r="E12" i="140"/>
  <c r="F12" i="140"/>
  <c r="G12" i="140"/>
  <c r="H12" i="140"/>
  <c r="D13" i="140"/>
  <c r="E13" i="140"/>
  <c r="F13" i="140"/>
  <c r="G13" i="140"/>
  <c r="H13" i="140"/>
  <c r="D14" i="140"/>
  <c r="E14" i="140"/>
  <c r="F14" i="140"/>
  <c r="G14" i="140"/>
  <c r="H14" i="140"/>
  <c r="D15" i="140"/>
  <c r="E15" i="140"/>
  <c r="F15" i="140"/>
  <c r="G15" i="140"/>
  <c r="H15" i="140"/>
  <c r="D16" i="140"/>
  <c r="E16" i="140"/>
  <c r="F16" i="140"/>
  <c r="G16" i="140"/>
  <c r="H16" i="140"/>
  <c r="D17" i="140"/>
  <c r="E17" i="140"/>
  <c r="F17" i="140"/>
  <c r="G17" i="140"/>
  <c r="H17" i="140"/>
  <c r="D18" i="140"/>
  <c r="E18" i="140"/>
  <c r="F18" i="140"/>
  <c r="G18" i="140"/>
  <c r="H18" i="140"/>
  <c r="D19" i="140"/>
  <c r="E19" i="140"/>
  <c r="F19" i="140"/>
  <c r="G19" i="140"/>
  <c r="H19" i="140"/>
  <c r="D20" i="140"/>
  <c r="E20" i="140"/>
  <c r="F20" i="140"/>
  <c r="G20" i="140"/>
  <c r="H20" i="140"/>
  <c r="D21" i="140"/>
  <c r="E21" i="140"/>
  <c r="F21" i="140"/>
  <c r="G21" i="140"/>
  <c r="H21" i="140"/>
  <c r="D22" i="140"/>
  <c r="E22" i="140"/>
  <c r="F22" i="140"/>
  <c r="G22" i="140"/>
  <c r="H22" i="140"/>
  <c r="D23" i="140"/>
  <c r="E23" i="140"/>
  <c r="F23" i="140"/>
  <c r="G23" i="140"/>
  <c r="H23" i="140"/>
  <c r="D24" i="140"/>
  <c r="E24" i="140"/>
  <c r="F24" i="140"/>
  <c r="G24" i="140"/>
  <c r="H24" i="140"/>
  <c r="D25" i="140"/>
  <c r="E25" i="140"/>
  <c r="F25" i="140"/>
  <c r="G25" i="140"/>
  <c r="H25" i="140"/>
  <c r="D26" i="140"/>
  <c r="E26" i="140"/>
  <c r="F26" i="140"/>
  <c r="G26" i="140"/>
  <c r="H26" i="140"/>
  <c r="D27" i="140"/>
  <c r="E27" i="140"/>
  <c r="F27" i="140"/>
  <c r="G27" i="140"/>
  <c r="H27" i="140"/>
  <c r="D28" i="140"/>
  <c r="E28" i="140"/>
  <c r="F28" i="140"/>
  <c r="G28" i="140"/>
  <c r="H28" i="140"/>
  <c r="D29" i="140"/>
  <c r="E29" i="140"/>
  <c r="F29" i="140"/>
  <c r="G29" i="140"/>
  <c r="H29" i="140"/>
  <c r="D30" i="140"/>
  <c r="E30" i="140"/>
  <c r="F30" i="140"/>
  <c r="G30" i="140"/>
  <c r="H30" i="140"/>
  <c r="D31" i="140"/>
  <c r="E31" i="140"/>
  <c r="F31" i="140"/>
  <c r="G31" i="140"/>
  <c r="H31" i="140"/>
  <c r="D32" i="140"/>
  <c r="E32" i="140"/>
  <c r="F32" i="140"/>
  <c r="G32" i="140"/>
  <c r="H32" i="140"/>
  <c r="D33" i="140"/>
  <c r="E33" i="140"/>
  <c r="F33" i="140"/>
  <c r="G33" i="140"/>
  <c r="H33" i="140"/>
  <c r="D34" i="140"/>
  <c r="E34" i="140"/>
  <c r="F34" i="140"/>
  <c r="G34" i="140"/>
  <c r="H34" i="140"/>
  <c r="D35" i="140"/>
  <c r="E35" i="140"/>
  <c r="F35" i="140"/>
  <c r="G35" i="140"/>
  <c r="H35" i="140"/>
  <c r="D36" i="140"/>
  <c r="E36" i="140"/>
  <c r="F36" i="140"/>
  <c r="G36" i="140"/>
  <c r="H36" i="140"/>
  <c r="D37" i="140"/>
  <c r="E37" i="140"/>
  <c r="F37" i="140"/>
  <c r="G37" i="140"/>
  <c r="H37" i="140"/>
  <c r="D38" i="140"/>
  <c r="E38" i="140"/>
  <c r="F38" i="140"/>
  <c r="G38" i="140"/>
  <c r="H38" i="140"/>
  <c r="D39" i="140"/>
  <c r="E39" i="140"/>
  <c r="F39" i="140"/>
  <c r="G39" i="140"/>
  <c r="H39" i="140"/>
  <c r="D40" i="140"/>
  <c r="E40" i="140"/>
  <c r="F40" i="140"/>
  <c r="G40" i="140"/>
  <c r="H40" i="140"/>
  <c r="D41" i="140"/>
  <c r="E41" i="140"/>
  <c r="F41" i="140"/>
  <c r="G41" i="140"/>
  <c r="H41" i="140"/>
  <c r="D42" i="140"/>
  <c r="E42" i="140"/>
  <c r="F42" i="140"/>
  <c r="G42" i="140"/>
  <c r="H42" i="140"/>
  <c r="D43" i="140"/>
  <c r="E43" i="140"/>
  <c r="F43" i="140"/>
  <c r="G43" i="140"/>
  <c r="H43" i="140"/>
  <c r="D44" i="140"/>
  <c r="E44" i="140"/>
  <c r="F44" i="140"/>
  <c r="G44" i="140"/>
  <c r="H44" i="140"/>
  <c r="D45" i="140"/>
  <c r="E45" i="140"/>
  <c r="F45" i="140"/>
  <c r="G45" i="140"/>
  <c r="H45" i="140"/>
  <c r="D46" i="140"/>
  <c r="E46" i="140"/>
  <c r="F46" i="140"/>
  <c r="G46" i="140"/>
  <c r="H46" i="140"/>
  <c r="D47" i="140"/>
  <c r="E47" i="140"/>
  <c r="F47" i="140"/>
  <c r="G47" i="140"/>
  <c r="H47" i="140"/>
  <c r="D48" i="140"/>
  <c r="E48" i="140"/>
  <c r="F48" i="140"/>
  <c r="G48" i="140"/>
  <c r="H48" i="140"/>
  <c r="D49" i="140"/>
  <c r="E49" i="140"/>
  <c r="F49" i="140"/>
  <c r="G49" i="140"/>
  <c r="H49" i="140"/>
  <c r="D50" i="140"/>
  <c r="E50" i="140"/>
  <c r="F50" i="140"/>
  <c r="G50" i="140"/>
  <c r="H50" i="140"/>
  <c r="D51" i="140"/>
  <c r="E51" i="140"/>
  <c r="F51" i="140"/>
  <c r="G51" i="140"/>
  <c r="H51" i="140"/>
  <c r="D52" i="140"/>
  <c r="E52" i="140"/>
  <c r="F52" i="140"/>
  <c r="G52" i="140"/>
  <c r="H52" i="140"/>
  <c r="D53" i="140"/>
  <c r="E53" i="140"/>
  <c r="F53" i="140"/>
  <c r="G53" i="140"/>
  <c r="H53" i="140"/>
  <c r="D54" i="140"/>
  <c r="E54" i="140"/>
  <c r="F54" i="140"/>
  <c r="G54" i="140"/>
  <c r="H54" i="140"/>
  <c r="D55" i="140"/>
  <c r="E55" i="140"/>
  <c r="F55" i="140"/>
  <c r="G55" i="140"/>
  <c r="H55" i="140"/>
  <c r="D56" i="140"/>
  <c r="E56" i="140"/>
  <c r="F56" i="140"/>
  <c r="G56" i="140"/>
  <c r="H56" i="140"/>
  <c r="D57" i="140"/>
  <c r="E57" i="140"/>
  <c r="F57" i="140"/>
  <c r="G57" i="140"/>
  <c r="H57" i="140"/>
  <c r="D58" i="140"/>
  <c r="E58" i="140"/>
  <c r="F58" i="140"/>
  <c r="G58" i="140"/>
  <c r="H58" i="140"/>
  <c r="D59" i="140"/>
  <c r="E59" i="140"/>
  <c r="F59" i="140"/>
  <c r="G59" i="140"/>
  <c r="H59" i="140"/>
  <c r="D60" i="140"/>
  <c r="E60" i="140"/>
  <c r="F60" i="140"/>
  <c r="G60" i="140"/>
  <c r="H60" i="140"/>
  <c r="D61" i="140"/>
  <c r="E61" i="140"/>
  <c r="F61" i="140"/>
  <c r="G61" i="140"/>
  <c r="H61" i="140"/>
  <c r="D62" i="140"/>
  <c r="E62" i="140"/>
  <c r="F62" i="140"/>
  <c r="G62" i="140"/>
  <c r="H62" i="140"/>
  <c r="D63" i="140"/>
  <c r="E63" i="140"/>
  <c r="F63" i="140"/>
  <c r="G63" i="140"/>
  <c r="H63" i="140"/>
  <c r="D64" i="140"/>
  <c r="E64" i="140"/>
  <c r="F64" i="140"/>
  <c r="G64" i="140"/>
  <c r="H64" i="140"/>
  <c r="D65" i="140"/>
  <c r="E65" i="140"/>
  <c r="F65" i="140"/>
  <c r="G65" i="140"/>
  <c r="H65" i="140"/>
  <c r="D66" i="140"/>
  <c r="E66" i="140"/>
  <c r="F66" i="140"/>
  <c r="G66" i="140"/>
  <c r="H66" i="140"/>
  <c r="D67" i="140"/>
  <c r="E67" i="140"/>
  <c r="F67" i="140"/>
  <c r="G67" i="140"/>
  <c r="H67" i="140"/>
  <c r="D68" i="140"/>
  <c r="E68" i="140"/>
  <c r="F68" i="140"/>
  <c r="G68" i="140"/>
  <c r="H68" i="140"/>
  <c r="D69" i="140"/>
  <c r="E69" i="140"/>
  <c r="F69" i="140"/>
  <c r="G69" i="140"/>
  <c r="H69" i="140"/>
  <c r="D70" i="140"/>
  <c r="E70" i="140"/>
  <c r="F70" i="140"/>
  <c r="G70" i="140"/>
  <c r="H70" i="140"/>
  <c r="D71" i="140"/>
  <c r="E71" i="140"/>
  <c r="F71" i="140"/>
  <c r="G71" i="140"/>
  <c r="H71" i="140"/>
  <c r="D72" i="140"/>
  <c r="E72" i="140"/>
  <c r="F72" i="140"/>
  <c r="G72" i="140"/>
  <c r="H72" i="140"/>
  <c r="D73" i="140"/>
  <c r="E73" i="140"/>
  <c r="F73" i="140"/>
  <c r="G73" i="140"/>
  <c r="H73" i="140"/>
  <c r="D74" i="140"/>
  <c r="E74" i="140"/>
  <c r="F74" i="140"/>
  <c r="G74" i="140"/>
  <c r="H74" i="140"/>
  <c r="D75" i="140"/>
  <c r="E75" i="140"/>
  <c r="F75" i="140"/>
  <c r="G75" i="140"/>
  <c r="H75" i="140"/>
  <c r="H76" i="140"/>
  <c r="D7" i="76"/>
  <c r="F7" i="76"/>
  <c r="I7" i="76"/>
  <c r="D8" i="76"/>
  <c r="F8" i="76"/>
  <c r="I8" i="76"/>
  <c r="D9" i="76"/>
  <c r="F9" i="76"/>
  <c r="I9" i="76"/>
  <c r="D10" i="76"/>
  <c r="F10" i="76"/>
  <c r="I10" i="76"/>
  <c r="D11" i="76"/>
  <c r="F11" i="76"/>
  <c r="I11" i="76"/>
  <c r="D12" i="76"/>
  <c r="F12" i="76"/>
  <c r="I12" i="76"/>
  <c r="D13" i="76"/>
  <c r="F13" i="76"/>
  <c r="I13" i="76"/>
  <c r="D14" i="76"/>
  <c r="F14" i="76"/>
  <c r="I14" i="76"/>
  <c r="D15" i="76"/>
  <c r="F15" i="76"/>
  <c r="I15" i="76"/>
  <c r="D16" i="76"/>
  <c r="F16" i="76"/>
  <c r="I16" i="76"/>
  <c r="D17" i="76"/>
  <c r="F17" i="76"/>
  <c r="I17" i="76"/>
  <c r="D18" i="76"/>
  <c r="F18" i="76"/>
  <c r="I18" i="76"/>
  <c r="D19" i="76"/>
  <c r="F19" i="76"/>
  <c r="I19" i="76"/>
  <c r="D20" i="76"/>
  <c r="F20" i="76"/>
  <c r="I20" i="76"/>
  <c r="D21" i="76"/>
  <c r="F21" i="76"/>
  <c r="I21" i="76"/>
  <c r="D22" i="76"/>
  <c r="F22" i="76"/>
  <c r="I22" i="76"/>
  <c r="D23" i="76"/>
  <c r="F23" i="76"/>
  <c r="I23" i="76"/>
  <c r="D24" i="76"/>
  <c r="F24" i="76"/>
  <c r="I24" i="76"/>
  <c r="D25" i="76"/>
  <c r="F25" i="76"/>
  <c r="I25" i="76"/>
  <c r="D26" i="76"/>
  <c r="F26" i="76"/>
  <c r="I26" i="76"/>
  <c r="D27" i="76"/>
  <c r="F27" i="76"/>
  <c r="I27" i="76"/>
  <c r="D28" i="76"/>
  <c r="F28" i="76"/>
  <c r="I28" i="76"/>
  <c r="D29" i="76"/>
  <c r="F29" i="76"/>
  <c r="I29" i="76"/>
  <c r="D30" i="76"/>
  <c r="F30" i="76"/>
  <c r="I30" i="76"/>
  <c r="D31" i="76"/>
  <c r="F31" i="76"/>
  <c r="I31" i="76"/>
  <c r="D32" i="76"/>
  <c r="F32" i="76"/>
  <c r="I32" i="76"/>
  <c r="D33" i="76"/>
  <c r="F33" i="76"/>
  <c r="I33" i="76"/>
  <c r="D34" i="76"/>
  <c r="F34" i="76"/>
  <c r="I34" i="76"/>
  <c r="D35" i="76"/>
  <c r="F35" i="76"/>
  <c r="I35" i="76"/>
  <c r="D36" i="76"/>
  <c r="F36" i="76"/>
  <c r="I36" i="76"/>
  <c r="D37" i="76"/>
  <c r="F37" i="76"/>
  <c r="I37" i="76"/>
  <c r="D38" i="76"/>
  <c r="F38" i="76"/>
  <c r="I38" i="76"/>
  <c r="D39" i="76"/>
  <c r="F39" i="76"/>
  <c r="I39" i="76"/>
  <c r="D40" i="76"/>
  <c r="F40" i="76"/>
  <c r="I40" i="76"/>
  <c r="D41" i="76"/>
  <c r="F41" i="76"/>
  <c r="I41" i="76"/>
  <c r="D42" i="76"/>
  <c r="F42" i="76"/>
  <c r="I42" i="76"/>
  <c r="D43" i="76"/>
  <c r="F43" i="76"/>
  <c r="I43" i="76"/>
  <c r="D44" i="76"/>
  <c r="F44" i="76"/>
  <c r="I44" i="76"/>
  <c r="D45" i="76"/>
  <c r="F45" i="76"/>
  <c r="I45" i="76"/>
  <c r="D46" i="76"/>
  <c r="F46" i="76"/>
  <c r="I46" i="76"/>
  <c r="D47" i="76"/>
  <c r="F47" i="76"/>
  <c r="I47" i="76"/>
  <c r="D48" i="76"/>
  <c r="F48" i="76"/>
  <c r="I48" i="76"/>
  <c r="D49" i="76"/>
  <c r="F49" i="76"/>
  <c r="I49" i="76"/>
  <c r="D50" i="76"/>
  <c r="F50" i="76"/>
  <c r="I50" i="76"/>
  <c r="D51" i="76"/>
  <c r="F51" i="76"/>
  <c r="I51" i="76"/>
  <c r="D52" i="76"/>
  <c r="F52" i="76"/>
  <c r="I52" i="76"/>
  <c r="D53" i="76"/>
  <c r="F53" i="76"/>
  <c r="I53" i="76"/>
  <c r="D54" i="76"/>
  <c r="F54" i="76"/>
  <c r="I54" i="76"/>
  <c r="D55" i="76"/>
  <c r="F55" i="76"/>
  <c r="I55" i="76"/>
  <c r="D56" i="76"/>
  <c r="F56" i="76"/>
  <c r="I56" i="76"/>
  <c r="D57" i="76"/>
  <c r="F57" i="76"/>
  <c r="I57" i="76"/>
  <c r="D58" i="76"/>
  <c r="F58" i="76"/>
  <c r="I58" i="76"/>
  <c r="D59" i="76"/>
  <c r="F59" i="76"/>
  <c r="I59" i="76"/>
  <c r="D60" i="76"/>
  <c r="F60" i="76"/>
  <c r="I60" i="76"/>
  <c r="D61" i="76"/>
  <c r="F61" i="76"/>
  <c r="I61" i="76"/>
  <c r="D62" i="76"/>
  <c r="F62" i="76"/>
  <c r="I62" i="76"/>
  <c r="D63" i="76"/>
  <c r="F63" i="76"/>
  <c r="I63" i="76"/>
  <c r="D64" i="76"/>
  <c r="F64" i="76"/>
  <c r="I64" i="76"/>
  <c r="D65" i="76"/>
  <c r="F65" i="76"/>
  <c r="I65" i="76"/>
  <c r="D66" i="76"/>
  <c r="F66" i="76"/>
  <c r="I66" i="76"/>
  <c r="D67" i="76"/>
  <c r="F67" i="76"/>
  <c r="I67" i="76"/>
  <c r="D68" i="76"/>
  <c r="F68" i="76"/>
  <c r="I68" i="76"/>
  <c r="D69" i="76"/>
  <c r="F69" i="76"/>
  <c r="I69" i="76"/>
  <c r="D70" i="76"/>
  <c r="F70" i="76"/>
  <c r="I70" i="76"/>
  <c r="D71" i="76"/>
  <c r="F71" i="76"/>
  <c r="I71" i="76"/>
  <c r="D72" i="76"/>
  <c r="F72" i="76"/>
  <c r="I72" i="76"/>
  <c r="D73" i="76"/>
  <c r="F73" i="76"/>
  <c r="I73" i="76"/>
  <c r="D74" i="76"/>
  <c r="F74" i="76"/>
  <c r="I74" i="76"/>
  <c r="D75" i="76"/>
  <c r="F75" i="76"/>
  <c r="I75" i="76"/>
  <c r="I76" i="76"/>
  <c r="D7" i="80"/>
  <c r="F7" i="80"/>
  <c r="I7" i="80"/>
  <c r="D8" i="80"/>
  <c r="F8" i="80"/>
  <c r="I8" i="80"/>
  <c r="D9" i="80"/>
  <c r="F9" i="80"/>
  <c r="I9" i="80"/>
  <c r="D10" i="80"/>
  <c r="F10" i="80"/>
  <c r="I10" i="80"/>
  <c r="D11" i="80"/>
  <c r="F11" i="80"/>
  <c r="I11" i="80"/>
  <c r="D12" i="80"/>
  <c r="F12" i="80"/>
  <c r="I12" i="80"/>
  <c r="D13" i="80"/>
  <c r="F13" i="80"/>
  <c r="I13" i="80"/>
  <c r="D14" i="80"/>
  <c r="F14" i="80"/>
  <c r="I14" i="80"/>
  <c r="D15" i="80"/>
  <c r="F15" i="80"/>
  <c r="I15" i="80"/>
  <c r="D16" i="80"/>
  <c r="F16" i="80"/>
  <c r="I16" i="80"/>
  <c r="D17" i="80"/>
  <c r="F17" i="80"/>
  <c r="I17" i="80"/>
  <c r="D18" i="80"/>
  <c r="F18" i="80"/>
  <c r="I18" i="80"/>
  <c r="D19" i="80"/>
  <c r="F19" i="80"/>
  <c r="I19" i="80"/>
  <c r="D20" i="80"/>
  <c r="F20" i="80"/>
  <c r="I20" i="80"/>
  <c r="D21" i="80"/>
  <c r="F21" i="80"/>
  <c r="I21" i="80"/>
  <c r="D22" i="80"/>
  <c r="F22" i="80"/>
  <c r="I22" i="80"/>
  <c r="D23" i="80"/>
  <c r="F23" i="80"/>
  <c r="I23" i="80"/>
  <c r="D24" i="80"/>
  <c r="F24" i="80"/>
  <c r="I24" i="80"/>
  <c r="D25" i="80"/>
  <c r="F25" i="80"/>
  <c r="I25" i="80"/>
  <c r="D26" i="80"/>
  <c r="F26" i="80"/>
  <c r="I26" i="80"/>
  <c r="D27" i="80"/>
  <c r="F27" i="80"/>
  <c r="I27" i="80"/>
  <c r="D28" i="80"/>
  <c r="F28" i="80"/>
  <c r="I28" i="80"/>
  <c r="D29" i="80"/>
  <c r="F29" i="80"/>
  <c r="I29" i="80"/>
  <c r="D30" i="80"/>
  <c r="F30" i="80"/>
  <c r="I30" i="80"/>
  <c r="D31" i="80"/>
  <c r="F31" i="80"/>
  <c r="I31" i="80"/>
  <c r="D32" i="80"/>
  <c r="F32" i="80"/>
  <c r="I32" i="80"/>
  <c r="D33" i="80"/>
  <c r="F33" i="80"/>
  <c r="I33" i="80"/>
  <c r="D34" i="80"/>
  <c r="F34" i="80"/>
  <c r="I34" i="80"/>
  <c r="D35" i="80"/>
  <c r="F35" i="80"/>
  <c r="I35" i="80"/>
  <c r="D36" i="80"/>
  <c r="F36" i="80"/>
  <c r="I36" i="80"/>
  <c r="D37" i="80"/>
  <c r="F37" i="80"/>
  <c r="I37" i="80"/>
  <c r="D38" i="80"/>
  <c r="F38" i="80"/>
  <c r="I38" i="80"/>
  <c r="D39" i="80"/>
  <c r="F39" i="80"/>
  <c r="I39" i="80"/>
  <c r="D40" i="80"/>
  <c r="F40" i="80"/>
  <c r="I40" i="80"/>
  <c r="D41" i="80"/>
  <c r="F41" i="80"/>
  <c r="I41" i="80"/>
  <c r="D42" i="80"/>
  <c r="F42" i="80"/>
  <c r="I42" i="80"/>
  <c r="D43" i="80"/>
  <c r="F43" i="80"/>
  <c r="I43" i="80"/>
  <c r="D44" i="80"/>
  <c r="F44" i="80"/>
  <c r="I44" i="80"/>
  <c r="D45" i="80"/>
  <c r="F45" i="80"/>
  <c r="I45" i="80"/>
  <c r="D46" i="80"/>
  <c r="F46" i="80"/>
  <c r="I46" i="80"/>
  <c r="D47" i="80"/>
  <c r="F47" i="80"/>
  <c r="I47" i="80"/>
  <c r="D48" i="80"/>
  <c r="F48" i="80"/>
  <c r="I48" i="80"/>
  <c r="D49" i="80"/>
  <c r="F49" i="80"/>
  <c r="I49" i="80"/>
  <c r="D50" i="80"/>
  <c r="F50" i="80"/>
  <c r="I50" i="80"/>
  <c r="D51" i="80"/>
  <c r="F51" i="80"/>
  <c r="I51" i="80"/>
  <c r="D52" i="80"/>
  <c r="F52" i="80"/>
  <c r="I52" i="80"/>
  <c r="D53" i="80"/>
  <c r="F53" i="80"/>
  <c r="I53" i="80"/>
  <c r="D54" i="80"/>
  <c r="F54" i="80"/>
  <c r="I54" i="80"/>
  <c r="D55" i="80"/>
  <c r="F55" i="80"/>
  <c r="I55" i="80"/>
  <c r="D56" i="80"/>
  <c r="F56" i="80"/>
  <c r="I56" i="80"/>
  <c r="D57" i="80"/>
  <c r="F57" i="80"/>
  <c r="I57" i="80"/>
  <c r="D58" i="80"/>
  <c r="F58" i="80"/>
  <c r="I58" i="80"/>
  <c r="D59" i="80"/>
  <c r="F59" i="80"/>
  <c r="I59" i="80"/>
  <c r="D60" i="80"/>
  <c r="F60" i="80"/>
  <c r="I60" i="80"/>
  <c r="D61" i="80"/>
  <c r="F61" i="80"/>
  <c r="I61" i="80"/>
  <c r="D62" i="80"/>
  <c r="F62" i="80"/>
  <c r="I62" i="80"/>
  <c r="D63" i="80"/>
  <c r="F63" i="80"/>
  <c r="I63" i="80"/>
  <c r="D64" i="80"/>
  <c r="F64" i="80"/>
  <c r="I64" i="80"/>
  <c r="D65" i="80"/>
  <c r="F65" i="80"/>
  <c r="I65" i="80"/>
  <c r="D66" i="80"/>
  <c r="F66" i="80"/>
  <c r="I66" i="80"/>
  <c r="D67" i="80"/>
  <c r="F67" i="80"/>
  <c r="I67" i="80"/>
  <c r="D68" i="80"/>
  <c r="F68" i="80"/>
  <c r="I68" i="80"/>
  <c r="D69" i="80"/>
  <c r="F69" i="80"/>
  <c r="I69" i="80"/>
  <c r="D70" i="80"/>
  <c r="F70" i="80"/>
  <c r="I70" i="80"/>
  <c r="D71" i="80"/>
  <c r="F71" i="80"/>
  <c r="I71" i="80"/>
  <c r="D72" i="80"/>
  <c r="F72" i="80"/>
  <c r="I72" i="80"/>
  <c r="D73" i="80"/>
  <c r="F73" i="80"/>
  <c r="I73" i="80"/>
  <c r="D74" i="80"/>
  <c r="F74" i="80"/>
  <c r="I74" i="80"/>
  <c r="D75" i="80"/>
  <c r="F75" i="80"/>
  <c r="I75" i="80"/>
  <c r="I76" i="80"/>
  <c r="D75" i="2"/>
  <c r="L75" i="2"/>
  <c r="I75" i="2"/>
  <c r="F75" i="2"/>
  <c r="N75" i="2"/>
  <c r="E5" i="167"/>
  <c r="E6" i="167"/>
  <c r="E7" i="167"/>
  <c r="E8" i="167"/>
  <c r="E9" i="167"/>
  <c r="E10" i="167"/>
  <c r="E11" i="167"/>
  <c r="E12" i="167"/>
  <c r="E13" i="167"/>
  <c r="E14" i="167"/>
  <c r="E15" i="167"/>
  <c r="E16" i="167"/>
  <c r="E17" i="167"/>
  <c r="E18" i="167"/>
  <c r="E19" i="167"/>
  <c r="E20" i="167"/>
  <c r="E21" i="167"/>
  <c r="E22" i="167"/>
  <c r="E23" i="167"/>
  <c r="E24" i="167"/>
  <c r="E25" i="167"/>
  <c r="E26" i="167"/>
  <c r="E27" i="167"/>
  <c r="E28" i="167"/>
  <c r="E29" i="167"/>
  <c r="E30" i="167"/>
  <c r="E31" i="167"/>
  <c r="E32" i="167"/>
  <c r="E33" i="167"/>
  <c r="E34" i="167"/>
  <c r="E35" i="167"/>
  <c r="E36" i="167"/>
  <c r="E37" i="167"/>
  <c r="E38" i="167"/>
  <c r="E39" i="167"/>
  <c r="E40" i="167"/>
  <c r="E41" i="167"/>
  <c r="E42" i="167"/>
  <c r="E43" i="167"/>
  <c r="E44" i="167"/>
  <c r="E45" i="167"/>
  <c r="E46" i="167"/>
  <c r="E47" i="167"/>
  <c r="E48" i="167"/>
  <c r="E49" i="167"/>
  <c r="E50" i="167"/>
  <c r="E51" i="167"/>
  <c r="E52" i="167"/>
  <c r="E53" i="167"/>
  <c r="E54" i="167"/>
  <c r="E55" i="167"/>
  <c r="E56" i="167"/>
  <c r="E57" i="167"/>
  <c r="E58" i="167"/>
  <c r="E59" i="167"/>
  <c r="E60" i="167"/>
  <c r="E61" i="167"/>
  <c r="E62" i="167"/>
  <c r="E63" i="167"/>
  <c r="E64" i="167"/>
  <c r="E65" i="167"/>
  <c r="E66" i="167"/>
  <c r="E67" i="167"/>
  <c r="E68" i="167"/>
  <c r="E69" i="167"/>
  <c r="E70" i="167"/>
  <c r="E71" i="167"/>
  <c r="E72" i="167"/>
  <c r="E73" i="167"/>
  <c r="E74" i="167"/>
  <c r="E76" i="167"/>
  <c r="E77" i="167"/>
  <c r="E78" i="167"/>
  <c r="E80" i="167"/>
  <c r="E81" i="167"/>
  <c r="E82" i="167"/>
  <c r="E84" i="167"/>
  <c r="E85" i="167"/>
  <c r="E86" i="167"/>
  <c r="E87" i="167"/>
  <c r="E88" i="167"/>
  <c r="E89" i="167"/>
  <c r="E90" i="167"/>
  <c r="E91" i="167"/>
  <c r="E92" i="167"/>
  <c r="E94" i="167"/>
  <c r="E95" i="167"/>
  <c r="E96" i="167"/>
  <c r="E97" i="167"/>
  <c r="E98" i="167"/>
  <c r="E99" i="167"/>
  <c r="E100" i="167"/>
  <c r="E101" i="167"/>
  <c r="E102" i="167"/>
  <c r="E103" i="167"/>
  <c r="E104" i="167"/>
  <c r="E105" i="167"/>
  <c r="E106" i="167"/>
  <c r="E107" i="167"/>
  <c r="E108" i="167"/>
  <c r="E109" i="167"/>
  <c r="E110" i="167"/>
  <c r="E111" i="167"/>
  <c r="E112" i="167"/>
  <c r="E113" i="167"/>
  <c r="E114" i="167"/>
  <c r="E115" i="167"/>
  <c r="E116" i="167"/>
  <c r="E117" i="167"/>
  <c r="E118" i="167"/>
  <c r="E119" i="167"/>
  <c r="E121" i="167"/>
  <c r="E122" i="167"/>
  <c r="E123" i="167"/>
  <c r="E124" i="167"/>
  <c r="E125" i="167"/>
  <c r="E126" i="167"/>
  <c r="E127" i="167"/>
  <c r="E128" i="167"/>
  <c r="E129" i="167"/>
  <c r="E130" i="167"/>
  <c r="E131" i="167"/>
  <c r="E132" i="167"/>
  <c r="E133" i="167"/>
  <c r="E134" i="167"/>
  <c r="E135" i="167"/>
  <c r="E136" i="167"/>
  <c r="E137" i="167"/>
  <c r="E138" i="167"/>
  <c r="E139" i="167"/>
  <c r="E140" i="167"/>
  <c r="E141" i="167"/>
  <c r="E142" i="167"/>
  <c r="E143" i="167"/>
  <c r="E144" i="167"/>
  <c r="E145" i="167"/>
  <c r="E146" i="167"/>
  <c r="E147" i="167"/>
  <c r="E148" i="167"/>
  <c r="E149" i="167"/>
  <c r="E150" i="167"/>
  <c r="E151" i="167"/>
  <c r="E152" i="167"/>
  <c r="E153" i="167"/>
  <c r="E154" i="167"/>
  <c r="E155" i="167"/>
  <c r="E156" i="167"/>
  <c r="E157" i="167"/>
  <c r="E158" i="167"/>
  <c r="E159" i="167"/>
  <c r="E160" i="167"/>
  <c r="E161" i="167"/>
  <c r="E162" i="167"/>
  <c r="E163" i="167"/>
  <c r="E164" i="167"/>
  <c r="E165" i="167"/>
  <c r="E166" i="167"/>
  <c r="E167" i="167"/>
  <c r="E168" i="167"/>
  <c r="E169" i="167"/>
  <c r="E170" i="167"/>
  <c r="E171" i="167"/>
  <c r="E172" i="167"/>
  <c r="E173" i="167"/>
  <c r="E174" i="167"/>
  <c r="E175" i="167"/>
  <c r="E176" i="167"/>
  <c r="E177" i="167"/>
  <c r="E178" i="167"/>
  <c r="E180" i="167"/>
  <c r="E182" i="167"/>
  <c r="E183" i="167"/>
  <c r="E184" i="167"/>
  <c r="E185" i="167"/>
  <c r="E186" i="167"/>
  <c r="E187" i="167"/>
  <c r="E188" i="167"/>
  <c r="E190" i="167"/>
  <c r="E191" i="167"/>
  <c r="E193" i="167"/>
  <c r="E195" i="167"/>
  <c r="G5" i="167"/>
  <c r="I5" i="167"/>
  <c r="J5" i="167"/>
  <c r="G6" i="167"/>
  <c r="I6" i="167"/>
  <c r="J6" i="167"/>
  <c r="G7" i="167"/>
  <c r="I7" i="167"/>
  <c r="J7" i="167"/>
  <c r="G8" i="167"/>
  <c r="I8" i="167"/>
  <c r="J8" i="167"/>
  <c r="G9" i="167"/>
  <c r="I9" i="167"/>
  <c r="J9" i="167"/>
  <c r="G10" i="167"/>
  <c r="I10" i="167"/>
  <c r="J10" i="167"/>
  <c r="G11" i="167"/>
  <c r="I11" i="167"/>
  <c r="J11" i="167"/>
  <c r="G12" i="167"/>
  <c r="I12" i="167"/>
  <c r="J12" i="167"/>
  <c r="G13" i="167"/>
  <c r="I13" i="167"/>
  <c r="J13" i="167"/>
  <c r="G14" i="167"/>
  <c r="I14" i="167"/>
  <c r="J14" i="167"/>
  <c r="G15" i="167"/>
  <c r="I15" i="167"/>
  <c r="J15" i="167"/>
  <c r="G16" i="167"/>
  <c r="I16" i="167"/>
  <c r="J16" i="167"/>
  <c r="G17" i="167"/>
  <c r="I17" i="167"/>
  <c r="J17" i="167"/>
  <c r="G18" i="167"/>
  <c r="I18" i="167"/>
  <c r="J18" i="167"/>
  <c r="G19" i="167"/>
  <c r="I19" i="167"/>
  <c r="J19" i="167"/>
  <c r="G20" i="167"/>
  <c r="I20" i="167"/>
  <c r="J20" i="167"/>
  <c r="G21" i="167"/>
  <c r="I21" i="167"/>
  <c r="J21" i="167"/>
  <c r="G22" i="167"/>
  <c r="I22" i="167"/>
  <c r="J22" i="167"/>
  <c r="G23" i="167"/>
  <c r="I23" i="167"/>
  <c r="J23" i="167"/>
  <c r="G24" i="167"/>
  <c r="I24" i="167"/>
  <c r="J24" i="167"/>
  <c r="G25" i="167"/>
  <c r="I25" i="167"/>
  <c r="J25" i="167"/>
  <c r="G26" i="167"/>
  <c r="I26" i="167"/>
  <c r="J26" i="167"/>
  <c r="G27" i="167"/>
  <c r="I27" i="167"/>
  <c r="J27" i="167"/>
  <c r="G28" i="167"/>
  <c r="I28" i="167"/>
  <c r="J28" i="167"/>
  <c r="G29" i="167"/>
  <c r="I29" i="167"/>
  <c r="J29" i="167"/>
  <c r="G30" i="167"/>
  <c r="I30" i="167"/>
  <c r="J30" i="167"/>
  <c r="G31" i="167"/>
  <c r="I31" i="167"/>
  <c r="J31" i="167"/>
  <c r="G32" i="167"/>
  <c r="I32" i="167"/>
  <c r="J32" i="167"/>
  <c r="G33" i="167"/>
  <c r="I33" i="167"/>
  <c r="J33" i="167"/>
  <c r="G34" i="167"/>
  <c r="I34" i="167"/>
  <c r="J34" i="167"/>
  <c r="G35" i="167"/>
  <c r="I35" i="167"/>
  <c r="J35" i="167"/>
  <c r="G36" i="167"/>
  <c r="I36" i="167"/>
  <c r="J36" i="167"/>
  <c r="G37" i="167"/>
  <c r="I37" i="167"/>
  <c r="J37" i="167"/>
  <c r="G38" i="167"/>
  <c r="I38" i="167"/>
  <c r="J38" i="167"/>
  <c r="G39" i="167"/>
  <c r="I39" i="167"/>
  <c r="J39" i="167"/>
  <c r="G40" i="167"/>
  <c r="I40" i="167"/>
  <c r="J40" i="167"/>
  <c r="G41" i="167"/>
  <c r="I41" i="167"/>
  <c r="J41" i="167"/>
  <c r="G42" i="167"/>
  <c r="I42" i="167"/>
  <c r="J42" i="167"/>
  <c r="G43" i="167"/>
  <c r="I43" i="167"/>
  <c r="J43" i="167"/>
  <c r="G44" i="167"/>
  <c r="I44" i="167"/>
  <c r="J44" i="167"/>
  <c r="G45" i="167"/>
  <c r="I45" i="167"/>
  <c r="J45" i="167"/>
  <c r="G46" i="167"/>
  <c r="I46" i="167"/>
  <c r="J46" i="167"/>
  <c r="G47" i="167"/>
  <c r="I47" i="167"/>
  <c r="J47" i="167"/>
  <c r="G48" i="167"/>
  <c r="I48" i="167"/>
  <c r="J48" i="167"/>
  <c r="G49" i="167"/>
  <c r="I49" i="167"/>
  <c r="J49" i="167"/>
  <c r="G50" i="167"/>
  <c r="I50" i="167"/>
  <c r="J50" i="167"/>
  <c r="G51" i="167"/>
  <c r="I51" i="167"/>
  <c r="J51" i="167"/>
  <c r="G52" i="167"/>
  <c r="I52" i="167"/>
  <c r="J52" i="167"/>
  <c r="G53" i="167"/>
  <c r="I53" i="167"/>
  <c r="J53" i="167"/>
  <c r="G54" i="167"/>
  <c r="I54" i="167"/>
  <c r="J54" i="167"/>
  <c r="G55" i="167"/>
  <c r="I55" i="167"/>
  <c r="J55" i="167"/>
  <c r="G56" i="167"/>
  <c r="I56" i="167"/>
  <c r="J56" i="167"/>
  <c r="G57" i="167"/>
  <c r="I57" i="167"/>
  <c r="J57" i="167"/>
  <c r="G58" i="167"/>
  <c r="I58" i="167"/>
  <c r="J58" i="167"/>
  <c r="G59" i="167"/>
  <c r="I59" i="167"/>
  <c r="J59" i="167"/>
  <c r="G60" i="167"/>
  <c r="I60" i="167"/>
  <c r="J60" i="167"/>
  <c r="G61" i="167"/>
  <c r="I61" i="167"/>
  <c r="J61" i="167"/>
  <c r="G62" i="167"/>
  <c r="I62" i="167"/>
  <c r="J62" i="167"/>
  <c r="G63" i="167"/>
  <c r="I63" i="167"/>
  <c r="J63" i="167"/>
  <c r="G64" i="167"/>
  <c r="I64" i="167"/>
  <c r="J64" i="167"/>
  <c r="G65" i="167"/>
  <c r="I65" i="167"/>
  <c r="J65" i="167"/>
  <c r="G66" i="167"/>
  <c r="I66" i="167"/>
  <c r="J66" i="167"/>
  <c r="G67" i="167"/>
  <c r="I67" i="167"/>
  <c r="J67" i="167"/>
  <c r="G68" i="167"/>
  <c r="I68" i="167"/>
  <c r="J68" i="167"/>
  <c r="G69" i="167"/>
  <c r="I69" i="167"/>
  <c r="J69" i="167"/>
  <c r="G70" i="167"/>
  <c r="I70" i="167"/>
  <c r="J70" i="167"/>
  <c r="G71" i="167"/>
  <c r="I71" i="167"/>
  <c r="J71" i="167"/>
  <c r="G72" i="167"/>
  <c r="I72" i="167"/>
  <c r="J72" i="167"/>
  <c r="G73" i="167"/>
  <c r="I73" i="167"/>
  <c r="J73" i="167"/>
  <c r="J74" i="167"/>
  <c r="G76" i="167"/>
  <c r="I76" i="167"/>
  <c r="J76" i="167"/>
  <c r="G77" i="167"/>
  <c r="I77" i="167"/>
  <c r="J77" i="167"/>
  <c r="J78" i="167"/>
  <c r="G80" i="167"/>
  <c r="I80" i="167"/>
  <c r="J80" i="167"/>
  <c r="G81" i="167"/>
  <c r="I81" i="167"/>
  <c r="J81" i="167"/>
  <c r="J82" i="167"/>
  <c r="G84" i="167"/>
  <c r="I84" i="167"/>
  <c r="J84" i="167"/>
  <c r="G85" i="167"/>
  <c r="I85" i="167"/>
  <c r="J85" i="167"/>
  <c r="G86" i="167"/>
  <c r="I86" i="167"/>
  <c r="J86" i="167"/>
  <c r="G87" i="167"/>
  <c r="I87" i="167"/>
  <c r="J87" i="167"/>
  <c r="G88" i="167"/>
  <c r="I88" i="167"/>
  <c r="J88" i="167"/>
  <c r="G89" i="167"/>
  <c r="I89" i="167"/>
  <c r="J89" i="167"/>
  <c r="G90" i="167"/>
  <c r="I90" i="167"/>
  <c r="J90" i="167"/>
  <c r="G91" i="167"/>
  <c r="I91" i="167"/>
  <c r="J91" i="167"/>
  <c r="J92" i="167"/>
  <c r="G94" i="167"/>
  <c r="I94" i="167"/>
  <c r="J94" i="167"/>
  <c r="G95" i="167"/>
  <c r="I95" i="167"/>
  <c r="J95" i="167"/>
  <c r="G96" i="167"/>
  <c r="I96" i="167"/>
  <c r="J96" i="167"/>
  <c r="G97" i="167"/>
  <c r="I97" i="167"/>
  <c r="J97" i="167"/>
  <c r="G98" i="167"/>
  <c r="I98" i="167"/>
  <c r="J98" i="167"/>
  <c r="G99" i="167"/>
  <c r="I99" i="167"/>
  <c r="J99" i="167"/>
  <c r="G100" i="167"/>
  <c r="I100" i="167"/>
  <c r="J100" i="167"/>
  <c r="G101" i="167"/>
  <c r="I101" i="167"/>
  <c r="J101" i="167"/>
  <c r="G102" i="167"/>
  <c r="H102" i="167"/>
  <c r="I102" i="167"/>
  <c r="J102" i="167"/>
  <c r="G103" i="167"/>
  <c r="I103" i="167"/>
  <c r="J103" i="167"/>
  <c r="G104" i="167"/>
  <c r="I104" i="167"/>
  <c r="J104" i="167"/>
  <c r="G105" i="167"/>
  <c r="I105" i="167"/>
  <c r="J105" i="167"/>
  <c r="G106" i="167"/>
  <c r="I106" i="167"/>
  <c r="J106" i="167"/>
  <c r="G107" i="167"/>
  <c r="I107" i="167"/>
  <c r="J107" i="167"/>
  <c r="G108" i="167"/>
  <c r="I108" i="167"/>
  <c r="J108" i="167"/>
  <c r="G109" i="167"/>
  <c r="I109" i="167"/>
  <c r="J109" i="167"/>
  <c r="G110" i="167"/>
  <c r="I110" i="167"/>
  <c r="J110" i="167"/>
  <c r="G111" i="167"/>
  <c r="I111" i="167"/>
  <c r="J111" i="167"/>
  <c r="G112" i="167"/>
  <c r="I112" i="167"/>
  <c r="J112" i="167"/>
  <c r="G113" i="167"/>
  <c r="I113" i="167"/>
  <c r="J113" i="167"/>
  <c r="G114" i="167"/>
  <c r="I114" i="167"/>
  <c r="J114" i="167"/>
  <c r="G115" i="167"/>
  <c r="I115" i="167"/>
  <c r="J115" i="167"/>
  <c r="G116" i="167"/>
  <c r="I116" i="167"/>
  <c r="J116" i="167"/>
  <c r="G117" i="167"/>
  <c r="I117" i="167"/>
  <c r="J117" i="167"/>
  <c r="G118" i="167"/>
  <c r="I118" i="167"/>
  <c r="J118" i="167"/>
  <c r="J119" i="167"/>
  <c r="G121" i="167"/>
  <c r="I121" i="167"/>
  <c r="J121" i="167"/>
  <c r="G122" i="167"/>
  <c r="I122" i="167"/>
  <c r="J122" i="167"/>
  <c r="G123" i="167"/>
  <c r="I123" i="167"/>
  <c r="J123" i="167"/>
  <c r="G124" i="167"/>
  <c r="I124" i="167"/>
  <c r="J124" i="167"/>
  <c r="G125" i="167"/>
  <c r="I125" i="167"/>
  <c r="J125" i="167"/>
  <c r="G126" i="167"/>
  <c r="I126" i="167"/>
  <c r="J126" i="167"/>
  <c r="G127" i="167"/>
  <c r="I127" i="167"/>
  <c r="J127" i="167"/>
  <c r="G128" i="167"/>
  <c r="I128" i="167"/>
  <c r="J128" i="167"/>
  <c r="G129" i="167"/>
  <c r="I129" i="167"/>
  <c r="J129" i="167"/>
  <c r="G130" i="167"/>
  <c r="I130" i="167"/>
  <c r="J130" i="167"/>
  <c r="G131" i="167"/>
  <c r="I131" i="167"/>
  <c r="J131" i="167"/>
  <c r="G132" i="167"/>
  <c r="I132" i="167"/>
  <c r="J132" i="167"/>
  <c r="G133" i="167"/>
  <c r="I133" i="167"/>
  <c r="J133" i="167"/>
  <c r="G134" i="167"/>
  <c r="I134" i="167"/>
  <c r="J134" i="167"/>
  <c r="G135" i="167"/>
  <c r="I135" i="167"/>
  <c r="J135" i="167"/>
  <c r="G136" i="167"/>
  <c r="I136" i="167"/>
  <c r="J136" i="167"/>
  <c r="G137" i="167"/>
  <c r="I137" i="167"/>
  <c r="J137" i="167"/>
  <c r="G138" i="167"/>
  <c r="I138" i="167"/>
  <c r="J138" i="167"/>
  <c r="G139" i="167"/>
  <c r="I139" i="167"/>
  <c r="J139" i="167"/>
  <c r="G140" i="167"/>
  <c r="I140" i="167"/>
  <c r="J140" i="167"/>
  <c r="G141" i="167"/>
  <c r="I141" i="167"/>
  <c r="J141" i="167"/>
  <c r="G142" i="167"/>
  <c r="I142" i="167"/>
  <c r="J142" i="167"/>
  <c r="G143" i="167"/>
  <c r="I143" i="167"/>
  <c r="J143" i="167"/>
  <c r="G144" i="167"/>
  <c r="I144" i="167"/>
  <c r="J144" i="167"/>
  <c r="G145" i="167"/>
  <c r="I145" i="167"/>
  <c r="J145" i="167"/>
  <c r="G146" i="167"/>
  <c r="I146" i="167"/>
  <c r="J146" i="167"/>
  <c r="G147" i="167"/>
  <c r="I147" i="167"/>
  <c r="J147" i="167"/>
  <c r="G148" i="167"/>
  <c r="I148" i="167"/>
  <c r="J148" i="167"/>
  <c r="G149" i="167"/>
  <c r="I149" i="167"/>
  <c r="J149" i="167"/>
  <c r="G150" i="167"/>
  <c r="I150" i="167"/>
  <c r="J150" i="167"/>
  <c r="G151" i="167"/>
  <c r="I151" i="167"/>
  <c r="J151" i="167"/>
  <c r="G152" i="167"/>
  <c r="I152" i="167"/>
  <c r="J152" i="167"/>
  <c r="G153" i="167"/>
  <c r="I153" i="167"/>
  <c r="J153" i="167"/>
  <c r="G154" i="167"/>
  <c r="I154" i="167"/>
  <c r="J154" i="167"/>
  <c r="G155" i="167"/>
  <c r="I155" i="167"/>
  <c r="J155" i="167"/>
  <c r="G156" i="167"/>
  <c r="I156" i="167"/>
  <c r="J156" i="167"/>
  <c r="G157" i="167"/>
  <c r="I157" i="167"/>
  <c r="J157" i="167"/>
  <c r="G158" i="167"/>
  <c r="I158" i="167"/>
  <c r="J158" i="167"/>
  <c r="G159" i="167"/>
  <c r="I159" i="167"/>
  <c r="J159" i="167"/>
  <c r="G160" i="167"/>
  <c r="I160" i="167"/>
  <c r="J160" i="167"/>
  <c r="G161" i="167"/>
  <c r="I161" i="167"/>
  <c r="J161" i="167"/>
  <c r="G162" i="167"/>
  <c r="I162" i="167"/>
  <c r="J162" i="167"/>
  <c r="G163" i="167"/>
  <c r="I163" i="167"/>
  <c r="J163" i="167"/>
  <c r="G164" i="167"/>
  <c r="I164" i="167"/>
  <c r="J164" i="167"/>
  <c r="G165" i="167"/>
  <c r="I165" i="167"/>
  <c r="J165" i="167"/>
  <c r="G166" i="167"/>
  <c r="I166" i="167"/>
  <c r="J166" i="167"/>
  <c r="G167" i="167"/>
  <c r="I167" i="167"/>
  <c r="J167" i="167"/>
  <c r="G168" i="167"/>
  <c r="I168" i="167"/>
  <c r="J168" i="167"/>
  <c r="G169" i="167"/>
  <c r="I169" i="167"/>
  <c r="J169" i="167"/>
  <c r="G170" i="167"/>
  <c r="I170" i="167"/>
  <c r="J170" i="167"/>
  <c r="G171" i="167"/>
  <c r="I171" i="167"/>
  <c r="J171" i="167"/>
  <c r="G172" i="167"/>
  <c r="I172" i="167"/>
  <c r="J172" i="167"/>
  <c r="G173" i="167"/>
  <c r="I173" i="167"/>
  <c r="J173" i="167"/>
  <c r="G174" i="167"/>
  <c r="I174" i="167"/>
  <c r="J174" i="167"/>
  <c r="G175" i="167"/>
  <c r="I175" i="167"/>
  <c r="J175" i="167"/>
  <c r="G176" i="167"/>
  <c r="I176" i="167"/>
  <c r="J176" i="167"/>
  <c r="G177" i="167"/>
  <c r="I177" i="167"/>
  <c r="J177" i="167"/>
  <c r="J178" i="167"/>
  <c r="G180" i="167"/>
  <c r="I180" i="167"/>
  <c r="J180" i="167"/>
  <c r="G182" i="167"/>
  <c r="I182" i="167"/>
  <c r="J182" i="167"/>
  <c r="G183" i="167"/>
  <c r="I183" i="167"/>
  <c r="J183" i="167"/>
  <c r="G184" i="167"/>
  <c r="I184" i="167"/>
  <c r="J184" i="167"/>
  <c r="G185" i="167"/>
  <c r="I185" i="167"/>
  <c r="J185" i="167"/>
  <c r="G186" i="167"/>
  <c r="I186" i="167"/>
  <c r="J186" i="167"/>
  <c r="G187" i="167"/>
  <c r="I187" i="167"/>
  <c r="J187" i="167"/>
  <c r="J188" i="167"/>
  <c r="G190" i="167"/>
  <c r="I190" i="167"/>
  <c r="J190" i="167"/>
  <c r="J191" i="167"/>
  <c r="G193" i="167"/>
  <c r="I193" i="167"/>
  <c r="J193" i="167"/>
  <c r="J195" i="167"/>
  <c r="L3" i="167"/>
  <c r="K5" i="167"/>
  <c r="L5" i="167"/>
  <c r="K6" i="167"/>
  <c r="L6" i="167"/>
  <c r="K7" i="167"/>
  <c r="L7" i="167"/>
  <c r="K8" i="167"/>
  <c r="L8" i="167"/>
  <c r="K9" i="167"/>
  <c r="L9" i="167"/>
  <c r="K10" i="167"/>
  <c r="L10" i="167"/>
  <c r="K11" i="167"/>
  <c r="L11" i="167"/>
  <c r="K12" i="167"/>
  <c r="L12" i="167"/>
  <c r="K13" i="167"/>
  <c r="L13" i="167"/>
  <c r="K14" i="167"/>
  <c r="L14" i="167"/>
  <c r="K15" i="167"/>
  <c r="L15" i="167"/>
  <c r="K16" i="167"/>
  <c r="L16" i="167"/>
  <c r="K17" i="167"/>
  <c r="L17" i="167"/>
  <c r="K18" i="167"/>
  <c r="L18" i="167"/>
  <c r="K19" i="167"/>
  <c r="L19" i="167"/>
  <c r="K20" i="167"/>
  <c r="L20" i="167"/>
  <c r="K21" i="167"/>
  <c r="L21" i="167"/>
  <c r="K22" i="167"/>
  <c r="L22" i="167"/>
  <c r="K23" i="167"/>
  <c r="L23" i="167"/>
  <c r="K24" i="167"/>
  <c r="L24" i="167"/>
  <c r="K25" i="167"/>
  <c r="L25" i="167"/>
  <c r="K26" i="167"/>
  <c r="L26" i="167"/>
  <c r="K27" i="167"/>
  <c r="L27" i="167"/>
  <c r="K28" i="167"/>
  <c r="L28" i="167"/>
  <c r="K29" i="167"/>
  <c r="L29" i="167"/>
  <c r="K30" i="167"/>
  <c r="L30" i="167"/>
  <c r="K31" i="167"/>
  <c r="L31" i="167"/>
  <c r="K32" i="167"/>
  <c r="L32" i="167"/>
  <c r="K33" i="167"/>
  <c r="L33" i="167"/>
  <c r="K34" i="167"/>
  <c r="L34" i="167"/>
  <c r="K35" i="167"/>
  <c r="L35" i="167"/>
  <c r="K36" i="167"/>
  <c r="L36" i="167"/>
  <c r="K37" i="167"/>
  <c r="L37" i="167"/>
  <c r="K38" i="167"/>
  <c r="L38" i="167"/>
  <c r="K39" i="167"/>
  <c r="L39" i="167"/>
  <c r="K40" i="167"/>
  <c r="L40" i="167"/>
  <c r="K41" i="167"/>
  <c r="L41" i="167"/>
  <c r="K42" i="167"/>
  <c r="L42" i="167"/>
  <c r="K43" i="167"/>
  <c r="L43" i="167"/>
  <c r="K44" i="167"/>
  <c r="L44" i="167"/>
  <c r="K45" i="167"/>
  <c r="L45" i="167"/>
  <c r="K46" i="167"/>
  <c r="L46" i="167"/>
  <c r="K47" i="167"/>
  <c r="L47" i="167"/>
  <c r="K48" i="167"/>
  <c r="L48" i="167"/>
  <c r="K49" i="167"/>
  <c r="L49" i="167"/>
  <c r="K50" i="167"/>
  <c r="L50" i="167"/>
  <c r="K51" i="167"/>
  <c r="L51" i="167"/>
  <c r="K52" i="167"/>
  <c r="L52" i="167"/>
  <c r="K53" i="167"/>
  <c r="L53" i="167"/>
  <c r="K54" i="167"/>
  <c r="L54" i="167"/>
  <c r="K55" i="167"/>
  <c r="L55" i="167"/>
  <c r="K56" i="167"/>
  <c r="L56" i="167"/>
  <c r="K57" i="167"/>
  <c r="L57" i="167"/>
  <c r="K58" i="167"/>
  <c r="L58" i="167"/>
  <c r="K59" i="167"/>
  <c r="L59" i="167"/>
  <c r="K60" i="167"/>
  <c r="L60" i="167"/>
  <c r="K61" i="167"/>
  <c r="L61" i="167"/>
  <c r="K62" i="167"/>
  <c r="L62" i="167"/>
  <c r="K63" i="167"/>
  <c r="L63" i="167"/>
  <c r="K64" i="167"/>
  <c r="L64" i="167"/>
  <c r="K65" i="167"/>
  <c r="L65" i="167"/>
  <c r="K66" i="167"/>
  <c r="L66" i="167"/>
  <c r="K67" i="167"/>
  <c r="L67" i="167"/>
  <c r="K68" i="167"/>
  <c r="L68" i="167"/>
  <c r="K69" i="167"/>
  <c r="L69" i="167"/>
  <c r="K70" i="167"/>
  <c r="L70" i="167"/>
  <c r="K71" i="167"/>
  <c r="L71" i="167"/>
  <c r="K72" i="167"/>
  <c r="L72" i="167"/>
  <c r="K73" i="167"/>
  <c r="L73" i="167"/>
  <c r="L74" i="167"/>
  <c r="R76" i="167"/>
  <c r="L76" i="167"/>
  <c r="R77" i="167"/>
  <c r="L77" i="167"/>
  <c r="L78" i="167"/>
  <c r="R80" i="167"/>
  <c r="L80" i="167"/>
  <c r="R81" i="167"/>
  <c r="L81" i="167"/>
  <c r="L82" i="167"/>
  <c r="R84" i="167"/>
  <c r="L84" i="167"/>
  <c r="R85" i="167"/>
  <c r="L85" i="167"/>
  <c r="R86" i="167"/>
  <c r="L86" i="167"/>
  <c r="R87" i="167"/>
  <c r="L87" i="167"/>
  <c r="R88" i="167"/>
  <c r="K88" i="167"/>
  <c r="L88" i="167"/>
  <c r="R89" i="167"/>
  <c r="L89" i="167"/>
  <c r="R90" i="167"/>
  <c r="L90" i="167"/>
  <c r="R91" i="167"/>
  <c r="L91" i="167"/>
  <c r="L92" i="167"/>
  <c r="R94" i="167"/>
  <c r="L94" i="167"/>
  <c r="R95" i="167"/>
  <c r="L95" i="167"/>
  <c r="R96" i="167"/>
  <c r="K96" i="167"/>
  <c r="L96" i="167"/>
  <c r="R97" i="167"/>
  <c r="L97" i="167"/>
  <c r="R98" i="167"/>
  <c r="L98" i="167"/>
  <c r="R99" i="167"/>
  <c r="L99" i="167"/>
  <c r="R100" i="167"/>
  <c r="L100" i="167"/>
  <c r="R101" i="167"/>
  <c r="L101" i="167"/>
  <c r="R102" i="167"/>
  <c r="L102" i="167"/>
  <c r="R103" i="167"/>
  <c r="L103" i="167"/>
  <c r="R104" i="167"/>
  <c r="L104" i="167"/>
  <c r="R105" i="167"/>
  <c r="L105" i="167"/>
  <c r="R106" i="167"/>
  <c r="L106" i="167"/>
  <c r="R107" i="167"/>
  <c r="L107" i="167"/>
  <c r="R108" i="167"/>
  <c r="L108" i="167"/>
  <c r="R109" i="167"/>
  <c r="L109" i="167"/>
  <c r="R110" i="167"/>
  <c r="L110" i="167"/>
  <c r="R111" i="167"/>
  <c r="L111" i="167"/>
  <c r="R112" i="167"/>
  <c r="L112" i="167"/>
  <c r="R113" i="167"/>
  <c r="L113" i="167"/>
  <c r="R114" i="167"/>
  <c r="L114" i="167"/>
  <c r="R115" i="167"/>
  <c r="L115" i="167"/>
  <c r="R116" i="167"/>
  <c r="L116" i="167"/>
  <c r="R117" i="167"/>
  <c r="L117" i="167"/>
  <c r="R118" i="167"/>
  <c r="L118" i="167"/>
  <c r="L119" i="167"/>
  <c r="R121" i="167"/>
  <c r="L121" i="167"/>
  <c r="R122" i="167"/>
  <c r="L122" i="167"/>
  <c r="R123" i="167"/>
  <c r="L123" i="167"/>
  <c r="R124" i="167"/>
  <c r="L124" i="167"/>
  <c r="R125" i="167"/>
  <c r="L125" i="167"/>
  <c r="R126" i="167"/>
  <c r="L126" i="167"/>
  <c r="R127" i="167"/>
  <c r="L127" i="167"/>
  <c r="R128" i="167"/>
  <c r="L128" i="167"/>
  <c r="R129" i="167"/>
  <c r="L129" i="167"/>
  <c r="R130" i="167"/>
  <c r="L130" i="167"/>
  <c r="R131" i="167"/>
  <c r="L131" i="167"/>
  <c r="R132" i="167"/>
  <c r="L132" i="167"/>
  <c r="R133" i="167"/>
  <c r="L133" i="167"/>
  <c r="R134" i="167"/>
  <c r="L134" i="167"/>
  <c r="R135" i="167"/>
  <c r="L135" i="167"/>
  <c r="R136" i="167"/>
  <c r="L136" i="167"/>
  <c r="R137" i="167"/>
  <c r="L137" i="167"/>
  <c r="R138" i="167"/>
  <c r="L138" i="167"/>
  <c r="R139" i="167"/>
  <c r="L139" i="167"/>
  <c r="R140" i="167"/>
  <c r="L140" i="167"/>
  <c r="R141" i="167"/>
  <c r="L141" i="167"/>
  <c r="R142" i="167"/>
  <c r="L142" i="167"/>
  <c r="R143" i="167"/>
  <c r="L143" i="167"/>
  <c r="R144" i="167"/>
  <c r="L144" i="167"/>
  <c r="R145" i="167"/>
  <c r="L145" i="167"/>
  <c r="R146" i="167"/>
  <c r="L146" i="167"/>
  <c r="R147" i="167"/>
  <c r="L147" i="167"/>
  <c r="R148" i="167"/>
  <c r="L148" i="167"/>
  <c r="R149" i="167"/>
  <c r="L149" i="167"/>
  <c r="R150" i="167"/>
  <c r="L150" i="167"/>
  <c r="R151" i="167"/>
  <c r="L151" i="167"/>
  <c r="R152" i="167"/>
  <c r="L152" i="167"/>
  <c r="R153" i="167"/>
  <c r="L153" i="167"/>
  <c r="R154" i="167"/>
  <c r="L154" i="167"/>
  <c r="R155" i="167"/>
  <c r="L155" i="167"/>
  <c r="R156" i="167"/>
  <c r="L156" i="167"/>
  <c r="R157" i="167"/>
  <c r="L157" i="167"/>
  <c r="R158" i="167"/>
  <c r="L158" i="167"/>
  <c r="R159" i="167"/>
  <c r="L159" i="167"/>
  <c r="R160" i="167"/>
  <c r="L160" i="167"/>
  <c r="R161" i="167"/>
  <c r="L161" i="167"/>
  <c r="R162" i="167"/>
  <c r="K162" i="167"/>
  <c r="L162" i="167"/>
  <c r="R163" i="167"/>
  <c r="L163" i="167"/>
  <c r="R164" i="167"/>
  <c r="L164" i="167"/>
  <c r="R165" i="167"/>
  <c r="L165" i="167"/>
  <c r="R166" i="167"/>
  <c r="L166" i="167"/>
  <c r="R167" i="167"/>
  <c r="L167" i="167"/>
  <c r="R168" i="167"/>
  <c r="L168" i="167"/>
  <c r="R169" i="167"/>
  <c r="L169" i="167"/>
  <c r="R170" i="167"/>
  <c r="L170" i="167"/>
  <c r="R171" i="167"/>
  <c r="L171" i="167"/>
  <c r="R172" i="167"/>
  <c r="L172" i="167"/>
  <c r="R173" i="167"/>
  <c r="L173" i="167"/>
  <c r="R174" i="167"/>
  <c r="L174" i="167"/>
  <c r="R175" i="167"/>
  <c r="L175" i="167"/>
  <c r="R176" i="167"/>
  <c r="L176" i="167"/>
  <c r="R177" i="167"/>
  <c r="L177" i="167"/>
  <c r="L178" i="167"/>
  <c r="L180" i="167"/>
  <c r="R182" i="167"/>
  <c r="L182" i="167"/>
  <c r="R183" i="167"/>
  <c r="L183" i="167"/>
  <c r="R184" i="167"/>
  <c r="L184" i="167"/>
  <c r="R185" i="167"/>
  <c r="L185" i="167"/>
  <c r="R186" i="167"/>
  <c r="L186" i="167"/>
  <c r="R187" i="167"/>
  <c r="L187" i="167"/>
  <c r="L188" i="167"/>
  <c r="R190" i="167"/>
  <c r="L190" i="167"/>
  <c r="L191" i="167"/>
  <c r="R193" i="167"/>
  <c r="L193" i="167"/>
  <c r="L195" i="167"/>
  <c r="M5" i="167"/>
  <c r="M6" i="167"/>
  <c r="M7" i="167"/>
  <c r="M8" i="167"/>
  <c r="M9" i="167"/>
  <c r="M10" i="167"/>
  <c r="M11" i="167"/>
  <c r="M12" i="167"/>
  <c r="M13" i="167"/>
  <c r="M14" i="167"/>
  <c r="M15" i="167"/>
  <c r="M16" i="167"/>
  <c r="M17" i="167"/>
  <c r="M18" i="167"/>
  <c r="M19" i="167"/>
  <c r="M20" i="167"/>
  <c r="M21" i="167"/>
  <c r="M22" i="167"/>
  <c r="M23" i="167"/>
  <c r="M24" i="167"/>
  <c r="M25" i="167"/>
  <c r="M26" i="167"/>
  <c r="M27" i="167"/>
  <c r="M28" i="167"/>
  <c r="M29" i="167"/>
  <c r="M30" i="167"/>
  <c r="M31" i="167"/>
  <c r="M32" i="167"/>
  <c r="M33" i="167"/>
  <c r="M34" i="167"/>
  <c r="M35" i="167"/>
  <c r="M36" i="167"/>
  <c r="M37" i="167"/>
  <c r="M38" i="167"/>
  <c r="M39" i="167"/>
  <c r="M40" i="167"/>
  <c r="M41" i="167"/>
  <c r="M42" i="167"/>
  <c r="M43" i="167"/>
  <c r="M44" i="167"/>
  <c r="M45" i="167"/>
  <c r="M46" i="167"/>
  <c r="M47" i="167"/>
  <c r="M48" i="167"/>
  <c r="M49" i="167"/>
  <c r="M50" i="167"/>
  <c r="M51" i="167"/>
  <c r="M52" i="167"/>
  <c r="M53" i="167"/>
  <c r="M54" i="167"/>
  <c r="M55" i="167"/>
  <c r="M56" i="167"/>
  <c r="M57" i="167"/>
  <c r="M58" i="167"/>
  <c r="M59" i="167"/>
  <c r="M60" i="167"/>
  <c r="M61" i="167"/>
  <c r="M62" i="167"/>
  <c r="M63" i="167"/>
  <c r="M64" i="167"/>
  <c r="M65" i="167"/>
  <c r="M66" i="167"/>
  <c r="M67" i="167"/>
  <c r="M68" i="167"/>
  <c r="M69" i="167"/>
  <c r="M70" i="167"/>
  <c r="M71" i="167"/>
  <c r="M72" i="167"/>
  <c r="M73" i="167"/>
  <c r="M74" i="167"/>
  <c r="M76" i="167"/>
  <c r="M77" i="167"/>
  <c r="M78" i="167"/>
  <c r="M80" i="167"/>
  <c r="M81" i="167"/>
  <c r="M82" i="167"/>
  <c r="M84" i="167"/>
  <c r="M85" i="167"/>
  <c r="M86" i="167"/>
  <c r="M87" i="167"/>
  <c r="M88" i="167"/>
  <c r="M89" i="167"/>
  <c r="M90" i="167"/>
  <c r="M91" i="167"/>
  <c r="M92" i="167"/>
  <c r="M94" i="167"/>
  <c r="M95" i="167"/>
  <c r="M96" i="167"/>
  <c r="M97" i="167"/>
  <c r="M98" i="167"/>
  <c r="M99" i="167"/>
  <c r="M100" i="167"/>
  <c r="M101" i="167"/>
  <c r="M102" i="167"/>
  <c r="M103" i="167"/>
  <c r="M104" i="167"/>
  <c r="M105" i="167"/>
  <c r="M106" i="167"/>
  <c r="M107" i="167"/>
  <c r="M108" i="167"/>
  <c r="M109" i="167"/>
  <c r="M110" i="167"/>
  <c r="M111" i="167"/>
  <c r="M112" i="167"/>
  <c r="M113" i="167"/>
  <c r="M114" i="167"/>
  <c r="M115" i="167"/>
  <c r="M116" i="167"/>
  <c r="M117" i="167"/>
  <c r="M118" i="167"/>
  <c r="M119" i="167"/>
  <c r="M121" i="167"/>
  <c r="M122" i="167"/>
  <c r="M123" i="167"/>
  <c r="M124" i="167"/>
  <c r="M125" i="167"/>
  <c r="M126" i="167"/>
  <c r="M127" i="167"/>
  <c r="M128" i="167"/>
  <c r="M129" i="167"/>
  <c r="M130" i="167"/>
  <c r="M131" i="167"/>
  <c r="M132" i="167"/>
  <c r="M133" i="167"/>
  <c r="M134" i="167"/>
  <c r="M135" i="167"/>
  <c r="M136" i="167"/>
  <c r="M137" i="167"/>
  <c r="M138" i="167"/>
  <c r="M139" i="167"/>
  <c r="M140" i="167"/>
  <c r="M141" i="167"/>
  <c r="M142" i="167"/>
  <c r="M143" i="167"/>
  <c r="M144" i="167"/>
  <c r="M145" i="167"/>
  <c r="M146" i="167"/>
  <c r="M147" i="167"/>
  <c r="M148" i="167"/>
  <c r="M149" i="167"/>
  <c r="M150" i="167"/>
  <c r="M151" i="167"/>
  <c r="M152" i="167"/>
  <c r="M153" i="167"/>
  <c r="M154" i="167"/>
  <c r="M155" i="167"/>
  <c r="M156" i="167"/>
  <c r="M157" i="167"/>
  <c r="M158" i="167"/>
  <c r="M159" i="167"/>
  <c r="M160" i="167"/>
  <c r="M161" i="167"/>
  <c r="M162" i="167"/>
  <c r="M163" i="167"/>
  <c r="M164" i="167"/>
  <c r="M165" i="167"/>
  <c r="M166" i="167"/>
  <c r="M167" i="167"/>
  <c r="M168" i="167"/>
  <c r="M169" i="167"/>
  <c r="M170" i="167"/>
  <c r="M171" i="167"/>
  <c r="M172" i="167"/>
  <c r="M173" i="167"/>
  <c r="M174" i="167"/>
  <c r="M175" i="167"/>
  <c r="M176" i="167"/>
  <c r="M177" i="167"/>
  <c r="M178" i="167"/>
  <c r="M180" i="167"/>
  <c r="M182" i="167"/>
  <c r="M183" i="167"/>
  <c r="M184" i="167"/>
  <c r="M185" i="167"/>
  <c r="M186" i="167"/>
  <c r="M187" i="167"/>
  <c r="M188" i="167"/>
  <c r="M190" i="167"/>
  <c r="M191" i="167"/>
  <c r="M193" i="167"/>
  <c r="M195" i="167"/>
  <c r="N5" i="167"/>
  <c r="O5" i="167"/>
  <c r="N6" i="167"/>
  <c r="O6" i="167"/>
  <c r="N7" i="167"/>
  <c r="O7" i="167"/>
  <c r="N8" i="167"/>
  <c r="O8" i="167"/>
  <c r="N9" i="167"/>
  <c r="O9" i="167"/>
  <c r="N10" i="167"/>
  <c r="O10" i="167"/>
  <c r="N11" i="167"/>
  <c r="O11" i="167"/>
  <c r="N12" i="167"/>
  <c r="O12" i="167"/>
  <c r="N13" i="167"/>
  <c r="O13" i="167"/>
  <c r="N14" i="167"/>
  <c r="O14" i="167"/>
  <c r="N15" i="167"/>
  <c r="O15" i="167"/>
  <c r="N16" i="167"/>
  <c r="O16" i="167"/>
  <c r="N17" i="167"/>
  <c r="O17" i="167"/>
  <c r="N18" i="167"/>
  <c r="O18" i="167"/>
  <c r="N19" i="167"/>
  <c r="O19" i="167"/>
  <c r="N20" i="167"/>
  <c r="O20" i="167"/>
  <c r="N21" i="167"/>
  <c r="O21" i="167"/>
  <c r="N22" i="167"/>
  <c r="O22" i="167"/>
  <c r="N23" i="167"/>
  <c r="O23" i="167"/>
  <c r="N24" i="167"/>
  <c r="O24" i="167"/>
  <c r="N25" i="167"/>
  <c r="O25" i="167"/>
  <c r="N26" i="167"/>
  <c r="O26" i="167"/>
  <c r="N27" i="167"/>
  <c r="O27" i="167"/>
  <c r="N28" i="167"/>
  <c r="O28" i="167"/>
  <c r="N29" i="167"/>
  <c r="O29" i="167"/>
  <c r="N30" i="167"/>
  <c r="O30" i="167"/>
  <c r="N31" i="167"/>
  <c r="O31" i="167"/>
  <c r="N32" i="167"/>
  <c r="O32" i="167"/>
  <c r="N33" i="167"/>
  <c r="O33" i="167"/>
  <c r="N34" i="167"/>
  <c r="O34" i="167"/>
  <c r="N35" i="167"/>
  <c r="O35" i="167"/>
  <c r="N36" i="167"/>
  <c r="O36" i="167"/>
  <c r="N37" i="167"/>
  <c r="O37" i="167"/>
  <c r="N38" i="167"/>
  <c r="O38" i="167"/>
  <c r="N39" i="167"/>
  <c r="O39" i="167"/>
  <c r="N40" i="167"/>
  <c r="O40" i="167"/>
  <c r="N41" i="167"/>
  <c r="O41" i="167"/>
  <c r="N42" i="167"/>
  <c r="O42" i="167"/>
  <c r="N43" i="167"/>
  <c r="O43" i="167"/>
  <c r="N44" i="167"/>
  <c r="O44" i="167"/>
  <c r="N45" i="167"/>
  <c r="O45" i="167"/>
  <c r="N46" i="167"/>
  <c r="O46" i="167"/>
  <c r="N47" i="167"/>
  <c r="O47" i="167"/>
  <c r="N48" i="167"/>
  <c r="O48" i="167"/>
  <c r="N49" i="167"/>
  <c r="O49" i="167"/>
  <c r="N50" i="167"/>
  <c r="O50" i="167"/>
  <c r="N51" i="167"/>
  <c r="O51" i="167"/>
  <c r="N52" i="167"/>
  <c r="O52" i="167"/>
  <c r="N53" i="167"/>
  <c r="O53" i="167"/>
  <c r="N54" i="167"/>
  <c r="O54" i="167"/>
  <c r="N55" i="167"/>
  <c r="O55" i="167"/>
  <c r="N56" i="167"/>
  <c r="O56" i="167"/>
  <c r="N57" i="167"/>
  <c r="O57" i="167"/>
  <c r="N58" i="167"/>
  <c r="O58" i="167"/>
  <c r="N59" i="167"/>
  <c r="O59" i="167"/>
  <c r="N60" i="167"/>
  <c r="O60" i="167"/>
  <c r="N61" i="167"/>
  <c r="O61" i="167"/>
  <c r="N62" i="167"/>
  <c r="O62" i="167"/>
  <c r="N63" i="167"/>
  <c r="O63" i="167"/>
  <c r="N64" i="167"/>
  <c r="O64" i="167"/>
  <c r="N65" i="167"/>
  <c r="O65" i="167"/>
  <c r="N66" i="167"/>
  <c r="O66" i="167"/>
  <c r="N67" i="167"/>
  <c r="O67" i="167"/>
  <c r="N68" i="167"/>
  <c r="O68" i="167"/>
  <c r="N69" i="167"/>
  <c r="O69" i="167"/>
  <c r="N70" i="167"/>
  <c r="O70" i="167"/>
  <c r="N71" i="167"/>
  <c r="O71" i="167"/>
  <c r="N72" i="167"/>
  <c r="O72" i="167"/>
  <c r="N73" i="167"/>
  <c r="O73" i="167"/>
  <c r="O74" i="167"/>
  <c r="N76" i="167"/>
  <c r="O76" i="167"/>
  <c r="N77" i="167"/>
  <c r="O77" i="167"/>
  <c r="O78" i="167"/>
  <c r="N80" i="167"/>
  <c r="O80" i="167"/>
  <c r="N81" i="167"/>
  <c r="O81" i="167"/>
  <c r="O82" i="167"/>
  <c r="N84" i="167"/>
  <c r="O84" i="167"/>
  <c r="N85" i="167"/>
  <c r="O85" i="167"/>
  <c r="N86" i="167"/>
  <c r="O86" i="167"/>
  <c r="N87" i="167"/>
  <c r="O87" i="167"/>
  <c r="N88" i="167"/>
  <c r="O88" i="167"/>
  <c r="N89" i="167"/>
  <c r="O89" i="167"/>
  <c r="N90" i="167"/>
  <c r="O90" i="167"/>
  <c r="N91" i="167"/>
  <c r="O91" i="167"/>
  <c r="O92" i="167"/>
  <c r="N94" i="167"/>
  <c r="N96" i="167"/>
  <c r="N97" i="167"/>
  <c r="N98" i="167"/>
  <c r="N99" i="167"/>
  <c r="N100" i="167"/>
  <c r="N101" i="167"/>
  <c r="N102" i="167"/>
  <c r="N103" i="167"/>
  <c r="N104" i="167"/>
  <c r="N105" i="167"/>
  <c r="N106" i="167"/>
  <c r="N107" i="167"/>
  <c r="N109" i="167"/>
  <c r="N110" i="167"/>
  <c r="N111" i="167"/>
  <c r="N119" i="167"/>
  <c r="O119" i="167"/>
  <c r="N121" i="167"/>
  <c r="O121" i="167"/>
  <c r="N122" i="167"/>
  <c r="O122" i="167"/>
  <c r="N123" i="167"/>
  <c r="O123" i="167"/>
  <c r="N124" i="167"/>
  <c r="O124" i="167"/>
  <c r="N125" i="167"/>
  <c r="O125" i="167"/>
  <c r="N126" i="167"/>
  <c r="O126" i="167"/>
  <c r="N127" i="167"/>
  <c r="O127" i="167"/>
  <c r="N128" i="167"/>
  <c r="O128" i="167"/>
  <c r="N129" i="167"/>
  <c r="O129" i="167"/>
  <c r="N130" i="167"/>
  <c r="O130" i="167"/>
  <c r="N131" i="167"/>
  <c r="O131" i="167"/>
  <c r="N132" i="167"/>
  <c r="O132" i="167"/>
  <c r="N133" i="167"/>
  <c r="O133" i="167"/>
  <c r="N134" i="167"/>
  <c r="O134" i="167"/>
  <c r="N135" i="167"/>
  <c r="O135" i="167"/>
  <c r="N136" i="167"/>
  <c r="O136" i="167"/>
  <c r="N137" i="167"/>
  <c r="O137" i="167"/>
  <c r="N138" i="167"/>
  <c r="O138" i="167"/>
  <c r="N139" i="167"/>
  <c r="O139" i="167"/>
  <c r="N140" i="167"/>
  <c r="O140" i="167"/>
  <c r="N141" i="167"/>
  <c r="O141" i="167"/>
  <c r="N142" i="167"/>
  <c r="O142" i="167"/>
  <c r="N143" i="167"/>
  <c r="O143" i="167"/>
  <c r="N144" i="167"/>
  <c r="O144" i="167"/>
  <c r="N145" i="167"/>
  <c r="O145" i="167"/>
  <c r="N146" i="167"/>
  <c r="O146" i="167"/>
  <c r="N147" i="167"/>
  <c r="O147" i="167"/>
  <c r="N148" i="167"/>
  <c r="O148" i="167"/>
  <c r="N149" i="167"/>
  <c r="O149" i="167"/>
  <c r="N150" i="167"/>
  <c r="O150" i="167"/>
  <c r="N151" i="167"/>
  <c r="O151" i="167"/>
  <c r="N152" i="167"/>
  <c r="O152" i="167"/>
  <c r="N153" i="167"/>
  <c r="O153" i="167"/>
  <c r="N154" i="167"/>
  <c r="O154" i="167"/>
  <c r="N155" i="167"/>
  <c r="O155" i="167"/>
  <c r="N156" i="167"/>
  <c r="O156" i="167"/>
  <c r="N157" i="167"/>
  <c r="O157" i="167"/>
  <c r="N158" i="167"/>
  <c r="O158" i="167"/>
  <c r="N159" i="167"/>
  <c r="O159" i="167"/>
  <c r="N160" i="167"/>
  <c r="O160" i="167"/>
  <c r="N161" i="167"/>
  <c r="O161" i="167"/>
  <c r="N162" i="167"/>
  <c r="O162" i="167"/>
  <c r="N163" i="167"/>
  <c r="O163" i="167"/>
  <c r="N164" i="167"/>
  <c r="O164" i="167"/>
  <c r="N165" i="167"/>
  <c r="O165" i="167"/>
  <c r="N166" i="167"/>
  <c r="O166" i="167"/>
  <c r="N167" i="167"/>
  <c r="O167" i="167"/>
  <c r="N168" i="167"/>
  <c r="O168" i="167"/>
  <c r="N169" i="167"/>
  <c r="O169" i="167"/>
  <c r="N170" i="167"/>
  <c r="O170" i="167"/>
  <c r="O171" i="167"/>
  <c r="N172" i="167"/>
  <c r="O172" i="167"/>
  <c r="N173" i="167"/>
  <c r="O173" i="167"/>
  <c r="N174" i="167"/>
  <c r="O174" i="167"/>
  <c r="N175" i="167"/>
  <c r="O175" i="167"/>
  <c r="N176" i="167"/>
  <c r="O176" i="167"/>
  <c r="N177" i="167"/>
  <c r="O177" i="167"/>
  <c r="O178" i="167"/>
  <c r="O180" i="167"/>
  <c r="N182" i="167"/>
  <c r="O182" i="167"/>
  <c r="O183" i="167"/>
  <c r="O184" i="167"/>
  <c r="O185" i="167"/>
  <c r="O186" i="167"/>
  <c r="O187" i="167"/>
  <c r="O188" i="167"/>
  <c r="N190" i="167"/>
  <c r="O190" i="167"/>
  <c r="O191" i="167"/>
  <c r="O193" i="167"/>
  <c r="O195" i="167"/>
  <c r="H75" i="67"/>
  <c r="I12" i="31"/>
  <c r="I13" i="31"/>
  <c r="I14" i="31"/>
  <c r="I15" i="31"/>
  <c r="I16" i="31"/>
  <c r="I19" i="31"/>
  <c r="I20" i="31"/>
  <c r="I21" i="31"/>
  <c r="I22" i="31"/>
  <c r="I23" i="31"/>
  <c r="I24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8" i="31"/>
  <c r="I9" i="31"/>
  <c r="I74" i="31"/>
  <c r="I12" i="46"/>
  <c r="I15" i="46"/>
  <c r="I17" i="46"/>
  <c r="I76" i="113"/>
  <c r="I82" i="113"/>
  <c r="I77" i="114"/>
  <c r="I83" i="114"/>
  <c r="I76" i="115"/>
  <c r="I82" i="115"/>
  <c r="J15" i="137"/>
  <c r="J12" i="31"/>
  <c r="J13" i="31"/>
  <c r="J14" i="31"/>
  <c r="J15" i="31"/>
  <c r="J16" i="31"/>
  <c r="J19" i="31"/>
  <c r="J20" i="31"/>
  <c r="J21" i="31"/>
  <c r="J22" i="31"/>
  <c r="J23" i="31"/>
  <c r="J24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72" i="31"/>
  <c r="J73" i="31"/>
  <c r="J8" i="31"/>
  <c r="J9" i="31"/>
  <c r="J74" i="31"/>
  <c r="J12" i="46"/>
  <c r="J15" i="46"/>
  <c r="J17" i="46"/>
  <c r="J76" i="113"/>
  <c r="J82" i="113"/>
  <c r="J77" i="114"/>
  <c r="J83" i="114"/>
  <c r="J76" i="115"/>
  <c r="J82" i="115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I7" i="33"/>
  <c r="I8" i="33"/>
  <c r="I9" i="33"/>
  <c r="I10" i="33"/>
  <c r="I11" i="33"/>
  <c r="I12" i="33"/>
  <c r="I13" i="33"/>
  <c r="I14" i="33"/>
  <c r="I15" i="33"/>
  <c r="I16" i="33"/>
  <c r="I17" i="33"/>
  <c r="I18" i="33"/>
  <c r="I19" i="33"/>
  <c r="I20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5" i="33"/>
  <c r="I46" i="33"/>
  <c r="I47" i="33"/>
  <c r="I48" i="33"/>
  <c r="I49" i="33"/>
  <c r="I50" i="33"/>
  <c r="I51" i="33"/>
  <c r="I52" i="33"/>
  <c r="I53" i="33"/>
  <c r="I54" i="33"/>
  <c r="I55" i="33"/>
  <c r="I56" i="33"/>
  <c r="I57" i="33"/>
  <c r="I58" i="33"/>
  <c r="I59" i="33"/>
  <c r="I60" i="33"/>
  <c r="I61" i="33"/>
  <c r="I62" i="33"/>
  <c r="I63" i="33"/>
  <c r="I64" i="33"/>
  <c r="I65" i="33"/>
  <c r="I66" i="33"/>
  <c r="I67" i="33"/>
  <c r="I68" i="33"/>
  <c r="I69" i="33"/>
  <c r="I70" i="33"/>
  <c r="I71" i="33"/>
  <c r="I72" i="33"/>
  <c r="I73" i="33"/>
  <c r="I74" i="33"/>
  <c r="I75" i="33"/>
  <c r="I76" i="33"/>
  <c r="D76" i="33"/>
  <c r="E76" i="33"/>
  <c r="P7" i="33"/>
  <c r="P8" i="33"/>
  <c r="P9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P23" i="33"/>
  <c r="P24" i="33"/>
  <c r="P25" i="33"/>
  <c r="P26" i="33"/>
  <c r="P27" i="33"/>
  <c r="P28" i="33"/>
  <c r="P29" i="33"/>
  <c r="P30" i="33"/>
  <c r="P31" i="33"/>
  <c r="P32" i="33"/>
  <c r="P33" i="33"/>
  <c r="P34" i="33"/>
  <c r="P35" i="33"/>
  <c r="P36" i="33"/>
  <c r="P37" i="33"/>
  <c r="P38" i="33"/>
  <c r="P39" i="33"/>
  <c r="P40" i="33"/>
  <c r="P41" i="33"/>
  <c r="P42" i="33"/>
  <c r="P43" i="33"/>
  <c r="P44" i="33"/>
  <c r="P45" i="33"/>
  <c r="P46" i="33"/>
  <c r="P47" i="33"/>
  <c r="P48" i="33"/>
  <c r="P49" i="33"/>
  <c r="P50" i="33"/>
  <c r="P51" i="33"/>
  <c r="P52" i="33"/>
  <c r="P53" i="33"/>
  <c r="P54" i="33"/>
  <c r="P55" i="33"/>
  <c r="P56" i="33"/>
  <c r="P57" i="33"/>
  <c r="P58" i="33"/>
  <c r="P59" i="33"/>
  <c r="P60" i="33"/>
  <c r="P61" i="33"/>
  <c r="P62" i="33"/>
  <c r="P63" i="33"/>
  <c r="P64" i="33"/>
  <c r="P65" i="33"/>
  <c r="P66" i="33"/>
  <c r="P67" i="33"/>
  <c r="P68" i="33"/>
  <c r="P69" i="33"/>
  <c r="P70" i="33"/>
  <c r="P71" i="33"/>
  <c r="P72" i="33"/>
  <c r="P73" i="33"/>
  <c r="P74" i="33"/>
  <c r="P75" i="33"/>
  <c r="P76" i="33"/>
  <c r="Q7" i="33"/>
  <c r="Q8" i="33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73" i="33"/>
  <c r="Q74" i="33"/>
  <c r="Q75" i="33"/>
  <c r="Q76" i="33"/>
  <c r="R7" i="33"/>
  <c r="R8" i="33"/>
  <c r="R9" i="33"/>
  <c r="R10" i="33"/>
  <c r="R11" i="33"/>
  <c r="R12" i="33"/>
  <c r="R13" i="33"/>
  <c r="R14" i="33"/>
  <c r="R15" i="33"/>
  <c r="R16" i="33"/>
  <c r="R17" i="33"/>
  <c r="R18" i="33"/>
  <c r="R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57" i="33"/>
  <c r="R58" i="33"/>
  <c r="R59" i="33"/>
  <c r="R60" i="33"/>
  <c r="R61" i="33"/>
  <c r="R62" i="33"/>
  <c r="R63" i="33"/>
  <c r="R64" i="33"/>
  <c r="R65" i="33"/>
  <c r="R66" i="33"/>
  <c r="R67" i="33"/>
  <c r="R68" i="33"/>
  <c r="R69" i="33"/>
  <c r="R70" i="33"/>
  <c r="R71" i="33"/>
  <c r="R72" i="33"/>
  <c r="R73" i="33"/>
  <c r="R74" i="33"/>
  <c r="R75" i="33"/>
  <c r="R76" i="33"/>
  <c r="D7" i="116"/>
  <c r="E7" i="116"/>
  <c r="F7" i="116"/>
  <c r="G7" i="116"/>
  <c r="H7" i="116"/>
  <c r="S7" i="33"/>
  <c r="D8" i="116"/>
  <c r="E8" i="116"/>
  <c r="F8" i="116"/>
  <c r="G8" i="116"/>
  <c r="H8" i="116"/>
  <c r="L8" i="116"/>
  <c r="S8" i="33"/>
  <c r="D9" i="116"/>
  <c r="E9" i="116"/>
  <c r="F9" i="116"/>
  <c r="G9" i="116"/>
  <c r="H9" i="116"/>
  <c r="L9" i="116"/>
  <c r="S9" i="33"/>
  <c r="D10" i="116"/>
  <c r="E10" i="116"/>
  <c r="F10" i="116"/>
  <c r="G10" i="116"/>
  <c r="H10" i="116"/>
  <c r="L10" i="116"/>
  <c r="S10" i="33"/>
  <c r="D11" i="116"/>
  <c r="E11" i="116"/>
  <c r="F11" i="116"/>
  <c r="G11" i="116"/>
  <c r="H11" i="116"/>
  <c r="L11" i="116"/>
  <c r="S11" i="33"/>
  <c r="D12" i="116"/>
  <c r="E12" i="116"/>
  <c r="F12" i="116"/>
  <c r="G12" i="116"/>
  <c r="H12" i="116"/>
  <c r="L12" i="116"/>
  <c r="S12" i="33"/>
  <c r="D13" i="116"/>
  <c r="E13" i="116"/>
  <c r="F13" i="116"/>
  <c r="G13" i="116"/>
  <c r="H13" i="116"/>
  <c r="L13" i="116"/>
  <c r="S13" i="33"/>
  <c r="D14" i="116"/>
  <c r="E14" i="116"/>
  <c r="F14" i="116"/>
  <c r="G14" i="116"/>
  <c r="H14" i="116"/>
  <c r="L14" i="116"/>
  <c r="S14" i="33"/>
  <c r="D15" i="116"/>
  <c r="E15" i="116"/>
  <c r="F15" i="116"/>
  <c r="G15" i="116"/>
  <c r="H15" i="116"/>
  <c r="L15" i="116"/>
  <c r="S15" i="33"/>
  <c r="D16" i="116"/>
  <c r="E16" i="116"/>
  <c r="F16" i="116"/>
  <c r="G16" i="116"/>
  <c r="H16" i="116"/>
  <c r="L16" i="116"/>
  <c r="S16" i="33"/>
  <c r="D17" i="116"/>
  <c r="E17" i="116"/>
  <c r="F17" i="116"/>
  <c r="G17" i="116"/>
  <c r="H17" i="116"/>
  <c r="L17" i="116"/>
  <c r="S17" i="33"/>
  <c r="D18" i="116"/>
  <c r="E18" i="116"/>
  <c r="F18" i="116"/>
  <c r="G18" i="116"/>
  <c r="H18" i="116"/>
  <c r="L18" i="116"/>
  <c r="S18" i="33"/>
  <c r="D19" i="116"/>
  <c r="E19" i="116"/>
  <c r="F19" i="116"/>
  <c r="G19" i="116"/>
  <c r="H19" i="116"/>
  <c r="L19" i="116"/>
  <c r="S19" i="33"/>
  <c r="D20" i="116"/>
  <c r="E20" i="116"/>
  <c r="F20" i="116"/>
  <c r="G20" i="116"/>
  <c r="H20" i="116"/>
  <c r="L20" i="116"/>
  <c r="S20" i="33"/>
  <c r="D21" i="116"/>
  <c r="E21" i="116"/>
  <c r="F21" i="116"/>
  <c r="G21" i="116"/>
  <c r="H21" i="116"/>
  <c r="L21" i="116"/>
  <c r="S21" i="33"/>
  <c r="D22" i="116"/>
  <c r="E22" i="116"/>
  <c r="F22" i="116"/>
  <c r="G22" i="116"/>
  <c r="H22" i="116"/>
  <c r="L22" i="116"/>
  <c r="S22" i="33"/>
  <c r="D23" i="116"/>
  <c r="E23" i="116"/>
  <c r="F23" i="116"/>
  <c r="G23" i="116"/>
  <c r="H23" i="116"/>
  <c r="L23" i="116"/>
  <c r="S23" i="33"/>
  <c r="D24" i="116"/>
  <c r="E24" i="116"/>
  <c r="F24" i="116"/>
  <c r="G24" i="116"/>
  <c r="H24" i="116"/>
  <c r="L24" i="116"/>
  <c r="S24" i="33"/>
  <c r="D25" i="116"/>
  <c r="E25" i="116"/>
  <c r="F25" i="116"/>
  <c r="G25" i="116"/>
  <c r="H25" i="116"/>
  <c r="L25" i="116"/>
  <c r="S25" i="33"/>
  <c r="D26" i="116"/>
  <c r="E26" i="116"/>
  <c r="F26" i="116"/>
  <c r="G26" i="116"/>
  <c r="H26" i="116"/>
  <c r="L26" i="116"/>
  <c r="S26" i="33"/>
  <c r="D27" i="116"/>
  <c r="E27" i="116"/>
  <c r="F27" i="116"/>
  <c r="G27" i="116"/>
  <c r="H27" i="116"/>
  <c r="L27" i="116"/>
  <c r="S27" i="33"/>
  <c r="D28" i="116"/>
  <c r="E28" i="116"/>
  <c r="F28" i="116"/>
  <c r="G28" i="116"/>
  <c r="H28" i="116"/>
  <c r="L28" i="116"/>
  <c r="S28" i="33"/>
  <c r="D29" i="116"/>
  <c r="E29" i="116"/>
  <c r="F29" i="116"/>
  <c r="G29" i="116"/>
  <c r="H29" i="116"/>
  <c r="L29" i="116"/>
  <c r="S29" i="33"/>
  <c r="D30" i="116"/>
  <c r="E30" i="116"/>
  <c r="F30" i="116"/>
  <c r="G30" i="116"/>
  <c r="H30" i="116"/>
  <c r="L30" i="116"/>
  <c r="S30" i="33"/>
  <c r="D31" i="116"/>
  <c r="E31" i="116"/>
  <c r="F31" i="116"/>
  <c r="G31" i="116"/>
  <c r="H31" i="116"/>
  <c r="L31" i="116"/>
  <c r="S31" i="33"/>
  <c r="D32" i="116"/>
  <c r="E32" i="116"/>
  <c r="F32" i="116"/>
  <c r="G32" i="116"/>
  <c r="H32" i="116"/>
  <c r="L32" i="116"/>
  <c r="S32" i="33"/>
  <c r="D33" i="116"/>
  <c r="E33" i="116"/>
  <c r="F33" i="116"/>
  <c r="G33" i="116"/>
  <c r="H33" i="116"/>
  <c r="L33" i="116"/>
  <c r="S33" i="33"/>
  <c r="D34" i="116"/>
  <c r="E34" i="116"/>
  <c r="F34" i="116"/>
  <c r="G34" i="116"/>
  <c r="H34" i="116"/>
  <c r="L34" i="116"/>
  <c r="S34" i="33"/>
  <c r="D35" i="116"/>
  <c r="E35" i="116"/>
  <c r="F35" i="116"/>
  <c r="G35" i="116"/>
  <c r="H35" i="116"/>
  <c r="L35" i="116"/>
  <c r="S35" i="33"/>
  <c r="D36" i="116"/>
  <c r="E36" i="116"/>
  <c r="F36" i="116"/>
  <c r="G36" i="116"/>
  <c r="H36" i="116"/>
  <c r="L36" i="116"/>
  <c r="S36" i="33"/>
  <c r="D37" i="116"/>
  <c r="E37" i="116"/>
  <c r="F37" i="116"/>
  <c r="G37" i="116"/>
  <c r="H37" i="116"/>
  <c r="L37" i="116"/>
  <c r="S37" i="33"/>
  <c r="D38" i="116"/>
  <c r="E38" i="116"/>
  <c r="F38" i="116"/>
  <c r="G38" i="116"/>
  <c r="H38" i="116"/>
  <c r="L38" i="116"/>
  <c r="S38" i="33"/>
  <c r="D39" i="116"/>
  <c r="E39" i="116"/>
  <c r="F39" i="116"/>
  <c r="G39" i="116"/>
  <c r="H39" i="116"/>
  <c r="L39" i="116"/>
  <c r="S39" i="33"/>
  <c r="D40" i="116"/>
  <c r="E40" i="116"/>
  <c r="F40" i="116"/>
  <c r="G40" i="116"/>
  <c r="H40" i="116"/>
  <c r="L40" i="116"/>
  <c r="S40" i="33"/>
  <c r="D41" i="116"/>
  <c r="E41" i="116"/>
  <c r="F41" i="116"/>
  <c r="G41" i="116"/>
  <c r="H41" i="116"/>
  <c r="L41" i="116"/>
  <c r="S41" i="33"/>
  <c r="D42" i="116"/>
  <c r="E42" i="116"/>
  <c r="F42" i="116"/>
  <c r="G42" i="116"/>
  <c r="H42" i="116"/>
  <c r="L42" i="116"/>
  <c r="S42" i="33"/>
  <c r="D43" i="116"/>
  <c r="E43" i="116"/>
  <c r="F43" i="116"/>
  <c r="G43" i="116"/>
  <c r="H43" i="116"/>
  <c r="L43" i="116"/>
  <c r="S43" i="33"/>
  <c r="D44" i="116"/>
  <c r="E44" i="116"/>
  <c r="F44" i="116"/>
  <c r="G44" i="116"/>
  <c r="H44" i="116"/>
  <c r="L44" i="116"/>
  <c r="S44" i="33"/>
  <c r="D45" i="116"/>
  <c r="E45" i="116"/>
  <c r="F45" i="116"/>
  <c r="G45" i="116"/>
  <c r="H45" i="116"/>
  <c r="L45" i="116"/>
  <c r="S45" i="33"/>
  <c r="D46" i="116"/>
  <c r="E46" i="116"/>
  <c r="F46" i="116"/>
  <c r="G46" i="116"/>
  <c r="H46" i="116"/>
  <c r="L46" i="116"/>
  <c r="S46" i="33"/>
  <c r="D47" i="116"/>
  <c r="E47" i="116"/>
  <c r="F47" i="116"/>
  <c r="G47" i="116"/>
  <c r="H47" i="116"/>
  <c r="L47" i="116"/>
  <c r="S47" i="33"/>
  <c r="D48" i="116"/>
  <c r="E48" i="116"/>
  <c r="F48" i="116"/>
  <c r="G48" i="116"/>
  <c r="H48" i="116"/>
  <c r="L48" i="116"/>
  <c r="S48" i="33"/>
  <c r="D49" i="116"/>
  <c r="E49" i="116"/>
  <c r="F49" i="116"/>
  <c r="G49" i="116"/>
  <c r="H49" i="116"/>
  <c r="L49" i="116"/>
  <c r="S49" i="33"/>
  <c r="D50" i="116"/>
  <c r="E50" i="116"/>
  <c r="F50" i="116"/>
  <c r="G50" i="116"/>
  <c r="H50" i="116"/>
  <c r="L50" i="116"/>
  <c r="S50" i="33"/>
  <c r="D51" i="116"/>
  <c r="E51" i="116"/>
  <c r="F51" i="116"/>
  <c r="G51" i="116"/>
  <c r="H51" i="116"/>
  <c r="L51" i="116"/>
  <c r="S51" i="33"/>
  <c r="D52" i="116"/>
  <c r="E52" i="116"/>
  <c r="F52" i="116"/>
  <c r="G52" i="116"/>
  <c r="H52" i="116"/>
  <c r="L52" i="116"/>
  <c r="S52" i="33"/>
  <c r="D53" i="116"/>
  <c r="E53" i="116"/>
  <c r="F53" i="116"/>
  <c r="G53" i="116"/>
  <c r="H53" i="116"/>
  <c r="L53" i="116"/>
  <c r="S53" i="33"/>
  <c r="D54" i="116"/>
  <c r="E54" i="116"/>
  <c r="F54" i="116"/>
  <c r="G54" i="116"/>
  <c r="H54" i="116"/>
  <c r="L54" i="116"/>
  <c r="S54" i="33"/>
  <c r="D55" i="116"/>
  <c r="E55" i="116"/>
  <c r="F55" i="116"/>
  <c r="G55" i="116"/>
  <c r="H55" i="116"/>
  <c r="L55" i="116"/>
  <c r="S55" i="33"/>
  <c r="D56" i="116"/>
  <c r="E56" i="116"/>
  <c r="F56" i="116"/>
  <c r="G56" i="116"/>
  <c r="H56" i="116"/>
  <c r="L56" i="116"/>
  <c r="S56" i="33"/>
  <c r="D57" i="116"/>
  <c r="E57" i="116"/>
  <c r="F57" i="116"/>
  <c r="G57" i="116"/>
  <c r="H57" i="116"/>
  <c r="L57" i="116"/>
  <c r="S57" i="33"/>
  <c r="D58" i="116"/>
  <c r="E58" i="116"/>
  <c r="F58" i="116"/>
  <c r="G58" i="116"/>
  <c r="H58" i="116"/>
  <c r="L58" i="116"/>
  <c r="S58" i="33"/>
  <c r="D59" i="116"/>
  <c r="E59" i="116"/>
  <c r="F59" i="116"/>
  <c r="G59" i="116"/>
  <c r="H59" i="116"/>
  <c r="L59" i="116"/>
  <c r="S59" i="33"/>
  <c r="D60" i="116"/>
  <c r="E60" i="116"/>
  <c r="F60" i="116"/>
  <c r="G60" i="116"/>
  <c r="H60" i="116"/>
  <c r="L60" i="116"/>
  <c r="S60" i="33"/>
  <c r="D61" i="116"/>
  <c r="E61" i="116"/>
  <c r="F61" i="116"/>
  <c r="G61" i="116"/>
  <c r="H61" i="116"/>
  <c r="L61" i="116"/>
  <c r="S61" i="33"/>
  <c r="D62" i="116"/>
  <c r="E62" i="116"/>
  <c r="F62" i="116"/>
  <c r="G62" i="116"/>
  <c r="H62" i="116"/>
  <c r="L62" i="116"/>
  <c r="S62" i="33"/>
  <c r="D63" i="116"/>
  <c r="E63" i="116"/>
  <c r="F63" i="116"/>
  <c r="G63" i="116"/>
  <c r="H63" i="116"/>
  <c r="L63" i="116"/>
  <c r="S63" i="33"/>
  <c r="D64" i="116"/>
  <c r="E64" i="116"/>
  <c r="F64" i="116"/>
  <c r="G64" i="116"/>
  <c r="H64" i="116"/>
  <c r="L64" i="116"/>
  <c r="S64" i="33"/>
  <c r="D65" i="116"/>
  <c r="E65" i="116"/>
  <c r="F65" i="116"/>
  <c r="G65" i="116"/>
  <c r="H65" i="116"/>
  <c r="L65" i="116"/>
  <c r="S65" i="33"/>
  <c r="D66" i="116"/>
  <c r="E66" i="116"/>
  <c r="F66" i="116"/>
  <c r="G66" i="116"/>
  <c r="H66" i="116"/>
  <c r="L66" i="116"/>
  <c r="S66" i="33"/>
  <c r="D67" i="116"/>
  <c r="E67" i="116"/>
  <c r="F67" i="116"/>
  <c r="G67" i="116"/>
  <c r="H67" i="116"/>
  <c r="L67" i="116"/>
  <c r="S67" i="33"/>
  <c r="D68" i="116"/>
  <c r="E68" i="116"/>
  <c r="F68" i="116"/>
  <c r="G68" i="116"/>
  <c r="H68" i="116"/>
  <c r="L68" i="116"/>
  <c r="S68" i="33"/>
  <c r="D69" i="116"/>
  <c r="E69" i="116"/>
  <c r="F69" i="116"/>
  <c r="G69" i="116"/>
  <c r="H69" i="116"/>
  <c r="L69" i="116"/>
  <c r="S69" i="33"/>
  <c r="D70" i="116"/>
  <c r="E70" i="116"/>
  <c r="F70" i="116"/>
  <c r="G70" i="116"/>
  <c r="H70" i="116"/>
  <c r="L70" i="116"/>
  <c r="S70" i="33"/>
  <c r="D71" i="116"/>
  <c r="E71" i="116"/>
  <c r="F71" i="116"/>
  <c r="G71" i="116"/>
  <c r="H71" i="116"/>
  <c r="L71" i="116"/>
  <c r="S71" i="33"/>
  <c r="D72" i="116"/>
  <c r="E72" i="116"/>
  <c r="F72" i="116"/>
  <c r="G72" i="116"/>
  <c r="H72" i="116"/>
  <c r="L72" i="116"/>
  <c r="S72" i="33"/>
  <c r="D73" i="116"/>
  <c r="E73" i="116"/>
  <c r="F73" i="116"/>
  <c r="G73" i="116"/>
  <c r="H73" i="116"/>
  <c r="L73" i="116"/>
  <c r="S73" i="33"/>
  <c r="D74" i="116"/>
  <c r="E74" i="116"/>
  <c r="F74" i="116"/>
  <c r="G74" i="116"/>
  <c r="H74" i="116"/>
  <c r="L74" i="116"/>
  <c r="S74" i="33"/>
  <c r="D75" i="116"/>
  <c r="E75" i="116"/>
  <c r="F75" i="116"/>
  <c r="G75" i="116"/>
  <c r="H75" i="116"/>
  <c r="L75" i="116"/>
  <c r="S75" i="33"/>
  <c r="S76" i="33"/>
  <c r="D7" i="117"/>
  <c r="E7" i="117"/>
  <c r="F7" i="117"/>
  <c r="G7" i="117"/>
  <c r="H7" i="117"/>
  <c r="T7" i="33"/>
  <c r="D8" i="117"/>
  <c r="E8" i="117"/>
  <c r="F8" i="117"/>
  <c r="G8" i="117"/>
  <c r="H8" i="117"/>
  <c r="L8" i="117"/>
  <c r="T8" i="33"/>
  <c r="D9" i="117"/>
  <c r="E9" i="117"/>
  <c r="F9" i="117"/>
  <c r="G9" i="117"/>
  <c r="H9" i="117"/>
  <c r="L9" i="117"/>
  <c r="T9" i="33"/>
  <c r="D10" i="117"/>
  <c r="E10" i="117"/>
  <c r="F10" i="117"/>
  <c r="G10" i="117"/>
  <c r="H10" i="117"/>
  <c r="L10" i="117"/>
  <c r="T10" i="33"/>
  <c r="D11" i="117"/>
  <c r="E11" i="117"/>
  <c r="F11" i="117"/>
  <c r="G11" i="117"/>
  <c r="H11" i="117"/>
  <c r="L11" i="117"/>
  <c r="T11" i="33"/>
  <c r="D12" i="117"/>
  <c r="E12" i="117"/>
  <c r="F12" i="117"/>
  <c r="G12" i="117"/>
  <c r="H12" i="117"/>
  <c r="L12" i="117"/>
  <c r="T12" i="33"/>
  <c r="D13" i="117"/>
  <c r="E13" i="117"/>
  <c r="F13" i="117"/>
  <c r="G13" i="117"/>
  <c r="H13" i="117"/>
  <c r="L13" i="117"/>
  <c r="T13" i="33"/>
  <c r="D14" i="117"/>
  <c r="E14" i="117"/>
  <c r="F14" i="117"/>
  <c r="G14" i="117"/>
  <c r="H14" i="117"/>
  <c r="L14" i="117"/>
  <c r="T14" i="33"/>
  <c r="D15" i="117"/>
  <c r="E15" i="117"/>
  <c r="F15" i="117"/>
  <c r="G15" i="117"/>
  <c r="H15" i="117"/>
  <c r="L15" i="117"/>
  <c r="T15" i="33"/>
  <c r="D16" i="117"/>
  <c r="E16" i="117"/>
  <c r="F16" i="117"/>
  <c r="G16" i="117"/>
  <c r="H16" i="117"/>
  <c r="L16" i="117"/>
  <c r="T16" i="33"/>
  <c r="D17" i="117"/>
  <c r="E17" i="117"/>
  <c r="F17" i="117"/>
  <c r="G17" i="117"/>
  <c r="H17" i="117"/>
  <c r="L17" i="117"/>
  <c r="T17" i="33"/>
  <c r="D18" i="117"/>
  <c r="E18" i="117"/>
  <c r="F18" i="117"/>
  <c r="G18" i="117"/>
  <c r="H18" i="117"/>
  <c r="L18" i="117"/>
  <c r="T18" i="33"/>
  <c r="D19" i="117"/>
  <c r="E19" i="117"/>
  <c r="F19" i="117"/>
  <c r="G19" i="117"/>
  <c r="H19" i="117"/>
  <c r="L19" i="117"/>
  <c r="T19" i="33"/>
  <c r="D20" i="117"/>
  <c r="E20" i="117"/>
  <c r="F20" i="117"/>
  <c r="G20" i="117"/>
  <c r="H20" i="117"/>
  <c r="L20" i="117"/>
  <c r="T20" i="33"/>
  <c r="D21" i="117"/>
  <c r="E21" i="117"/>
  <c r="F21" i="117"/>
  <c r="G21" i="117"/>
  <c r="H21" i="117"/>
  <c r="L21" i="117"/>
  <c r="T21" i="33"/>
  <c r="D22" i="117"/>
  <c r="E22" i="117"/>
  <c r="F22" i="117"/>
  <c r="G22" i="117"/>
  <c r="H22" i="117"/>
  <c r="L22" i="117"/>
  <c r="T22" i="33"/>
  <c r="D23" i="117"/>
  <c r="E23" i="117"/>
  <c r="F23" i="117"/>
  <c r="G23" i="117"/>
  <c r="H23" i="117"/>
  <c r="L23" i="117"/>
  <c r="T23" i="33"/>
  <c r="D24" i="117"/>
  <c r="E24" i="117"/>
  <c r="F24" i="117"/>
  <c r="G24" i="117"/>
  <c r="H24" i="117"/>
  <c r="L24" i="117"/>
  <c r="T24" i="33"/>
  <c r="D25" i="117"/>
  <c r="E25" i="117"/>
  <c r="F25" i="117"/>
  <c r="G25" i="117"/>
  <c r="H25" i="117"/>
  <c r="L25" i="117"/>
  <c r="T25" i="33"/>
  <c r="D26" i="117"/>
  <c r="E26" i="117"/>
  <c r="F26" i="117"/>
  <c r="G26" i="117"/>
  <c r="H26" i="117"/>
  <c r="L26" i="117"/>
  <c r="T26" i="33"/>
  <c r="D27" i="117"/>
  <c r="E27" i="117"/>
  <c r="F27" i="117"/>
  <c r="G27" i="117"/>
  <c r="H27" i="117"/>
  <c r="L27" i="117"/>
  <c r="T27" i="33"/>
  <c r="D28" i="117"/>
  <c r="E28" i="117"/>
  <c r="F28" i="117"/>
  <c r="G28" i="117"/>
  <c r="H28" i="117"/>
  <c r="L28" i="117"/>
  <c r="T28" i="33"/>
  <c r="D29" i="117"/>
  <c r="E29" i="117"/>
  <c r="F29" i="117"/>
  <c r="G29" i="117"/>
  <c r="H29" i="117"/>
  <c r="L29" i="117"/>
  <c r="T29" i="33"/>
  <c r="D30" i="117"/>
  <c r="E30" i="117"/>
  <c r="F30" i="117"/>
  <c r="G30" i="117"/>
  <c r="H30" i="117"/>
  <c r="L30" i="117"/>
  <c r="T30" i="33"/>
  <c r="D31" i="117"/>
  <c r="E31" i="117"/>
  <c r="F31" i="117"/>
  <c r="G31" i="117"/>
  <c r="H31" i="117"/>
  <c r="L31" i="117"/>
  <c r="T31" i="33"/>
  <c r="D32" i="117"/>
  <c r="E32" i="117"/>
  <c r="F32" i="117"/>
  <c r="G32" i="117"/>
  <c r="H32" i="117"/>
  <c r="L32" i="117"/>
  <c r="T32" i="33"/>
  <c r="D33" i="117"/>
  <c r="E33" i="117"/>
  <c r="F33" i="117"/>
  <c r="G33" i="117"/>
  <c r="H33" i="117"/>
  <c r="L33" i="117"/>
  <c r="T33" i="33"/>
  <c r="D34" i="117"/>
  <c r="E34" i="117"/>
  <c r="F34" i="117"/>
  <c r="G34" i="117"/>
  <c r="H34" i="117"/>
  <c r="L34" i="117"/>
  <c r="T34" i="33"/>
  <c r="D35" i="117"/>
  <c r="E35" i="117"/>
  <c r="F35" i="117"/>
  <c r="G35" i="117"/>
  <c r="H35" i="117"/>
  <c r="L35" i="117"/>
  <c r="T35" i="33"/>
  <c r="D36" i="117"/>
  <c r="E36" i="117"/>
  <c r="F36" i="117"/>
  <c r="G36" i="117"/>
  <c r="H36" i="117"/>
  <c r="L36" i="117"/>
  <c r="T36" i="33"/>
  <c r="D37" i="117"/>
  <c r="E37" i="117"/>
  <c r="F37" i="117"/>
  <c r="G37" i="117"/>
  <c r="H37" i="117"/>
  <c r="L37" i="117"/>
  <c r="T37" i="33"/>
  <c r="D38" i="117"/>
  <c r="E38" i="117"/>
  <c r="F38" i="117"/>
  <c r="G38" i="117"/>
  <c r="H38" i="117"/>
  <c r="L38" i="117"/>
  <c r="T38" i="33"/>
  <c r="D39" i="117"/>
  <c r="E39" i="117"/>
  <c r="F39" i="117"/>
  <c r="G39" i="117"/>
  <c r="H39" i="117"/>
  <c r="L39" i="117"/>
  <c r="T39" i="33"/>
  <c r="D40" i="117"/>
  <c r="E40" i="117"/>
  <c r="F40" i="117"/>
  <c r="G40" i="117"/>
  <c r="H40" i="117"/>
  <c r="L40" i="117"/>
  <c r="T40" i="33"/>
  <c r="D41" i="117"/>
  <c r="E41" i="117"/>
  <c r="F41" i="117"/>
  <c r="G41" i="117"/>
  <c r="H41" i="117"/>
  <c r="L41" i="117"/>
  <c r="T41" i="33"/>
  <c r="D42" i="117"/>
  <c r="E42" i="117"/>
  <c r="F42" i="117"/>
  <c r="G42" i="117"/>
  <c r="H42" i="117"/>
  <c r="L42" i="117"/>
  <c r="T42" i="33"/>
  <c r="D43" i="117"/>
  <c r="E43" i="117"/>
  <c r="F43" i="117"/>
  <c r="G43" i="117"/>
  <c r="H43" i="117"/>
  <c r="L43" i="117"/>
  <c r="T43" i="33"/>
  <c r="D44" i="117"/>
  <c r="E44" i="117"/>
  <c r="F44" i="117"/>
  <c r="G44" i="117"/>
  <c r="H44" i="117"/>
  <c r="L44" i="117"/>
  <c r="T44" i="33"/>
  <c r="D45" i="117"/>
  <c r="E45" i="117"/>
  <c r="F45" i="117"/>
  <c r="G45" i="117"/>
  <c r="H45" i="117"/>
  <c r="L45" i="117"/>
  <c r="T45" i="33"/>
  <c r="D46" i="117"/>
  <c r="E46" i="117"/>
  <c r="F46" i="117"/>
  <c r="G46" i="117"/>
  <c r="H46" i="117"/>
  <c r="L46" i="117"/>
  <c r="T46" i="33"/>
  <c r="D47" i="117"/>
  <c r="E47" i="117"/>
  <c r="F47" i="117"/>
  <c r="G47" i="117"/>
  <c r="H47" i="117"/>
  <c r="L47" i="117"/>
  <c r="T47" i="33"/>
  <c r="D48" i="117"/>
  <c r="E48" i="117"/>
  <c r="F48" i="117"/>
  <c r="G48" i="117"/>
  <c r="H48" i="117"/>
  <c r="L48" i="117"/>
  <c r="T48" i="33"/>
  <c r="D49" i="117"/>
  <c r="E49" i="117"/>
  <c r="F49" i="117"/>
  <c r="G49" i="117"/>
  <c r="H49" i="117"/>
  <c r="L49" i="117"/>
  <c r="T49" i="33"/>
  <c r="D50" i="117"/>
  <c r="E50" i="117"/>
  <c r="F50" i="117"/>
  <c r="G50" i="117"/>
  <c r="H50" i="117"/>
  <c r="L50" i="117"/>
  <c r="T50" i="33"/>
  <c r="D51" i="117"/>
  <c r="E51" i="117"/>
  <c r="F51" i="117"/>
  <c r="G51" i="117"/>
  <c r="H51" i="117"/>
  <c r="L51" i="117"/>
  <c r="T51" i="33"/>
  <c r="D52" i="117"/>
  <c r="E52" i="117"/>
  <c r="F52" i="117"/>
  <c r="G52" i="117"/>
  <c r="H52" i="117"/>
  <c r="L52" i="117"/>
  <c r="T52" i="33"/>
  <c r="D53" i="117"/>
  <c r="E53" i="117"/>
  <c r="F53" i="117"/>
  <c r="G53" i="117"/>
  <c r="H53" i="117"/>
  <c r="L53" i="117"/>
  <c r="T53" i="33"/>
  <c r="D54" i="117"/>
  <c r="E54" i="117"/>
  <c r="F54" i="117"/>
  <c r="G54" i="117"/>
  <c r="H54" i="117"/>
  <c r="L54" i="117"/>
  <c r="T54" i="33"/>
  <c r="D55" i="117"/>
  <c r="E55" i="117"/>
  <c r="F55" i="117"/>
  <c r="G55" i="117"/>
  <c r="H55" i="117"/>
  <c r="L55" i="117"/>
  <c r="T55" i="33"/>
  <c r="D56" i="117"/>
  <c r="E56" i="117"/>
  <c r="F56" i="117"/>
  <c r="G56" i="117"/>
  <c r="H56" i="117"/>
  <c r="L56" i="117"/>
  <c r="T56" i="33"/>
  <c r="D57" i="117"/>
  <c r="E57" i="117"/>
  <c r="F57" i="117"/>
  <c r="G57" i="117"/>
  <c r="H57" i="117"/>
  <c r="L57" i="117"/>
  <c r="T57" i="33"/>
  <c r="D58" i="117"/>
  <c r="E58" i="117"/>
  <c r="F58" i="117"/>
  <c r="G58" i="117"/>
  <c r="H58" i="117"/>
  <c r="L58" i="117"/>
  <c r="T58" i="33"/>
  <c r="D59" i="117"/>
  <c r="E59" i="117"/>
  <c r="F59" i="117"/>
  <c r="G59" i="117"/>
  <c r="H59" i="117"/>
  <c r="L59" i="117"/>
  <c r="T59" i="33"/>
  <c r="D60" i="117"/>
  <c r="E60" i="117"/>
  <c r="F60" i="117"/>
  <c r="G60" i="117"/>
  <c r="H60" i="117"/>
  <c r="L60" i="117"/>
  <c r="T60" i="33"/>
  <c r="D61" i="117"/>
  <c r="E61" i="117"/>
  <c r="F61" i="117"/>
  <c r="G61" i="117"/>
  <c r="H61" i="117"/>
  <c r="L61" i="117"/>
  <c r="T61" i="33"/>
  <c r="D62" i="117"/>
  <c r="E62" i="117"/>
  <c r="F62" i="117"/>
  <c r="G62" i="117"/>
  <c r="H62" i="117"/>
  <c r="L62" i="117"/>
  <c r="T62" i="33"/>
  <c r="D63" i="117"/>
  <c r="E63" i="117"/>
  <c r="F63" i="117"/>
  <c r="G63" i="117"/>
  <c r="H63" i="117"/>
  <c r="L63" i="117"/>
  <c r="T63" i="33"/>
  <c r="D64" i="117"/>
  <c r="E64" i="117"/>
  <c r="F64" i="117"/>
  <c r="G64" i="117"/>
  <c r="H64" i="117"/>
  <c r="L64" i="117"/>
  <c r="T64" i="33"/>
  <c r="D65" i="117"/>
  <c r="E65" i="117"/>
  <c r="F65" i="117"/>
  <c r="G65" i="117"/>
  <c r="H65" i="117"/>
  <c r="L65" i="117"/>
  <c r="T65" i="33"/>
  <c r="D66" i="117"/>
  <c r="E66" i="117"/>
  <c r="F66" i="117"/>
  <c r="G66" i="117"/>
  <c r="H66" i="117"/>
  <c r="L66" i="117"/>
  <c r="T66" i="33"/>
  <c r="D67" i="117"/>
  <c r="E67" i="117"/>
  <c r="F67" i="117"/>
  <c r="G67" i="117"/>
  <c r="H67" i="117"/>
  <c r="L67" i="117"/>
  <c r="T67" i="33"/>
  <c r="D68" i="117"/>
  <c r="E68" i="117"/>
  <c r="F68" i="117"/>
  <c r="G68" i="117"/>
  <c r="H68" i="117"/>
  <c r="L68" i="117"/>
  <c r="T68" i="33"/>
  <c r="D69" i="117"/>
  <c r="E69" i="117"/>
  <c r="F69" i="117"/>
  <c r="G69" i="117"/>
  <c r="H69" i="117"/>
  <c r="L69" i="117"/>
  <c r="T69" i="33"/>
  <c r="D70" i="117"/>
  <c r="E70" i="117"/>
  <c r="F70" i="117"/>
  <c r="G70" i="117"/>
  <c r="H70" i="117"/>
  <c r="L70" i="117"/>
  <c r="T70" i="33"/>
  <c r="D71" i="117"/>
  <c r="E71" i="117"/>
  <c r="F71" i="117"/>
  <c r="G71" i="117"/>
  <c r="H71" i="117"/>
  <c r="L71" i="117"/>
  <c r="T71" i="33"/>
  <c r="D72" i="117"/>
  <c r="E72" i="117"/>
  <c r="F72" i="117"/>
  <c r="G72" i="117"/>
  <c r="H72" i="117"/>
  <c r="L72" i="117"/>
  <c r="T72" i="33"/>
  <c r="D73" i="117"/>
  <c r="E73" i="117"/>
  <c r="F73" i="117"/>
  <c r="G73" i="117"/>
  <c r="H73" i="117"/>
  <c r="L73" i="117"/>
  <c r="T73" i="33"/>
  <c r="D74" i="117"/>
  <c r="E74" i="117"/>
  <c r="F74" i="117"/>
  <c r="G74" i="117"/>
  <c r="H74" i="117"/>
  <c r="L74" i="117"/>
  <c r="T74" i="33"/>
  <c r="D75" i="117"/>
  <c r="E75" i="117"/>
  <c r="F75" i="117"/>
  <c r="G75" i="117"/>
  <c r="H75" i="117"/>
  <c r="L75" i="117"/>
  <c r="T75" i="33"/>
  <c r="T76" i="33"/>
  <c r="D7" i="118"/>
  <c r="E7" i="118"/>
  <c r="F7" i="118"/>
  <c r="G7" i="118"/>
  <c r="H7" i="118"/>
  <c r="U7" i="33"/>
  <c r="D8" i="118"/>
  <c r="E8" i="118"/>
  <c r="F8" i="118"/>
  <c r="G8" i="118"/>
  <c r="H8" i="118"/>
  <c r="L8" i="118"/>
  <c r="U8" i="33"/>
  <c r="D9" i="118"/>
  <c r="E9" i="118"/>
  <c r="F9" i="118"/>
  <c r="G9" i="118"/>
  <c r="H9" i="118"/>
  <c r="L9" i="118"/>
  <c r="U9" i="33"/>
  <c r="D10" i="118"/>
  <c r="E10" i="118"/>
  <c r="F10" i="118"/>
  <c r="G10" i="118"/>
  <c r="H10" i="118"/>
  <c r="L10" i="118"/>
  <c r="U10" i="33"/>
  <c r="D11" i="118"/>
  <c r="E11" i="118"/>
  <c r="F11" i="118"/>
  <c r="G11" i="118"/>
  <c r="H11" i="118"/>
  <c r="L11" i="118"/>
  <c r="U11" i="33"/>
  <c r="D12" i="118"/>
  <c r="E12" i="118"/>
  <c r="F12" i="118"/>
  <c r="G12" i="118"/>
  <c r="H12" i="118"/>
  <c r="L12" i="118"/>
  <c r="U12" i="33"/>
  <c r="D13" i="118"/>
  <c r="E13" i="118"/>
  <c r="F13" i="118"/>
  <c r="G13" i="118"/>
  <c r="H13" i="118"/>
  <c r="L13" i="118"/>
  <c r="U13" i="33"/>
  <c r="D14" i="118"/>
  <c r="E14" i="118"/>
  <c r="F14" i="118"/>
  <c r="G14" i="118"/>
  <c r="H14" i="118"/>
  <c r="L14" i="118"/>
  <c r="U14" i="33"/>
  <c r="D15" i="118"/>
  <c r="E15" i="118"/>
  <c r="F15" i="118"/>
  <c r="G15" i="118"/>
  <c r="H15" i="118"/>
  <c r="L15" i="118"/>
  <c r="U15" i="33"/>
  <c r="D16" i="118"/>
  <c r="E16" i="118"/>
  <c r="F16" i="118"/>
  <c r="G16" i="118"/>
  <c r="H16" i="118"/>
  <c r="L16" i="118"/>
  <c r="U16" i="33"/>
  <c r="D17" i="118"/>
  <c r="E17" i="118"/>
  <c r="F17" i="118"/>
  <c r="G17" i="118"/>
  <c r="H17" i="118"/>
  <c r="L17" i="118"/>
  <c r="U17" i="33"/>
  <c r="D18" i="118"/>
  <c r="E18" i="118"/>
  <c r="F18" i="118"/>
  <c r="G18" i="118"/>
  <c r="H18" i="118"/>
  <c r="L18" i="118"/>
  <c r="U18" i="33"/>
  <c r="D19" i="118"/>
  <c r="E19" i="118"/>
  <c r="F19" i="118"/>
  <c r="G19" i="118"/>
  <c r="H19" i="118"/>
  <c r="L19" i="118"/>
  <c r="U19" i="33"/>
  <c r="D20" i="118"/>
  <c r="E20" i="118"/>
  <c r="F20" i="118"/>
  <c r="G20" i="118"/>
  <c r="H20" i="118"/>
  <c r="L20" i="118"/>
  <c r="U20" i="33"/>
  <c r="D21" i="118"/>
  <c r="E21" i="118"/>
  <c r="F21" i="118"/>
  <c r="G21" i="118"/>
  <c r="H21" i="118"/>
  <c r="L21" i="118"/>
  <c r="U21" i="33"/>
  <c r="D22" i="118"/>
  <c r="E22" i="118"/>
  <c r="F22" i="118"/>
  <c r="G22" i="118"/>
  <c r="H22" i="118"/>
  <c r="L22" i="118"/>
  <c r="U22" i="33"/>
  <c r="D23" i="118"/>
  <c r="E23" i="118"/>
  <c r="F23" i="118"/>
  <c r="G23" i="118"/>
  <c r="H23" i="118"/>
  <c r="L23" i="118"/>
  <c r="U23" i="33"/>
  <c r="D24" i="118"/>
  <c r="E24" i="118"/>
  <c r="F24" i="118"/>
  <c r="G24" i="118"/>
  <c r="H24" i="118"/>
  <c r="L24" i="118"/>
  <c r="U24" i="33"/>
  <c r="D25" i="118"/>
  <c r="E25" i="118"/>
  <c r="F25" i="118"/>
  <c r="G25" i="118"/>
  <c r="H25" i="118"/>
  <c r="L25" i="118"/>
  <c r="U25" i="33"/>
  <c r="D26" i="118"/>
  <c r="E26" i="118"/>
  <c r="F26" i="118"/>
  <c r="G26" i="118"/>
  <c r="H26" i="118"/>
  <c r="L26" i="118"/>
  <c r="U26" i="33"/>
  <c r="D27" i="118"/>
  <c r="E27" i="118"/>
  <c r="F27" i="118"/>
  <c r="G27" i="118"/>
  <c r="H27" i="118"/>
  <c r="L27" i="118"/>
  <c r="U27" i="33"/>
  <c r="D28" i="118"/>
  <c r="E28" i="118"/>
  <c r="F28" i="118"/>
  <c r="G28" i="118"/>
  <c r="H28" i="118"/>
  <c r="L28" i="118"/>
  <c r="U28" i="33"/>
  <c r="D29" i="118"/>
  <c r="E29" i="118"/>
  <c r="F29" i="118"/>
  <c r="G29" i="118"/>
  <c r="H29" i="118"/>
  <c r="L29" i="118"/>
  <c r="U29" i="33"/>
  <c r="D30" i="118"/>
  <c r="E30" i="118"/>
  <c r="F30" i="118"/>
  <c r="G30" i="118"/>
  <c r="H30" i="118"/>
  <c r="L30" i="118"/>
  <c r="U30" i="33"/>
  <c r="D31" i="118"/>
  <c r="E31" i="118"/>
  <c r="F31" i="118"/>
  <c r="G31" i="118"/>
  <c r="H31" i="118"/>
  <c r="L31" i="118"/>
  <c r="U31" i="33"/>
  <c r="D32" i="118"/>
  <c r="E32" i="118"/>
  <c r="F32" i="118"/>
  <c r="G32" i="118"/>
  <c r="H32" i="118"/>
  <c r="L32" i="118"/>
  <c r="U32" i="33"/>
  <c r="D33" i="118"/>
  <c r="E33" i="118"/>
  <c r="F33" i="118"/>
  <c r="G33" i="118"/>
  <c r="H33" i="118"/>
  <c r="L33" i="118"/>
  <c r="U33" i="33"/>
  <c r="D34" i="118"/>
  <c r="E34" i="118"/>
  <c r="F34" i="118"/>
  <c r="G34" i="118"/>
  <c r="H34" i="118"/>
  <c r="L34" i="118"/>
  <c r="U34" i="33"/>
  <c r="D35" i="118"/>
  <c r="E35" i="118"/>
  <c r="F35" i="118"/>
  <c r="G35" i="118"/>
  <c r="H35" i="118"/>
  <c r="L35" i="118"/>
  <c r="U35" i="33"/>
  <c r="D36" i="118"/>
  <c r="E36" i="118"/>
  <c r="F36" i="118"/>
  <c r="G36" i="118"/>
  <c r="H36" i="118"/>
  <c r="L36" i="118"/>
  <c r="U36" i="33"/>
  <c r="D37" i="118"/>
  <c r="E37" i="118"/>
  <c r="F37" i="118"/>
  <c r="G37" i="118"/>
  <c r="H37" i="118"/>
  <c r="L37" i="118"/>
  <c r="U37" i="33"/>
  <c r="D38" i="118"/>
  <c r="E38" i="118"/>
  <c r="F38" i="118"/>
  <c r="G38" i="118"/>
  <c r="H38" i="118"/>
  <c r="L38" i="118"/>
  <c r="U38" i="33"/>
  <c r="D39" i="118"/>
  <c r="E39" i="118"/>
  <c r="F39" i="118"/>
  <c r="G39" i="118"/>
  <c r="H39" i="118"/>
  <c r="L39" i="118"/>
  <c r="U39" i="33"/>
  <c r="D40" i="118"/>
  <c r="E40" i="118"/>
  <c r="F40" i="118"/>
  <c r="G40" i="118"/>
  <c r="H40" i="118"/>
  <c r="L40" i="118"/>
  <c r="U40" i="33"/>
  <c r="D41" i="118"/>
  <c r="E41" i="118"/>
  <c r="F41" i="118"/>
  <c r="G41" i="118"/>
  <c r="H41" i="118"/>
  <c r="L41" i="118"/>
  <c r="U41" i="33"/>
  <c r="D42" i="118"/>
  <c r="E42" i="118"/>
  <c r="F42" i="118"/>
  <c r="G42" i="118"/>
  <c r="H42" i="118"/>
  <c r="L42" i="118"/>
  <c r="U42" i="33"/>
  <c r="D43" i="118"/>
  <c r="E43" i="118"/>
  <c r="F43" i="118"/>
  <c r="G43" i="118"/>
  <c r="H43" i="118"/>
  <c r="L43" i="118"/>
  <c r="U43" i="33"/>
  <c r="D44" i="118"/>
  <c r="E44" i="118"/>
  <c r="F44" i="118"/>
  <c r="G44" i="118"/>
  <c r="H44" i="118"/>
  <c r="L44" i="118"/>
  <c r="U44" i="33"/>
  <c r="D45" i="118"/>
  <c r="E45" i="118"/>
  <c r="F45" i="118"/>
  <c r="G45" i="118"/>
  <c r="H45" i="118"/>
  <c r="L45" i="118"/>
  <c r="U45" i="33"/>
  <c r="D46" i="118"/>
  <c r="E46" i="118"/>
  <c r="F46" i="118"/>
  <c r="G46" i="118"/>
  <c r="H46" i="118"/>
  <c r="L46" i="118"/>
  <c r="U46" i="33"/>
  <c r="D47" i="118"/>
  <c r="E47" i="118"/>
  <c r="F47" i="118"/>
  <c r="G47" i="118"/>
  <c r="H47" i="118"/>
  <c r="L47" i="118"/>
  <c r="U47" i="33"/>
  <c r="D48" i="118"/>
  <c r="E48" i="118"/>
  <c r="F48" i="118"/>
  <c r="G48" i="118"/>
  <c r="H48" i="118"/>
  <c r="L48" i="118"/>
  <c r="U48" i="33"/>
  <c r="D49" i="118"/>
  <c r="E49" i="118"/>
  <c r="F49" i="118"/>
  <c r="G49" i="118"/>
  <c r="H49" i="118"/>
  <c r="L49" i="118"/>
  <c r="U49" i="33"/>
  <c r="D50" i="118"/>
  <c r="E50" i="118"/>
  <c r="F50" i="118"/>
  <c r="G50" i="118"/>
  <c r="H50" i="118"/>
  <c r="L50" i="118"/>
  <c r="U50" i="33"/>
  <c r="D51" i="118"/>
  <c r="E51" i="118"/>
  <c r="F51" i="118"/>
  <c r="G51" i="118"/>
  <c r="H51" i="118"/>
  <c r="L51" i="118"/>
  <c r="U51" i="33"/>
  <c r="D52" i="118"/>
  <c r="E52" i="118"/>
  <c r="F52" i="118"/>
  <c r="G52" i="118"/>
  <c r="H52" i="118"/>
  <c r="L52" i="118"/>
  <c r="U52" i="33"/>
  <c r="D53" i="118"/>
  <c r="E53" i="118"/>
  <c r="F53" i="118"/>
  <c r="G53" i="118"/>
  <c r="H53" i="118"/>
  <c r="L53" i="118"/>
  <c r="U53" i="33"/>
  <c r="D54" i="118"/>
  <c r="E54" i="118"/>
  <c r="F54" i="118"/>
  <c r="G54" i="118"/>
  <c r="H54" i="118"/>
  <c r="L54" i="118"/>
  <c r="U54" i="33"/>
  <c r="D55" i="118"/>
  <c r="E55" i="118"/>
  <c r="F55" i="118"/>
  <c r="G55" i="118"/>
  <c r="H55" i="118"/>
  <c r="L55" i="118"/>
  <c r="U55" i="33"/>
  <c r="D56" i="118"/>
  <c r="E56" i="118"/>
  <c r="F56" i="118"/>
  <c r="G56" i="118"/>
  <c r="H56" i="118"/>
  <c r="L56" i="118"/>
  <c r="U56" i="33"/>
  <c r="D57" i="118"/>
  <c r="E57" i="118"/>
  <c r="F57" i="118"/>
  <c r="G57" i="118"/>
  <c r="H57" i="118"/>
  <c r="L57" i="118"/>
  <c r="U57" i="33"/>
  <c r="D58" i="118"/>
  <c r="E58" i="118"/>
  <c r="F58" i="118"/>
  <c r="G58" i="118"/>
  <c r="H58" i="118"/>
  <c r="L58" i="118"/>
  <c r="U58" i="33"/>
  <c r="D59" i="118"/>
  <c r="E59" i="118"/>
  <c r="F59" i="118"/>
  <c r="G59" i="118"/>
  <c r="H59" i="118"/>
  <c r="L59" i="118"/>
  <c r="U59" i="33"/>
  <c r="D60" i="118"/>
  <c r="E60" i="118"/>
  <c r="F60" i="118"/>
  <c r="G60" i="118"/>
  <c r="H60" i="118"/>
  <c r="L60" i="118"/>
  <c r="U60" i="33"/>
  <c r="D61" i="118"/>
  <c r="E61" i="118"/>
  <c r="F61" i="118"/>
  <c r="G61" i="118"/>
  <c r="H61" i="118"/>
  <c r="L61" i="118"/>
  <c r="U61" i="33"/>
  <c r="D62" i="118"/>
  <c r="E62" i="118"/>
  <c r="F62" i="118"/>
  <c r="G62" i="118"/>
  <c r="H62" i="118"/>
  <c r="L62" i="118"/>
  <c r="U62" i="33"/>
  <c r="D63" i="118"/>
  <c r="E63" i="118"/>
  <c r="F63" i="118"/>
  <c r="G63" i="118"/>
  <c r="H63" i="118"/>
  <c r="L63" i="118"/>
  <c r="U63" i="33"/>
  <c r="D64" i="118"/>
  <c r="E64" i="118"/>
  <c r="F64" i="118"/>
  <c r="G64" i="118"/>
  <c r="H64" i="118"/>
  <c r="L64" i="118"/>
  <c r="U64" i="33"/>
  <c r="D65" i="118"/>
  <c r="E65" i="118"/>
  <c r="F65" i="118"/>
  <c r="G65" i="118"/>
  <c r="H65" i="118"/>
  <c r="L65" i="118"/>
  <c r="U65" i="33"/>
  <c r="D66" i="118"/>
  <c r="E66" i="118"/>
  <c r="F66" i="118"/>
  <c r="G66" i="118"/>
  <c r="H66" i="118"/>
  <c r="L66" i="118"/>
  <c r="U66" i="33"/>
  <c r="D67" i="118"/>
  <c r="E67" i="118"/>
  <c r="F67" i="118"/>
  <c r="G67" i="118"/>
  <c r="H67" i="118"/>
  <c r="L67" i="118"/>
  <c r="U67" i="33"/>
  <c r="D68" i="118"/>
  <c r="E68" i="118"/>
  <c r="F68" i="118"/>
  <c r="G68" i="118"/>
  <c r="H68" i="118"/>
  <c r="L68" i="118"/>
  <c r="U68" i="33"/>
  <c r="D69" i="118"/>
  <c r="E69" i="118"/>
  <c r="F69" i="118"/>
  <c r="G69" i="118"/>
  <c r="H69" i="118"/>
  <c r="L69" i="118"/>
  <c r="U69" i="33"/>
  <c r="D70" i="118"/>
  <c r="E70" i="118"/>
  <c r="F70" i="118"/>
  <c r="G70" i="118"/>
  <c r="H70" i="118"/>
  <c r="L70" i="118"/>
  <c r="U70" i="33"/>
  <c r="D71" i="118"/>
  <c r="E71" i="118"/>
  <c r="F71" i="118"/>
  <c r="G71" i="118"/>
  <c r="H71" i="118"/>
  <c r="L71" i="118"/>
  <c r="U71" i="33"/>
  <c r="D72" i="118"/>
  <c r="E72" i="118"/>
  <c r="F72" i="118"/>
  <c r="G72" i="118"/>
  <c r="H72" i="118"/>
  <c r="L72" i="118"/>
  <c r="U72" i="33"/>
  <c r="D73" i="118"/>
  <c r="E73" i="118"/>
  <c r="F73" i="118"/>
  <c r="G73" i="118"/>
  <c r="H73" i="118"/>
  <c r="L73" i="118"/>
  <c r="U73" i="33"/>
  <c r="D74" i="118"/>
  <c r="E74" i="118"/>
  <c r="F74" i="118"/>
  <c r="G74" i="118"/>
  <c r="H74" i="118"/>
  <c r="L74" i="118"/>
  <c r="U74" i="33"/>
  <c r="D75" i="118"/>
  <c r="E75" i="118"/>
  <c r="F75" i="118"/>
  <c r="G75" i="118"/>
  <c r="H75" i="118"/>
  <c r="L75" i="118"/>
  <c r="U75" i="33"/>
  <c r="U76" i="33"/>
  <c r="E7" i="76"/>
  <c r="G7" i="76"/>
  <c r="H7" i="76"/>
  <c r="M7" i="76"/>
  <c r="AD7" i="33"/>
  <c r="E8" i="76"/>
  <c r="G8" i="76"/>
  <c r="H8" i="76"/>
  <c r="M8" i="76"/>
  <c r="AD8" i="33"/>
  <c r="E9" i="76"/>
  <c r="G9" i="76"/>
  <c r="H9" i="76"/>
  <c r="M9" i="76"/>
  <c r="AD9" i="33"/>
  <c r="E10" i="76"/>
  <c r="G10" i="76"/>
  <c r="H10" i="76"/>
  <c r="M10" i="76"/>
  <c r="AD10" i="33"/>
  <c r="E11" i="76"/>
  <c r="G11" i="76"/>
  <c r="H11" i="76"/>
  <c r="M11" i="76"/>
  <c r="AD11" i="33"/>
  <c r="E12" i="76"/>
  <c r="G12" i="76"/>
  <c r="H12" i="76"/>
  <c r="M12" i="76"/>
  <c r="AD12" i="33"/>
  <c r="E13" i="76"/>
  <c r="G13" i="76"/>
  <c r="H13" i="76"/>
  <c r="M13" i="76"/>
  <c r="AD13" i="33"/>
  <c r="E14" i="76"/>
  <c r="G14" i="76"/>
  <c r="H14" i="76"/>
  <c r="M14" i="76"/>
  <c r="AD14" i="33"/>
  <c r="E15" i="76"/>
  <c r="G15" i="76"/>
  <c r="H15" i="76"/>
  <c r="M15" i="76"/>
  <c r="AD15" i="33"/>
  <c r="E16" i="76"/>
  <c r="G16" i="76"/>
  <c r="H16" i="76"/>
  <c r="M16" i="76"/>
  <c r="AD16" i="33"/>
  <c r="E17" i="76"/>
  <c r="G17" i="76"/>
  <c r="H17" i="76"/>
  <c r="M17" i="76"/>
  <c r="AD17" i="33"/>
  <c r="E18" i="76"/>
  <c r="G18" i="76"/>
  <c r="H18" i="76"/>
  <c r="M18" i="76"/>
  <c r="AD18" i="33"/>
  <c r="E19" i="76"/>
  <c r="G19" i="76"/>
  <c r="H19" i="76"/>
  <c r="M19" i="76"/>
  <c r="AD19" i="33"/>
  <c r="E20" i="76"/>
  <c r="G20" i="76"/>
  <c r="H20" i="76"/>
  <c r="M20" i="76"/>
  <c r="AD20" i="33"/>
  <c r="E21" i="76"/>
  <c r="G21" i="76"/>
  <c r="H21" i="76"/>
  <c r="M21" i="76"/>
  <c r="AD21" i="33"/>
  <c r="E22" i="76"/>
  <c r="G22" i="76"/>
  <c r="H22" i="76"/>
  <c r="M22" i="76"/>
  <c r="AD22" i="33"/>
  <c r="E23" i="76"/>
  <c r="G23" i="76"/>
  <c r="H23" i="76"/>
  <c r="M23" i="76"/>
  <c r="AD23" i="33"/>
  <c r="E24" i="76"/>
  <c r="G24" i="76"/>
  <c r="H24" i="76"/>
  <c r="M24" i="76"/>
  <c r="AD24" i="33"/>
  <c r="E25" i="76"/>
  <c r="G25" i="76"/>
  <c r="H25" i="76"/>
  <c r="M25" i="76"/>
  <c r="AD25" i="33"/>
  <c r="E26" i="76"/>
  <c r="G26" i="76"/>
  <c r="H26" i="76"/>
  <c r="M26" i="76"/>
  <c r="AD26" i="33"/>
  <c r="E27" i="76"/>
  <c r="G27" i="76"/>
  <c r="H27" i="76"/>
  <c r="M27" i="76"/>
  <c r="AD27" i="33"/>
  <c r="E28" i="76"/>
  <c r="G28" i="76"/>
  <c r="H28" i="76"/>
  <c r="M28" i="76"/>
  <c r="AD28" i="33"/>
  <c r="E29" i="76"/>
  <c r="G29" i="76"/>
  <c r="H29" i="76"/>
  <c r="M29" i="76"/>
  <c r="AD29" i="33"/>
  <c r="E30" i="76"/>
  <c r="G30" i="76"/>
  <c r="H30" i="76"/>
  <c r="M30" i="76"/>
  <c r="AD30" i="33"/>
  <c r="E31" i="76"/>
  <c r="G31" i="76"/>
  <c r="H31" i="76"/>
  <c r="M31" i="76"/>
  <c r="AD31" i="33"/>
  <c r="E32" i="76"/>
  <c r="G32" i="76"/>
  <c r="H32" i="76"/>
  <c r="M32" i="76"/>
  <c r="AD32" i="33"/>
  <c r="E33" i="76"/>
  <c r="G33" i="76"/>
  <c r="H33" i="76"/>
  <c r="M33" i="76"/>
  <c r="AD33" i="33"/>
  <c r="E34" i="76"/>
  <c r="G34" i="76"/>
  <c r="H34" i="76"/>
  <c r="M34" i="76"/>
  <c r="AD34" i="33"/>
  <c r="E35" i="76"/>
  <c r="G35" i="76"/>
  <c r="H35" i="76"/>
  <c r="M35" i="76"/>
  <c r="AD35" i="33"/>
  <c r="E36" i="76"/>
  <c r="G36" i="76"/>
  <c r="H36" i="76"/>
  <c r="M36" i="76"/>
  <c r="AD36" i="33"/>
  <c r="E37" i="76"/>
  <c r="G37" i="76"/>
  <c r="H37" i="76"/>
  <c r="M37" i="76"/>
  <c r="AD37" i="33"/>
  <c r="E38" i="76"/>
  <c r="G38" i="76"/>
  <c r="H38" i="76"/>
  <c r="M38" i="76"/>
  <c r="AD38" i="33"/>
  <c r="E39" i="76"/>
  <c r="G39" i="76"/>
  <c r="H39" i="76"/>
  <c r="M39" i="76"/>
  <c r="AD39" i="33"/>
  <c r="E40" i="76"/>
  <c r="G40" i="76"/>
  <c r="H40" i="76"/>
  <c r="M40" i="76"/>
  <c r="AD40" i="33"/>
  <c r="E41" i="76"/>
  <c r="G41" i="76"/>
  <c r="H41" i="76"/>
  <c r="M41" i="76"/>
  <c r="AD41" i="33"/>
  <c r="E42" i="76"/>
  <c r="G42" i="76"/>
  <c r="H42" i="76"/>
  <c r="M42" i="76"/>
  <c r="AD42" i="33"/>
  <c r="E43" i="76"/>
  <c r="G43" i="76"/>
  <c r="H43" i="76"/>
  <c r="M43" i="76"/>
  <c r="AD43" i="33"/>
  <c r="E44" i="76"/>
  <c r="G44" i="76"/>
  <c r="H44" i="76"/>
  <c r="M44" i="76"/>
  <c r="AD44" i="33"/>
  <c r="E45" i="76"/>
  <c r="G45" i="76"/>
  <c r="H45" i="76"/>
  <c r="M45" i="76"/>
  <c r="AD45" i="33"/>
  <c r="E46" i="76"/>
  <c r="G46" i="76"/>
  <c r="H46" i="76"/>
  <c r="M46" i="76"/>
  <c r="AD46" i="33"/>
  <c r="E47" i="76"/>
  <c r="G47" i="76"/>
  <c r="H47" i="76"/>
  <c r="M47" i="76"/>
  <c r="AD47" i="33"/>
  <c r="E48" i="76"/>
  <c r="G48" i="76"/>
  <c r="H48" i="76"/>
  <c r="M48" i="76"/>
  <c r="AD48" i="33"/>
  <c r="E49" i="76"/>
  <c r="G49" i="76"/>
  <c r="H49" i="76"/>
  <c r="M49" i="76"/>
  <c r="AD49" i="33"/>
  <c r="E50" i="76"/>
  <c r="G50" i="76"/>
  <c r="H50" i="76"/>
  <c r="M50" i="76"/>
  <c r="AD50" i="33"/>
  <c r="E51" i="76"/>
  <c r="G51" i="76"/>
  <c r="H51" i="76"/>
  <c r="M51" i="76"/>
  <c r="AD51" i="33"/>
  <c r="E52" i="76"/>
  <c r="G52" i="76"/>
  <c r="H52" i="76"/>
  <c r="M52" i="76"/>
  <c r="AD52" i="33"/>
  <c r="E53" i="76"/>
  <c r="G53" i="76"/>
  <c r="H53" i="76"/>
  <c r="M53" i="76"/>
  <c r="AD53" i="33"/>
  <c r="E54" i="76"/>
  <c r="G54" i="76"/>
  <c r="H54" i="76"/>
  <c r="M54" i="76"/>
  <c r="AD54" i="33"/>
  <c r="E55" i="76"/>
  <c r="G55" i="76"/>
  <c r="H55" i="76"/>
  <c r="M55" i="76"/>
  <c r="AD55" i="33"/>
  <c r="E56" i="76"/>
  <c r="G56" i="76"/>
  <c r="H56" i="76"/>
  <c r="M56" i="76"/>
  <c r="AD56" i="33"/>
  <c r="E57" i="76"/>
  <c r="G57" i="76"/>
  <c r="H57" i="76"/>
  <c r="M57" i="76"/>
  <c r="AD57" i="33"/>
  <c r="E58" i="76"/>
  <c r="G58" i="76"/>
  <c r="H58" i="76"/>
  <c r="M58" i="76"/>
  <c r="AD58" i="33"/>
  <c r="E59" i="76"/>
  <c r="G59" i="76"/>
  <c r="H59" i="76"/>
  <c r="M59" i="76"/>
  <c r="AD59" i="33"/>
  <c r="E60" i="76"/>
  <c r="G60" i="76"/>
  <c r="H60" i="76"/>
  <c r="M60" i="76"/>
  <c r="AD60" i="33"/>
  <c r="E61" i="76"/>
  <c r="G61" i="76"/>
  <c r="H61" i="76"/>
  <c r="M61" i="76"/>
  <c r="AD61" i="33"/>
  <c r="E62" i="76"/>
  <c r="G62" i="76"/>
  <c r="H62" i="76"/>
  <c r="M62" i="76"/>
  <c r="AD62" i="33"/>
  <c r="E63" i="76"/>
  <c r="G63" i="76"/>
  <c r="H63" i="76"/>
  <c r="M63" i="76"/>
  <c r="AD63" i="33"/>
  <c r="E64" i="76"/>
  <c r="G64" i="76"/>
  <c r="H64" i="76"/>
  <c r="M64" i="76"/>
  <c r="AD64" i="33"/>
  <c r="E65" i="76"/>
  <c r="G65" i="76"/>
  <c r="H65" i="76"/>
  <c r="M65" i="76"/>
  <c r="AD65" i="33"/>
  <c r="E66" i="76"/>
  <c r="G66" i="76"/>
  <c r="H66" i="76"/>
  <c r="M66" i="76"/>
  <c r="AD66" i="33"/>
  <c r="E67" i="76"/>
  <c r="G67" i="76"/>
  <c r="H67" i="76"/>
  <c r="M67" i="76"/>
  <c r="AD67" i="33"/>
  <c r="E68" i="76"/>
  <c r="G68" i="76"/>
  <c r="H68" i="76"/>
  <c r="M68" i="76"/>
  <c r="AD68" i="33"/>
  <c r="E69" i="76"/>
  <c r="G69" i="76"/>
  <c r="H69" i="76"/>
  <c r="M69" i="76"/>
  <c r="AD69" i="33"/>
  <c r="E70" i="76"/>
  <c r="G70" i="76"/>
  <c r="H70" i="76"/>
  <c r="M70" i="76"/>
  <c r="AD70" i="33"/>
  <c r="E71" i="76"/>
  <c r="G71" i="76"/>
  <c r="H71" i="76"/>
  <c r="M71" i="76"/>
  <c r="AD71" i="33"/>
  <c r="E72" i="76"/>
  <c r="G72" i="76"/>
  <c r="H72" i="76"/>
  <c r="M72" i="76"/>
  <c r="AD72" i="33"/>
  <c r="E73" i="76"/>
  <c r="G73" i="76"/>
  <c r="H73" i="76"/>
  <c r="M73" i="76"/>
  <c r="AD73" i="33"/>
  <c r="E74" i="76"/>
  <c r="G74" i="76"/>
  <c r="H74" i="76"/>
  <c r="M74" i="76"/>
  <c r="AD74" i="33"/>
  <c r="E75" i="76"/>
  <c r="G75" i="76"/>
  <c r="H75" i="76"/>
  <c r="M75" i="76"/>
  <c r="AD75" i="33"/>
  <c r="AD76" i="33"/>
  <c r="E7" i="80"/>
  <c r="G7" i="80"/>
  <c r="H7" i="80"/>
  <c r="M7" i="80"/>
  <c r="AE7" i="33"/>
  <c r="E8" i="80"/>
  <c r="G8" i="80"/>
  <c r="H8" i="80"/>
  <c r="M8" i="80"/>
  <c r="AE8" i="33"/>
  <c r="E9" i="80"/>
  <c r="G9" i="80"/>
  <c r="H9" i="80"/>
  <c r="M9" i="80"/>
  <c r="AE9" i="33"/>
  <c r="E10" i="80"/>
  <c r="G10" i="80"/>
  <c r="H10" i="80"/>
  <c r="M10" i="80"/>
  <c r="AE10" i="33"/>
  <c r="E11" i="80"/>
  <c r="G11" i="80"/>
  <c r="H11" i="80"/>
  <c r="M11" i="80"/>
  <c r="AE11" i="33"/>
  <c r="E12" i="80"/>
  <c r="G12" i="80"/>
  <c r="H12" i="80"/>
  <c r="M12" i="80"/>
  <c r="AE12" i="33"/>
  <c r="E13" i="80"/>
  <c r="G13" i="80"/>
  <c r="H13" i="80"/>
  <c r="M13" i="80"/>
  <c r="AE13" i="33"/>
  <c r="E14" i="80"/>
  <c r="G14" i="80"/>
  <c r="H14" i="80"/>
  <c r="M14" i="80"/>
  <c r="AE14" i="33"/>
  <c r="E15" i="80"/>
  <c r="G15" i="80"/>
  <c r="H15" i="80"/>
  <c r="M15" i="80"/>
  <c r="AE15" i="33"/>
  <c r="E16" i="80"/>
  <c r="G16" i="80"/>
  <c r="H16" i="80"/>
  <c r="M16" i="80"/>
  <c r="AE16" i="33"/>
  <c r="E17" i="80"/>
  <c r="G17" i="80"/>
  <c r="H17" i="80"/>
  <c r="M17" i="80"/>
  <c r="AE17" i="33"/>
  <c r="E18" i="80"/>
  <c r="G18" i="80"/>
  <c r="H18" i="80"/>
  <c r="M18" i="80"/>
  <c r="AE18" i="33"/>
  <c r="E19" i="80"/>
  <c r="G19" i="80"/>
  <c r="H19" i="80"/>
  <c r="M19" i="80"/>
  <c r="AE19" i="33"/>
  <c r="E20" i="80"/>
  <c r="G20" i="80"/>
  <c r="H20" i="80"/>
  <c r="M20" i="80"/>
  <c r="AE20" i="33"/>
  <c r="E21" i="80"/>
  <c r="G21" i="80"/>
  <c r="H21" i="80"/>
  <c r="M21" i="80"/>
  <c r="AE21" i="33"/>
  <c r="E22" i="80"/>
  <c r="G22" i="80"/>
  <c r="H22" i="80"/>
  <c r="M22" i="80"/>
  <c r="AE22" i="33"/>
  <c r="E23" i="80"/>
  <c r="G23" i="80"/>
  <c r="H23" i="80"/>
  <c r="M23" i="80"/>
  <c r="AE23" i="33"/>
  <c r="E24" i="80"/>
  <c r="G24" i="80"/>
  <c r="H24" i="80"/>
  <c r="M24" i="80"/>
  <c r="AE24" i="33"/>
  <c r="E25" i="80"/>
  <c r="G25" i="80"/>
  <c r="H25" i="80"/>
  <c r="M25" i="80"/>
  <c r="AE25" i="33"/>
  <c r="E26" i="80"/>
  <c r="G26" i="80"/>
  <c r="H26" i="80"/>
  <c r="M26" i="80"/>
  <c r="AE26" i="33"/>
  <c r="E27" i="80"/>
  <c r="G27" i="80"/>
  <c r="H27" i="80"/>
  <c r="M27" i="80"/>
  <c r="AE27" i="33"/>
  <c r="E28" i="80"/>
  <c r="G28" i="80"/>
  <c r="H28" i="80"/>
  <c r="M28" i="80"/>
  <c r="AE28" i="33"/>
  <c r="E29" i="80"/>
  <c r="G29" i="80"/>
  <c r="H29" i="80"/>
  <c r="M29" i="80"/>
  <c r="AE29" i="33"/>
  <c r="E30" i="80"/>
  <c r="G30" i="80"/>
  <c r="H30" i="80"/>
  <c r="M30" i="80"/>
  <c r="AE30" i="33"/>
  <c r="E31" i="80"/>
  <c r="G31" i="80"/>
  <c r="H31" i="80"/>
  <c r="M31" i="80"/>
  <c r="AE31" i="33"/>
  <c r="E32" i="80"/>
  <c r="G32" i="80"/>
  <c r="H32" i="80"/>
  <c r="M32" i="80"/>
  <c r="AE32" i="33"/>
  <c r="E33" i="80"/>
  <c r="G33" i="80"/>
  <c r="H33" i="80"/>
  <c r="M33" i="80"/>
  <c r="AE33" i="33"/>
  <c r="E34" i="80"/>
  <c r="G34" i="80"/>
  <c r="H34" i="80"/>
  <c r="M34" i="80"/>
  <c r="AE34" i="33"/>
  <c r="E35" i="80"/>
  <c r="G35" i="80"/>
  <c r="H35" i="80"/>
  <c r="M35" i="80"/>
  <c r="AE35" i="33"/>
  <c r="E36" i="80"/>
  <c r="G36" i="80"/>
  <c r="H36" i="80"/>
  <c r="M36" i="80"/>
  <c r="AE36" i="33"/>
  <c r="E37" i="80"/>
  <c r="G37" i="80"/>
  <c r="H37" i="80"/>
  <c r="M37" i="80"/>
  <c r="AE37" i="33"/>
  <c r="E38" i="80"/>
  <c r="G38" i="80"/>
  <c r="H38" i="80"/>
  <c r="M38" i="80"/>
  <c r="AE38" i="33"/>
  <c r="E39" i="80"/>
  <c r="G39" i="80"/>
  <c r="H39" i="80"/>
  <c r="M39" i="80"/>
  <c r="AE39" i="33"/>
  <c r="E40" i="80"/>
  <c r="G40" i="80"/>
  <c r="H40" i="80"/>
  <c r="M40" i="80"/>
  <c r="AE40" i="33"/>
  <c r="E41" i="80"/>
  <c r="G41" i="80"/>
  <c r="H41" i="80"/>
  <c r="M41" i="80"/>
  <c r="AE41" i="33"/>
  <c r="E42" i="80"/>
  <c r="G42" i="80"/>
  <c r="H42" i="80"/>
  <c r="M42" i="80"/>
  <c r="AE42" i="33"/>
  <c r="E43" i="80"/>
  <c r="G43" i="80"/>
  <c r="H43" i="80"/>
  <c r="M43" i="80"/>
  <c r="AE43" i="33"/>
  <c r="E44" i="80"/>
  <c r="G44" i="80"/>
  <c r="H44" i="80"/>
  <c r="M44" i="80"/>
  <c r="AE44" i="33"/>
  <c r="E45" i="80"/>
  <c r="G45" i="80"/>
  <c r="H45" i="80"/>
  <c r="M45" i="80"/>
  <c r="AE45" i="33"/>
  <c r="E46" i="80"/>
  <c r="G46" i="80"/>
  <c r="H46" i="80"/>
  <c r="M46" i="80"/>
  <c r="AE46" i="33"/>
  <c r="E47" i="80"/>
  <c r="G47" i="80"/>
  <c r="H47" i="80"/>
  <c r="M47" i="80"/>
  <c r="AE47" i="33"/>
  <c r="E48" i="80"/>
  <c r="G48" i="80"/>
  <c r="H48" i="80"/>
  <c r="M48" i="80"/>
  <c r="AE48" i="33"/>
  <c r="E49" i="80"/>
  <c r="G49" i="80"/>
  <c r="H49" i="80"/>
  <c r="M49" i="80"/>
  <c r="AE49" i="33"/>
  <c r="E50" i="80"/>
  <c r="G50" i="80"/>
  <c r="H50" i="80"/>
  <c r="M50" i="80"/>
  <c r="AE50" i="33"/>
  <c r="E51" i="80"/>
  <c r="G51" i="80"/>
  <c r="H51" i="80"/>
  <c r="M51" i="80"/>
  <c r="AE51" i="33"/>
  <c r="E52" i="80"/>
  <c r="G52" i="80"/>
  <c r="H52" i="80"/>
  <c r="M52" i="80"/>
  <c r="AE52" i="33"/>
  <c r="E53" i="80"/>
  <c r="G53" i="80"/>
  <c r="H53" i="80"/>
  <c r="M53" i="80"/>
  <c r="AE53" i="33"/>
  <c r="E54" i="80"/>
  <c r="G54" i="80"/>
  <c r="H54" i="80"/>
  <c r="M54" i="80"/>
  <c r="AE54" i="33"/>
  <c r="E55" i="80"/>
  <c r="G55" i="80"/>
  <c r="H55" i="80"/>
  <c r="M55" i="80"/>
  <c r="AE55" i="33"/>
  <c r="E56" i="80"/>
  <c r="G56" i="80"/>
  <c r="H56" i="80"/>
  <c r="M56" i="80"/>
  <c r="AE56" i="33"/>
  <c r="E57" i="80"/>
  <c r="G57" i="80"/>
  <c r="H57" i="80"/>
  <c r="M57" i="80"/>
  <c r="AE57" i="33"/>
  <c r="E58" i="80"/>
  <c r="G58" i="80"/>
  <c r="H58" i="80"/>
  <c r="M58" i="80"/>
  <c r="AE58" i="33"/>
  <c r="E59" i="80"/>
  <c r="G59" i="80"/>
  <c r="H59" i="80"/>
  <c r="M59" i="80"/>
  <c r="AE59" i="33"/>
  <c r="E60" i="80"/>
  <c r="G60" i="80"/>
  <c r="H60" i="80"/>
  <c r="M60" i="80"/>
  <c r="AE60" i="33"/>
  <c r="E61" i="80"/>
  <c r="G61" i="80"/>
  <c r="H61" i="80"/>
  <c r="M61" i="80"/>
  <c r="AE61" i="33"/>
  <c r="E62" i="80"/>
  <c r="G62" i="80"/>
  <c r="H62" i="80"/>
  <c r="M62" i="80"/>
  <c r="AE62" i="33"/>
  <c r="E63" i="80"/>
  <c r="G63" i="80"/>
  <c r="H63" i="80"/>
  <c r="M63" i="80"/>
  <c r="AE63" i="33"/>
  <c r="E64" i="80"/>
  <c r="G64" i="80"/>
  <c r="H64" i="80"/>
  <c r="M64" i="80"/>
  <c r="AE64" i="33"/>
  <c r="E65" i="80"/>
  <c r="G65" i="80"/>
  <c r="H65" i="80"/>
  <c r="M65" i="80"/>
  <c r="AE65" i="33"/>
  <c r="E66" i="80"/>
  <c r="G66" i="80"/>
  <c r="H66" i="80"/>
  <c r="M66" i="80"/>
  <c r="AE66" i="33"/>
  <c r="E67" i="80"/>
  <c r="G67" i="80"/>
  <c r="H67" i="80"/>
  <c r="M67" i="80"/>
  <c r="AE67" i="33"/>
  <c r="E68" i="80"/>
  <c r="G68" i="80"/>
  <c r="H68" i="80"/>
  <c r="M68" i="80"/>
  <c r="AE68" i="33"/>
  <c r="E69" i="80"/>
  <c r="G69" i="80"/>
  <c r="H69" i="80"/>
  <c r="M69" i="80"/>
  <c r="AE69" i="33"/>
  <c r="E70" i="80"/>
  <c r="G70" i="80"/>
  <c r="H70" i="80"/>
  <c r="M70" i="80"/>
  <c r="AE70" i="33"/>
  <c r="E71" i="80"/>
  <c r="G71" i="80"/>
  <c r="H71" i="80"/>
  <c r="M71" i="80"/>
  <c r="AE71" i="33"/>
  <c r="E72" i="80"/>
  <c r="G72" i="80"/>
  <c r="H72" i="80"/>
  <c r="M72" i="80"/>
  <c r="AE72" i="33"/>
  <c r="E73" i="80"/>
  <c r="G73" i="80"/>
  <c r="H73" i="80"/>
  <c r="M73" i="80"/>
  <c r="AE73" i="33"/>
  <c r="E74" i="80"/>
  <c r="G74" i="80"/>
  <c r="H74" i="80"/>
  <c r="M74" i="80"/>
  <c r="AE74" i="33"/>
  <c r="E75" i="80"/>
  <c r="G75" i="80"/>
  <c r="H75" i="80"/>
  <c r="M75" i="80"/>
  <c r="AE75" i="33"/>
  <c r="AE76" i="33"/>
  <c r="C7" i="33"/>
  <c r="K7" i="33"/>
  <c r="L7" i="33"/>
  <c r="M7" i="33"/>
  <c r="N7" i="33"/>
  <c r="D7" i="119"/>
  <c r="E7" i="119"/>
  <c r="F7" i="119"/>
  <c r="G7" i="119"/>
  <c r="H7" i="119"/>
  <c r="V7" i="33"/>
  <c r="D7" i="120"/>
  <c r="E7" i="120"/>
  <c r="F7" i="120"/>
  <c r="G7" i="120"/>
  <c r="H7" i="120"/>
  <c r="W7" i="33"/>
  <c r="D7" i="125"/>
  <c r="E7" i="125"/>
  <c r="F7" i="125"/>
  <c r="G7" i="125"/>
  <c r="H7" i="125"/>
  <c r="X7" i="33"/>
  <c r="D7" i="126"/>
  <c r="E7" i="126"/>
  <c r="F7" i="126"/>
  <c r="G7" i="126"/>
  <c r="H7" i="126"/>
  <c r="Y7" i="33"/>
  <c r="D7" i="127"/>
  <c r="E7" i="127"/>
  <c r="F7" i="127"/>
  <c r="G7" i="127"/>
  <c r="H7" i="127"/>
  <c r="Z7" i="33"/>
  <c r="D7" i="128"/>
  <c r="E7" i="128"/>
  <c r="F7" i="128"/>
  <c r="G7" i="128"/>
  <c r="H7" i="128"/>
  <c r="AA7" i="33"/>
  <c r="D7" i="129"/>
  <c r="E7" i="129"/>
  <c r="F7" i="129"/>
  <c r="G7" i="129"/>
  <c r="H7" i="129"/>
  <c r="AB7" i="33"/>
  <c r="D7" i="131"/>
  <c r="E7" i="131"/>
  <c r="F7" i="131"/>
  <c r="G7" i="131"/>
  <c r="H7" i="131"/>
  <c r="AC7" i="33"/>
  <c r="AF7" i="33"/>
  <c r="AG7" i="33"/>
  <c r="AH7" i="33"/>
  <c r="AI7" i="33"/>
  <c r="C8" i="33"/>
  <c r="K8" i="33"/>
  <c r="L8" i="33"/>
  <c r="M8" i="33"/>
  <c r="N8" i="33"/>
  <c r="D8" i="119"/>
  <c r="E8" i="119"/>
  <c r="F8" i="119"/>
  <c r="G8" i="119"/>
  <c r="H8" i="119"/>
  <c r="L8" i="119"/>
  <c r="V8" i="33"/>
  <c r="D8" i="120"/>
  <c r="E8" i="120"/>
  <c r="F8" i="120"/>
  <c r="G8" i="120"/>
  <c r="H8" i="120"/>
  <c r="L8" i="120"/>
  <c r="W8" i="33"/>
  <c r="D8" i="125"/>
  <c r="E8" i="125"/>
  <c r="F8" i="125"/>
  <c r="G8" i="125"/>
  <c r="H8" i="125"/>
  <c r="L8" i="125"/>
  <c r="X8" i="33"/>
  <c r="D8" i="126"/>
  <c r="E8" i="126"/>
  <c r="F8" i="126"/>
  <c r="G8" i="126"/>
  <c r="H8" i="126"/>
  <c r="L8" i="126"/>
  <c r="Y8" i="33"/>
  <c r="D8" i="127"/>
  <c r="E8" i="127"/>
  <c r="F8" i="127"/>
  <c r="G8" i="127"/>
  <c r="H8" i="127"/>
  <c r="L8" i="127"/>
  <c r="Z8" i="33"/>
  <c r="D8" i="128"/>
  <c r="E8" i="128"/>
  <c r="F8" i="128"/>
  <c r="G8" i="128"/>
  <c r="H8" i="128"/>
  <c r="L8" i="128"/>
  <c r="AA8" i="33"/>
  <c r="D8" i="129"/>
  <c r="E8" i="129"/>
  <c r="F8" i="129"/>
  <c r="G8" i="129"/>
  <c r="H8" i="129"/>
  <c r="L8" i="129"/>
  <c r="AB8" i="33"/>
  <c r="D8" i="131"/>
  <c r="E8" i="131"/>
  <c r="F8" i="131"/>
  <c r="G8" i="131"/>
  <c r="H8" i="131"/>
  <c r="L8" i="131"/>
  <c r="AC8" i="33"/>
  <c r="AF8" i="33"/>
  <c r="AG8" i="33"/>
  <c r="AH8" i="33"/>
  <c r="AI8" i="33"/>
  <c r="C9" i="33"/>
  <c r="K9" i="33"/>
  <c r="L9" i="33"/>
  <c r="M9" i="33"/>
  <c r="N9" i="33"/>
  <c r="D9" i="119"/>
  <c r="E9" i="119"/>
  <c r="F9" i="119"/>
  <c r="G9" i="119"/>
  <c r="H9" i="119"/>
  <c r="L9" i="119"/>
  <c r="V9" i="33"/>
  <c r="D9" i="120"/>
  <c r="E9" i="120"/>
  <c r="F9" i="120"/>
  <c r="G9" i="120"/>
  <c r="H9" i="120"/>
  <c r="L9" i="120"/>
  <c r="W9" i="33"/>
  <c r="D9" i="125"/>
  <c r="E9" i="125"/>
  <c r="F9" i="125"/>
  <c r="G9" i="125"/>
  <c r="H9" i="125"/>
  <c r="L9" i="125"/>
  <c r="X9" i="33"/>
  <c r="D9" i="126"/>
  <c r="E9" i="126"/>
  <c r="F9" i="126"/>
  <c r="G9" i="126"/>
  <c r="H9" i="126"/>
  <c r="L9" i="126"/>
  <c r="Y9" i="33"/>
  <c r="D9" i="127"/>
  <c r="E9" i="127"/>
  <c r="F9" i="127"/>
  <c r="G9" i="127"/>
  <c r="H9" i="127"/>
  <c r="L9" i="127"/>
  <c r="Z9" i="33"/>
  <c r="D9" i="128"/>
  <c r="E9" i="128"/>
  <c r="F9" i="128"/>
  <c r="G9" i="128"/>
  <c r="H9" i="128"/>
  <c r="L9" i="128"/>
  <c r="AA9" i="33"/>
  <c r="D9" i="129"/>
  <c r="E9" i="129"/>
  <c r="F9" i="129"/>
  <c r="G9" i="129"/>
  <c r="H9" i="129"/>
  <c r="L9" i="129"/>
  <c r="AB9" i="33"/>
  <c r="D9" i="131"/>
  <c r="E9" i="131"/>
  <c r="F9" i="131"/>
  <c r="G9" i="131"/>
  <c r="H9" i="131"/>
  <c r="L9" i="131"/>
  <c r="AC9" i="33"/>
  <c r="AF9" i="33"/>
  <c r="AG9" i="33"/>
  <c r="AH9" i="33"/>
  <c r="AI9" i="33"/>
  <c r="C10" i="33"/>
  <c r="K10" i="33"/>
  <c r="L10" i="33"/>
  <c r="M10" i="33"/>
  <c r="N10" i="33"/>
  <c r="D10" i="119"/>
  <c r="E10" i="119"/>
  <c r="F10" i="119"/>
  <c r="G10" i="119"/>
  <c r="H10" i="119"/>
  <c r="L10" i="119"/>
  <c r="V10" i="33"/>
  <c r="D10" i="120"/>
  <c r="E10" i="120"/>
  <c r="F10" i="120"/>
  <c r="G10" i="120"/>
  <c r="H10" i="120"/>
  <c r="L10" i="120"/>
  <c r="W10" i="33"/>
  <c r="D10" i="125"/>
  <c r="E10" i="125"/>
  <c r="F10" i="125"/>
  <c r="G10" i="125"/>
  <c r="H10" i="125"/>
  <c r="L10" i="125"/>
  <c r="X10" i="33"/>
  <c r="D10" i="126"/>
  <c r="E10" i="126"/>
  <c r="F10" i="126"/>
  <c r="G10" i="126"/>
  <c r="H10" i="126"/>
  <c r="L10" i="126"/>
  <c r="Y10" i="33"/>
  <c r="D10" i="127"/>
  <c r="E10" i="127"/>
  <c r="F10" i="127"/>
  <c r="G10" i="127"/>
  <c r="H10" i="127"/>
  <c r="L10" i="127"/>
  <c r="Z10" i="33"/>
  <c r="D10" i="128"/>
  <c r="E10" i="128"/>
  <c r="F10" i="128"/>
  <c r="G10" i="128"/>
  <c r="H10" i="128"/>
  <c r="L10" i="128"/>
  <c r="AA10" i="33"/>
  <c r="D10" i="129"/>
  <c r="E10" i="129"/>
  <c r="F10" i="129"/>
  <c r="G10" i="129"/>
  <c r="H10" i="129"/>
  <c r="L10" i="129"/>
  <c r="AB10" i="33"/>
  <c r="D10" i="131"/>
  <c r="E10" i="131"/>
  <c r="F10" i="131"/>
  <c r="G10" i="131"/>
  <c r="H10" i="131"/>
  <c r="L10" i="131"/>
  <c r="AC10" i="33"/>
  <c r="AF10" i="33"/>
  <c r="AG10" i="33"/>
  <c r="AH10" i="33"/>
  <c r="AI10" i="33"/>
  <c r="C11" i="33"/>
  <c r="K11" i="33"/>
  <c r="L11" i="33"/>
  <c r="M11" i="33"/>
  <c r="N11" i="33"/>
  <c r="D11" i="119"/>
  <c r="E11" i="119"/>
  <c r="F11" i="119"/>
  <c r="G11" i="119"/>
  <c r="H11" i="119"/>
  <c r="L11" i="119"/>
  <c r="V11" i="33"/>
  <c r="D11" i="120"/>
  <c r="E11" i="120"/>
  <c r="F11" i="120"/>
  <c r="G11" i="120"/>
  <c r="H11" i="120"/>
  <c r="L11" i="120"/>
  <c r="W11" i="33"/>
  <c r="D11" i="125"/>
  <c r="E11" i="125"/>
  <c r="F11" i="125"/>
  <c r="G11" i="125"/>
  <c r="H11" i="125"/>
  <c r="L11" i="125"/>
  <c r="X11" i="33"/>
  <c r="D11" i="126"/>
  <c r="E11" i="126"/>
  <c r="F11" i="126"/>
  <c r="G11" i="126"/>
  <c r="H11" i="126"/>
  <c r="L11" i="126"/>
  <c r="Y11" i="33"/>
  <c r="D11" i="127"/>
  <c r="E11" i="127"/>
  <c r="F11" i="127"/>
  <c r="G11" i="127"/>
  <c r="H11" i="127"/>
  <c r="L11" i="127"/>
  <c r="Z11" i="33"/>
  <c r="D11" i="128"/>
  <c r="E11" i="128"/>
  <c r="F11" i="128"/>
  <c r="G11" i="128"/>
  <c r="H11" i="128"/>
  <c r="L11" i="128"/>
  <c r="AA11" i="33"/>
  <c r="D11" i="129"/>
  <c r="E11" i="129"/>
  <c r="F11" i="129"/>
  <c r="G11" i="129"/>
  <c r="H11" i="129"/>
  <c r="L11" i="129"/>
  <c r="AB11" i="33"/>
  <c r="D11" i="131"/>
  <c r="E11" i="131"/>
  <c r="F11" i="131"/>
  <c r="G11" i="131"/>
  <c r="H11" i="131"/>
  <c r="L11" i="131"/>
  <c r="AC11" i="33"/>
  <c r="AF11" i="33"/>
  <c r="AG11" i="33"/>
  <c r="AH11" i="33"/>
  <c r="AI11" i="33"/>
  <c r="C12" i="33"/>
  <c r="K12" i="33"/>
  <c r="L12" i="33"/>
  <c r="M12" i="33"/>
  <c r="N12" i="33"/>
  <c r="D12" i="119"/>
  <c r="E12" i="119"/>
  <c r="F12" i="119"/>
  <c r="G12" i="119"/>
  <c r="H12" i="119"/>
  <c r="L12" i="119"/>
  <c r="V12" i="33"/>
  <c r="D12" i="120"/>
  <c r="E12" i="120"/>
  <c r="F12" i="120"/>
  <c r="G12" i="120"/>
  <c r="H12" i="120"/>
  <c r="L12" i="120"/>
  <c r="W12" i="33"/>
  <c r="D12" i="125"/>
  <c r="E12" i="125"/>
  <c r="F12" i="125"/>
  <c r="G12" i="125"/>
  <c r="H12" i="125"/>
  <c r="L12" i="125"/>
  <c r="X12" i="33"/>
  <c r="D12" i="126"/>
  <c r="E12" i="126"/>
  <c r="F12" i="126"/>
  <c r="G12" i="126"/>
  <c r="H12" i="126"/>
  <c r="L12" i="126"/>
  <c r="Y12" i="33"/>
  <c r="D12" i="127"/>
  <c r="E12" i="127"/>
  <c r="F12" i="127"/>
  <c r="G12" i="127"/>
  <c r="H12" i="127"/>
  <c r="L12" i="127"/>
  <c r="Z12" i="33"/>
  <c r="D12" i="128"/>
  <c r="E12" i="128"/>
  <c r="F12" i="128"/>
  <c r="G12" i="128"/>
  <c r="H12" i="128"/>
  <c r="L12" i="128"/>
  <c r="AA12" i="33"/>
  <c r="D12" i="129"/>
  <c r="E12" i="129"/>
  <c r="F12" i="129"/>
  <c r="G12" i="129"/>
  <c r="H12" i="129"/>
  <c r="L12" i="129"/>
  <c r="AB12" i="33"/>
  <c r="D12" i="131"/>
  <c r="E12" i="131"/>
  <c r="F12" i="131"/>
  <c r="G12" i="131"/>
  <c r="H12" i="131"/>
  <c r="L12" i="131"/>
  <c r="AC12" i="33"/>
  <c r="AF12" i="33"/>
  <c r="AG12" i="33"/>
  <c r="AH12" i="33"/>
  <c r="AI12" i="33"/>
  <c r="C13" i="33"/>
  <c r="K13" i="33"/>
  <c r="L13" i="33"/>
  <c r="M13" i="33"/>
  <c r="N13" i="33"/>
  <c r="D13" i="119"/>
  <c r="E13" i="119"/>
  <c r="F13" i="119"/>
  <c r="G13" i="119"/>
  <c r="H13" i="119"/>
  <c r="L13" i="119"/>
  <c r="V13" i="33"/>
  <c r="D13" i="120"/>
  <c r="E13" i="120"/>
  <c r="F13" i="120"/>
  <c r="G13" i="120"/>
  <c r="H13" i="120"/>
  <c r="L13" i="120"/>
  <c r="W13" i="33"/>
  <c r="D13" i="125"/>
  <c r="E13" i="125"/>
  <c r="F13" i="125"/>
  <c r="G13" i="125"/>
  <c r="H13" i="125"/>
  <c r="L13" i="125"/>
  <c r="X13" i="33"/>
  <c r="D13" i="126"/>
  <c r="E13" i="126"/>
  <c r="F13" i="126"/>
  <c r="G13" i="126"/>
  <c r="H13" i="126"/>
  <c r="L13" i="126"/>
  <c r="Y13" i="33"/>
  <c r="D13" i="127"/>
  <c r="E13" i="127"/>
  <c r="F13" i="127"/>
  <c r="G13" i="127"/>
  <c r="H13" i="127"/>
  <c r="L13" i="127"/>
  <c r="Z13" i="33"/>
  <c r="D13" i="128"/>
  <c r="E13" i="128"/>
  <c r="F13" i="128"/>
  <c r="G13" i="128"/>
  <c r="H13" i="128"/>
  <c r="L13" i="128"/>
  <c r="AA13" i="33"/>
  <c r="D13" i="129"/>
  <c r="E13" i="129"/>
  <c r="F13" i="129"/>
  <c r="G13" i="129"/>
  <c r="H13" i="129"/>
  <c r="L13" i="129"/>
  <c r="AB13" i="33"/>
  <c r="D13" i="131"/>
  <c r="E13" i="131"/>
  <c r="F13" i="131"/>
  <c r="G13" i="131"/>
  <c r="H13" i="131"/>
  <c r="L13" i="131"/>
  <c r="AC13" i="33"/>
  <c r="AF13" i="33"/>
  <c r="AG13" i="33"/>
  <c r="AH13" i="33"/>
  <c r="AI13" i="33"/>
  <c r="C14" i="33"/>
  <c r="K14" i="33"/>
  <c r="L14" i="33"/>
  <c r="M14" i="33"/>
  <c r="N14" i="33"/>
  <c r="D14" i="119"/>
  <c r="E14" i="119"/>
  <c r="F14" i="119"/>
  <c r="G14" i="119"/>
  <c r="H14" i="119"/>
  <c r="L14" i="119"/>
  <c r="V14" i="33"/>
  <c r="D14" i="120"/>
  <c r="E14" i="120"/>
  <c r="F14" i="120"/>
  <c r="G14" i="120"/>
  <c r="H14" i="120"/>
  <c r="L14" i="120"/>
  <c r="W14" i="33"/>
  <c r="D14" i="125"/>
  <c r="E14" i="125"/>
  <c r="F14" i="125"/>
  <c r="G14" i="125"/>
  <c r="H14" i="125"/>
  <c r="L14" i="125"/>
  <c r="X14" i="33"/>
  <c r="D14" i="126"/>
  <c r="E14" i="126"/>
  <c r="F14" i="126"/>
  <c r="G14" i="126"/>
  <c r="H14" i="126"/>
  <c r="L14" i="126"/>
  <c r="Y14" i="33"/>
  <c r="D14" i="127"/>
  <c r="E14" i="127"/>
  <c r="F14" i="127"/>
  <c r="G14" i="127"/>
  <c r="H14" i="127"/>
  <c r="L14" i="127"/>
  <c r="Z14" i="33"/>
  <c r="D14" i="128"/>
  <c r="E14" i="128"/>
  <c r="F14" i="128"/>
  <c r="G14" i="128"/>
  <c r="H14" i="128"/>
  <c r="L14" i="128"/>
  <c r="AA14" i="33"/>
  <c r="D14" i="129"/>
  <c r="E14" i="129"/>
  <c r="F14" i="129"/>
  <c r="G14" i="129"/>
  <c r="H14" i="129"/>
  <c r="L14" i="129"/>
  <c r="AB14" i="33"/>
  <c r="D14" i="131"/>
  <c r="E14" i="131"/>
  <c r="F14" i="131"/>
  <c r="G14" i="131"/>
  <c r="H14" i="131"/>
  <c r="L14" i="131"/>
  <c r="AC14" i="33"/>
  <c r="AF14" i="33"/>
  <c r="AG14" i="33"/>
  <c r="AH14" i="33"/>
  <c r="AI14" i="33"/>
  <c r="C15" i="33"/>
  <c r="K15" i="33"/>
  <c r="L15" i="33"/>
  <c r="M15" i="33"/>
  <c r="N15" i="33"/>
  <c r="O15" i="33"/>
  <c r="D15" i="119"/>
  <c r="E15" i="119"/>
  <c r="F15" i="119"/>
  <c r="G15" i="119"/>
  <c r="H15" i="119"/>
  <c r="L15" i="119"/>
  <c r="V15" i="33"/>
  <c r="D15" i="120"/>
  <c r="E15" i="120"/>
  <c r="F15" i="120"/>
  <c r="G15" i="120"/>
  <c r="H15" i="120"/>
  <c r="L15" i="120"/>
  <c r="W15" i="33"/>
  <c r="D15" i="125"/>
  <c r="E15" i="125"/>
  <c r="F15" i="125"/>
  <c r="G15" i="125"/>
  <c r="H15" i="125"/>
  <c r="L15" i="125"/>
  <c r="X15" i="33"/>
  <c r="D15" i="126"/>
  <c r="E15" i="126"/>
  <c r="F15" i="126"/>
  <c r="G15" i="126"/>
  <c r="H15" i="126"/>
  <c r="L15" i="126"/>
  <c r="Y15" i="33"/>
  <c r="D15" i="127"/>
  <c r="E15" i="127"/>
  <c r="F15" i="127"/>
  <c r="G15" i="127"/>
  <c r="H15" i="127"/>
  <c r="L15" i="127"/>
  <c r="Z15" i="33"/>
  <c r="D15" i="128"/>
  <c r="E15" i="128"/>
  <c r="F15" i="128"/>
  <c r="G15" i="128"/>
  <c r="H15" i="128"/>
  <c r="L15" i="128"/>
  <c r="AA15" i="33"/>
  <c r="D15" i="129"/>
  <c r="E15" i="129"/>
  <c r="F15" i="129"/>
  <c r="G15" i="129"/>
  <c r="H15" i="129"/>
  <c r="L15" i="129"/>
  <c r="AB15" i="33"/>
  <c r="D15" i="131"/>
  <c r="E15" i="131"/>
  <c r="F15" i="131"/>
  <c r="G15" i="131"/>
  <c r="H15" i="131"/>
  <c r="L15" i="131"/>
  <c r="AC15" i="33"/>
  <c r="AF15" i="33"/>
  <c r="AG15" i="33"/>
  <c r="AH15" i="33"/>
  <c r="AI15" i="33"/>
  <c r="C16" i="33"/>
  <c r="K16" i="33"/>
  <c r="L16" i="33"/>
  <c r="M16" i="33"/>
  <c r="N16" i="33"/>
  <c r="D16" i="119"/>
  <c r="E16" i="119"/>
  <c r="F16" i="119"/>
  <c r="G16" i="119"/>
  <c r="H16" i="119"/>
  <c r="L16" i="119"/>
  <c r="V16" i="33"/>
  <c r="D16" i="120"/>
  <c r="E16" i="120"/>
  <c r="F16" i="120"/>
  <c r="G16" i="120"/>
  <c r="H16" i="120"/>
  <c r="L16" i="120"/>
  <c r="W16" i="33"/>
  <c r="D16" i="125"/>
  <c r="E16" i="125"/>
  <c r="F16" i="125"/>
  <c r="G16" i="125"/>
  <c r="H16" i="125"/>
  <c r="L16" i="125"/>
  <c r="X16" i="33"/>
  <c r="D16" i="126"/>
  <c r="E16" i="126"/>
  <c r="F16" i="126"/>
  <c r="G16" i="126"/>
  <c r="H16" i="126"/>
  <c r="L16" i="126"/>
  <c r="Y16" i="33"/>
  <c r="D16" i="127"/>
  <c r="E16" i="127"/>
  <c r="F16" i="127"/>
  <c r="G16" i="127"/>
  <c r="H16" i="127"/>
  <c r="L16" i="127"/>
  <c r="Z16" i="33"/>
  <c r="D16" i="128"/>
  <c r="E16" i="128"/>
  <c r="F16" i="128"/>
  <c r="G16" i="128"/>
  <c r="H16" i="128"/>
  <c r="L16" i="128"/>
  <c r="AA16" i="33"/>
  <c r="D16" i="129"/>
  <c r="E16" i="129"/>
  <c r="F16" i="129"/>
  <c r="G16" i="129"/>
  <c r="H16" i="129"/>
  <c r="L16" i="129"/>
  <c r="AB16" i="33"/>
  <c r="D16" i="131"/>
  <c r="E16" i="131"/>
  <c r="F16" i="131"/>
  <c r="G16" i="131"/>
  <c r="H16" i="131"/>
  <c r="L16" i="131"/>
  <c r="AC16" i="33"/>
  <c r="AF16" i="33"/>
  <c r="AG16" i="33"/>
  <c r="AH16" i="33"/>
  <c r="AI16" i="33"/>
  <c r="C17" i="33"/>
  <c r="K17" i="33"/>
  <c r="L17" i="33"/>
  <c r="M17" i="33"/>
  <c r="N17" i="33"/>
  <c r="D17" i="119"/>
  <c r="E17" i="119"/>
  <c r="F17" i="119"/>
  <c r="G17" i="119"/>
  <c r="H17" i="119"/>
  <c r="L17" i="119"/>
  <c r="V17" i="33"/>
  <c r="D17" i="120"/>
  <c r="E17" i="120"/>
  <c r="F17" i="120"/>
  <c r="G17" i="120"/>
  <c r="H17" i="120"/>
  <c r="L17" i="120"/>
  <c r="W17" i="33"/>
  <c r="D17" i="125"/>
  <c r="E17" i="125"/>
  <c r="F17" i="125"/>
  <c r="G17" i="125"/>
  <c r="H17" i="125"/>
  <c r="L17" i="125"/>
  <c r="X17" i="33"/>
  <c r="D17" i="126"/>
  <c r="E17" i="126"/>
  <c r="F17" i="126"/>
  <c r="G17" i="126"/>
  <c r="H17" i="126"/>
  <c r="L17" i="126"/>
  <c r="Y17" i="33"/>
  <c r="D17" i="127"/>
  <c r="E17" i="127"/>
  <c r="F17" i="127"/>
  <c r="G17" i="127"/>
  <c r="H17" i="127"/>
  <c r="L17" i="127"/>
  <c r="Z17" i="33"/>
  <c r="D17" i="128"/>
  <c r="E17" i="128"/>
  <c r="F17" i="128"/>
  <c r="G17" i="128"/>
  <c r="H17" i="128"/>
  <c r="L17" i="128"/>
  <c r="AA17" i="33"/>
  <c r="D17" i="129"/>
  <c r="E17" i="129"/>
  <c r="F17" i="129"/>
  <c r="G17" i="129"/>
  <c r="H17" i="129"/>
  <c r="L17" i="129"/>
  <c r="AB17" i="33"/>
  <c r="D17" i="131"/>
  <c r="E17" i="131"/>
  <c r="F17" i="131"/>
  <c r="G17" i="131"/>
  <c r="H17" i="131"/>
  <c r="L17" i="131"/>
  <c r="AC17" i="33"/>
  <c r="AF17" i="33"/>
  <c r="AG17" i="33"/>
  <c r="AH17" i="33"/>
  <c r="AI17" i="33"/>
  <c r="C18" i="33"/>
  <c r="K18" i="33"/>
  <c r="L18" i="33"/>
  <c r="M18" i="33"/>
  <c r="N18" i="33"/>
  <c r="D18" i="119"/>
  <c r="E18" i="119"/>
  <c r="F18" i="119"/>
  <c r="G18" i="119"/>
  <c r="H18" i="119"/>
  <c r="L18" i="119"/>
  <c r="V18" i="33"/>
  <c r="D18" i="120"/>
  <c r="E18" i="120"/>
  <c r="F18" i="120"/>
  <c r="G18" i="120"/>
  <c r="H18" i="120"/>
  <c r="L18" i="120"/>
  <c r="W18" i="33"/>
  <c r="D18" i="125"/>
  <c r="E18" i="125"/>
  <c r="F18" i="125"/>
  <c r="G18" i="125"/>
  <c r="H18" i="125"/>
  <c r="L18" i="125"/>
  <c r="X18" i="33"/>
  <c r="D18" i="126"/>
  <c r="E18" i="126"/>
  <c r="F18" i="126"/>
  <c r="G18" i="126"/>
  <c r="H18" i="126"/>
  <c r="L18" i="126"/>
  <c r="Y18" i="33"/>
  <c r="D18" i="127"/>
  <c r="E18" i="127"/>
  <c r="F18" i="127"/>
  <c r="G18" i="127"/>
  <c r="H18" i="127"/>
  <c r="L18" i="127"/>
  <c r="Z18" i="33"/>
  <c r="D18" i="128"/>
  <c r="E18" i="128"/>
  <c r="F18" i="128"/>
  <c r="G18" i="128"/>
  <c r="H18" i="128"/>
  <c r="L18" i="128"/>
  <c r="AA18" i="33"/>
  <c r="D18" i="129"/>
  <c r="E18" i="129"/>
  <c r="F18" i="129"/>
  <c r="G18" i="129"/>
  <c r="H18" i="129"/>
  <c r="L18" i="129"/>
  <c r="AB18" i="33"/>
  <c r="D18" i="131"/>
  <c r="E18" i="131"/>
  <c r="F18" i="131"/>
  <c r="G18" i="131"/>
  <c r="H18" i="131"/>
  <c r="L18" i="131"/>
  <c r="AC18" i="33"/>
  <c r="AF18" i="33"/>
  <c r="AG18" i="33"/>
  <c r="AH18" i="33"/>
  <c r="AI18" i="33"/>
  <c r="C19" i="33"/>
  <c r="K19" i="33"/>
  <c r="L19" i="33"/>
  <c r="M19" i="33"/>
  <c r="N19" i="33"/>
  <c r="D19" i="119"/>
  <c r="E19" i="119"/>
  <c r="F19" i="119"/>
  <c r="G19" i="119"/>
  <c r="H19" i="119"/>
  <c r="L19" i="119"/>
  <c r="V19" i="33"/>
  <c r="D19" i="120"/>
  <c r="E19" i="120"/>
  <c r="F19" i="120"/>
  <c r="G19" i="120"/>
  <c r="H19" i="120"/>
  <c r="L19" i="120"/>
  <c r="W19" i="33"/>
  <c r="D19" i="125"/>
  <c r="E19" i="125"/>
  <c r="F19" i="125"/>
  <c r="G19" i="125"/>
  <c r="H19" i="125"/>
  <c r="L19" i="125"/>
  <c r="X19" i="33"/>
  <c r="D19" i="126"/>
  <c r="E19" i="126"/>
  <c r="F19" i="126"/>
  <c r="G19" i="126"/>
  <c r="H19" i="126"/>
  <c r="L19" i="126"/>
  <c r="Y19" i="33"/>
  <c r="D19" i="127"/>
  <c r="E19" i="127"/>
  <c r="F19" i="127"/>
  <c r="G19" i="127"/>
  <c r="H19" i="127"/>
  <c r="L19" i="127"/>
  <c r="Z19" i="33"/>
  <c r="D19" i="128"/>
  <c r="E19" i="128"/>
  <c r="F19" i="128"/>
  <c r="G19" i="128"/>
  <c r="H19" i="128"/>
  <c r="L19" i="128"/>
  <c r="AA19" i="33"/>
  <c r="D19" i="129"/>
  <c r="E19" i="129"/>
  <c r="F19" i="129"/>
  <c r="G19" i="129"/>
  <c r="H19" i="129"/>
  <c r="L19" i="129"/>
  <c r="AB19" i="33"/>
  <c r="D19" i="131"/>
  <c r="E19" i="131"/>
  <c r="F19" i="131"/>
  <c r="G19" i="131"/>
  <c r="H19" i="131"/>
  <c r="L19" i="131"/>
  <c r="AC19" i="33"/>
  <c r="AF19" i="33"/>
  <c r="AG19" i="33"/>
  <c r="AH19" i="33"/>
  <c r="AI19" i="33"/>
  <c r="C20" i="33"/>
  <c r="K20" i="33"/>
  <c r="L20" i="33"/>
  <c r="M20" i="33"/>
  <c r="N20" i="33"/>
  <c r="D20" i="119"/>
  <c r="E20" i="119"/>
  <c r="F20" i="119"/>
  <c r="G20" i="119"/>
  <c r="H20" i="119"/>
  <c r="L20" i="119"/>
  <c r="V20" i="33"/>
  <c r="D20" i="120"/>
  <c r="E20" i="120"/>
  <c r="F20" i="120"/>
  <c r="G20" i="120"/>
  <c r="H20" i="120"/>
  <c r="L20" i="120"/>
  <c r="W20" i="33"/>
  <c r="D20" i="125"/>
  <c r="E20" i="125"/>
  <c r="F20" i="125"/>
  <c r="G20" i="125"/>
  <c r="H20" i="125"/>
  <c r="L20" i="125"/>
  <c r="X20" i="33"/>
  <c r="D20" i="126"/>
  <c r="E20" i="126"/>
  <c r="F20" i="126"/>
  <c r="G20" i="126"/>
  <c r="H20" i="126"/>
  <c r="L20" i="126"/>
  <c r="Y20" i="33"/>
  <c r="D20" i="127"/>
  <c r="E20" i="127"/>
  <c r="F20" i="127"/>
  <c r="G20" i="127"/>
  <c r="H20" i="127"/>
  <c r="L20" i="127"/>
  <c r="Z20" i="33"/>
  <c r="D20" i="128"/>
  <c r="E20" i="128"/>
  <c r="F20" i="128"/>
  <c r="G20" i="128"/>
  <c r="H20" i="128"/>
  <c r="L20" i="128"/>
  <c r="AA20" i="33"/>
  <c r="D20" i="129"/>
  <c r="E20" i="129"/>
  <c r="F20" i="129"/>
  <c r="G20" i="129"/>
  <c r="H20" i="129"/>
  <c r="L20" i="129"/>
  <c r="AB20" i="33"/>
  <c r="D20" i="131"/>
  <c r="E20" i="131"/>
  <c r="F20" i="131"/>
  <c r="G20" i="131"/>
  <c r="H20" i="131"/>
  <c r="L20" i="131"/>
  <c r="AC20" i="33"/>
  <c r="AF20" i="33"/>
  <c r="AG20" i="33"/>
  <c r="AH20" i="33"/>
  <c r="AI20" i="33"/>
  <c r="C21" i="33"/>
  <c r="K21" i="33"/>
  <c r="L21" i="33"/>
  <c r="M21" i="33"/>
  <c r="N21" i="33"/>
  <c r="D21" i="119"/>
  <c r="E21" i="119"/>
  <c r="F21" i="119"/>
  <c r="G21" i="119"/>
  <c r="H21" i="119"/>
  <c r="L21" i="119"/>
  <c r="V21" i="33"/>
  <c r="D21" i="120"/>
  <c r="E21" i="120"/>
  <c r="F21" i="120"/>
  <c r="G21" i="120"/>
  <c r="H21" i="120"/>
  <c r="L21" i="120"/>
  <c r="W21" i="33"/>
  <c r="D21" i="125"/>
  <c r="E21" i="125"/>
  <c r="F21" i="125"/>
  <c r="G21" i="125"/>
  <c r="H21" i="125"/>
  <c r="L21" i="125"/>
  <c r="X21" i="33"/>
  <c r="D21" i="126"/>
  <c r="E21" i="126"/>
  <c r="F21" i="126"/>
  <c r="G21" i="126"/>
  <c r="H21" i="126"/>
  <c r="L21" i="126"/>
  <c r="Y21" i="33"/>
  <c r="D21" i="127"/>
  <c r="E21" i="127"/>
  <c r="F21" i="127"/>
  <c r="G21" i="127"/>
  <c r="H21" i="127"/>
  <c r="L21" i="127"/>
  <c r="Z21" i="33"/>
  <c r="D21" i="128"/>
  <c r="E21" i="128"/>
  <c r="F21" i="128"/>
  <c r="G21" i="128"/>
  <c r="H21" i="128"/>
  <c r="L21" i="128"/>
  <c r="AA21" i="33"/>
  <c r="D21" i="129"/>
  <c r="E21" i="129"/>
  <c r="F21" i="129"/>
  <c r="G21" i="129"/>
  <c r="H21" i="129"/>
  <c r="L21" i="129"/>
  <c r="AB21" i="33"/>
  <c r="D21" i="131"/>
  <c r="E21" i="131"/>
  <c r="F21" i="131"/>
  <c r="G21" i="131"/>
  <c r="H21" i="131"/>
  <c r="L21" i="131"/>
  <c r="AC21" i="33"/>
  <c r="AF21" i="33"/>
  <c r="AG21" i="33"/>
  <c r="AH21" i="33"/>
  <c r="AI21" i="33"/>
  <c r="C22" i="33"/>
  <c r="K22" i="33"/>
  <c r="L22" i="33"/>
  <c r="M22" i="33"/>
  <c r="N22" i="33"/>
  <c r="D22" i="119"/>
  <c r="E22" i="119"/>
  <c r="F22" i="119"/>
  <c r="G22" i="119"/>
  <c r="H22" i="119"/>
  <c r="L22" i="119"/>
  <c r="V22" i="33"/>
  <c r="D22" i="120"/>
  <c r="E22" i="120"/>
  <c r="F22" i="120"/>
  <c r="G22" i="120"/>
  <c r="H22" i="120"/>
  <c r="L22" i="120"/>
  <c r="W22" i="33"/>
  <c r="D22" i="125"/>
  <c r="E22" i="125"/>
  <c r="F22" i="125"/>
  <c r="G22" i="125"/>
  <c r="H22" i="125"/>
  <c r="L22" i="125"/>
  <c r="X22" i="33"/>
  <c r="D22" i="126"/>
  <c r="E22" i="126"/>
  <c r="F22" i="126"/>
  <c r="G22" i="126"/>
  <c r="H22" i="126"/>
  <c r="L22" i="126"/>
  <c r="Y22" i="33"/>
  <c r="D22" i="127"/>
  <c r="E22" i="127"/>
  <c r="F22" i="127"/>
  <c r="G22" i="127"/>
  <c r="H22" i="127"/>
  <c r="L22" i="127"/>
  <c r="Z22" i="33"/>
  <c r="D22" i="128"/>
  <c r="E22" i="128"/>
  <c r="F22" i="128"/>
  <c r="G22" i="128"/>
  <c r="H22" i="128"/>
  <c r="L22" i="128"/>
  <c r="AA22" i="33"/>
  <c r="D22" i="129"/>
  <c r="E22" i="129"/>
  <c r="F22" i="129"/>
  <c r="G22" i="129"/>
  <c r="H22" i="129"/>
  <c r="L22" i="129"/>
  <c r="AB22" i="33"/>
  <c r="D22" i="131"/>
  <c r="E22" i="131"/>
  <c r="F22" i="131"/>
  <c r="G22" i="131"/>
  <c r="H22" i="131"/>
  <c r="L22" i="131"/>
  <c r="AC22" i="33"/>
  <c r="AF22" i="33"/>
  <c r="AG22" i="33"/>
  <c r="AH22" i="33"/>
  <c r="AI22" i="33"/>
  <c r="C23" i="33"/>
  <c r="K23" i="33"/>
  <c r="L23" i="33"/>
  <c r="M23" i="33"/>
  <c r="N23" i="33"/>
  <c r="L12" i="46"/>
  <c r="O23" i="33"/>
  <c r="D23" i="119"/>
  <c r="E23" i="119"/>
  <c r="F23" i="119"/>
  <c r="G23" i="119"/>
  <c r="H23" i="119"/>
  <c r="L23" i="119"/>
  <c r="V23" i="33"/>
  <c r="D23" i="120"/>
  <c r="E23" i="120"/>
  <c r="F23" i="120"/>
  <c r="G23" i="120"/>
  <c r="H23" i="120"/>
  <c r="L23" i="120"/>
  <c r="W23" i="33"/>
  <c r="D23" i="125"/>
  <c r="E23" i="125"/>
  <c r="F23" i="125"/>
  <c r="G23" i="125"/>
  <c r="H23" i="125"/>
  <c r="L23" i="125"/>
  <c r="X23" i="33"/>
  <c r="D23" i="126"/>
  <c r="E23" i="126"/>
  <c r="F23" i="126"/>
  <c r="G23" i="126"/>
  <c r="H23" i="126"/>
  <c r="L23" i="126"/>
  <c r="Y23" i="33"/>
  <c r="D23" i="127"/>
  <c r="E23" i="127"/>
  <c r="F23" i="127"/>
  <c r="G23" i="127"/>
  <c r="H23" i="127"/>
  <c r="L23" i="127"/>
  <c r="Z23" i="33"/>
  <c r="D23" i="128"/>
  <c r="E23" i="128"/>
  <c r="F23" i="128"/>
  <c r="G23" i="128"/>
  <c r="H23" i="128"/>
  <c r="L23" i="128"/>
  <c r="AA23" i="33"/>
  <c r="D23" i="129"/>
  <c r="E23" i="129"/>
  <c r="F23" i="129"/>
  <c r="G23" i="129"/>
  <c r="H23" i="129"/>
  <c r="L23" i="129"/>
  <c r="AB23" i="33"/>
  <c r="D23" i="131"/>
  <c r="E23" i="131"/>
  <c r="F23" i="131"/>
  <c r="G23" i="131"/>
  <c r="H23" i="131"/>
  <c r="L23" i="131"/>
  <c r="AC23" i="33"/>
  <c r="AF23" i="33"/>
  <c r="AG23" i="33"/>
  <c r="AH23" i="33"/>
  <c r="AI23" i="33"/>
  <c r="C24" i="33"/>
  <c r="K24" i="33"/>
  <c r="L24" i="33"/>
  <c r="M24" i="33"/>
  <c r="N24" i="33"/>
  <c r="D24" i="119"/>
  <c r="E24" i="119"/>
  <c r="F24" i="119"/>
  <c r="G24" i="119"/>
  <c r="H24" i="119"/>
  <c r="L24" i="119"/>
  <c r="V24" i="33"/>
  <c r="D24" i="120"/>
  <c r="E24" i="120"/>
  <c r="F24" i="120"/>
  <c r="G24" i="120"/>
  <c r="H24" i="120"/>
  <c r="L24" i="120"/>
  <c r="W24" i="33"/>
  <c r="D24" i="125"/>
  <c r="E24" i="125"/>
  <c r="F24" i="125"/>
  <c r="G24" i="125"/>
  <c r="H24" i="125"/>
  <c r="L24" i="125"/>
  <c r="X24" i="33"/>
  <c r="D24" i="126"/>
  <c r="E24" i="126"/>
  <c r="F24" i="126"/>
  <c r="G24" i="126"/>
  <c r="H24" i="126"/>
  <c r="L24" i="126"/>
  <c r="Y24" i="33"/>
  <c r="D24" i="127"/>
  <c r="E24" i="127"/>
  <c r="F24" i="127"/>
  <c r="G24" i="127"/>
  <c r="H24" i="127"/>
  <c r="L24" i="127"/>
  <c r="Z24" i="33"/>
  <c r="D24" i="128"/>
  <c r="E24" i="128"/>
  <c r="F24" i="128"/>
  <c r="G24" i="128"/>
  <c r="H24" i="128"/>
  <c r="L24" i="128"/>
  <c r="AA24" i="33"/>
  <c r="D24" i="129"/>
  <c r="E24" i="129"/>
  <c r="F24" i="129"/>
  <c r="G24" i="129"/>
  <c r="H24" i="129"/>
  <c r="L24" i="129"/>
  <c r="AB24" i="33"/>
  <c r="D24" i="131"/>
  <c r="E24" i="131"/>
  <c r="F24" i="131"/>
  <c r="G24" i="131"/>
  <c r="H24" i="131"/>
  <c r="L24" i="131"/>
  <c r="AC24" i="33"/>
  <c r="AF24" i="33"/>
  <c r="AG24" i="33"/>
  <c r="AH24" i="33"/>
  <c r="AI24" i="33"/>
  <c r="C25" i="33"/>
  <c r="K25" i="33"/>
  <c r="L25" i="33"/>
  <c r="M25" i="33"/>
  <c r="N25" i="33"/>
  <c r="D25" i="119"/>
  <c r="E25" i="119"/>
  <c r="F25" i="119"/>
  <c r="G25" i="119"/>
  <c r="H25" i="119"/>
  <c r="L25" i="119"/>
  <c r="V25" i="33"/>
  <c r="D25" i="120"/>
  <c r="E25" i="120"/>
  <c r="F25" i="120"/>
  <c r="G25" i="120"/>
  <c r="H25" i="120"/>
  <c r="L25" i="120"/>
  <c r="W25" i="33"/>
  <c r="D25" i="125"/>
  <c r="E25" i="125"/>
  <c r="F25" i="125"/>
  <c r="G25" i="125"/>
  <c r="H25" i="125"/>
  <c r="L25" i="125"/>
  <c r="X25" i="33"/>
  <c r="D25" i="126"/>
  <c r="E25" i="126"/>
  <c r="F25" i="126"/>
  <c r="G25" i="126"/>
  <c r="H25" i="126"/>
  <c r="L25" i="126"/>
  <c r="Y25" i="33"/>
  <c r="D25" i="127"/>
  <c r="E25" i="127"/>
  <c r="F25" i="127"/>
  <c r="G25" i="127"/>
  <c r="H25" i="127"/>
  <c r="L25" i="127"/>
  <c r="Z25" i="33"/>
  <c r="D25" i="128"/>
  <c r="E25" i="128"/>
  <c r="F25" i="128"/>
  <c r="G25" i="128"/>
  <c r="H25" i="128"/>
  <c r="L25" i="128"/>
  <c r="AA25" i="33"/>
  <c r="D25" i="129"/>
  <c r="E25" i="129"/>
  <c r="F25" i="129"/>
  <c r="G25" i="129"/>
  <c r="H25" i="129"/>
  <c r="L25" i="129"/>
  <c r="AB25" i="33"/>
  <c r="D25" i="131"/>
  <c r="E25" i="131"/>
  <c r="F25" i="131"/>
  <c r="G25" i="131"/>
  <c r="H25" i="131"/>
  <c r="L25" i="131"/>
  <c r="AC25" i="33"/>
  <c r="AF25" i="33"/>
  <c r="AG25" i="33"/>
  <c r="AH25" i="33"/>
  <c r="AI25" i="33"/>
  <c r="C26" i="33"/>
  <c r="K26" i="33"/>
  <c r="L26" i="33"/>
  <c r="M26" i="33"/>
  <c r="N26" i="33"/>
  <c r="D26" i="119"/>
  <c r="E26" i="119"/>
  <c r="F26" i="119"/>
  <c r="G26" i="119"/>
  <c r="H26" i="119"/>
  <c r="L26" i="119"/>
  <c r="V26" i="33"/>
  <c r="D26" i="120"/>
  <c r="E26" i="120"/>
  <c r="F26" i="120"/>
  <c r="G26" i="120"/>
  <c r="H26" i="120"/>
  <c r="L26" i="120"/>
  <c r="W26" i="33"/>
  <c r="D26" i="125"/>
  <c r="E26" i="125"/>
  <c r="F26" i="125"/>
  <c r="G26" i="125"/>
  <c r="H26" i="125"/>
  <c r="L26" i="125"/>
  <c r="X26" i="33"/>
  <c r="D26" i="126"/>
  <c r="E26" i="126"/>
  <c r="F26" i="126"/>
  <c r="G26" i="126"/>
  <c r="H26" i="126"/>
  <c r="L26" i="126"/>
  <c r="Y26" i="33"/>
  <c r="D26" i="127"/>
  <c r="E26" i="127"/>
  <c r="F26" i="127"/>
  <c r="G26" i="127"/>
  <c r="H26" i="127"/>
  <c r="L26" i="127"/>
  <c r="Z26" i="33"/>
  <c r="D26" i="128"/>
  <c r="E26" i="128"/>
  <c r="F26" i="128"/>
  <c r="G26" i="128"/>
  <c r="H26" i="128"/>
  <c r="L26" i="128"/>
  <c r="AA26" i="33"/>
  <c r="D26" i="129"/>
  <c r="E26" i="129"/>
  <c r="F26" i="129"/>
  <c r="G26" i="129"/>
  <c r="H26" i="129"/>
  <c r="L26" i="129"/>
  <c r="AB26" i="33"/>
  <c r="D26" i="131"/>
  <c r="E26" i="131"/>
  <c r="F26" i="131"/>
  <c r="G26" i="131"/>
  <c r="H26" i="131"/>
  <c r="L26" i="131"/>
  <c r="AC26" i="33"/>
  <c r="AF26" i="33"/>
  <c r="AG26" i="33"/>
  <c r="AH26" i="33"/>
  <c r="AI26" i="33"/>
  <c r="C27" i="33"/>
  <c r="K27" i="33"/>
  <c r="L27" i="33"/>
  <c r="M27" i="33"/>
  <c r="N27" i="33"/>
  <c r="D27" i="119"/>
  <c r="E27" i="119"/>
  <c r="F27" i="119"/>
  <c r="G27" i="119"/>
  <c r="H27" i="119"/>
  <c r="L27" i="119"/>
  <c r="V27" i="33"/>
  <c r="D27" i="120"/>
  <c r="E27" i="120"/>
  <c r="F27" i="120"/>
  <c r="G27" i="120"/>
  <c r="H27" i="120"/>
  <c r="L27" i="120"/>
  <c r="W27" i="33"/>
  <c r="D27" i="125"/>
  <c r="E27" i="125"/>
  <c r="F27" i="125"/>
  <c r="G27" i="125"/>
  <c r="H27" i="125"/>
  <c r="L27" i="125"/>
  <c r="X27" i="33"/>
  <c r="D27" i="126"/>
  <c r="E27" i="126"/>
  <c r="F27" i="126"/>
  <c r="G27" i="126"/>
  <c r="H27" i="126"/>
  <c r="L27" i="126"/>
  <c r="Y27" i="33"/>
  <c r="D27" i="127"/>
  <c r="E27" i="127"/>
  <c r="F27" i="127"/>
  <c r="G27" i="127"/>
  <c r="H27" i="127"/>
  <c r="L27" i="127"/>
  <c r="Z27" i="33"/>
  <c r="D27" i="128"/>
  <c r="E27" i="128"/>
  <c r="F27" i="128"/>
  <c r="G27" i="128"/>
  <c r="H27" i="128"/>
  <c r="L27" i="128"/>
  <c r="AA27" i="33"/>
  <c r="D27" i="129"/>
  <c r="E27" i="129"/>
  <c r="F27" i="129"/>
  <c r="G27" i="129"/>
  <c r="H27" i="129"/>
  <c r="L27" i="129"/>
  <c r="AB27" i="33"/>
  <c r="D27" i="131"/>
  <c r="E27" i="131"/>
  <c r="F27" i="131"/>
  <c r="G27" i="131"/>
  <c r="H27" i="131"/>
  <c r="L27" i="131"/>
  <c r="AC27" i="33"/>
  <c r="AF27" i="33"/>
  <c r="AG27" i="33"/>
  <c r="AH27" i="33"/>
  <c r="AI27" i="33"/>
  <c r="C28" i="33"/>
  <c r="K28" i="33"/>
  <c r="L28" i="33"/>
  <c r="M28" i="33"/>
  <c r="N28" i="33"/>
  <c r="D28" i="119"/>
  <c r="E28" i="119"/>
  <c r="F28" i="119"/>
  <c r="G28" i="119"/>
  <c r="H28" i="119"/>
  <c r="L28" i="119"/>
  <c r="V28" i="33"/>
  <c r="D28" i="120"/>
  <c r="E28" i="120"/>
  <c r="F28" i="120"/>
  <c r="G28" i="120"/>
  <c r="H28" i="120"/>
  <c r="L28" i="120"/>
  <c r="W28" i="33"/>
  <c r="D28" i="125"/>
  <c r="E28" i="125"/>
  <c r="F28" i="125"/>
  <c r="G28" i="125"/>
  <c r="H28" i="125"/>
  <c r="L28" i="125"/>
  <c r="X28" i="33"/>
  <c r="D28" i="126"/>
  <c r="E28" i="126"/>
  <c r="F28" i="126"/>
  <c r="G28" i="126"/>
  <c r="H28" i="126"/>
  <c r="L28" i="126"/>
  <c r="Y28" i="33"/>
  <c r="D28" i="127"/>
  <c r="E28" i="127"/>
  <c r="F28" i="127"/>
  <c r="G28" i="127"/>
  <c r="H28" i="127"/>
  <c r="L28" i="127"/>
  <c r="Z28" i="33"/>
  <c r="D28" i="128"/>
  <c r="E28" i="128"/>
  <c r="F28" i="128"/>
  <c r="G28" i="128"/>
  <c r="H28" i="128"/>
  <c r="L28" i="128"/>
  <c r="AA28" i="33"/>
  <c r="D28" i="129"/>
  <c r="E28" i="129"/>
  <c r="F28" i="129"/>
  <c r="G28" i="129"/>
  <c r="H28" i="129"/>
  <c r="L28" i="129"/>
  <c r="AB28" i="33"/>
  <c r="D28" i="131"/>
  <c r="E28" i="131"/>
  <c r="F28" i="131"/>
  <c r="G28" i="131"/>
  <c r="H28" i="131"/>
  <c r="L28" i="131"/>
  <c r="AC28" i="33"/>
  <c r="AF28" i="33"/>
  <c r="AG28" i="33"/>
  <c r="AH28" i="33"/>
  <c r="AI28" i="33"/>
  <c r="C29" i="33"/>
  <c r="K29" i="33"/>
  <c r="L29" i="33"/>
  <c r="M29" i="33"/>
  <c r="N29" i="33"/>
  <c r="D29" i="119"/>
  <c r="E29" i="119"/>
  <c r="F29" i="119"/>
  <c r="G29" i="119"/>
  <c r="H29" i="119"/>
  <c r="L29" i="119"/>
  <c r="V29" i="33"/>
  <c r="D29" i="120"/>
  <c r="E29" i="120"/>
  <c r="F29" i="120"/>
  <c r="G29" i="120"/>
  <c r="H29" i="120"/>
  <c r="L29" i="120"/>
  <c r="W29" i="33"/>
  <c r="D29" i="125"/>
  <c r="E29" i="125"/>
  <c r="F29" i="125"/>
  <c r="G29" i="125"/>
  <c r="H29" i="125"/>
  <c r="L29" i="125"/>
  <c r="X29" i="33"/>
  <c r="D29" i="126"/>
  <c r="E29" i="126"/>
  <c r="F29" i="126"/>
  <c r="G29" i="126"/>
  <c r="H29" i="126"/>
  <c r="L29" i="126"/>
  <c r="Y29" i="33"/>
  <c r="D29" i="127"/>
  <c r="E29" i="127"/>
  <c r="F29" i="127"/>
  <c r="G29" i="127"/>
  <c r="H29" i="127"/>
  <c r="L29" i="127"/>
  <c r="Z29" i="33"/>
  <c r="D29" i="128"/>
  <c r="E29" i="128"/>
  <c r="F29" i="128"/>
  <c r="G29" i="128"/>
  <c r="H29" i="128"/>
  <c r="L29" i="128"/>
  <c r="AA29" i="33"/>
  <c r="D29" i="129"/>
  <c r="E29" i="129"/>
  <c r="F29" i="129"/>
  <c r="G29" i="129"/>
  <c r="H29" i="129"/>
  <c r="L29" i="129"/>
  <c r="AB29" i="33"/>
  <c r="D29" i="131"/>
  <c r="E29" i="131"/>
  <c r="F29" i="131"/>
  <c r="G29" i="131"/>
  <c r="H29" i="131"/>
  <c r="L29" i="131"/>
  <c r="AC29" i="33"/>
  <c r="AF29" i="33"/>
  <c r="AG29" i="33"/>
  <c r="AH29" i="33"/>
  <c r="AI29" i="33"/>
  <c r="C30" i="33"/>
  <c r="K30" i="33"/>
  <c r="L30" i="33"/>
  <c r="M30" i="33"/>
  <c r="N30" i="33"/>
  <c r="D30" i="119"/>
  <c r="E30" i="119"/>
  <c r="F30" i="119"/>
  <c r="G30" i="119"/>
  <c r="H30" i="119"/>
  <c r="L30" i="119"/>
  <c r="V30" i="33"/>
  <c r="D30" i="120"/>
  <c r="E30" i="120"/>
  <c r="F30" i="120"/>
  <c r="G30" i="120"/>
  <c r="H30" i="120"/>
  <c r="L30" i="120"/>
  <c r="W30" i="33"/>
  <c r="D30" i="125"/>
  <c r="E30" i="125"/>
  <c r="F30" i="125"/>
  <c r="G30" i="125"/>
  <c r="H30" i="125"/>
  <c r="L30" i="125"/>
  <c r="X30" i="33"/>
  <c r="D30" i="126"/>
  <c r="E30" i="126"/>
  <c r="F30" i="126"/>
  <c r="G30" i="126"/>
  <c r="H30" i="126"/>
  <c r="L30" i="126"/>
  <c r="Y30" i="33"/>
  <c r="D30" i="127"/>
  <c r="E30" i="127"/>
  <c r="F30" i="127"/>
  <c r="G30" i="127"/>
  <c r="H30" i="127"/>
  <c r="L30" i="127"/>
  <c r="Z30" i="33"/>
  <c r="D30" i="128"/>
  <c r="E30" i="128"/>
  <c r="F30" i="128"/>
  <c r="G30" i="128"/>
  <c r="H30" i="128"/>
  <c r="L30" i="128"/>
  <c r="AA30" i="33"/>
  <c r="D30" i="129"/>
  <c r="E30" i="129"/>
  <c r="F30" i="129"/>
  <c r="G30" i="129"/>
  <c r="H30" i="129"/>
  <c r="L30" i="129"/>
  <c r="AB30" i="33"/>
  <c r="D30" i="131"/>
  <c r="E30" i="131"/>
  <c r="F30" i="131"/>
  <c r="G30" i="131"/>
  <c r="H30" i="131"/>
  <c r="L30" i="131"/>
  <c r="AC30" i="33"/>
  <c r="AF30" i="33"/>
  <c r="AG30" i="33"/>
  <c r="AH30" i="33"/>
  <c r="AI30" i="33"/>
  <c r="C31" i="33"/>
  <c r="K31" i="33"/>
  <c r="L31" i="33"/>
  <c r="M31" i="33"/>
  <c r="N31" i="33"/>
  <c r="D31" i="119"/>
  <c r="E31" i="119"/>
  <c r="F31" i="119"/>
  <c r="G31" i="119"/>
  <c r="H31" i="119"/>
  <c r="L31" i="119"/>
  <c r="V31" i="33"/>
  <c r="D31" i="120"/>
  <c r="E31" i="120"/>
  <c r="F31" i="120"/>
  <c r="G31" i="120"/>
  <c r="H31" i="120"/>
  <c r="L31" i="120"/>
  <c r="W31" i="33"/>
  <c r="D31" i="125"/>
  <c r="E31" i="125"/>
  <c r="F31" i="125"/>
  <c r="G31" i="125"/>
  <c r="H31" i="125"/>
  <c r="L31" i="125"/>
  <c r="X31" i="33"/>
  <c r="D31" i="126"/>
  <c r="E31" i="126"/>
  <c r="F31" i="126"/>
  <c r="G31" i="126"/>
  <c r="H31" i="126"/>
  <c r="L31" i="126"/>
  <c r="Y31" i="33"/>
  <c r="D31" i="127"/>
  <c r="E31" i="127"/>
  <c r="F31" i="127"/>
  <c r="G31" i="127"/>
  <c r="H31" i="127"/>
  <c r="L31" i="127"/>
  <c r="Z31" i="33"/>
  <c r="D31" i="128"/>
  <c r="E31" i="128"/>
  <c r="F31" i="128"/>
  <c r="G31" i="128"/>
  <c r="H31" i="128"/>
  <c r="L31" i="128"/>
  <c r="AA31" i="33"/>
  <c r="D31" i="129"/>
  <c r="E31" i="129"/>
  <c r="F31" i="129"/>
  <c r="G31" i="129"/>
  <c r="H31" i="129"/>
  <c r="L31" i="129"/>
  <c r="AB31" i="33"/>
  <c r="D31" i="131"/>
  <c r="E31" i="131"/>
  <c r="F31" i="131"/>
  <c r="G31" i="131"/>
  <c r="H31" i="131"/>
  <c r="L31" i="131"/>
  <c r="AC31" i="33"/>
  <c r="AF31" i="33"/>
  <c r="AG31" i="33"/>
  <c r="AH31" i="33"/>
  <c r="AI31" i="33"/>
  <c r="C32" i="33"/>
  <c r="K32" i="33"/>
  <c r="L32" i="33"/>
  <c r="M32" i="33"/>
  <c r="N32" i="33"/>
  <c r="D32" i="119"/>
  <c r="E32" i="119"/>
  <c r="F32" i="119"/>
  <c r="G32" i="119"/>
  <c r="H32" i="119"/>
  <c r="L32" i="119"/>
  <c r="V32" i="33"/>
  <c r="D32" i="120"/>
  <c r="E32" i="120"/>
  <c r="F32" i="120"/>
  <c r="G32" i="120"/>
  <c r="H32" i="120"/>
  <c r="L32" i="120"/>
  <c r="W32" i="33"/>
  <c r="D32" i="125"/>
  <c r="E32" i="125"/>
  <c r="F32" i="125"/>
  <c r="G32" i="125"/>
  <c r="H32" i="125"/>
  <c r="L32" i="125"/>
  <c r="X32" i="33"/>
  <c r="D32" i="126"/>
  <c r="E32" i="126"/>
  <c r="F32" i="126"/>
  <c r="G32" i="126"/>
  <c r="H32" i="126"/>
  <c r="L32" i="126"/>
  <c r="Y32" i="33"/>
  <c r="D32" i="127"/>
  <c r="E32" i="127"/>
  <c r="F32" i="127"/>
  <c r="G32" i="127"/>
  <c r="H32" i="127"/>
  <c r="L32" i="127"/>
  <c r="Z32" i="33"/>
  <c r="D32" i="128"/>
  <c r="E32" i="128"/>
  <c r="F32" i="128"/>
  <c r="G32" i="128"/>
  <c r="H32" i="128"/>
  <c r="L32" i="128"/>
  <c r="AA32" i="33"/>
  <c r="D32" i="129"/>
  <c r="E32" i="129"/>
  <c r="F32" i="129"/>
  <c r="G32" i="129"/>
  <c r="H32" i="129"/>
  <c r="L32" i="129"/>
  <c r="AB32" i="33"/>
  <c r="D32" i="131"/>
  <c r="E32" i="131"/>
  <c r="F32" i="131"/>
  <c r="G32" i="131"/>
  <c r="H32" i="131"/>
  <c r="L32" i="131"/>
  <c r="AC32" i="33"/>
  <c r="AF32" i="33"/>
  <c r="AG32" i="33"/>
  <c r="AH32" i="33"/>
  <c r="AI32" i="33"/>
  <c r="C33" i="33"/>
  <c r="K33" i="33"/>
  <c r="L33" i="33"/>
  <c r="M33" i="33"/>
  <c r="N33" i="33"/>
  <c r="D33" i="119"/>
  <c r="E33" i="119"/>
  <c r="F33" i="119"/>
  <c r="G33" i="119"/>
  <c r="H33" i="119"/>
  <c r="L33" i="119"/>
  <c r="V33" i="33"/>
  <c r="D33" i="120"/>
  <c r="E33" i="120"/>
  <c r="F33" i="120"/>
  <c r="G33" i="120"/>
  <c r="H33" i="120"/>
  <c r="L33" i="120"/>
  <c r="W33" i="33"/>
  <c r="D33" i="125"/>
  <c r="E33" i="125"/>
  <c r="F33" i="125"/>
  <c r="G33" i="125"/>
  <c r="H33" i="125"/>
  <c r="L33" i="125"/>
  <c r="X33" i="33"/>
  <c r="D33" i="126"/>
  <c r="E33" i="126"/>
  <c r="F33" i="126"/>
  <c r="G33" i="126"/>
  <c r="H33" i="126"/>
  <c r="L33" i="126"/>
  <c r="Y33" i="33"/>
  <c r="D33" i="127"/>
  <c r="E33" i="127"/>
  <c r="F33" i="127"/>
  <c r="G33" i="127"/>
  <c r="H33" i="127"/>
  <c r="L33" i="127"/>
  <c r="Z33" i="33"/>
  <c r="D33" i="128"/>
  <c r="E33" i="128"/>
  <c r="F33" i="128"/>
  <c r="G33" i="128"/>
  <c r="H33" i="128"/>
  <c r="L33" i="128"/>
  <c r="AA33" i="33"/>
  <c r="D33" i="129"/>
  <c r="E33" i="129"/>
  <c r="F33" i="129"/>
  <c r="G33" i="129"/>
  <c r="H33" i="129"/>
  <c r="L33" i="129"/>
  <c r="AB33" i="33"/>
  <c r="D33" i="131"/>
  <c r="E33" i="131"/>
  <c r="F33" i="131"/>
  <c r="G33" i="131"/>
  <c r="H33" i="131"/>
  <c r="L33" i="131"/>
  <c r="AC33" i="33"/>
  <c r="AF33" i="33"/>
  <c r="AG33" i="33"/>
  <c r="AH33" i="33"/>
  <c r="AI33" i="33"/>
  <c r="C34" i="33"/>
  <c r="K34" i="33"/>
  <c r="L34" i="33"/>
  <c r="M34" i="33"/>
  <c r="N34" i="33"/>
  <c r="D34" i="119"/>
  <c r="E34" i="119"/>
  <c r="F34" i="119"/>
  <c r="G34" i="119"/>
  <c r="H34" i="119"/>
  <c r="L34" i="119"/>
  <c r="V34" i="33"/>
  <c r="D34" i="120"/>
  <c r="E34" i="120"/>
  <c r="F34" i="120"/>
  <c r="G34" i="120"/>
  <c r="H34" i="120"/>
  <c r="L34" i="120"/>
  <c r="W34" i="33"/>
  <c r="D34" i="125"/>
  <c r="E34" i="125"/>
  <c r="F34" i="125"/>
  <c r="G34" i="125"/>
  <c r="H34" i="125"/>
  <c r="L34" i="125"/>
  <c r="X34" i="33"/>
  <c r="D34" i="126"/>
  <c r="E34" i="126"/>
  <c r="F34" i="126"/>
  <c r="G34" i="126"/>
  <c r="H34" i="126"/>
  <c r="L34" i="126"/>
  <c r="Y34" i="33"/>
  <c r="D34" i="127"/>
  <c r="E34" i="127"/>
  <c r="F34" i="127"/>
  <c r="G34" i="127"/>
  <c r="H34" i="127"/>
  <c r="L34" i="127"/>
  <c r="Z34" i="33"/>
  <c r="D34" i="128"/>
  <c r="E34" i="128"/>
  <c r="F34" i="128"/>
  <c r="G34" i="128"/>
  <c r="H34" i="128"/>
  <c r="L34" i="128"/>
  <c r="AA34" i="33"/>
  <c r="D34" i="129"/>
  <c r="E34" i="129"/>
  <c r="F34" i="129"/>
  <c r="G34" i="129"/>
  <c r="H34" i="129"/>
  <c r="L34" i="129"/>
  <c r="AB34" i="33"/>
  <c r="D34" i="131"/>
  <c r="E34" i="131"/>
  <c r="F34" i="131"/>
  <c r="G34" i="131"/>
  <c r="H34" i="131"/>
  <c r="L34" i="131"/>
  <c r="AC34" i="33"/>
  <c r="AF34" i="33"/>
  <c r="AG34" i="33"/>
  <c r="AH34" i="33"/>
  <c r="AI34" i="33"/>
  <c r="C35" i="33"/>
  <c r="K35" i="33"/>
  <c r="L35" i="33"/>
  <c r="M35" i="33"/>
  <c r="N35" i="33"/>
  <c r="D35" i="119"/>
  <c r="E35" i="119"/>
  <c r="F35" i="119"/>
  <c r="G35" i="119"/>
  <c r="H35" i="119"/>
  <c r="L35" i="119"/>
  <c r="V35" i="33"/>
  <c r="D35" i="120"/>
  <c r="E35" i="120"/>
  <c r="F35" i="120"/>
  <c r="G35" i="120"/>
  <c r="H35" i="120"/>
  <c r="L35" i="120"/>
  <c r="W35" i="33"/>
  <c r="D35" i="125"/>
  <c r="E35" i="125"/>
  <c r="F35" i="125"/>
  <c r="G35" i="125"/>
  <c r="H35" i="125"/>
  <c r="L35" i="125"/>
  <c r="X35" i="33"/>
  <c r="D35" i="126"/>
  <c r="E35" i="126"/>
  <c r="F35" i="126"/>
  <c r="G35" i="126"/>
  <c r="H35" i="126"/>
  <c r="L35" i="126"/>
  <c r="Y35" i="33"/>
  <c r="D35" i="127"/>
  <c r="E35" i="127"/>
  <c r="F35" i="127"/>
  <c r="G35" i="127"/>
  <c r="H35" i="127"/>
  <c r="L35" i="127"/>
  <c r="Z35" i="33"/>
  <c r="D35" i="128"/>
  <c r="E35" i="128"/>
  <c r="F35" i="128"/>
  <c r="G35" i="128"/>
  <c r="H35" i="128"/>
  <c r="L35" i="128"/>
  <c r="AA35" i="33"/>
  <c r="D35" i="129"/>
  <c r="E35" i="129"/>
  <c r="F35" i="129"/>
  <c r="G35" i="129"/>
  <c r="H35" i="129"/>
  <c r="L35" i="129"/>
  <c r="AB35" i="33"/>
  <c r="D35" i="131"/>
  <c r="E35" i="131"/>
  <c r="F35" i="131"/>
  <c r="G35" i="131"/>
  <c r="H35" i="131"/>
  <c r="L35" i="131"/>
  <c r="AC35" i="33"/>
  <c r="AF35" i="33"/>
  <c r="AG35" i="33"/>
  <c r="AH35" i="33"/>
  <c r="AI35" i="33"/>
  <c r="C36" i="33"/>
  <c r="K36" i="33"/>
  <c r="L36" i="33"/>
  <c r="M36" i="33"/>
  <c r="N36" i="33"/>
  <c r="D36" i="119"/>
  <c r="E36" i="119"/>
  <c r="F36" i="119"/>
  <c r="G36" i="119"/>
  <c r="H36" i="119"/>
  <c r="L36" i="119"/>
  <c r="V36" i="33"/>
  <c r="D36" i="120"/>
  <c r="E36" i="120"/>
  <c r="F36" i="120"/>
  <c r="G36" i="120"/>
  <c r="H36" i="120"/>
  <c r="L36" i="120"/>
  <c r="W36" i="33"/>
  <c r="D36" i="125"/>
  <c r="E36" i="125"/>
  <c r="F36" i="125"/>
  <c r="G36" i="125"/>
  <c r="H36" i="125"/>
  <c r="L36" i="125"/>
  <c r="X36" i="33"/>
  <c r="D36" i="126"/>
  <c r="E36" i="126"/>
  <c r="F36" i="126"/>
  <c r="G36" i="126"/>
  <c r="H36" i="126"/>
  <c r="L36" i="126"/>
  <c r="Y36" i="33"/>
  <c r="D36" i="127"/>
  <c r="E36" i="127"/>
  <c r="F36" i="127"/>
  <c r="G36" i="127"/>
  <c r="H36" i="127"/>
  <c r="L36" i="127"/>
  <c r="Z36" i="33"/>
  <c r="D36" i="128"/>
  <c r="E36" i="128"/>
  <c r="F36" i="128"/>
  <c r="G36" i="128"/>
  <c r="H36" i="128"/>
  <c r="L36" i="128"/>
  <c r="AA36" i="33"/>
  <c r="D36" i="129"/>
  <c r="E36" i="129"/>
  <c r="F36" i="129"/>
  <c r="G36" i="129"/>
  <c r="H36" i="129"/>
  <c r="L36" i="129"/>
  <c r="AB36" i="33"/>
  <c r="D36" i="131"/>
  <c r="E36" i="131"/>
  <c r="F36" i="131"/>
  <c r="G36" i="131"/>
  <c r="H36" i="131"/>
  <c r="L36" i="131"/>
  <c r="AC36" i="33"/>
  <c r="AF36" i="33"/>
  <c r="AG36" i="33"/>
  <c r="AH36" i="33"/>
  <c r="AI36" i="33"/>
  <c r="C37" i="33"/>
  <c r="K37" i="33"/>
  <c r="L37" i="33"/>
  <c r="M37" i="33"/>
  <c r="N37" i="33"/>
  <c r="D37" i="119"/>
  <c r="E37" i="119"/>
  <c r="F37" i="119"/>
  <c r="G37" i="119"/>
  <c r="H37" i="119"/>
  <c r="L37" i="119"/>
  <c r="V37" i="33"/>
  <c r="D37" i="120"/>
  <c r="E37" i="120"/>
  <c r="F37" i="120"/>
  <c r="G37" i="120"/>
  <c r="H37" i="120"/>
  <c r="L37" i="120"/>
  <c r="W37" i="33"/>
  <c r="D37" i="125"/>
  <c r="E37" i="125"/>
  <c r="F37" i="125"/>
  <c r="G37" i="125"/>
  <c r="H37" i="125"/>
  <c r="L37" i="125"/>
  <c r="X37" i="33"/>
  <c r="D37" i="126"/>
  <c r="E37" i="126"/>
  <c r="F37" i="126"/>
  <c r="G37" i="126"/>
  <c r="H37" i="126"/>
  <c r="L37" i="126"/>
  <c r="Y37" i="33"/>
  <c r="D37" i="127"/>
  <c r="E37" i="127"/>
  <c r="F37" i="127"/>
  <c r="G37" i="127"/>
  <c r="H37" i="127"/>
  <c r="L37" i="127"/>
  <c r="Z37" i="33"/>
  <c r="D37" i="128"/>
  <c r="E37" i="128"/>
  <c r="F37" i="128"/>
  <c r="G37" i="128"/>
  <c r="H37" i="128"/>
  <c r="L37" i="128"/>
  <c r="AA37" i="33"/>
  <c r="D37" i="129"/>
  <c r="E37" i="129"/>
  <c r="F37" i="129"/>
  <c r="G37" i="129"/>
  <c r="H37" i="129"/>
  <c r="L37" i="129"/>
  <c r="AB37" i="33"/>
  <c r="D37" i="131"/>
  <c r="E37" i="131"/>
  <c r="F37" i="131"/>
  <c r="G37" i="131"/>
  <c r="H37" i="131"/>
  <c r="L37" i="131"/>
  <c r="AC37" i="33"/>
  <c r="AF37" i="33"/>
  <c r="AG37" i="33"/>
  <c r="AH37" i="33"/>
  <c r="AI37" i="33"/>
  <c r="C38" i="33"/>
  <c r="K38" i="33"/>
  <c r="L38" i="33"/>
  <c r="M38" i="33"/>
  <c r="N38" i="33"/>
  <c r="D38" i="119"/>
  <c r="E38" i="119"/>
  <c r="F38" i="119"/>
  <c r="G38" i="119"/>
  <c r="H38" i="119"/>
  <c r="L38" i="119"/>
  <c r="V38" i="33"/>
  <c r="D38" i="120"/>
  <c r="E38" i="120"/>
  <c r="F38" i="120"/>
  <c r="G38" i="120"/>
  <c r="H38" i="120"/>
  <c r="L38" i="120"/>
  <c r="W38" i="33"/>
  <c r="D38" i="125"/>
  <c r="E38" i="125"/>
  <c r="F38" i="125"/>
  <c r="G38" i="125"/>
  <c r="H38" i="125"/>
  <c r="L38" i="125"/>
  <c r="X38" i="33"/>
  <c r="D38" i="126"/>
  <c r="E38" i="126"/>
  <c r="F38" i="126"/>
  <c r="G38" i="126"/>
  <c r="H38" i="126"/>
  <c r="L38" i="126"/>
  <c r="Y38" i="33"/>
  <c r="D38" i="127"/>
  <c r="E38" i="127"/>
  <c r="F38" i="127"/>
  <c r="G38" i="127"/>
  <c r="H38" i="127"/>
  <c r="L38" i="127"/>
  <c r="Z38" i="33"/>
  <c r="D38" i="128"/>
  <c r="E38" i="128"/>
  <c r="F38" i="128"/>
  <c r="G38" i="128"/>
  <c r="H38" i="128"/>
  <c r="L38" i="128"/>
  <c r="AA38" i="33"/>
  <c r="D38" i="129"/>
  <c r="E38" i="129"/>
  <c r="F38" i="129"/>
  <c r="G38" i="129"/>
  <c r="H38" i="129"/>
  <c r="L38" i="129"/>
  <c r="AB38" i="33"/>
  <c r="D38" i="131"/>
  <c r="E38" i="131"/>
  <c r="F38" i="131"/>
  <c r="G38" i="131"/>
  <c r="H38" i="131"/>
  <c r="L38" i="131"/>
  <c r="AC38" i="33"/>
  <c r="AF38" i="33"/>
  <c r="AG38" i="33"/>
  <c r="AH38" i="33"/>
  <c r="AI38" i="33"/>
  <c r="C39" i="33"/>
  <c r="K39" i="33"/>
  <c r="L39" i="33"/>
  <c r="M39" i="33"/>
  <c r="N39" i="33"/>
  <c r="D39" i="119"/>
  <c r="E39" i="119"/>
  <c r="F39" i="119"/>
  <c r="G39" i="119"/>
  <c r="H39" i="119"/>
  <c r="L39" i="119"/>
  <c r="V39" i="33"/>
  <c r="D39" i="120"/>
  <c r="E39" i="120"/>
  <c r="F39" i="120"/>
  <c r="G39" i="120"/>
  <c r="H39" i="120"/>
  <c r="L39" i="120"/>
  <c r="W39" i="33"/>
  <c r="D39" i="125"/>
  <c r="E39" i="125"/>
  <c r="F39" i="125"/>
  <c r="G39" i="125"/>
  <c r="H39" i="125"/>
  <c r="L39" i="125"/>
  <c r="X39" i="33"/>
  <c r="D39" i="126"/>
  <c r="E39" i="126"/>
  <c r="F39" i="126"/>
  <c r="G39" i="126"/>
  <c r="H39" i="126"/>
  <c r="L39" i="126"/>
  <c r="Y39" i="33"/>
  <c r="D39" i="127"/>
  <c r="E39" i="127"/>
  <c r="F39" i="127"/>
  <c r="G39" i="127"/>
  <c r="H39" i="127"/>
  <c r="L39" i="127"/>
  <c r="Z39" i="33"/>
  <c r="D39" i="128"/>
  <c r="E39" i="128"/>
  <c r="F39" i="128"/>
  <c r="G39" i="128"/>
  <c r="H39" i="128"/>
  <c r="L39" i="128"/>
  <c r="AA39" i="33"/>
  <c r="D39" i="129"/>
  <c r="E39" i="129"/>
  <c r="F39" i="129"/>
  <c r="G39" i="129"/>
  <c r="H39" i="129"/>
  <c r="L39" i="129"/>
  <c r="AB39" i="33"/>
  <c r="D39" i="131"/>
  <c r="E39" i="131"/>
  <c r="F39" i="131"/>
  <c r="G39" i="131"/>
  <c r="H39" i="131"/>
  <c r="L39" i="131"/>
  <c r="AC39" i="33"/>
  <c r="AF39" i="33"/>
  <c r="AG39" i="33"/>
  <c r="AH39" i="33"/>
  <c r="AI39" i="33"/>
  <c r="C40" i="33"/>
  <c r="K40" i="33"/>
  <c r="L40" i="33"/>
  <c r="M40" i="33"/>
  <c r="N40" i="33"/>
  <c r="D40" i="119"/>
  <c r="E40" i="119"/>
  <c r="F40" i="119"/>
  <c r="G40" i="119"/>
  <c r="H40" i="119"/>
  <c r="L40" i="119"/>
  <c r="V40" i="33"/>
  <c r="D40" i="120"/>
  <c r="E40" i="120"/>
  <c r="F40" i="120"/>
  <c r="G40" i="120"/>
  <c r="H40" i="120"/>
  <c r="L40" i="120"/>
  <c r="W40" i="33"/>
  <c r="D40" i="125"/>
  <c r="E40" i="125"/>
  <c r="F40" i="125"/>
  <c r="G40" i="125"/>
  <c r="H40" i="125"/>
  <c r="L40" i="125"/>
  <c r="X40" i="33"/>
  <c r="D40" i="126"/>
  <c r="E40" i="126"/>
  <c r="F40" i="126"/>
  <c r="G40" i="126"/>
  <c r="H40" i="126"/>
  <c r="L40" i="126"/>
  <c r="Y40" i="33"/>
  <c r="D40" i="127"/>
  <c r="E40" i="127"/>
  <c r="F40" i="127"/>
  <c r="G40" i="127"/>
  <c r="H40" i="127"/>
  <c r="L40" i="127"/>
  <c r="Z40" i="33"/>
  <c r="D40" i="128"/>
  <c r="E40" i="128"/>
  <c r="F40" i="128"/>
  <c r="G40" i="128"/>
  <c r="H40" i="128"/>
  <c r="L40" i="128"/>
  <c r="AA40" i="33"/>
  <c r="D40" i="129"/>
  <c r="E40" i="129"/>
  <c r="F40" i="129"/>
  <c r="G40" i="129"/>
  <c r="H40" i="129"/>
  <c r="L40" i="129"/>
  <c r="AB40" i="33"/>
  <c r="D40" i="131"/>
  <c r="E40" i="131"/>
  <c r="F40" i="131"/>
  <c r="G40" i="131"/>
  <c r="H40" i="131"/>
  <c r="L40" i="131"/>
  <c r="AC40" i="33"/>
  <c r="AF40" i="33"/>
  <c r="AG40" i="33"/>
  <c r="AH40" i="33"/>
  <c r="AI40" i="33"/>
  <c r="C41" i="33"/>
  <c r="K41" i="33"/>
  <c r="L41" i="33"/>
  <c r="M41" i="33"/>
  <c r="N41" i="33"/>
  <c r="D41" i="119"/>
  <c r="E41" i="119"/>
  <c r="F41" i="119"/>
  <c r="G41" i="119"/>
  <c r="H41" i="119"/>
  <c r="L41" i="119"/>
  <c r="V41" i="33"/>
  <c r="D41" i="120"/>
  <c r="E41" i="120"/>
  <c r="F41" i="120"/>
  <c r="G41" i="120"/>
  <c r="H41" i="120"/>
  <c r="L41" i="120"/>
  <c r="W41" i="33"/>
  <c r="D41" i="125"/>
  <c r="E41" i="125"/>
  <c r="F41" i="125"/>
  <c r="G41" i="125"/>
  <c r="H41" i="125"/>
  <c r="L41" i="125"/>
  <c r="X41" i="33"/>
  <c r="D41" i="126"/>
  <c r="E41" i="126"/>
  <c r="F41" i="126"/>
  <c r="G41" i="126"/>
  <c r="H41" i="126"/>
  <c r="L41" i="126"/>
  <c r="Y41" i="33"/>
  <c r="D41" i="127"/>
  <c r="E41" i="127"/>
  <c r="F41" i="127"/>
  <c r="G41" i="127"/>
  <c r="H41" i="127"/>
  <c r="L41" i="127"/>
  <c r="Z41" i="33"/>
  <c r="D41" i="128"/>
  <c r="E41" i="128"/>
  <c r="F41" i="128"/>
  <c r="G41" i="128"/>
  <c r="H41" i="128"/>
  <c r="L41" i="128"/>
  <c r="AA41" i="33"/>
  <c r="D41" i="129"/>
  <c r="E41" i="129"/>
  <c r="F41" i="129"/>
  <c r="G41" i="129"/>
  <c r="H41" i="129"/>
  <c r="L41" i="129"/>
  <c r="AB41" i="33"/>
  <c r="D41" i="131"/>
  <c r="E41" i="131"/>
  <c r="F41" i="131"/>
  <c r="G41" i="131"/>
  <c r="H41" i="131"/>
  <c r="L41" i="131"/>
  <c r="AC41" i="33"/>
  <c r="AF41" i="33"/>
  <c r="AG41" i="33"/>
  <c r="AH41" i="33"/>
  <c r="AI41" i="33"/>
  <c r="C42" i="33"/>
  <c r="K42" i="33"/>
  <c r="L42" i="33"/>
  <c r="M42" i="33"/>
  <c r="N42" i="33"/>
  <c r="D4" i="31"/>
  <c r="D12" i="31"/>
  <c r="E12" i="31"/>
  <c r="H12" i="31"/>
  <c r="K12" i="31"/>
  <c r="L12" i="31"/>
  <c r="D13" i="31"/>
  <c r="E13" i="31"/>
  <c r="H13" i="31"/>
  <c r="K13" i="31"/>
  <c r="L13" i="31"/>
  <c r="D14" i="31"/>
  <c r="E14" i="31"/>
  <c r="H14" i="31"/>
  <c r="K14" i="31"/>
  <c r="L14" i="31"/>
  <c r="D15" i="31"/>
  <c r="E15" i="31"/>
  <c r="H15" i="31"/>
  <c r="K15" i="31"/>
  <c r="L15" i="31"/>
  <c r="D16" i="31"/>
  <c r="E16" i="31"/>
  <c r="H16" i="31"/>
  <c r="K16" i="31"/>
  <c r="L16" i="31"/>
  <c r="D19" i="31"/>
  <c r="E19" i="31"/>
  <c r="H19" i="31"/>
  <c r="K19" i="31"/>
  <c r="L19" i="31"/>
  <c r="D20" i="31"/>
  <c r="E20" i="31"/>
  <c r="H20" i="31"/>
  <c r="K20" i="31"/>
  <c r="L20" i="31"/>
  <c r="D21" i="31"/>
  <c r="E21" i="31"/>
  <c r="H21" i="31"/>
  <c r="K21" i="31"/>
  <c r="L21" i="31"/>
  <c r="D22" i="31"/>
  <c r="E22" i="31"/>
  <c r="H22" i="31"/>
  <c r="K22" i="31"/>
  <c r="L22" i="31"/>
  <c r="D23" i="31"/>
  <c r="E23" i="31"/>
  <c r="H23" i="31"/>
  <c r="K23" i="31"/>
  <c r="L23" i="31"/>
  <c r="D24" i="31"/>
  <c r="E24" i="31"/>
  <c r="H24" i="31"/>
  <c r="K24" i="31"/>
  <c r="L24" i="31"/>
  <c r="D27" i="31"/>
  <c r="E27" i="31"/>
  <c r="H27" i="31"/>
  <c r="K27" i="31"/>
  <c r="L27" i="31"/>
  <c r="D28" i="31"/>
  <c r="E28" i="31"/>
  <c r="H28" i="31"/>
  <c r="K28" i="31"/>
  <c r="L28" i="31"/>
  <c r="D29" i="31"/>
  <c r="E29" i="31"/>
  <c r="H29" i="31"/>
  <c r="K29" i="31"/>
  <c r="L29" i="31"/>
  <c r="D30" i="31"/>
  <c r="E30" i="31"/>
  <c r="H30" i="31"/>
  <c r="K30" i="31"/>
  <c r="L30" i="31"/>
  <c r="D31" i="31"/>
  <c r="E31" i="31"/>
  <c r="H31" i="31"/>
  <c r="K31" i="31"/>
  <c r="L31" i="31"/>
  <c r="D32" i="31"/>
  <c r="E32" i="31"/>
  <c r="H32" i="31"/>
  <c r="K32" i="31"/>
  <c r="L32" i="31"/>
  <c r="D33" i="31"/>
  <c r="E33" i="31"/>
  <c r="H33" i="31"/>
  <c r="K33" i="31"/>
  <c r="L33" i="31"/>
  <c r="D34" i="31"/>
  <c r="E34" i="31"/>
  <c r="H34" i="31"/>
  <c r="K34" i="31"/>
  <c r="L34" i="31"/>
  <c r="D35" i="31"/>
  <c r="E35" i="31"/>
  <c r="H35" i="31"/>
  <c r="K35" i="31"/>
  <c r="L35" i="31"/>
  <c r="D36" i="31"/>
  <c r="E36" i="31"/>
  <c r="H36" i="31"/>
  <c r="K36" i="31"/>
  <c r="L36" i="31"/>
  <c r="D37" i="31"/>
  <c r="E37" i="31"/>
  <c r="H37" i="31"/>
  <c r="K37" i="31"/>
  <c r="L37" i="31"/>
  <c r="D38" i="31"/>
  <c r="E38" i="31"/>
  <c r="H38" i="31"/>
  <c r="K38" i="31"/>
  <c r="L38" i="31"/>
  <c r="D39" i="31"/>
  <c r="E39" i="31"/>
  <c r="H39" i="31"/>
  <c r="K39" i="31"/>
  <c r="L39" i="31"/>
  <c r="D40" i="31"/>
  <c r="E40" i="31"/>
  <c r="H40" i="31"/>
  <c r="K40" i="31"/>
  <c r="L40" i="31"/>
  <c r="D41" i="31"/>
  <c r="E41" i="31"/>
  <c r="H41" i="31"/>
  <c r="K41" i="31"/>
  <c r="L41" i="31"/>
  <c r="D42" i="31"/>
  <c r="E42" i="31"/>
  <c r="H42" i="31"/>
  <c r="K42" i="31"/>
  <c r="L42" i="31"/>
  <c r="D43" i="31"/>
  <c r="E43" i="31"/>
  <c r="H43" i="31"/>
  <c r="K43" i="31"/>
  <c r="L43" i="31"/>
  <c r="D44" i="31"/>
  <c r="E44" i="31"/>
  <c r="H44" i="31"/>
  <c r="K44" i="31"/>
  <c r="L44" i="31"/>
  <c r="D45" i="31"/>
  <c r="E45" i="31"/>
  <c r="H45" i="31"/>
  <c r="K45" i="31"/>
  <c r="L45" i="31"/>
  <c r="D46" i="31"/>
  <c r="E46" i="31"/>
  <c r="H46" i="31"/>
  <c r="K46" i="31"/>
  <c r="L46" i="31"/>
  <c r="D47" i="31"/>
  <c r="E47" i="31"/>
  <c r="H47" i="31"/>
  <c r="K47" i="31"/>
  <c r="L47" i="31"/>
  <c r="D48" i="31"/>
  <c r="E48" i="31"/>
  <c r="H48" i="31"/>
  <c r="K48" i="31"/>
  <c r="L48" i="31"/>
  <c r="D49" i="31"/>
  <c r="E49" i="31"/>
  <c r="H49" i="31"/>
  <c r="K49" i="31"/>
  <c r="L49" i="31"/>
  <c r="D50" i="31"/>
  <c r="E50" i="31"/>
  <c r="H50" i="31"/>
  <c r="K50" i="31"/>
  <c r="L50" i="31"/>
  <c r="D51" i="31"/>
  <c r="E51" i="31"/>
  <c r="H51" i="31"/>
  <c r="K51" i="31"/>
  <c r="L51" i="31"/>
  <c r="D52" i="31"/>
  <c r="E52" i="31"/>
  <c r="H52" i="31"/>
  <c r="K52" i="31"/>
  <c r="L52" i="31"/>
  <c r="D53" i="31"/>
  <c r="E53" i="31"/>
  <c r="H53" i="31"/>
  <c r="K53" i="31"/>
  <c r="L53" i="31"/>
  <c r="D54" i="31"/>
  <c r="E54" i="31"/>
  <c r="H54" i="31"/>
  <c r="K54" i="31"/>
  <c r="L54" i="31"/>
  <c r="D55" i="31"/>
  <c r="E55" i="31"/>
  <c r="H55" i="31"/>
  <c r="K55" i="31"/>
  <c r="L55" i="31"/>
  <c r="D56" i="31"/>
  <c r="E56" i="31"/>
  <c r="H56" i="31"/>
  <c r="K56" i="31"/>
  <c r="L56" i="31"/>
  <c r="D57" i="31"/>
  <c r="E57" i="31"/>
  <c r="H57" i="31"/>
  <c r="K57" i="31"/>
  <c r="L57" i="31"/>
  <c r="D58" i="31"/>
  <c r="E58" i="31"/>
  <c r="H58" i="31"/>
  <c r="K58" i="31"/>
  <c r="L58" i="31"/>
  <c r="D59" i="31"/>
  <c r="E59" i="31"/>
  <c r="H59" i="31"/>
  <c r="K59" i="31"/>
  <c r="L59" i="31"/>
  <c r="D60" i="31"/>
  <c r="E60" i="31"/>
  <c r="H60" i="31"/>
  <c r="K60" i="31"/>
  <c r="L60" i="31"/>
  <c r="D61" i="31"/>
  <c r="E61" i="31"/>
  <c r="H61" i="31"/>
  <c r="K61" i="31"/>
  <c r="L61" i="31"/>
  <c r="D62" i="31"/>
  <c r="E62" i="31"/>
  <c r="H62" i="31"/>
  <c r="K62" i="31"/>
  <c r="L62" i="31"/>
  <c r="D63" i="31"/>
  <c r="E63" i="31"/>
  <c r="H63" i="31"/>
  <c r="K63" i="31"/>
  <c r="L63" i="31"/>
  <c r="D64" i="31"/>
  <c r="E64" i="31"/>
  <c r="H64" i="31"/>
  <c r="K64" i="31"/>
  <c r="L64" i="31"/>
  <c r="D65" i="31"/>
  <c r="E65" i="31"/>
  <c r="H65" i="31"/>
  <c r="K65" i="31"/>
  <c r="L65" i="31"/>
  <c r="D66" i="31"/>
  <c r="E66" i="31"/>
  <c r="H66" i="31"/>
  <c r="K66" i="31"/>
  <c r="L66" i="31"/>
  <c r="D67" i="31"/>
  <c r="E67" i="31"/>
  <c r="H67" i="31"/>
  <c r="K67" i="31"/>
  <c r="L67" i="31"/>
  <c r="D68" i="31"/>
  <c r="E68" i="31"/>
  <c r="H68" i="31"/>
  <c r="K68" i="31"/>
  <c r="L68" i="31"/>
  <c r="D69" i="31"/>
  <c r="E69" i="31"/>
  <c r="H69" i="31"/>
  <c r="K69" i="31"/>
  <c r="L69" i="31"/>
  <c r="D70" i="31"/>
  <c r="E70" i="31"/>
  <c r="H70" i="31"/>
  <c r="K70" i="31"/>
  <c r="L70" i="31"/>
  <c r="D71" i="31"/>
  <c r="E71" i="31"/>
  <c r="H71" i="31"/>
  <c r="K71" i="31"/>
  <c r="L71" i="31"/>
  <c r="D72" i="31"/>
  <c r="E72" i="31"/>
  <c r="H72" i="31"/>
  <c r="K72" i="31"/>
  <c r="L72" i="31"/>
  <c r="L73" i="31"/>
  <c r="D8" i="31"/>
  <c r="E8" i="31"/>
  <c r="H8" i="31"/>
  <c r="K8" i="31"/>
  <c r="L8" i="31"/>
  <c r="D9" i="31"/>
  <c r="E9" i="31"/>
  <c r="H9" i="31"/>
  <c r="K9" i="31"/>
  <c r="L9" i="31"/>
  <c r="L74" i="31"/>
  <c r="O42" i="33"/>
  <c r="D42" i="119"/>
  <c r="E42" i="119"/>
  <c r="F42" i="119"/>
  <c r="G42" i="119"/>
  <c r="H42" i="119"/>
  <c r="L42" i="119"/>
  <c r="V42" i="33"/>
  <c r="D42" i="120"/>
  <c r="E42" i="120"/>
  <c r="F42" i="120"/>
  <c r="G42" i="120"/>
  <c r="H42" i="120"/>
  <c r="L42" i="120"/>
  <c r="W42" i="33"/>
  <c r="D42" i="125"/>
  <c r="E42" i="125"/>
  <c r="F42" i="125"/>
  <c r="G42" i="125"/>
  <c r="H42" i="125"/>
  <c r="L42" i="125"/>
  <c r="X42" i="33"/>
  <c r="D42" i="126"/>
  <c r="E42" i="126"/>
  <c r="F42" i="126"/>
  <c r="G42" i="126"/>
  <c r="H42" i="126"/>
  <c r="L42" i="126"/>
  <c r="Y42" i="33"/>
  <c r="D42" i="127"/>
  <c r="E42" i="127"/>
  <c r="F42" i="127"/>
  <c r="G42" i="127"/>
  <c r="H42" i="127"/>
  <c r="L42" i="127"/>
  <c r="Z42" i="33"/>
  <c r="D42" i="128"/>
  <c r="E42" i="128"/>
  <c r="F42" i="128"/>
  <c r="G42" i="128"/>
  <c r="H42" i="128"/>
  <c r="L42" i="128"/>
  <c r="AA42" i="33"/>
  <c r="D42" i="129"/>
  <c r="E42" i="129"/>
  <c r="F42" i="129"/>
  <c r="G42" i="129"/>
  <c r="H42" i="129"/>
  <c r="L42" i="129"/>
  <c r="AB42" i="33"/>
  <c r="D42" i="131"/>
  <c r="E42" i="131"/>
  <c r="F42" i="131"/>
  <c r="G42" i="131"/>
  <c r="H42" i="131"/>
  <c r="L42" i="131"/>
  <c r="AC42" i="33"/>
  <c r="AF42" i="33"/>
  <c r="AG42" i="33"/>
  <c r="AH42" i="33"/>
  <c r="AI42" i="33"/>
  <c r="C43" i="33"/>
  <c r="K43" i="33"/>
  <c r="L43" i="33"/>
  <c r="M43" i="33"/>
  <c r="N43" i="33"/>
  <c r="D43" i="119"/>
  <c r="E43" i="119"/>
  <c r="F43" i="119"/>
  <c r="G43" i="119"/>
  <c r="H43" i="119"/>
  <c r="L43" i="119"/>
  <c r="V43" i="33"/>
  <c r="D43" i="120"/>
  <c r="E43" i="120"/>
  <c r="F43" i="120"/>
  <c r="G43" i="120"/>
  <c r="H43" i="120"/>
  <c r="L43" i="120"/>
  <c r="W43" i="33"/>
  <c r="D43" i="125"/>
  <c r="E43" i="125"/>
  <c r="F43" i="125"/>
  <c r="G43" i="125"/>
  <c r="H43" i="125"/>
  <c r="L43" i="125"/>
  <c r="X43" i="33"/>
  <c r="D43" i="126"/>
  <c r="E43" i="126"/>
  <c r="F43" i="126"/>
  <c r="G43" i="126"/>
  <c r="H43" i="126"/>
  <c r="L43" i="126"/>
  <c r="Y43" i="33"/>
  <c r="D43" i="127"/>
  <c r="E43" i="127"/>
  <c r="F43" i="127"/>
  <c r="G43" i="127"/>
  <c r="H43" i="127"/>
  <c r="L43" i="127"/>
  <c r="Z43" i="33"/>
  <c r="D43" i="128"/>
  <c r="E43" i="128"/>
  <c r="F43" i="128"/>
  <c r="G43" i="128"/>
  <c r="H43" i="128"/>
  <c r="L43" i="128"/>
  <c r="AA43" i="33"/>
  <c r="D43" i="129"/>
  <c r="E43" i="129"/>
  <c r="F43" i="129"/>
  <c r="G43" i="129"/>
  <c r="H43" i="129"/>
  <c r="L43" i="129"/>
  <c r="AB43" i="33"/>
  <c r="D43" i="131"/>
  <c r="E43" i="131"/>
  <c r="F43" i="131"/>
  <c r="G43" i="131"/>
  <c r="H43" i="131"/>
  <c r="L43" i="131"/>
  <c r="AC43" i="33"/>
  <c r="AF43" i="33"/>
  <c r="AG43" i="33"/>
  <c r="AH43" i="33"/>
  <c r="AI43" i="33"/>
  <c r="C44" i="33"/>
  <c r="K44" i="33"/>
  <c r="L44" i="33"/>
  <c r="M44" i="33"/>
  <c r="N44" i="33"/>
  <c r="D44" i="119"/>
  <c r="E44" i="119"/>
  <c r="F44" i="119"/>
  <c r="G44" i="119"/>
  <c r="H44" i="119"/>
  <c r="L44" i="119"/>
  <c r="V44" i="33"/>
  <c r="D44" i="120"/>
  <c r="E44" i="120"/>
  <c r="F44" i="120"/>
  <c r="G44" i="120"/>
  <c r="H44" i="120"/>
  <c r="L44" i="120"/>
  <c r="W44" i="33"/>
  <c r="D44" i="125"/>
  <c r="E44" i="125"/>
  <c r="F44" i="125"/>
  <c r="G44" i="125"/>
  <c r="H44" i="125"/>
  <c r="L44" i="125"/>
  <c r="X44" i="33"/>
  <c r="D44" i="126"/>
  <c r="E44" i="126"/>
  <c r="F44" i="126"/>
  <c r="G44" i="126"/>
  <c r="H44" i="126"/>
  <c r="L44" i="126"/>
  <c r="Y44" i="33"/>
  <c r="D44" i="127"/>
  <c r="E44" i="127"/>
  <c r="F44" i="127"/>
  <c r="G44" i="127"/>
  <c r="H44" i="127"/>
  <c r="L44" i="127"/>
  <c r="Z44" i="33"/>
  <c r="D44" i="128"/>
  <c r="E44" i="128"/>
  <c r="F44" i="128"/>
  <c r="G44" i="128"/>
  <c r="H44" i="128"/>
  <c r="L44" i="128"/>
  <c r="AA44" i="33"/>
  <c r="D44" i="129"/>
  <c r="E44" i="129"/>
  <c r="F44" i="129"/>
  <c r="G44" i="129"/>
  <c r="H44" i="129"/>
  <c r="L44" i="129"/>
  <c r="AB44" i="33"/>
  <c r="D44" i="131"/>
  <c r="E44" i="131"/>
  <c r="F44" i="131"/>
  <c r="G44" i="131"/>
  <c r="H44" i="131"/>
  <c r="L44" i="131"/>
  <c r="AC44" i="33"/>
  <c r="AF44" i="33"/>
  <c r="AG44" i="33"/>
  <c r="AH44" i="33"/>
  <c r="AI44" i="33"/>
  <c r="C45" i="33"/>
  <c r="K45" i="33"/>
  <c r="L45" i="33"/>
  <c r="M45" i="33"/>
  <c r="N45" i="33"/>
  <c r="D45" i="119"/>
  <c r="E45" i="119"/>
  <c r="F45" i="119"/>
  <c r="G45" i="119"/>
  <c r="H45" i="119"/>
  <c r="L45" i="119"/>
  <c r="V45" i="33"/>
  <c r="D45" i="120"/>
  <c r="E45" i="120"/>
  <c r="F45" i="120"/>
  <c r="G45" i="120"/>
  <c r="H45" i="120"/>
  <c r="L45" i="120"/>
  <c r="W45" i="33"/>
  <c r="D45" i="125"/>
  <c r="E45" i="125"/>
  <c r="F45" i="125"/>
  <c r="G45" i="125"/>
  <c r="H45" i="125"/>
  <c r="L45" i="125"/>
  <c r="X45" i="33"/>
  <c r="D45" i="126"/>
  <c r="E45" i="126"/>
  <c r="F45" i="126"/>
  <c r="G45" i="126"/>
  <c r="H45" i="126"/>
  <c r="L45" i="126"/>
  <c r="Y45" i="33"/>
  <c r="D45" i="127"/>
  <c r="E45" i="127"/>
  <c r="F45" i="127"/>
  <c r="G45" i="127"/>
  <c r="H45" i="127"/>
  <c r="L45" i="127"/>
  <c r="Z45" i="33"/>
  <c r="D45" i="128"/>
  <c r="E45" i="128"/>
  <c r="F45" i="128"/>
  <c r="G45" i="128"/>
  <c r="H45" i="128"/>
  <c r="L45" i="128"/>
  <c r="AA45" i="33"/>
  <c r="D45" i="129"/>
  <c r="E45" i="129"/>
  <c r="F45" i="129"/>
  <c r="G45" i="129"/>
  <c r="H45" i="129"/>
  <c r="L45" i="129"/>
  <c r="AB45" i="33"/>
  <c r="D45" i="131"/>
  <c r="E45" i="131"/>
  <c r="F45" i="131"/>
  <c r="G45" i="131"/>
  <c r="H45" i="131"/>
  <c r="L45" i="131"/>
  <c r="AC45" i="33"/>
  <c r="AF45" i="33"/>
  <c r="AG45" i="33"/>
  <c r="AH45" i="33"/>
  <c r="AI45" i="33"/>
  <c r="C46" i="33"/>
  <c r="K46" i="33"/>
  <c r="L46" i="33"/>
  <c r="M46" i="33"/>
  <c r="N46" i="33"/>
  <c r="D46" i="119"/>
  <c r="E46" i="119"/>
  <c r="F46" i="119"/>
  <c r="G46" i="119"/>
  <c r="H46" i="119"/>
  <c r="L46" i="119"/>
  <c r="V46" i="33"/>
  <c r="D46" i="120"/>
  <c r="E46" i="120"/>
  <c r="F46" i="120"/>
  <c r="G46" i="120"/>
  <c r="H46" i="120"/>
  <c r="L46" i="120"/>
  <c r="W46" i="33"/>
  <c r="D46" i="125"/>
  <c r="E46" i="125"/>
  <c r="F46" i="125"/>
  <c r="G46" i="125"/>
  <c r="H46" i="125"/>
  <c r="L46" i="125"/>
  <c r="X46" i="33"/>
  <c r="D46" i="126"/>
  <c r="E46" i="126"/>
  <c r="F46" i="126"/>
  <c r="G46" i="126"/>
  <c r="H46" i="126"/>
  <c r="L46" i="126"/>
  <c r="Y46" i="33"/>
  <c r="D46" i="127"/>
  <c r="E46" i="127"/>
  <c r="F46" i="127"/>
  <c r="G46" i="127"/>
  <c r="H46" i="127"/>
  <c r="L46" i="127"/>
  <c r="Z46" i="33"/>
  <c r="D46" i="128"/>
  <c r="E46" i="128"/>
  <c r="F46" i="128"/>
  <c r="G46" i="128"/>
  <c r="H46" i="128"/>
  <c r="L46" i="128"/>
  <c r="AA46" i="33"/>
  <c r="D46" i="129"/>
  <c r="E46" i="129"/>
  <c r="F46" i="129"/>
  <c r="G46" i="129"/>
  <c r="H46" i="129"/>
  <c r="L46" i="129"/>
  <c r="AB46" i="33"/>
  <c r="D46" i="131"/>
  <c r="E46" i="131"/>
  <c r="F46" i="131"/>
  <c r="G46" i="131"/>
  <c r="H46" i="131"/>
  <c r="L46" i="131"/>
  <c r="AC46" i="33"/>
  <c r="AF46" i="33"/>
  <c r="AG46" i="33"/>
  <c r="AH46" i="33"/>
  <c r="AI46" i="33"/>
  <c r="C47" i="33"/>
  <c r="K47" i="33"/>
  <c r="L47" i="33"/>
  <c r="M47" i="33"/>
  <c r="N47" i="33"/>
  <c r="D47" i="119"/>
  <c r="E47" i="119"/>
  <c r="F47" i="119"/>
  <c r="G47" i="119"/>
  <c r="H47" i="119"/>
  <c r="L47" i="119"/>
  <c r="V47" i="33"/>
  <c r="D47" i="120"/>
  <c r="E47" i="120"/>
  <c r="F47" i="120"/>
  <c r="G47" i="120"/>
  <c r="H47" i="120"/>
  <c r="L47" i="120"/>
  <c r="W47" i="33"/>
  <c r="D47" i="125"/>
  <c r="E47" i="125"/>
  <c r="F47" i="125"/>
  <c r="G47" i="125"/>
  <c r="H47" i="125"/>
  <c r="L47" i="125"/>
  <c r="X47" i="33"/>
  <c r="D47" i="126"/>
  <c r="E47" i="126"/>
  <c r="F47" i="126"/>
  <c r="G47" i="126"/>
  <c r="H47" i="126"/>
  <c r="L47" i="126"/>
  <c r="Y47" i="33"/>
  <c r="D47" i="127"/>
  <c r="E47" i="127"/>
  <c r="F47" i="127"/>
  <c r="G47" i="127"/>
  <c r="H47" i="127"/>
  <c r="L47" i="127"/>
  <c r="Z47" i="33"/>
  <c r="D47" i="128"/>
  <c r="E47" i="128"/>
  <c r="F47" i="128"/>
  <c r="G47" i="128"/>
  <c r="H47" i="128"/>
  <c r="L47" i="128"/>
  <c r="AA47" i="33"/>
  <c r="D47" i="129"/>
  <c r="E47" i="129"/>
  <c r="F47" i="129"/>
  <c r="G47" i="129"/>
  <c r="H47" i="129"/>
  <c r="L47" i="129"/>
  <c r="AB47" i="33"/>
  <c r="D47" i="131"/>
  <c r="E47" i="131"/>
  <c r="F47" i="131"/>
  <c r="G47" i="131"/>
  <c r="H47" i="131"/>
  <c r="L47" i="131"/>
  <c r="AC47" i="33"/>
  <c r="AF47" i="33"/>
  <c r="AG47" i="33"/>
  <c r="AH47" i="33"/>
  <c r="AI47" i="33"/>
  <c r="C48" i="33"/>
  <c r="K48" i="33"/>
  <c r="L48" i="33"/>
  <c r="M48" i="33"/>
  <c r="N48" i="33"/>
  <c r="D48" i="119"/>
  <c r="E48" i="119"/>
  <c r="F48" i="119"/>
  <c r="G48" i="119"/>
  <c r="H48" i="119"/>
  <c r="L48" i="119"/>
  <c r="V48" i="33"/>
  <c r="D48" i="120"/>
  <c r="E48" i="120"/>
  <c r="F48" i="120"/>
  <c r="G48" i="120"/>
  <c r="H48" i="120"/>
  <c r="L48" i="120"/>
  <c r="W48" i="33"/>
  <c r="D48" i="125"/>
  <c r="E48" i="125"/>
  <c r="F48" i="125"/>
  <c r="G48" i="125"/>
  <c r="H48" i="125"/>
  <c r="L48" i="125"/>
  <c r="X48" i="33"/>
  <c r="D48" i="126"/>
  <c r="E48" i="126"/>
  <c r="F48" i="126"/>
  <c r="G48" i="126"/>
  <c r="H48" i="126"/>
  <c r="L48" i="126"/>
  <c r="Y48" i="33"/>
  <c r="D48" i="127"/>
  <c r="E48" i="127"/>
  <c r="F48" i="127"/>
  <c r="G48" i="127"/>
  <c r="H48" i="127"/>
  <c r="L48" i="127"/>
  <c r="Z48" i="33"/>
  <c r="D48" i="128"/>
  <c r="E48" i="128"/>
  <c r="F48" i="128"/>
  <c r="G48" i="128"/>
  <c r="H48" i="128"/>
  <c r="L48" i="128"/>
  <c r="AA48" i="33"/>
  <c r="D48" i="129"/>
  <c r="E48" i="129"/>
  <c r="F48" i="129"/>
  <c r="G48" i="129"/>
  <c r="H48" i="129"/>
  <c r="L48" i="129"/>
  <c r="AB48" i="33"/>
  <c r="D48" i="131"/>
  <c r="E48" i="131"/>
  <c r="F48" i="131"/>
  <c r="G48" i="131"/>
  <c r="H48" i="131"/>
  <c r="L48" i="131"/>
  <c r="AC48" i="33"/>
  <c r="AF48" i="33"/>
  <c r="AG48" i="33"/>
  <c r="AH48" i="33"/>
  <c r="AI48" i="33"/>
  <c r="C49" i="33"/>
  <c r="K49" i="33"/>
  <c r="L49" i="33"/>
  <c r="M49" i="33"/>
  <c r="N49" i="33"/>
  <c r="D49" i="119"/>
  <c r="E49" i="119"/>
  <c r="F49" i="119"/>
  <c r="G49" i="119"/>
  <c r="H49" i="119"/>
  <c r="L49" i="119"/>
  <c r="V49" i="33"/>
  <c r="D49" i="120"/>
  <c r="E49" i="120"/>
  <c r="F49" i="120"/>
  <c r="G49" i="120"/>
  <c r="H49" i="120"/>
  <c r="L49" i="120"/>
  <c r="W49" i="33"/>
  <c r="D49" i="125"/>
  <c r="E49" i="125"/>
  <c r="F49" i="125"/>
  <c r="G49" i="125"/>
  <c r="H49" i="125"/>
  <c r="L49" i="125"/>
  <c r="X49" i="33"/>
  <c r="D49" i="126"/>
  <c r="E49" i="126"/>
  <c r="F49" i="126"/>
  <c r="G49" i="126"/>
  <c r="H49" i="126"/>
  <c r="L49" i="126"/>
  <c r="Y49" i="33"/>
  <c r="D49" i="127"/>
  <c r="E49" i="127"/>
  <c r="F49" i="127"/>
  <c r="G49" i="127"/>
  <c r="H49" i="127"/>
  <c r="L49" i="127"/>
  <c r="Z49" i="33"/>
  <c r="D49" i="128"/>
  <c r="E49" i="128"/>
  <c r="F49" i="128"/>
  <c r="G49" i="128"/>
  <c r="H49" i="128"/>
  <c r="L49" i="128"/>
  <c r="AA49" i="33"/>
  <c r="D49" i="129"/>
  <c r="E49" i="129"/>
  <c r="F49" i="129"/>
  <c r="G49" i="129"/>
  <c r="H49" i="129"/>
  <c r="L49" i="129"/>
  <c r="AB49" i="33"/>
  <c r="D49" i="131"/>
  <c r="E49" i="131"/>
  <c r="F49" i="131"/>
  <c r="G49" i="131"/>
  <c r="H49" i="131"/>
  <c r="L49" i="131"/>
  <c r="AC49" i="33"/>
  <c r="AF49" i="33"/>
  <c r="AG49" i="33"/>
  <c r="AH49" i="33"/>
  <c r="AI49" i="33"/>
  <c r="C50" i="33"/>
  <c r="K50" i="33"/>
  <c r="L50" i="33"/>
  <c r="M50" i="33"/>
  <c r="N50" i="33"/>
  <c r="D50" i="119"/>
  <c r="E50" i="119"/>
  <c r="F50" i="119"/>
  <c r="G50" i="119"/>
  <c r="H50" i="119"/>
  <c r="L50" i="119"/>
  <c r="V50" i="33"/>
  <c r="D50" i="120"/>
  <c r="E50" i="120"/>
  <c r="F50" i="120"/>
  <c r="G50" i="120"/>
  <c r="H50" i="120"/>
  <c r="L50" i="120"/>
  <c r="W50" i="33"/>
  <c r="D50" i="125"/>
  <c r="E50" i="125"/>
  <c r="F50" i="125"/>
  <c r="G50" i="125"/>
  <c r="H50" i="125"/>
  <c r="L50" i="125"/>
  <c r="X50" i="33"/>
  <c r="D50" i="126"/>
  <c r="E50" i="126"/>
  <c r="F50" i="126"/>
  <c r="G50" i="126"/>
  <c r="H50" i="126"/>
  <c r="L50" i="126"/>
  <c r="Y50" i="33"/>
  <c r="D50" i="127"/>
  <c r="E50" i="127"/>
  <c r="F50" i="127"/>
  <c r="G50" i="127"/>
  <c r="H50" i="127"/>
  <c r="L50" i="127"/>
  <c r="Z50" i="33"/>
  <c r="D50" i="128"/>
  <c r="E50" i="128"/>
  <c r="F50" i="128"/>
  <c r="G50" i="128"/>
  <c r="H50" i="128"/>
  <c r="L50" i="128"/>
  <c r="AA50" i="33"/>
  <c r="D50" i="129"/>
  <c r="E50" i="129"/>
  <c r="F50" i="129"/>
  <c r="G50" i="129"/>
  <c r="H50" i="129"/>
  <c r="L50" i="129"/>
  <c r="AB50" i="33"/>
  <c r="D50" i="131"/>
  <c r="E50" i="131"/>
  <c r="F50" i="131"/>
  <c r="G50" i="131"/>
  <c r="H50" i="131"/>
  <c r="L50" i="131"/>
  <c r="AC50" i="33"/>
  <c r="AF50" i="33"/>
  <c r="AG50" i="33"/>
  <c r="AH50" i="33"/>
  <c r="AI50" i="33"/>
  <c r="C51" i="33"/>
  <c r="K51" i="33"/>
  <c r="L51" i="33"/>
  <c r="M51" i="33"/>
  <c r="N51" i="33"/>
  <c r="D51" i="119"/>
  <c r="E51" i="119"/>
  <c r="F51" i="119"/>
  <c r="G51" i="119"/>
  <c r="H51" i="119"/>
  <c r="L51" i="119"/>
  <c r="V51" i="33"/>
  <c r="D51" i="120"/>
  <c r="E51" i="120"/>
  <c r="F51" i="120"/>
  <c r="G51" i="120"/>
  <c r="H51" i="120"/>
  <c r="L51" i="120"/>
  <c r="W51" i="33"/>
  <c r="D51" i="125"/>
  <c r="E51" i="125"/>
  <c r="F51" i="125"/>
  <c r="G51" i="125"/>
  <c r="H51" i="125"/>
  <c r="L51" i="125"/>
  <c r="X51" i="33"/>
  <c r="D51" i="126"/>
  <c r="E51" i="126"/>
  <c r="F51" i="126"/>
  <c r="G51" i="126"/>
  <c r="H51" i="126"/>
  <c r="L51" i="126"/>
  <c r="Y51" i="33"/>
  <c r="D51" i="127"/>
  <c r="E51" i="127"/>
  <c r="F51" i="127"/>
  <c r="G51" i="127"/>
  <c r="H51" i="127"/>
  <c r="L51" i="127"/>
  <c r="Z51" i="33"/>
  <c r="D51" i="128"/>
  <c r="E51" i="128"/>
  <c r="F51" i="128"/>
  <c r="G51" i="128"/>
  <c r="H51" i="128"/>
  <c r="L51" i="128"/>
  <c r="AA51" i="33"/>
  <c r="D51" i="129"/>
  <c r="E51" i="129"/>
  <c r="F51" i="129"/>
  <c r="G51" i="129"/>
  <c r="H51" i="129"/>
  <c r="L51" i="129"/>
  <c r="AB51" i="33"/>
  <c r="D51" i="131"/>
  <c r="E51" i="131"/>
  <c r="F51" i="131"/>
  <c r="G51" i="131"/>
  <c r="H51" i="131"/>
  <c r="L51" i="131"/>
  <c r="AC51" i="33"/>
  <c r="AF51" i="33"/>
  <c r="AG51" i="33"/>
  <c r="AH51" i="33"/>
  <c r="AI51" i="33"/>
  <c r="C52" i="33"/>
  <c r="K52" i="33"/>
  <c r="L52" i="33"/>
  <c r="M52" i="33"/>
  <c r="N52" i="33"/>
  <c r="D52" i="119"/>
  <c r="E52" i="119"/>
  <c r="F52" i="119"/>
  <c r="G52" i="119"/>
  <c r="H52" i="119"/>
  <c r="L52" i="119"/>
  <c r="V52" i="33"/>
  <c r="D52" i="120"/>
  <c r="E52" i="120"/>
  <c r="F52" i="120"/>
  <c r="G52" i="120"/>
  <c r="H52" i="120"/>
  <c r="L52" i="120"/>
  <c r="W52" i="33"/>
  <c r="D52" i="125"/>
  <c r="E52" i="125"/>
  <c r="F52" i="125"/>
  <c r="G52" i="125"/>
  <c r="H52" i="125"/>
  <c r="L52" i="125"/>
  <c r="X52" i="33"/>
  <c r="D52" i="126"/>
  <c r="E52" i="126"/>
  <c r="F52" i="126"/>
  <c r="G52" i="126"/>
  <c r="H52" i="126"/>
  <c r="L52" i="126"/>
  <c r="Y52" i="33"/>
  <c r="D52" i="127"/>
  <c r="E52" i="127"/>
  <c r="F52" i="127"/>
  <c r="G52" i="127"/>
  <c r="H52" i="127"/>
  <c r="L52" i="127"/>
  <c r="Z52" i="33"/>
  <c r="D52" i="128"/>
  <c r="E52" i="128"/>
  <c r="F52" i="128"/>
  <c r="G52" i="128"/>
  <c r="H52" i="128"/>
  <c r="L52" i="128"/>
  <c r="AA52" i="33"/>
  <c r="D52" i="129"/>
  <c r="E52" i="129"/>
  <c r="F52" i="129"/>
  <c r="G52" i="129"/>
  <c r="H52" i="129"/>
  <c r="L52" i="129"/>
  <c r="AB52" i="33"/>
  <c r="D52" i="131"/>
  <c r="E52" i="131"/>
  <c r="F52" i="131"/>
  <c r="G52" i="131"/>
  <c r="H52" i="131"/>
  <c r="L52" i="131"/>
  <c r="AC52" i="33"/>
  <c r="AF52" i="33"/>
  <c r="AG52" i="33"/>
  <c r="AH52" i="33"/>
  <c r="AI52" i="33"/>
  <c r="C53" i="33"/>
  <c r="K53" i="33"/>
  <c r="L53" i="33"/>
  <c r="M53" i="33"/>
  <c r="N53" i="33"/>
  <c r="D53" i="119"/>
  <c r="E53" i="119"/>
  <c r="F53" i="119"/>
  <c r="G53" i="119"/>
  <c r="H53" i="119"/>
  <c r="L53" i="119"/>
  <c r="V53" i="33"/>
  <c r="D53" i="120"/>
  <c r="E53" i="120"/>
  <c r="F53" i="120"/>
  <c r="G53" i="120"/>
  <c r="H53" i="120"/>
  <c r="L53" i="120"/>
  <c r="W53" i="33"/>
  <c r="D53" i="125"/>
  <c r="E53" i="125"/>
  <c r="F53" i="125"/>
  <c r="G53" i="125"/>
  <c r="H53" i="125"/>
  <c r="L53" i="125"/>
  <c r="X53" i="33"/>
  <c r="D53" i="126"/>
  <c r="E53" i="126"/>
  <c r="F53" i="126"/>
  <c r="G53" i="126"/>
  <c r="H53" i="126"/>
  <c r="L53" i="126"/>
  <c r="Y53" i="33"/>
  <c r="D53" i="127"/>
  <c r="E53" i="127"/>
  <c r="F53" i="127"/>
  <c r="G53" i="127"/>
  <c r="H53" i="127"/>
  <c r="L53" i="127"/>
  <c r="Z53" i="33"/>
  <c r="D53" i="128"/>
  <c r="E53" i="128"/>
  <c r="F53" i="128"/>
  <c r="G53" i="128"/>
  <c r="H53" i="128"/>
  <c r="L53" i="128"/>
  <c r="AA53" i="33"/>
  <c r="D53" i="129"/>
  <c r="E53" i="129"/>
  <c r="F53" i="129"/>
  <c r="G53" i="129"/>
  <c r="H53" i="129"/>
  <c r="L53" i="129"/>
  <c r="AB53" i="33"/>
  <c r="D53" i="131"/>
  <c r="E53" i="131"/>
  <c r="F53" i="131"/>
  <c r="G53" i="131"/>
  <c r="H53" i="131"/>
  <c r="L53" i="131"/>
  <c r="AC53" i="33"/>
  <c r="AF53" i="33"/>
  <c r="AG53" i="33"/>
  <c r="AH53" i="33"/>
  <c r="AI53" i="33"/>
  <c r="C54" i="33"/>
  <c r="K54" i="33"/>
  <c r="L54" i="33"/>
  <c r="M54" i="33"/>
  <c r="N54" i="33"/>
  <c r="D54" i="119"/>
  <c r="E54" i="119"/>
  <c r="F54" i="119"/>
  <c r="G54" i="119"/>
  <c r="H54" i="119"/>
  <c r="L54" i="119"/>
  <c r="V54" i="33"/>
  <c r="D54" i="120"/>
  <c r="E54" i="120"/>
  <c r="F54" i="120"/>
  <c r="G54" i="120"/>
  <c r="H54" i="120"/>
  <c r="L54" i="120"/>
  <c r="W54" i="33"/>
  <c r="D54" i="125"/>
  <c r="E54" i="125"/>
  <c r="F54" i="125"/>
  <c r="G54" i="125"/>
  <c r="H54" i="125"/>
  <c r="L54" i="125"/>
  <c r="X54" i="33"/>
  <c r="D54" i="126"/>
  <c r="E54" i="126"/>
  <c r="F54" i="126"/>
  <c r="G54" i="126"/>
  <c r="H54" i="126"/>
  <c r="L54" i="126"/>
  <c r="Y54" i="33"/>
  <c r="D54" i="127"/>
  <c r="E54" i="127"/>
  <c r="F54" i="127"/>
  <c r="G54" i="127"/>
  <c r="H54" i="127"/>
  <c r="L54" i="127"/>
  <c r="Z54" i="33"/>
  <c r="D54" i="128"/>
  <c r="E54" i="128"/>
  <c r="F54" i="128"/>
  <c r="G54" i="128"/>
  <c r="H54" i="128"/>
  <c r="L54" i="128"/>
  <c r="AA54" i="33"/>
  <c r="D54" i="129"/>
  <c r="E54" i="129"/>
  <c r="F54" i="129"/>
  <c r="G54" i="129"/>
  <c r="H54" i="129"/>
  <c r="L54" i="129"/>
  <c r="AB54" i="33"/>
  <c r="D54" i="131"/>
  <c r="E54" i="131"/>
  <c r="F54" i="131"/>
  <c r="G54" i="131"/>
  <c r="H54" i="131"/>
  <c r="L54" i="131"/>
  <c r="AC54" i="33"/>
  <c r="AF54" i="33"/>
  <c r="AG54" i="33"/>
  <c r="AH54" i="33"/>
  <c r="AI54" i="33"/>
  <c r="C55" i="33"/>
  <c r="K55" i="33"/>
  <c r="L55" i="33"/>
  <c r="M55" i="33"/>
  <c r="N55" i="33"/>
  <c r="D55" i="119"/>
  <c r="E55" i="119"/>
  <c r="F55" i="119"/>
  <c r="G55" i="119"/>
  <c r="H55" i="119"/>
  <c r="L55" i="119"/>
  <c r="V55" i="33"/>
  <c r="D55" i="120"/>
  <c r="E55" i="120"/>
  <c r="F55" i="120"/>
  <c r="G55" i="120"/>
  <c r="H55" i="120"/>
  <c r="L55" i="120"/>
  <c r="W55" i="33"/>
  <c r="D55" i="125"/>
  <c r="E55" i="125"/>
  <c r="F55" i="125"/>
  <c r="G55" i="125"/>
  <c r="H55" i="125"/>
  <c r="L55" i="125"/>
  <c r="X55" i="33"/>
  <c r="D55" i="126"/>
  <c r="E55" i="126"/>
  <c r="F55" i="126"/>
  <c r="G55" i="126"/>
  <c r="H55" i="126"/>
  <c r="L55" i="126"/>
  <c r="Y55" i="33"/>
  <c r="D55" i="127"/>
  <c r="E55" i="127"/>
  <c r="F55" i="127"/>
  <c r="G55" i="127"/>
  <c r="H55" i="127"/>
  <c r="L55" i="127"/>
  <c r="Z55" i="33"/>
  <c r="D55" i="128"/>
  <c r="E55" i="128"/>
  <c r="F55" i="128"/>
  <c r="G55" i="128"/>
  <c r="H55" i="128"/>
  <c r="L55" i="128"/>
  <c r="AA55" i="33"/>
  <c r="D55" i="129"/>
  <c r="E55" i="129"/>
  <c r="F55" i="129"/>
  <c r="G55" i="129"/>
  <c r="H55" i="129"/>
  <c r="L55" i="129"/>
  <c r="AB55" i="33"/>
  <c r="D55" i="131"/>
  <c r="E55" i="131"/>
  <c r="F55" i="131"/>
  <c r="G55" i="131"/>
  <c r="H55" i="131"/>
  <c r="L55" i="131"/>
  <c r="AC55" i="33"/>
  <c r="AF55" i="33"/>
  <c r="AG55" i="33"/>
  <c r="AH55" i="33"/>
  <c r="AI55" i="33"/>
  <c r="C56" i="33"/>
  <c r="K56" i="33"/>
  <c r="L56" i="33"/>
  <c r="M56" i="33"/>
  <c r="N56" i="33"/>
  <c r="D56" i="119"/>
  <c r="E56" i="119"/>
  <c r="F56" i="119"/>
  <c r="G56" i="119"/>
  <c r="H56" i="119"/>
  <c r="L56" i="119"/>
  <c r="V56" i="33"/>
  <c r="D56" i="120"/>
  <c r="E56" i="120"/>
  <c r="F56" i="120"/>
  <c r="G56" i="120"/>
  <c r="H56" i="120"/>
  <c r="L56" i="120"/>
  <c r="W56" i="33"/>
  <c r="D56" i="125"/>
  <c r="E56" i="125"/>
  <c r="F56" i="125"/>
  <c r="G56" i="125"/>
  <c r="H56" i="125"/>
  <c r="L56" i="125"/>
  <c r="X56" i="33"/>
  <c r="D56" i="126"/>
  <c r="E56" i="126"/>
  <c r="F56" i="126"/>
  <c r="G56" i="126"/>
  <c r="H56" i="126"/>
  <c r="L56" i="126"/>
  <c r="Y56" i="33"/>
  <c r="D56" i="127"/>
  <c r="E56" i="127"/>
  <c r="F56" i="127"/>
  <c r="G56" i="127"/>
  <c r="H56" i="127"/>
  <c r="L56" i="127"/>
  <c r="Z56" i="33"/>
  <c r="D56" i="128"/>
  <c r="E56" i="128"/>
  <c r="F56" i="128"/>
  <c r="G56" i="128"/>
  <c r="H56" i="128"/>
  <c r="L56" i="128"/>
  <c r="AA56" i="33"/>
  <c r="D56" i="129"/>
  <c r="E56" i="129"/>
  <c r="F56" i="129"/>
  <c r="G56" i="129"/>
  <c r="H56" i="129"/>
  <c r="L56" i="129"/>
  <c r="AB56" i="33"/>
  <c r="D56" i="131"/>
  <c r="E56" i="131"/>
  <c r="F56" i="131"/>
  <c r="G56" i="131"/>
  <c r="H56" i="131"/>
  <c r="L56" i="131"/>
  <c r="AC56" i="33"/>
  <c r="AF56" i="33"/>
  <c r="AG56" i="33"/>
  <c r="AH56" i="33"/>
  <c r="AI56" i="33"/>
  <c r="C57" i="33"/>
  <c r="K57" i="33"/>
  <c r="L57" i="33"/>
  <c r="M57" i="33"/>
  <c r="N57" i="33"/>
  <c r="D57" i="119"/>
  <c r="E57" i="119"/>
  <c r="F57" i="119"/>
  <c r="G57" i="119"/>
  <c r="H57" i="119"/>
  <c r="L57" i="119"/>
  <c r="V57" i="33"/>
  <c r="D57" i="120"/>
  <c r="E57" i="120"/>
  <c r="F57" i="120"/>
  <c r="G57" i="120"/>
  <c r="H57" i="120"/>
  <c r="L57" i="120"/>
  <c r="W57" i="33"/>
  <c r="D57" i="125"/>
  <c r="E57" i="125"/>
  <c r="F57" i="125"/>
  <c r="G57" i="125"/>
  <c r="H57" i="125"/>
  <c r="L57" i="125"/>
  <c r="X57" i="33"/>
  <c r="D57" i="126"/>
  <c r="E57" i="126"/>
  <c r="F57" i="126"/>
  <c r="G57" i="126"/>
  <c r="H57" i="126"/>
  <c r="L57" i="126"/>
  <c r="Y57" i="33"/>
  <c r="D57" i="127"/>
  <c r="E57" i="127"/>
  <c r="F57" i="127"/>
  <c r="G57" i="127"/>
  <c r="H57" i="127"/>
  <c r="L57" i="127"/>
  <c r="Z57" i="33"/>
  <c r="D57" i="128"/>
  <c r="E57" i="128"/>
  <c r="F57" i="128"/>
  <c r="G57" i="128"/>
  <c r="H57" i="128"/>
  <c r="L57" i="128"/>
  <c r="AA57" i="33"/>
  <c r="D57" i="129"/>
  <c r="E57" i="129"/>
  <c r="F57" i="129"/>
  <c r="G57" i="129"/>
  <c r="H57" i="129"/>
  <c r="L57" i="129"/>
  <c r="AB57" i="33"/>
  <c r="D57" i="131"/>
  <c r="E57" i="131"/>
  <c r="F57" i="131"/>
  <c r="G57" i="131"/>
  <c r="H57" i="131"/>
  <c r="L57" i="131"/>
  <c r="AC57" i="33"/>
  <c r="AF57" i="33"/>
  <c r="AG57" i="33"/>
  <c r="AH57" i="33"/>
  <c r="AI57" i="33"/>
  <c r="C58" i="33"/>
  <c r="K58" i="33"/>
  <c r="L58" i="33"/>
  <c r="M58" i="33"/>
  <c r="N58" i="33"/>
  <c r="D58" i="119"/>
  <c r="E58" i="119"/>
  <c r="F58" i="119"/>
  <c r="G58" i="119"/>
  <c r="H58" i="119"/>
  <c r="L58" i="119"/>
  <c r="V58" i="33"/>
  <c r="D58" i="120"/>
  <c r="E58" i="120"/>
  <c r="F58" i="120"/>
  <c r="G58" i="120"/>
  <c r="H58" i="120"/>
  <c r="L58" i="120"/>
  <c r="W58" i="33"/>
  <c r="D58" i="125"/>
  <c r="E58" i="125"/>
  <c r="F58" i="125"/>
  <c r="G58" i="125"/>
  <c r="H58" i="125"/>
  <c r="L58" i="125"/>
  <c r="X58" i="33"/>
  <c r="D58" i="126"/>
  <c r="E58" i="126"/>
  <c r="F58" i="126"/>
  <c r="G58" i="126"/>
  <c r="H58" i="126"/>
  <c r="L58" i="126"/>
  <c r="Y58" i="33"/>
  <c r="D58" i="127"/>
  <c r="E58" i="127"/>
  <c r="F58" i="127"/>
  <c r="G58" i="127"/>
  <c r="H58" i="127"/>
  <c r="L58" i="127"/>
  <c r="Z58" i="33"/>
  <c r="D58" i="128"/>
  <c r="E58" i="128"/>
  <c r="F58" i="128"/>
  <c r="G58" i="128"/>
  <c r="H58" i="128"/>
  <c r="L58" i="128"/>
  <c r="AA58" i="33"/>
  <c r="D58" i="129"/>
  <c r="E58" i="129"/>
  <c r="F58" i="129"/>
  <c r="G58" i="129"/>
  <c r="H58" i="129"/>
  <c r="L58" i="129"/>
  <c r="AB58" i="33"/>
  <c r="D58" i="131"/>
  <c r="E58" i="131"/>
  <c r="F58" i="131"/>
  <c r="G58" i="131"/>
  <c r="H58" i="131"/>
  <c r="L58" i="131"/>
  <c r="AC58" i="33"/>
  <c r="AF58" i="33"/>
  <c r="AG58" i="33"/>
  <c r="AH58" i="33"/>
  <c r="AI58" i="33"/>
  <c r="C59" i="33"/>
  <c r="K59" i="33"/>
  <c r="L59" i="33"/>
  <c r="M59" i="33"/>
  <c r="N59" i="33"/>
  <c r="D59" i="119"/>
  <c r="E59" i="119"/>
  <c r="F59" i="119"/>
  <c r="G59" i="119"/>
  <c r="H59" i="119"/>
  <c r="L59" i="119"/>
  <c r="V59" i="33"/>
  <c r="D59" i="120"/>
  <c r="E59" i="120"/>
  <c r="F59" i="120"/>
  <c r="G59" i="120"/>
  <c r="H59" i="120"/>
  <c r="L59" i="120"/>
  <c r="W59" i="33"/>
  <c r="D59" i="125"/>
  <c r="E59" i="125"/>
  <c r="F59" i="125"/>
  <c r="G59" i="125"/>
  <c r="H59" i="125"/>
  <c r="L59" i="125"/>
  <c r="X59" i="33"/>
  <c r="D59" i="126"/>
  <c r="E59" i="126"/>
  <c r="F59" i="126"/>
  <c r="G59" i="126"/>
  <c r="H59" i="126"/>
  <c r="L59" i="126"/>
  <c r="Y59" i="33"/>
  <c r="D59" i="127"/>
  <c r="E59" i="127"/>
  <c r="F59" i="127"/>
  <c r="G59" i="127"/>
  <c r="H59" i="127"/>
  <c r="L59" i="127"/>
  <c r="Z59" i="33"/>
  <c r="D59" i="128"/>
  <c r="E59" i="128"/>
  <c r="F59" i="128"/>
  <c r="G59" i="128"/>
  <c r="H59" i="128"/>
  <c r="L59" i="128"/>
  <c r="AA59" i="33"/>
  <c r="D59" i="129"/>
  <c r="E59" i="129"/>
  <c r="F59" i="129"/>
  <c r="G59" i="129"/>
  <c r="H59" i="129"/>
  <c r="L59" i="129"/>
  <c r="AB59" i="33"/>
  <c r="D59" i="131"/>
  <c r="E59" i="131"/>
  <c r="F59" i="131"/>
  <c r="G59" i="131"/>
  <c r="H59" i="131"/>
  <c r="L59" i="131"/>
  <c r="AC59" i="33"/>
  <c r="AF59" i="33"/>
  <c r="AG59" i="33"/>
  <c r="AH59" i="33"/>
  <c r="AI59" i="33"/>
  <c r="C60" i="33"/>
  <c r="K60" i="33"/>
  <c r="L60" i="33"/>
  <c r="M60" i="33"/>
  <c r="N60" i="33"/>
  <c r="D60" i="119"/>
  <c r="E60" i="119"/>
  <c r="F60" i="119"/>
  <c r="G60" i="119"/>
  <c r="H60" i="119"/>
  <c r="L60" i="119"/>
  <c r="V60" i="33"/>
  <c r="D60" i="120"/>
  <c r="E60" i="120"/>
  <c r="F60" i="120"/>
  <c r="G60" i="120"/>
  <c r="H60" i="120"/>
  <c r="L60" i="120"/>
  <c r="W60" i="33"/>
  <c r="D60" i="125"/>
  <c r="E60" i="125"/>
  <c r="F60" i="125"/>
  <c r="G60" i="125"/>
  <c r="H60" i="125"/>
  <c r="L60" i="125"/>
  <c r="X60" i="33"/>
  <c r="D60" i="126"/>
  <c r="E60" i="126"/>
  <c r="F60" i="126"/>
  <c r="G60" i="126"/>
  <c r="H60" i="126"/>
  <c r="L60" i="126"/>
  <c r="Y60" i="33"/>
  <c r="D60" i="127"/>
  <c r="E60" i="127"/>
  <c r="F60" i="127"/>
  <c r="G60" i="127"/>
  <c r="H60" i="127"/>
  <c r="L60" i="127"/>
  <c r="Z60" i="33"/>
  <c r="D60" i="128"/>
  <c r="E60" i="128"/>
  <c r="F60" i="128"/>
  <c r="G60" i="128"/>
  <c r="H60" i="128"/>
  <c r="L60" i="128"/>
  <c r="AA60" i="33"/>
  <c r="D60" i="129"/>
  <c r="E60" i="129"/>
  <c r="F60" i="129"/>
  <c r="G60" i="129"/>
  <c r="H60" i="129"/>
  <c r="L60" i="129"/>
  <c r="AB60" i="33"/>
  <c r="D60" i="131"/>
  <c r="E60" i="131"/>
  <c r="F60" i="131"/>
  <c r="G60" i="131"/>
  <c r="H60" i="131"/>
  <c r="L60" i="131"/>
  <c r="AC60" i="33"/>
  <c r="AF60" i="33"/>
  <c r="AG60" i="33"/>
  <c r="AH60" i="33"/>
  <c r="AI60" i="33"/>
  <c r="C61" i="33"/>
  <c r="K61" i="33"/>
  <c r="L61" i="33"/>
  <c r="M61" i="33"/>
  <c r="N61" i="33"/>
  <c r="D61" i="119"/>
  <c r="E61" i="119"/>
  <c r="F61" i="119"/>
  <c r="G61" i="119"/>
  <c r="H61" i="119"/>
  <c r="L61" i="119"/>
  <c r="V61" i="33"/>
  <c r="D61" i="120"/>
  <c r="E61" i="120"/>
  <c r="F61" i="120"/>
  <c r="G61" i="120"/>
  <c r="H61" i="120"/>
  <c r="L61" i="120"/>
  <c r="W61" i="33"/>
  <c r="D61" i="125"/>
  <c r="E61" i="125"/>
  <c r="F61" i="125"/>
  <c r="G61" i="125"/>
  <c r="H61" i="125"/>
  <c r="L61" i="125"/>
  <c r="X61" i="33"/>
  <c r="D61" i="126"/>
  <c r="E61" i="126"/>
  <c r="F61" i="126"/>
  <c r="G61" i="126"/>
  <c r="H61" i="126"/>
  <c r="L61" i="126"/>
  <c r="Y61" i="33"/>
  <c r="D61" i="127"/>
  <c r="E61" i="127"/>
  <c r="F61" i="127"/>
  <c r="G61" i="127"/>
  <c r="H61" i="127"/>
  <c r="L61" i="127"/>
  <c r="Z61" i="33"/>
  <c r="D61" i="128"/>
  <c r="E61" i="128"/>
  <c r="F61" i="128"/>
  <c r="G61" i="128"/>
  <c r="H61" i="128"/>
  <c r="L61" i="128"/>
  <c r="AA61" i="33"/>
  <c r="D61" i="129"/>
  <c r="E61" i="129"/>
  <c r="F61" i="129"/>
  <c r="G61" i="129"/>
  <c r="H61" i="129"/>
  <c r="L61" i="129"/>
  <c r="AB61" i="33"/>
  <c r="D61" i="131"/>
  <c r="E61" i="131"/>
  <c r="F61" i="131"/>
  <c r="G61" i="131"/>
  <c r="H61" i="131"/>
  <c r="L61" i="131"/>
  <c r="AC61" i="33"/>
  <c r="AF61" i="33"/>
  <c r="AG61" i="33"/>
  <c r="AH61" i="33"/>
  <c r="AI61" i="33"/>
  <c r="C62" i="33"/>
  <c r="K62" i="33"/>
  <c r="L62" i="33"/>
  <c r="M62" i="33"/>
  <c r="N62" i="33"/>
  <c r="D62" i="119"/>
  <c r="E62" i="119"/>
  <c r="F62" i="119"/>
  <c r="G62" i="119"/>
  <c r="H62" i="119"/>
  <c r="L62" i="119"/>
  <c r="V62" i="33"/>
  <c r="D62" i="120"/>
  <c r="E62" i="120"/>
  <c r="F62" i="120"/>
  <c r="G62" i="120"/>
  <c r="H62" i="120"/>
  <c r="L62" i="120"/>
  <c r="W62" i="33"/>
  <c r="D62" i="125"/>
  <c r="E62" i="125"/>
  <c r="F62" i="125"/>
  <c r="G62" i="125"/>
  <c r="H62" i="125"/>
  <c r="L62" i="125"/>
  <c r="X62" i="33"/>
  <c r="D62" i="126"/>
  <c r="E62" i="126"/>
  <c r="F62" i="126"/>
  <c r="G62" i="126"/>
  <c r="H62" i="126"/>
  <c r="L62" i="126"/>
  <c r="Y62" i="33"/>
  <c r="D62" i="127"/>
  <c r="E62" i="127"/>
  <c r="F62" i="127"/>
  <c r="G62" i="127"/>
  <c r="H62" i="127"/>
  <c r="L62" i="127"/>
  <c r="Z62" i="33"/>
  <c r="D62" i="128"/>
  <c r="E62" i="128"/>
  <c r="F62" i="128"/>
  <c r="G62" i="128"/>
  <c r="H62" i="128"/>
  <c r="L62" i="128"/>
  <c r="AA62" i="33"/>
  <c r="D62" i="129"/>
  <c r="E62" i="129"/>
  <c r="F62" i="129"/>
  <c r="G62" i="129"/>
  <c r="H62" i="129"/>
  <c r="L62" i="129"/>
  <c r="AB62" i="33"/>
  <c r="D62" i="131"/>
  <c r="E62" i="131"/>
  <c r="F62" i="131"/>
  <c r="G62" i="131"/>
  <c r="H62" i="131"/>
  <c r="L62" i="131"/>
  <c r="AC62" i="33"/>
  <c r="AF62" i="33"/>
  <c r="AG62" i="33"/>
  <c r="AH62" i="33"/>
  <c r="AI62" i="33"/>
  <c r="C63" i="33"/>
  <c r="K63" i="33"/>
  <c r="L63" i="33"/>
  <c r="M63" i="33"/>
  <c r="N63" i="33"/>
  <c r="D63" i="119"/>
  <c r="E63" i="119"/>
  <c r="F63" i="119"/>
  <c r="G63" i="119"/>
  <c r="H63" i="119"/>
  <c r="L63" i="119"/>
  <c r="V63" i="33"/>
  <c r="D63" i="120"/>
  <c r="E63" i="120"/>
  <c r="F63" i="120"/>
  <c r="G63" i="120"/>
  <c r="H63" i="120"/>
  <c r="L63" i="120"/>
  <c r="W63" i="33"/>
  <c r="D63" i="125"/>
  <c r="E63" i="125"/>
  <c r="F63" i="125"/>
  <c r="G63" i="125"/>
  <c r="H63" i="125"/>
  <c r="L63" i="125"/>
  <c r="X63" i="33"/>
  <c r="D63" i="126"/>
  <c r="E63" i="126"/>
  <c r="F63" i="126"/>
  <c r="G63" i="126"/>
  <c r="H63" i="126"/>
  <c r="L63" i="126"/>
  <c r="Y63" i="33"/>
  <c r="D63" i="127"/>
  <c r="E63" i="127"/>
  <c r="F63" i="127"/>
  <c r="G63" i="127"/>
  <c r="H63" i="127"/>
  <c r="L63" i="127"/>
  <c r="Z63" i="33"/>
  <c r="D63" i="128"/>
  <c r="E63" i="128"/>
  <c r="F63" i="128"/>
  <c r="G63" i="128"/>
  <c r="H63" i="128"/>
  <c r="L63" i="128"/>
  <c r="AA63" i="33"/>
  <c r="D63" i="129"/>
  <c r="E63" i="129"/>
  <c r="F63" i="129"/>
  <c r="G63" i="129"/>
  <c r="H63" i="129"/>
  <c r="L63" i="129"/>
  <c r="AB63" i="33"/>
  <c r="D63" i="131"/>
  <c r="E63" i="131"/>
  <c r="F63" i="131"/>
  <c r="G63" i="131"/>
  <c r="H63" i="131"/>
  <c r="L63" i="131"/>
  <c r="AC63" i="33"/>
  <c r="AF63" i="33"/>
  <c r="AG63" i="33"/>
  <c r="AH63" i="33"/>
  <c r="AI63" i="33"/>
  <c r="C64" i="33"/>
  <c r="K64" i="33"/>
  <c r="L64" i="33"/>
  <c r="M64" i="33"/>
  <c r="N64" i="33"/>
  <c r="D64" i="119"/>
  <c r="E64" i="119"/>
  <c r="F64" i="119"/>
  <c r="G64" i="119"/>
  <c r="H64" i="119"/>
  <c r="L64" i="119"/>
  <c r="V64" i="33"/>
  <c r="D64" i="120"/>
  <c r="E64" i="120"/>
  <c r="F64" i="120"/>
  <c r="G64" i="120"/>
  <c r="H64" i="120"/>
  <c r="L64" i="120"/>
  <c r="W64" i="33"/>
  <c r="D64" i="125"/>
  <c r="E64" i="125"/>
  <c r="F64" i="125"/>
  <c r="G64" i="125"/>
  <c r="H64" i="125"/>
  <c r="L64" i="125"/>
  <c r="X64" i="33"/>
  <c r="D64" i="126"/>
  <c r="E64" i="126"/>
  <c r="F64" i="126"/>
  <c r="G64" i="126"/>
  <c r="H64" i="126"/>
  <c r="L64" i="126"/>
  <c r="Y64" i="33"/>
  <c r="D64" i="127"/>
  <c r="E64" i="127"/>
  <c r="F64" i="127"/>
  <c r="G64" i="127"/>
  <c r="H64" i="127"/>
  <c r="L64" i="127"/>
  <c r="Z64" i="33"/>
  <c r="D64" i="128"/>
  <c r="E64" i="128"/>
  <c r="F64" i="128"/>
  <c r="G64" i="128"/>
  <c r="H64" i="128"/>
  <c r="L64" i="128"/>
  <c r="AA64" i="33"/>
  <c r="D64" i="129"/>
  <c r="E64" i="129"/>
  <c r="F64" i="129"/>
  <c r="G64" i="129"/>
  <c r="H64" i="129"/>
  <c r="L64" i="129"/>
  <c r="AB64" i="33"/>
  <c r="D64" i="131"/>
  <c r="E64" i="131"/>
  <c r="F64" i="131"/>
  <c r="G64" i="131"/>
  <c r="H64" i="131"/>
  <c r="L64" i="131"/>
  <c r="AC64" i="33"/>
  <c r="AF64" i="33"/>
  <c r="AG64" i="33"/>
  <c r="AH64" i="33"/>
  <c r="AI64" i="33"/>
  <c r="C65" i="33"/>
  <c r="K65" i="33"/>
  <c r="L65" i="33"/>
  <c r="M65" i="33"/>
  <c r="N65" i="33"/>
  <c r="D65" i="119"/>
  <c r="E65" i="119"/>
  <c r="F65" i="119"/>
  <c r="G65" i="119"/>
  <c r="H65" i="119"/>
  <c r="L65" i="119"/>
  <c r="V65" i="33"/>
  <c r="D65" i="120"/>
  <c r="E65" i="120"/>
  <c r="F65" i="120"/>
  <c r="G65" i="120"/>
  <c r="H65" i="120"/>
  <c r="L65" i="120"/>
  <c r="W65" i="33"/>
  <c r="D65" i="125"/>
  <c r="E65" i="125"/>
  <c r="F65" i="125"/>
  <c r="G65" i="125"/>
  <c r="H65" i="125"/>
  <c r="L65" i="125"/>
  <c r="X65" i="33"/>
  <c r="D65" i="126"/>
  <c r="E65" i="126"/>
  <c r="F65" i="126"/>
  <c r="G65" i="126"/>
  <c r="H65" i="126"/>
  <c r="L65" i="126"/>
  <c r="Y65" i="33"/>
  <c r="D65" i="127"/>
  <c r="E65" i="127"/>
  <c r="F65" i="127"/>
  <c r="G65" i="127"/>
  <c r="H65" i="127"/>
  <c r="L65" i="127"/>
  <c r="Z65" i="33"/>
  <c r="D65" i="128"/>
  <c r="E65" i="128"/>
  <c r="F65" i="128"/>
  <c r="G65" i="128"/>
  <c r="H65" i="128"/>
  <c r="L65" i="128"/>
  <c r="AA65" i="33"/>
  <c r="D65" i="129"/>
  <c r="E65" i="129"/>
  <c r="F65" i="129"/>
  <c r="G65" i="129"/>
  <c r="H65" i="129"/>
  <c r="L65" i="129"/>
  <c r="AB65" i="33"/>
  <c r="D65" i="131"/>
  <c r="E65" i="131"/>
  <c r="F65" i="131"/>
  <c r="G65" i="131"/>
  <c r="H65" i="131"/>
  <c r="L65" i="131"/>
  <c r="AC65" i="33"/>
  <c r="AF65" i="33"/>
  <c r="AG65" i="33"/>
  <c r="AH65" i="33"/>
  <c r="AI65" i="33"/>
  <c r="C66" i="33"/>
  <c r="K66" i="33"/>
  <c r="L66" i="33"/>
  <c r="M66" i="33"/>
  <c r="N66" i="33"/>
  <c r="D66" i="119"/>
  <c r="E66" i="119"/>
  <c r="F66" i="119"/>
  <c r="G66" i="119"/>
  <c r="H66" i="119"/>
  <c r="L66" i="119"/>
  <c r="V66" i="33"/>
  <c r="D66" i="120"/>
  <c r="E66" i="120"/>
  <c r="F66" i="120"/>
  <c r="G66" i="120"/>
  <c r="H66" i="120"/>
  <c r="L66" i="120"/>
  <c r="W66" i="33"/>
  <c r="D66" i="125"/>
  <c r="E66" i="125"/>
  <c r="F66" i="125"/>
  <c r="G66" i="125"/>
  <c r="H66" i="125"/>
  <c r="L66" i="125"/>
  <c r="X66" i="33"/>
  <c r="D66" i="126"/>
  <c r="E66" i="126"/>
  <c r="F66" i="126"/>
  <c r="G66" i="126"/>
  <c r="H66" i="126"/>
  <c r="L66" i="126"/>
  <c r="Y66" i="33"/>
  <c r="D66" i="127"/>
  <c r="E66" i="127"/>
  <c r="F66" i="127"/>
  <c r="G66" i="127"/>
  <c r="H66" i="127"/>
  <c r="L66" i="127"/>
  <c r="Z66" i="33"/>
  <c r="D66" i="128"/>
  <c r="E66" i="128"/>
  <c r="F66" i="128"/>
  <c r="G66" i="128"/>
  <c r="H66" i="128"/>
  <c r="L66" i="128"/>
  <c r="AA66" i="33"/>
  <c r="D66" i="129"/>
  <c r="E66" i="129"/>
  <c r="F66" i="129"/>
  <c r="G66" i="129"/>
  <c r="H66" i="129"/>
  <c r="L66" i="129"/>
  <c r="AB66" i="33"/>
  <c r="D66" i="131"/>
  <c r="E66" i="131"/>
  <c r="F66" i="131"/>
  <c r="G66" i="131"/>
  <c r="H66" i="131"/>
  <c r="L66" i="131"/>
  <c r="AC66" i="33"/>
  <c r="AF66" i="33"/>
  <c r="AG66" i="33"/>
  <c r="AH66" i="33"/>
  <c r="AI66" i="33"/>
  <c r="C67" i="33"/>
  <c r="K67" i="33"/>
  <c r="L67" i="33"/>
  <c r="M67" i="33"/>
  <c r="N67" i="33"/>
  <c r="D67" i="119"/>
  <c r="E67" i="119"/>
  <c r="F67" i="119"/>
  <c r="G67" i="119"/>
  <c r="H67" i="119"/>
  <c r="L67" i="119"/>
  <c r="V67" i="33"/>
  <c r="D67" i="120"/>
  <c r="E67" i="120"/>
  <c r="F67" i="120"/>
  <c r="G67" i="120"/>
  <c r="H67" i="120"/>
  <c r="L67" i="120"/>
  <c r="W67" i="33"/>
  <c r="D67" i="125"/>
  <c r="E67" i="125"/>
  <c r="F67" i="125"/>
  <c r="G67" i="125"/>
  <c r="H67" i="125"/>
  <c r="L67" i="125"/>
  <c r="X67" i="33"/>
  <c r="D67" i="126"/>
  <c r="E67" i="126"/>
  <c r="F67" i="126"/>
  <c r="G67" i="126"/>
  <c r="H67" i="126"/>
  <c r="L67" i="126"/>
  <c r="Y67" i="33"/>
  <c r="D67" i="127"/>
  <c r="E67" i="127"/>
  <c r="F67" i="127"/>
  <c r="G67" i="127"/>
  <c r="H67" i="127"/>
  <c r="L67" i="127"/>
  <c r="Z67" i="33"/>
  <c r="D67" i="128"/>
  <c r="E67" i="128"/>
  <c r="F67" i="128"/>
  <c r="G67" i="128"/>
  <c r="H67" i="128"/>
  <c r="L67" i="128"/>
  <c r="AA67" i="33"/>
  <c r="D67" i="129"/>
  <c r="E67" i="129"/>
  <c r="F67" i="129"/>
  <c r="G67" i="129"/>
  <c r="H67" i="129"/>
  <c r="L67" i="129"/>
  <c r="AB67" i="33"/>
  <c r="D67" i="131"/>
  <c r="E67" i="131"/>
  <c r="F67" i="131"/>
  <c r="G67" i="131"/>
  <c r="H67" i="131"/>
  <c r="L67" i="131"/>
  <c r="AC67" i="33"/>
  <c r="AF67" i="33"/>
  <c r="AG67" i="33"/>
  <c r="AH67" i="33"/>
  <c r="AI67" i="33"/>
  <c r="C68" i="33"/>
  <c r="K68" i="33"/>
  <c r="L68" i="33"/>
  <c r="M68" i="33"/>
  <c r="N68" i="33"/>
  <c r="D68" i="119"/>
  <c r="E68" i="119"/>
  <c r="F68" i="119"/>
  <c r="G68" i="119"/>
  <c r="H68" i="119"/>
  <c r="L68" i="119"/>
  <c r="V68" i="33"/>
  <c r="D68" i="120"/>
  <c r="E68" i="120"/>
  <c r="F68" i="120"/>
  <c r="G68" i="120"/>
  <c r="H68" i="120"/>
  <c r="L68" i="120"/>
  <c r="W68" i="33"/>
  <c r="D68" i="125"/>
  <c r="E68" i="125"/>
  <c r="F68" i="125"/>
  <c r="G68" i="125"/>
  <c r="H68" i="125"/>
  <c r="L68" i="125"/>
  <c r="X68" i="33"/>
  <c r="D68" i="126"/>
  <c r="E68" i="126"/>
  <c r="F68" i="126"/>
  <c r="G68" i="126"/>
  <c r="H68" i="126"/>
  <c r="L68" i="126"/>
  <c r="Y68" i="33"/>
  <c r="D68" i="127"/>
  <c r="E68" i="127"/>
  <c r="F68" i="127"/>
  <c r="G68" i="127"/>
  <c r="H68" i="127"/>
  <c r="L68" i="127"/>
  <c r="Z68" i="33"/>
  <c r="D68" i="128"/>
  <c r="E68" i="128"/>
  <c r="F68" i="128"/>
  <c r="G68" i="128"/>
  <c r="H68" i="128"/>
  <c r="L68" i="128"/>
  <c r="AA68" i="33"/>
  <c r="D68" i="129"/>
  <c r="E68" i="129"/>
  <c r="F68" i="129"/>
  <c r="G68" i="129"/>
  <c r="H68" i="129"/>
  <c r="L68" i="129"/>
  <c r="AB68" i="33"/>
  <c r="D68" i="131"/>
  <c r="E68" i="131"/>
  <c r="F68" i="131"/>
  <c r="G68" i="131"/>
  <c r="H68" i="131"/>
  <c r="L68" i="131"/>
  <c r="AC68" i="33"/>
  <c r="AF68" i="33"/>
  <c r="AG68" i="33"/>
  <c r="AH68" i="33"/>
  <c r="AI68" i="33"/>
  <c r="C69" i="33"/>
  <c r="K69" i="33"/>
  <c r="L69" i="33"/>
  <c r="M69" i="33"/>
  <c r="N69" i="33"/>
  <c r="D69" i="119"/>
  <c r="E69" i="119"/>
  <c r="F69" i="119"/>
  <c r="G69" i="119"/>
  <c r="H69" i="119"/>
  <c r="L69" i="119"/>
  <c r="V69" i="33"/>
  <c r="D69" i="120"/>
  <c r="E69" i="120"/>
  <c r="F69" i="120"/>
  <c r="G69" i="120"/>
  <c r="H69" i="120"/>
  <c r="L69" i="120"/>
  <c r="W69" i="33"/>
  <c r="D69" i="125"/>
  <c r="E69" i="125"/>
  <c r="F69" i="125"/>
  <c r="G69" i="125"/>
  <c r="H69" i="125"/>
  <c r="L69" i="125"/>
  <c r="X69" i="33"/>
  <c r="D69" i="126"/>
  <c r="E69" i="126"/>
  <c r="F69" i="126"/>
  <c r="G69" i="126"/>
  <c r="H69" i="126"/>
  <c r="L69" i="126"/>
  <c r="Y69" i="33"/>
  <c r="D69" i="127"/>
  <c r="E69" i="127"/>
  <c r="F69" i="127"/>
  <c r="G69" i="127"/>
  <c r="H69" i="127"/>
  <c r="L69" i="127"/>
  <c r="Z69" i="33"/>
  <c r="D69" i="128"/>
  <c r="E69" i="128"/>
  <c r="F69" i="128"/>
  <c r="G69" i="128"/>
  <c r="H69" i="128"/>
  <c r="L69" i="128"/>
  <c r="AA69" i="33"/>
  <c r="D69" i="129"/>
  <c r="E69" i="129"/>
  <c r="F69" i="129"/>
  <c r="G69" i="129"/>
  <c r="H69" i="129"/>
  <c r="L69" i="129"/>
  <c r="AB69" i="33"/>
  <c r="D69" i="131"/>
  <c r="E69" i="131"/>
  <c r="F69" i="131"/>
  <c r="G69" i="131"/>
  <c r="H69" i="131"/>
  <c r="L69" i="131"/>
  <c r="AC69" i="33"/>
  <c r="AF69" i="33"/>
  <c r="AG69" i="33"/>
  <c r="AH69" i="33"/>
  <c r="AI69" i="33"/>
  <c r="C70" i="33"/>
  <c r="K70" i="33"/>
  <c r="L70" i="33"/>
  <c r="M70" i="33"/>
  <c r="N70" i="33"/>
  <c r="D70" i="119"/>
  <c r="E70" i="119"/>
  <c r="F70" i="119"/>
  <c r="G70" i="119"/>
  <c r="H70" i="119"/>
  <c r="L70" i="119"/>
  <c r="V70" i="33"/>
  <c r="D70" i="120"/>
  <c r="E70" i="120"/>
  <c r="F70" i="120"/>
  <c r="G70" i="120"/>
  <c r="H70" i="120"/>
  <c r="L70" i="120"/>
  <c r="W70" i="33"/>
  <c r="D70" i="125"/>
  <c r="E70" i="125"/>
  <c r="F70" i="125"/>
  <c r="G70" i="125"/>
  <c r="H70" i="125"/>
  <c r="L70" i="125"/>
  <c r="X70" i="33"/>
  <c r="D70" i="126"/>
  <c r="E70" i="126"/>
  <c r="F70" i="126"/>
  <c r="G70" i="126"/>
  <c r="H70" i="126"/>
  <c r="L70" i="126"/>
  <c r="Y70" i="33"/>
  <c r="D70" i="127"/>
  <c r="E70" i="127"/>
  <c r="F70" i="127"/>
  <c r="G70" i="127"/>
  <c r="H70" i="127"/>
  <c r="L70" i="127"/>
  <c r="Z70" i="33"/>
  <c r="D70" i="128"/>
  <c r="E70" i="128"/>
  <c r="F70" i="128"/>
  <c r="G70" i="128"/>
  <c r="H70" i="128"/>
  <c r="L70" i="128"/>
  <c r="AA70" i="33"/>
  <c r="D70" i="129"/>
  <c r="E70" i="129"/>
  <c r="F70" i="129"/>
  <c r="G70" i="129"/>
  <c r="H70" i="129"/>
  <c r="L70" i="129"/>
  <c r="AB70" i="33"/>
  <c r="D70" i="131"/>
  <c r="E70" i="131"/>
  <c r="F70" i="131"/>
  <c r="G70" i="131"/>
  <c r="H70" i="131"/>
  <c r="L70" i="131"/>
  <c r="AC70" i="33"/>
  <c r="AF70" i="33"/>
  <c r="AG70" i="33"/>
  <c r="AH70" i="33"/>
  <c r="AI70" i="33"/>
  <c r="C71" i="33"/>
  <c r="K71" i="33"/>
  <c r="L71" i="33"/>
  <c r="M71" i="33"/>
  <c r="N71" i="33"/>
  <c r="D71" i="119"/>
  <c r="E71" i="119"/>
  <c r="F71" i="119"/>
  <c r="G71" i="119"/>
  <c r="H71" i="119"/>
  <c r="L71" i="119"/>
  <c r="V71" i="33"/>
  <c r="D71" i="120"/>
  <c r="E71" i="120"/>
  <c r="F71" i="120"/>
  <c r="G71" i="120"/>
  <c r="H71" i="120"/>
  <c r="L71" i="120"/>
  <c r="W71" i="33"/>
  <c r="D71" i="125"/>
  <c r="E71" i="125"/>
  <c r="F71" i="125"/>
  <c r="G71" i="125"/>
  <c r="H71" i="125"/>
  <c r="L71" i="125"/>
  <c r="X71" i="33"/>
  <c r="D71" i="126"/>
  <c r="E71" i="126"/>
  <c r="F71" i="126"/>
  <c r="G71" i="126"/>
  <c r="H71" i="126"/>
  <c r="L71" i="126"/>
  <c r="Y71" i="33"/>
  <c r="D71" i="127"/>
  <c r="E71" i="127"/>
  <c r="F71" i="127"/>
  <c r="G71" i="127"/>
  <c r="H71" i="127"/>
  <c r="L71" i="127"/>
  <c r="Z71" i="33"/>
  <c r="D71" i="128"/>
  <c r="E71" i="128"/>
  <c r="F71" i="128"/>
  <c r="G71" i="128"/>
  <c r="H71" i="128"/>
  <c r="L71" i="128"/>
  <c r="AA71" i="33"/>
  <c r="D71" i="129"/>
  <c r="E71" i="129"/>
  <c r="F71" i="129"/>
  <c r="G71" i="129"/>
  <c r="H71" i="129"/>
  <c r="L71" i="129"/>
  <c r="AB71" i="33"/>
  <c r="D71" i="131"/>
  <c r="E71" i="131"/>
  <c r="F71" i="131"/>
  <c r="G71" i="131"/>
  <c r="H71" i="131"/>
  <c r="L71" i="131"/>
  <c r="AC71" i="33"/>
  <c r="AF71" i="33"/>
  <c r="AG71" i="33"/>
  <c r="AH71" i="33"/>
  <c r="AI71" i="33"/>
  <c r="C72" i="33"/>
  <c r="K72" i="33"/>
  <c r="L72" i="33"/>
  <c r="M72" i="33"/>
  <c r="N72" i="33"/>
  <c r="D72" i="119"/>
  <c r="E72" i="119"/>
  <c r="F72" i="119"/>
  <c r="G72" i="119"/>
  <c r="H72" i="119"/>
  <c r="L72" i="119"/>
  <c r="V72" i="33"/>
  <c r="D72" i="120"/>
  <c r="E72" i="120"/>
  <c r="F72" i="120"/>
  <c r="G72" i="120"/>
  <c r="H72" i="120"/>
  <c r="L72" i="120"/>
  <c r="W72" i="33"/>
  <c r="D72" i="125"/>
  <c r="E72" i="125"/>
  <c r="F72" i="125"/>
  <c r="G72" i="125"/>
  <c r="H72" i="125"/>
  <c r="L72" i="125"/>
  <c r="X72" i="33"/>
  <c r="D72" i="126"/>
  <c r="E72" i="126"/>
  <c r="F72" i="126"/>
  <c r="G72" i="126"/>
  <c r="H72" i="126"/>
  <c r="L72" i="126"/>
  <c r="Y72" i="33"/>
  <c r="D72" i="127"/>
  <c r="E72" i="127"/>
  <c r="F72" i="127"/>
  <c r="G72" i="127"/>
  <c r="H72" i="127"/>
  <c r="L72" i="127"/>
  <c r="Z72" i="33"/>
  <c r="D72" i="128"/>
  <c r="E72" i="128"/>
  <c r="F72" i="128"/>
  <c r="G72" i="128"/>
  <c r="H72" i="128"/>
  <c r="L72" i="128"/>
  <c r="AA72" i="33"/>
  <c r="D72" i="129"/>
  <c r="E72" i="129"/>
  <c r="F72" i="129"/>
  <c r="G72" i="129"/>
  <c r="H72" i="129"/>
  <c r="L72" i="129"/>
  <c r="AB72" i="33"/>
  <c r="D72" i="131"/>
  <c r="E72" i="131"/>
  <c r="F72" i="131"/>
  <c r="G72" i="131"/>
  <c r="H72" i="131"/>
  <c r="L72" i="131"/>
  <c r="AC72" i="33"/>
  <c r="AF72" i="33"/>
  <c r="AG72" i="33"/>
  <c r="AH72" i="33"/>
  <c r="AI72" i="33"/>
  <c r="C73" i="33"/>
  <c r="K73" i="33"/>
  <c r="L73" i="33"/>
  <c r="M73" i="33"/>
  <c r="N73" i="33"/>
  <c r="D73" i="119"/>
  <c r="E73" i="119"/>
  <c r="F73" i="119"/>
  <c r="G73" i="119"/>
  <c r="H73" i="119"/>
  <c r="L73" i="119"/>
  <c r="V73" i="33"/>
  <c r="D73" i="120"/>
  <c r="E73" i="120"/>
  <c r="F73" i="120"/>
  <c r="G73" i="120"/>
  <c r="H73" i="120"/>
  <c r="L73" i="120"/>
  <c r="W73" i="33"/>
  <c r="D73" i="125"/>
  <c r="E73" i="125"/>
  <c r="F73" i="125"/>
  <c r="G73" i="125"/>
  <c r="H73" i="125"/>
  <c r="L73" i="125"/>
  <c r="X73" i="33"/>
  <c r="D73" i="126"/>
  <c r="E73" i="126"/>
  <c r="F73" i="126"/>
  <c r="G73" i="126"/>
  <c r="H73" i="126"/>
  <c r="L73" i="126"/>
  <c r="Y73" i="33"/>
  <c r="D73" i="127"/>
  <c r="E73" i="127"/>
  <c r="F73" i="127"/>
  <c r="G73" i="127"/>
  <c r="H73" i="127"/>
  <c r="L73" i="127"/>
  <c r="Z73" i="33"/>
  <c r="D73" i="128"/>
  <c r="E73" i="128"/>
  <c r="F73" i="128"/>
  <c r="G73" i="128"/>
  <c r="H73" i="128"/>
  <c r="L73" i="128"/>
  <c r="AA73" i="33"/>
  <c r="D73" i="129"/>
  <c r="E73" i="129"/>
  <c r="F73" i="129"/>
  <c r="G73" i="129"/>
  <c r="H73" i="129"/>
  <c r="L73" i="129"/>
  <c r="AB73" i="33"/>
  <c r="D73" i="131"/>
  <c r="E73" i="131"/>
  <c r="F73" i="131"/>
  <c r="G73" i="131"/>
  <c r="H73" i="131"/>
  <c r="L73" i="131"/>
  <c r="AC73" i="33"/>
  <c r="AF73" i="33"/>
  <c r="AG73" i="33"/>
  <c r="AH73" i="33"/>
  <c r="AI73" i="33"/>
  <c r="C74" i="33"/>
  <c r="K74" i="33"/>
  <c r="L74" i="33"/>
  <c r="M74" i="33"/>
  <c r="N74" i="33"/>
  <c r="D74" i="119"/>
  <c r="E74" i="119"/>
  <c r="F74" i="119"/>
  <c r="G74" i="119"/>
  <c r="H74" i="119"/>
  <c r="L74" i="119"/>
  <c r="V74" i="33"/>
  <c r="D74" i="120"/>
  <c r="E74" i="120"/>
  <c r="F74" i="120"/>
  <c r="G74" i="120"/>
  <c r="H74" i="120"/>
  <c r="L74" i="120"/>
  <c r="W74" i="33"/>
  <c r="D74" i="125"/>
  <c r="E74" i="125"/>
  <c r="F74" i="125"/>
  <c r="G74" i="125"/>
  <c r="H74" i="125"/>
  <c r="L74" i="125"/>
  <c r="X74" i="33"/>
  <c r="D74" i="126"/>
  <c r="E74" i="126"/>
  <c r="F74" i="126"/>
  <c r="G74" i="126"/>
  <c r="H74" i="126"/>
  <c r="L74" i="126"/>
  <c r="Y74" i="33"/>
  <c r="D74" i="127"/>
  <c r="E74" i="127"/>
  <c r="F74" i="127"/>
  <c r="G74" i="127"/>
  <c r="H74" i="127"/>
  <c r="L74" i="127"/>
  <c r="Z74" i="33"/>
  <c r="D74" i="128"/>
  <c r="E74" i="128"/>
  <c r="F74" i="128"/>
  <c r="G74" i="128"/>
  <c r="H74" i="128"/>
  <c r="L74" i="128"/>
  <c r="AA74" i="33"/>
  <c r="D74" i="129"/>
  <c r="E74" i="129"/>
  <c r="F74" i="129"/>
  <c r="G74" i="129"/>
  <c r="H74" i="129"/>
  <c r="L74" i="129"/>
  <c r="AB74" i="33"/>
  <c r="D74" i="131"/>
  <c r="E74" i="131"/>
  <c r="F74" i="131"/>
  <c r="G74" i="131"/>
  <c r="H74" i="131"/>
  <c r="L74" i="131"/>
  <c r="AC74" i="33"/>
  <c r="AF74" i="33"/>
  <c r="AG74" i="33"/>
  <c r="AH74" i="33"/>
  <c r="AI74" i="33"/>
  <c r="C75" i="33"/>
  <c r="K75" i="33"/>
  <c r="L75" i="33"/>
  <c r="M75" i="33"/>
  <c r="N75" i="33"/>
  <c r="D75" i="119"/>
  <c r="E75" i="119"/>
  <c r="F75" i="119"/>
  <c r="G75" i="119"/>
  <c r="H75" i="119"/>
  <c r="L75" i="119"/>
  <c r="V75" i="33"/>
  <c r="D75" i="120"/>
  <c r="E75" i="120"/>
  <c r="F75" i="120"/>
  <c r="G75" i="120"/>
  <c r="H75" i="120"/>
  <c r="L75" i="120"/>
  <c r="W75" i="33"/>
  <c r="D75" i="125"/>
  <c r="E75" i="125"/>
  <c r="F75" i="125"/>
  <c r="G75" i="125"/>
  <c r="H75" i="125"/>
  <c r="L75" i="125"/>
  <c r="X75" i="33"/>
  <c r="D75" i="126"/>
  <c r="E75" i="126"/>
  <c r="F75" i="126"/>
  <c r="G75" i="126"/>
  <c r="H75" i="126"/>
  <c r="L75" i="126"/>
  <c r="Y75" i="33"/>
  <c r="D75" i="127"/>
  <c r="E75" i="127"/>
  <c r="F75" i="127"/>
  <c r="G75" i="127"/>
  <c r="H75" i="127"/>
  <c r="L75" i="127"/>
  <c r="Z75" i="33"/>
  <c r="D75" i="128"/>
  <c r="E75" i="128"/>
  <c r="F75" i="128"/>
  <c r="G75" i="128"/>
  <c r="H75" i="128"/>
  <c r="L75" i="128"/>
  <c r="AA75" i="33"/>
  <c r="D75" i="129"/>
  <c r="E75" i="129"/>
  <c r="F75" i="129"/>
  <c r="G75" i="129"/>
  <c r="H75" i="129"/>
  <c r="L75" i="129"/>
  <c r="AB75" i="33"/>
  <c r="D75" i="131"/>
  <c r="E75" i="131"/>
  <c r="F75" i="131"/>
  <c r="G75" i="131"/>
  <c r="H75" i="131"/>
  <c r="L75" i="131"/>
  <c r="AC75" i="33"/>
  <c r="AF75" i="33"/>
  <c r="AG75" i="33"/>
  <c r="AH75" i="33"/>
  <c r="AI75" i="33"/>
  <c r="AK4" i="72"/>
  <c r="AJ39" i="72"/>
  <c r="AI20" i="72"/>
  <c r="AH20" i="72"/>
  <c r="AI12" i="72"/>
  <c r="AH12" i="72"/>
  <c r="AI12" i="31"/>
  <c r="AK12" i="31"/>
  <c r="AL12" i="31"/>
  <c r="AN12" i="31"/>
  <c r="AO12" i="31"/>
  <c r="AP12" i="31"/>
  <c r="AQ81" i="31"/>
  <c r="AQ12" i="31"/>
  <c r="AI13" i="31"/>
  <c r="AK13" i="31"/>
  <c r="AL13" i="31"/>
  <c r="AN13" i="31"/>
  <c r="AO13" i="31"/>
  <c r="AP13" i="31"/>
  <c r="AQ13" i="31"/>
  <c r="AI14" i="31"/>
  <c r="AK14" i="31"/>
  <c r="AL14" i="31"/>
  <c r="AN14" i="31"/>
  <c r="AO14" i="31"/>
  <c r="AP14" i="31"/>
  <c r="AQ14" i="31"/>
  <c r="AI15" i="31"/>
  <c r="AK15" i="31"/>
  <c r="AL15" i="31"/>
  <c r="AN15" i="31"/>
  <c r="AO15" i="31"/>
  <c r="AP15" i="31"/>
  <c r="AQ15" i="31"/>
  <c r="AI16" i="31"/>
  <c r="AK16" i="31"/>
  <c r="AL16" i="31"/>
  <c r="AN16" i="31"/>
  <c r="AO16" i="31"/>
  <c r="AP16" i="31"/>
  <c r="AQ16" i="31"/>
  <c r="AI19" i="31"/>
  <c r="AK19" i="31"/>
  <c r="AL19" i="31"/>
  <c r="AN19" i="31"/>
  <c r="AO19" i="31"/>
  <c r="AP19" i="31"/>
  <c r="AQ19" i="31"/>
  <c r="AI20" i="31"/>
  <c r="AK20" i="31"/>
  <c r="AL20" i="31"/>
  <c r="AN20" i="31"/>
  <c r="AO20" i="31"/>
  <c r="AP20" i="31"/>
  <c r="AQ20" i="31"/>
  <c r="AI21" i="31"/>
  <c r="AK21" i="31"/>
  <c r="AL21" i="31"/>
  <c r="AN21" i="31"/>
  <c r="AO21" i="31"/>
  <c r="AP21" i="31"/>
  <c r="AQ21" i="31"/>
  <c r="AI22" i="31"/>
  <c r="AK22" i="31"/>
  <c r="AL22" i="31"/>
  <c r="AN22" i="31"/>
  <c r="AO22" i="31"/>
  <c r="AP22" i="31"/>
  <c r="AQ22" i="31"/>
  <c r="AI23" i="31"/>
  <c r="AK23" i="31"/>
  <c r="AL23" i="31"/>
  <c r="AN23" i="31"/>
  <c r="AO23" i="31"/>
  <c r="AP23" i="31"/>
  <c r="AQ23" i="31"/>
  <c r="AI24" i="31"/>
  <c r="AK24" i="31"/>
  <c r="AL24" i="31"/>
  <c r="AN24" i="31"/>
  <c r="AO24" i="31"/>
  <c r="AP24" i="31"/>
  <c r="AQ24" i="31"/>
  <c r="AI27" i="31"/>
  <c r="AK27" i="31"/>
  <c r="AL27" i="31"/>
  <c r="AN27" i="31"/>
  <c r="AO27" i="31"/>
  <c r="AP27" i="31"/>
  <c r="AQ27" i="31"/>
  <c r="AI28" i="31"/>
  <c r="AK28" i="31"/>
  <c r="AL28" i="31"/>
  <c r="AN28" i="31"/>
  <c r="AO28" i="31"/>
  <c r="AP28" i="31"/>
  <c r="AQ28" i="31"/>
  <c r="AI29" i="31"/>
  <c r="AK29" i="31"/>
  <c r="AL29" i="31"/>
  <c r="AN29" i="31"/>
  <c r="AO29" i="31"/>
  <c r="AP29" i="31"/>
  <c r="AQ29" i="31"/>
  <c r="AI30" i="31"/>
  <c r="AK30" i="31"/>
  <c r="AL30" i="31"/>
  <c r="AN30" i="31"/>
  <c r="AO30" i="31"/>
  <c r="AP30" i="31"/>
  <c r="AQ30" i="31"/>
  <c r="AI31" i="31"/>
  <c r="AK31" i="31"/>
  <c r="AL31" i="31"/>
  <c r="AN31" i="31"/>
  <c r="AO31" i="31"/>
  <c r="AP31" i="31"/>
  <c r="AQ31" i="31"/>
  <c r="AI32" i="31"/>
  <c r="AK32" i="31"/>
  <c r="AL32" i="31"/>
  <c r="AN32" i="31"/>
  <c r="AO32" i="31"/>
  <c r="AP32" i="31"/>
  <c r="AQ32" i="31"/>
  <c r="AI33" i="31"/>
  <c r="AK33" i="31"/>
  <c r="AL33" i="31"/>
  <c r="AN33" i="31"/>
  <c r="AO33" i="31"/>
  <c r="AP33" i="31"/>
  <c r="AQ33" i="31"/>
  <c r="AI34" i="31"/>
  <c r="AK34" i="31"/>
  <c r="AL34" i="31"/>
  <c r="AN34" i="31"/>
  <c r="AO34" i="31"/>
  <c r="AP34" i="31"/>
  <c r="AQ34" i="31"/>
  <c r="AI35" i="31"/>
  <c r="AK35" i="31"/>
  <c r="AL35" i="31"/>
  <c r="AN35" i="31"/>
  <c r="AO35" i="31"/>
  <c r="AP35" i="31"/>
  <c r="AQ35" i="31"/>
  <c r="AI36" i="31"/>
  <c r="AK36" i="31"/>
  <c r="AL36" i="31"/>
  <c r="AN36" i="31"/>
  <c r="AO36" i="31"/>
  <c r="AP36" i="31"/>
  <c r="AQ36" i="31"/>
  <c r="AI37" i="31"/>
  <c r="AK37" i="31"/>
  <c r="AL37" i="31"/>
  <c r="AN37" i="31"/>
  <c r="AO37" i="31"/>
  <c r="AP37" i="31"/>
  <c r="AQ37" i="31"/>
  <c r="AI38" i="31"/>
  <c r="AK38" i="31"/>
  <c r="AL38" i="31"/>
  <c r="AN38" i="31"/>
  <c r="AO38" i="31"/>
  <c r="AP38" i="31"/>
  <c r="AQ38" i="31"/>
  <c r="AI39" i="31"/>
  <c r="AK39" i="31"/>
  <c r="AL39" i="31"/>
  <c r="AN39" i="31"/>
  <c r="AO39" i="31"/>
  <c r="AP39" i="31"/>
  <c r="AQ39" i="31"/>
  <c r="AI40" i="31"/>
  <c r="AK40" i="31"/>
  <c r="AL40" i="31"/>
  <c r="AN40" i="31"/>
  <c r="AO40" i="31"/>
  <c r="AP40" i="31"/>
  <c r="AQ40" i="31"/>
  <c r="AI41" i="31"/>
  <c r="AK41" i="31"/>
  <c r="AL41" i="31"/>
  <c r="AN41" i="31"/>
  <c r="AO41" i="31"/>
  <c r="AP41" i="31"/>
  <c r="AQ41" i="31"/>
  <c r="AI42" i="31"/>
  <c r="AK42" i="31"/>
  <c r="AL42" i="31"/>
  <c r="AN42" i="31"/>
  <c r="AO42" i="31"/>
  <c r="AP42" i="31"/>
  <c r="AQ42" i="31"/>
  <c r="AI43" i="31"/>
  <c r="AK43" i="31"/>
  <c r="AL43" i="31"/>
  <c r="AN43" i="31"/>
  <c r="AO43" i="31"/>
  <c r="AP43" i="31"/>
  <c r="AQ43" i="31"/>
  <c r="AI44" i="31"/>
  <c r="AK44" i="31"/>
  <c r="AL44" i="31"/>
  <c r="AN44" i="31"/>
  <c r="AO44" i="31"/>
  <c r="AP44" i="31"/>
  <c r="AQ44" i="31"/>
  <c r="AI45" i="31"/>
  <c r="AK45" i="31"/>
  <c r="AL45" i="31"/>
  <c r="AN45" i="31"/>
  <c r="AO45" i="31"/>
  <c r="AP45" i="31"/>
  <c r="AQ45" i="31"/>
  <c r="AI46" i="31"/>
  <c r="AK46" i="31"/>
  <c r="AL46" i="31"/>
  <c r="AN46" i="31"/>
  <c r="AO46" i="31"/>
  <c r="AP46" i="31"/>
  <c r="AQ46" i="31"/>
  <c r="AI47" i="31"/>
  <c r="AK47" i="31"/>
  <c r="AL47" i="31"/>
  <c r="AN47" i="31"/>
  <c r="AO47" i="31"/>
  <c r="AP47" i="31"/>
  <c r="AQ47" i="31"/>
  <c r="AI48" i="31"/>
  <c r="AK48" i="31"/>
  <c r="AL48" i="31"/>
  <c r="AN48" i="31"/>
  <c r="AO48" i="31"/>
  <c r="AP48" i="31"/>
  <c r="AQ48" i="31"/>
  <c r="AI49" i="31"/>
  <c r="AK49" i="31"/>
  <c r="AL49" i="31"/>
  <c r="AN49" i="31"/>
  <c r="AO49" i="31"/>
  <c r="AP49" i="31"/>
  <c r="AQ49" i="31"/>
  <c r="AI50" i="31"/>
  <c r="AK50" i="31"/>
  <c r="AL50" i="31"/>
  <c r="AN50" i="31"/>
  <c r="AO50" i="31"/>
  <c r="AP50" i="31"/>
  <c r="AQ50" i="31"/>
  <c r="AI51" i="31"/>
  <c r="AK51" i="31"/>
  <c r="AL51" i="31"/>
  <c r="AN51" i="31"/>
  <c r="AO51" i="31"/>
  <c r="AP51" i="31"/>
  <c r="AQ51" i="31"/>
  <c r="AI52" i="31"/>
  <c r="AK52" i="31"/>
  <c r="AL52" i="31"/>
  <c r="AN52" i="31"/>
  <c r="AO52" i="31"/>
  <c r="AP52" i="31"/>
  <c r="AQ52" i="31"/>
  <c r="AI53" i="31"/>
  <c r="AK53" i="31"/>
  <c r="AL53" i="31"/>
  <c r="AN53" i="31"/>
  <c r="AO53" i="31"/>
  <c r="AP53" i="31"/>
  <c r="AQ53" i="31"/>
  <c r="AI54" i="31"/>
  <c r="AK54" i="31"/>
  <c r="AL54" i="31"/>
  <c r="AN54" i="31"/>
  <c r="AO54" i="31"/>
  <c r="AP54" i="31"/>
  <c r="AQ54" i="31"/>
  <c r="AI55" i="31"/>
  <c r="AK55" i="31"/>
  <c r="AL55" i="31"/>
  <c r="AN55" i="31"/>
  <c r="AO55" i="31"/>
  <c r="AP55" i="31"/>
  <c r="AQ55" i="31"/>
  <c r="AI56" i="31"/>
  <c r="AK56" i="31"/>
  <c r="AL56" i="31"/>
  <c r="AN56" i="31"/>
  <c r="AO56" i="31"/>
  <c r="AP56" i="31"/>
  <c r="AQ56" i="31"/>
  <c r="AI57" i="31"/>
  <c r="AK57" i="31"/>
  <c r="AL57" i="31"/>
  <c r="AN57" i="31"/>
  <c r="AO57" i="31"/>
  <c r="AP57" i="31"/>
  <c r="AQ57" i="31"/>
  <c r="AI58" i="31"/>
  <c r="AK58" i="31"/>
  <c r="AL58" i="31"/>
  <c r="AN58" i="31"/>
  <c r="AO58" i="31"/>
  <c r="AP58" i="31"/>
  <c r="AQ58" i="31"/>
  <c r="AI59" i="31"/>
  <c r="AK59" i="31"/>
  <c r="AL59" i="31"/>
  <c r="AN59" i="31"/>
  <c r="AO59" i="31"/>
  <c r="AP59" i="31"/>
  <c r="AQ59" i="31"/>
  <c r="AI60" i="31"/>
  <c r="AK60" i="31"/>
  <c r="AL60" i="31"/>
  <c r="AN60" i="31"/>
  <c r="AO60" i="31"/>
  <c r="AP60" i="31"/>
  <c r="AQ60" i="31"/>
  <c r="AI61" i="31"/>
  <c r="AK61" i="31"/>
  <c r="AL61" i="31"/>
  <c r="AN61" i="31"/>
  <c r="AO61" i="31"/>
  <c r="AP61" i="31"/>
  <c r="AQ61" i="31"/>
  <c r="AI62" i="31"/>
  <c r="AK62" i="31"/>
  <c r="AL62" i="31"/>
  <c r="AN62" i="31"/>
  <c r="AO62" i="31"/>
  <c r="AP62" i="31"/>
  <c r="AQ62" i="31"/>
  <c r="AI63" i="31"/>
  <c r="AK63" i="31"/>
  <c r="AL63" i="31"/>
  <c r="AN63" i="31"/>
  <c r="AO63" i="31"/>
  <c r="AP63" i="31"/>
  <c r="AQ63" i="31"/>
  <c r="AI64" i="31"/>
  <c r="AK64" i="31"/>
  <c r="AL64" i="31"/>
  <c r="AN64" i="31"/>
  <c r="AO64" i="31"/>
  <c r="AP64" i="31"/>
  <c r="AQ64" i="31"/>
  <c r="AI65" i="31"/>
  <c r="AK65" i="31"/>
  <c r="AL65" i="31"/>
  <c r="AN65" i="31"/>
  <c r="AO65" i="31"/>
  <c r="AP65" i="31"/>
  <c r="AQ65" i="31"/>
  <c r="AI66" i="31"/>
  <c r="AK66" i="31"/>
  <c r="AL66" i="31"/>
  <c r="AN66" i="31"/>
  <c r="AO66" i="31"/>
  <c r="AP66" i="31"/>
  <c r="AQ66" i="31"/>
  <c r="AI67" i="31"/>
  <c r="AK67" i="31"/>
  <c r="AL67" i="31"/>
  <c r="AN67" i="31"/>
  <c r="AO67" i="31"/>
  <c r="AP67" i="31"/>
  <c r="AQ67" i="31"/>
  <c r="AI68" i="31"/>
  <c r="AK68" i="31"/>
  <c r="AL68" i="31"/>
  <c r="AN68" i="31"/>
  <c r="AO68" i="31"/>
  <c r="AP68" i="31"/>
  <c r="AQ68" i="31"/>
  <c r="AI69" i="31"/>
  <c r="AK69" i="31"/>
  <c r="AL69" i="31"/>
  <c r="AN69" i="31"/>
  <c r="AO69" i="31"/>
  <c r="AP69" i="31"/>
  <c r="AQ69" i="31"/>
  <c r="AI70" i="31"/>
  <c r="AK70" i="31"/>
  <c r="AL70" i="31"/>
  <c r="AN70" i="31"/>
  <c r="AO70" i="31"/>
  <c r="AP70" i="31"/>
  <c r="AQ70" i="31"/>
  <c r="AI71" i="31"/>
  <c r="AK71" i="31"/>
  <c r="AL71" i="31"/>
  <c r="AN71" i="31"/>
  <c r="AO71" i="31"/>
  <c r="AP71" i="31"/>
  <c r="AQ71" i="31"/>
  <c r="AI72" i="31"/>
  <c r="AK72" i="31"/>
  <c r="AL72" i="31"/>
  <c r="AN72" i="31"/>
  <c r="AO72" i="31"/>
  <c r="AP72" i="31"/>
  <c r="AQ72" i="31"/>
  <c r="AQ73" i="31"/>
  <c r="AC9" i="31"/>
  <c r="AA9" i="31"/>
  <c r="AD9" i="31"/>
  <c r="AE9" i="31"/>
  <c r="AF9" i="31"/>
  <c r="AG9" i="31"/>
  <c r="AB9" i="31"/>
  <c r="AH9" i="31"/>
  <c r="AI73" i="31"/>
  <c r="AI9" i="31"/>
  <c r="AK9" i="31"/>
  <c r="AL9" i="31"/>
  <c r="AN9" i="31"/>
  <c r="AO9" i="31"/>
  <c r="AP9" i="31"/>
  <c r="AQ9" i="31"/>
  <c r="AQ74" i="31"/>
  <c r="F39" i="72"/>
  <c r="AH73" i="31"/>
  <c r="AH74" i="31"/>
  <c r="AM73" i="31"/>
  <c r="AM74" i="31"/>
  <c r="F39" i="100"/>
  <c r="AE19" i="31"/>
  <c r="AE27" i="31"/>
  <c r="Z75" i="80"/>
  <c r="Z74" i="80"/>
  <c r="Z73" i="80"/>
  <c r="Z72" i="80"/>
  <c r="Z71" i="80"/>
  <c r="Z70" i="80"/>
  <c r="Z69" i="80"/>
  <c r="Z68" i="80"/>
  <c r="Z67" i="80"/>
  <c r="Z66" i="80"/>
  <c r="Z65" i="80"/>
  <c r="Z64" i="80"/>
  <c r="Z63" i="80"/>
  <c r="Z62" i="80"/>
  <c r="Z61" i="80"/>
  <c r="Z60" i="80"/>
  <c r="Z59" i="80"/>
  <c r="Z58" i="80"/>
  <c r="Z57" i="80"/>
  <c r="Z56" i="80"/>
  <c r="Z55" i="80"/>
  <c r="Z54" i="80"/>
  <c r="Z53" i="80"/>
  <c r="Z52" i="80"/>
  <c r="Z51" i="80"/>
  <c r="Z50" i="80"/>
  <c r="Z49" i="80"/>
  <c r="Z48" i="80"/>
  <c r="Z47" i="80"/>
  <c r="Z46" i="80"/>
  <c r="Z45" i="80"/>
  <c r="Z44" i="80"/>
  <c r="Z43" i="80"/>
  <c r="Z42" i="80"/>
  <c r="Z41" i="80"/>
  <c r="Z40" i="80"/>
  <c r="Z39" i="80"/>
  <c r="Z38" i="80"/>
  <c r="Z37" i="80"/>
  <c r="Z36" i="80"/>
  <c r="Z35" i="80"/>
  <c r="Z34" i="80"/>
  <c r="Z33" i="80"/>
  <c r="Z32" i="80"/>
  <c r="Z31" i="80"/>
  <c r="Z30" i="80"/>
  <c r="Z29" i="80"/>
  <c r="Z28" i="80"/>
  <c r="Z27" i="80"/>
  <c r="Z26" i="80"/>
  <c r="Z25" i="80"/>
  <c r="Z24" i="80"/>
  <c r="Z23" i="80"/>
  <c r="Z22" i="80"/>
  <c r="Z21" i="80"/>
  <c r="Z20" i="80"/>
  <c r="Z19" i="80"/>
  <c r="Z18" i="80"/>
  <c r="Z17" i="80"/>
  <c r="Z16" i="80"/>
  <c r="Z15" i="80"/>
  <c r="Z14" i="80"/>
  <c r="Z13" i="80"/>
  <c r="Z12" i="80"/>
  <c r="Z11" i="80"/>
  <c r="Z10" i="80"/>
  <c r="Z9" i="80"/>
  <c r="Z8" i="80"/>
  <c r="Z7" i="80"/>
  <c r="Z75" i="76"/>
  <c r="Z74" i="76"/>
  <c r="Z73" i="76"/>
  <c r="Z72" i="76"/>
  <c r="Z71" i="76"/>
  <c r="Z70" i="76"/>
  <c r="Z69" i="76"/>
  <c r="Z68" i="76"/>
  <c r="Z67" i="76"/>
  <c r="Z66" i="76"/>
  <c r="Z65" i="76"/>
  <c r="Z64" i="76"/>
  <c r="Z63" i="76"/>
  <c r="Z62" i="76"/>
  <c r="Z61" i="76"/>
  <c r="Z60" i="76"/>
  <c r="Z59" i="76"/>
  <c r="Z58" i="76"/>
  <c r="Z57" i="76"/>
  <c r="Z56" i="76"/>
  <c r="Z55" i="76"/>
  <c r="Z54" i="76"/>
  <c r="Z53" i="76"/>
  <c r="Z52" i="76"/>
  <c r="Z51" i="76"/>
  <c r="Z50" i="76"/>
  <c r="Z49" i="76"/>
  <c r="Z48" i="76"/>
  <c r="Z47" i="76"/>
  <c r="Z46" i="76"/>
  <c r="Z45" i="76"/>
  <c r="Z44" i="76"/>
  <c r="Z43" i="76"/>
  <c r="Z42" i="76"/>
  <c r="Z41" i="76"/>
  <c r="Z40" i="76"/>
  <c r="Z39" i="76"/>
  <c r="Z38" i="76"/>
  <c r="Z37" i="76"/>
  <c r="Z36" i="76"/>
  <c r="Z35" i="76"/>
  <c r="Z34" i="76"/>
  <c r="Z33" i="76"/>
  <c r="Z32" i="76"/>
  <c r="Z31" i="76"/>
  <c r="Z30" i="76"/>
  <c r="Z29" i="76"/>
  <c r="Z28" i="76"/>
  <c r="Z27" i="76"/>
  <c r="Z26" i="76"/>
  <c r="Z25" i="76"/>
  <c r="Z24" i="76"/>
  <c r="Z23" i="76"/>
  <c r="Z22" i="76"/>
  <c r="Z21" i="76"/>
  <c r="Z20" i="76"/>
  <c r="Z19" i="76"/>
  <c r="Z18" i="76"/>
  <c r="Z17" i="76"/>
  <c r="Z16" i="76"/>
  <c r="Z15" i="76"/>
  <c r="Z14" i="76"/>
  <c r="Z13" i="76"/>
  <c r="Z12" i="76"/>
  <c r="Z11" i="76"/>
  <c r="Z10" i="76"/>
  <c r="Z9" i="76"/>
  <c r="Z8" i="76"/>
  <c r="Z7" i="76"/>
  <c r="Y75" i="153"/>
  <c r="Y74" i="153"/>
  <c r="Y73" i="153"/>
  <c r="Y72" i="153"/>
  <c r="Y71" i="153"/>
  <c r="Y70" i="153"/>
  <c r="Y69" i="153"/>
  <c r="Y68" i="153"/>
  <c r="Y67" i="153"/>
  <c r="Y66" i="153"/>
  <c r="Y65" i="153"/>
  <c r="Y64" i="153"/>
  <c r="Y63" i="153"/>
  <c r="Y62" i="153"/>
  <c r="Y61" i="153"/>
  <c r="Y60" i="153"/>
  <c r="Y59" i="153"/>
  <c r="Y58" i="153"/>
  <c r="Y57" i="153"/>
  <c r="Y56" i="153"/>
  <c r="Y55" i="153"/>
  <c r="Y54" i="153"/>
  <c r="Y53" i="153"/>
  <c r="Y52" i="153"/>
  <c r="Y51" i="153"/>
  <c r="Y50" i="153"/>
  <c r="Y49" i="153"/>
  <c r="Y48" i="153"/>
  <c r="Y47" i="153"/>
  <c r="Y46" i="153"/>
  <c r="Y45" i="153"/>
  <c r="Y44" i="153"/>
  <c r="Y43" i="153"/>
  <c r="Y42" i="153"/>
  <c r="Y41" i="153"/>
  <c r="Y40" i="153"/>
  <c r="Y39" i="153"/>
  <c r="Y38" i="153"/>
  <c r="Y37" i="153"/>
  <c r="Y36" i="153"/>
  <c r="Y35" i="153"/>
  <c r="Y34" i="153"/>
  <c r="Y33" i="153"/>
  <c r="Y32" i="153"/>
  <c r="Y31" i="153"/>
  <c r="Y30" i="153"/>
  <c r="Y29" i="153"/>
  <c r="Y28" i="153"/>
  <c r="Y27" i="153"/>
  <c r="Y26" i="153"/>
  <c r="Y25" i="153"/>
  <c r="Y24" i="153"/>
  <c r="Y23" i="153"/>
  <c r="Y22" i="153"/>
  <c r="Y21" i="153"/>
  <c r="Y20" i="153"/>
  <c r="Y19" i="153"/>
  <c r="Y18" i="153"/>
  <c r="Y17" i="153"/>
  <c r="Y16" i="153"/>
  <c r="Y15" i="153"/>
  <c r="Y14" i="153"/>
  <c r="Y13" i="153"/>
  <c r="Y12" i="153"/>
  <c r="Y11" i="153"/>
  <c r="Y10" i="153"/>
  <c r="Y9" i="153"/>
  <c r="Y8" i="153"/>
  <c r="Y7" i="153"/>
  <c r="Y75" i="152"/>
  <c r="Y74" i="152"/>
  <c r="Y73" i="152"/>
  <c r="Y72" i="152"/>
  <c r="Y71" i="152"/>
  <c r="Y70" i="152"/>
  <c r="Y69" i="152"/>
  <c r="Y68" i="152"/>
  <c r="Y67" i="152"/>
  <c r="Y66" i="152"/>
  <c r="Y65" i="152"/>
  <c r="Y64" i="152"/>
  <c r="Y63" i="152"/>
  <c r="Y62" i="152"/>
  <c r="Y61" i="152"/>
  <c r="Y60" i="152"/>
  <c r="Y59" i="152"/>
  <c r="Y58" i="152"/>
  <c r="Y57" i="152"/>
  <c r="Y56" i="152"/>
  <c r="Y55" i="152"/>
  <c r="Y54" i="152"/>
  <c r="Y53" i="152"/>
  <c r="Y52" i="152"/>
  <c r="Y51" i="152"/>
  <c r="Y50" i="152"/>
  <c r="Y49" i="152"/>
  <c r="Y48" i="152"/>
  <c r="Y47" i="152"/>
  <c r="Y46" i="152"/>
  <c r="Y45" i="152"/>
  <c r="Y44" i="152"/>
  <c r="Y43" i="152"/>
  <c r="Y42" i="152"/>
  <c r="Y41" i="152"/>
  <c r="Y40" i="152"/>
  <c r="Y39" i="152"/>
  <c r="Y38" i="152"/>
  <c r="Y37" i="152"/>
  <c r="Y36" i="152"/>
  <c r="Y35" i="152"/>
  <c r="Y34" i="152"/>
  <c r="Y33" i="152"/>
  <c r="Y32" i="152"/>
  <c r="Y31" i="152"/>
  <c r="Y30" i="152"/>
  <c r="Y29" i="152"/>
  <c r="Y28" i="152"/>
  <c r="Y27" i="152"/>
  <c r="Y26" i="152"/>
  <c r="Y25" i="152"/>
  <c r="Y24" i="152"/>
  <c r="Y23" i="152"/>
  <c r="Y22" i="152"/>
  <c r="Y21" i="152"/>
  <c r="Y20" i="152"/>
  <c r="Y19" i="152"/>
  <c r="Y18" i="152"/>
  <c r="Y17" i="152"/>
  <c r="Y16" i="152"/>
  <c r="Y15" i="152"/>
  <c r="Y14" i="152"/>
  <c r="Y13" i="152"/>
  <c r="Y12" i="152"/>
  <c r="Y11" i="152"/>
  <c r="Y10" i="152"/>
  <c r="Y9" i="152"/>
  <c r="Y8" i="152"/>
  <c r="Y7" i="152"/>
  <c r="Y75" i="151"/>
  <c r="Y74" i="151"/>
  <c r="Y73" i="151"/>
  <c r="Y72" i="151"/>
  <c r="Y71" i="151"/>
  <c r="Y70" i="151"/>
  <c r="Y69" i="151"/>
  <c r="Y68" i="151"/>
  <c r="Y67" i="151"/>
  <c r="Y66" i="151"/>
  <c r="Y65" i="151"/>
  <c r="Y64" i="151"/>
  <c r="Y63" i="151"/>
  <c r="Y62" i="151"/>
  <c r="Y61" i="151"/>
  <c r="Y60" i="151"/>
  <c r="Y59" i="151"/>
  <c r="Y58" i="151"/>
  <c r="Y57" i="151"/>
  <c r="Y56" i="151"/>
  <c r="Y55" i="151"/>
  <c r="Y54" i="151"/>
  <c r="Y53" i="151"/>
  <c r="Y52" i="151"/>
  <c r="Y51" i="151"/>
  <c r="Y50" i="151"/>
  <c r="Y49" i="151"/>
  <c r="Y48" i="151"/>
  <c r="Y47" i="151"/>
  <c r="Y46" i="151"/>
  <c r="Y45" i="151"/>
  <c r="Y44" i="151"/>
  <c r="Y43" i="151"/>
  <c r="Y42" i="151"/>
  <c r="Y41" i="151"/>
  <c r="Y40" i="151"/>
  <c r="Y39" i="151"/>
  <c r="Y38" i="151"/>
  <c r="Y37" i="151"/>
  <c r="Y36" i="151"/>
  <c r="Y35" i="151"/>
  <c r="Y34" i="151"/>
  <c r="Y33" i="151"/>
  <c r="Y32" i="151"/>
  <c r="Y31" i="151"/>
  <c r="Y30" i="151"/>
  <c r="Y29" i="151"/>
  <c r="Y28" i="151"/>
  <c r="Y27" i="151"/>
  <c r="Y26" i="151"/>
  <c r="Y25" i="151"/>
  <c r="Y24" i="151"/>
  <c r="Y23" i="151"/>
  <c r="Y22" i="151"/>
  <c r="Y21" i="151"/>
  <c r="Y20" i="151"/>
  <c r="Y19" i="151"/>
  <c r="Y18" i="151"/>
  <c r="Y17" i="151"/>
  <c r="Y16" i="151"/>
  <c r="Y15" i="151"/>
  <c r="Y14" i="151"/>
  <c r="Y13" i="151"/>
  <c r="Y12" i="151"/>
  <c r="Y11" i="151"/>
  <c r="Y10" i="151"/>
  <c r="Y9" i="151"/>
  <c r="Y8" i="151"/>
  <c r="Y7" i="151"/>
  <c r="Y75" i="149"/>
  <c r="Y74" i="149"/>
  <c r="Y73" i="149"/>
  <c r="Y72" i="149"/>
  <c r="Y71" i="149"/>
  <c r="Y70" i="149"/>
  <c r="Y69" i="149"/>
  <c r="Y68" i="149"/>
  <c r="Y67" i="149"/>
  <c r="Y66" i="149"/>
  <c r="Y65" i="149"/>
  <c r="Y64" i="149"/>
  <c r="Y63" i="149"/>
  <c r="Y62" i="149"/>
  <c r="Y61" i="149"/>
  <c r="Y60" i="149"/>
  <c r="Y59" i="149"/>
  <c r="Y58" i="149"/>
  <c r="Y57" i="149"/>
  <c r="Y56" i="149"/>
  <c r="Y55" i="149"/>
  <c r="Y54" i="149"/>
  <c r="Y53" i="149"/>
  <c r="Y52" i="149"/>
  <c r="Y51" i="149"/>
  <c r="Y50" i="149"/>
  <c r="Y49" i="149"/>
  <c r="Y48" i="149"/>
  <c r="Y47" i="149"/>
  <c r="Y46" i="149"/>
  <c r="Y45" i="149"/>
  <c r="Y44" i="149"/>
  <c r="Y43" i="149"/>
  <c r="Y42" i="149"/>
  <c r="Y41" i="149"/>
  <c r="Y40" i="149"/>
  <c r="Y39" i="149"/>
  <c r="Y38" i="149"/>
  <c r="Y37" i="149"/>
  <c r="Y36" i="149"/>
  <c r="Y35" i="149"/>
  <c r="Y34" i="149"/>
  <c r="Y33" i="149"/>
  <c r="Y32" i="149"/>
  <c r="Y31" i="149"/>
  <c r="Y30" i="149"/>
  <c r="Y29" i="149"/>
  <c r="Y28" i="149"/>
  <c r="Y27" i="149"/>
  <c r="Y26" i="149"/>
  <c r="Y25" i="149"/>
  <c r="Y24" i="149"/>
  <c r="Y23" i="149"/>
  <c r="Y22" i="149"/>
  <c r="Y21" i="149"/>
  <c r="Y20" i="149"/>
  <c r="Y19" i="149"/>
  <c r="Y18" i="149"/>
  <c r="Y17" i="149"/>
  <c r="Y16" i="149"/>
  <c r="Y15" i="149"/>
  <c r="Y14" i="149"/>
  <c r="Y13" i="149"/>
  <c r="Y12" i="149"/>
  <c r="Y11" i="149"/>
  <c r="Y10" i="149"/>
  <c r="Y9" i="149"/>
  <c r="Y8" i="149"/>
  <c r="Y7" i="149"/>
  <c r="Y75" i="148"/>
  <c r="Y74" i="148"/>
  <c r="Y73" i="148"/>
  <c r="Y72" i="148"/>
  <c r="Y71" i="148"/>
  <c r="Y70" i="148"/>
  <c r="Y69" i="148"/>
  <c r="Y68" i="148"/>
  <c r="Y67" i="148"/>
  <c r="Y66" i="148"/>
  <c r="Y65" i="148"/>
  <c r="Y64" i="148"/>
  <c r="Y63" i="148"/>
  <c r="Y62" i="148"/>
  <c r="Y61" i="148"/>
  <c r="Y60" i="148"/>
  <c r="Y59" i="148"/>
  <c r="Y58" i="148"/>
  <c r="Y57" i="148"/>
  <c r="Y56" i="148"/>
  <c r="Y55" i="148"/>
  <c r="Y54" i="148"/>
  <c r="Y53" i="148"/>
  <c r="Y52" i="148"/>
  <c r="Y51" i="148"/>
  <c r="Y50" i="148"/>
  <c r="Y49" i="148"/>
  <c r="Y48" i="148"/>
  <c r="Y47" i="148"/>
  <c r="Y46" i="148"/>
  <c r="Y45" i="148"/>
  <c r="Y44" i="148"/>
  <c r="Y43" i="148"/>
  <c r="Y42" i="148"/>
  <c r="Y41" i="148"/>
  <c r="Y40" i="148"/>
  <c r="Y39" i="148"/>
  <c r="Y38" i="148"/>
  <c r="Y37" i="148"/>
  <c r="Y36" i="148"/>
  <c r="Y35" i="148"/>
  <c r="Y34" i="148"/>
  <c r="Y33" i="148"/>
  <c r="Y32" i="148"/>
  <c r="Y31" i="148"/>
  <c r="Y30" i="148"/>
  <c r="Y29" i="148"/>
  <c r="Y28" i="148"/>
  <c r="Y27" i="148"/>
  <c r="Y26" i="148"/>
  <c r="Y25" i="148"/>
  <c r="Y24" i="148"/>
  <c r="Y23" i="148"/>
  <c r="Y22" i="148"/>
  <c r="Y21" i="148"/>
  <c r="Y20" i="148"/>
  <c r="Y19" i="148"/>
  <c r="Y18" i="148"/>
  <c r="Y17" i="148"/>
  <c r="Y16" i="148"/>
  <c r="Y15" i="148"/>
  <c r="Y14" i="148"/>
  <c r="Y13" i="148"/>
  <c r="Y12" i="148"/>
  <c r="Y11" i="148"/>
  <c r="Y10" i="148"/>
  <c r="Y9" i="148"/>
  <c r="Y8" i="148"/>
  <c r="Y7" i="148"/>
  <c r="Y75" i="147"/>
  <c r="Y74" i="147"/>
  <c r="Y73" i="147"/>
  <c r="Y72" i="147"/>
  <c r="Y71" i="147"/>
  <c r="Y70" i="147"/>
  <c r="Y69" i="147"/>
  <c r="Y68" i="147"/>
  <c r="Y67" i="147"/>
  <c r="Y66" i="147"/>
  <c r="Y65" i="147"/>
  <c r="Y64" i="147"/>
  <c r="Y63" i="147"/>
  <c r="Y62" i="147"/>
  <c r="Y61" i="147"/>
  <c r="Y60" i="147"/>
  <c r="Y59" i="147"/>
  <c r="Y58" i="147"/>
  <c r="Y57" i="147"/>
  <c r="Y56" i="147"/>
  <c r="Y55" i="147"/>
  <c r="Y54" i="147"/>
  <c r="Y53" i="147"/>
  <c r="Y52" i="147"/>
  <c r="Y51" i="147"/>
  <c r="Y50" i="147"/>
  <c r="Y49" i="147"/>
  <c r="Y48" i="147"/>
  <c r="Y47" i="147"/>
  <c r="Y46" i="147"/>
  <c r="Y45" i="147"/>
  <c r="Y44" i="147"/>
  <c r="Y43" i="147"/>
  <c r="Y42" i="147"/>
  <c r="Y41" i="147"/>
  <c r="Y40" i="147"/>
  <c r="Y39" i="147"/>
  <c r="Y38" i="147"/>
  <c r="Y37" i="147"/>
  <c r="Y36" i="147"/>
  <c r="Y35" i="147"/>
  <c r="Y34" i="147"/>
  <c r="Y33" i="147"/>
  <c r="Y32" i="147"/>
  <c r="Y31" i="147"/>
  <c r="Y30" i="147"/>
  <c r="Y29" i="147"/>
  <c r="Y28" i="147"/>
  <c r="Y27" i="147"/>
  <c r="Y26" i="147"/>
  <c r="Y25" i="147"/>
  <c r="Y24" i="147"/>
  <c r="Y23" i="147"/>
  <c r="Y22" i="147"/>
  <c r="Y21" i="147"/>
  <c r="Y20" i="147"/>
  <c r="Y19" i="147"/>
  <c r="Y18" i="147"/>
  <c r="Y17" i="147"/>
  <c r="Y16" i="147"/>
  <c r="Y15" i="147"/>
  <c r="Y14" i="147"/>
  <c r="Y13" i="147"/>
  <c r="Y12" i="147"/>
  <c r="Y11" i="147"/>
  <c r="Y10" i="147"/>
  <c r="Y9" i="147"/>
  <c r="Y8" i="147"/>
  <c r="Y7" i="147"/>
  <c r="Y75" i="146"/>
  <c r="Y74" i="146"/>
  <c r="Y73" i="146"/>
  <c r="Y72" i="146"/>
  <c r="Y71" i="146"/>
  <c r="Y70" i="146"/>
  <c r="Y69" i="146"/>
  <c r="Y68" i="146"/>
  <c r="Y67" i="146"/>
  <c r="Y66" i="146"/>
  <c r="Y65" i="146"/>
  <c r="Y64" i="146"/>
  <c r="Y63" i="146"/>
  <c r="Y62" i="146"/>
  <c r="Y61" i="146"/>
  <c r="Y60" i="146"/>
  <c r="Y59" i="146"/>
  <c r="Y58" i="146"/>
  <c r="Y57" i="146"/>
  <c r="Y56" i="146"/>
  <c r="Y55" i="146"/>
  <c r="Y54" i="146"/>
  <c r="Y53" i="146"/>
  <c r="Y52" i="146"/>
  <c r="Y51" i="146"/>
  <c r="Y50" i="146"/>
  <c r="Y49" i="146"/>
  <c r="Y48" i="146"/>
  <c r="Y47" i="146"/>
  <c r="Y46" i="146"/>
  <c r="Y45" i="146"/>
  <c r="Y44" i="146"/>
  <c r="Y43" i="146"/>
  <c r="Y42" i="146"/>
  <c r="Y41" i="146"/>
  <c r="Y40" i="146"/>
  <c r="Y39" i="146"/>
  <c r="Y38" i="146"/>
  <c r="Y37" i="146"/>
  <c r="Y36" i="146"/>
  <c r="Y35" i="146"/>
  <c r="Y34" i="146"/>
  <c r="Y33" i="146"/>
  <c r="Y32" i="146"/>
  <c r="Y31" i="146"/>
  <c r="Y30" i="146"/>
  <c r="Y29" i="146"/>
  <c r="Y28" i="146"/>
  <c r="Y27" i="146"/>
  <c r="Y26" i="146"/>
  <c r="Y25" i="146"/>
  <c r="Y24" i="146"/>
  <c r="Y23" i="146"/>
  <c r="Y22" i="146"/>
  <c r="Y21" i="146"/>
  <c r="Y20" i="146"/>
  <c r="Y19" i="146"/>
  <c r="Y18" i="146"/>
  <c r="Y17" i="146"/>
  <c r="Y16" i="146"/>
  <c r="Y15" i="146"/>
  <c r="Y14" i="146"/>
  <c r="Y13" i="146"/>
  <c r="Y12" i="146"/>
  <c r="Y11" i="146"/>
  <c r="Y10" i="146"/>
  <c r="Y9" i="146"/>
  <c r="Y8" i="146"/>
  <c r="Y7" i="146"/>
  <c r="Y75" i="145"/>
  <c r="Y74" i="145"/>
  <c r="Y73" i="145"/>
  <c r="Y72" i="145"/>
  <c r="Y71" i="145"/>
  <c r="Y70" i="145"/>
  <c r="Y69" i="145"/>
  <c r="Y68" i="145"/>
  <c r="Y67" i="145"/>
  <c r="Y66" i="145"/>
  <c r="Y65" i="145"/>
  <c r="Y64" i="145"/>
  <c r="Y63" i="145"/>
  <c r="Y62" i="145"/>
  <c r="Y61" i="145"/>
  <c r="Y60" i="145"/>
  <c r="Y59" i="145"/>
  <c r="Y58" i="145"/>
  <c r="Y57" i="145"/>
  <c r="Y56" i="145"/>
  <c r="Y55" i="145"/>
  <c r="Y54" i="145"/>
  <c r="Y53" i="145"/>
  <c r="Y52" i="145"/>
  <c r="Y51" i="145"/>
  <c r="Y50" i="145"/>
  <c r="Y49" i="145"/>
  <c r="Y48" i="145"/>
  <c r="Y47" i="145"/>
  <c r="Y46" i="145"/>
  <c r="Y45" i="145"/>
  <c r="Y44" i="145"/>
  <c r="Y43" i="145"/>
  <c r="Y42" i="145"/>
  <c r="Y41" i="145"/>
  <c r="Y40" i="145"/>
  <c r="Y39" i="145"/>
  <c r="Y38" i="145"/>
  <c r="Y37" i="145"/>
  <c r="Y36" i="145"/>
  <c r="Y35" i="145"/>
  <c r="Y34" i="145"/>
  <c r="Y33" i="145"/>
  <c r="Y32" i="145"/>
  <c r="Y31" i="145"/>
  <c r="Y30" i="145"/>
  <c r="Y29" i="145"/>
  <c r="Y28" i="145"/>
  <c r="Y27" i="145"/>
  <c r="Y26" i="145"/>
  <c r="Y25" i="145"/>
  <c r="Y24" i="145"/>
  <c r="Y23" i="145"/>
  <c r="Y22" i="145"/>
  <c r="Y21" i="145"/>
  <c r="Y20" i="145"/>
  <c r="Y19" i="145"/>
  <c r="Y18" i="145"/>
  <c r="Y17" i="145"/>
  <c r="Y16" i="145"/>
  <c r="Y15" i="145"/>
  <c r="Y14" i="145"/>
  <c r="Y13" i="145"/>
  <c r="Y12" i="145"/>
  <c r="Y11" i="145"/>
  <c r="Y10" i="145"/>
  <c r="Y9" i="145"/>
  <c r="Y8" i="145"/>
  <c r="Y7" i="145"/>
  <c r="Y75" i="144"/>
  <c r="Y74" i="144"/>
  <c r="Y73" i="144"/>
  <c r="Y72" i="144"/>
  <c r="Y71" i="144"/>
  <c r="Y70" i="144"/>
  <c r="Y69" i="144"/>
  <c r="Y68" i="144"/>
  <c r="Y67" i="144"/>
  <c r="Y66" i="144"/>
  <c r="Y65" i="144"/>
  <c r="Y64" i="144"/>
  <c r="Y63" i="144"/>
  <c r="Y62" i="144"/>
  <c r="Y61" i="144"/>
  <c r="Y60" i="144"/>
  <c r="Y59" i="144"/>
  <c r="Y58" i="144"/>
  <c r="Y57" i="144"/>
  <c r="Y56" i="144"/>
  <c r="Y55" i="144"/>
  <c r="Y54" i="144"/>
  <c r="Y53" i="144"/>
  <c r="Y52" i="144"/>
  <c r="Y51" i="144"/>
  <c r="Y50" i="144"/>
  <c r="Y49" i="144"/>
  <c r="Y48" i="144"/>
  <c r="Y47" i="144"/>
  <c r="Y46" i="144"/>
  <c r="Y45" i="144"/>
  <c r="Y44" i="144"/>
  <c r="Y43" i="144"/>
  <c r="Y42" i="144"/>
  <c r="Y41" i="144"/>
  <c r="Y40" i="144"/>
  <c r="Y39" i="144"/>
  <c r="Y38" i="144"/>
  <c r="Y37" i="144"/>
  <c r="Y36" i="144"/>
  <c r="Y35" i="144"/>
  <c r="Y34" i="144"/>
  <c r="Y33" i="144"/>
  <c r="Y32" i="144"/>
  <c r="Y31" i="144"/>
  <c r="Y30" i="144"/>
  <c r="Y29" i="144"/>
  <c r="Y28" i="144"/>
  <c r="Y27" i="144"/>
  <c r="Y26" i="144"/>
  <c r="Y25" i="144"/>
  <c r="Y24" i="144"/>
  <c r="Y23" i="144"/>
  <c r="Y22" i="144"/>
  <c r="Y21" i="144"/>
  <c r="Y20" i="144"/>
  <c r="Y19" i="144"/>
  <c r="Y18" i="144"/>
  <c r="Y17" i="144"/>
  <c r="Y16" i="144"/>
  <c r="Y15" i="144"/>
  <c r="Y14" i="144"/>
  <c r="Y13" i="144"/>
  <c r="Y12" i="144"/>
  <c r="Y11" i="144"/>
  <c r="Y10" i="144"/>
  <c r="Y9" i="144"/>
  <c r="Y8" i="144"/>
  <c r="Y7" i="144"/>
  <c r="Y75" i="131"/>
  <c r="Y74" i="131"/>
  <c r="Y73" i="131"/>
  <c r="Y72" i="131"/>
  <c r="Y71" i="131"/>
  <c r="Y70" i="131"/>
  <c r="Y69" i="131"/>
  <c r="Y68" i="131"/>
  <c r="Y67" i="131"/>
  <c r="Y66" i="131"/>
  <c r="Y65" i="131"/>
  <c r="Y64" i="131"/>
  <c r="Y63" i="131"/>
  <c r="Y62" i="131"/>
  <c r="Y61" i="131"/>
  <c r="Y60" i="131"/>
  <c r="Y59" i="131"/>
  <c r="Y58" i="131"/>
  <c r="Y57" i="131"/>
  <c r="Y56" i="131"/>
  <c r="Y55" i="131"/>
  <c r="Y54" i="131"/>
  <c r="Y53" i="131"/>
  <c r="Y52" i="131"/>
  <c r="Y51" i="131"/>
  <c r="Y50" i="131"/>
  <c r="Y49" i="131"/>
  <c r="Y48" i="131"/>
  <c r="Y47" i="131"/>
  <c r="Y46" i="131"/>
  <c r="Y45" i="131"/>
  <c r="Y44" i="131"/>
  <c r="Y43" i="131"/>
  <c r="Y42" i="131"/>
  <c r="Y41" i="131"/>
  <c r="Y40" i="131"/>
  <c r="Y39" i="131"/>
  <c r="Y38" i="131"/>
  <c r="Y37" i="131"/>
  <c r="Y36" i="131"/>
  <c r="Y35" i="131"/>
  <c r="Y34" i="131"/>
  <c r="Y33" i="131"/>
  <c r="Y32" i="131"/>
  <c r="Y31" i="131"/>
  <c r="Y30" i="131"/>
  <c r="Y29" i="131"/>
  <c r="Y28" i="131"/>
  <c r="Y27" i="131"/>
  <c r="Y26" i="131"/>
  <c r="Y25" i="131"/>
  <c r="Y24" i="131"/>
  <c r="Y23" i="131"/>
  <c r="Y22" i="131"/>
  <c r="Y21" i="131"/>
  <c r="Y20" i="131"/>
  <c r="Y19" i="131"/>
  <c r="Y18" i="131"/>
  <c r="Y17" i="131"/>
  <c r="Y16" i="131"/>
  <c r="Y15" i="131"/>
  <c r="Y14" i="131"/>
  <c r="Y13" i="131"/>
  <c r="Y12" i="131"/>
  <c r="Y11" i="131"/>
  <c r="Y10" i="131"/>
  <c r="Y9" i="131"/>
  <c r="Y8" i="131"/>
  <c r="Y7" i="131"/>
  <c r="Y75" i="129"/>
  <c r="Y74" i="129"/>
  <c r="Y73" i="129"/>
  <c r="Y72" i="129"/>
  <c r="Y71" i="129"/>
  <c r="Y70" i="129"/>
  <c r="Y69" i="129"/>
  <c r="Y68" i="129"/>
  <c r="Y67" i="129"/>
  <c r="Y66" i="129"/>
  <c r="Y65" i="129"/>
  <c r="Y64" i="129"/>
  <c r="Y63" i="129"/>
  <c r="Y62" i="129"/>
  <c r="Y61" i="129"/>
  <c r="Y60" i="129"/>
  <c r="Y59" i="129"/>
  <c r="Y58" i="129"/>
  <c r="Y57" i="129"/>
  <c r="Y56" i="129"/>
  <c r="Y55" i="129"/>
  <c r="Y54" i="129"/>
  <c r="Y53" i="129"/>
  <c r="Y52" i="129"/>
  <c r="Y51" i="129"/>
  <c r="Y50" i="129"/>
  <c r="Y49" i="129"/>
  <c r="Y48" i="129"/>
  <c r="Y47" i="129"/>
  <c r="Y46" i="129"/>
  <c r="Y45" i="129"/>
  <c r="Y44" i="129"/>
  <c r="Y43" i="129"/>
  <c r="Y42" i="129"/>
  <c r="Y41" i="129"/>
  <c r="Y40" i="129"/>
  <c r="Y39" i="129"/>
  <c r="Y38" i="129"/>
  <c r="Y37" i="129"/>
  <c r="Y36" i="129"/>
  <c r="Y35" i="129"/>
  <c r="Y34" i="129"/>
  <c r="Y33" i="129"/>
  <c r="Y32" i="129"/>
  <c r="Y31" i="129"/>
  <c r="Y30" i="129"/>
  <c r="Y29" i="129"/>
  <c r="Y28" i="129"/>
  <c r="Y27" i="129"/>
  <c r="Y26" i="129"/>
  <c r="Y25" i="129"/>
  <c r="Y24" i="129"/>
  <c r="Y23" i="129"/>
  <c r="Y22" i="129"/>
  <c r="Y21" i="129"/>
  <c r="Y20" i="129"/>
  <c r="Y19" i="129"/>
  <c r="Y18" i="129"/>
  <c r="Y17" i="129"/>
  <c r="Y16" i="129"/>
  <c r="Y15" i="129"/>
  <c r="Y14" i="129"/>
  <c r="Y13" i="129"/>
  <c r="Y12" i="129"/>
  <c r="Y11" i="129"/>
  <c r="Y10" i="129"/>
  <c r="Y9" i="129"/>
  <c r="Y8" i="129"/>
  <c r="Y7" i="129"/>
  <c r="Y75" i="128"/>
  <c r="Y74" i="128"/>
  <c r="Y73" i="128"/>
  <c r="Y72" i="128"/>
  <c r="Y71" i="128"/>
  <c r="Y70" i="128"/>
  <c r="Y69" i="128"/>
  <c r="Y68" i="128"/>
  <c r="Y67" i="128"/>
  <c r="Y66" i="128"/>
  <c r="Y65" i="128"/>
  <c r="Y64" i="128"/>
  <c r="Y63" i="128"/>
  <c r="Y62" i="128"/>
  <c r="Y61" i="128"/>
  <c r="Y60" i="128"/>
  <c r="Y59" i="128"/>
  <c r="Y58" i="128"/>
  <c r="Y57" i="128"/>
  <c r="Y56" i="128"/>
  <c r="Y55" i="128"/>
  <c r="Y54" i="128"/>
  <c r="Y53" i="128"/>
  <c r="Y52" i="128"/>
  <c r="Y51" i="128"/>
  <c r="Y50" i="128"/>
  <c r="Y49" i="128"/>
  <c r="Y48" i="128"/>
  <c r="Y47" i="128"/>
  <c r="Y46" i="128"/>
  <c r="Y45" i="128"/>
  <c r="Y44" i="128"/>
  <c r="Y43" i="128"/>
  <c r="Y42" i="128"/>
  <c r="Y41" i="128"/>
  <c r="Y40" i="128"/>
  <c r="Y39" i="128"/>
  <c r="Y38" i="128"/>
  <c r="Y37" i="128"/>
  <c r="Y36" i="128"/>
  <c r="Y35" i="128"/>
  <c r="Y34" i="128"/>
  <c r="Y33" i="128"/>
  <c r="Y32" i="128"/>
  <c r="Y31" i="128"/>
  <c r="Y30" i="128"/>
  <c r="Y29" i="128"/>
  <c r="Y28" i="128"/>
  <c r="Y27" i="128"/>
  <c r="Y26" i="128"/>
  <c r="Y25" i="128"/>
  <c r="Y24" i="128"/>
  <c r="Y23" i="128"/>
  <c r="Y22" i="128"/>
  <c r="Y21" i="128"/>
  <c r="Y20" i="128"/>
  <c r="Y19" i="128"/>
  <c r="Y18" i="128"/>
  <c r="Y17" i="128"/>
  <c r="Y16" i="128"/>
  <c r="Y15" i="128"/>
  <c r="Y14" i="128"/>
  <c r="Y13" i="128"/>
  <c r="Y12" i="128"/>
  <c r="Y11" i="128"/>
  <c r="Y10" i="128"/>
  <c r="Y9" i="128"/>
  <c r="Y8" i="128"/>
  <c r="Y7" i="128"/>
  <c r="Y75" i="127"/>
  <c r="Y74" i="127"/>
  <c r="Y73" i="127"/>
  <c r="Y72" i="127"/>
  <c r="Y71" i="127"/>
  <c r="Y70" i="127"/>
  <c r="Y69" i="127"/>
  <c r="Y68" i="127"/>
  <c r="Y67" i="127"/>
  <c r="Y66" i="127"/>
  <c r="Y65" i="127"/>
  <c r="Y64" i="127"/>
  <c r="Y63" i="127"/>
  <c r="Y62" i="127"/>
  <c r="Y61" i="127"/>
  <c r="Y60" i="127"/>
  <c r="Y59" i="127"/>
  <c r="Y58" i="127"/>
  <c r="Y57" i="127"/>
  <c r="Y56" i="127"/>
  <c r="Y55" i="127"/>
  <c r="Y54" i="127"/>
  <c r="Y53" i="127"/>
  <c r="Y52" i="127"/>
  <c r="Y51" i="127"/>
  <c r="Y50" i="127"/>
  <c r="Y49" i="127"/>
  <c r="Y48" i="127"/>
  <c r="Y47" i="127"/>
  <c r="Y46" i="127"/>
  <c r="Y45" i="127"/>
  <c r="Y44" i="127"/>
  <c r="Y43" i="127"/>
  <c r="Y42" i="127"/>
  <c r="Y41" i="127"/>
  <c r="Y40" i="127"/>
  <c r="Y39" i="127"/>
  <c r="Y38" i="127"/>
  <c r="Y37" i="127"/>
  <c r="Y36" i="127"/>
  <c r="Y35" i="127"/>
  <c r="Y34" i="127"/>
  <c r="Y33" i="127"/>
  <c r="Y32" i="127"/>
  <c r="Y31" i="127"/>
  <c r="Y30" i="127"/>
  <c r="Y29" i="127"/>
  <c r="Y28" i="127"/>
  <c r="Y27" i="127"/>
  <c r="Y26" i="127"/>
  <c r="Y25" i="127"/>
  <c r="Y24" i="127"/>
  <c r="Y23" i="127"/>
  <c r="Y22" i="127"/>
  <c r="Y21" i="127"/>
  <c r="Y20" i="127"/>
  <c r="Y19" i="127"/>
  <c r="Y18" i="127"/>
  <c r="Y17" i="127"/>
  <c r="Y16" i="127"/>
  <c r="Y15" i="127"/>
  <c r="Y14" i="127"/>
  <c r="Y13" i="127"/>
  <c r="Y12" i="127"/>
  <c r="Y11" i="127"/>
  <c r="Y10" i="127"/>
  <c r="Y9" i="127"/>
  <c r="Y8" i="127"/>
  <c r="Y7" i="127"/>
  <c r="Y75" i="126"/>
  <c r="Y74" i="126"/>
  <c r="Y73" i="126"/>
  <c r="Y72" i="126"/>
  <c r="Y71" i="126"/>
  <c r="Y70" i="126"/>
  <c r="Y69" i="126"/>
  <c r="Y68" i="126"/>
  <c r="Y67" i="126"/>
  <c r="Y66" i="126"/>
  <c r="Y65" i="126"/>
  <c r="Y64" i="126"/>
  <c r="Y63" i="126"/>
  <c r="Y62" i="126"/>
  <c r="Y61" i="126"/>
  <c r="Y60" i="126"/>
  <c r="Y59" i="126"/>
  <c r="Y58" i="126"/>
  <c r="Y57" i="126"/>
  <c r="Y56" i="126"/>
  <c r="Y55" i="126"/>
  <c r="Y54" i="126"/>
  <c r="Y53" i="126"/>
  <c r="Y52" i="126"/>
  <c r="Y51" i="126"/>
  <c r="Y50" i="126"/>
  <c r="Y49" i="126"/>
  <c r="Y48" i="126"/>
  <c r="Y47" i="126"/>
  <c r="Y46" i="126"/>
  <c r="Y45" i="126"/>
  <c r="Y44" i="126"/>
  <c r="Y43" i="126"/>
  <c r="Y42" i="126"/>
  <c r="Y41" i="126"/>
  <c r="Y40" i="126"/>
  <c r="Y39" i="126"/>
  <c r="Y38" i="126"/>
  <c r="Y37" i="126"/>
  <c r="Y36" i="126"/>
  <c r="Y35" i="126"/>
  <c r="Y34" i="126"/>
  <c r="Y33" i="126"/>
  <c r="Y32" i="126"/>
  <c r="Y31" i="126"/>
  <c r="Y30" i="126"/>
  <c r="Y29" i="126"/>
  <c r="Y28" i="126"/>
  <c r="Y27" i="126"/>
  <c r="Y26" i="126"/>
  <c r="Y25" i="126"/>
  <c r="Y24" i="126"/>
  <c r="Y23" i="126"/>
  <c r="Y22" i="126"/>
  <c r="Y21" i="126"/>
  <c r="Y20" i="126"/>
  <c r="Y19" i="126"/>
  <c r="Y18" i="126"/>
  <c r="Y17" i="126"/>
  <c r="Y16" i="126"/>
  <c r="Y15" i="126"/>
  <c r="Y14" i="126"/>
  <c r="Y13" i="126"/>
  <c r="Y12" i="126"/>
  <c r="Y11" i="126"/>
  <c r="Y10" i="126"/>
  <c r="Y9" i="126"/>
  <c r="Y8" i="126"/>
  <c r="Y7" i="126"/>
  <c r="Y75" i="125"/>
  <c r="Y74" i="125"/>
  <c r="Y73" i="125"/>
  <c r="Y72" i="125"/>
  <c r="Y71" i="125"/>
  <c r="Y70" i="125"/>
  <c r="Y69" i="125"/>
  <c r="Y68" i="125"/>
  <c r="Y67" i="125"/>
  <c r="Y66" i="125"/>
  <c r="Y65" i="125"/>
  <c r="Y64" i="125"/>
  <c r="Y63" i="125"/>
  <c r="Y62" i="125"/>
  <c r="Y61" i="125"/>
  <c r="Y60" i="125"/>
  <c r="Y59" i="125"/>
  <c r="Y58" i="125"/>
  <c r="Y57" i="125"/>
  <c r="Y56" i="125"/>
  <c r="Y55" i="125"/>
  <c r="Y54" i="125"/>
  <c r="Y53" i="125"/>
  <c r="Y52" i="125"/>
  <c r="Y51" i="125"/>
  <c r="Y50" i="125"/>
  <c r="Y49" i="125"/>
  <c r="Y48" i="125"/>
  <c r="Y47" i="125"/>
  <c r="Y46" i="125"/>
  <c r="Y45" i="125"/>
  <c r="Y44" i="125"/>
  <c r="Y43" i="125"/>
  <c r="Y42" i="125"/>
  <c r="Y41" i="125"/>
  <c r="Y40" i="125"/>
  <c r="Y39" i="125"/>
  <c r="Y38" i="125"/>
  <c r="Y37" i="125"/>
  <c r="Y36" i="125"/>
  <c r="Y35" i="125"/>
  <c r="Y34" i="125"/>
  <c r="Y33" i="125"/>
  <c r="Y32" i="125"/>
  <c r="Y31" i="125"/>
  <c r="Y30" i="125"/>
  <c r="Y29" i="125"/>
  <c r="Y28" i="125"/>
  <c r="Y27" i="125"/>
  <c r="Y26" i="125"/>
  <c r="Y25" i="125"/>
  <c r="Y24" i="125"/>
  <c r="Y23" i="125"/>
  <c r="Y22" i="125"/>
  <c r="Y21" i="125"/>
  <c r="Y20" i="125"/>
  <c r="Y19" i="125"/>
  <c r="Y18" i="125"/>
  <c r="Y17" i="125"/>
  <c r="Y16" i="125"/>
  <c r="Y15" i="125"/>
  <c r="Y14" i="125"/>
  <c r="Y13" i="125"/>
  <c r="Y12" i="125"/>
  <c r="Y11" i="125"/>
  <c r="Y10" i="125"/>
  <c r="Y9" i="125"/>
  <c r="Y8" i="125"/>
  <c r="Y7" i="125"/>
  <c r="Y75" i="120"/>
  <c r="Y74" i="120"/>
  <c r="Y73" i="120"/>
  <c r="Y72" i="120"/>
  <c r="Y71" i="120"/>
  <c r="Y70" i="120"/>
  <c r="Y69" i="120"/>
  <c r="Y68" i="120"/>
  <c r="Y67" i="120"/>
  <c r="Y66" i="120"/>
  <c r="Y65" i="120"/>
  <c r="Y64" i="120"/>
  <c r="Y63" i="120"/>
  <c r="Y62" i="120"/>
  <c r="Y61" i="120"/>
  <c r="Y60" i="120"/>
  <c r="Y59" i="120"/>
  <c r="Y58" i="120"/>
  <c r="Y57" i="120"/>
  <c r="Y56" i="120"/>
  <c r="Y55" i="120"/>
  <c r="Y54" i="120"/>
  <c r="Y53" i="120"/>
  <c r="Y52" i="120"/>
  <c r="Y51" i="120"/>
  <c r="Y50" i="120"/>
  <c r="Y49" i="120"/>
  <c r="Y48" i="120"/>
  <c r="Y47" i="120"/>
  <c r="Y46" i="120"/>
  <c r="Y45" i="120"/>
  <c r="Y44" i="120"/>
  <c r="Y43" i="120"/>
  <c r="Y42" i="120"/>
  <c r="Y41" i="120"/>
  <c r="Y40" i="120"/>
  <c r="Y39" i="120"/>
  <c r="Y38" i="120"/>
  <c r="Y37" i="120"/>
  <c r="Y36" i="120"/>
  <c r="Y35" i="120"/>
  <c r="Y34" i="120"/>
  <c r="Y33" i="120"/>
  <c r="Y32" i="120"/>
  <c r="Y31" i="120"/>
  <c r="Y30" i="120"/>
  <c r="Y29" i="120"/>
  <c r="Y28" i="120"/>
  <c r="Y27" i="120"/>
  <c r="Y26" i="120"/>
  <c r="Y25" i="120"/>
  <c r="Y24" i="120"/>
  <c r="Y23" i="120"/>
  <c r="Y22" i="120"/>
  <c r="Y21" i="120"/>
  <c r="Y20" i="120"/>
  <c r="Y19" i="120"/>
  <c r="Y18" i="120"/>
  <c r="Y17" i="120"/>
  <c r="Y16" i="120"/>
  <c r="Y15" i="120"/>
  <c r="Y14" i="120"/>
  <c r="Y13" i="120"/>
  <c r="Y12" i="120"/>
  <c r="Y11" i="120"/>
  <c r="Y10" i="120"/>
  <c r="Y9" i="120"/>
  <c r="Y8" i="120"/>
  <c r="Y7" i="120"/>
  <c r="Y75" i="119"/>
  <c r="Y74" i="119"/>
  <c r="Y73" i="119"/>
  <c r="Y72" i="119"/>
  <c r="Y71" i="119"/>
  <c r="Y70" i="119"/>
  <c r="Y69" i="119"/>
  <c r="Y68" i="119"/>
  <c r="Y67" i="119"/>
  <c r="Y66" i="119"/>
  <c r="Y65" i="119"/>
  <c r="Y64" i="119"/>
  <c r="Y63" i="119"/>
  <c r="Y62" i="119"/>
  <c r="Y61" i="119"/>
  <c r="Y60" i="119"/>
  <c r="Y59" i="119"/>
  <c r="Y58" i="119"/>
  <c r="Y57" i="119"/>
  <c r="Y56" i="119"/>
  <c r="Y55" i="119"/>
  <c r="Y54" i="119"/>
  <c r="Y53" i="119"/>
  <c r="Y52" i="119"/>
  <c r="Y51" i="119"/>
  <c r="Y50" i="119"/>
  <c r="Y49" i="119"/>
  <c r="Y48" i="119"/>
  <c r="Y47" i="119"/>
  <c r="Y46" i="119"/>
  <c r="Y45" i="119"/>
  <c r="Y44" i="119"/>
  <c r="Y43" i="119"/>
  <c r="Y42" i="119"/>
  <c r="Y41" i="119"/>
  <c r="Y40" i="119"/>
  <c r="Y39" i="119"/>
  <c r="Y38" i="119"/>
  <c r="Y37" i="119"/>
  <c r="Y36" i="119"/>
  <c r="Y35" i="119"/>
  <c r="Y34" i="119"/>
  <c r="Y33" i="119"/>
  <c r="Y32" i="119"/>
  <c r="Y31" i="119"/>
  <c r="Y30" i="119"/>
  <c r="Y29" i="119"/>
  <c r="Y28" i="119"/>
  <c r="Y27" i="119"/>
  <c r="Y26" i="119"/>
  <c r="Y25" i="119"/>
  <c r="Y24" i="119"/>
  <c r="Y23" i="119"/>
  <c r="Y22" i="119"/>
  <c r="Y21" i="119"/>
  <c r="Y20" i="119"/>
  <c r="Y19" i="119"/>
  <c r="Y18" i="119"/>
  <c r="Y17" i="119"/>
  <c r="Y16" i="119"/>
  <c r="Y15" i="119"/>
  <c r="Y14" i="119"/>
  <c r="Y13" i="119"/>
  <c r="Y12" i="119"/>
  <c r="Y11" i="119"/>
  <c r="Y10" i="119"/>
  <c r="Y9" i="119"/>
  <c r="Y8" i="119"/>
  <c r="Y7" i="119"/>
  <c r="Y75" i="118"/>
  <c r="Y74" i="118"/>
  <c r="Y73" i="118"/>
  <c r="Y72" i="118"/>
  <c r="Y71" i="118"/>
  <c r="Y70" i="118"/>
  <c r="Y69" i="118"/>
  <c r="Y68" i="118"/>
  <c r="Y67" i="118"/>
  <c r="Y66" i="118"/>
  <c r="Y65" i="118"/>
  <c r="Y64" i="118"/>
  <c r="Y63" i="118"/>
  <c r="Y62" i="118"/>
  <c r="Y61" i="118"/>
  <c r="Y60" i="118"/>
  <c r="Y59" i="118"/>
  <c r="Y58" i="118"/>
  <c r="Y57" i="118"/>
  <c r="Y56" i="118"/>
  <c r="Y55" i="118"/>
  <c r="Y54" i="118"/>
  <c r="Y53" i="118"/>
  <c r="Y52" i="118"/>
  <c r="Y51" i="118"/>
  <c r="Y50" i="118"/>
  <c r="Y49" i="118"/>
  <c r="Y48" i="118"/>
  <c r="Y47" i="118"/>
  <c r="Y46" i="118"/>
  <c r="Y45" i="118"/>
  <c r="Y44" i="118"/>
  <c r="Y43" i="118"/>
  <c r="Y42" i="118"/>
  <c r="Y41" i="118"/>
  <c r="Y40" i="118"/>
  <c r="Y39" i="118"/>
  <c r="Y38" i="118"/>
  <c r="Y37" i="118"/>
  <c r="Y36" i="118"/>
  <c r="Y35" i="118"/>
  <c r="Y34" i="118"/>
  <c r="Y33" i="118"/>
  <c r="Y32" i="118"/>
  <c r="Y31" i="118"/>
  <c r="Y30" i="118"/>
  <c r="Y29" i="118"/>
  <c r="Y28" i="118"/>
  <c r="Y27" i="118"/>
  <c r="Y26" i="118"/>
  <c r="Y25" i="118"/>
  <c r="Y24" i="118"/>
  <c r="Y23" i="118"/>
  <c r="Y22" i="118"/>
  <c r="Y21" i="118"/>
  <c r="Y20" i="118"/>
  <c r="Y19" i="118"/>
  <c r="Y18" i="118"/>
  <c r="Y17" i="118"/>
  <c r="Y16" i="118"/>
  <c r="Y15" i="118"/>
  <c r="Y14" i="118"/>
  <c r="Y13" i="118"/>
  <c r="Y12" i="118"/>
  <c r="Y11" i="118"/>
  <c r="Y10" i="118"/>
  <c r="Y9" i="118"/>
  <c r="Y8" i="118"/>
  <c r="Y7" i="118"/>
  <c r="Y75" i="117"/>
  <c r="Y74" i="117"/>
  <c r="Y73" i="117"/>
  <c r="Y72" i="117"/>
  <c r="Y71" i="117"/>
  <c r="Y70" i="117"/>
  <c r="Y69" i="117"/>
  <c r="Y68" i="117"/>
  <c r="Y67" i="117"/>
  <c r="Y66" i="117"/>
  <c r="Y65" i="117"/>
  <c r="Y64" i="117"/>
  <c r="Y63" i="117"/>
  <c r="Y62" i="117"/>
  <c r="Y61" i="117"/>
  <c r="Y60" i="117"/>
  <c r="Y59" i="117"/>
  <c r="Y58" i="117"/>
  <c r="Y57" i="117"/>
  <c r="Y56" i="117"/>
  <c r="Y55" i="117"/>
  <c r="Y54" i="117"/>
  <c r="Y53" i="117"/>
  <c r="Y52" i="117"/>
  <c r="Y51" i="117"/>
  <c r="Y50" i="117"/>
  <c r="Y49" i="117"/>
  <c r="Y48" i="117"/>
  <c r="Y47" i="117"/>
  <c r="Y46" i="117"/>
  <c r="Y45" i="117"/>
  <c r="Y44" i="117"/>
  <c r="Y43" i="117"/>
  <c r="Y42" i="117"/>
  <c r="Y41" i="117"/>
  <c r="Y40" i="117"/>
  <c r="Y39" i="117"/>
  <c r="Y38" i="117"/>
  <c r="Y37" i="117"/>
  <c r="Y36" i="117"/>
  <c r="Y35" i="117"/>
  <c r="Y34" i="117"/>
  <c r="Y33" i="117"/>
  <c r="Y32" i="117"/>
  <c r="Y31" i="117"/>
  <c r="Y30" i="117"/>
  <c r="Y29" i="117"/>
  <c r="Y28" i="117"/>
  <c r="Y27" i="117"/>
  <c r="Y26" i="117"/>
  <c r="Y25" i="117"/>
  <c r="Y24" i="117"/>
  <c r="Y23" i="117"/>
  <c r="Y22" i="117"/>
  <c r="Y21" i="117"/>
  <c r="Y20" i="117"/>
  <c r="Y19" i="117"/>
  <c r="Y18" i="117"/>
  <c r="Y17" i="117"/>
  <c r="Y16" i="117"/>
  <c r="Y15" i="117"/>
  <c r="Y14" i="117"/>
  <c r="Y13" i="117"/>
  <c r="Y12" i="117"/>
  <c r="Y11" i="117"/>
  <c r="Y10" i="117"/>
  <c r="Y9" i="117"/>
  <c r="Y8" i="117"/>
  <c r="Y7" i="117"/>
  <c r="Y75" i="116"/>
  <c r="Y74" i="116"/>
  <c r="Y73" i="116"/>
  <c r="Y72" i="116"/>
  <c r="Y71" i="116"/>
  <c r="Y70" i="116"/>
  <c r="Y69" i="116"/>
  <c r="Y68" i="116"/>
  <c r="Y67" i="116"/>
  <c r="Y66" i="116"/>
  <c r="Y65" i="116"/>
  <c r="Y64" i="116"/>
  <c r="Y63" i="116"/>
  <c r="Y62" i="116"/>
  <c r="Y61" i="116"/>
  <c r="Y60" i="116"/>
  <c r="Y59" i="116"/>
  <c r="Y58" i="116"/>
  <c r="Y57" i="116"/>
  <c r="Y56" i="116"/>
  <c r="Y55" i="116"/>
  <c r="Y54" i="116"/>
  <c r="Y53" i="116"/>
  <c r="Y52" i="116"/>
  <c r="Y51" i="116"/>
  <c r="Y50" i="116"/>
  <c r="Y49" i="116"/>
  <c r="Y48" i="116"/>
  <c r="Y47" i="116"/>
  <c r="Y46" i="116"/>
  <c r="Y45" i="116"/>
  <c r="Y44" i="116"/>
  <c r="Y43" i="116"/>
  <c r="Y42" i="116"/>
  <c r="Y41" i="116"/>
  <c r="Y40" i="116"/>
  <c r="Y39" i="116"/>
  <c r="Y38" i="116"/>
  <c r="Y37" i="116"/>
  <c r="Y36" i="116"/>
  <c r="Y35" i="116"/>
  <c r="Y34" i="116"/>
  <c r="Y33" i="116"/>
  <c r="Y32" i="116"/>
  <c r="Y31" i="116"/>
  <c r="Y30" i="116"/>
  <c r="Y29" i="116"/>
  <c r="Y28" i="116"/>
  <c r="Y27" i="116"/>
  <c r="Y26" i="116"/>
  <c r="Y25" i="116"/>
  <c r="Y24" i="116"/>
  <c r="Y23" i="116"/>
  <c r="Y22" i="116"/>
  <c r="Y21" i="116"/>
  <c r="Y20" i="116"/>
  <c r="Y19" i="116"/>
  <c r="Y18" i="116"/>
  <c r="Y17" i="116"/>
  <c r="Y16" i="116"/>
  <c r="Y15" i="116"/>
  <c r="Y14" i="116"/>
  <c r="Y13" i="116"/>
  <c r="Y12" i="116"/>
  <c r="Y11" i="116"/>
  <c r="Y10" i="116"/>
  <c r="Y9" i="116"/>
  <c r="Y8" i="116"/>
  <c r="Y7" i="116"/>
  <c r="AF76" i="76"/>
  <c r="Z76" i="76"/>
  <c r="P76" i="76"/>
  <c r="M80" i="67"/>
  <c r="AE73" i="3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Q5" i="31"/>
  <c r="R5" i="31"/>
  <c r="S5" i="31"/>
  <c r="T5" i="31"/>
  <c r="U5" i="31"/>
  <c r="V5" i="31"/>
  <c r="W5" i="31"/>
  <c r="X5" i="31"/>
  <c r="Y5" i="31"/>
  <c r="Z5" i="31"/>
  <c r="AA5" i="31"/>
  <c r="AB5" i="31"/>
  <c r="AC5" i="31"/>
  <c r="AD5" i="31"/>
  <c r="AE5" i="31"/>
  <c r="AF5" i="31"/>
  <c r="AG5" i="31"/>
  <c r="AH5" i="31"/>
  <c r="AI5" i="31"/>
  <c r="AJ5" i="31"/>
  <c r="AK5" i="31"/>
  <c r="AL5" i="31"/>
  <c r="AM5" i="31"/>
  <c r="C41" i="2"/>
  <c r="P76" i="80"/>
  <c r="O76" i="151"/>
  <c r="O76" i="128"/>
  <c r="O76" i="127"/>
  <c r="O76" i="125"/>
  <c r="O76" i="120"/>
  <c r="O76" i="119"/>
  <c r="O76" i="117"/>
  <c r="O76" i="116"/>
  <c r="X9" i="31"/>
  <c r="X27" i="31"/>
  <c r="T9" i="31"/>
  <c r="V9" i="31"/>
  <c r="W9" i="31"/>
  <c r="S9" i="31"/>
  <c r="P180" i="167"/>
  <c r="C74" i="67"/>
  <c r="C73" i="67"/>
  <c r="C72" i="67"/>
  <c r="C71" i="67"/>
  <c r="C70" i="67"/>
  <c r="C69" i="67"/>
  <c r="C68" i="67"/>
  <c r="C67" i="67"/>
  <c r="C66" i="67"/>
  <c r="C65" i="67"/>
  <c r="C64" i="67"/>
  <c r="C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6" i="67"/>
  <c r="W75" i="144"/>
  <c r="W74" i="144"/>
  <c r="W73" i="144"/>
  <c r="W72" i="144"/>
  <c r="W71" i="144"/>
  <c r="W70" i="144"/>
  <c r="W69" i="144"/>
  <c r="W68" i="144"/>
  <c r="W67" i="144"/>
  <c r="W66" i="144"/>
  <c r="W65" i="144"/>
  <c r="W64" i="144"/>
  <c r="W63" i="144"/>
  <c r="W62" i="144"/>
  <c r="W61" i="144"/>
  <c r="W60" i="144"/>
  <c r="W59" i="144"/>
  <c r="W58" i="144"/>
  <c r="W57" i="144"/>
  <c r="W56" i="144"/>
  <c r="W55" i="144"/>
  <c r="W54" i="144"/>
  <c r="W53" i="144"/>
  <c r="W52" i="144"/>
  <c r="W51" i="144"/>
  <c r="W50" i="144"/>
  <c r="W49" i="144"/>
  <c r="W48" i="144"/>
  <c r="W47" i="144"/>
  <c r="W46" i="144"/>
  <c r="W45" i="144"/>
  <c r="W44" i="144"/>
  <c r="W43" i="144"/>
  <c r="W42" i="144"/>
  <c r="W41" i="144"/>
  <c r="W40" i="144"/>
  <c r="W39" i="144"/>
  <c r="W38" i="144"/>
  <c r="W37" i="144"/>
  <c r="W36" i="144"/>
  <c r="W35" i="144"/>
  <c r="W34" i="144"/>
  <c r="W33" i="144"/>
  <c r="W32" i="144"/>
  <c r="W31" i="144"/>
  <c r="W30" i="144"/>
  <c r="W29" i="144"/>
  <c r="W28" i="144"/>
  <c r="W27" i="144"/>
  <c r="W26" i="144"/>
  <c r="W25" i="144"/>
  <c r="W24" i="144"/>
  <c r="W23" i="144"/>
  <c r="W22" i="144"/>
  <c r="W21" i="144"/>
  <c r="W20" i="144"/>
  <c r="W19" i="144"/>
  <c r="W18" i="144"/>
  <c r="W17" i="144"/>
  <c r="W16" i="144"/>
  <c r="W15" i="144"/>
  <c r="W14" i="144"/>
  <c r="W13" i="144"/>
  <c r="W12" i="144"/>
  <c r="W11" i="144"/>
  <c r="W10" i="144"/>
  <c r="W9" i="144"/>
  <c r="W8" i="144"/>
  <c r="W7" i="144"/>
  <c r="W75" i="145"/>
  <c r="W74" i="145"/>
  <c r="W73" i="145"/>
  <c r="W72" i="145"/>
  <c r="W71" i="145"/>
  <c r="W70" i="145"/>
  <c r="W69" i="145"/>
  <c r="W68" i="145"/>
  <c r="W67" i="145"/>
  <c r="W66" i="145"/>
  <c r="W65" i="145"/>
  <c r="W64" i="145"/>
  <c r="W63" i="145"/>
  <c r="W62" i="145"/>
  <c r="W61" i="145"/>
  <c r="W60" i="145"/>
  <c r="W59" i="145"/>
  <c r="W58" i="145"/>
  <c r="W57" i="145"/>
  <c r="W56" i="145"/>
  <c r="W55" i="145"/>
  <c r="W54" i="145"/>
  <c r="W53" i="145"/>
  <c r="W52" i="145"/>
  <c r="W51" i="145"/>
  <c r="W50" i="145"/>
  <c r="W49" i="145"/>
  <c r="W48" i="145"/>
  <c r="W47" i="145"/>
  <c r="W46" i="145"/>
  <c r="W45" i="145"/>
  <c r="W44" i="145"/>
  <c r="W43" i="145"/>
  <c r="W42" i="145"/>
  <c r="W41" i="145"/>
  <c r="W40" i="145"/>
  <c r="W39" i="145"/>
  <c r="W38" i="145"/>
  <c r="W37" i="145"/>
  <c r="W36" i="145"/>
  <c r="W35" i="145"/>
  <c r="W34" i="145"/>
  <c r="W33" i="145"/>
  <c r="W32" i="145"/>
  <c r="W31" i="145"/>
  <c r="W30" i="145"/>
  <c r="W29" i="145"/>
  <c r="W28" i="145"/>
  <c r="W27" i="145"/>
  <c r="W26" i="145"/>
  <c r="W25" i="145"/>
  <c r="W24" i="145"/>
  <c r="W23" i="145"/>
  <c r="W22" i="145"/>
  <c r="W21" i="145"/>
  <c r="W20" i="145"/>
  <c r="W19" i="145"/>
  <c r="W18" i="145"/>
  <c r="W17" i="145"/>
  <c r="W16" i="145"/>
  <c r="W15" i="145"/>
  <c r="W14" i="145"/>
  <c r="W13" i="145"/>
  <c r="W12" i="145"/>
  <c r="W11" i="145"/>
  <c r="W10" i="145"/>
  <c r="W9" i="145"/>
  <c r="W8" i="145"/>
  <c r="W7" i="145"/>
  <c r="W75" i="146"/>
  <c r="W74" i="146"/>
  <c r="W73" i="146"/>
  <c r="W72" i="146"/>
  <c r="W71" i="146"/>
  <c r="W70" i="146"/>
  <c r="W69" i="146"/>
  <c r="W68" i="146"/>
  <c r="W67" i="146"/>
  <c r="W66" i="146"/>
  <c r="W65" i="146"/>
  <c r="W64" i="146"/>
  <c r="W63" i="146"/>
  <c r="W62" i="146"/>
  <c r="W61" i="146"/>
  <c r="W60" i="146"/>
  <c r="W59" i="146"/>
  <c r="W58" i="146"/>
  <c r="W57" i="146"/>
  <c r="W56" i="146"/>
  <c r="W55" i="146"/>
  <c r="W54" i="146"/>
  <c r="W53" i="146"/>
  <c r="W52" i="146"/>
  <c r="W51" i="146"/>
  <c r="W50" i="146"/>
  <c r="W49" i="146"/>
  <c r="W48" i="146"/>
  <c r="W47" i="146"/>
  <c r="W46" i="146"/>
  <c r="W45" i="146"/>
  <c r="W44" i="146"/>
  <c r="W43" i="146"/>
  <c r="W42" i="146"/>
  <c r="W41" i="146"/>
  <c r="W40" i="146"/>
  <c r="W39" i="146"/>
  <c r="W38" i="146"/>
  <c r="W37" i="146"/>
  <c r="W36" i="146"/>
  <c r="W35" i="146"/>
  <c r="W34" i="146"/>
  <c r="W33" i="146"/>
  <c r="W32" i="146"/>
  <c r="W31" i="146"/>
  <c r="W30" i="146"/>
  <c r="W29" i="146"/>
  <c r="W28" i="146"/>
  <c r="W27" i="146"/>
  <c r="W26" i="146"/>
  <c r="W25" i="146"/>
  <c r="W24" i="146"/>
  <c r="W23" i="146"/>
  <c r="W22" i="146"/>
  <c r="W21" i="146"/>
  <c r="W20" i="146"/>
  <c r="W19" i="146"/>
  <c r="W18" i="146"/>
  <c r="W17" i="146"/>
  <c r="W16" i="146"/>
  <c r="W15" i="146"/>
  <c r="W14" i="146"/>
  <c r="W13" i="146"/>
  <c r="W12" i="146"/>
  <c r="W11" i="146"/>
  <c r="W10" i="146"/>
  <c r="W9" i="146"/>
  <c r="W8" i="146"/>
  <c r="W7" i="146"/>
  <c r="W75" i="147"/>
  <c r="W74" i="147"/>
  <c r="W73" i="147"/>
  <c r="W72" i="147"/>
  <c r="W71" i="147"/>
  <c r="W70" i="147"/>
  <c r="W69" i="147"/>
  <c r="W68" i="147"/>
  <c r="W67" i="147"/>
  <c r="W66" i="147"/>
  <c r="W65" i="147"/>
  <c r="W64" i="147"/>
  <c r="W63" i="147"/>
  <c r="W62" i="147"/>
  <c r="W61" i="147"/>
  <c r="W60" i="147"/>
  <c r="W59" i="147"/>
  <c r="W58" i="147"/>
  <c r="W57" i="147"/>
  <c r="W56" i="147"/>
  <c r="W55" i="147"/>
  <c r="W54" i="147"/>
  <c r="W53" i="147"/>
  <c r="W52" i="147"/>
  <c r="W51" i="147"/>
  <c r="W50" i="147"/>
  <c r="W49" i="147"/>
  <c r="W48" i="147"/>
  <c r="W47" i="147"/>
  <c r="W46" i="147"/>
  <c r="W45" i="147"/>
  <c r="W44" i="147"/>
  <c r="W43" i="147"/>
  <c r="W42" i="147"/>
  <c r="W41" i="147"/>
  <c r="W40" i="147"/>
  <c r="W39" i="147"/>
  <c r="W38" i="147"/>
  <c r="W37" i="147"/>
  <c r="W36" i="147"/>
  <c r="W35" i="147"/>
  <c r="W34" i="147"/>
  <c r="W33" i="147"/>
  <c r="W32" i="147"/>
  <c r="W31" i="147"/>
  <c r="W30" i="147"/>
  <c r="W29" i="147"/>
  <c r="W28" i="147"/>
  <c r="W27" i="147"/>
  <c r="W26" i="147"/>
  <c r="W25" i="147"/>
  <c r="W24" i="147"/>
  <c r="W23" i="147"/>
  <c r="W22" i="147"/>
  <c r="W21" i="147"/>
  <c r="W20" i="147"/>
  <c r="W19" i="147"/>
  <c r="W18" i="147"/>
  <c r="W17" i="147"/>
  <c r="W16" i="147"/>
  <c r="W15" i="147"/>
  <c r="W14" i="147"/>
  <c r="W13" i="147"/>
  <c r="W12" i="147"/>
  <c r="W11" i="147"/>
  <c r="W10" i="147"/>
  <c r="W9" i="147"/>
  <c r="W8" i="147"/>
  <c r="W7" i="147"/>
  <c r="W75" i="148"/>
  <c r="W74" i="148"/>
  <c r="W73" i="148"/>
  <c r="W72" i="148"/>
  <c r="W71" i="148"/>
  <c r="W70" i="148"/>
  <c r="W69" i="148"/>
  <c r="W68" i="148"/>
  <c r="W67" i="148"/>
  <c r="W66" i="148"/>
  <c r="W65" i="148"/>
  <c r="W64" i="148"/>
  <c r="W63" i="148"/>
  <c r="W62" i="148"/>
  <c r="W61" i="148"/>
  <c r="W60" i="148"/>
  <c r="W59" i="148"/>
  <c r="W58" i="148"/>
  <c r="W57" i="148"/>
  <c r="W56" i="148"/>
  <c r="W55" i="148"/>
  <c r="W54" i="148"/>
  <c r="W53" i="148"/>
  <c r="W52" i="148"/>
  <c r="W51" i="148"/>
  <c r="W50" i="148"/>
  <c r="W49" i="148"/>
  <c r="W48" i="148"/>
  <c r="W47" i="148"/>
  <c r="W46" i="148"/>
  <c r="W45" i="148"/>
  <c r="W44" i="148"/>
  <c r="W43" i="148"/>
  <c r="W42" i="148"/>
  <c r="W41" i="148"/>
  <c r="W40" i="148"/>
  <c r="W39" i="148"/>
  <c r="W38" i="148"/>
  <c r="W37" i="148"/>
  <c r="W36" i="148"/>
  <c r="W35" i="148"/>
  <c r="W34" i="148"/>
  <c r="W33" i="148"/>
  <c r="W32" i="148"/>
  <c r="W31" i="148"/>
  <c r="W30" i="148"/>
  <c r="W29" i="148"/>
  <c r="W28" i="148"/>
  <c r="W27" i="148"/>
  <c r="W26" i="148"/>
  <c r="W25" i="148"/>
  <c r="W24" i="148"/>
  <c r="W23" i="148"/>
  <c r="W22" i="148"/>
  <c r="W21" i="148"/>
  <c r="W20" i="148"/>
  <c r="W19" i="148"/>
  <c r="W18" i="148"/>
  <c r="W17" i="148"/>
  <c r="W16" i="148"/>
  <c r="W15" i="148"/>
  <c r="W14" i="148"/>
  <c r="W13" i="148"/>
  <c r="W12" i="148"/>
  <c r="W11" i="148"/>
  <c r="W10" i="148"/>
  <c r="W9" i="148"/>
  <c r="W8" i="148"/>
  <c r="W7" i="148"/>
  <c r="W75" i="149"/>
  <c r="W74" i="149"/>
  <c r="W73" i="149"/>
  <c r="W72" i="149"/>
  <c r="W71" i="149"/>
  <c r="W70" i="149"/>
  <c r="W69" i="149"/>
  <c r="W68" i="149"/>
  <c r="W67" i="149"/>
  <c r="W66" i="149"/>
  <c r="W65" i="149"/>
  <c r="W64" i="149"/>
  <c r="W63" i="149"/>
  <c r="W62" i="149"/>
  <c r="W61" i="149"/>
  <c r="W60" i="149"/>
  <c r="W59" i="149"/>
  <c r="W58" i="149"/>
  <c r="W57" i="149"/>
  <c r="W56" i="149"/>
  <c r="W55" i="149"/>
  <c r="W54" i="149"/>
  <c r="W53" i="149"/>
  <c r="W52" i="149"/>
  <c r="W51" i="149"/>
  <c r="W50" i="149"/>
  <c r="W49" i="149"/>
  <c r="W48" i="149"/>
  <c r="W47" i="149"/>
  <c r="W46" i="149"/>
  <c r="W45" i="149"/>
  <c r="W44" i="149"/>
  <c r="W43" i="149"/>
  <c r="W42" i="149"/>
  <c r="W41" i="149"/>
  <c r="W40" i="149"/>
  <c r="W39" i="149"/>
  <c r="W38" i="149"/>
  <c r="W37" i="149"/>
  <c r="W36" i="149"/>
  <c r="W35" i="149"/>
  <c r="W34" i="149"/>
  <c r="W33" i="149"/>
  <c r="W32" i="149"/>
  <c r="W31" i="149"/>
  <c r="W30" i="149"/>
  <c r="W29" i="149"/>
  <c r="W28" i="149"/>
  <c r="W27" i="149"/>
  <c r="W26" i="149"/>
  <c r="W25" i="149"/>
  <c r="W24" i="149"/>
  <c r="W23" i="149"/>
  <c r="W22" i="149"/>
  <c r="W21" i="149"/>
  <c r="W20" i="149"/>
  <c r="W19" i="149"/>
  <c r="W18" i="149"/>
  <c r="W17" i="149"/>
  <c r="W16" i="149"/>
  <c r="W15" i="149"/>
  <c r="W14" i="149"/>
  <c r="W13" i="149"/>
  <c r="W12" i="149"/>
  <c r="W11" i="149"/>
  <c r="W10" i="149"/>
  <c r="W9" i="149"/>
  <c r="W8" i="149"/>
  <c r="W7" i="149"/>
  <c r="W75" i="151"/>
  <c r="W74" i="151"/>
  <c r="W73" i="151"/>
  <c r="W72" i="151"/>
  <c r="W71" i="151"/>
  <c r="W70" i="151"/>
  <c r="W69" i="151"/>
  <c r="W68" i="151"/>
  <c r="W67" i="151"/>
  <c r="W66" i="151"/>
  <c r="W65" i="151"/>
  <c r="W64" i="151"/>
  <c r="W63" i="151"/>
  <c r="W62" i="151"/>
  <c r="W61" i="151"/>
  <c r="W60" i="151"/>
  <c r="W59" i="151"/>
  <c r="W58" i="151"/>
  <c r="W57" i="151"/>
  <c r="W56" i="151"/>
  <c r="W55" i="151"/>
  <c r="W54" i="151"/>
  <c r="W53" i="151"/>
  <c r="W52" i="151"/>
  <c r="W51" i="151"/>
  <c r="W50" i="151"/>
  <c r="W49" i="151"/>
  <c r="W48" i="151"/>
  <c r="W47" i="151"/>
  <c r="W46" i="151"/>
  <c r="W45" i="151"/>
  <c r="W44" i="151"/>
  <c r="W43" i="151"/>
  <c r="W42" i="151"/>
  <c r="W41" i="151"/>
  <c r="W40" i="151"/>
  <c r="W39" i="151"/>
  <c r="W38" i="151"/>
  <c r="W37" i="151"/>
  <c r="W36" i="151"/>
  <c r="W35" i="151"/>
  <c r="W34" i="151"/>
  <c r="W33" i="151"/>
  <c r="W32" i="151"/>
  <c r="W31" i="151"/>
  <c r="W30" i="151"/>
  <c r="W29" i="151"/>
  <c r="W28" i="151"/>
  <c r="W27" i="151"/>
  <c r="W26" i="151"/>
  <c r="W25" i="151"/>
  <c r="W24" i="151"/>
  <c r="W23" i="151"/>
  <c r="W22" i="151"/>
  <c r="W21" i="151"/>
  <c r="W20" i="151"/>
  <c r="W19" i="151"/>
  <c r="W18" i="151"/>
  <c r="W17" i="151"/>
  <c r="W16" i="151"/>
  <c r="W15" i="151"/>
  <c r="W14" i="151"/>
  <c r="W13" i="151"/>
  <c r="W12" i="151"/>
  <c r="W11" i="151"/>
  <c r="W10" i="151"/>
  <c r="W9" i="151"/>
  <c r="W8" i="151"/>
  <c r="W7" i="151"/>
  <c r="W75" i="152"/>
  <c r="W74" i="152"/>
  <c r="W73" i="152"/>
  <c r="W72" i="152"/>
  <c r="W71" i="152"/>
  <c r="W70" i="152"/>
  <c r="W69" i="152"/>
  <c r="W68" i="152"/>
  <c r="W67" i="152"/>
  <c r="W66" i="152"/>
  <c r="W65" i="152"/>
  <c r="W64" i="152"/>
  <c r="W63" i="152"/>
  <c r="W62" i="152"/>
  <c r="W61" i="152"/>
  <c r="W60" i="152"/>
  <c r="W59" i="152"/>
  <c r="W58" i="152"/>
  <c r="W57" i="152"/>
  <c r="W56" i="152"/>
  <c r="W55" i="152"/>
  <c r="W54" i="152"/>
  <c r="W53" i="152"/>
  <c r="W52" i="152"/>
  <c r="W51" i="152"/>
  <c r="W50" i="152"/>
  <c r="W49" i="152"/>
  <c r="W48" i="152"/>
  <c r="W47" i="152"/>
  <c r="W46" i="152"/>
  <c r="W45" i="152"/>
  <c r="W44" i="152"/>
  <c r="W43" i="152"/>
  <c r="W42" i="152"/>
  <c r="W41" i="152"/>
  <c r="W40" i="152"/>
  <c r="W39" i="152"/>
  <c r="W38" i="152"/>
  <c r="W37" i="152"/>
  <c r="W36" i="152"/>
  <c r="W35" i="152"/>
  <c r="W34" i="152"/>
  <c r="W33" i="152"/>
  <c r="W32" i="152"/>
  <c r="W31" i="152"/>
  <c r="W30" i="152"/>
  <c r="W29" i="152"/>
  <c r="W28" i="152"/>
  <c r="W27" i="152"/>
  <c r="W26" i="152"/>
  <c r="W25" i="152"/>
  <c r="W24" i="152"/>
  <c r="W23" i="152"/>
  <c r="W22" i="152"/>
  <c r="W21" i="152"/>
  <c r="W20" i="152"/>
  <c r="W19" i="152"/>
  <c r="W18" i="152"/>
  <c r="W17" i="152"/>
  <c r="W16" i="152"/>
  <c r="W15" i="152"/>
  <c r="W14" i="152"/>
  <c r="W13" i="152"/>
  <c r="W12" i="152"/>
  <c r="W11" i="152"/>
  <c r="W10" i="152"/>
  <c r="W9" i="152"/>
  <c r="W8" i="152"/>
  <c r="W7" i="152"/>
  <c r="W75" i="153"/>
  <c r="W74" i="153"/>
  <c r="W73" i="153"/>
  <c r="W72" i="153"/>
  <c r="W71" i="153"/>
  <c r="W70" i="153"/>
  <c r="W69" i="153"/>
  <c r="W68" i="153"/>
  <c r="W67" i="153"/>
  <c r="W66" i="153"/>
  <c r="W65" i="153"/>
  <c r="W64" i="153"/>
  <c r="W63" i="153"/>
  <c r="W62" i="153"/>
  <c r="W61" i="153"/>
  <c r="W60" i="153"/>
  <c r="W59" i="153"/>
  <c r="W58" i="153"/>
  <c r="W57" i="153"/>
  <c r="W56" i="153"/>
  <c r="W55" i="153"/>
  <c r="W54" i="153"/>
  <c r="W53" i="153"/>
  <c r="W52" i="153"/>
  <c r="W51" i="153"/>
  <c r="W50" i="153"/>
  <c r="W49" i="153"/>
  <c r="W48" i="153"/>
  <c r="W47" i="153"/>
  <c r="W46" i="153"/>
  <c r="W45" i="153"/>
  <c r="W44" i="153"/>
  <c r="W43" i="153"/>
  <c r="W42" i="153"/>
  <c r="W41" i="153"/>
  <c r="W40" i="153"/>
  <c r="W39" i="153"/>
  <c r="W38" i="153"/>
  <c r="W37" i="153"/>
  <c r="W36" i="153"/>
  <c r="W35" i="153"/>
  <c r="W34" i="153"/>
  <c r="W33" i="153"/>
  <c r="W32" i="153"/>
  <c r="W31" i="153"/>
  <c r="W30" i="153"/>
  <c r="W29" i="153"/>
  <c r="W28" i="153"/>
  <c r="W27" i="153"/>
  <c r="W26" i="153"/>
  <c r="W25" i="153"/>
  <c r="W24" i="153"/>
  <c r="W23" i="153"/>
  <c r="W22" i="153"/>
  <c r="W21" i="153"/>
  <c r="W20" i="153"/>
  <c r="W19" i="153"/>
  <c r="W18" i="153"/>
  <c r="W17" i="153"/>
  <c r="W16" i="153"/>
  <c r="W15" i="153"/>
  <c r="W14" i="153"/>
  <c r="W13" i="153"/>
  <c r="W12" i="153"/>
  <c r="W11" i="153"/>
  <c r="W10" i="153"/>
  <c r="W9" i="153"/>
  <c r="W8" i="153"/>
  <c r="W7" i="153"/>
  <c r="O76" i="131"/>
  <c r="AH75" i="80"/>
  <c r="AH74" i="80"/>
  <c r="AH73" i="80"/>
  <c r="AH72" i="80"/>
  <c r="AH71" i="80"/>
  <c r="AH70" i="80"/>
  <c r="AH69" i="80"/>
  <c r="AH68" i="80"/>
  <c r="AH67" i="80"/>
  <c r="AH66" i="80"/>
  <c r="AH65" i="80"/>
  <c r="AH64" i="80"/>
  <c r="AH63" i="80"/>
  <c r="AH62" i="80"/>
  <c r="AH61" i="80"/>
  <c r="AH60" i="80"/>
  <c r="AH59" i="80"/>
  <c r="AH58" i="80"/>
  <c r="AH57" i="80"/>
  <c r="AH56" i="80"/>
  <c r="AH55" i="80"/>
  <c r="AH54" i="80"/>
  <c r="AH53" i="80"/>
  <c r="AH52" i="80"/>
  <c r="AH51" i="80"/>
  <c r="AH50" i="80"/>
  <c r="AH49" i="80"/>
  <c r="AH48" i="80"/>
  <c r="AH47" i="80"/>
  <c r="AH46" i="80"/>
  <c r="AH45" i="80"/>
  <c r="AH44" i="80"/>
  <c r="AH43" i="80"/>
  <c r="AH42" i="80"/>
  <c r="AH41" i="80"/>
  <c r="AH40" i="80"/>
  <c r="AH39" i="80"/>
  <c r="AH38" i="80"/>
  <c r="AH37" i="80"/>
  <c r="AH36" i="80"/>
  <c r="AH35" i="80"/>
  <c r="AH34" i="80"/>
  <c r="AH33" i="80"/>
  <c r="AH32" i="80"/>
  <c r="AH31" i="80"/>
  <c r="AH30" i="80"/>
  <c r="AH29" i="80"/>
  <c r="AH28" i="80"/>
  <c r="AH27" i="80"/>
  <c r="AH26" i="80"/>
  <c r="AH25" i="80"/>
  <c r="AH24" i="80"/>
  <c r="AH23" i="80"/>
  <c r="AH22" i="80"/>
  <c r="AH21" i="80"/>
  <c r="AH20" i="80"/>
  <c r="AH19" i="80"/>
  <c r="AH18" i="80"/>
  <c r="AH17" i="80"/>
  <c r="AH16" i="80"/>
  <c r="AH15" i="80"/>
  <c r="AH14" i="80"/>
  <c r="AH13" i="80"/>
  <c r="AH12" i="80"/>
  <c r="AH11" i="80"/>
  <c r="AH10" i="80"/>
  <c r="AH9" i="80"/>
  <c r="AH8" i="80"/>
  <c r="AH7" i="80"/>
  <c r="R77" i="80"/>
  <c r="AH75" i="76"/>
  <c r="AH74" i="76"/>
  <c r="AH73" i="76"/>
  <c r="AH72" i="76"/>
  <c r="AH71" i="76"/>
  <c r="AH70" i="76"/>
  <c r="AH69" i="76"/>
  <c r="AH68" i="76"/>
  <c r="AH67" i="76"/>
  <c r="AH66" i="76"/>
  <c r="AH65" i="76"/>
  <c r="AH64" i="76"/>
  <c r="AH63" i="76"/>
  <c r="AH62" i="76"/>
  <c r="AH61" i="76"/>
  <c r="AH60" i="76"/>
  <c r="AH59" i="76"/>
  <c r="AH58" i="76"/>
  <c r="AH57" i="76"/>
  <c r="AH56" i="76"/>
  <c r="AH55" i="76"/>
  <c r="AH54" i="76"/>
  <c r="AH53" i="76"/>
  <c r="AH52" i="76"/>
  <c r="AH51" i="76"/>
  <c r="AH50" i="76"/>
  <c r="AH49" i="76"/>
  <c r="AH48" i="76"/>
  <c r="AH47" i="76"/>
  <c r="AH46" i="76"/>
  <c r="AH45" i="76"/>
  <c r="AH44" i="76"/>
  <c r="AH43" i="76"/>
  <c r="AH42" i="76"/>
  <c r="AH41" i="76"/>
  <c r="AH40" i="76"/>
  <c r="AH39" i="76"/>
  <c r="AH38" i="76"/>
  <c r="AH37" i="76"/>
  <c r="AH36" i="76"/>
  <c r="AH35" i="76"/>
  <c r="AH34" i="76"/>
  <c r="AH33" i="76"/>
  <c r="AH32" i="76"/>
  <c r="AH31" i="76"/>
  <c r="AH30" i="76"/>
  <c r="AH29" i="76"/>
  <c r="AH28" i="76"/>
  <c r="AH27" i="76"/>
  <c r="AH26" i="76"/>
  <c r="AH25" i="76"/>
  <c r="AH24" i="76"/>
  <c r="AH23" i="76"/>
  <c r="AH22" i="76"/>
  <c r="AH21" i="76"/>
  <c r="AH20" i="76"/>
  <c r="AH19" i="76"/>
  <c r="AH18" i="76"/>
  <c r="AH17" i="76"/>
  <c r="AH16" i="76"/>
  <c r="AH15" i="76"/>
  <c r="AH14" i="76"/>
  <c r="AH13" i="76"/>
  <c r="AH12" i="76"/>
  <c r="AH11" i="76"/>
  <c r="AH10" i="76"/>
  <c r="AH9" i="76"/>
  <c r="AH8" i="76"/>
  <c r="AH7" i="76"/>
  <c r="R77" i="76"/>
  <c r="AG75" i="118"/>
  <c r="AG74" i="118"/>
  <c r="AG73" i="118"/>
  <c r="AG72" i="118"/>
  <c r="AG71" i="118"/>
  <c r="AG70" i="118"/>
  <c r="AG69" i="118"/>
  <c r="AG68" i="118"/>
  <c r="AG67" i="118"/>
  <c r="AG66" i="118"/>
  <c r="AG65" i="118"/>
  <c r="AG64" i="118"/>
  <c r="AG63" i="118"/>
  <c r="AG62" i="118"/>
  <c r="AG61" i="118"/>
  <c r="AG60" i="118"/>
  <c r="AG59" i="118"/>
  <c r="AG58" i="118"/>
  <c r="AG57" i="118"/>
  <c r="AG56" i="118"/>
  <c r="AG55" i="118"/>
  <c r="AG54" i="118"/>
  <c r="AG53" i="118"/>
  <c r="AG52" i="118"/>
  <c r="AG51" i="118"/>
  <c r="AG50" i="118"/>
  <c r="AG49" i="118"/>
  <c r="AG48" i="118"/>
  <c r="AG47" i="118"/>
  <c r="AG46" i="118"/>
  <c r="AG45" i="118"/>
  <c r="AG44" i="118"/>
  <c r="AG43" i="118"/>
  <c r="AG42" i="118"/>
  <c r="AG41" i="118"/>
  <c r="AG40" i="118"/>
  <c r="AG39" i="118"/>
  <c r="AG38" i="118"/>
  <c r="AG37" i="118"/>
  <c r="AG36" i="118"/>
  <c r="AG35" i="118"/>
  <c r="AG34" i="118"/>
  <c r="AG33" i="118"/>
  <c r="AG32" i="118"/>
  <c r="AG31" i="118"/>
  <c r="AG30" i="118"/>
  <c r="AG29" i="118"/>
  <c r="AG28" i="118"/>
  <c r="AG27" i="118"/>
  <c r="AG26" i="118"/>
  <c r="AG25" i="118"/>
  <c r="AG24" i="118"/>
  <c r="AG23" i="118"/>
  <c r="AG22" i="118"/>
  <c r="AG21" i="118"/>
  <c r="AG20" i="118"/>
  <c r="AG19" i="118"/>
  <c r="AG18" i="118"/>
  <c r="AG17" i="118"/>
  <c r="AG16" i="118"/>
  <c r="AG15" i="118"/>
  <c r="AG14" i="118"/>
  <c r="AG13" i="118"/>
  <c r="AG12" i="118"/>
  <c r="AG11" i="118"/>
  <c r="AG10" i="118"/>
  <c r="AG9" i="118"/>
  <c r="AG8" i="118"/>
  <c r="AG7" i="118"/>
  <c r="AG75" i="119"/>
  <c r="AG74" i="119"/>
  <c r="AG73" i="119"/>
  <c r="AG72" i="119"/>
  <c r="AG71" i="119"/>
  <c r="AG70" i="119"/>
  <c r="AG69" i="119"/>
  <c r="AG68" i="119"/>
  <c r="AG67" i="119"/>
  <c r="AG66" i="119"/>
  <c r="AG65" i="119"/>
  <c r="AG64" i="119"/>
  <c r="AG63" i="119"/>
  <c r="AG62" i="119"/>
  <c r="AG61" i="119"/>
  <c r="AG60" i="119"/>
  <c r="AG59" i="119"/>
  <c r="AG58" i="119"/>
  <c r="AG57" i="119"/>
  <c r="AG56" i="119"/>
  <c r="AG55" i="119"/>
  <c r="AG54" i="119"/>
  <c r="AG53" i="119"/>
  <c r="AG52" i="119"/>
  <c r="AG51" i="119"/>
  <c r="AG50" i="119"/>
  <c r="AG49" i="119"/>
  <c r="AG48" i="119"/>
  <c r="AG47" i="119"/>
  <c r="AG46" i="119"/>
  <c r="AG45" i="119"/>
  <c r="AG44" i="119"/>
  <c r="AG43" i="119"/>
  <c r="AG42" i="119"/>
  <c r="AG41" i="119"/>
  <c r="AG40" i="119"/>
  <c r="AG39" i="119"/>
  <c r="AG38" i="119"/>
  <c r="AG37" i="119"/>
  <c r="AG36" i="119"/>
  <c r="AG35" i="119"/>
  <c r="AG34" i="119"/>
  <c r="AG33" i="119"/>
  <c r="AG32" i="119"/>
  <c r="AG31" i="119"/>
  <c r="AG30" i="119"/>
  <c r="AG29" i="119"/>
  <c r="AG28" i="119"/>
  <c r="AG27" i="119"/>
  <c r="AG26" i="119"/>
  <c r="AG25" i="119"/>
  <c r="AG24" i="119"/>
  <c r="AG23" i="119"/>
  <c r="AG22" i="119"/>
  <c r="AG21" i="119"/>
  <c r="AG20" i="119"/>
  <c r="AG19" i="119"/>
  <c r="AG18" i="119"/>
  <c r="AG17" i="119"/>
  <c r="AG16" i="119"/>
  <c r="AG15" i="119"/>
  <c r="AG14" i="119"/>
  <c r="AG13" i="119"/>
  <c r="AG12" i="119"/>
  <c r="AG11" i="119"/>
  <c r="AG10" i="119"/>
  <c r="AG9" i="119"/>
  <c r="AG8" i="119"/>
  <c r="AG7" i="119"/>
  <c r="AG75" i="120"/>
  <c r="AG74" i="120"/>
  <c r="AG73" i="120"/>
  <c r="AG72" i="120"/>
  <c r="AG71" i="120"/>
  <c r="AG70" i="120"/>
  <c r="AG69" i="120"/>
  <c r="AG68" i="120"/>
  <c r="AG67" i="120"/>
  <c r="AG66" i="120"/>
  <c r="AG65" i="120"/>
  <c r="AG64" i="120"/>
  <c r="AG63" i="120"/>
  <c r="AG62" i="120"/>
  <c r="AG61" i="120"/>
  <c r="AG60" i="120"/>
  <c r="AG59" i="120"/>
  <c r="AG58" i="120"/>
  <c r="AG57" i="120"/>
  <c r="AG56" i="120"/>
  <c r="AG55" i="120"/>
  <c r="AG54" i="120"/>
  <c r="AG53" i="120"/>
  <c r="AG52" i="120"/>
  <c r="AG51" i="120"/>
  <c r="AG50" i="120"/>
  <c r="AG49" i="120"/>
  <c r="AG48" i="120"/>
  <c r="AG47" i="120"/>
  <c r="AG46" i="120"/>
  <c r="AG45" i="120"/>
  <c r="AG44" i="120"/>
  <c r="AG43" i="120"/>
  <c r="AG42" i="120"/>
  <c r="AG41" i="120"/>
  <c r="AG40" i="120"/>
  <c r="AG39" i="120"/>
  <c r="AG38" i="120"/>
  <c r="AG37" i="120"/>
  <c r="AG36" i="120"/>
  <c r="AG35" i="120"/>
  <c r="AG34" i="120"/>
  <c r="AG33" i="120"/>
  <c r="AG32" i="120"/>
  <c r="AG31" i="120"/>
  <c r="AG30" i="120"/>
  <c r="AG29" i="120"/>
  <c r="AG28" i="120"/>
  <c r="AG27" i="120"/>
  <c r="AG26" i="120"/>
  <c r="AG25" i="120"/>
  <c r="AG24" i="120"/>
  <c r="AG23" i="120"/>
  <c r="AG22" i="120"/>
  <c r="AG21" i="120"/>
  <c r="AG20" i="120"/>
  <c r="AG19" i="120"/>
  <c r="AG18" i="120"/>
  <c r="AG17" i="120"/>
  <c r="AG16" i="120"/>
  <c r="AG15" i="120"/>
  <c r="AG14" i="120"/>
  <c r="AG13" i="120"/>
  <c r="AG12" i="120"/>
  <c r="AG11" i="120"/>
  <c r="AG10" i="120"/>
  <c r="AG9" i="120"/>
  <c r="AG8" i="120"/>
  <c r="AG7" i="120"/>
  <c r="AG75" i="125"/>
  <c r="AG74" i="125"/>
  <c r="AG73" i="125"/>
  <c r="AG72" i="125"/>
  <c r="AG71" i="125"/>
  <c r="AG70" i="125"/>
  <c r="AG69" i="125"/>
  <c r="AG68" i="125"/>
  <c r="AG67" i="125"/>
  <c r="AG66" i="125"/>
  <c r="AG65" i="125"/>
  <c r="AG64" i="125"/>
  <c r="AG63" i="125"/>
  <c r="AG62" i="125"/>
  <c r="AG61" i="125"/>
  <c r="AG60" i="125"/>
  <c r="AG59" i="125"/>
  <c r="AG58" i="125"/>
  <c r="AG57" i="125"/>
  <c r="AG56" i="125"/>
  <c r="AG55" i="125"/>
  <c r="AG54" i="125"/>
  <c r="AG53" i="125"/>
  <c r="AG52" i="125"/>
  <c r="AG51" i="125"/>
  <c r="AG50" i="125"/>
  <c r="AG49" i="125"/>
  <c r="AG48" i="125"/>
  <c r="AG47" i="125"/>
  <c r="AG46" i="125"/>
  <c r="AG45" i="125"/>
  <c r="AG44" i="125"/>
  <c r="AG43" i="125"/>
  <c r="AG42" i="125"/>
  <c r="AG41" i="125"/>
  <c r="AG40" i="125"/>
  <c r="AG39" i="125"/>
  <c r="AG38" i="125"/>
  <c r="AG37" i="125"/>
  <c r="AG36" i="125"/>
  <c r="AG35" i="125"/>
  <c r="AG34" i="125"/>
  <c r="AG33" i="125"/>
  <c r="AG32" i="125"/>
  <c r="AG31" i="125"/>
  <c r="AG30" i="125"/>
  <c r="AG29" i="125"/>
  <c r="AG28" i="125"/>
  <c r="AG27" i="125"/>
  <c r="AG26" i="125"/>
  <c r="AG25" i="125"/>
  <c r="AG24" i="125"/>
  <c r="AG23" i="125"/>
  <c r="AG22" i="125"/>
  <c r="AG21" i="125"/>
  <c r="AG20" i="125"/>
  <c r="AG19" i="125"/>
  <c r="AG18" i="125"/>
  <c r="AG17" i="125"/>
  <c r="AG16" i="125"/>
  <c r="AG15" i="125"/>
  <c r="AG14" i="125"/>
  <c r="AG13" i="125"/>
  <c r="AG12" i="125"/>
  <c r="AG11" i="125"/>
  <c r="AG10" i="125"/>
  <c r="AG9" i="125"/>
  <c r="AG8" i="125"/>
  <c r="AG7" i="125"/>
  <c r="AG75" i="126"/>
  <c r="AG74" i="126"/>
  <c r="AG73" i="126"/>
  <c r="AG72" i="126"/>
  <c r="AG71" i="126"/>
  <c r="AG70" i="126"/>
  <c r="AG69" i="126"/>
  <c r="AG68" i="126"/>
  <c r="AG67" i="126"/>
  <c r="AG66" i="126"/>
  <c r="AG65" i="126"/>
  <c r="AG64" i="126"/>
  <c r="AG63" i="126"/>
  <c r="AG62" i="126"/>
  <c r="AG61" i="126"/>
  <c r="AG60" i="126"/>
  <c r="AG59" i="126"/>
  <c r="AG58" i="126"/>
  <c r="AG57" i="126"/>
  <c r="AG56" i="126"/>
  <c r="AG55" i="126"/>
  <c r="AG54" i="126"/>
  <c r="AG53" i="126"/>
  <c r="AG52" i="126"/>
  <c r="AG51" i="126"/>
  <c r="AG50" i="126"/>
  <c r="AG49" i="126"/>
  <c r="AG48" i="126"/>
  <c r="AG47" i="126"/>
  <c r="AG46" i="126"/>
  <c r="AG45" i="126"/>
  <c r="AG44" i="126"/>
  <c r="AG43" i="126"/>
  <c r="AG42" i="126"/>
  <c r="AG41" i="126"/>
  <c r="AG40" i="126"/>
  <c r="AG39" i="126"/>
  <c r="AG38" i="126"/>
  <c r="AG37" i="126"/>
  <c r="AG36" i="126"/>
  <c r="AG35" i="126"/>
  <c r="AG34" i="126"/>
  <c r="AG33" i="126"/>
  <c r="AG32" i="126"/>
  <c r="AG31" i="126"/>
  <c r="AG30" i="126"/>
  <c r="AG29" i="126"/>
  <c r="AG28" i="126"/>
  <c r="AG27" i="126"/>
  <c r="AG26" i="126"/>
  <c r="AG25" i="126"/>
  <c r="AG24" i="126"/>
  <c r="AG23" i="126"/>
  <c r="AG22" i="126"/>
  <c r="AG21" i="126"/>
  <c r="AG20" i="126"/>
  <c r="AG19" i="126"/>
  <c r="AG18" i="126"/>
  <c r="AG17" i="126"/>
  <c r="AG16" i="126"/>
  <c r="AG15" i="126"/>
  <c r="AG14" i="126"/>
  <c r="AG13" i="126"/>
  <c r="AG12" i="126"/>
  <c r="AG11" i="126"/>
  <c r="AG10" i="126"/>
  <c r="AG9" i="126"/>
  <c r="AG8" i="126"/>
  <c r="AG7" i="126"/>
  <c r="AG75" i="127"/>
  <c r="AG74" i="127"/>
  <c r="AG73" i="127"/>
  <c r="AG72" i="127"/>
  <c r="AG71" i="127"/>
  <c r="AG70" i="127"/>
  <c r="AG69" i="127"/>
  <c r="AG68" i="127"/>
  <c r="AG67" i="127"/>
  <c r="AG66" i="127"/>
  <c r="AG65" i="127"/>
  <c r="AG64" i="127"/>
  <c r="AG63" i="127"/>
  <c r="AG62" i="127"/>
  <c r="AG61" i="127"/>
  <c r="AG60" i="127"/>
  <c r="AG59" i="127"/>
  <c r="AG58" i="127"/>
  <c r="AG57" i="127"/>
  <c r="AG56" i="127"/>
  <c r="AG55" i="127"/>
  <c r="AG54" i="127"/>
  <c r="AG53" i="127"/>
  <c r="AG52" i="127"/>
  <c r="AG51" i="127"/>
  <c r="AG50" i="127"/>
  <c r="AG49" i="127"/>
  <c r="AG48" i="127"/>
  <c r="AG47" i="127"/>
  <c r="AG46" i="127"/>
  <c r="AG45" i="127"/>
  <c r="AG44" i="127"/>
  <c r="AG43" i="127"/>
  <c r="AG42" i="127"/>
  <c r="AG41" i="127"/>
  <c r="AG40" i="127"/>
  <c r="AG39" i="127"/>
  <c r="AG38" i="127"/>
  <c r="AG37" i="127"/>
  <c r="AG36" i="127"/>
  <c r="AG35" i="127"/>
  <c r="AG34" i="127"/>
  <c r="AG33" i="127"/>
  <c r="AG32" i="127"/>
  <c r="AG31" i="127"/>
  <c r="AG30" i="127"/>
  <c r="AG29" i="127"/>
  <c r="AG28" i="127"/>
  <c r="AG27" i="127"/>
  <c r="AG26" i="127"/>
  <c r="AG25" i="127"/>
  <c r="AG24" i="127"/>
  <c r="AG23" i="127"/>
  <c r="AG22" i="127"/>
  <c r="AG21" i="127"/>
  <c r="AG20" i="127"/>
  <c r="AG19" i="127"/>
  <c r="AG18" i="127"/>
  <c r="AG17" i="127"/>
  <c r="AG16" i="127"/>
  <c r="AG15" i="127"/>
  <c r="AG14" i="127"/>
  <c r="AG13" i="127"/>
  <c r="AG12" i="127"/>
  <c r="AG11" i="127"/>
  <c r="AG10" i="127"/>
  <c r="AG9" i="127"/>
  <c r="AG8" i="127"/>
  <c r="AG7" i="127"/>
  <c r="AG75" i="128"/>
  <c r="AG74" i="128"/>
  <c r="AG73" i="128"/>
  <c r="AG72" i="128"/>
  <c r="AG71" i="128"/>
  <c r="AG70" i="128"/>
  <c r="AG69" i="128"/>
  <c r="AG68" i="128"/>
  <c r="AG67" i="128"/>
  <c r="AG66" i="128"/>
  <c r="AG65" i="128"/>
  <c r="AG64" i="128"/>
  <c r="AG63" i="128"/>
  <c r="AG62" i="128"/>
  <c r="AG61" i="128"/>
  <c r="AG60" i="128"/>
  <c r="AG59" i="128"/>
  <c r="AG58" i="128"/>
  <c r="AG57" i="128"/>
  <c r="AG56" i="128"/>
  <c r="AG55" i="128"/>
  <c r="AG54" i="128"/>
  <c r="AG53" i="128"/>
  <c r="AG52" i="128"/>
  <c r="AG51" i="128"/>
  <c r="AG50" i="128"/>
  <c r="AG49" i="128"/>
  <c r="AG48" i="128"/>
  <c r="AG47" i="128"/>
  <c r="AG46" i="128"/>
  <c r="AG45" i="128"/>
  <c r="AG44" i="128"/>
  <c r="AG43" i="128"/>
  <c r="AG42" i="128"/>
  <c r="AG41" i="128"/>
  <c r="AG40" i="128"/>
  <c r="AG39" i="128"/>
  <c r="AG38" i="128"/>
  <c r="AG37" i="128"/>
  <c r="AG36" i="128"/>
  <c r="AG35" i="128"/>
  <c r="AG34" i="128"/>
  <c r="AG33" i="128"/>
  <c r="AG32" i="128"/>
  <c r="AG31" i="128"/>
  <c r="AG30" i="128"/>
  <c r="AG29" i="128"/>
  <c r="AG28" i="128"/>
  <c r="AG27" i="128"/>
  <c r="AG26" i="128"/>
  <c r="AG25" i="128"/>
  <c r="AG24" i="128"/>
  <c r="AG23" i="128"/>
  <c r="AG22" i="128"/>
  <c r="AG21" i="128"/>
  <c r="AG20" i="128"/>
  <c r="AG19" i="128"/>
  <c r="AG18" i="128"/>
  <c r="AG17" i="128"/>
  <c r="AG16" i="128"/>
  <c r="AG15" i="128"/>
  <c r="AG14" i="128"/>
  <c r="AG13" i="128"/>
  <c r="AG12" i="128"/>
  <c r="AG11" i="128"/>
  <c r="AG10" i="128"/>
  <c r="AG9" i="128"/>
  <c r="AG8" i="128"/>
  <c r="AG7" i="128"/>
  <c r="AG75" i="129"/>
  <c r="AG74" i="129"/>
  <c r="AG73" i="129"/>
  <c r="AG72" i="129"/>
  <c r="AG71" i="129"/>
  <c r="AG70" i="129"/>
  <c r="AG69" i="129"/>
  <c r="AG68" i="129"/>
  <c r="AG67" i="129"/>
  <c r="AG66" i="129"/>
  <c r="AG65" i="129"/>
  <c r="AG64" i="129"/>
  <c r="AG63" i="129"/>
  <c r="AG62" i="129"/>
  <c r="AG61" i="129"/>
  <c r="AG60" i="129"/>
  <c r="AG59" i="129"/>
  <c r="AG58" i="129"/>
  <c r="AG57" i="129"/>
  <c r="AG56" i="129"/>
  <c r="AG55" i="129"/>
  <c r="AG54" i="129"/>
  <c r="AG53" i="129"/>
  <c r="AG52" i="129"/>
  <c r="AG51" i="129"/>
  <c r="AG50" i="129"/>
  <c r="AG49" i="129"/>
  <c r="AG48" i="129"/>
  <c r="AG47" i="129"/>
  <c r="AG46" i="129"/>
  <c r="AG45" i="129"/>
  <c r="AG44" i="129"/>
  <c r="AG43" i="129"/>
  <c r="AG42" i="129"/>
  <c r="AG41" i="129"/>
  <c r="AG40" i="129"/>
  <c r="AG39" i="129"/>
  <c r="AG38" i="129"/>
  <c r="AG37" i="129"/>
  <c r="AG36" i="129"/>
  <c r="AG35" i="129"/>
  <c r="AG34" i="129"/>
  <c r="AG33" i="129"/>
  <c r="AG32" i="129"/>
  <c r="AG31" i="129"/>
  <c r="AG30" i="129"/>
  <c r="AG29" i="129"/>
  <c r="AG28" i="129"/>
  <c r="AG27" i="129"/>
  <c r="AG26" i="129"/>
  <c r="AG25" i="129"/>
  <c r="AG24" i="129"/>
  <c r="AG23" i="129"/>
  <c r="AG22" i="129"/>
  <c r="AG21" i="129"/>
  <c r="AG20" i="129"/>
  <c r="AG19" i="129"/>
  <c r="AG18" i="129"/>
  <c r="AG17" i="129"/>
  <c r="AG16" i="129"/>
  <c r="AG15" i="129"/>
  <c r="AG14" i="129"/>
  <c r="AG13" i="129"/>
  <c r="AG12" i="129"/>
  <c r="AG11" i="129"/>
  <c r="AG10" i="129"/>
  <c r="AG9" i="129"/>
  <c r="AG8" i="129"/>
  <c r="AG7" i="129"/>
  <c r="AG75" i="131"/>
  <c r="AG74" i="131"/>
  <c r="AG73" i="131"/>
  <c r="AG72" i="131"/>
  <c r="AG71" i="131"/>
  <c r="AG70" i="131"/>
  <c r="AG69" i="131"/>
  <c r="AG68" i="131"/>
  <c r="AG67" i="131"/>
  <c r="AG66" i="131"/>
  <c r="AG65" i="131"/>
  <c r="AG64" i="131"/>
  <c r="AG63" i="131"/>
  <c r="AG62" i="131"/>
  <c r="AG61" i="131"/>
  <c r="AG60" i="131"/>
  <c r="AG59" i="131"/>
  <c r="AG58" i="131"/>
  <c r="AG57" i="131"/>
  <c r="AG56" i="131"/>
  <c r="AG55" i="131"/>
  <c r="AG54" i="131"/>
  <c r="AG53" i="131"/>
  <c r="AG52" i="131"/>
  <c r="AG51" i="131"/>
  <c r="AG50" i="131"/>
  <c r="AG49" i="131"/>
  <c r="AG48" i="131"/>
  <c r="AG47" i="131"/>
  <c r="AG46" i="131"/>
  <c r="AG45" i="131"/>
  <c r="AG44" i="131"/>
  <c r="AG43" i="131"/>
  <c r="AG42" i="131"/>
  <c r="AG41" i="131"/>
  <c r="AG40" i="131"/>
  <c r="AG39" i="131"/>
  <c r="AG38" i="131"/>
  <c r="AG37" i="131"/>
  <c r="AG36" i="131"/>
  <c r="AG35" i="131"/>
  <c r="AG34" i="131"/>
  <c r="AG33" i="131"/>
  <c r="AG32" i="131"/>
  <c r="AG31" i="131"/>
  <c r="AG30" i="131"/>
  <c r="AG29" i="131"/>
  <c r="AG28" i="131"/>
  <c r="AG27" i="131"/>
  <c r="AG26" i="131"/>
  <c r="AG25" i="131"/>
  <c r="AG24" i="131"/>
  <c r="AG23" i="131"/>
  <c r="AG22" i="131"/>
  <c r="AG21" i="131"/>
  <c r="AG20" i="131"/>
  <c r="AG19" i="131"/>
  <c r="AG18" i="131"/>
  <c r="AG17" i="131"/>
  <c r="AG16" i="131"/>
  <c r="AG15" i="131"/>
  <c r="AG14" i="131"/>
  <c r="AG13" i="131"/>
  <c r="AG12" i="131"/>
  <c r="AG11" i="131"/>
  <c r="AG10" i="131"/>
  <c r="AG9" i="131"/>
  <c r="AG8" i="131"/>
  <c r="AG7" i="131"/>
  <c r="AG75" i="144"/>
  <c r="AG74" i="144"/>
  <c r="AG73" i="144"/>
  <c r="AG72" i="144"/>
  <c r="AG71" i="144"/>
  <c r="AG70" i="144"/>
  <c r="AG69" i="144"/>
  <c r="AG68" i="144"/>
  <c r="AG67" i="144"/>
  <c r="AG66" i="144"/>
  <c r="AG65" i="144"/>
  <c r="AG64" i="144"/>
  <c r="AG63" i="144"/>
  <c r="AG62" i="144"/>
  <c r="AG61" i="144"/>
  <c r="AG60" i="144"/>
  <c r="AG59" i="144"/>
  <c r="AG58" i="144"/>
  <c r="AG57" i="144"/>
  <c r="AG56" i="144"/>
  <c r="AG55" i="144"/>
  <c r="AG54" i="144"/>
  <c r="AG53" i="144"/>
  <c r="AG52" i="144"/>
  <c r="AG51" i="144"/>
  <c r="AG50" i="144"/>
  <c r="AG49" i="144"/>
  <c r="AG48" i="144"/>
  <c r="AG47" i="144"/>
  <c r="AG46" i="144"/>
  <c r="AG45" i="144"/>
  <c r="AG44" i="144"/>
  <c r="AG43" i="144"/>
  <c r="AG42" i="144"/>
  <c r="AG41" i="144"/>
  <c r="AG40" i="144"/>
  <c r="AG39" i="144"/>
  <c r="AG38" i="144"/>
  <c r="AG37" i="144"/>
  <c r="AG36" i="144"/>
  <c r="AG35" i="144"/>
  <c r="AG34" i="144"/>
  <c r="AG33" i="144"/>
  <c r="AG32" i="144"/>
  <c r="AG31" i="144"/>
  <c r="AG30" i="144"/>
  <c r="AG29" i="144"/>
  <c r="AG28" i="144"/>
  <c r="AG27" i="144"/>
  <c r="AG26" i="144"/>
  <c r="AG25" i="144"/>
  <c r="AG24" i="144"/>
  <c r="AG23" i="144"/>
  <c r="AG22" i="144"/>
  <c r="AG21" i="144"/>
  <c r="AG20" i="144"/>
  <c r="AG19" i="144"/>
  <c r="AG18" i="144"/>
  <c r="AG17" i="144"/>
  <c r="AG16" i="144"/>
  <c r="AG15" i="144"/>
  <c r="AG14" i="144"/>
  <c r="AG13" i="144"/>
  <c r="AG12" i="144"/>
  <c r="AG11" i="144"/>
  <c r="AG10" i="144"/>
  <c r="AG9" i="144"/>
  <c r="AG8" i="144"/>
  <c r="AG7" i="144"/>
  <c r="AG75" i="145"/>
  <c r="AG74" i="145"/>
  <c r="AG73" i="145"/>
  <c r="AG72" i="145"/>
  <c r="AG71" i="145"/>
  <c r="AG70" i="145"/>
  <c r="AG69" i="145"/>
  <c r="AG68" i="145"/>
  <c r="AG67" i="145"/>
  <c r="AG66" i="145"/>
  <c r="AG65" i="145"/>
  <c r="AG64" i="145"/>
  <c r="AG63" i="145"/>
  <c r="AG62" i="145"/>
  <c r="AG61" i="145"/>
  <c r="AG60" i="145"/>
  <c r="AG59" i="145"/>
  <c r="AG58" i="145"/>
  <c r="AG57" i="145"/>
  <c r="AG56" i="145"/>
  <c r="AG55" i="145"/>
  <c r="AG54" i="145"/>
  <c r="AG53" i="145"/>
  <c r="AG52" i="145"/>
  <c r="AG51" i="145"/>
  <c r="AG50" i="145"/>
  <c r="AG49" i="145"/>
  <c r="AG48" i="145"/>
  <c r="AG47" i="145"/>
  <c r="AG46" i="145"/>
  <c r="AG45" i="145"/>
  <c r="AG44" i="145"/>
  <c r="AG43" i="145"/>
  <c r="AG42" i="145"/>
  <c r="AG41" i="145"/>
  <c r="AG40" i="145"/>
  <c r="AG39" i="145"/>
  <c r="AG38" i="145"/>
  <c r="AG37" i="145"/>
  <c r="AG36" i="145"/>
  <c r="AG35" i="145"/>
  <c r="AG34" i="145"/>
  <c r="AG33" i="145"/>
  <c r="AG32" i="145"/>
  <c r="AG31" i="145"/>
  <c r="AG30" i="145"/>
  <c r="AG29" i="145"/>
  <c r="AG28" i="145"/>
  <c r="AG27" i="145"/>
  <c r="AG26" i="145"/>
  <c r="AG25" i="145"/>
  <c r="AG24" i="145"/>
  <c r="AG23" i="145"/>
  <c r="AG22" i="145"/>
  <c r="AG21" i="145"/>
  <c r="AG20" i="145"/>
  <c r="AG19" i="145"/>
  <c r="AG18" i="145"/>
  <c r="AG17" i="145"/>
  <c r="AG16" i="145"/>
  <c r="AG15" i="145"/>
  <c r="AG14" i="145"/>
  <c r="AG13" i="145"/>
  <c r="AG12" i="145"/>
  <c r="AG11" i="145"/>
  <c r="AG10" i="145"/>
  <c r="AG9" i="145"/>
  <c r="AG8" i="145"/>
  <c r="AG7" i="145"/>
  <c r="AG75" i="146"/>
  <c r="AG74" i="146"/>
  <c r="AG73" i="146"/>
  <c r="AG72" i="146"/>
  <c r="AG71" i="146"/>
  <c r="AG70" i="146"/>
  <c r="AG69" i="146"/>
  <c r="AG68" i="146"/>
  <c r="AG67" i="146"/>
  <c r="AG66" i="146"/>
  <c r="AG65" i="146"/>
  <c r="AG64" i="146"/>
  <c r="AG63" i="146"/>
  <c r="AG62" i="146"/>
  <c r="AG61" i="146"/>
  <c r="AG60" i="146"/>
  <c r="AG59" i="146"/>
  <c r="AG58" i="146"/>
  <c r="AG57" i="146"/>
  <c r="AG56" i="146"/>
  <c r="AG55" i="146"/>
  <c r="AG54" i="146"/>
  <c r="AG53" i="146"/>
  <c r="AG52" i="146"/>
  <c r="AG51" i="146"/>
  <c r="AG50" i="146"/>
  <c r="AG49" i="146"/>
  <c r="AG48" i="146"/>
  <c r="AG47" i="146"/>
  <c r="AG46" i="146"/>
  <c r="AG45" i="146"/>
  <c r="AG44" i="146"/>
  <c r="AG43" i="146"/>
  <c r="AG42" i="146"/>
  <c r="AG41" i="146"/>
  <c r="AG40" i="146"/>
  <c r="AG39" i="146"/>
  <c r="AG38" i="146"/>
  <c r="AG37" i="146"/>
  <c r="AG36" i="146"/>
  <c r="AG35" i="146"/>
  <c r="AG34" i="146"/>
  <c r="AG33" i="146"/>
  <c r="AG32" i="146"/>
  <c r="AG31" i="146"/>
  <c r="AG30" i="146"/>
  <c r="AG29" i="146"/>
  <c r="AG28" i="146"/>
  <c r="AG27" i="146"/>
  <c r="AG26" i="146"/>
  <c r="AG25" i="146"/>
  <c r="AG24" i="146"/>
  <c r="AG23" i="146"/>
  <c r="AG22" i="146"/>
  <c r="AG21" i="146"/>
  <c r="AG20" i="146"/>
  <c r="AG19" i="146"/>
  <c r="AG18" i="146"/>
  <c r="AG17" i="146"/>
  <c r="AG16" i="146"/>
  <c r="AG15" i="146"/>
  <c r="AG14" i="146"/>
  <c r="AG13" i="146"/>
  <c r="AG12" i="146"/>
  <c r="AG11" i="146"/>
  <c r="AG10" i="146"/>
  <c r="AG9" i="146"/>
  <c r="AG8" i="146"/>
  <c r="AG7" i="146"/>
  <c r="AG75" i="147"/>
  <c r="AG74" i="147"/>
  <c r="AG73" i="147"/>
  <c r="AG72" i="147"/>
  <c r="AG71" i="147"/>
  <c r="AG70" i="147"/>
  <c r="AG69" i="147"/>
  <c r="AG68" i="147"/>
  <c r="AG67" i="147"/>
  <c r="AG66" i="147"/>
  <c r="AG65" i="147"/>
  <c r="AG64" i="147"/>
  <c r="AG63" i="147"/>
  <c r="AG62" i="147"/>
  <c r="AG61" i="147"/>
  <c r="AG60" i="147"/>
  <c r="AG59" i="147"/>
  <c r="AG58" i="147"/>
  <c r="AG57" i="147"/>
  <c r="AG56" i="147"/>
  <c r="AG55" i="147"/>
  <c r="AG54" i="147"/>
  <c r="AG53" i="147"/>
  <c r="AG52" i="147"/>
  <c r="AG51" i="147"/>
  <c r="AG50" i="147"/>
  <c r="AG49" i="147"/>
  <c r="AG48" i="147"/>
  <c r="AG47" i="147"/>
  <c r="AG46" i="147"/>
  <c r="AG45" i="147"/>
  <c r="AG44" i="147"/>
  <c r="AG43" i="147"/>
  <c r="AG42" i="147"/>
  <c r="AG41" i="147"/>
  <c r="AG40" i="147"/>
  <c r="AG39" i="147"/>
  <c r="AG38" i="147"/>
  <c r="AG37" i="147"/>
  <c r="AG36" i="147"/>
  <c r="AG35" i="147"/>
  <c r="AG34" i="147"/>
  <c r="AG33" i="147"/>
  <c r="AG32" i="147"/>
  <c r="AG31" i="147"/>
  <c r="AG30" i="147"/>
  <c r="AG29" i="147"/>
  <c r="AG28" i="147"/>
  <c r="AG27" i="147"/>
  <c r="AG26" i="147"/>
  <c r="AG25" i="147"/>
  <c r="AG24" i="147"/>
  <c r="AG23" i="147"/>
  <c r="AG22" i="147"/>
  <c r="AG21" i="147"/>
  <c r="AG20" i="147"/>
  <c r="AG19" i="147"/>
  <c r="AG18" i="147"/>
  <c r="AG17" i="147"/>
  <c r="AG16" i="147"/>
  <c r="AG15" i="147"/>
  <c r="AG14" i="147"/>
  <c r="AG13" i="147"/>
  <c r="AG12" i="147"/>
  <c r="AG11" i="147"/>
  <c r="AG10" i="147"/>
  <c r="AG9" i="147"/>
  <c r="AG8" i="147"/>
  <c r="AG7" i="147"/>
  <c r="AG75" i="148"/>
  <c r="AG74" i="148"/>
  <c r="AG73" i="148"/>
  <c r="AG72" i="148"/>
  <c r="AG71" i="148"/>
  <c r="AG70" i="148"/>
  <c r="AG69" i="148"/>
  <c r="AG68" i="148"/>
  <c r="AG67" i="148"/>
  <c r="AG66" i="148"/>
  <c r="AG65" i="148"/>
  <c r="AG64" i="148"/>
  <c r="AG63" i="148"/>
  <c r="AG62" i="148"/>
  <c r="AG61" i="148"/>
  <c r="AG60" i="148"/>
  <c r="AG59" i="148"/>
  <c r="AG58" i="148"/>
  <c r="AG57" i="148"/>
  <c r="AG56" i="148"/>
  <c r="AG55" i="148"/>
  <c r="AG54" i="148"/>
  <c r="AG53" i="148"/>
  <c r="AG52" i="148"/>
  <c r="AG51" i="148"/>
  <c r="AG50" i="148"/>
  <c r="AG49" i="148"/>
  <c r="AG48" i="148"/>
  <c r="AG47" i="148"/>
  <c r="AG46" i="148"/>
  <c r="AG45" i="148"/>
  <c r="AG44" i="148"/>
  <c r="AG43" i="148"/>
  <c r="AG42" i="148"/>
  <c r="AG41" i="148"/>
  <c r="AG40" i="148"/>
  <c r="AG39" i="148"/>
  <c r="AG38" i="148"/>
  <c r="AG37" i="148"/>
  <c r="AG36" i="148"/>
  <c r="AG35" i="148"/>
  <c r="AG34" i="148"/>
  <c r="AG33" i="148"/>
  <c r="AG32" i="148"/>
  <c r="AG31" i="148"/>
  <c r="AG30" i="148"/>
  <c r="AG29" i="148"/>
  <c r="AG28" i="148"/>
  <c r="AG27" i="148"/>
  <c r="AG26" i="148"/>
  <c r="AG25" i="148"/>
  <c r="AG24" i="148"/>
  <c r="AG23" i="148"/>
  <c r="AG22" i="148"/>
  <c r="AG21" i="148"/>
  <c r="AG20" i="148"/>
  <c r="AG19" i="148"/>
  <c r="AG18" i="148"/>
  <c r="AG17" i="148"/>
  <c r="AG16" i="148"/>
  <c r="AG15" i="148"/>
  <c r="AG14" i="148"/>
  <c r="AG13" i="148"/>
  <c r="AG12" i="148"/>
  <c r="AG11" i="148"/>
  <c r="AG10" i="148"/>
  <c r="AG9" i="148"/>
  <c r="AG8" i="148"/>
  <c r="AG7" i="148"/>
  <c r="AG75" i="149"/>
  <c r="AG74" i="149"/>
  <c r="AG73" i="149"/>
  <c r="AG72" i="149"/>
  <c r="AG71" i="149"/>
  <c r="AG70" i="149"/>
  <c r="AG69" i="149"/>
  <c r="AG68" i="149"/>
  <c r="AG67" i="149"/>
  <c r="AG66" i="149"/>
  <c r="AG65" i="149"/>
  <c r="AG64" i="149"/>
  <c r="AG63" i="149"/>
  <c r="AG62" i="149"/>
  <c r="AG61" i="149"/>
  <c r="AG60" i="149"/>
  <c r="AG59" i="149"/>
  <c r="AG58" i="149"/>
  <c r="AG57" i="149"/>
  <c r="AG56" i="149"/>
  <c r="AG55" i="149"/>
  <c r="AG54" i="149"/>
  <c r="AG53" i="149"/>
  <c r="AG52" i="149"/>
  <c r="AG51" i="149"/>
  <c r="AG50" i="149"/>
  <c r="AG49" i="149"/>
  <c r="AG48" i="149"/>
  <c r="AG47" i="149"/>
  <c r="AG46" i="149"/>
  <c r="AG45" i="149"/>
  <c r="AG44" i="149"/>
  <c r="AG43" i="149"/>
  <c r="AG42" i="149"/>
  <c r="AG41" i="149"/>
  <c r="AG40" i="149"/>
  <c r="AG39" i="149"/>
  <c r="AG38" i="149"/>
  <c r="AG37" i="149"/>
  <c r="AG36" i="149"/>
  <c r="AG35" i="149"/>
  <c r="AG34" i="149"/>
  <c r="AG33" i="149"/>
  <c r="AG32" i="149"/>
  <c r="AG31" i="149"/>
  <c r="AG30" i="149"/>
  <c r="AG29" i="149"/>
  <c r="AG28" i="149"/>
  <c r="AG27" i="149"/>
  <c r="AG26" i="149"/>
  <c r="AG25" i="149"/>
  <c r="AG24" i="149"/>
  <c r="AG23" i="149"/>
  <c r="AG22" i="149"/>
  <c r="AG21" i="149"/>
  <c r="AG20" i="149"/>
  <c r="AG19" i="149"/>
  <c r="AG18" i="149"/>
  <c r="AG17" i="149"/>
  <c r="AG16" i="149"/>
  <c r="AG15" i="149"/>
  <c r="AG14" i="149"/>
  <c r="AG13" i="149"/>
  <c r="AG12" i="149"/>
  <c r="AG11" i="149"/>
  <c r="AG10" i="149"/>
  <c r="AG9" i="149"/>
  <c r="AG8" i="149"/>
  <c r="AG7" i="149"/>
  <c r="AG75" i="151"/>
  <c r="AG74" i="151"/>
  <c r="AG73" i="151"/>
  <c r="AG72" i="151"/>
  <c r="AG71" i="151"/>
  <c r="AG70" i="151"/>
  <c r="AG69" i="151"/>
  <c r="AG68" i="151"/>
  <c r="AG67" i="151"/>
  <c r="AG66" i="151"/>
  <c r="AG65" i="151"/>
  <c r="AG64" i="151"/>
  <c r="AG63" i="151"/>
  <c r="AG62" i="151"/>
  <c r="AG61" i="151"/>
  <c r="AG60" i="151"/>
  <c r="AG59" i="151"/>
  <c r="AG58" i="151"/>
  <c r="AG57" i="151"/>
  <c r="AG56" i="151"/>
  <c r="AG55" i="151"/>
  <c r="AG54" i="151"/>
  <c r="AG53" i="151"/>
  <c r="AG52" i="151"/>
  <c r="AG51" i="151"/>
  <c r="AG50" i="151"/>
  <c r="AG49" i="151"/>
  <c r="AG48" i="151"/>
  <c r="AG47" i="151"/>
  <c r="AG46" i="151"/>
  <c r="AG45" i="151"/>
  <c r="AG44" i="151"/>
  <c r="AG43" i="151"/>
  <c r="AG42" i="151"/>
  <c r="AG41" i="151"/>
  <c r="AG40" i="151"/>
  <c r="AG39" i="151"/>
  <c r="AG38" i="151"/>
  <c r="AG37" i="151"/>
  <c r="AG36" i="151"/>
  <c r="AG35" i="151"/>
  <c r="AG34" i="151"/>
  <c r="AG33" i="151"/>
  <c r="AG32" i="151"/>
  <c r="AG31" i="151"/>
  <c r="AG30" i="151"/>
  <c r="AG29" i="151"/>
  <c r="AG28" i="151"/>
  <c r="AG27" i="151"/>
  <c r="AG26" i="151"/>
  <c r="AG25" i="151"/>
  <c r="AG24" i="151"/>
  <c r="AG23" i="151"/>
  <c r="AG22" i="151"/>
  <c r="AG21" i="151"/>
  <c r="AG20" i="151"/>
  <c r="AG19" i="151"/>
  <c r="AG18" i="151"/>
  <c r="AG17" i="151"/>
  <c r="AG16" i="151"/>
  <c r="AG15" i="151"/>
  <c r="AG14" i="151"/>
  <c r="AG13" i="151"/>
  <c r="AG12" i="151"/>
  <c r="AG11" i="151"/>
  <c r="AG10" i="151"/>
  <c r="AG9" i="151"/>
  <c r="AG8" i="151"/>
  <c r="AG7" i="151"/>
  <c r="AG75" i="152"/>
  <c r="AG74" i="152"/>
  <c r="AG73" i="152"/>
  <c r="AG72" i="152"/>
  <c r="AG71" i="152"/>
  <c r="AG70" i="152"/>
  <c r="AG69" i="152"/>
  <c r="AG68" i="152"/>
  <c r="AG67" i="152"/>
  <c r="AG66" i="152"/>
  <c r="AG65" i="152"/>
  <c r="AG64" i="152"/>
  <c r="AG63" i="152"/>
  <c r="AG62" i="152"/>
  <c r="AG61" i="152"/>
  <c r="AG60" i="152"/>
  <c r="AG59" i="152"/>
  <c r="AG58" i="152"/>
  <c r="AG57" i="152"/>
  <c r="AG56" i="152"/>
  <c r="AG55" i="152"/>
  <c r="AG54" i="152"/>
  <c r="AG53" i="152"/>
  <c r="AG52" i="152"/>
  <c r="AG51" i="152"/>
  <c r="AG50" i="152"/>
  <c r="AG49" i="152"/>
  <c r="AG48" i="152"/>
  <c r="AG47" i="152"/>
  <c r="AG46" i="152"/>
  <c r="AG45" i="152"/>
  <c r="AG44" i="152"/>
  <c r="AG43" i="152"/>
  <c r="AG42" i="152"/>
  <c r="AG41" i="152"/>
  <c r="AG40" i="152"/>
  <c r="AG39" i="152"/>
  <c r="AG38" i="152"/>
  <c r="AG37" i="152"/>
  <c r="AG36" i="152"/>
  <c r="AG35" i="152"/>
  <c r="AG34" i="152"/>
  <c r="AG33" i="152"/>
  <c r="AG32" i="152"/>
  <c r="AG31" i="152"/>
  <c r="AG30" i="152"/>
  <c r="AG29" i="152"/>
  <c r="AG28" i="152"/>
  <c r="AG27" i="152"/>
  <c r="AG26" i="152"/>
  <c r="AG25" i="152"/>
  <c r="AG24" i="152"/>
  <c r="AG23" i="152"/>
  <c r="AG22" i="152"/>
  <c r="AG21" i="152"/>
  <c r="AG20" i="152"/>
  <c r="AG19" i="152"/>
  <c r="AG18" i="152"/>
  <c r="AG17" i="152"/>
  <c r="AG16" i="152"/>
  <c r="AG15" i="152"/>
  <c r="AG14" i="152"/>
  <c r="AG13" i="152"/>
  <c r="AG12" i="152"/>
  <c r="AG11" i="152"/>
  <c r="AG10" i="152"/>
  <c r="AG9" i="152"/>
  <c r="AG8" i="152"/>
  <c r="AG7" i="152"/>
  <c r="AG75" i="153"/>
  <c r="AG74" i="153"/>
  <c r="AG73" i="153"/>
  <c r="AG72" i="153"/>
  <c r="AG71" i="153"/>
  <c r="AG70" i="153"/>
  <c r="AG69" i="153"/>
  <c r="AG68" i="153"/>
  <c r="AG67" i="153"/>
  <c r="AG66" i="153"/>
  <c r="AG65" i="153"/>
  <c r="AG64" i="153"/>
  <c r="AG63" i="153"/>
  <c r="AG62" i="153"/>
  <c r="AG61" i="153"/>
  <c r="AG60" i="153"/>
  <c r="AG59" i="153"/>
  <c r="AG58" i="153"/>
  <c r="AG57" i="153"/>
  <c r="AG56" i="153"/>
  <c r="AG55" i="153"/>
  <c r="AG54" i="153"/>
  <c r="AG53" i="153"/>
  <c r="AG52" i="153"/>
  <c r="AG51" i="153"/>
  <c r="AG50" i="153"/>
  <c r="AG49" i="153"/>
  <c r="AG48" i="153"/>
  <c r="AG47" i="153"/>
  <c r="AG46" i="153"/>
  <c r="AG45" i="153"/>
  <c r="AG44" i="153"/>
  <c r="AG43" i="153"/>
  <c r="AG42" i="153"/>
  <c r="AG41" i="153"/>
  <c r="AG40" i="153"/>
  <c r="AG39" i="153"/>
  <c r="AG38" i="153"/>
  <c r="AG37" i="153"/>
  <c r="AG36" i="153"/>
  <c r="AG35" i="153"/>
  <c r="AG34" i="153"/>
  <c r="AG33" i="153"/>
  <c r="AG32" i="153"/>
  <c r="AG31" i="153"/>
  <c r="AG30" i="153"/>
  <c r="AG29" i="153"/>
  <c r="AG28" i="153"/>
  <c r="AG27" i="153"/>
  <c r="AG26" i="153"/>
  <c r="AG25" i="153"/>
  <c r="AG24" i="153"/>
  <c r="AG23" i="153"/>
  <c r="AG22" i="153"/>
  <c r="AG21" i="153"/>
  <c r="AG20" i="153"/>
  <c r="AG19" i="153"/>
  <c r="AG18" i="153"/>
  <c r="AG17" i="153"/>
  <c r="AG16" i="153"/>
  <c r="AG15" i="153"/>
  <c r="AG14" i="153"/>
  <c r="AG13" i="153"/>
  <c r="AG12" i="153"/>
  <c r="AG11" i="153"/>
  <c r="AG10" i="153"/>
  <c r="AG9" i="153"/>
  <c r="AG8" i="153"/>
  <c r="AG7" i="153"/>
  <c r="Q81" i="144"/>
  <c r="Q81" i="145"/>
  <c r="Q81" i="146"/>
  <c r="Q81" i="147"/>
  <c r="Q81" i="148"/>
  <c r="Q81" i="149"/>
  <c r="Q81" i="151"/>
  <c r="Q81" i="152"/>
  <c r="Q81" i="153"/>
  <c r="Q77" i="118"/>
  <c r="Q77" i="119"/>
  <c r="Q77" i="120"/>
  <c r="Q77" i="125"/>
  <c r="Q77" i="126"/>
  <c r="Q77" i="127"/>
  <c r="Q77" i="128"/>
  <c r="Q77" i="129"/>
  <c r="Q77" i="131"/>
  <c r="Q77" i="144"/>
  <c r="Q77" i="145"/>
  <c r="Q77" i="146"/>
  <c r="Q77" i="147"/>
  <c r="Q77" i="148"/>
  <c r="Q77" i="149"/>
  <c r="Q77" i="151"/>
  <c r="Q77" i="152"/>
  <c r="Q77" i="153"/>
  <c r="AG75" i="117"/>
  <c r="AG74" i="117"/>
  <c r="AG73" i="117"/>
  <c r="AG72" i="117"/>
  <c r="AG71" i="117"/>
  <c r="AG70" i="117"/>
  <c r="AG69" i="117"/>
  <c r="AG68" i="117"/>
  <c r="AG67" i="117"/>
  <c r="AG66" i="117"/>
  <c r="AG65" i="117"/>
  <c r="AG64" i="117"/>
  <c r="AG63" i="117"/>
  <c r="AG62" i="117"/>
  <c r="AG61" i="117"/>
  <c r="AG60" i="117"/>
  <c r="AG59" i="117"/>
  <c r="AG58" i="117"/>
  <c r="AG57" i="117"/>
  <c r="AG56" i="117"/>
  <c r="AG55" i="117"/>
  <c r="AG54" i="117"/>
  <c r="AG53" i="117"/>
  <c r="AG52" i="117"/>
  <c r="AG51" i="117"/>
  <c r="AG50" i="117"/>
  <c r="AG49" i="117"/>
  <c r="AG48" i="117"/>
  <c r="AG47" i="117"/>
  <c r="AG46" i="117"/>
  <c r="AG45" i="117"/>
  <c r="AG44" i="117"/>
  <c r="AG43" i="117"/>
  <c r="AG42" i="117"/>
  <c r="AG41" i="117"/>
  <c r="AG40" i="117"/>
  <c r="AG39" i="117"/>
  <c r="AG38" i="117"/>
  <c r="AG37" i="117"/>
  <c r="AG36" i="117"/>
  <c r="AG35" i="117"/>
  <c r="AG34" i="117"/>
  <c r="AG33" i="117"/>
  <c r="AG32" i="117"/>
  <c r="AG31" i="117"/>
  <c r="AG30" i="117"/>
  <c r="AG29" i="117"/>
  <c r="AG28" i="117"/>
  <c r="AG27" i="117"/>
  <c r="AG26" i="117"/>
  <c r="AG25" i="117"/>
  <c r="AG24" i="117"/>
  <c r="AG23" i="117"/>
  <c r="AG22" i="117"/>
  <c r="AG21" i="117"/>
  <c r="AG20" i="117"/>
  <c r="AG19" i="117"/>
  <c r="AG18" i="117"/>
  <c r="AG17" i="117"/>
  <c r="AG16" i="117"/>
  <c r="AG15" i="117"/>
  <c r="AG14" i="117"/>
  <c r="AG13" i="117"/>
  <c r="AG12" i="117"/>
  <c r="AG11" i="117"/>
  <c r="AG10" i="117"/>
  <c r="AG9" i="117"/>
  <c r="AG8" i="117"/>
  <c r="AG7" i="117"/>
  <c r="Q77" i="117"/>
  <c r="AG75" i="116"/>
  <c r="AG74" i="116"/>
  <c r="AG73" i="116"/>
  <c r="AG72" i="116"/>
  <c r="AG71" i="116"/>
  <c r="AG70" i="116"/>
  <c r="AG69" i="116"/>
  <c r="AG68" i="116"/>
  <c r="AG67" i="116"/>
  <c r="AG66" i="116"/>
  <c r="AG65" i="116"/>
  <c r="AG64" i="116"/>
  <c r="AG63" i="116"/>
  <c r="AG62" i="116"/>
  <c r="AG61" i="116"/>
  <c r="AG60" i="116"/>
  <c r="AG59" i="116"/>
  <c r="AG58" i="116"/>
  <c r="AG57" i="116"/>
  <c r="AG56" i="116"/>
  <c r="AG55" i="116"/>
  <c r="AG54" i="116"/>
  <c r="AG53" i="116"/>
  <c r="AG52" i="116"/>
  <c r="AG51" i="116"/>
  <c r="AG50" i="116"/>
  <c r="AG49" i="116"/>
  <c r="AG48" i="116"/>
  <c r="AG47" i="116"/>
  <c r="AG46" i="116"/>
  <c r="AG45" i="116"/>
  <c r="AG44" i="116"/>
  <c r="AG43" i="116"/>
  <c r="AG42" i="116"/>
  <c r="AG41" i="116"/>
  <c r="AG40" i="116"/>
  <c r="AG39" i="116"/>
  <c r="AG38" i="116"/>
  <c r="AG37" i="116"/>
  <c r="AG36" i="116"/>
  <c r="AG35" i="116"/>
  <c r="AG34" i="116"/>
  <c r="AG33" i="116"/>
  <c r="AG32" i="116"/>
  <c r="AG31" i="116"/>
  <c r="AG30" i="116"/>
  <c r="AG29" i="116"/>
  <c r="AG28" i="116"/>
  <c r="AG27" i="116"/>
  <c r="AG26" i="116"/>
  <c r="AG25" i="116"/>
  <c r="AG24" i="116"/>
  <c r="AG23" i="116"/>
  <c r="AG22" i="116"/>
  <c r="AG21" i="116"/>
  <c r="AG20" i="116"/>
  <c r="AG19" i="116"/>
  <c r="AG18" i="116"/>
  <c r="AG17" i="116"/>
  <c r="AG16" i="116"/>
  <c r="AG15" i="116"/>
  <c r="AG14" i="116"/>
  <c r="AG13" i="116"/>
  <c r="AG12" i="116"/>
  <c r="AG11" i="116"/>
  <c r="AG10" i="116"/>
  <c r="AG9" i="116"/>
  <c r="AG8" i="116"/>
  <c r="AG7" i="116"/>
  <c r="Q77" i="116"/>
  <c r="AG75" i="115"/>
  <c r="AG74" i="115"/>
  <c r="AG73" i="115"/>
  <c r="AG72" i="115"/>
  <c r="AG71" i="115"/>
  <c r="AG70" i="115"/>
  <c r="AG69" i="115"/>
  <c r="AG68" i="115"/>
  <c r="AG67" i="115"/>
  <c r="AG66" i="115"/>
  <c r="AG65" i="115"/>
  <c r="AG64" i="115"/>
  <c r="AG63" i="115"/>
  <c r="AG62" i="115"/>
  <c r="AG61" i="115"/>
  <c r="AG60" i="115"/>
  <c r="AG59" i="115"/>
  <c r="AG58" i="115"/>
  <c r="AG57" i="115"/>
  <c r="AG56" i="115"/>
  <c r="AG55" i="115"/>
  <c r="AG54" i="115"/>
  <c r="AG53" i="115"/>
  <c r="AG52" i="115"/>
  <c r="AG51" i="115"/>
  <c r="AG50" i="115"/>
  <c r="AG49" i="115"/>
  <c r="AG48" i="115"/>
  <c r="AG47" i="115"/>
  <c r="AG46" i="115"/>
  <c r="AG45" i="115"/>
  <c r="AG44" i="115"/>
  <c r="AG43" i="115"/>
  <c r="AG42" i="115"/>
  <c r="AG41" i="115"/>
  <c r="AG40" i="115"/>
  <c r="AG39" i="115"/>
  <c r="AG38" i="115"/>
  <c r="AG37" i="115"/>
  <c r="AG36" i="115"/>
  <c r="AG35" i="115"/>
  <c r="AG34" i="115"/>
  <c r="AG33" i="115"/>
  <c r="AG32" i="115"/>
  <c r="AG31" i="115"/>
  <c r="AG30" i="115"/>
  <c r="AG29" i="115"/>
  <c r="AG28" i="115"/>
  <c r="AG27" i="115"/>
  <c r="AG26" i="115"/>
  <c r="AG25" i="115"/>
  <c r="AG24" i="115"/>
  <c r="AG23" i="115"/>
  <c r="AG22" i="115"/>
  <c r="AG21" i="115"/>
  <c r="AG20" i="115"/>
  <c r="AG19" i="115"/>
  <c r="AG18" i="115"/>
  <c r="AG17" i="115"/>
  <c r="AG16" i="115"/>
  <c r="AG15" i="115"/>
  <c r="AG14" i="115"/>
  <c r="AG13" i="115"/>
  <c r="AG12" i="115"/>
  <c r="AG11" i="115"/>
  <c r="AG10" i="115"/>
  <c r="AG9" i="115"/>
  <c r="AG8" i="115"/>
  <c r="AG7" i="115"/>
  <c r="Q77" i="115"/>
  <c r="AG75" i="114"/>
  <c r="AG74" i="114"/>
  <c r="AG73" i="114"/>
  <c r="AG72" i="114"/>
  <c r="AG71" i="114"/>
  <c r="AG70" i="114"/>
  <c r="AG69" i="114"/>
  <c r="AG68" i="114"/>
  <c r="AG67" i="114"/>
  <c r="AG66" i="114"/>
  <c r="AG65" i="114"/>
  <c r="AG64" i="114"/>
  <c r="AG63" i="114"/>
  <c r="AG62" i="114"/>
  <c r="AG61" i="114"/>
  <c r="AG60" i="114"/>
  <c r="AG59" i="114"/>
  <c r="AG58" i="114"/>
  <c r="AG57" i="114"/>
  <c r="AG56" i="114"/>
  <c r="AG55" i="114"/>
  <c r="AG54" i="114"/>
  <c r="AG53" i="114"/>
  <c r="AG52" i="114"/>
  <c r="AG51" i="114"/>
  <c r="AG50" i="114"/>
  <c r="AG49" i="114"/>
  <c r="AG48" i="114"/>
  <c r="AG47" i="114"/>
  <c r="AG46" i="114"/>
  <c r="AG45" i="114"/>
  <c r="AG44" i="114"/>
  <c r="AG43" i="114"/>
  <c r="AG42" i="114"/>
  <c r="AG41" i="114"/>
  <c r="AG40" i="114"/>
  <c r="AG39" i="114"/>
  <c r="AG38" i="114"/>
  <c r="AG37" i="114"/>
  <c r="AG36" i="114"/>
  <c r="AG35" i="114"/>
  <c r="AG34" i="114"/>
  <c r="AG33" i="114"/>
  <c r="AG32" i="114"/>
  <c r="AG31" i="114"/>
  <c r="AG30" i="114"/>
  <c r="AG29" i="114"/>
  <c r="AG28" i="114"/>
  <c r="AG27" i="114"/>
  <c r="AG26" i="114"/>
  <c r="AG25" i="114"/>
  <c r="AG24" i="114"/>
  <c r="AG23" i="114"/>
  <c r="AG22" i="114"/>
  <c r="AG21" i="114"/>
  <c r="AG20" i="114"/>
  <c r="AG19" i="114"/>
  <c r="AG18" i="114"/>
  <c r="AG17" i="114"/>
  <c r="AG16" i="114"/>
  <c r="AG15" i="114"/>
  <c r="AG14" i="114"/>
  <c r="AG13" i="114"/>
  <c r="AG12" i="114"/>
  <c r="AG11" i="114"/>
  <c r="AG10" i="114"/>
  <c r="AG9" i="114"/>
  <c r="AG8" i="114"/>
  <c r="AG7" i="114"/>
  <c r="Q78" i="114"/>
  <c r="AG75" i="113"/>
  <c r="AG74" i="113"/>
  <c r="AG73" i="113"/>
  <c r="AG72" i="113"/>
  <c r="AG71" i="113"/>
  <c r="AG70" i="113"/>
  <c r="AG69" i="113"/>
  <c r="AG68" i="113"/>
  <c r="AG67" i="113"/>
  <c r="AG66" i="113"/>
  <c r="AG65" i="113"/>
  <c r="AG64" i="113"/>
  <c r="AG63" i="113"/>
  <c r="AG62" i="113"/>
  <c r="AG61" i="113"/>
  <c r="AG60" i="113"/>
  <c r="AG59" i="113"/>
  <c r="AG58" i="113"/>
  <c r="AG57" i="113"/>
  <c r="AG56" i="113"/>
  <c r="AG55" i="113"/>
  <c r="AG54" i="113"/>
  <c r="AG53" i="113"/>
  <c r="AG52" i="113"/>
  <c r="AG51" i="113"/>
  <c r="AG50" i="113"/>
  <c r="AG49" i="113"/>
  <c r="AG48" i="113"/>
  <c r="AG47" i="113"/>
  <c r="AG46" i="113"/>
  <c r="AG45" i="113"/>
  <c r="AG44" i="113"/>
  <c r="AG43" i="113"/>
  <c r="AG42" i="113"/>
  <c r="AG41" i="113"/>
  <c r="AG40" i="113"/>
  <c r="AG39" i="113"/>
  <c r="AG38" i="113"/>
  <c r="AG37" i="113"/>
  <c r="AG36" i="113"/>
  <c r="AG35" i="113"/>
  <c r="AG34" i="113"/>
  <c r="AG33" i="113"/>
  <c r="AG32" i="113"/>
  <c r="AG31" i="113"/>
  <c r="AG30" i="113"/>
  <c r="AG29" i="113"/>
  <c r="AG28" i="113"/>
  <c r="AG27" i="113"/>
  <c r="AG26" i="113"/>
  <c r="AG25" i="113"/>
  <c r="AG24" i="113"/>
  <c r="AG23" i="113"/>
  <c r="AG22" i="113"/>
  <c r="AG21" i="113"/>
  <c r="AG20" i="113"/>
  <c r="AG19" i="113"/>
  <c r="AG18" i="113"/>
  <c r="AG17" i="113"/>
  <c r="AG16" i="113"/>
  <c r="AG15" i="113"/>
  <c r="AG14" i="113"/>
  <c r="AG13" i="113"/>
  <c r="AG12" i="113"/>
  <c r="AG11" i="113"/>
  <c r="AG10" i="113"/>
  <c r="AG9" i="113"/>
  <c r="AG8" i="113"/>
  <c r="AG7" i="113"/>
  <c r="Q77" i="113"/>
  <c r="AQ11" i="46"/>
  <c r="AQ10" i="46"/>
  <c r="AQ9" i="46"/>
  <c r="AQ8" i="46"/>
  <c r="AQ7" i="46"/>
  <c r="AQ6" i="46"/>
  <c r="AQ14" i="46"/>
  <c r="O77" i="141"/>
  <c r="O77" i="140"/>
  <c r="J80" i="67"/>
  <c r="J76" i="67"/>
  <c r="AH76" i="76"/>
  <c r="R6" i="167"/>
  <c r="R7" i="167"/>
  <c r="R8" i="167"/>
  <c r="R9" i="167"/>
  <c r="R10" i="167"/>
  <c r="R11" i="167"/>
  <c r="R12" i="167"/>
  <c r="R13" i="167"/>
  <c r="R14" i="167"/>
  <c r="R15" i="167"/>
  <c r="R16" i="167"/>
  <c r="R17" i="167"/>
  <c r="R18" i="167"/>
  <c r="R19" i="167"/>
  <c r="R20" i="167"/>
  <c r="R21" i="167"/>
  <c r="R22" i="167"/>
  <c r="R23" i="167"/>
  <c r="R24" i="167"/>
  <c r="R25" i="167"/>
  <c r="R26" i="167"/>
  <c r="R27" i="167"/>
  <c r="R28" i="167"/>
  <c r="R29" i="167"/>
  <c r="R30" i="167"/>
  <c r="R31" i="167"/>
  <c r="R32" i="167"/>
  <c r="R33" i="167"/>
  <c r="R34" i="167"/>
  <c r="R35" i="167"/>
  <c r="R36" i="167"/>
  <c r="R37" i="167"/>
  <c r="R38" i="167"/>
  <c r="R39" i="167"/>
  <c r="R40" i="167"/>
  <c r="R41" i="167"/>
  <c r="R42" i="167"/>
  <c r="R43" i="167"/>
  <c r="R44" i="167"/>
  <c r="R45" i="167"/>
  <c r="R46" i="167"/>
  <c r="R47" i="167"/>
  <c r="R48" i="167"/>
  <c r="R49" i="167"/>
  <c r="R50" i="167"/>
  <c r="R51" i="167"/>
  <c r="R52" i="167"/>
  <c r="R53" i="167"/>
  <c r="R54" i="167"/>
  <c r="R55" i="167"/>
  <c r="R56" i="167"/>
  <c r="R57" i="167"/>
  <c r="R58" i="167"/>
  <c r="R59" i="167"/>
  <c r="R60" i="167"/>
  <c r="R61" i="167"/>
  <c r="R62" i="167"/>
  <c r="R63" i="167"/>
  <c r="R64" i="167"/>
  <c r="R65" i="167"/>
  <c r="R66" i="167"/>
  <c r="R67" i="167"/>
  <c r="R68" i="167"/>
  <c r="R69" i="167"/>
  <c r="R70" i="167"/>
  <c r="R71" i="167"/>
  <c r="R72" i="167"/>
  <c r="R73" i="167"/>
  <c r="R5" i="167"/>
  <c r="R74" i="167"/>
  <c r="R78" i="167"/>
  <c r="W27" i="31"/>
  <c r="R92" i="167"/>
  <c r="R82" i="167"/>
  <c r="R119" i="167"/>
  <c r="R188" i="167"/>
  <c r="R178" i="167"/>
  <c r="R191" i="167"/>
  <c r="R195" i="167"/>
  <c r="AJ88" i="80"/>
  <c r="AI88" i="80"/>
  <c r="AJ88" i="76"/>
  <c r="AI88" i="76"/>
  <c r="T88" i="80"/>
  <c r="S88" i="80"/>
  <c r="T88" i="76"/>
  <c r="S88" i="76"/>
  <c r="AI88" i="116"/>
  <c r="AH88" i="116"/>
  <c r="AI88" i="117"/>
  <c r="AH88" i="117"/>
  <c r="AI88" i="118"/>
  <c r="AH88" i="118"/>
  <c r="AI88" i="119"/>
  <c r="AH88" i="119"/>
  <c r="AI88" i="120"/>
  <c r="AH88" i="120"/>
  <c r="AI88" i="125"/>
  <c r="AH88" i="125"/>
  <c r="AI88" i="126"/>
  <c r="AH88" i="126"/>
  <c r="AI88" i="127"/>
  <c r="AH88" i="127"/>
  <c r="AI88" i="128"/>
  <c r="AH88" i="128"/>
  <c r="AI88" i="129"/>
  <c r="AH88" i="129"/>
  <c r="AI88" i="131"/>
  <c r="AH88" i="131"/>
  <c r="AI88" i="144"/>
  <c r="AH88" i="144"/>
  <c r="AI88" i="145"/>
  <c r="AH88" i="145"/>
  <c r="AI88" i="146"/>
  <c r="AH88" i="146"/>
  <c r="AI88" i="147"/>
  <c r="AH88" i="147"/>
  <c r="AI88" i="148"/>
  <c r="AH88" i="148"/>
  <c r="AI88" i="149"/>
  <c r="AH88" i="149"/>
  <c r="AI88" i="151"/>
  <c r="AH88" i="151"/>
  <c r="AI88" i="152"/>
  <c r="AH88" i="152"/>
  <c r="AI88" i="153"/>
  <c r="AH88" i="153"/>
  <c r="AI88" i="115"/>
  <c r="AH88" i="115"/>
  <c r="S88" i="116"/>
  <c r="R88" i="116"/>
  <c r="S88" i="117"/>
  <c r="R88" i="117"/>
  <c r="S88" i="118"/>
  <c r="R88" i="118"/>
  <c r="S88" i="119"/>
  <c r="R88" i="119"/>
  <c r="S88" i="120"/>
  <c r="R88" i="120"/>
  <c r="S88" i="125"/>
  <c r="R88" i="125"/>
  <c r="S88" i="126"/>
  <c r="R88" i="126"/>
  <c r="S88" i="127"/>
  <c r="R88" i="127"/>
  <c r="S88" i="128"/>
  <c r="R88" i="128"/>
  <c r="S88" i="129"/>
  <c r="R88" i="129"/>
  <c r="S88" i="131"/>
  <c r="R88" i="131"/>
  <c r="S88" i="144"/>
  <c r="R88" i="144"/>
  <c r="S88" i="145"/>
  <c r="R88" i="145"/>
  <c r="S88" i="146"/>
  <c r="R88" i="146"/>
  <c r="S88" i="147"/>
  <c r="R88" i="147"/>
  <c r="S88" i="148"/>
  <c r="R88" i="148"/>
  <c r="S88" i="149"/>
  <c r="R88" i="149"/>
  <c r="S88" i="151"/>
  <c r="R88" i="151"/>
  <c r="S88" i="152"/>
  <c r="R88" i="152"/>
  <c r="S88" i="153"/>
  <c r="R88" i="153"/>
  <c r="S88" i="115"/>
  <c r="R88" i="115"/>
  <c r="AI89" i="114"/>
  <c r="AH89" i="114"/>
  <c r="S89" i="114"/>
  <c r="R89" i="114"/>
  <c r="AI88" i="113"/>
  <c r="AH88" i="113"/>
  <c r="S88" i="113"/>
  <c r="R88" i="113"/>
  <c r="AS24" i="46"/>
  <c r="AR24" i="46"/>
  <c r="X24" i="46"/>
  <c r="W24" i="46"/>
  <c r="AP81" i="31"/>
  <c r="Q84" i="141"/>
  <c r="Q79" i="141"/>
  <c r="P84" i="141"/>
  <c r="Q84" i="140"/>
  <c r="Q80" i="140"/>
  <c r="P84" i="140"/>
  <c r="W83" i="67"/>
  <c r="V83" i="67"/>
  <c r="L84" i="67"/>
  <c r="L79" i="67"/>
  <c r="K84" i="67"/>
  <c r="U18" i="137"/>
  <c r="T10" i="5"/>
  <c r="S10" i="5"/>
  <c r="L78" i="67"/>
  <c r="Q79" i="140"/>
  <c r="Q78" i="141"/>
  <c r="Q80" i="141"/>
  <c r="L77" i="67"/>
  <c r="Q78" i="140"/>
  <c r="AA14" i="46"/>
  <c r="AA11" i="46"/>
  <c r="AA10" i="46"/>
  <c r="AA8" i="46"/>
  <c r="AA7" i="46"/>
  <c r="AA9" i="46"/>
  <c r="AA6" i="46"/>
  <c r="X72" i="31"/>
  <c r="X71" i="31"/>
  <c r="X70" i="31"/>
  <c r="X69" i="31"/>
  <c r="X68" i="31"/>
  <c r="X67" i="31"/>
  <c r="X66" i="31"/>
  <c r="X65" i="31"/>
  <c r="X64" i="31"/>
  <c r="X63" i="31"/>
  <c r="X62" i="31"/>
  <c r="X61" i="31"/>
  <c r="X60" i="31"/>
  <c r="X59" i="31"/>
  <c r="X58" i="31"/>
  <c r="X57" i="31"/>
  <c r="X56" i="31"/>
  <c r="X55" i="31"/>
  <c r="X54" i="31"/>
  <c r="X53" i="31"/>
  <c r="X52" i="31"/>
  <c r="X51" i="31"/>
  <c r="X50" i="31"/>
  <c r="X49" i="31"/>
  <c r="X48" i="31"/>
  <c r="X47" i="31"/>
  <c r="X46" i="31"/>
  <c r="X45" i="31"/>
  <c r="X44" i="31"/>
  <c r="X43" i="31"/>
  <c r="X42" i="31"/>
  <c r="X41" i="31"/>
  <c r="X40" i="31"/>
  <c r="X39" i="31"/>
  <c r="X38" i="31"/>
  <c r="X37" i="31"/>
  <c r="X36" i="31"/>
  <c r="X35" i="31"/>
  <c r="X34" i="31"/>
  <c r="X33" i="31"/>
  <c r="X32" i="31"/>
  <c r="X31" i="31"/>
  <c r="X30" i="31"/>
  <c r="X29" i="31"/>
  <c r="X28" i="31"/>
  <c r="X24" i="31"/>
  <c r="X23" i="31"/>
  <c r="X22" i="31"/>
  <c r="X21" i="31"/>
  <c r="X20" i="31"/>
  <c r="X19" i="31"/>
  <c r="X16" i="31"/>
  <c r="X15" i="31"/>
  <c r="X14" i="31"/>
  <c r="X13" i="31"/>
  <c r="X12" i="31"/>
  <c r="Z10" i="46"/>
  <c r="Z8" i="46"/>
  <c r="Z7" i="46"/>
  <c r="Z9" i="46"/>
  <c r="W66" i="31"/>
  <c r="X73" i="31"/>
  <c r="K191" i="167"/>
  <c r="K188" i="167"/>
  <c r="K178" i="167"/>
  <c r="K119" i="167"/>
  <c r="K92" i="167"/>
  <c r="K82" i="167"/>
  <c r="K78" i="167"/>
  <c r="AN76" i="80"/>
  <c r="AN76" i="76"/>
  <c r="AM76" i="153"/>
  <c r="AM76" i="152"/>
  <c r="AM76" i="151"/>
  <c r="AM76" i="149"/>
  <c r="AM76" i="148"/>
  <c r="AM76" i="147"/>
  <c r="AM76" i="146"/>
  <c r="AM76" i="145"/>
  <c r="AM76" i="144"/>
  <c r="AM76" i="131"/>
  <c r="AM76" i="129"/>
  <c r="AM76" i="128"/>
  <c r="AM76" i="127"/>
  <c r="AM76" i="126"/>
  <c r="AM76" i="125"/>
  <c r="AM76" i="120"/>
  <c r="AM76" i="119"/>
  <c r="AM76" i="118"/>
  <c r="AM76" i="117"/>
  <c r="AM76" i="116"/>
  <c r="AJ76" i="162"/>
  <c r="AG15" i="46"/>
  <c r="AE15" i="46"/>
  <c r="D2" i="72"/>
  <c r="E2" i="72"/>
  <c r="F2" i="72"/>
  <c r="G2" i="72"/>
  <c r="H2" i="72"/>
  <c r="I2" i="72"/>
  <c r="J2" i="72"/>
  <c r="K2" i="72"/>
  <c r="L2" i="72"/>
  <c r="M2" i="72"/>
  <c r="N2" i="72"/>
  <c r="O2" i="72"/>
  <c r="P2" i="72"/>
  <c r="Q2" i="72"/>
  <c r="R2" i="72"/>
  <c r="S2" i="72"/>
  <c r="T2" i="72"/>
  <c r="U2" i="72"/>
  <c r="V2" i="72"/>
  <c r="W2" i="72"/>
  <c r="X2" i="72"/>
  <c r="Y2" i="72"/>
  <c r="Z2" i="72"/>
  <c r="AA2" i="72"/>
  <c r="AB2" i="72"/>
  <c r="AC2" i="72"/>
  <c r="AD2" i="72"/>
  <c r="AE2" i="72"/>
  <c r="AF2" i="72"/>
  <c r="AG2" i="72"/>
  <c r="AH2" i="72"/>
  <c r="AI2" i="72"/>
  <c r="AJ2" i="72"/>
  <c r="AK2" i="72"/>
  <c r="AL2" i="72"/>
  <c r="AM2" i="72"/>
  <c r="AN2" i="72"/>
  <c r="AO2" i="72"/>
  <c r="AP2" i="72"/>
  <c r="AQ2" i="72"/>
  <c r="AR2" i="72"/>
  <c r="AS2" i="72"/>
  <c r="AT2" i="72"/>
  <c r="AU2" i="72"/>
  <c r="AV2" i="72"/>
  <c r="AW2" i="72"/>
  <c r="AX2" i="72"/>
  <c r="AY2" i="72"/>
  <c r="AZ2" i="72"/>
  <c r="BA2" i="72"/>
  <c r="BB2" i="72"/>
  <c r="BC2" i="72"/>
  <c r="BD2" i="72"/>
  <c r="BE2" i="72"/>
  <c r="BF2" i="72"/>
  <c r="BG2" i="72"/>
  <c r="BH2" i="72"/>
  <c r="BI2" i="72"/>
  <c r="Y4" i="67"/>
  <c r="F82" i="80"/>
  <c r="D82" i="80"/>
  <c r="F82" i="76"/>
  <c r="D82" i="76"/>
  <c r="X74" i="31"/>
  <c r="AO75" i="33"/>
  <c r="AO74" i="33"/>
  <c r="AO73" i="33"/>
  <c r="AO72" i="33"/>
  <c r="AO71" i="33"/>
  <c r="AO70" i="33"/>
  <c r="AO69" i="33"/>
  <c r="AO68" i="33"/>
  <c r="AO67" i="33"/>
  <c r="AO66" i="33"/>
  <c r="AO65" i="33"/>
  <c r="AO64" i="33"/>
  <c r="AO63" i="33"/>
  <c r="AO62" i="33"/>
  <c r="AO61" i="33"/>
  <c r="AO60" i="33"/>
  <c r="AO59" i="33"/>
  <c r="AO58" i="33"/>
  <c r="AO57" i="33"/>
  <c r="AO56" i="33"/>
  <c r="AO55" i="33"/>
  <c r="AO54" i="33"/>
  <c r="AO53" i="33"/>
  <c r="AO52" i="33"/>
  <c r="AO51" i="33"/>
  <c r="AO50" i="33"/>
  <c r="AO49" i="33"/>
  <c r="AO48" i="33"/>
  <c r="AO47" i="33"/>
  <c r="AO46" i="33"/>
  <c r="AO45" i="33"/>
  <c r="AO44" i="33"/>
  <c r="AO43" i="33"/>
  <c r="AO42" i="33"/>
  <c r="AO41" i="33"/>
  <c r="AO40" i="33"/>
  <c r="AO39" i="33"/>
  <c r="AO38" i="33"/>
  <c r="AO37" i="33"/>
  <c r="AO36" i="33"/>
  <c r="AO35" i="33"/>
  <c r="AO34" i="33"/>
  <c r="AO33" i="33"/>
  <c r="AO32" i="33"/>
  <c r="AO31" i="33"/>
  <c r="AO30" i="33"/>
  <c r="AO29" i="33"/>
  <c r="AO28" i="33"/>
  <c r="AO27" i="33"/>
  <c r="AO26" i="33"/>
  <c r="AO25" i="33"/>
  <c r="AO24" i="33"/>
  <c r="AO23" i="33"/>
  <c r="AO22" i="33"/>
  <c r="AO21" i="33"/>
  <c r="AO20" i="33"/>
  <c r="AO19" i="33"/>
  <c r="AO18" i="33"/>
  <c r="AO17" i="33"/>
  <c r="AO16" i="33"/>
  <c r="AO15" i="33"/>
  <c r="AO14" i="33"/>
  <c r="AO13" i="33"/>
  <c r="AO12" i="33"/>
  <c r="AO11" i="33"/>
  <c r="AO10" i="33"/>
  <c r="AO9" i="33"/>
  <c r="AO8" i="33"/>
  <c r="AO7" i="33"/>
  <c r="C5" i="33"/>
  <c r="D5" i="33"/>
  <c r="E5" i="33"/>
  <c r="F5" i="33"/>
  <c r="G5" i="33"/>
  <c r="H5" i="33"/>
  <c r="I5" i="33"/>
  <c r="J5" i="33"/>
  <c r="K5" i="33"/>
  <c r="L5" i="33"/>
  <c r="M5" i="33"/>
  <c r="N5" i="33"/>
  <c r="O5" i="33"/>
  <c r="P5" i="33"/>
  <c r="Q5" i="33"/>
  <c r="R5" i="33"/>
  <c r="S5" i="33"/>
  <c r="T5" i="33"/>
  <c r="U5" i="33"/>
  <c r="V5" i="33"/>
  <c r="W5" i="33"/>
  <c r="X5" i="33"/>
  <c r="Y5" i="33"/>
  <c r="Z5" i="33"/>
  <c r="AA5" i="33"/>
  <c r="AB5" i="33"/>
  <c r="AC5" i="33"/>
  <c r="AD5" i="33"/>
  <c r="AE5" i="33"/>
  <c r="AF5" i="33"/>
  <c r="AG5" i="33"/>
  <c r="AH5" i="33"/>
  <c r="AI5" i="33"/>
  <c r="AJ5" i="33"/>
  <c r="AK5" i="33"/>
  <c r="AL5" i="33"/>
  <c r="AM5" i="33"/>
  <c r="AN5" i="33"/>
  <c r="AO5" i="33"/>
  <c r="AP5" i="33"/>
  <c r="AO76" i="33"/>
  <c r="U80" i="80"/>
  <c r="AK80" i="80"/>
  <c r="AL80" i="80"/>
  <c r="AL79" i="80"/>
  <c r="AL78" i="80"/>
  <c r="U80" i="76"/>
  <c r="AK80" i="76"/>
  <c r="AL80" i="76"/>
  <c r="AL79" i="76"/>
  <c r="AL78" i="76"/>
  <c r="T80" i="113"/>
  <c r="AA15" i="46"/>
  <c r="AA12" i="46"/>
  <c r="AA17" i="46"/>
  <c r="W6" i="5"/>
  <c r="W5" i="5"/>
  <c r="W7" i="5"/>
  <c r="T80" i="153"/>
  <c r="T79" i="153"/>
  <c r="T80" i="152"/>
  <c r="T79" i="152"/>
  <c r="T80" i="151"/>
  <c r="T79" i="151"/>
  <c r="T80" i="149"/>
  <c r="T80" i="148"/>
  <c r="T80" i="147"/>
  <c r="T79" i="147"/>
  <c r="T80" i="146"/>
  <c r="T79" i="146"/>
  <c r="T80" i="145"/>
  <c r="T80" i="144"/>
  <c r="T79" i="144"/>
  <c r="T80" i="131"/>
  <c r="T80" i="129"/>
  <c r="T80" i="128"/>
  <c r="T80" i="127"/>
  <c r="T80" i="126"/>
  <c r="T80" i="125"/>
  <c r="T80" i="120"/>
  <c r="T80" i="119"/>
  <c r="T80" i="118"/>
  <c r="T80" i="117"/>
  <c r="T80" i="116"/>
  <c r="T80" i="115"/>
  <c r="T81" i="114"/>
  <c r="R80" i="141"/>
  <c r="R80" i="140"/>
  <c r="M79" i="67"/>
  <c r="A195" i="167"/>
  <c r="A194" i="167"/>
  <c r="I80" i="67"/>
  <c r="A193" i="167"/>
  <c r="A192" i="167"/>
  <c r="H191" i="167"/>
  <c r="F191" i="167"/>
  <c r="D191" i="167"/>
  <c r="A191" i="167"/>
  <c r="I191" i="167"/>
  <c r="G191" i="167"/>
  <c r="A190" i="167"/>
  <c r="A189" i="167"/>
  <c r="H188" i="167"/>
  <c r="F188" i="167"/>
  <c r="D188" i="167"/>
  <c r="A188" i="167"/>
  <c r="T11" i="46"/>
  <c r="S11" i="46"/>
  <c r="A187" i="167"/>
  <c r="T10" i="46"/>
  <c r="S10" i="46"/>
  <c r="A186" i="167"/>
  <c r="T8" i="46"/>
  <c r="S8" i="46"/>
  <c r="A185" i="167"/>
  <c r="T7" i="46"/>
  <c r="S7" i="46"/>
  <c r="A184" i="167"/>
  <c r="T9" i="46"/>
  <c r="S9" i="46"/>
  <c r="A183" i="167"/>
  <c r="A182" i="167"/>
  <c r="H178" i="167"/>
  <c r="F178" i="167"/>
  <c r="D178" i="167"/>
  <c r="S72" i="31"/>
  <c r="A177" i="167"/>
  <c r="S71" i="31"/>
  <c r="A176" i="167"/>
  <c r="S70" i="31"/>
  <c r="A175" i="167"/>
  <c r="S69" i="31"/>
  <c r="A174" i="167"/>
  <c r="S68" i="31"/>
  <c r="A173" i="167"/>
  <c r="S67" i="31"/>
  <c r="A172" i="167"/>
  <c r="T66" i="31"/>
  <c r="S66" i="31"/>
  <c r="A171" i="167"/>
  <c r="S65" i="31"/>
  <c r="A170" i="167"/>
  <c r="S64" i="31"/>
  <c r="A169" i="167"/>
  <c r="S63" i="31"/>
  <c r="A168" i="167"/>
  <c r="S62" i="31"/>
  <c r="A167" i="167"/>
  <c r="S61" i="31"/>
  <c r="A166" i="167"/>
  <c r="S60" i="31"/>
  <c r="A165" i="167"/>
  <c r="S59" i="31"/>
  <c r="A164" i="167"/>
  <c r="S58" i="31"/>
  <c r="A163" i="167"/>
  <c r="S57" i="31"/>
  <c r="A162" i="167"/>
  <c r="S56" i="31"/>
  <c r="A161" i="167"/>
  <c r="S55" i="31"/>
  <c r="A160" i="167"/>
  <c r="S54" i="31"/>
  <c r="A159" i="167"/>
  <c r="S53" i="31"/>
  <c r="A158" i="167"/>
  <c r="S52" i="31"/>
  <c r="A157" i="167"/>
  <c r="S51" i="31"/>
  <c r="A156" i="167"/>
  <c r="S50" i="31"/>
  <c r="A155" i="167"/>
  <c r="S49" i="31"/>
  <c r="A154" i="167"/>
  <c r="S48" i="31"/>
  <c r="A153" i="167"/>
  <c r="S47" i="31"/>
  <c r="A152" i="167"/>
  <c r="S46" i="31"/>
  <c r="A151" i="167"/>
  <c r="S45" i="31"/>
  <c r="A150" i="167"/>
  <c r="S44" i="31"/>
  <c r="A149" i="167"/>
  <c r="S43" i="31"/>
  <c r="A148" i="167"/>
  <c r="S42" i="31"/>
  <c r="A147" i="167"/>
  <c r="S41" i="31"/>
  <c r="A146" i="167"/>
  <c r="S40" i="31"/>
  <c r="A145" i="167"/>
  <c r="S39" i="31"/>
  <c r="A144" i="167"/>
  <c r="S38" i="31"/>
  <c r="A143" i="167"/>
  <c r="S37" i="31"/>
  <c r="A142" i="167"/>
  <c r="S36" i="31"/>
  <c r="A141" i="167"/>
  <c r="S35" i="31"/>
  <c r="A140" i="167"/>
  <c r="S34" i="31"/>
  <c r="A139" i="167"/>
  <c r="S33" i="31"/>
  <c r="A138" i="167"/>
  <c r="S32" i="31"/>
  <c r="A137" i="167"/>
  <c r="S31" i="31"/>
  <c r="A136" i="167"/>
  <c r="S30" i="31"/>
  <c r="A135" i="167"/>
  <c r="S29" i="31"/>
  <c r="A134" i="167"/>
  <c r="S28" i="31"/>
  <c r="A133" i="167"/>
  <c r="S27" i="31"/>
  <c r="A132" i="167"/>
  <c r="S24" i="31"/>
  <c r="A131" i="167"/>
  <c r="S23" i="31"/>
  <c r="A130" i="167"/>
  <c r="S22" i="31"/>
  <c r="A129" i="167"/>
  <c r="S21" i="31"/>
  <c r="A128" i="167"/>
  <c r="S20" i="31"/>
  <c r="A127" i="167"/>
  <c r="S19" i="31"/>
  <c r="A126" i="167"/>
  <c r="S16" i="31"/>
  <c r="A125" i="167"/>
  <c r="S15" i="31"/>
  <c r="A124" i="167"/>
  <c r="S14" i="31"/>
  <c r="A123" i="167"/>
  <c r="S13" i="31"/>
  <c r="A122" i="167"/>
  <c r="A121" i="167"/>
  <c r="A120" i="167"/>
  <c r="H119" i="167"/>
  <c r="F119" i="167"/>
  <c r="D119" i="167"/>
  <c r="A119" i="167"/>
  <c r="O118" i="167"/>
  <c r="P81" i="152"/>
  <c r="T81" i="152"/>
  <c r="A118" i="167"/>
  <c r="O117" i="167"/>
  <c r="P81" i="151"/>
  <c r="T81" i="151"/>
  <c r="A117" i="167"/>
  <c r="O116" i="167"/>
  <c r="P81" i="149"/>
  <c r="T81" i="149"/>
  <c r="A116" i="167"/>
  <c r="O115" i="167"/>
  <c r="P81" i="153"/>
  <c r="T81" i="153"/>
  <c r="A115" i="167"/>
  <c r="O114" i="167"/>
  <c r="P81" i="146"/>
  <c r="T81" i="146"/>
  <c r="A114" i="167"/>
  <c r="O113" i="167"/>
  <c r="P81" i="145"/>
  <c r="T81" i="145"/>
  <c r="A113" i="167"/>
  <c r="O112" i="167"/>
  <c r="P81" i="144"/>
  <c r="T81" i="144"/>
  <c r="A112" i="167"/>
  <c r="A111" i="167"/>
  <c r="A110" i="167"/>
  <c r="A109" i="167"/>
  <c r="O108" i="167"/>
  <c r="P81" i="147"/>
  <c r="T81" i="147"/>
  <c r="A108" i="167"/>
  <c r="A107" i="167"/>
  <c r="A106" i="167"/>
  <c r="A105" i="167"/>
  <c r="A104" i="167"/>
  <c r="A103" i="167"/>
  <c r="A102" i="167"/>
  <c r="A101" i="167"/>
  <c r="A100" i="167"/>
  <c r="A99" i="167"/>
  <c r="A98" i="167"/>
  <c r="A97" i="167"/>
  <c r="A96" i="167"/>
  <c r="O95" i="167"/>
  <c r="P81" i="148"/>
  <c r="T81" i="148"/>
  <c r="A95" i="167"/>
  <c r="A94" i="167"/>
  <c r="A93" i="167"/>
  <c r="H92" i="167"/>
  <c r="F92" i="167"/>
  <c r="D92" i="167"/>
  <c r="A92" i="167"/>
  <c r="A91" i="167"/>
  <c r="A90" i="167"/>
  <c r="A89" i="167"/>
  <c r="A88" i="167"/>
  <c r="A87" i="167"/>
  <c r="A86" i="167"/>
  <c r="A85" i="167"/>
  <c r="G92" i="167"/>
  <c r="A84" i="167"/>
  <c r="A83" i="167"/>
  <c r="H82" i="167"/>
  <c r="F82" i="167"/>
  <c r="D82" i="167"/>
  <c r="A82" i="167"/>
  <c r="R78" i="140"/>
  <c r="A81" i="167"/>
  <c r="I82" i="167"/>
  <c r="A80" i="167"/>
  <c r="A79" i="167"/>
  <c r="H78" i="167"/>
  <c r="F78" i="167"/>
  <c r="D78" i="167"/>
  <c r="A78" i="167"/>
  <c r="O6" i="5"/>
  <c r="A77" i="167"/>
  <c r="G78" i="167"/>
  <c r="O5" i="5"/>
  <c r="A76" i="167"/>
  <c r="A75" i="167"/>
  <c r="H74" i="167"/>
  <c r="F74" i="167"/>
  <c r="F195" i="167"/>
  <c r="D74" i="167"/>
  <c r="A74" i="167"/>
  <c r="A73" i="167"/>
  <c r="A72" i="167"/>
  <c r="A71" i="167"/>
  <c r="A70" i="167"/>
  <c r="A69" i="167"/>
  <c r="A68" i="167"/>
  <c r="A67" i="167"/>
  <c r="A66" i="167"/>
  <c r="A65" i="167"/>
  <c r="A64" i="167"/>
  <c r="A63" i="167"/>
  <c r="A62" i="167"/>
  <c r="A61" i="167"/>
  <c r="A60" i="167"/>
  <c r="A59" i="167"/>
  <c r="A58" i="167"/>
  <c r="A57" i="167"/>
  <c r="A56" i="167"/>
  <c r="A55" i="167"/>
  <c r="A54" i="167"/>
  <c r="A53" i="167"/>
  <c r="A52" i="167"/>
  <c r="A51" i="167"/>
  <c r="A50" i="167"/>
  <c r="A49" i="167"/>
  <c r="A48" i="167"/>
  <c r="A47" i="167"/>
  <c r="A46" i="167"/>
  <c r="A45" i="167"/>
  <c r="A44" i="167"/>
  <c r="A43" i="167"/>
  <c r="A42" i="167"/>
  <c r="A41" i="167"/>
  <c r="A40" i="167"/>
  <c r="A39" i="167"/>
  <c r="A38" i="167"/>
  <c r="A37" i="167"/>
  <c r="A36" i="167"/>
  <c r="A35" i="167"/>
  <c r="A34" i="167"/>
  <c r="A33" i="167"/>
  <c r="A32" i="167"/>
  <c r="A31" i="167"/>
  <c r="A30" i="167"/>
  <c r="A29" i="167"/>
  <c r="A28" i="167"/>
  <c r="A27" i="167"/>
  <c r="A26" i="167"/>
  <c r="A25" i="167"/>
  <c r="A24" i="167"/>
  <c r="A23" i="167"/>
  <c r="A22" i="167"/>
  <c r="A21" i="167"/>
  <c r="A20" i="167"/>
  <c r="A19" i="167"/>
  <c r="A18" i="167"/>
  <c r="A17" i="167"/>
  <c r="A16" i="167"/>
  <c r="A15" i="167"/>
  <c r="A14" i="167"/>
  <c r="A13" i="167"/>
  <c r="A12" i="167"/>
  <c r="A11" i="167"/>
  <c r="A10" i="167"/>
  <c r="A9" i="167"/>
  <c r="A8" i="167"/>
  <c r="A7" i="167"/>
  <c r="A6" i="167"/>
  <c r="A5" i="167"/>
  <c r="E4" i="167"/>
  <c r="F4" i="167"/>
  <c r="G4" i="167"/>
  <c r="H4" i="167"/>
  <c r="I4" i="167"/>
  <c r="J4" i="167"/>
  <c r="D195" i="167"/>
  <c r="H195" i="167"/>
  <c r="V63" i="31"/>
  <c r="V65" i="31"/>
  <c r="I188" i="167"/>
  <c r="V53" i="31"/>
  <c r="V61" i="31"/>
  <c r="T78" i="131"/>
  <c r="V51" i="31"/>
  <c r="K4" i="167"/>
  <c r="L4" i="167"/>
  <c r="M4" i="167"/>
  <c r="N4" i="167"/>
  <c r="O4" i="167"/>
  <c r="P4" i="167"/>
  <c r="AM9" i="33"/>
  <c r="AM11" i="33"/>
  <c r="AM17" i="33"/>
  <c r="AM19" i="33"/>
  <c r="AM27" i="33"/>
  <c r="AM37" i="33"/>
  <c r="AM39" i="33"/>
  <c r="AM41" i="33"/>
  <c r="AM47" i="33"/>
  <c r="AM49" i="33"/>
  <c r="AM51" i="33"/>
  <c r="AM57" i="33"/>
  <c r="AM61" i="33"/>
  <c r="AM67" i="33"/>
  <c r="AM69" i="33"/>
  <c r="AM71" i="33"/>
  <c r="AM73" i="33"/>
  <c r="AM75" i="33"/>
  <c r="T78" i="126"/>
  <c r="T78" i="145"/>
  <c r="V19" i="31"/>
  <c r="V21" i="31"/>
  <c r="V23" i="31"/>
  <c r="V33" i="31"/>
  <c r="V41" i="31"/>
  <c r="V45" i="31"/>
  <c r="I119" i="167"/>
  <c r="AM59" i="33"/>
  <c r="AM31" i="33"/>
  <c r="AM29" i="33"/>
  <c r="AM21" i="33"/>
  <c r="N74" i="167"/>
  <c r="T79" i="118"/>
  <c r="T79" i="129"/>
  <c r="T79" i="125"/>
  <c r="W20" i="31"/>
  <c r="W22" i="31"/>
  <c r="W24" i="31"/>
  <c r="W28" i="31"/>
  <c r="W30" i="31"/>
  <c r="W34" i="31"/>
  <c r="W36" i="31"/>
  <c r="W42" i="31"/>
  <c r="W44" i="31"/>
  <c r="W46" i="31"/>
  <c r="W48" i="31"/>
  <c r="W50" i="31"/>
  <c r="W52" i="31"/>
  <c r="W54" i="31"/>
  <c r="W56" i="31"/>
  <c r="W60" i="31"/>
  <c r="W62" i="31"/>
  <c r="W68" i="31"/>
  <c r="W70" i="31"/>
  <c r="W72" i="31"/>
  <c r="T79" i="117"/>
  <c r="T79" i="127"/>
  <c r="W13" i="31"/>
  <c r="W15" i="31"/>
  <c r="W21" i="31"/>
  <c r="W23" i="31"/>
  <c r="W29" i="31"/>
  <c r="W33" i="31"/>
  <c r="W35" i="31"/>
  <c r="W37" i="31"/>
  <c r="W45" i="31"/>
  <c r="W49" i="31"/>
  <c r="W51" i="31"/>
  <c r="W53" i="31"/>
  <c r="W55" i="31"/>
  <c r="W61" i="31"/>
  <c r="W63" i="31"/>
  <c r="W65" i="31"/>
  <c r="W67" i="31"/>
  <c r="W71" i="31"/>
  <c r="Z6" i="46"/>
  <c r="Z14" i="46"/>
  <c r="Z15" i="46"/>
  <c r="O97" i="167"/>
  <c r="P81" i="113"/>
  <c r="T81" i="113"/>
  <c r="O99" i="167"/>
  <c r="P81" i="115"/>
  <c r="T81" i="115"/>
  <c r="O101" i="167"/>
  <c r="P81" i="118"/>
  <c r="T81" i="118"/>
  <c r="O103" i="167"/>
  <c r="P81" i="116"/>
  <c r="T81" i="116"/>
  <c r="O105" i="167"/>
  <c r="P81" i="126"/>
  <c r="T81" i="126"/>
  <c r="O107" i="167"/>
  <c r="P81" i="129"/>
  <c r="T81" i="129"/>
  <c r="O109" i="167"/>
  <c r="P81" i="131"/>
  <c r="T81" i="131"/>
  <c r="O111" i="167"/>
  <c r="P81" i="125"/>
  <c r="T81" i="125"/>
  <c r="T13" i="31"/>
  <c r="T15" i="31"/>
  <c r="T19" i="31"/>
  <c r="T21" i="31"/>
  <c r="T23" i="31"/>
  <c r="T27" i="31"/>
  <c r="T29" i="31"/>
  <c r="T31" i="31"/>
  <c r="T33" i="31"/>
  <c r="T35" i="31"/>
  <c r="T37" i="31"/>
  <c r="T39" i="31"/>
  <c r="T41" i="31"/>
  <c r="T43" i="31"/>
  <c r="T45" i="31"/>
  <c r="T47" i="31"/>
  <c r="T49" i="31"/>
  <c r="T51" i="31"/>
  <c r="T53" i="31"/>
  <c r="T55" i="31"/>
  <c r="T57" i="31"/>
  <c r="T59" i="31"/>
  <c r="T61" i="31"/>
  <c r="T63" i="31"/>
  <c r="T65" i="31"/>
  <c r="T67" i="31"/>
  <c r="T69" i="31"/>
  <c r="T71" i="31"/>
  <c r="N191" i="167"/>
  <c r="P6" i="5"/>
  <c r="O96" i="167"/>
  <c r="P82" i="114"/>
  <c r="T82" i="114"/>
  <c r="O98" i="167"/>
  <c r="Q81" i="76"/>
  <c r="U81" i="76"/>
  <c r="O100" i="167"/>
  <c r="Q81" i="80"/>
  <c r="U81" i="80"/>
  <c r="O102" i="167"/>
  <c r="P81" i="117"/>
  <c r="T81" i="117"/>
  <c r="O104" i="167"/>
  <c r="P81" i="119"/>
  <c r="T81" i="119"/>
  <c r="O106" i="167"/>
  <c r="P81" i="127"/>
  <c r="T81" i="127"/>
  <c r="O110" i="167"/>
  <c r="P81" i="128"/>
  <c r="T81" i="128"/>
  <c r="T14" i="31"/>
  <c r="T16" i="31"/>
  <c r="T20" i="31"/>
  <c r="T22" i="31"/>
  <c r="T24" i="31"/>
  <c r="T28" i="31"/>
  <c r="T30" i="31"/>
  <c r="T32" i="31"/>
  <c r="T34" i="31"/>
  <c r="T36" i="31"/>
  <c r="T38" i="31"/>
  <c r="T40" i="31"/>
  <c r="T42" i="31"/>
  <c r="T44" i="31"/>
  <c r="T46" i="31"/>
  <c r="T48" i="31"/>
  <c r="T50" i="31"/>
  <c r="T52" i="31"/>
  <c r="T54" i="31"/>
  <c r="T56" i="31"/>
  <c r="T58" i="31"/>
  <c r="T60" i="31"/>
  <c r="T62" i="31"/>
  <c r="T64" i="31"/>
  <c r="T68" i="31"/>
  <c r="T70" i="31"/>
  <c r="T72" i="31"/>
  <c r="N188" i="167"/>
  <c r="AM63" i="33"/>
  <c r="AM53" i="33"/>
  <c r="AM33" i="33"/>
  <c r="AM23" i="33"/>
  <c r="P185" i="167"/>
  <c r="P184" i="167"/>
  <c r="V55" i="31"/>
  <c r="P154" i="167"/>
  <c r="V43" i="31"/>
  <c r="P142" i="167"/>
  <c r="V31" i="31"/>
  <c r="V35" i="31"/>
  <c r="P134" i="167"/>
  <c r="S12" i="31"/>
  <c r="S73" i="31"/>
  <c r="I178" i="167"/>
  <c r="P122" i="167"/>
  <c r="P124" i="167"/>
  <c r="P115" i="167"/>
  <c r="P117" i="167"/>
  <c r="T78" i="113"/>
  <c r="AM65" i="33"/>
  <c r="AM55" i="33"/>
  <c r="G74" i="167"/>
  <c r="AM43" i="33"/>
  <c r="AM45" i="33"/>
  <c r="AM35" i="33"/>
  <c r="AM25" i="33"/>
  <c r="AM13" i="33"/>
  <c r="AM15" i="33"/>
  <c r="U77" i="76"/>
  <c r="AK77" i="76"/>
  <c r="Q77" i="76"/>
  <c r="Q77" i="80"/>
  <c r="U77" i="80"/>
  <c r="AK77" i="80"/>
  <c r="I78" i="167"/>
  <c r="I92" i="167"/>
  <c r="T77" i="113"/>
  <c r="P77" i="113"/>
  <c r="I74" i="167"/>
  <c r="AM8" i="33"/>
  <c r="AM10" i="33"/>
  <c r="AM12" i="33"/>
  <c r="AM14" i="33"/>
  <c r="AM16" i="33"/>
  <c r="AM18" i="33"/>
  <c r="AM20" i="33"/>
  <c r="AM22" i="33"/>
  <c r="AM24" i="33"/>
  <c r="AM26" i="33"/>
  <c r="AM28" i="33"/>
  <c r="AM30" i="33"/>
  <c r="AM32" i="33"/>
  <c r="AM34" i="33"/>
  <c r="AM36" i="33"/>
  <c r="AM38" i="33"/>
  <c r="AM40" i="33"/>
  <c r="AM42" i="33"/>
  <c r="AM44" i="33"/>
  <c r="AM46" i="33"/>
  <c r="AM48" i="33"/>
  <c r="AM50" i="33"/>
  <c r="AM52" i="33"/>
  <c r="AM54" i="33"/>
  <c r="AM56" i="33"/>
  <c r="AM58" i="33"/>
  <c r="AM60" i="33"/>
  <c r="AM62" i="33"/>
  <c r="AM64" i="33"/>
  <c r="AM66" i="33"/>
  <c r="AM68" i="33"/>
  <c r="AM70" i="33"/>
  <c r="AM72" i="33"/>
  <c r="AM74" i="33"/>
  <c r="O7" i="5"/>
  <c r="U6" i="5"/>
  <c r="G82" i="167"/>
  <c r="N82" i="167"/>
  <c r="N77" i="140"/>
  <c r="R77" i="140"/>
  <c r="T77" i="148"/>
  <c r="P77" i="148"/>
  <c r="T77" i="115"/>
  <c r="P77" i="115"/>
  <c r="P77" i="118"/>
  <c r="T77" i="118"/>
  <c r="P77" i="116"/>
  <c r="T77" i="116"/>
  <c r="P77" i="126"/>
  <c r="T77" i="126"/>
  <c r="P106" i="167"/>
  <c r="T77" i="129"/>
  <c r="P77" i="129"/>
  <c r="P108" i="167"/>
  <c r="P77" i="131"/>
  <c r="T77" i="131"/>
  <c r="T78" i="128"/>
  <c r="T77" i="125"/>
  <c r="P77" i="125"/>
  <c r="P112" i="167"/>
  <c r="T77" i="145"/>
  <c r="P77" i="145"/>
  <c r="P114" i="167"/>
  <c r="T77" i="153"/>
  <c r="P77" i="153"/>
  <c r="T77" i="151"/>
  <c r="P77" i="151"/>
  <c r="P118" i="167"/>
  <c r="G178" i="167"/>
  <c r="P127" i="167"/>
  <c r="P129" i="167"/>
  <c r="P131" i="167"/>
  <c r="P133" i="167"/>
  <c r="P135" i="167"/>
  <c r="P139" i="167"/>
  <c r="P141" i="167"/>
  <c r="P147" i="167"/>
  <c r="P149" i="167"/>
  <c r="P151" i="167"/>
  <c r="P153" i="167"/>
  <c r="P155" i="167"/>
  <c r="P157" i="167"/>
  <c r="P159" i="167"/>
  <c r="V64" i="31"/>
  <c r="P171" i="167"/>
  <c r="P173" i="167"/>
  <c r="P175" i="167"/>
  <c r="G188" i="167"/>
  <c r="P183" i="167"/>
  <c r="P186" i="167"/>
  <c r="S14" i="46"/>
  <c r="S15" i="46"/>
  <c r="M76" i="67"/>
  <c r="I76" i="67"/>
  <c r="R77" i="141"/>
  <c r="N77" i="141"/>
  <c r="P77" i="120"/>
  <c r="T77" i="120"/>
  <c r="T78" i="148"/>
  <c r="P78" i="114"/>
  <c r="T78" i="114"/>
  <c r="T78" i="115"/>
  <c r="T78" i="118"/>
  <c r="T77" i="117"/>
  <c r="P77" i="117"/>
  <c r="T78" i="116"/>
  <c r="T77" i="119"/>
  <c r="P77" i="119"/>
  <c r="T77" i="127"/>
  <c r="P77" i="127"/>
  <c r="T78" i="129"/>
  <c r="T77" i="147"/>
  <c r="P77" i="147"/>
  <c r="P77" i="128"/>
  <c r="T77" i="128"/>
  <c r="T77" i="144"/>
  <c r="P77" i="144"/>
  <c r="T77" i="146"/>
  <c r="P77" i="146"/>
  <c r="T78" i="153"/>
  <c r="T77" i="149"/>
  <c r="P77" i="149"/>
  <c r="T77" i="152"/>
  <c r="P77" i="152"/>
  <c r="S6" i="46"/>
  <c r="S12" i="46"/>
  <c r="Y9" i="46"/>
  <c r="Y11" i="46"/>
  <c r="M77" i="67"/>
  <c r="N78" i="167"/>
  <c r="N92" i="167"/>
  <c r="O94" i="167"/>
  <c r="P81" i="120"/>
  <c r="T81" i="120"/>
  <c r="P5" i="5"/>
  <c r="T6" i="46"/>
  <c r="AM7" i="33"/>
  <c r="G119" i="167"/>
  <c r="U5" i="5"/>
  <c r="U7" i="5"/>
  <c r="R78" i="141"/>
  <c r="N178" i="167"/>
  <c r="T12" i="31"/>
  <c r="T73" i="31"/>
  <c r="P161" i="167"/>
  <c r="T14" i="46"/>
  <c r="N81" i="140"/>
  <c r="R81" i="140"/>
  <c r="N81" i="141"/>
  <c r="R81" i="141"/>
  <c r="AM76" i="33"/>
  <c r="P102" i="167"/>
  <c r="P78" i="117"/>
  <c r="R78" i="117"/>
  <c r="S78" i="117"/>
  <c r="Y8" i="46"/>
  <c r="T78" i="151"/>
  <c r="P172" i="167"/>
  <c r="P170" i="167"/>
  <c r="P166" i="167"/>
  <c r="P165" i="167"/>
  <c r="P168" i="167"/>
  <c r="Y14" i="46"/>
  <c r="Y15" i="46"/>
  <c r="P190" i="167"/>
  <c r="P84" i="167"/>
  <c r="V62" i="31"/>
  <c r="P167" i="167"/>
  <c r="T78" i="120"/>
  <c r="P94" i="167"/>
  <c r="P89" i="167"/>
  <c r="P85" i="167"/>
  <c r="I195" i="167"/>
  <c r="P140" i="167"/>
  <c r="P128" i="167"/>
  <c r="P101" i="167"/>
  <c r="T78" i="125"/>
  <c r="P111" i="167"/>
  <c r="P160" i="167"/>
  <c r="Y6" i="46"/>
  <c r="P182" i="167"/>
  <c r="V12" i="31"/>
  <c r="P121" i="167"/>
  <c r="V72" i="31"/>
  <c r="P177" i="167"/>
  <c r="P91" i="167"/>
  <c r="V27" i="31"/>
  <c r="P132" i="167"/>
  <c r="P90" i="167"/>
  <c r="P86" i="167"/>
  <c r="P150" i="167"/>
  <c r="P138" i="167"/>
  <c r="P130" i="167"/>
  <c r="P107" i="167"/>
  <c r="V71" i="31"/>
  <c r="P176" i="167"/>
  <c r="P156" i="167"/>
  <c r="P158" i="167"/>
  <c r="AK81" i="80"/>
  <c r="T12" i="46"/>
  <c r="G195" i="167"/>
  <c r="N195" i="167"/>
  <c r="W12" i="31"/>
  <c r="T79" i="120"/>
  <c r="S74" i="31"/>
  <c r="V70" i="31"/>
  <c r="V66" i="31"/>
  <c r="V69" i="31"/>
  <c r="V68" i="31"/>
  <c r="V67" i="31"/>
  <c r="V56" i="31"/>
  <c r="V58" i="31"/>
  <c r="V59" i="31"/>
  <c r="V60" i="31"/>
  <c r="V57" i="31"/>
  <c r="V52" i="31"/>
  <c r="V54" i="31"/>
  <c r="V48" i="31"/>
  <c r="V49" i="31"/>
  <c r="V50" i="31"/>
  <c r="V46" i="31"/>
  <c r="V47" i="31"/>
  <c r="V44" i="31"/>
  <c r="V42" i="31"/>
  <c r="V40" i="31"/>
  <c r="V36" i="31"/>
  <c r="V39" i="31"/>
  <c r="V38" i="31"/>
  <c r="V37" i="31"/>
  <c r="V32" i="31"/>
  <c r="V34" i="31"/>
  <c r="V28" i="31"/>
  <c r="V29" i="31"/>
  <c r="V30" i="31"/>
  <c r="V24" i="31"/>
  <c r="V22" i="31"/>
  <c r="V20" i="31"/>
  <c r="V16" i="31"/>
  <c r="V13" i="31"/>
  <c r="V14" i="31"/>
  <c r="V15" i="31"/>
  <c r="U78" i="76"/>
  <c r="AK78" i="76"/>
  <c r="U78" i="80"/>
  <c r="AK78" i="80"/>
  <c r="S17" i="46"/>
  <c r="T15" i="46"/>
  <c r="T78" i="149"/>
  <c r="T78" i="144"/>
  <c r="T78" i="147"/>
  <c r="T78" i="119"/>
  <c r="T79" i="114"/>
  <c r="Y10" i="46"/>
  <c r="Y7" i="46"/>
  <c r="T78" i="152"/>
  <c r="T78" i="146"/>
  <c r="T78" i="127"/>
  <c r="T78" i="117"/>
  <c r="P7" i="5"/>
  <c r="P191" i="167"/>
  <c r="V73" i="31"/>
  <c r="V74" i="31"/>
  <c r="T74" i="31"/>
  <c r="AK81" i="76"/>
  <c r="Y12" i="46"/>
  <c r="Y17" i="46"/>
  <c r="T17" i="46"/>
  <c r="AJ81" i="114"/>
  <c r="AJ78" i="114"/>
  <c r="AJ80" i="116"/>
  <c r="AJ77" i="116"/>
  <c r="AJ81" i="117"/>
  <c r="AJ80" i="117"/>
  <c r="AJ79" i="117"/>
  <c r="AJ78" i="117"/>
  <c r="AJ77" i="117"/>
  <c r="AJ81" i="118"/>
  <c r="AJ80" i="118"/>
  <c r="AJ79" i="118"/>
  <c r="AJ78" i="118"/>
  <c r="AJ77" i="118"/>
  <c r="AJ81" i="119"/>
  <c r="AJ80" i="119"/>
  <c r="AJ78" i="119"/>
  <c r="AJ77" i="119"/>
  <c r="AJ81" i="120"/>
  <c r="AJ80" i="120"/>
  <c r="AJ79" i="120"/>
  <c r="AJ78" i="120"/>
  <c r="AJ77" i="120"/>
  <c r="AJ81" i="125"/>
  <c r="AJ80" i="125"/>
  <c r="AJ79" i="125"/>
  <c r="AJ78" i="125"/>
  <c r="AJ77" i="125"/>
  <c r="AJ81" i="126"/>
  <c r="AJ80" i="126"/>
  <c r="AJ78" i="126"/>
  <c r="AJ77" i="126"/>
  <c r="AJ81" i="127"/>
  <c r="AJ80" i="127"/>
  <c r="AJ79" i="127"/>
  <c r="AJ78" i="127"/>
  <c r="AJ77" i="127"/>
  <c r="AJ81" i="128"/>
  <c r="AJ80" i="128"/>
  <c r="AJ78" i="128"/>
  <c r="AJ77" i="128"/>
  <c r="AJ81" i="129"/>
  <c r="AJ80" i="129"/>
  <c r="AJ79" i="129"/>
  <c r="AJ78" i="129"/>
  <c r="AJ77" i="129"/>
  <c r="AJ81" i="131"/>
  <c r="AJ80" i="131"/>
  <c r="AJ78" i="131"/>
  <c r="AJ77" i="131"/>
  <c r="AJ81" i="144"/>
  <c r="AJ80" i="144"/>
  <c r="AJ79" i="144"/>
  <c r="AJ78" i="144"/>
  <c r="AJ77" i="144"/>
  <c r="AJ81" i="145"/>
  <c r="AJ80" i="145"/>
  <c r="AJ78" i="145"/>
  <c r="AJ77" i="145"/>
  <c r="AJ81" i="146"/>
  <c r="AJ80" i="146"/>
  <c r="AJ79" i="146"/>
  <c r="AJ78" i="146"/>
  <c r="AJ77" i="146"/>
  <c r="AJ81" i="147"/>
  <c r="AJ80" i="147"/>
  <c r="AJ79" i="147"/>
  <c r="AJ78" i="147"/>
  <c r="AJ77" i="147"/>
  <c r="AJ81" i="148"/>
  <c r="AJ80" i="148"/>
  <c r="AJ78" i="148"/>
  <c r="AJ77" i="148"/>
  <c r="AJ81" i="149"/>
  <c r="AJ80" i="149"/>
  <c r="AJ78" i="149"/>
  <c r="AJ77" i="149"/>
  <c r="AJ81" i="151"/>
  <c r="AJ80" i="151"/>
  <c r="AJ79" i="151"/>
  <c r="AJ78" i="151"/>
  <c r="AJ77" i="151"/>
  <c r="AJ81" i="152"/>
  <c r="AJ80" i="152"/>
  <c r="AJ79" i="152"/>
  <c r="AJ78" i="152"/>
  <c r="AJ77" i="152"/>
  <c r="AJ81" i="153"/>
  <c r="AJ80" i="153"/>
  <c r="AJ79" i="153"/>
  <c r="AJ78" i="153"/>
  <c r="AJ77" i="153"/>
  <c r="AJ80" i="115"/>
  <c r="AJ77" i="115"/>
  <c r="Y79" i="67"/>
  <c r="Y78" i="67"/>
  <c r="Y77" i="67"/>
  <c r="X79" i="67"/>
  <c r="X76" i="67"/>
  <c r="AJ80" i="113"/>
  <c r="AJ77" i="113"/>
  <c r="AJ78" i="113"/>
  <c r="C75" i="140"/>
  <c r="C74" i="140"/>
  <c r="C73" i="140"/>
  <c r="C72" i="140"/>
  <c r="C71" i="140"/>
  <c r="C70" i="140"/>
  <c r="C69" i="140"/>
  <c r="C68" i="140"/>
  <c r="C67" i="140"/>
  <c r="C66" i="140"/>
  <c r="C65" i="140"/>
  <c r="C64" i="140"/>
  <c r="C63" i="140"/>
  <c r="C62" i="140"/>
  <c r="C61" i="140"/>
  <c r="C60" i="140"/>
  <c r="C59" i="140"/>
  <c r="C58" i="140"/>
  <c r="C57" i="140"/>
  <c r="C56" i="140"/>
  <c r="C55" i="140"/>
  <c r="C54" i="140"/>
  <c r="C53" i="140"/>
  <c r="C52" i="140"/>
  <c r="C51" i="140"/>
  <c r="C50" i="140"/>
  <c r="C49" i="140"/>
  <c r="C48" i="140"/>
  <c r="C47" i="140"/>
  <c r="C46" i="140"/>
  <c r="C45" i="140"/>
  <c r="C44" i="140"/>
  <c r="C43" i="140"/>
  <c r="C42" i="140"/>
  <c r="C41" i="140"/>
  <c r="C40" i="140"/>
  <c r="C39" i="140"/>
  <c r="C38" i="140"/>
  <c r="C37" i="140"/>
  <c r="C36" i="140"/>
  <c r="C35" i="140"/>
  <c r="C34" i="140"/>
  <c r="C33" i="140"/>
  <c r="C32" i="140"/>
  <c r="C31" i="140"/>
  <c r="C30" i="140"/>
  <c r="C29" i="140"/>
  <c r="C28" i="140"/>
  <c r="C27" i="140"/>
  <c r="C26" i="140"/>
  <c r="C25" i="140"/>
  <c r="C24" i="140"/>
  <c r="C23" i="140"/>
  <c r="C22" i="140"/>
  <c r="C21" i="140"/>
  <c r="C20" i="140"/>
  <c r="C19" i="140"/>
  <c r="C18" i="140"/>
  <c r="C17" i="140"/>
  <c r="C16" i="140"/>
  <c r="C15" i="140"/>
  <c r="C14" i="140"/>
  <c r="C13" i="140"/>
  <c r="C12" i="140"/>
  <c r="C11" i="140"/>
  <c r="C10" i="140"/>
  <c r="C9" i="140"/>
  <c r="C8" i="140"/>
  <c r="C7" i="140"/>
  <c r="C75" i="141"/>
  <c r="C74" i="141"/>
  <c r="C73" i="141"/>
  <c r="C72" i="141"/>
  <c r="C71" i="141"/>
  <c r="C70" i="141"/>
  <c r="C69" i="141"/>
  <c r="C68" i="141"/>
  <c r="C67" i="141"/>
  <c r="C66" i="141"/>
  <c r="C65" i="141"/>
  <c r="C64" i="141"/>
  <c r="C63" i="141"/>
  <c r="C62" i="141"/>
  <c r="C61" i="141"/>
  <c r="C60" i="141"/>
  <c r="C59" i="141"/>
  <c r="C58" i="141"/>
  <c r="C57" i="141"/>
  <c r="C56" i="141"/>
  <c r="C55" i="141"/>
  <c r="C54" i="141"/>
  <c r="C53" i="141"/>
  <c r="C52" i="141"/>
  <c r="C51" i="141"/>
  <c r="C50" i="141"/>
  <c r="C49" i="141"/>
  <c r="C48" i="141"/>
  <c r="C47" i="141"/>
  <c r="C46" i="141"/>
  <c r="C45" i="141"/>
  <c r="C44" i="141"/>
  <c r="C43" i="141"/>
  <c r="C42" i="141"/>
  <c r="C41" i="141"/>
  <c r="C40" i="141"/>
  <c r="C39" i="141"/>
  <c r="C38" i="141"/>
  <c r="C37" i="141"/>
  <c r="C36" i="141"/>
  <c r="C35" i="141"/>
  <c r="C34" i="141"/>
  <c r="C33" i="141"/>
  <c r="C32" i="141"/>
  <c r="C31" i="141"/>
  <c r="C30" i="141"/>
  <c r="C29" i="141"/>
  <c r="C28" i="141"/>
  <c r="C27" i="141"/>
  <c r="C26" i="141"/>
  <c r="C25" i="141"/>
  <c r="C24" i="141"/>
  <c r="C23" i="141"/>
  <c r="C22" i="141"/>
  <c r="C21" i="141"/>
  <c r="C20" i="141"/>
  <c r="C19" i="141"/>
  <c r="C18" i="141"/>
  <c r="C17" i="141"/>
  <c r="C16" i="141"/>
  <c r="C15" i="141"/>
  <c r="C14" i="141"/>
  <c r="C13" i="141"/>
  <c r="C12" i="141"/>
  <c r="C11" i="141"/>
  <c r="C10" i="141"/>
  <c r="C9" i="141"/>
  <c r="C8" i="141"/>
  <c r="C7" i="141"/>
  <c r="F23" i="145"/>
  <c r="F23" i="144"/>
  <c r="F23" i="146"/>
  <c r="F23" i="147"/>
  <c r="F23" i="149"/>
  <c r="F23" i="152"/>
  <c r="F23" i="148"/>
  <c r="F23" i="151"/>
  <c r="F23" i="153"/>
  <c r="F45" i="144"/>
  <c r="F45" i="146"/>
  <c r="F45" i="145"/>
  <c r="F45" i="148"/>
  <c r="F45" i="151"/>
  <c r="F45" i="153"/>
  <c r="F45" i="147"/>
  <c r="F45" i="149"/>
  <c r="F45" i="152"/>
  <c r="AE55" i="119"/>
  <c r="C75" i="80"/>
  <c r="C74" i="80"/>
  <c r="C73" i="80"/>
  <c r="C72" i="80"/>
  <c r="C71" i="80"/>
  <c r="C70" i="80"/>
  <c r="C69" i="80"/>
  <c r="C68" i="80"/>
  <c r="C67" i="80"/>
  <c r="C66" i="80"/>
  <c r="C65" i="80"/>
  <c r="C64" i="80"/>
  <c r="C63" i="80"/>
  <c r="C62" i="80"/>
  <c r="C61" i="80"/>
  <c r="C60" i="80"/>
  <c r="C59" i="80"/>
  <c r="C58" i="80"/>
  <c r="C57" i="80"/>
  <c r="C56" i="80"/>
  <c r="C55" i="80"/>
  <c r="C54" i="80"/>
  <c r="C53" i="80"/>
  <c r="C52" i="80"/>
  <c r="C51" i="80"/>
  <c r="C50" i="80"/>
  <c r="C49" i="80"/>
  <c r="C48" i="80"/>
  <c r="C47" i="80"/>
  <c r="C46" i="80"/>
  <c r="C45" i="80"/>
  <c r="C44" i="80"/>
  <c r="C43" i="80"/>
  <c r="C42" i="80"/>
  <c r="C41" i="80"/>
  <c r="C40" i="80"/>
  <c r="C39" i="80"/>
  <c r="C38" i="80"/>
  <c r="C37" i="80"/>
  <c r="C36" i="80"/>
  <c r="C35" i="80"/>
  <c r="C34" i="80"/>
  <c r="C33" i="80"/>
  <c r="C32" i="80"/>
  <c r="C31" i="80"/>
  <c r="C30" i="80"/>
  <c r="C29" i="80"/>
  <c r="C28" i="80"/>
  <c r="C27" i="80"/>
  <c r="C26" i="80"/>
  <c r="C25" i="80"/>
  <c r="C24" i="80"/>
  <c r="C23" i="80"/>
  <c r="C22" i="80"/>
  <c r="C21" i="80"/>
  <c r="C20" i="80"/>
  <c r="C19" i="80"/>
  <c r="C18" i="80"/>
  <c r="C17" i="80"/>
  <c r="C16" i="80"/>
  <c r="C15" i="80"/>
  <c r="C14" i="80"/>
  <c r="C13" i="80"/>
  <c r="C12" i="80"/>
  <c r="C11" i="80"/>
  <c r="C10" i="80"/>
  <c r="C9" i="80"/>
  <c r="C8" i="80"/>
  <c r="C7" i="80"/>
  <c r="C75" i="76"/>
  <c r="C74" i="76"/>
  <c r="C73" i="76"/>
  <c r="C72" i="76"/>
  <c r="C71" i="76"/>
  <c r="C70" i="76"/>
  <c r="C69" i="76"/>
  <c r="C68" i="76"/>
  <c r="C67" i="76"/>
  <c r="C66" i="76"/>
  <c r="C65" i="76"/>
  <c r="C64" i="76"/>
  <c r="C63" i="76"/>
  <c r="C62" i="76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76" i="76"/>
  <c r="C75" i="131"/>
  <c r="C74" i="131"/>
  <c r="C73" i="131"/>
  <c r="C72" i="131"/>
  <c r="C71" i="131"/>
  <c r="C70" i="131"/>
  <c r="C69" i="131"/>
  <c r="C68" i="131"/>
  <c r="C67" i="131"/>
  <c r="C66" i="131"/>
  <c r="C65" i="131"/>
  <c r="C64" i="131"/>
  <c r="C63" i="131"/>
  <c r="C62" i="131"/>
  <c r="C61" i="131"/>
  <c r="C60" i="131"/>
  <c r="C59" i="131"/>
  <c r="C58" i="131"/>
  <c r="C57" i="131"/>
  <c r="C56" i="131"/>
  <c r="C55" i="131"/>
  <c r="C54" i="131"/>
  <c r="C53" i="131"/>
  <c r="C52" i="131"/>
  <c r="C51" i="131"/>
  <c r="C50" i="131"/>
  <c r="C49" i="131"/>
  <c r="C48" i="131"/>
  <c r="C47" i="131"/>
  <c r="C46" i="131"/>
  <c r="C45" i="131"/>
  <c r="C44" i="131"/>
  <c r="C43" i="131"/>
  <c r="C42" i="131"/>
  <c r="C41" i="131"/>
  <c r="C40" i="131"/>
  <c r="C39" i="131"/>
  <c r="C38" i="131"/>
  <c r="C37" i="131"/>
  <c r="C36" i="131"/>
  <c r="C35" i="131"/>
  <c r="C34" i="131"/>
  <c r="C33" i="131"/>
  <c r="C32" i="131"/>
  <c r="C31" i="131"/>
  <c r="C30" i="131"/>
  <c r="C29" i="131"/>
  <c r="C28" i="131"/>
  <c r="C27" i="131"/>
  <c r="C26" i="131"/>
  <c r="C25" i="131"/>
  <c r="C24" i="131"/>
  <c r="C23" i="131"/>
  <c r="C22" i="131"/>
  <c r="C21" i="131"/>
  <c r="C20" i="131"/>
  <c r="C19" i="131"/>
  <c r="C18" i="131"/>
  <c r="C17" i="131"/>
  <c r="C16" i="131"/>
  <c r="C15" i="131"/>
  <c r="C14" i="131"/>
  <c r="C13" i="131"/>
  <c r="C12" i="131"/>
  <c r="C11" i="131"/>
  <c r="C10" i="131"/>
  <c r="C9" i="131"/>
  <c r="C8" i="131"/>
  <c r="C7" i="131"/>
  <c r="C76" i="131"/>
  <c r="C75" i="129"/>
  <c r="C74" i="129"/>
  <c r="C73" i="129"/>
  <c r="C72" i="129"/>
  <c r="C71" i="129"/>
  <c r="C70" i="129"/>
  <c r="C69" i="129"/>
  <c r="C68" i="129"/>
  <c r="C67" i="129"/>
  <c r="C66" i="129"/>
  <c r="C65" i="129"/>
  <c r="C64" i="129"/>
  <c r="C63" i="129"/>
  <c r="C62" i="129"/>
  <c r="C61" i="129"/>
  <c r="C60" i="129"/>
  <c r="C59" i="129"/>
  <c r="C58" i="129"/>
  <c r="C57" i="129"/>
  <c r="C56" i="129"/>
  <c r="C55" i="129"/>
  <c r="C54" i="129"/>
  <c r="C53" i="129"/>
  <c r="C52" i="129"/>
  <c r="C51" i="129"/>
  <c r="C50" i="129"/>
  <c r="C49" i="129"/>
  <c r="C48" i="129"/>
  <c r="C47" i="129"/>
  <c r="C46" i="129"/>
  <c r="C45" i="129"/>
  <c r="C44" i="129"/>
  <c r="C43" i="129"/>
  <c r="C42" i="129"/>
  <c r="C41" i="129"/>
  <c r="C40" i="129"/>
  <c r="C39" i="129"/>
  <c r="C38" i="129"/>
  <c r="C37" i="129"/>
  <c r="C36" i="129"/>
  <c r="C35" i="129"/>
  <c r="C34" i="129"/>
  <c r="C33" i="129"/>
  <c r="C32" i="129"/>
  <c r="C31" i="129"/>
  <c r="C30" i="129"/>
  <c r="C29" i="129"/>
  <c r="C28" i="129"/>
  <c r="C27" i="129"/>
  <c r="C26" i="129"/>
  <c r="C25" i="129"/>
  <c r="C24" i="129"/>
  <c r="C23" i="129"/>
  <c r="C22" i="129"/>
  <c r="C21" i="129"/>
  <c r="C20" i="129"/>
  <c r="C19" i="129"/>
  <c r="C18" i="129"/>
  <c r="C17" i="129"/>
  <c r="C16" i="129"/>
  <c r="C15" i="129"/>
  <c r="C14" i="129"/>
  <c r="C13" i="129"/>
  <c r="C12" i="129"/>
  <c r="C11" i="129"/>
  <c r="C10" i="129"/>
  <c r="C9" i="129"/>
  <c r="C8" i="129"/>
  <c r="C7" i="129"/>
  <c r="C75" i="128"/>
  <c r="C74" i="128"/>
  <c r="C73" i="128"/>
  <c r="C72" i="128"/>
  <c r="C71" i="128"/>
  <c r="C70" i="128"/>
  <c r="C69" i="128"/>
  <c r="C68" i="128"/>
  <c r="C67" i="128"/>
  <c r="C66" i="128"/>
  <c r="C65" i="128"/>
  <c r="C64" i="128"/>
  <c r="C63" i="128"/>
  <c r="C62" i="128"/>
  <c r="C61" i="128"/>
  <c r="C60" i="128"/>
  <c r="C59" i="128"/>
  <c r="C58" i="128"/>
  <c r="C57" i="128"/>
  <c r="C56" i="128"/>
  <c r="C55" i="128"/>
  <c r="C54" i="128"/>
  <c r="C53" i="128"/>
  <c r="C52" i="128"/>
  <c r="C51" i="128"/>
  <c r="C50" i="128"/>
  <c r="C49" i="128"/>
  <c r="C48" i="128"/>
  <c r="C47" i="128"/>
  <c r="C46" i="128"/>
  <c r="C45" i="128"/>
  <c r="C44" i="128"/>
  <c r="C43" i="128"/>
  <c r="C42" i="128"/>
  <c r="C41" i="128"/>
  <c r="C40" i="128"/>
  <c r="C39" i="128"/>
  <c r="C38" i="128"/>
  <c r="C37" i="128"/>
  <c r="C36" i="128"/>
  <c r="C35" i="128"/>
  <c r="C34" i="128"/>
  <c r="C33" i="128"/>
  <c r="C32" i="128"/>
  <c r="C31" i="128"/>
  <c r="C30" i="128"/>
  <c r="C29" i="128"/>
  <c r="C28" i="128"/>
  <c r="C27" i="128"/>
  <c r="C26" i="128"/>
  <c r="C25" i="128"/>
  <c r="C24" i="128"/>
  <c r="C23" i="128"/>
  <c r="C22" i="128"/>
  <c r="C21" i="128"/>
  <c r="C20" i="128"/>
  <c r="C19" i="128"/>
  <c r="C18" i="128"/>
  <c r="C17" i="128"/>
  <c r="C16" i="128"/>
  <c r="C15" i="128"/>
  <c r="C14" i="128"/>
  <c r="C13" i="128"/>
  <c r="C12" i="128"/>
  <c r="C11" i="128"/>
  <c r="C10" i="128"/>
  <c r="C9" i="128"/>
  <c r="C8" i="128"/>
  <c r="C7" i="128"/>
  <c r="C75" i="127"/>
  <c r="C74" i="127"/>
  <c r="C73" i="127"/>
  <c r="C72" i="127"/>
  <c r="C71" i="127"/>
  <c r="C70" i="127"/>
  <c r="C69" i="127"/>
  <c r="C68" i="127"/>
  <c r="C67" i="127"/>
  <c r="C66" i="127"/>
  <c r="C65" i="127"/>
  <c r="C64" i="127"/>
  <c r="C63" i="127"/>
  <c r="C62" i="127"/>
  <c r="C61" i="127"/>
  <c r="C60" i="127"/>
  <c r="C59" i="127"/>
  <c r="C58" i="127"/>
  <c r="C57" i="127"/>
  <c r="C56" i="127"/>
  <c r="C55" i="127"/>
  <c r="C54" i="127"/>
  <c r="C53" i="127"/>
  <c r="C52" i="127"/>
  <c r="C51" i="127"/>
  <c r="C50" i="127"/>
  <c r="C49" i="127"/>
  <c r="C48" i="127"/>
  <c r="C47" i="127"/>
  <c r="C46" i="127"/>
  <c r="C45" i="127"/>
  <c r="C44" i="127"/>
  <c r="C43" i="127"/>
  <c r="C42" i="127"/>
  <c r="C41" i="127"/>
  <c r="C40" i="127"/>
  <c r="C39" i="127"/>
  <c r="C38" i="127"/>
  <c r="C37" i="127"/>
  <c r="C36" i="127"/>
  <c r="C35" i="127"/>
  <c r="C34" i="127"/>
  <c r="C33" i="127"/>
  <c r="C32" i="127"/>
  <c r="C31" i="127"/>
  <c r="C30" i="127"/>
  <c r="C29" i="127"/>
  <c r="C28" i="127"/>
  <c r="C27" i="127"/>
  <c r="C26" i="127"/>
  <c r="C25" i="127"/>
  <c r="C24" i="127"/>
  <c r="C23" i="127"/>
  <c r="C22" i="127"/>
  <c r="C21" i="127"/>
  <c r="C20" i="127"/>
  <c r="C19" i="127"/>
  <c r="C18" i="127"/>
  <c r="C17" i="127"/>
  <c r="C16" i="127"/>
  <c r="C15" i="127"/>
  <c r="C14" i="127"/>
  <c r="C13" i="127"/>
  <c r="C12" i="127"/>
  <c r="C11" i="127"/>
  <c r="C10" i="127"/>
  <c r="C9" i="127"/>
  <c r="C8" i="127"/>
  <c r="C7" i="127"/>
  <c r="C75" i="126"/>
  <c r="C74" i="126"/>
  <c r="C73" i="126"/>
  <c r="C72" i="126"/>
  <c r="C71" i="126"/>
  <c r="C70" i="126"/>
  <c r="C69" i="126"/>
  <c r="C68" i="126"/>
  <c r="C67" i="126"/>
  <c r="C66" i="126"/>
  <c r="C65" i="126"/>
  <c r="C64" i="126"/>
  <c r="C63" i="126"/>
  <c r="C62" i="126"/>
  <c r="C61" i="126"/>
  <c r="C60" i="126"/>
  <c r="C59" i="126"/>
  <c r="C58" i="126"/>
  <c r="C57" i="126"/>
  <c r="C56" i="126"/>
  <c r="C55" i="126"/>
  <c r="C54" i="126"/>
  <c r="C53" i="126"/>
  <c r="C52" i="126"/>
  <c r="C51" i="126"/>
  <c r="C50" i="126"/>
  <c r="C49" i="126"/>
  <c r="C48" i="126"/>
  <c r="C47" i="126"/>
  <c r="C46" i="126"/>
  <c r="C45" i="126"/>
  <c r="C44" i="126"/>
  <c r="C43" i="126"/>
  <c r="C42" i="126"/>
  <c r="C41" i="126"/>
  <c r="C40" i="126"/>
  <c r="C39" i="126"/>
  <c r="C38" i="126"/>
  <c r="C37" i="126"/>
  <c r="C36" i="126"/>
  <c r="C35" i="126"/>
  <c r="C34" i="126"/>
  <c r="C33" i="126"/>
  <c r="C32" i="126"/>
  <c r="C31" i="126"/>
  <c r="C30" i="126"/>
  <c r="C29" i="126"/>
  <c r="C28" i="126"/>
  <c r="C27" i="126"/>
  <c r="C26" i="126"/>
  <c r="C25" i="126"/>
  <c r="C24" i="126"/>
  <c r="C23" i="126"/>
  <c r="C22" i="126"/>
  <c r="C21" i="126"/>
  <c r="C20" i="126"/>
  <c r="C19" i="126"/>
  <c r="C18" i="126"/>
  <c r="C17" i="126"/>
  <c r="C16" i="126"/>
  <c r="C15" i="126"/>
  <c r="C14" i="126"/>
  <c r="C13" i="126"/>
  <c r="C12" i="126"/>
  <c r="C11" i="126"/>
  <c r="C10" i="126"/>
  <c r="C9" i="126"/>
  <c r="C8" i="126"/>
  <c r="C7" i="126"/>
  <c r="C75" i="125"/>
  <c r="C74" i="125"/>
  <c r="C73" i="125"/>
  <c r="C72" i="125"/>
  <c r="C71" i="125"/>
  <c r="C70" i="125"/>
  <c r="C69" i="125"/>
  <c r="C68" i="125"/>
  <c r="C67" i="125"/>
  <c r="C66" i="125"/>
  <c r="C65" i="125"/>
  <c r="C64" i="125"/>
  <c r="C63" i="125"/>
  <c r="C62" i="125"/>
  <c r="C61" i="125"/>
  <c r="C60" i="125"/>
  <c r="C59" i="125"/>
  <c r="C58" i="125"/>
  <c r="C57" i="125"/>
  <c r="C56" i="125"/>
  <c r="C55" i="125"/>
  <c r="C54" i="125"/>
  <c r="C53" i="125"/>
  <c r="C52" i="125"/>
  <c r="C51" i="125"/>
  <c r="C50" i="125"/>
  <c r="C49" i="125"/>
  <c r="C48" i="125"/>
  <c r="C47" i="125"/>
  <c r="C46" i="125"/>
  <c r="C45" i="125"/>
  <c r="C44" i="125"/>
  <c r="C43" i="125"/>
  <c r="C42" i="125"/>
  <c r="C41" i="125"/>
  <c r="C40" i="125"/>
  <c r="C39" i="125"/>
  <c r="C38" i="125"/>
  <c r="C37" i="125"/>
  <c r="C36" i="125"/>
  <c r="C35" i="125"/>
  <c r="C34" i="125"/>
  <c r="C33" i="125"/>
  <c r="C32" i="125"/>
  <c r="C31" i="125"/>
  <c r="C30" i="125"/>
  <c r="C29" i="125"/>
  <c r="C28" i="125"/>
  <c r="C27" i="125"/>
  <c r="C26" i="125"/>
  <c r="C25" i="125"/>
  <c r="C24" i="125"/>
  <c r="C23" i="125"/>
  <c r="C22" i="125"/>
  <c r="C21" i="125"/>
  <c r="C20" i="125"/>
  <c r="C19" i="125"/>
  <c r="C18" i="125"/>
  <c r="C17" i="125"/>
  <c r="C16" i="125"/>
  <c r="C15" i="125"/>
  <c r="C14" i="125"/>
  <c r="C13" i="125"/>
  <c r="C12" i="125"/>
  <c r="C11" i="125"/>
  <c r="C10" i="125"/>
  <c r="C9" i="125"/>
  <c r="C8" i="125"/>
  <c r="C7" i="125"/>
  <c r="C75" i="120"/>
  <c r="C74" i="120"/>
  <c r="C73" i="120"/>
  <c r="C72" i="120"/>
  <c r="C71" i="120"/>
  <c r="C70" i="120"/>
  <c r="C69" i="120"/>
  <c r="C68" i="120"/>
  <c r="C67" i="120"/>
  <c r="C66" i="120"/>
  <c r="C65" i="120"/>
  <c r="C64" i="120"/>
  <c r="C63" i="120"/>
  <c r="C62" i="120"/>
  <c r="C61" i="120"/>
  <c r="C60" i="120"/>
  <c r="C59" i="120"/>
  <c r="C58" i="120"/>
  <c r="C57" i="120"/>
  <c r="C56" i="120"/>
  <c r="C55" i="120"/>
  <c r="C54" i="120"/>
  <c r="C53" i="120"/>
  <c r="C52" i="120"/>
  <c r="C51" i="120"/>
  <c r="C50" i="120"/>
  <c r="C49" i="120"/>
  <c r="C48" i="120"/>
  <c r="C47" i="120"/>
  <c r="C46" i="120"/>
  <c r="C45" i="120"/>
  <c r="C44" i="120"/>
  <c r="C43" i="120"/>
  <c r="C42" i="120"/>
  <c r="C41" i="120"/>
  <c r="C40" i="120"/>
  <c r="C39" i="120"/>
  <c r="C38" i="120"/>
  <c r="C37" i="120"/>
  <c r="C36" i="120"/>
  <c r="C35" i="120"/>
  <c r="C34" i="120"/>
  <c r="C33" i="120"/>
  <c r="C32" i="120"/>
  <c r="C31" i="120"/>
  <c r="C30" i="120"/>
  <c r="C29" i="120"/>
  <c r="C28" i="120"/>
  <c r="C27" i="120"/>
  <c r="C26" i="120"/>
  <c r="C25" i="120"/>
  <c r="C24" i="120"/>
  <c r="C23" i="120"/>
  <c r="C22" i="120"/>
  <c r="C21" i="120"/>
  <c r="C20" i="120"/>
  <c r="C19" i="120"/>
  <c r="C18" i="120"/>
  <c r="C17" i="120"/>
  <c r="C16" i="120"/>
  <c r="C15" i="120"/>
  <c r="C14" i="120"/>
  <c r="C13" i="120"/>
  <c r="C12" i="120"/>
  <c r="C11" i="120"/>
  <c r="C10" i="120"/>
  <c r="C9" i="120"/>
  <c r="C8" i="120"/>
  <c r="C7" i="120"/>
  <c r="C75" i="119"/>
  <c r="C74" i="119"/>
  <c r="C73" i="119"/>
  <c r="C72" i="119"/>
  <c r="C71" i="119"/>
  <c r="C70" i="119"/>
  <c r="C69" i="119"/>
  <c r="C68" i="119"/>
  <c r="C67" i="119"/>
  <c r="C66" i="119"/>
  <c r="C65" i="119"/>
  <c r="C64" i="119"/>
  <c r="C63" i="119"/>
  <c r="C62" i="119"/>
  <c r="C61" i="119"/>
  <c r="C60" i="119"/>
  <c r="C59" i="119"/>
  <c r="C58" i="119"/>
  <c r="C57" i="119"/>
  <c r="C56" i="119"/>
  <c r="C55" i="119"/>
  <c r="C54" i="119"/>
  <c r="C53" i="119"/>
  <c r="C52" i="119"/>
  <c r="C51" i="119"/>
  <c r="C50" i="119"/>
  <c r="C49" i="119"/>
  <c r="C48" i="119"/>
  <c r="C47" i="119"/>
  <c r="C46" i="119"/>
  <c r="C45" i="119"/>
  <c r="C44" i="119"/>
  <c r="C43" i="119"/>
  <c r="C42" i="119"/>
  <c r="C41" i="119"/>
  <c r="C40" i="119"/>
  <c r="C39" i="119"/>
  <c r="C38" i="119"/>
  <c r="C37" i="119"/>
  <c r="C36" i="119"/>
  <c r="C35" i="119"/>
  <c r="C34" i="119"/>
  <c r="C33" i="119"/>
  <c r="C32" i="119"/>
  <c r="C31" i="119"/>
  <c r="C30" i="119"/>
  <c r="C29" i="119"/>
  <c r="C28" i="119"/>
  <c r="C27" i="119"/>
  <c r="C26" i="119"/>
  <c r="C25" i="119"/>
  <c r="C24" i="119"/>
  <c r="C23" i="119"/>
  <c r="C22" i="119"/>
  <c r="C21" i="119"/>
  <c r="C20" i="119"/>
  <c r="C19" i="119"/>
  <c r="C18" i="119"/>
  <c r="C17" i="119"/>
  <c r="C16" i="119"/>
  <c r="C15" i="119"/>
  <c r="C14" i="119"/>
  <c r="C13" i="119"/>
  <c r="C12" i="119"/>
  <c r="C11" i="119"/>
  <c r="C10" i="119"/>
  <c r="C9" i="119"/>
  <c r="C8" i="119"/>
  <c r="C7" i="119"/>
  <c r="C75" i="118"/>
  <c r="C74" i="118"/>
  <c r="C73" i="118"/>
  <c r="C72" i="118"/>
  <c r="C71" i="118"/>
  <c r="C70" i="118"/>
  <c r="C69" i="118"/>
  <c r="C68" i="118"/>
  <c r="C67" i="118"/>
  <c r="C66" i="118"/>
  <c r="C65" i="118"/>
  <c r="C64" i="118"/>
  <c r="C63" i="118"/>
  <c r="C62" i="118"/>
  <c r="C61" i="118"/>
  <c r="C60" i="118"/>
  <c r="C59" i="118"/>
  <c r="C58" i="118"/>
  <c r="C57" i="118"/>
  <c r="C56" i="118"/>
  <c r="C55" i="118"/>
  <c r="C54" i="118"/>
  <c r="C53" i="118"/>
  <c r="C52" i="118"/>
  <c r="C51" i="118"/>
  <c r="C50" i="118"/>
  <c r="C49" i="118"/>
  <c r="C48" i="118"/>
  <c r="C47" i="118"/>
  <c r="C46" i="118"/>
  <c r="C45" i="118"/>
  <c r="C44" i="118"/>
  <c r="C43" i="118"/>
  <c r="C42" i="118"/>
  <c r="C41" i="118"/>
  <c r="C40" i="118"/>
  <c r="C39" i="118"/>
  <c r="C38" i="118"/>
  <c r="C37" i="118"/>
  <c r="C36" i="118"/>
  <c r="C35" i="118"/>
  <c r="C34" i="118"/>
  <c r="C33" i="118"/>
  <c r="C32" i="118"/>
  <c r="C31" i="118"/>
  <c r="C30" i="118"/>
  <c r="C29" i="118"/>
  <c r="C28" i="118"/>
  <c r="C27" i="118"/>
  <c r="C26" i="118"/>
  <c r="C25" i="118"/>
  <c r="C24" i="118"/>
  <c r="C23" i="118"/>
  <c r="C22" i="118"/>
  <c r="C21" i="118"/>
  <c r="C20" i="118"/>
  <c r="C19" i="118"/>
  <c r="C18" i="118"/>
  <c r="C17" i="118"/>
  <c r="C16" i="118"/>
  <c r="C15" i="118"/>
  <c r="C14" i="118"/>
  <c r="C13" i="118"/>
  <c r="C12" i="118"/>
  <c r="C11" i="118"/>
  <c r="C10" i="118"/>
  <c r="C9" i="118"/>
  <c r="C8" i="118"/>
  <c r="C7" i="118"/>
  <c r="C75" i="117"/>
  <c r="C74" i="117"/>
  <c r="C73" i="117"/>
  <c r="C72" i="117"/>
  <c r="C71" i="117"/>
  <c r="C70" i="117"/>
  <c r="C69" i="117"/>
  <c r="C68" i="117"/>
  <c r="C67" i="117"/>
  <c r="C66" i="117"/>
  <c r="C65" i="117"/>
  <c r="C64" i="117"/>
  <c r="C63" i="117"/>
  <c r="C62" i="117"/>
  <c r="C61" i="117"/>
  <c r="C60" i="117"/>
  <c r="C59" i="117"/>
  <c r="C58" i="117"/>
  <c r="C57" i="117"/>
  <c r="C56" i="117"/>
  <c r="C55" i="117"/>
  <c r="C54" i="117"/>
  <c r="C53" i="117"/>
  <c r="C52" i="117"/>
  <c r="C51" i="117"/>
  <c r="C50" i="117"/>
  <c r="C49" i="117"/>
  <c r="C48" i="117"/>
  <c r="C47" i="117"/>
  <c r="C46" i="117"/>
  <c r="C45" i="117"/>
  <c r="C44" i="117"/>
  <c r="C43" i="117"/>
  <c r="C42" i="117"/>
  <c r="C41" i="117"/>
  <c r="C40" i="117"/>
  <c r="C39" i="117"/>
  <c r="C38" i="117"/>
  <c r="C37" i="117"/>
  <c r="C36" i="117"/>
  <c r="C35" i="117"/>
  <c r="C34" i="117"/>
  <c r="C33" i="117"/>
  <c r="C32" i="117"/>
  <c r="C31" i="117"/>
  <c r="C30" i="117"/>
  <c r="C29" i="117"/>
  <c r="C28" i="117"/>
  <c r="C27" i="117"/>
  <c r="C26" i="117"/>
  <c r="C25" i="117"/>
  <c r="C24" i="117"/>
  <c r="C23" i="117"/>
  <c r="C22" i="117"/>
  <c r="C21" i="117"/>
  <c r="C20" i="117"/>
  <c r="C19" i="117"/>
  <c r="C18" i="117"/>
  <c r="C17" i="117"/>
  <c r="C16" i="117"/>
  <c r="C15" i="117"/>
  <c r="C14" i="117"/>
  <c r="C13" i="117"/>
  <c r="C12" i="117"/>
  <c r="C11" i="117"/>
  <c r="C10" i="117"/>
  <c r="C9" i="117"/>
  <c r="C8" i="117"/>
  <c r="C7" i="117"/>
  <c r="C75" i="116"/>
  <c r="C74" i="116"/>
  <c r="C73" i="116"/>
  <c r="C72" i="116"/>
  <c r="C71" i="116"/>
  <c r="C70" i="116"/>
  <c r="C69" i="116"/>
  <c r="C68" i="116"/>
  <c r="C67" i="116"/>
  <c r="C66" i="116"/>
  <c r="C65" i="116"/>
  <c r="C64" i="116"/>
  <c r="C63" i="116"/>
  <c r="C62" i="116"/>
  <c r="C61" i="116"/>
  <c r="C60" i="116"/>
  <c r="C59" i="116"/>
  <c r="C58" i="116"/>
  <c r="C57" i="116"/>
  <c r="C56" i="116"/>
  <c r="C55" i="116"/>
  <c r="C54" i="116"/>
  <c r="C53" i="116"/>
  <c r="C52" i="116"/>
  <c r="C51" i="116"/>
  <c r="C50" i="116"/>
  <c r="C49" i="116"/>
  <c r="C48" i="116"/>
  <c r="C47" i="116"/>
  <c r="C46" i="116"/>
  <c r="C45" i="116"/>
  <c r="C44" i="116"/>
  <c r="C43" i="116"/>
  <c r="C42" i="116"/>
  <c r="C41" i="116"/>
  <c r="C40" i="116"/>
  <c r="C39" i="116"/>
  <c r="C38" i="116"/>
  <c r="C37" i="116"/>
  <c r="C36" i="116"/>
  <c r="C35" i="116"/>
  <c r="C34" i="116"/>
  <c r="C33" i="116"/>
  <c r="C32" i="116"/>
  <c r="C31" i="116"/>
  <c r="C30" i="116"/>
  <c r="C29" i="116"/>
  <c r="C28" i="116"/>
  <c r="C27" i="116"/>
  <c r="C26" i="116"/>
  <c r="C25" i="116"/>
  <c r="C24" i="116"/>
  <c r="C23" i="116"/>
  <c r="C22" i="116"/>
  <c r="C21" i="116"/>
  <c r="C20" i="116"/>
  <c r="C19" i="116"/>
  <c r="C18" i="116"/>
  <c r="C17" i="116"/>
  <c r="C16" i="116"/>
  <c r="C15" i="116"/>
  <c r="C14" i="116"/>
  <c r="C13" i="116"/>
  <c r="C12" i="116"/>
  <c r="C11" i="116"/>
  <c r="C10" i="116"/>
  <c r="C9" i="116"/>
  <c r="C8" i="116"/>
  <c r="C7" i="116"/>
  <c r="C12" i="46"/>
  <c r="C73" i="31"/>
  <c r="C74" i="31"/>
  <c r="AI74" i="162"/>
  <c r="C6" i="5"/>
  <c r="AH74" i="162"/>
  <c r="C5" i="5"/>
  <c r="AE74" i="162"/>
  <c r="AD74" i="162"/>
  <c r="AC74" i="162"/>
  <c r="AB74" i="162"/>
  <c r="AA74" i="162"/>
  <c r="Z74" i="162"/>
  <c r="Y74" i="162"/>
  <c r="X74" i="162"/>
  <c r="V74" i="162"/>
  <c r="U74" i="162"/>
  <c r="T74" i="162"/>
  <c r="S74" i="162"/>
  <c r="R74" i="162"/>
  <c r="Q74" i="162"/>
  <c r="P74" i="162"/>
  <c r="O74" i="162"/>
  <c r="N74" i="162"/>
  <c r="M74" i="162"/>
  <c r="L74" i="162"/>
  <c r="K74" i="162"/>
  <c r="J74" i="162"/>
  <c r="I74" i="162"/>
  <c r="H74" i="162"/>
  <c r="G74" i="162"/>
  <c r="F74" i="162"/>
  <c r="E74" i="162"/>
  <c r="D74" i="162"/>
  <c r="C74" i="162"/>
  <c r="W72" i="162"/>
  <c r="W71" i="162"/>
  <c r="W70" i="162"/>
  <c r="W69" i="162"/>
  <c r="W68" i="162"/>
  <c r="AJ68" i="162"/>
  <c r="W67" i="162"/>
  <c r="W66" i="162"/>
  <c r="W65" i="162"/>
  <c r="W64" i="162"/>
  <c r="W63" i="162"/>
  <c r="W62" i="162"/>
  <c r="W61" i="162"/>
  <c r="AJ61" i="162"/>
  <c r="W60" i="162"/>
  <c r="W59" i="162"/>
  <c r="W58" i="162"/>
  <c r="AJ58" i="162"/>
  <c r="W57" i="162"/>
  <c r="W56" i="162"/>
  <c r="W55" i="162"/>
  <c r="W54" i="162"/>
  <c r="W53" i="162"/>
  <c r="W52" i="162"/>
  <c r="W51" i="162"/>
  <c r="AJ51" i="162"/>
  <c r="W50" i="162"/>
  <c r="W49" i="162"/>
  <c r="W48" i="162"/>
  <c r="W47" i="162"/>
  <c r="W46" i="162"/>
  <c r="W45" i="162"/>
  <c r="W44" i="162"/>
  <c r="W43" i="162"/>
  <c r="W42" i="162"/>
  <c r="W41" i="162"/>
  <c r="W40" i="162"/>
  <c r="W39" i="162"/>
  <c r="W38" i="162"/>
  <c r="W37" i="162"/>
  <c r="W36" i="162"/>
  <c r="W35" i="162"/>
  <c r="W34" i="162"/>
  <c r="W33" i="162"/>
  <c r="W32" i="162"/>
  <c r="W31" i="162"/>
  <c r="W30" i="162"/>
  <c r="W29" i="162"/>
  <c r="W28" i="162"/>
  <c r="W27" i="162"/>
  <c r="W26" i="162"/>
  <c r="W25" i="162"/>
  <c r="W24" i="162"/>
  <c r="W23" i="162"/>
  <c r="W22" i="162"/>
  <c r="W21" i="162"/>
  <c r="W20" i="162"/>
  <c r="W19" i="162"/>
  <c r="W18" i="162"/>
  <c r="W17" i="162"/>
  <c r="W16" i="162"/>
  <c r="W15" i="162"/>
  <c r="W14" i="162"/>
  <c r="W13" i="162"/>
  <c r="W12" i="162"/>
  <c r="W11" i="162"/>
  <c r="W10" i="162"/>
  <c r="W9" i="162"/>
  <c r="W8" i="162"/>
  <c r="W7" i="162"/>
  <c r="W6" i="162"/>
  <c r="W5" i="162"/>
  <c r="W4" i="162"/>
  <c r="W3" i="162"/>
  <c r="AJ3" i="162"/>
  <c r="AJ7" i="162"/>
  <c r="AJ4" i="162"/>
  <c r="AJ6" i="162"/>
  <c r="AJ8" i="162"/>
  <c r="AJ10" i="162"/>
  <c r="AJ12" i="162"/>
  <c r="AJ14" i="162"/>
  <c r="AJ16" i="162"/>
  <c r="AJ18" i="162"/>
  <c r="AJ20" i="162"/>
  <c r="AJ22" i="162"/>
  <c r="AJ24" i="162"/>
  <c r="AJ26" i="162"/>
  <c r="AJ28" i="162"/>
  <c r="AJ30" i="162"/>
  <c r="AJ32" i="162"/>
  <c r="AJ34" i="162"/>
  <c r="AJ36" i="162"/>
  <c r="AJ38" i="162"/>
  <c r="AJ40" i="162"/>
  <c r="AJ42" i="162"/>
  <c r="AJ44" i="162"/>
  <c r="AJ46" i="162"/>
  <c r="AJ48" i="162"/>
  <c r="AJ50" i="162"/>
  <c r="AJ52" i="162"/>
  <c r="AJ54" i="162"/>
  <c r="AJ56" i="162"/>
  <c r="AJ60" i="162"/>
  <c r="AJ62" i="162"/>
  <c r="AJ64" i="162"/>
  <c r="AJ66" i="162"/>
  <c r="AJ70" i="162"/>
  <c r="AJ72" i="162"/>
  <c r="AJ5" i="162"/>
  <c r="AJ9" i="162"/>
  <c r="AJ11" i="162"/>
  <c r="AJ13" i="162"/>
  <c r="AJ15" i="162"/>
  <c r="AJ17" i="162"/>
  <c r="AJ19" i="162"/>
  <c r="AJ21" i="162"/>
  <c r="AJ23" i="162"/>
  <c r="AJ25" i="162"/>
  <c r="AJ27" i="162"/>
  <c r="AJ29" i="162"/>
  <c r="AJ31" i="162"/>
  <c r="AJ33" i="162"/>
  <c r="AJ35" i="162"/>
  <c r="AJ37" i="162"/>
  <c r="AJ39" i="162"/>
  <c r="AJ41" i="162"/>
  <c r="AJ43" i="162"/>
  <c r="AJ45" i="162"/>
  <c r="AJ47" i="162"/>
  <c r="AJ49" i="162"/>
  <c r="AJ53" i="162"/>
  <c r="AJ55" i="162"/>
  <c r="AJ57" i="162"/>
  <c r="AJ59" i="162"/>
  <c r="AJ63" i="162"/>
  <c r="AJ65" i="162"/>
  <c r="AJ67" i="162"/>
  <c r="AJ69" i="162"/>
  <c r="AJ71" i="162"/>
  <c r="W74" i="162"/>
  <c r="AJ74" i="162"/>
  <c r="O55" i="119"/>
  <c r="D5" i="2"/>
  <c r="E5" i="2"/>
  <c r="F5" i="2"/>
  <c r="G5" i="2"/>
  <c r="H5" i="2"/>
  <c r="I5" i="2"/>
  <c r="J5" i="2"/>
  <c r="K5" i="2"/>
  <c r="L5" i="2"/>
  <c r="M5" i="2"/>
  <c r="N5" i="2"/>
  <c r="O5" i="2"/>
  <c r="P5" i="2"/>
  <c r="D2" i="100"/>
  <c r="E2" i="100"/>
  <c r="F2" i="100"/>
  <c r="G2" i="100"/>
  <c r="H2" i="100"/>
  <c r="I2" i="100"/>
  <c r="J2" i="100"/>
  <c r="K2" i="100"/>
  <c r="L2" i="100"/>
  <c r="M2" i="100"/>
  <c r="N2" i="100"/>
  <c r="O2" i="100"/>
  <c r="P2" i="100"/>
  <c r="Q2" i="100"/>
  <c r="R2" i="100"/>
  <c r="S2" i="100"/>
  <c r="T2" i="100"/>
  <c r="U2" i="100"/>
  <c r="V2" i="100"/>
  <c r="W2" i="100"/>
  <c r="X2" i="100"/>
  <c r="Y2" i="100"/>
  <c r="Z2" i="100"/>
  <c r="AA2" i="100"/>
  <c r="AB2" i="100"/>
  <c r="AC2" i="100"/>
  <c r="AD2" i="100"/>
  <c r="AE2" i="100"/>
  <c r="AF2" i="100"/>
  <c r="AG2" i="100"/>
  <c r="C76" i="129"/>
  <c r="C76" i="126"/>
  <c r="C82" i="129"/>
  <c r="C82" i="131"/>
  <c r="C82" i="126"/>
  <c r="X77" i="67"/>
  <c r="AJ81" i="116"/>
  <c r="J68" i="13"/>
  <c r="AJ81" i="115"/>
  <c r="AJ81" i="113"/>
  <c r="X80" i="67"/>
  <c r="AJ82" i="114"/>
  <c r="AH76" i="33"/>
  <c r="AE76" i="153"/>
  <c r="Y76" i="153"/>
  <c r="W76" i="153"/>
  <c r="O76" i="153"/>
  <c r="C76" i="153"/>
  <c r="D5" i="153"/>
  <c r="E5" i="153"/>
  <c r="F5" i="153"/>
  <c r="G5" i="153"/>
  <c r="H5" i="153"/>
  <c r="I5" i="153"/>
  <c r="J5" i="153"/>
  <c r="K5" i="153"/>
  <c r="L5" i="153"/>
  <c r="M5" i="153"/>
  <c r="N5" i="153"/>
  <c r="O5" i="153"/>
  <c r="P5" i="153"/>
  <c r="Q5" i="153"/>
  <c r="R5" i="153"/>
  <c r="S5" i="153"/>
  <c r="AE76" i="152"/>
  <c r="Y76" i="152"/>
  <c r="W76" i="152"/>
  <c r="O76" i="152"/>
  <c r="C76" i="152"/>
  <c r="D5" i="152"/>
  <c r="E5" i="152"/>
  <c r="F5" i="152"/>
  <c r="G5" i="152"/>
  <c r="H5" i="152"/>
  <c r="I5" i="152"/>
  <c r="J5" i="152"/>
  <c r="K5" i="152"/>
  <c r="L5" i="152"/>
  <c r="M5" i="152"/>
  <c r="N5" i="152"/>
  <c r="O5" i="152"/>
  <c r="P5" i="152"/>
  <c r="Q5" i="152"/>
  <c r="R5" i="152"/>
  <c r="S5" i="152"/>
  <c r="AE76" i="151"/>
  <c r="Y76" i="151"/>
  <c r="W76" i="151"/>
  <c r="C76" i="151"/>
  <c r="D5" i="151"/>
  <c r="E5" i="151"/>
  <c r="F5" i="151"/>
  <c r="G5" i="151"/>
  <c r="H5" i="151"/>
  <c r="I5" i="151"/>
  <c r="J5" i="151"/>
  <c r="K5" i="151"/>
  <c r="L5" i="151"/>
  <c r="M5" i="151"/>
  <c r="N5" i="151"/>
  <c r="O5" i="151"/>
  <c r="P5" i="151"/>
  <c r="Q5" i="151"/>
  <c r="R5" i="151"/>
  <c r="S5" i="151"/>
  <c r="AE76" i="149"/>
  <c r="Y76" i="149"/>
  <c r="W76" i="149"/>
  <c r="O76" i="149"/>
  <c r="C76" i="149"/>
  <c r="D5" i="149"/>
  <c r="E5" i="149"/>
  <c r="F5" i="149"/>
  <c r="G5" i="149"/>
  <c r="H5" i="149"/>
  <c r="I5" i="149"/>
  <c r="J5" i="149"/>
  <c r="K5" i="149"/>
  <c r="L5" i="149"/>
  <c r="M5" i="149"/>
  <c r="N5" i="149"/>
  <c r="O5" i="149"/>
  <c r="P5" i="149"/>
  <c r="Q5" i="149"/>
  <c r="R5" i="149"/>
  <c r="S5" i="149"/>
  <c r="AE76" i="148"/>
  <c r="Y76" i="148"/>
  <c r="W76" i="148"/>
  <c r="O76" i="148"/>
  <c r="C76" i="148"/>
  <c r="D5" i="148"/>
  <c r="E5" i="148"/>
  <c r="F5" i="148"/>
  <c r="G5" i="148"/>
  <c r="H5" i="148"/>
  <c r="I5" i="148"/>
  <c r="J5" i="148"/>
  <c r="K5" i="148"/>
  <c r="L5" i="148"/>
  <c r="M5" i="148"/>
  <c r="N5" i="148"/>
  <c r="O5" i="148"/>
  <c r="P5" i="148"/>
  <c r="Q5" i="148"/>
  <c r="R5" i="148"/>
  <c r="S5" i="148"/>
  <c r="AE76" i="147"/>
  <c r="Y76" i="147"/>
  <c r="W76" i="147"/>
  <c r="O76" i="147"/>
  <c r="C76" i="147"/>
  <c r="D5" i="147"/>
  <c r="E5" i="147"/>
  <c r="F5" i="147"/>
  <c r="G5" i="147"/>
  <c r="H5" i="147"/>
  <c r="I5" i="147"/>
  <c r="J5" i="147"/>
  <c r="K5" i="147"/>
  <c r="L5" i="147"/>
  <c r="M5" i="147"/>
  <c r="N5" i="147"/>
  <c r="O5" i="147"/>
  <c r="P5" i="147"/>
  <c r="Q5" i="147"/>
  <c r="R5" i="147"/>
  <c r="S5" i="147"/>
  <c r="AE76" i="146"/>
  <c r="Y76" i="146"/>
  <c r="W76" i="146"/>
  <c r="O76" i="146"/>
  <c r="C76" i="146"/>
  <c r="D5" i="146"/>
  <c r="E5" i="146"/>
  <c r="F5" i="146"/>
  <c r="G5" i="146"/>
  <c r="H5" i="146"/>
  <c r="I5" i="146"/>
  <c r="J5" i="146"/>
  <c r="K5" i="146"/>
  <c r="L5" i="146"/>
  <c r="M5" i="146"/>
  <c r="N5" i="146"/>
  <c r="O5" i="146"/>
  <c r="P5" i="146"/>
  <c r="Q5" i="146"/>
  <c r="R5" i="146"/>
  <c r="S5" i="146"/>
  <c r="AE76" i="145"/>
  <c r="Y76" i="145"/>
  <c r="W76" i="145"/>
  <c r="O76" i="145"/>
  <c r="C76" i="145"/>
  <c r="D5" i="145"/>
  <c r="E5" i="145"/>
  <c r="F5" i="145"/>
  <c r="G5" i="145"/>
  <c r="H5" i="145"/>
  <c r="I5" i="145"/>
  <c r="J5" i="145"/>
  <c r="K5" i="145"/>
  <c r="L5" i="145"/>
  <c r="M5" i="145"/>
  <c r="N5" i="145"/>
  <c r="O5" i="145"/>
  <c r="P5" i="145"/>
  <c r="Q5" i="145"/>
  <c r="R5" i="145"/>
  <c r="S5" i="145"/>
  <c r="W82" i="145"/>
  <c r="AE82" i="145"/>
  <c r="O82" i="148"/>
  <c r="Y82" i="148"/>
  <c r="O82" i="149"/>
  <c r="Y82" i="149"/>
  <c r="O82" i="151"/>
  <c r="Y82" i="151"/>
  <c r="O82" i="153"/>
  <c r="Y82" i="153"/>
  <c r="C82" i="145"/>
  <c r="O82" i="145"/>
  <c r="Y82" i="145"/>
  <c r="C82" i="148"/>
  <c r="W82" i="148"/>
  <c r="AE82" i="148"/>
  <c r="C82" i="149"/>
  <c r="AE82" i="149"/>
  <c r="C82" i="151"/>
  <c r="AE82" i="151"/>
  <c r="C82" i="153"/>
  <c r="W82" i="153"/>
  <c r="AE82" i="153"/>
  <c r="W82" i="149"/>
  <c r="W82" i="151"/>
  <c r="O82" i="146"/>
  <c r="AE82" i="147"/>
  <c r="AE82" i="152"/>
  <c r="AE82" i="146"/>
  <c r="O82" i="147"/>
  <c r="O82" i="152"/>
  <c r="Y82" i="146"/>
  <c r="Y82" i="152"/>
  <c r="C82" i="146"/>
  <c r="C82" i="152"/>
  <c r="W82" i="152"/>
  <c r="W82" i="146"/>
  <c r="W82" i="147"/>
  <c r="Y82" i="147"/>
  <c r="C82" i="147"/>
  <c r="V5" i="145"/>
  <c r="W5" i="145"/>
  <c r="X5" i="145"/>
  <c r="Y5" i="145"/>
  <c r="Z5" i="145"/>
  <c r="AA5" i="145"/>
  <c r="AB5" i="145"/>
  <c r="AC5" i="145"/>
  <c r="AD5" i="145"/>
  <c r="AE5" i="145"/>
  <c r="AF5" i="145"/>
  <c r="AG5" i="145"/>
  <c r="AH5" i="145"/>
  <c r="AI5" i="145"/>
  <c r="AJ5" i="145"/>
  <c r="AK5" i="145"/>
  <c r="T5" i="145"/>
  <c r="U5" i="145"/>
  <c r="V5" i="146"/>
  <c r="W5" i="146"/>
  <c r="X5" i="146"/>
  <c r="Y5" i="146"/>
  <c r="Z5" i="146"/>
  <c r="AA5" i="146"/>
  <c r="AB5" i="146"/>
  <c r="AC5" i="146"/>
  <c r="AD5" i="146"/>
  <c r="AE5" i="146"/>
  <c r="AF5" i="146"/>
  <c r="AG5" i="146"/>
  <c r="AH5" i="146"/>
  <c r="AI5" i="146"/>
  <c r="AJ5" i="146"/>
  <c r="AK5" i="146"/>
  <c r="T5" i="146"/>
  <c r="U5" i="146"/>
  <c r="V5" i="147"/>
  <c r="W5" i="147"/>
  <c r="X5" i="147"/>
  <c r="Y5" i="147"/>
  <c r="Z5" i="147"/>
  <c r="AA5" i="147"/>
  <c r="AB5" i="147"/>
  <c r="AC5" i="147"/>
  <c r="AD5" i="147"/>
  <c r="AE5" i="147"/>
  <c r="AF5" i="147"/>
  <c r="AG5" i="147"/>
  <c r="AH5" i="147"/>
  <c r="AI5" i="147"/>
  <c r="AJ5" i="147"/>
  <c r="AK5" i="147"/>
  <c r="T5" i="147"/>
  <c r="U5" i="147"/>
  <c r="V5" i="148"/>
  <c r="W5" i="148"/>
  <c r="X5" i="148"/>
  <c r="Y5" i="148"/>
  <c r="Z5" i="148"/>
  <c r="AA5" i="148"/>
  <c r="AB5" i="148"/>
  <c r="AC5" i="148"/>
  <c r="AD5" i="148"/>
  <c r="AE5" i="148"/>
  <c r="AF5" i="148"/>
  <c r="AG5" i="148"/>
  <c r="AH5" i="148"/>
  <c r="AI5" i="148"/>
  <c r="AJ5" i="148"/>
  <c r="AK5" i="148"/>
  <c r="T5" i="148"/>
  <c r="U5" i="148"/>
  <c r="V5" i="149"/>
  <c r="W5" i="149"/>
  <c r="X5" i="149"/>
  <c r="Y5" i="149"/>
  <c r="Z5" i="149"/>
  <c r="AA5" i="149"/>
  <c r="AB5" i="149"/>
  <c r="AC5" i="149"/>
  <c r="AD5" i="149"/>
  <c r="AE5" i="149"/>
  <c r="AF5" i="149"/>
  <c r="AG5" i="149"/>
  <c r="AH5" i="149"/>
  <c r="AI5" i="149"/>
  <c r="AJ5" i="149"/>
  <c r="AK5" i="149"/>
  <c r="T5" i="149"/>
  <c r="U5" i="149"/>
  <c r="V5" i="151"/>
  <c r="W5" i="151"/>
  <c r="X5" i="151"/>
  <c r="Y5" i="151"/>
  <c r="Z5" i="151"/>
  <c r="AA5" i="151"/>
  <c r="AB5" i="151"/>
  <c r="AC5" i="151"/>
  <c r="AD5" i="151"/>
  <c r="AE5" i="151"/>
  <c r="AF5" i="151"/>
  <c r="AG5" i="151"/>
  <c r="AH5" i="151"/>
  <c r="AI5" i="151"/>
  <c r="AJ5" i="151"/>
  <c r="AK5" i="151"/>
  <c r="T5" i="151"/>
  <c r="U5" i="151"/>
  <c r="V5" i="152"/>
  <c r="W5" i="152"/>
  <c r="X5" i="152"/>
  <c r="Y5" i="152"/>
  <c r="Z5" i="152"/>
  <c r="AA5" i="152"/>
  <c r="AB5" i="152"/>
  <c r="AC5" i="152"/>
  <c r="AD5" i="152"/>
  <c r="AE5" i="152"/>
  <c r="AF5" i="152"/>
  <c r="AG5" i="152"/>
  <c r="AH5" i="152"/>
  <c r="AI5" i="152"/>
  <c r="AJ5" i="152"/>
  <c r="AK5" i="152"/>
  <c r="T5" i="152"/>
  <c r="U5" i="152"/>
  <c r="V5" i="153"/>
  <c r="W5" i="153"/>
  <c r="X5" i="153"/>
  <c r="Y5" i="153"/>
  <c r="Z5" i="153"/>
  <c r="AA5" i="153"/>
  <c r="AB5" i="153"/>
  <c r="AC5" i="153"/>
  <c r="AD5" i="153"/>
  <c r="AE5" i="153"/>
  <c r="AF5" i="153"/>
  <c r="AG5" i="153"/>
  <c r="AH5" i="153"/>
  <c r="AI5" i="153"/>
  <c r="AJ5" i="153"/>
  <c r="AK5" i="153"/>
  <c r="T5" i="153"/>
  <c r="U5" i="153"/>
  <c r="AE76" i="144"/>
  <c r="Y76" i="144"/>
  <c r="W76" i="144"/>
  <c r="O76" i="144"/>
  <c r="D5" i="144"/>
  <c r="E5" i="144"/>
  <c r="F5" i="144"/>
  <c r="G5" i="144"/>
  <c r="H5" i="144"/>
  <c r="I5" i="144"/>
  <c r="J5" i="144"/>
  <c r="K5" i="144"/>
  <c r="L5" i="144"/>
  <c r="M5" i="144"/>
  <c r="N5" i="144"/>
  <c r="O5" i="144"/>
  <c r="P5" i="144"/>
  <c r="Q5" i="144"/>
  <c r="R5" i="144"/>
  <c r="S5" i="144"/>
  <c r="O82" i="144"/>
  <c r="AE82" i="144"/>
  <c r="Y82" i="144"/>
  <c r="W82" i="144"/>
  <c r="T5" i="144"/>
  <c r="U5" i="144"/>
  <c r="V5" i="144"/>
  <c r="W5" i="144"/>
  <c r="X5" i="144"/>
  <c r="Y5" i="144"/>
  <c r="Z5" i="144"/>
  <c r="AA5" i="144"/>
  <c r="AB5" i="144"/>
  <c r="AC5" i="144"/>
  <c r="AD5" i="144"/>
  <c r="AE5" i="144"/>
  <c r="AF5" i="144"/>
  <c r="AG5" i="144"/>
  <c r="AH5" i="144"/>
  <c r="AI5" i="144"/>
  <c r="AJ5" i="144"/>
  <c r="AK5" i="144"/>
  <c r="C76" i="144"/>
  <c r="C82" i="144"/>
  <c r="D73" i="1"/>
  <c r="AJ78" i="116"/>
  <c r="AJ79" i="114"/>
  <c r="AJ78" i="115"/>
  <c r="M76" i="141"/>
  <c r="M82" i="141"/>
  <c r="C76" i="141"/>
  <c r="D5" i="141"/>
  <c r="E5" i="141"/>
  <c r="F5" i="141"/>
  <c r="G5" i="141"/>
  <c r="H5" i="141"/>
  <c r="I5" i="141"/>
  <c r="J5" i="141"/>
  <c r="K5" i="141"/>
  <c r="L5" i="141"/>
  <c r="M76" i="140"/>
  <c r="M82" i="140"/>
  <c r="C76" i="140"/>
  <c r="D5" i="140"/>
  <c r="E5" i="140"/>
  <c r="F5" i="140"/>
  <c r="G5" i="140"/>
  <c r="H5" i="140"/>
  <c r="I5" i="140"/>
  <c r="J5" i="140"/>
  <c r="K5" i="140"/>
  <c r="L5" i="140"/>
  <c r="C82" i="140"/>
  <c r="C82" i="141"/>
  <c r="AG76" i="33"/>
  <c r="M5" i="141"/>
  <c r="N5" i="141"/>
  <c r="O5" i="141"/>
  <c r="P5" i="141"/>
  <c r="Q5" i="141"/>
  <c r="R5" i="141"/>
  <c r="G76" i="141"/>
  <c r="G82" i="141"/>
  <c r="M5" i="140"/>
  <c r="N5" i="140"/>
  <c r="O5" i="140"/>
  <c r="P5" i="140"/>
  <c r="Q5" i="140"/>
  <c r="R5" i="140"/>
  <c r="G76" i="140"/>
  <c r="G82" i="140"/>
  <c r="P76" i="167"/>
  <c r="P187" i="167"/>
  <c r="P152" i="167"/>
  <c r="P98" i="167"/>
  <c r="P163" i="167"/>
  <c r="P95" i="167"/>
  <c r="P174" i="167"/>
  <c r="P96" i="167"/>
  <c r="P146" i="167"/>
  <c r="P116" i="167"/>
  <c r="P193" i="167"/>
  <c r="P145" i="167"/>
  <c r="P87" i="167"/>
  <c r="P148" i="167"/>
  <c r="P164" i="167"/>
  <c r="P125" i="167"/>
  <c r="P88" i="167"/>
  <c r="P169" i="167"/>
  <c r="P103" i="167"/>
  <c r="P8" i="167"/>
  <c r="P12" i="167"/>
  <c r="P16" i="167"/>
  <c r="P20" i="167"/>
  <c r="P24" i="167"/>
  <c r="P28" i="167"/>
  <c r="P32" i="167"/>
  <c r="P36" i="167"/>
  <c r="P40" i="167"/>
  <c r="P44" i="167"/>
  <c r="P48" i="167"/>
  <c r="P52" i="167"/>
  <c r="P56" i="167"/>
  <c r="P60" i="167"/>
  <c r="P68" i="167"/>
  <c r="P9" i="167"/>
  <c r="P17" i="167"/>
  <c r="P25" i="167"/>
  <c r="P33" i="167"/>
  <c r="P41" i="167"/>
  <c r="P49" i="167"/>
  <c r="P57" i="167"/>
  <c r="P65" i="167"/>
  <c r="P73" i="167"/>
  <c r="P100" i="167"/>
  <c r="P137" i="167"/>
  <c r="P80" i="167"/>
  <c r="P144" i="167"/>
  <c r="P143" i="167"/>
  <c r="P99" i="167"/>
  <c r="P77" i="167"/>
  <c r="P104" i="167"/>
  <c r="P105" i="167"/>
  <c r="P162" i="167"/>
  <c r="P97" i="167"/>
  <c r="P113" i="167"/>
  <c r="P126" i="167"/>
  <c r="P110" i="167"/>
  <c r="P81" i="167"/>
  <c r="P123" i="167"/>
  <c r="P136" i="167"/>
  <c r="P109" i="167"/>
  <c r="P6" i="167"/>
  <c r="P10" i="167"/>
  <c r="P14" i="167"/>
  <c r="P18" i="167"/>
  <c r="P22" i="167"/>
  <c r="P26" i="167"/>
  <c r="P30" i="167"/>
  <c r="P34" i="167"/>
  <c r="P38" i="167"/>
  <c r="P42" i="167"/>
  <c r="P46" i="167"/>
  <c r="P50" i="167"/>
  <c r="P54" i="167"/>
  <c r="P58" i="167"/>
  <c r="P62" i="167"/>
  <c r="P66" i="167"/>
  <c r="P70" i="167"/>
  <c r="P7" i="167"/>
  <c r="P11" i="167"/>
  <c r="P15" i="167"/>
  <c r="P19" i="167"/>
  <c r="P23" i="167"/>
  <c r="P27" i="167"/>
  <c r="P31" i="167"/>
  <c r="P35" i="167"/>
  <c r="P39" i="167"/>
  <c r="P43" i="167"/>
  <c r="P47" i="167"/>
  <c r="P51" i="167"/>
  <c r="P55" i="167"/>
  <c r="P59" i="167"/>
  <c r="P63" i="167"/>
  <c r="P67" i="167"/>
  <c r="P71" i="167"/>
  <c r="P64" i="167"/>
  <c r="P72" i="167"/>
  <c r="P13" i="167"/>
  <c r="P21" i="167"/>
  <c r="P29" i="167"/>
  <c r="P37" i="167"/>
  <c r="P45" i="167"/>
  <c r="P53" i="167"/>
  <c r="P61" i="167"/>
  <c r="P69" i="167"/>
  <c r="AE74" i="31"/>
  <c r="AN47" i="33"/>
  <c r="AN15" i="33"/>
  <c r="AN69" i="33"/>
  <c r="AN61" i="33"/>
  <c r="AN53" i="33"/>
  <c r="AN45" i="33"/>
  <c r="AN37" i="33"/>
  <c r="AN29" i="33"/>
  <c r="AN21" i="33"/>
  <c r="AN13" i="33"/>
  <c r="AN72" i="33"/>
  <c r="AN64" i="33"/>
  <c r="AN56" i="33"/>
  <c r="AN48" i="33"/>
  <c r="AN40" i="33"/>
  <c r="AN32" i="33"/>
  <c r="AN24" i="33"/>
  <c r="AN16" i="33"/>
  <c r="AN8" i="33"/>
  <c r="W31" i="31"/>
  <c r="R79" i="140"/>
  <c r="W19" i="31"/>
  <c r="T79" i="113"/>
  <c r="AJ79" i="113"/>
  <c r="T79" i="126"/>
  <c r="AJ79" i="126"/>
  <c r="V6" i="5"/>
  <c r="W38" i="31"/>
  <c r="P82" i="167"/>
  <c r="R79" i="141"/>
  <c r="U79" i="80"/>
  <c r="AK79" i="80"/>
  <c r="AN67" i="33"/>
  <c r="AN51" i="33"/>
  <c r="AN35" i="33"/>
  <c r="AN19" i="33"/>
  <c r="AN70" i="33"/>
  <c r="AN58" i="33"/>
  <c r="AN50" i="33"/>
  <c r="AN42" i="33"/>
  <c r="AN34" i="33"/>
  <c r="AN26" i="33"/>
  <c r="AN18" i="33"/>
  <c r="AN10" i="33"/>
  <c r="W64" i="31"/>
  <c r="W16" i="31"/>
  <c r="W43" i="31"/>
  <c r="W40" i="31"/>
  <c r="T79" i="149"/>
  <c r="AJ79" i="149"/>
  <c r="T80" i="114"/>
  <c r="AJ80" i="114"/>
  <c r="T79" i="148"/>
  <c r="AJ79" i="148"/>
  <c r="U79" i="76"/>
  <c r="AK79" i="76"/>
  <c r="P188" i="167"/>
  <c r="Z11" i="46"/>
  <c r="Z12" i="46"/>
  <c r="Z17" i="46"/>
  <c r="AN63" i="33"/>
  <c r="AN31" i="33"/>
  <c r="AN66" i="33"/>
  <c r="AN71" i="33"/>
  <c r="AN55" i="33"/>
  <c r="AN39" i="33"/>
  <c r="AN23" i="33"/>
  <c r="AN74" i="33"/>
  <c r="AN73" i="33"/>
  <c r="AN65" i="33"/>
  <c r="AN57" i="33"/>
  <c r="AN49" i="33"/>
  <c r="AN41" i="33"/>
  <c r="AN33" i="33"/>
  <c r="AN25" i="33"/>
  <c r="AN17" i="33"/>
  <c r="AN9" i="33"/>
  <c r="AN68" i="33"/>
  <c r="AN60" i="33"/>
  <c r="AN52" i="33"/>
  <c r="AN44" i="33"/>
  <c r="AN36" i="33"/>
  <c r="AN28" i="33"/>
  <c r="AN20" i="33"/>
  <c r="AN12" i="33"/>
  <c r="T79" i="131"/>
  <c r="AJ79" i="131"/>
  <c r="W14" i="31"/>
  <c r="T79" i="128"/>
  <c r="AJ79" i="128"/>
  <c r="T79" i="145"/>
  <c r="AJ79" i="145"/>
  <c r="W57" i="31"/>
  <c r="T79" i="119"/>
  <c r="AJ79" i="119"/>
  <c r="T79" i="115"/>
  <c r="AJ79" i="115"/>
  <c r="W39" i="31"/>
  <c r="W32" i="31"/>
  <c r="AN75" i="33"/>
  <c r="AN59" i="33"/>
  <c r="AN43" i="33"/>
  <c r="AN27" i="33"/>
  <c r="AN11" i="33"/>
  <c r="AN62" i="33"/>
  <c r="AN54" i="33"/>
  <c r="AN46" i="33"/>
  <c r="AN38" i="33"/>
  <c r="AN30" i="33"/>
  <c r="AN22" i="33"/>
  <c r="AN14" i="33"/>
  <c r="T79" i="116"/>
  <c r="AJ79" i="116"/>
  <c r="W59" i="31"/>
  <c r="M78" i="67"/>
  <c r="X78" i="67"/>
  <c r="W41" i="31"/>
  <c r="W69" i="31"/>
  <c r="W58" i="31"/>
  <c r="W47" i="31"/>
  <c r="V5" i="5"/>
  <c r="V7" i="5"/>
  <c r="Y76" i="119"/>
  <c r="AG12" i="46"/>
  <c r="AG17" i="46"/>
  <c r="W73" i="31"/>
  <c r="W74" i="31"/>
  <c r="P119" i="167"/>
  <c r="P78" i="167"/>
  <c r="P92" i="167"/>
  <c r="P178" i="167"/>
  <c r="Y82" i="119"/>
  <c r="Z76" i="80"/>
  <c r="Z82" i="80"/>
  <c r="Y76" i="117"/>
  <c r="Z82" i="76"/>
  <c r="Y82" i="117"/>
  <c r="Y76" i="115"/>
  <c r="Y76" i="128"/>
  <c r="Y76" i="129"/>
  <c r="Y76" i="127"/>
  <c r="Y76" i="131"/>
  <c r="Y82" i="129"/>
  <c r="Y82" i="131"/>
  <c r="Y82" i="127"/>
  <c r="Y82" i="128"/>
  <c r="Y82" i="115"/>
  <c r="Y76" i="125"/>
  <c r="Y76" i="126"/>
  <c r="Y76" i="120"/>
  <c r="Y76" i="113"/>
  <c r="Y77" i="114"/>
  <c r="Y76" i="116"/>
  <c r="Y76" i="118"/>
  <c r="D5" i="118"/>
  <c r="Y83" i="114"/>
  <c r="Y82" i="118"/>
  <c r="Y82" i="113"/>
  <c r="Y82" i="116"/>
  <c r="Y82" i="120"/>
  <c r="Y82" i="126"/>
  <c r="Y82" i="125"/>
  <c r="M7" i="5"/>
  <c r="D4" i="137"/>
  <c r="E4" i="137"/>
  <c r="F4" i="137"/>
  <c r="G4" i="137"/>
  <c r="H4" i="137"/>
  <c r="I4" i="137"/>
  <c r="J4" i="137"/>
  <c r="K4" i="137"/>
  <c r="L4" i="137"/>
  <c r="M4" i="137"/>
  <c r="N4" i="137"/>
  <c r="O4" i="137"/>
  <c r="P4" i="137"/>
  <c r="Q4" i="137"/>
  <c r="R4" i="137"/>
  <c r="S4" i="137"/>
  <c r="T4" i="137"/>
  <c r="U4" i="137"/>
  <c r="V4" i="137"/>
  <c r="W4" i="137"/>
  <c r="X4" i="137"/>
  <c r="Y4" i="137"/>
  <c r="Z4" i="137"/>
  <c r="J73" i="1"/>
  <c r="H73" i="1"/>
  <c r="O3" i="1"/>
  <c r="P3" i="1"/>
  <c r="Q3" i="1"/>
  <c r="R3" i="1"/>
  <c r="S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Z68" i="13"/>
  <c r="AE76" i="131"/>
  <c r="D5" i="131"/>
  <c r="E5" i="131"/>
  <c r="F5" i="131"/>
  <c r="G5" i="131"/>
  <c r="H5" i="131"/>
  <c r="AE76" i="129"/>
  <c r="O76" i="129"/>
  <c r="D5" i="129"/>
  <c r="E5" i="129"/>
  <c r="F5" i="129"/>
  <c r="G5" i="129"/>
  <c r="H5" i="129"/>
  <c r="I5" i="129"/>
  <c r="AE76" i="128"/>
  <c r="C76" i="128"/>
  <c r="D5" i="128"/>
  <c r="E5" i="128"/>
  <c r="F5" i="128"/>
  <c r="G5" i="128"/>
  <c r="H5" i="128"/>
  <c r="I5" i="128"/>
  <c r="J5" i="128"/>
  <c r="K5" i="128"/>
  <c r="L5" i="128"/>
  <c r="M5" i="128"/>
  <c r="N5" i="128"/>
  <c r="O5" i="128"/>
  <c r="P5" i="128"/>
  <c r="Q5" i="128"/>
  <c r="R5" i="128"/>
  <c r="S5" i="128"/>
  <c r="AE76" i="127"/>
  <c r="D5" i="127"/>
  <c r="E5" i="127"/>
  <c r="F5" i="127"/>
  <c r="G5" i="127"/>
  <c r="H5" i="127"/>
  <c r="I5" i="127"/>
  <c r="J5" i="127"/>
  <c r="K5" i="127"/>
  <c r="L5" i="127"/>
  <c r="M5" i="127"/>
  <c r="N5" i="127"/>
  <c r="O5" i="127"/>
  <c r="P5" i="127"/>
  <c r="Q5" i="127"/>
  <c r="R5" i="127"/>
  <c r="S5" i="127"/>
  <c r="AE76" i="126"/>
  <c r="O76" i="126"/>
  <c r="D5" i="126"/>
  <c r="E5" i="126"/>
  <c r="F5" i="126"/>
  <c r="G5" i="126"/>
  <c r="H5" i="126"/>
  <c r="AE76" i="125"/>
  <c r="D5" i="125"/>
  <c r="E5" i="125"/>
  <c r="F5" i="125"/>
  <c r="G5" i="125"/>
  <c r="H5" i="125"/>
  <c r="C76" i="125"/>
  <c r="C76" i="127"/>
  <c r="E7" i="13"/>
  <c r="E8" i="13"/>
  <c r="E9" i="13"/>
  <c r="E10" i="13"/>
  <c r="E11" i="13"/>
  <c r="G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AI38" i="13"/>
  <c r="Q7" i="13"/>
  <c r="AE76" i="120"/>
  <c r="C76" i="120"/>
  <c r="D5" i="120"/>
  <c r="E5" i="120"/>
  <c r="F5" i="120"/>
  <c r="G5" i="120"/>
  <c r="H5" i="120"/>
  <c r="AE76" i="119"/>
  <c r="D5" i="119"/>
  <c r="E5" i="119"/>
  <c r="F5" i="119"/>
  <c r="G5" i="119"/>
  <c r="H5" i="119"/>
  <c r="I5" i="119"/>
  <c r="J5" i="119"/>
  <c r="K5" i="119"/>
  <c r="L5" i="119"/>
  <c r="M5" i="119"/>
  <c r="N5" i="119"/>
  <c r="O5" i="119"/>
  <c r="P5" i="119"/>
  <c r="Q5" i="119"/>
  <c r="R5" i="119"/>
  <c r="S5" i="119"/>
  <c r="AE76" i="118"/>
  <c r="O76" i="118"/>
  <c r="E5" i="118"/>
  <c r="F5" i="118"/>
  <c r="G5" i="118"/>
  <c r="H5" i="118"/>
  <c r="I5" i="118"/>
  <c r="J5" i="118"/>
  <c r="K5" i="118"/>
  <c r="L5" i="118"/>
  <c r="M5" i="118"/>
  <c r="N5" i="118"/>
  <c r="O5" i="118"/>
  <c r="P5" i="118"/>
  <c r="C76" i="117"/>
  <c r="AE76" i="117"/>
  <c r="D5" i="117"/>
  <c r="E5" i="117"/>
  <c r="F5" i="117"/>
  <c r="G5" i="117"/>
  <c r="H5" i="117"/>
  <c r="I5" i="117"/>
  <c r="J5" i="117"/>
  <c r="K5" i="117"/>
  <c r="L5" i="117"/>
  <c r="M5" i="117"/>
  <c r="N5" i="117"/>
  <c r="O5" i="117"/>
  <c r="P5" i="117"/>
  <c r="Q5" i="117"/>
  <c r="R5" i="117"/>
  <c r="S5" i="117"/>
  <c r="T5" i="117"/>
  <c r="U5" i="117"/>
  <c r="C76" i="116"/>
  <c r="D5" i="116"/>
  <c r="E5" i="116"/>
  <c r="F5" i="116"/>
  <c r="G5" i="116"/>
  <c r="H5" i="116"/>
  <c r="I5" i="116"/>
  <c r="J5" i="116"/>
  <c r="K5" i="116"/>
  <c r="L5" i="116"/>
  <c r="M5" i="116"/>
  <c r="N5" i="116"/>
  <c r="O5" i="116"/>
  <c r="P5" i="116"/>
  <c r="Q5" i="116"/>
  <c r="R5" i="116"/>
  <c r="S5" i="116"/>
  <c r="AE76" i="115"/>
  <c r="D5" i="115"/>
  <c r="E5" i="115"/>
  <c r="F5" i="115"/>
  <c r="G5" i="115"/>
  <c r="H5" i="115"/>
  <c r="AE77" i="114"/>
  <c r="D5" i="114"/>
  <c r="E5" i="114"/>
  <c r="F5" i="114"/>
  <c r="G5" i="114"/>
  <c r="H5" i="114"/>
  <c r="I5" i="114"/>
  <c r="J5" i="114"/>
  <c r="K5" i="114"/>
  <c r="L5" i="114"/>
  <c r="M5" i="114"/>
  <c r="N5" i="114"/>
  <c r="O5" i="114"/>
  <c r="P5" i="114"/>
  <c r="Q5" i="114"/>
  <c r="R5" i="114"/>
  <c r="S5" i="114"/>
  <c r="AE76" i="113"/>
  <c r="C76" i="113"/>
  <c r="D5" i="113"/>
  <c r="E5" i="113"/>
  <c r="F5" i="113"/>
  <c r="G5" i="113"/>
  <c r="H5" i="113"/>
  <c r="I5" i="113"/>
  <c r="J5" i="113"/>
  <c r="K5" i="113"/>
  <c r="L5" i="113"/>
  <c r="M5" i="113"/>
  <c r="N5" i="113"/>
  <c r="O5" i="113"/>
  <c r="P5" i="113"/>
  <c r="Q5" i="113"/>
  <c r="R5" i="113"/>
  <c r="S5" i="113"/>
  <c r="T5" i="113"/>
  <c r="U5" i="113"/>
  <c r="V5" i="113"/>
  <c r="C76" i="115"/>
  <c r="C77" i="114"/>
  <c r="C76" i="119"/>
  <c r="C76" i="118"/>
  <c r="AF76" i="80"/>
  <c r="C76" i="80"/>
  <c r="D5" i="80"/>
  <c r="E5" i="80"/>
  <c r="F5" i="80"/>
  <c r="G5" i="80"/>
  <c r="H5" i="80"/>
  <c r="I5" i="80"/>
  <c r="J5" i="80"/>
  <c r="K5" i="80"/>
  <c r="L5" i="80"/>
  <c r="M5" i="80"/>
  <c r="N5" i="80"/>
  <c r="O5" i="80"/>
  <c r="P5" i="80"/>
  <c r="Q5" i="80"/>
  <c r="D5" i="76"/>
  <c r="E5" i="76"/>
  <c r="F5" i="76"/>
  <c r="G5" i="76"/>
  <c r="H5" i="76"/>
  <c r="I5" i="76"/>
  <c r="J5" i="76"/>
  <c r="X75" i="13"/>
  <c r="AH76" i="13"/>
  <c r="AG76" i="13"/>
  <c r="G5" i="5"/>
  <c r="C92" i="67"/>
  <c r="D4" i="67"/>
  <c r="E4" i="67"/>
  <c r="F4" i="67"/>
  <c r="G4" i="67"/>
  <c r="V76" i="13"/>
  <c r="F76" i="13"/>
  <c r="H39" i="13"/>
  <c r="D38" i="25"/>
  <c r="H37" i="13"/>
  <c r="D36" i="25"/>
  <c r="H33" i="13"/>
  <c r="D32" i="25"/>
  <c r="H31" i="13"/>
  <c r="D30" i="25"/>
  <c r="G29" i="13"/>
  <c r="H27" i="13"/>
  <c r="D26" i="25"/>
  <c r="G25" i="13"/>
  <c r="H23" i="13"/>
  <c r="D22" i="25"/>
  <c r="G21" i="13"/>
  <c r="H15" i="13"/>
  <c r="D14" i="25"/>
  <c r="G13" i="13"/>
  <c r="H11" i="13"/>
  <c r="D10" i="25"/>
  <c r="H8" i="13"/>
  <c r="D7" i="25"/>
  <c r="H12" i="13"/>
  <c r="D11" i="25"/>
  <c r="H16" i="13"/>
  <c r="D15" i="25"/>
  <c r="H20" i="13"/>
  <c r="D19" i="25"/>
  <c r="H24" i="13"/>
  <c r="D23" i="25"/>
  <c r="H28" i="13"/>
  <c r="D27" i="25"/>
  <c r="H32" i="13"/>
  <c r="D31" i="25"/>
  <c r="G36" i="13"/>
  <c r="H43" i="13"/>
  <c r="D42" i="25"/>
  <c r="H44" i="13"/>
  <c r="D43" i="25"/>
  <c r="H45" i="13"/>
  <c r="D44" i="25"/>
  <c r="H47" i="13"/>
  <c r="D46" i="25"/>
  <c r="H48" i="13"/>
  <c r="D47" i="25"/>
  <c r="G49" i="13"/>
  <c r="H51" i="13"/>
  <c r="D50" i="25"/>
  <c r="H52" i="13"/>
  <c r="D51" i="25"/>
  <c r="H53" i="13"/>
  <c r="D52" i="25"/>
  <c r="H55" i="13"/>
  <c r="D54" i="25"/>
  <c r="H56" i="13"/>
  <c r="D55" i="25"/>
  <c r="H57" i="13"/>
  <c r="D56" i="25"/>
  <c r="G59" i="13"/>
  <c r="H61" i="13"/>
  <c r="D60" i="25"/>
  <c r="H63" i="13"/>
  <c r="D62" i="25"/>
  <c r="H64" i="13"/>
  <c r="D63" i="25"/>
  <c r="G65" i="13"/>
  <c r="H68" i="13"/>
  <c r="D67" i="25"/>
  <c r="H69" i="13"/>
  <c r="D68" i="25"/>
  <c r="H71" i="13"/>
  <c r="D70" i="25"/>
  <c r="H72" i="13"/>
  <c r="D71" i="25"/>
  <c r="H73" i="13"/>
  <c r="D72" i="25"/>
  <c r="G75" i="13"/>
  <c r="I61" i="25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D5" i="46"/>
  <c r="E5" i="46"/>
  <c r="F5" i="46"/>
  <c r="G5" i="46"/>
  <c r="H5" i="46"/>
  <c r="I5" i="46"/>
  <c r="J5" i="46"/>
  <c r="K5" i="46"/>
  <c r="L5" i="46"/>
  <c r="M5" i="46"/>
  <c r="N5" i="46"/>
  <c r="O5" i="46"/>
  <c r="P5" i="46"/>
  <c r="Q5" i="46"/>
  <c r="R5" i="46"/>
  <c r="AI75" i="13"/>
  <c r="F74" i="25"/>
  <c r="AI74" i="13"/>
  <c r="AK74" i="13"/>
  <c r="AI73" i="13"/>
  <c r="AK73" i="13"/>
  <c r="AI72" i="13"/>
  <c r="AI71" i="13"/>
  <c r="AI70" i="13"/>
  <c r="AK70" i="13"/>
  <c r="AI69" i="13"/>
  <c r="AI68" i="13"/>
  <c r="AK68" i="13"/>
  <c r="AI67" i="13"/>
  <c r="AI66" i="13"/>
  <c r="AK66" i="13"/>
  <c r="AI65" i="13"/>
  <c r="AK65" i="13"/>
  <c r="AI64" i="13"/>
  <c r="AK64" i="13"/>
  <c r="AI63" i="13"/>
  <c r="AI62" i="13"/>
  <c r="AK62" i="13"/>
  <c r="AI61" i="13"/>
  <c r="AI60" i="13"/>
  <c r="AK60" i="13"/>
  <c r="AO60" i="13"/>
  <c r="AI59" i="13"/>
  <c r="F58" i="25"/>
  <c r="AI58" i="13"/>
  <c r="AK58" i="13"/>
  <c r="AI57" i="13"/>
  <c r="AK57" i="13"/>
  <c r="AL57" i="13"/>
  <c r="AI56" i="13"/>
  <c r="AI55" i="13"/>
  <c r="AI54" i="13"/>
  <c r="AI53" i="13"/>
  <c r="AK53" i="13"/>
  <c r="AI52" i="13"/>
  <c r="AK52" i="13"/>
  <c r="AI51" i="13"/>
  <c r="F50" i="25"/>
  <c r="AI50" i="13"/>
  <c r="AK50" i="13"/>
  <c r="AI49" i="13"/>
  <c r="AI48" i="13"/>
  <c r="AK48" i="13"/>
  <c r="AI47" i="13"/>
  <c r="AK47" i="13"/>
  <c r="AI46" i="13"/>
  <c r="AI45" i="13"/>
  <c r="AI44" i="13"/>
  <c r="AI43" i="13"/>
  <c r="F42" i="25"/>
  <c r="AI42" i="13"/>
  <c r="AK42" i="13"/>
  <c r="AI41" i="13"/>
  <c r="AK41" i="13"/>
  <c r="AI40" i="13"/>
  <c r="AI39" i="13"/>
  <c r="AI37" i="13"/>
  <c r="AI36" i="13"/>
  <c r="AK36" i="13"/>
  <c r="AI35" i="13"/>
  <c r="AK35" i="13"/>
  <c r="AI34" i="13"/>
  <c r="AK34" i="13"/>
  <c r="AI33" i="13"/>
  <c r="AK33" i="13"/>
  <c r="AI32" i="13"/>
  <c r="F31" i="25"/>
  <c r="AI31" i="13"/>
  <c r="AK31" i="13"/>
  <c r="AI30" i="13"/>
  <c r="AK30" i="13"/>
  <c r="AI29" i="13"/>
  <c r="AK29" i="13"/>
  <c r="AI28" i="13"/>
  <c r="AI27" i="13"/>
  <c r="AK27" i="13"/>
  <c r="AI26" i="13"/>
  <c r="AI25" i="13"/>
  <c r="AI24" i="13"/>
  <c r="AK24" i="13"/>
  <c r="AI23" i="13"/>
  <c r="AI22" i="13"/>
  <c r="AK22" i="13"/>
  <c r="AI21" i="13"/>
  <c r="AK21" i="13"/>
  <c r="AI20" i="13"/>
  <c r="AK20" i="13"/>
  <c r="AI19" i="13"/>
  <c r="AK19" i="13"/>
  <c r="AI18" i="13"/>
  <c r="F17" i="25"/>
  <c r="AI17" i="13"/>
  <c r="AK17" i="13"/>
  <c r="AI16" i="13"/>
  <c r="AK16" i="13"/>
  <c r="AI15" i="13"/>
  <c r="AK15" i="13"/>
  <c r="AI14" i="13"/>
  <c r="F13" i="25"/>
  <c r="AI13" i="13"/>
  <c r="AK13" i="13"/>
  <c r="AI12" i="13"/>
  <c r="AK12" i="13"/>
  <c r="AN12" i="13"/>
  <c r="AI11" i="13"/>
  <c r="AK11" i="13"/>
  <c r="AI10" i="13"/>
  <c r="AI9" i="13"/>
  <c r="AK9" i="13"/>
  <c r="AI8" i="13"/>
  <c r="AK8" i="13"/>
  <c r="AI7" i="13"/>
  <c r="AK7" i="13"/>
  <c r="AA75" i="13"/>
  <c r="Z75" i="13"/>
  <c r="Y75" i="13"/>
  <c r="O76" i="13"/>
  <c r="Q75" i="13"/>
  <c r="Q23" i="13"/>
  <c r="D4" i="5"/>
  <c r="E4" i="5"/>
  <c r="F4" i="5"/>
  <c r="G4" i="5"/>
  <c r="H4" i="5"/>
  <c r="I4" i="5"/>
  <c r="J4" i="5"/>
  <c r="K4" i="5"/>
  <c r="L4" i="5"/>
  <c r="M4" i="5"/>
  <c r="Q8" i="13"/>
  <c r="X8" i="13"/>
  <c r="X7" i="13"/>
  <c r="Q9" i="13"/>
  <c r="X9" i="13"/>
  <c r="Q10" i="13"/>
  <c r="X10" i="13"/>
  <c r="Q11" i="13"/>
  <c r="X11" i="13"/>
  <c r="Q12" i="13"/>
  <c r="X12" i="13"/>
  <c r="Q13" i="13"/>
  <c r="X13" i="13"/>
  <c r="Q14" i="13"/>
  <c r="X14" i="13"/>
  <c r="Q15" i="13"/>
  <c r="X15" i="13"/>
  <c r="Q16" i="13"/>
  <c r="X16" i="13"/>
  <c r="Q17" i="13"/>
  <c r="X17" i="13"/>
  <c r="Q18" i="13"/>
  <c r="X18" i="13"/>
  <c r="Q19" i="13"/>
  <c r="X19" i="13"/>
  <c r="Q20" i="13"/>
  <c r="X20" i="13"/>
  <c r="Q21" i="13"/>
  <c r="X21" i="13"/>
  <c r="Q22" i="13"/>
  <c r="X22" i="13"/>
  <c r="X23" i="13"/>
  <c r="Q24" i="13"/>
  <c r="X24" i="13"/>
  <c r="Q25" i="13"/>
  <c r="X25" i="13"/>
  <c r="Q26" i="13"/>
  <c r="X26" i="13"/>
  <c r="Q27" i="13"/>
  <c r="X27" i="13"/>
  <c r="Q28" i="13"/>
  <c r="X28" i="13"/>
  <c r="Q29" i="13"/>
  <c r="X29" i="13"/>
  <c r="Q30" i="13"/>
  <c r="X30" i="13"/>
  <c r="Q31" i="13"/>
  <c r="X31" i="13"/>
  <c r="Q32" i="13"/>
  <c r="X32" i="13"/>
  <c r="Q33" i="13"/>
  <c r="X33" i="13"/>
  <c r="Q34" i="13"/>
  <c r="X34" i="13"/>
  <c r="Q35" i="13"/>
  <c r="X35" i="13"/>
  <c r="Q36" i="13"/>
  <c r="X36" i="13"/>
  <c r="Q37" i="13"/>
  <c r="X37" i="13"/>
  <c r="Q38" i="13"/>
  <c r="X38" i="13"/>
  <c r="Q39" i="13"/>
  <c r="X39" i="13"/>
  <c r="Q40" i="13"/>
  <c r="X40" i="13"/>
  <c r="Q41" i="13"/>
  <c r="X41" i="13"/>
  <c r="Q42" i="13"/>
  <c r="X42" i="13"/>
  <c r="Q43" i="13"/>
  <c r="X43" i="13"/>
  <c r="Q44" i="13"/>
  <c r="X44" i="13"/>
  <c r="Q45" i="13"/>
  <c r="X45" i="13"/>
  <c r="Q46" i="13"/>
  <c r="X46" i="13"/>
  <c r="Q47" i="13"/>
  <c r="X47" i="13"/>
  <c r="Q48" i="13"/>
  <c r="X48" i="13"/>
  <c r="Q49" i="13"/>
  <c r="X49" i="13"/>
  <c r="Q50" i="13"/>
  <c r="X50" i="13"/>
  <c r="Q51" i="13"/>
  <c r="X51" i="13"/>
  <c r="Q52" i="13"/>
  <c r="X52" i="13"/>
  <c r="Q53" i="13"/>
  <c r="X53" i="13"/>
  <c r="Q54" i="13"/>
  <c r="X54" i="13"/>
  <c r="Q55" i="13"/>
  <c r="X55" i="13"/>
  <c r="Q56" i="13"/>
  <c r="X56" i="13"/>
  <c r="Q57" i="13"/>
  <c r="X57" i="13"/>
  <c r="Q58" i="13"/>
  <c r="X58" i="13"/>
  <c r="Q59" i="13"/>
  <c r="X59" i="13"/>
  <c r="Q60" i="13"/>
  <c r="X60" i="13"/>
  <c r="Q61" i="13"/>
  <c r="X61" i="13"/>
  <c r="Q62" i="13"/>
  <c r="X62" i="13"/>
  <c r="Q63" i="13"/>
  <c r="X63" i="13"/>
  <c r="Q64" i="13"/>
  <c r="X64" i="13"/>
  <c r="Q65" i="13"/>
  <c r="X65" i="13"/>
  <c r="Q66" i="13"/>
  <c r="X66" i="13"/>
  <c r="Q67" i="13"/>
  <c r="X67" i="13"/>
  <c r="Q68" i="13"/>
  <c r="X68" i="13"/>
  <c r="Q69" i="13"/>
  <c r="X69" i="13"/>
  <c r="Q70" i="13"/>
  <c r="X70" i="13"/>
  <c r="Q71" i="13"/>
  <c r="X71" i="13"/>
  <c r="Q72" i="13"/>
  <c r="X72" i="13"/>
  <c r="Q73" i="13"/>
  <c r="X73" i="13"/>
  <c r="Q74" i="13"/>
  <c r="X74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D6" i="13"/>
  <c r="D5" i="25"/>
  <c r="E5" i="25"/>
  <c r="F5" i="25"/>
  <c r="G5" i="25"/>
  <c r="H5" i="25"/>
  <c r="I5" i="25"/>
  <c r="J5" i="25"/>
  <c r="N1" i="1"/>
  <c r="E75" i="2"/>
  <c r="F57" i="25"/>
  <c r="AP7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Z20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9" i="13"/>
  <c r="Z70" i="13"/>
  <c r="Z71" i="13"/>
  <c r="Z72" i="13"/>
  <c r="Z73" i="13"/>
  <c r="Z74" i="13"/>
  <c r="W76" i="13"/>
  <c r="S76" i="13"/>
  <c r="P76" i="13"/>
  <c r="L76" i="13"/>
  <c r="J76" i="13"/>
  <c r="Q78" i="13"/>
  <c r="C76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AN18" i="13"/>
  <c r="AO18" i="13"/>
  <c r="D76" i="13"/>
  <c r="AK38" i="13"/>
  <c r="AL38" i="13"/>
  <c r="F37" i="25"/>
  <c r="AJ76" i="13"/>
  <c r="AM18" i="13"/>
  <c r="G17" i="25"/>
  <c r="AL18" i="13"/>
  <c r="AC27" i="13"/>
  <c r="F29" i="25"/>
  <c r="G63" i="13"/>
  <c r="AC47" i="13"/>
  <c r="AC72" i="13"/>
  <c r="AC60" i="13"/>
  <c r="AC56" i="13"/>
  <c r="AC44" i="13"/>
  <c r="AC38" i="13"/>
  <c r="G28" i="13"/>
  <c r="AB36" i="13"/>
  <c r="AC20" i="13"/>
  <c r="F35" i="25"/>
  <c r="F40" i="25"/>
  <c r="F11" i="25"/>
  <c r="F52" i="25"/>
  <c r="F72" i="25"/>
  <c r="G53" i="13"/>
  <c r="F56" i="25"/>
  <c r="AC73" i="13"/>
  <c r="AC65" i="13"/>
  <c r="AC61" i="13"/>
  <c r="AC53" i="13"/>
  <c r="AC37" i="13"/>
  <c r="AB74" i="13"/>
  <c r="F46" i="25"/>
  <c r="F59" i="25"/>
  <c r="AB27" i="13"/>
  <c r="G27" i="13"/>
  <c r="F63" i="25"/>
  <c r="AC54" i="13"/>
  <c r="AC46" i="13"/>
  <c r="AB7" i="13"/>
  <c r="F67" i="25"/>
  <c r="AC11" i="13"/>
  <c r="AC19" i="13"/>
  <c r="F19" i="25"/>
  <c r="G7" i="13"/>
  <c r="F73" i="25"/>
  <c r="H7" i="13"/>
  <c r="D6" i="25"/>
  <c r="F69" i="25"/>
  <c r="G64" i="13"/>
  <c r="G15" i="13"/>
  <c r="G68" i="13"/>
  <c r="AB22" i="13"/>
  <c r="F8" i="25"/>
  <c r="G23" i="13"/>
  <c r="G56" i="13"/>
  <c r="AB64" i="13"/>
  <c r="AC14" i="13"/>
  <c r="AC7" i="13"/>
  <c r="AC41" i="13"/>
  <c r="G57" i="13"/>
  <c r="AC24" i="13"/>
  <c r="G45" i="13"/>
  <c r="G61" i="13"/>
  <c r="G73" i="13"/>
  <c r="AK59" i="13"/>
  <c r="F47" i="25"/>
  <c r="G20" i="13"/>
  <c r="AC28" i="13"/>
  <c r="AB17" i="13"/>
  <c r="F18" i="25"/>
  <c r="AB20" i="13"/>
  <c r="AC63" i="13"/>
  <c r="AB51" i="13"/>
  <c r="AB47" i="13"/>
  <c r="F6" i="25"/>
  <c r="F43" i="25"/>
  <c r="G51" i="13"/>
  <c r="AC67" i="13"/>
  <c r="AC51" i="13"/>
  <c r="AC25" i="13"/>
  <c r="AE10" i="13"/>
  <c r="C9" i="25"/>
  <c r="AK51" i="13"/>
  <c r="AK43" i="13"/>
  <c r="F36" i="25"/>
  <c r="AC8" i="13"/>
  <c r="G32" i="13"/>
  <c r="H36" i="13"/>
  <c r="D35" i="25"/>
  <c r="AB30" i="13"/>
  <c r="Q73" i="1"/>
  <c r="F12" i="25"/>
  <c r="G37" i="13"/>
  <c r="AC59" i="13"/>
  <c r="F32" i="25"/>
  <c r="F41" i="25"/>
  <c r="G8" i="13"/>
  <c r="G16" i="13"/>
  <c r="G44" i="13"/>
  <c r="AB32" i="13"/>
  <c r="F73" i="1"/>
  <c r="AK45" i="13"/>
  <c r="F44" i="25"/>
  <c r="F51" i="25"/>
  <c r="F33" i="25"/>
  <c r="AK39" i="13"/>
  <c r="AL39" i="13"/>
  <c r="F38" i="25"/>
  <c r="AE19" i="13"/>
  <c r="AD19" i="13"/>
  <c r="AB19" i="13"/>
  <c r="AK55" i="13"/>
  <c r="AL55" i="13"/>
  <c r="F54" i="25"/>
  <c r="AE68" i="13"/>
  <c r="C67" i="25"/>
  <c r="AC68" i="13"/>
  <c r="AE48" i="13"/>
  <c r="AC48" i="13"/>
  <c r="AK49" i="13"/>
  <c r="AN49" i="13"/>
  <c r="F48" i="25"/>
  <c r="F60" i="25"/>
  <c r="F64" i="25"/>
  <c r="AE49" i="13"/>
  <c r="C48" i="25"/>
  <c r="AE41" i="13"/>
  <c r="AE39" i="13"/>
  <c r="AD39" i="13"/>
  <c r="AE37" i="13"/>
  <c r="C36" i="25"/>
  <c r="H41" i="13"/>
  <c r="D40" i="25"/>
  <c r="G41" i="13"/>
  <c r="H67" i="13"/>
  <c r="D66" i="25"/>
  <c r="G67" i="13"/>
  <c r="H60" i="13"/>
  <c r="D59" i="25"/>
  <c r="G60" i="13"/>
  <c r="H19" i="13"/>
  <c r="D18" i="25"/>
  <c r="G19" i="13"/>
  <c r="G47" i="13"/>
  <c r="F7" i="25"/>
  <c r="F14" i="25"/>
  <c r="F26" i="25"/>
  <c r="F34" i="25"/>
  <c r="F49" i="25"/>
  <c r="F65" i="25"/>
  <c r="AB37" i="13"/>
  <c r="AE46" i="13"/>
  <c r="C45" i="25"/>
  <c r="AE44" i="13"/>
  <c r="C43" i="25"/>
  <c r="AE34" i="13"/>
  <c r="AE26" i="13"/>
  <c r="C25" i="25"/>
  <c r="H59" i="13"/>
  <c r="D58" i="25"/>
  <c r="AO66" i="13"/>
  <c r="F61" i="25"/>
  <c r="AK75" i="13"/>
  <c r="AL75" i="13"/>
  <c r="F10" i="25"/>
  <c r="F45" i="25"/>
  <c r="AK14" i="13"/>
  <c r="AO14" i="13"/>
  <c r="AB34" i="13"/>
  <c r="AB41" i="13"/>
  <c r="AE66" i="13"/>
  <c r="AD66" i="13"/>
  <c r="AE60" i="13"/>
  <c r="C59" i="25"/>
  <c r="AL24" i="13"/>
  <c r="AM24" i="13"/>
  <c r="G23" i="25"/>
  <c r="F20" i="25"/>
  <c r="F21" i="25"/>
  <c r="AI76" i="13"/>
  <c r="F16" i="25"/>
  <c r="F30" i="25"/>
  <c r="F23" i="25"/>
  <c r="F28" i="25"/>
  <c r="AE74" i="13"/>
  <c r="AQ74" i="13"/>
  <c r="AE42" i="13"/>
  <c r="AQ42" i="13"/>
  <c r="AE40" i="13"/>
  <c r="AE36" i="13"/>
  <c r="AQ36" i="13"/>
  <c r="AE17" i="13"/>
  <c r="AD17" i="13"/>
  <c r="AE13" i="13"/>
  <c r="C12" i="25"/>
  <c r="AE9" i="13"/>
  <c r="AQ9" i="13"/>
  <c r="AB13" i="13"/>
  <c r="AB44" i="13"/>
  <c r="AB18" i="13"/>
  <c r="AE58" i="13"/>
  <c r="C57" i="25"/>
  <c r="AE56" i="13"/>
  <c r="AQ56" i="13"/>
  <c r="AE24" i="13"/>
  <c r="AQ24" i="13"/>
  <c r="AE73" i="13"/>
  <c r="AD73" i="13"/>
  <c r="AE71" i="13"/>
  <c r="AD71" i="13"/>
  <c r="AE69" i="13"/>
  <c r="C68" i="25"/>
  <c r="AE22" i="13"/>
  <c r="C21" i="25"/>
  <c r="AE15" i="13"/>
  <c r="AD15" i="13"/>
  <c r="AE45" i="13"/>
  <c r="C44" i="25"/>
  <c r="AE31" i="13"/>
  <c r="AD31" i="13"/>
  <c r="AE29" i="13"/>
  <c r="AQ29" i="13"/>
  <c r="AE8" i="13"/>
  <c r="AC70" i="13"/>
  <c r="AC66" i="13"/>
  <c r="AC22" i="13"/>
  <c r="AC29" i="13"/>
  <c r="AE65" i="13"/>
  <c r="AD65" i="13"/>
  <c r="AE63" i="13"/>
  <c r="AE61" i="13"/>
  <c r="C60" i="25"/>
  <c r="AE54" i="13"/>
  <c r="AD54" i="13"/>
  <c r="AC40" i="13"/>
  <c r="AC9" i="13"/>
  <c r="AC17" i="13"/>
  <c r="C75" i="67"/>
  <c r="C81" i="67"/>
  <c r="AB31" i="13"/>
  <c r="AC69" i="13"/>
  <c r="G24" i="13"/>
  <c r="G39" i="13"/>
  <c r="G52" i="13"/>
  <c r="H75" i="13"/>
  <c r="D74" i="25"/>
  <c r="AB12" i="13"/>
  <c r="AC15" i="13"/>
  <c r="AC31" i="13"/>
  <c r="AC36" i="13"/>
  <c r="AB39" i="13"/>
  <c r="AB43" i="13"/>
  <c r="AB45" i="13"/>
  <c r="AC55" i="13"/>
  <c r="AC71" i="13"/>
  <c r="G12" i="13"/>
  <c r="G71" i="13"/>
  <c r="AB15" i="13"/>
  <c r="G31" i="13"/>
  <c r="G69" i="13"/>
  <c r="AC30" i="13"/>
  <c r="AC12" i="13"/>
  <c r="AC16" i="13"/>
  <c r="AC23" i="13"/>
  <c r="AC39" i="13"/>
  <c r="AC43" i="13"/>
  <c r="AC45" i="13"/>
  <c r="AB48" i="13"/>
  <c r="AB52" i="13"/>
  <c r="AB56" i="13"/>
  <c r="AB68" i="13"/>
  <c r="AB72" i="13"/>
  <c r="G43" i="13"/>
  <c r="G48" i="13"/>
  <c r="G55" i="13"/>
  <c r="G72" i="13"/>
  <c r="AB8" i="13"/>
  <c r="AC13" i="13"/>
  <c r="AC21" i="13"/>
  <c r="AB24" i="13"/>
  <c r="AC33" i="13"/>
  <c r="AB46" i="13"/>
  <c r="AB54" i="13"/>
  <c r="G17" i="13"/>
  <c r="G33" i="13"/>
  <c r="G40" i="13"/>
  <c r="AC18" i="13"/>
  <c r="H65" i="13"/>
  <c r="D64" i="25"/>
  <c r="H49" i="13"/>
  <c r="D48" i="25"/>
  <c r="H40" i="13"/>
  <c r="D39" i="25"/>
  <c r="H9" i="13"/>
  <c r="D8" i="25"/>
  <c r="H13" i="13"/>
  <c r="D12" i="25"/>
  <c r="H17" i="13"/>
  <c r="D16" i="25"/>
  <c r="H21" i="13"/>
  <c r="D20" i="25"/>
  <c r="H25" i="13"/>
  <c r="D24" i="25"/>
  <c r="H29" i="13"/>
  <c r="D28" i="25"/>
  <c r="AB75" i="13"/>
  <c r="AB9" i="13"/>
  <c r="AB25" i="13"/>
  <c r="AB29" i="13"/>
  <c r="AC34" i="13"/>
  <c r="AB40" i="13"/>
  <c r="AB49" i="13"/>
  <c r="G9" i="13"/>
  <c r="AC57" i="13"/>
  <c r="AC49" i="13"/>
  <c r="AC62" i="13"/>
  <c r="Q76" i="13"/>
  <c r="AE55" i="13"/>
  <c r="AB55" i="13"/>
  <c r="AE53" i="13"/>
  <c r="C52" i="25"/>
  <c r="AB53" i="13"/>
  <c r="AE32" i="13"/>
  <c r="AC32" i="13"/>
  <c r="AE11" i="13"/>
  <c r="X76" i="13"/>
  <c r="AB11" i="13"/>
  <c r="F15" i="25"/>
  <c r="H74" i="13"/>
  <c r="D73" i="25"/>
  <c r="G74" i="13"/>
  <c r="AC74" i="13"/>
  <c r="H66" i="13"/>
  <c r="D65" i="25"/>
  <c r="G66" i="13"/>
  <c r="AB66" i="13"/>
  <c r="H58" i="13"/>
  <c r="D57" i="25"/>
  <c r="G58" i="13"/>
  <c r="AC58" i="13"/>
  <c r="AB58" i="13"/>
  <c r="H50" i="13"/>
  <c r="D49" i="25"/>
  <c r="G50" i="13"/>
  <c r="AC50" i="13"/>
  <c r="H42" i="13"/>
  <c r="D41" i="25"/>
  <c r="G42" i="13"/>
  <c r="AB42" i="13"/>
  <c r="AC42" i="13"/>
  <c r="H26" i="13"/>
  <c r="D25" i="25"/>
  <c r="G26" i="13"/>
  <c r="AB26" i="13"/>
  <c r="AC26" i="13"/>
  <c r="H10" i="13"/>
  <c r="G10" i="13"/>
  <c r="E76" i="13"/>
  <c r="G76" i="13"/>
  <c r="AB10" i="13"/>
  <c r="AC10" i="13"/>
  <c r="AE52" i="13"/>
  <c r="AC52" i="13"/>
  <c r="AB28" i="13"/>
  <c r="AE28" i="13"/>
  <c r="AE23" i="13"/>
  <c r="AB23" i="13"/>
  <c r="AK26" i="13"/>
  <c r="AN26" i="13"/>
  <c r="F25" i="25"/>
  <c r="AB60" i="13"/>
  <c r="AC64" i="13"/>
  <c r="AE64" i="13"/>
  <c r="AE38" i="13"/>
  <c r="AB38" i="13"/>
  <c r="AE33" i="13"/>
  <c r="AB33" i="13"/>
  <c r="AE75" i="13"/>
  <c r="AC75" i="13"/>
  <c r="AK10" i="13"/>
  <c r="AL10" i="13"/>
  <c r="AK23" i="13"/>
  <c r="F22" i="25"/>
  <c r="H35" i="13"/>
  <c r="D34" i="25"/>
  <c r="G35" i="13"/>
  <c r="AB35" i="13"/>
  <c r="AC35" i="13"/>
  <c r="AE70" i="13"/>
  <c r="AQ70" i="13"/>
  <c r="AB70" i="13"/>
  <c r="AB50" i="13"/>
  <c r="AE50" i="13"/>
  <c r="AE21" i="13"/>
  <c r="AB21" i="13"/>
  <c r="AE16" i="13"/>
  <c r="AB16" i="13"/>
  <c r="AE14" i="13"/>
  <c r="AB14" i="13"/>
  <c r="AK32" i="13"/>
  <c r="H70" i="13"/>
  <c r="D69" i="25"/>
  <c r="G70" i="13"/>
  <c r="H62" i="13"/>
  <c r="D61" i="25"/>
  <c r="G62" i="13"/>
  <c r="H54" i="13"/>
  <c r="D53" i="25"/>
  <c r="G54" i="13"/>
  <c r="H46" i="13"/>
  <c r="D45" i="25"/>
  <c r="G46" i="13"/>
  <c r="H34" i="13"/>
  <c r="D33" i="25"/>
  <c r="G34" i="13"/>
  <c r="H18" i="13"/>
  <c r="D17" i="25"/>
  <c r="G18" i="13"/>
  <c r="AE72" i="13"/>
  <c r="AE62" i="13"/>
  <c r="AB62" i="13"/>
  <c r="AE57" i="13"/>
  <c r="AB57" i="13"/>
  <c r="AE47" i="13"/>
  <c r="AE30" i="13"/>
  <c r="AE25" i="13"/>
  <c r="AE18" i="13"/>
  <c r="AE7" i="13"/>
  <c r="AD7" i="13"/>
  <c r="H38" i="13"/>
  <c r="D37" i="25"/>
  <c r="G38" i="13"/>
  <c r="H22" i="13"/>
  <c r="D21" i="25"/>
  <c r="G22" i="13"/>
  <c r="H30" i="13"/>
  <c r="D29" i="25"/>
  <c r="G30" i="13"/>
  <c r="H14" i="13"/>
  <c r="D13" i="25"/>
  <c r="G14" i="13"/>
  <c r="AE67" i="13"/>
  <c r="C66" i="25"/>
  <c r="AE59" i="13"/>
  <c r="C58" i="25"/>
  <c r="AE51" i="13"/>
  <c r="C50" i="25"/>
  <c r="AE43" i="13"/>
  <c r="C42" i="25"/>
  <c r="AE35" i="13"/>
  <c r="AE27" i="13"/>
  <c r="AQ27" i="13"/>
  <c r="AE20" i="13"/>
  <c r="C19" i="25"/>
  <c r="AE12" i="13"/>
  <c r="C11" i="25"/>
  <c r="AM38" i="13"/>
  <c r="G37" i="25"/>
  <c r="AN38" i="13"/>
  <c r="AD69" i="13"/>
  <c r="AO35" i="13"/>
  <c r="AN35" i="13"/>
  <c r="AM36" i="13"/>
  <c r="G35" i="25"/>
  <c r="AN36" i="13"/>
  <c r="AO41" i="13"/>
  <c r="AO57" i="13"/>
  <c r="AM57" i="13"/>
  <c r="G56" i="25"/>
  <c r="AN57" i="13"/>
  <c r="AO73" i="13"/>
  <c r="AO38" i="13"/>
  <c r="AB59" i="13"/>
  <c r="AB61" i="13"/>
  <c r="AB63" i="13"/>
  <c r="AB65" i="13"/>
  <c r="AB67" i="13"/>
  <c r="AB69" i="13"/>
  <c r="AB71" i="13"/>
  <c r="AB73" i="13"/>
  <c r="AO49" i="13"/>
  <c r="AD10" i="13"/>
  <c r="AQ68" i="13"/>
  <c r="AD40" i="13"/>
  <c r="AD44" i="13"/>
  <c r="AN55" i="13"/>
  <c r="AD68" i="13"/>
  <c r="AM49" i="13"/>
  <c r="G48" i="25"/>
  <c r="AD26" i="13"/>
  <c r="AM59" i="13"/>
  <c r="G58" i="25"/>
  <c r="AL49" i="13"/>
  <c r="AQ19" i="13"/>
  <c r="C47" i="25"/>
  <c r="AN39" i="13"/>
  <c r="C28" i="25"/>
  <c r="AO43" i="13"/>
  <c r="C73" i="25"/>
  <c r="AN43" i="13"/>
  <c r="AD53" i="13"/>
  <c r="C39" i="25"/>
  <c r="C8" i="25"/>
  <c r="AN51" i="13"/>
  <c r="AD34" i="13"/>
  <c r="AO65" i="13"/>
  <c r="AD37" i="13"/>
  <c r="C33" i="25"/>
  <c r="AD48" i="13"/>
  <c r="AD20" i="13"/>
  <c r="AQ49" i="13"/>
  <c r="AQ26" i="13"/>
  <c r="AD56" i="13"/>
  <c r="AM55" i="13"/>
  <c r="G54" i="25"/>
  <c r="AM39" i="13"/>
  <c r="G38" i="25"/>
  <c r="C26" i="25"/>
  <c r="AO55" i="13"/>
  <c r="AO39" i="13"/>
  <c r="AD59" i="13"/>
  <c r="AD13" i="13"/>
  <c r="AQ59" i="13"/>
  <c r="AD60" i="13"/>
  <c r="C65" i="25"/>
  <c r="AO75" i="13"/>
  <c r="AD45" i="13"/>
  <c r="C18" i="25"/>
  <c r="AD74" i="13"/>
  <c r="AD58" i="13"/>
  <c r="AM14" i="13"/>
  <c r="G13" i="25"/>
  <c r="AD46" i="13"/>
  <c r="AQ17" i="13"/>
  <c r="C38" i="25"/>
  <c r="AQ39" i="13"/>
  <c r="AO34" i="13"/>
  <c r="AD49" i="13"/>
  <c r="C16" i="25"/>
  <c r="C40" i="25"/>
  <c r="AQ41" i="13"/>
  <c r="AD41" i="13"/>
  <c r="AO26" i="13"/>
  <c r="AN14" i="13"/>
  <c r="AM75" i="13"/>
  <c r="G74" i="25"/>
  <c r="AN75" i="13"/>
  <c r="AL14" i="13"/>
  <c r="AD29" i="13"/>
  <c r="C34" i="25"/>
  <c r="AD22" i="13"/>
  <c r="AQ58" i="13"/>
  <c r="C55" i="25"/>
  <c r="AD35" i="13"/>
  <c r="AQ67" i="13"/>
  <c r="AQ22" i="13"/>
  <c r="C41" i="25"/>
  <c r="AQ66" i="13"/>
  <c r="AD43" i="13"/>
  <c r="AQ53" i="13"/>
  <c r="AQ69" i="13"/>
  <c r="AD9" i="13"/>
  <c r="C23" i="25"/>
  <c r="AD27" i="13"/>
  <c r="AD51" i="13"/>
  <c r="AD61" i="13"/>
  <c r="AQ13" i="13"/>
  <c r="AD42" i="13"/>
  <c r="AQ60" i="13"/>
  <c r="AD24" i="13"/>
  <c r="AI81" i="13"/>
  <c r="C6" i="25"/>
  <c r="AM26" i="13"/>
  <c r="G25" i="25"/>
  <c r="AL26" i="13"/>
  <c r="C35" i="25"/>
  <c r="AD14" i="13"/>
  <c r="AQ45" i="13"/>
  <c r="AD36" i="13"/>
  <c r="AD12" i="13"/>
  <c r="AQ43" i="13"/>
  <c r="AQ12" i="13"/>
  <c r="C7" i="25"/>
  <c r="AQ8" i="13"/>
  <c r="AD8" i="13"/>
  <c r="AQ15" i="13"/>
  <c r="C14" i="25"/>
  <c r="C72" i="25"/>
  <c r="AQ73" i="13"/>
  <c r="C62" i="25"/>
  <c r="AQ63" i="13"/>
  <c r="AD63" i="13"/>
  <c r="C64" i="25"/>
  <c r="AQ65" i="13"/>
  <c r="AQ31" i="13"/>
  <c r="C30" i="25"/>
  <c r="AQ54" i="13"/>
  <c r="C53" i="25"/>
  <c r="AQ71" i="13"/>
  <c r="C17" i="25"/>
  <c r="AQ18" i="13"/>
  <c r="AD18" i="13"/>
  <c r="AD72" i="13"/>
  <c r="C71" i="25"/>
  <c r="AQ72" i="13"/>
  <c r="C15" i="25"/>
  <c r="AQ16" i="13"/>
  <c r="AD16" i="13"/>
  <c r="AQ75" i="13"/>
  <c r="C74" i="25"/>
  <c r="AD75" i="13"/>
  <c r="AD64" i="13"/>
  <c r="C63" i="25"/>
  <c r="AQ64" i="13"/>
  <c r="C27" i="25"/>
  <c r="AQ28" i="13"/>
  <c r="AD28" i="13"/>
  <c r="C10" i="25"/>
  <c r="AQ11" i="13"/>
  <c r="AD11" i="13"/>
  <c r="AC76" i="13"/>
  <c r="AQ25" i="13"/>
  <c r="AD25" i="13"/>
  <c r="C24" i="25"/>
  <c r="C56" i="25"/>
  <c r="AQ57" i="13"/>
  <c r="AD57" i="13"/>
  <c r="AL32" i="13"/>
  <c r="AN32" i="13"/>
  <c r="AO32" i="13"/>
  <c r="AM32" i="13"/>
  <c r="G31" i="25"/>
  <c r="AD21" i="13"/>
  <c r="AQ21" i="13"/>
  <c r="C20" i="25"/>
  <c r="AN23" i="13"/>
  <c r="AM23" i="13"/>
  <c r="G22" i="25"/>
  <c r="AO23" i="13"/>
  <c r="AL23" i="13"/>
  <c r="D9" i="25"/>
  <c r="AD30" i="13"/>
  <c r="AQ30" i="13"/>
  <c r="C29" i="25"/>
  <c r="C49" i="25"/>
  <c r="AQ50" i="13"/>
  <c r="AD50" i="13"/>
  <c r="AN10" i="13"/>
  <c r="AO10" i="13"/>
  <c r="AQ33" i="13"/>
  <c r="C32" i="25"/>
  <c r="AD33" i="13"/>
  <c r="AQ32" i="13"/>
  <c r="C31" i="25"/>
  <c r="AD32" i="13"/>
  <c r="C54" i="25"/>
  <c r="AQ55" i="13"/>
  <c r="AD55" i="13"/>
  <c r="AM10" i="13"/>
  <c r="G9" i="25"/>
  <c r="AQ20" i="13"/>
  <c r="AQ51" i="13"/>
  <c r="AQ7" i="13"/>
  <c r="AE76" i="13"/>
  <c r="C46" i="25"/>
  <c r="AD47" i="13"/>
  <c r="AQ47" i="13"/>
  <c r="AQ62" i="13"/>
  <c r="C61" i="25"/>
  <c r="AD62" i="13"/>
  <c r="C69" i="25"/>
  <c r="AD38" i="13"/>
  <c r="AQ38" i="13"/>
  <c r="C37" i="25"/>
  <c r="AQ23" i="13"/>
  <c r="AD23" i="13"/>
  <c r="C22" i="25"/>
  <c r="AD52" i="13"/>
  <c r="AQ52" i="13"/>
  <c r="C51" i="25"/>
  <c r="AM16" i="13"/>
  <c r="G15" i="25"/>
  <c r="AN16" i="13"/>
  <c r="AO16" i="13"/>
  <c r="AL16" i="13"/>
  <c r="AB76" i="13"/>
  <c r="AD76" i="13"/>
  <c r="AO12" i="46"/>
  <c r="AO15" i="46"/>
  <c r="H72" i="33"/>
  <c r="C83" i="114"/>
  <c r="AE83" i="114"/>
  <c r="O83" i="114"/>
  <c r="AN8" i="13"/>
  <c r="AO8" i="13"/>
  <c r="AM20" i="13"/>
  <c r="G19" i="25"/>
  <c r="AL20" i="13"/>
  <c r="AO7" i="13"/>
  <c r="AN7" i="13"/>
  <c r="AN9" i="13"/>
  <c r="AL9" i="13"/>
  <c r="AL13" i="13"/>
  <c r="AO13" i="13"/>
  <c r="C13" i="25"/>
  <c r="AQ14" i="13"/>
  <c r="AF82" i="80"/>
  <c r="P82" i="80"/>
  <c r="C82" i="80"/>
  <c r="C82" i="76"/>
  <c r="AE82" i="113"/>
  <c r="O82" i="113"/>
  <c r="AE82" i="115"/>
  <c r="O82" i="115"/>
  <c r="O82" i="117"/>
  <c r="O82" i="118"/>
  <c r="AE82" i="119"/>
  <c r="AE82" i="120"/>
  <c r="AE82" i="125"/>
  <c r="O82" i="126"/>
  <c r="AE82" i="127"/>
  <c r="AE82" i="128"/>
  <c r="O82" i="129"/>
  <c r="O82" i="131"/>
  <c r="AE82" i="117"/>
  <c r="AE82" i="118"/>
  <c r="O82" i="119"/>
  <c r="O82" i="120"/>
  <c r="O82" i="125"/>
  <c r="AE82" i="126"/>
  <c r="O82" i="127"/>
  <c r="O82" i="128"/>
  <c r="AE82" i="129"/>
  <c r="AE82" i="131"/>
  <c r="C82" i="119"/>
  <c r="C82" i="115"/>
  <c r="C82" i="113"/>
  <c r="C82" i="125"/>
  <c r="C82" i="118"/>
  <c r="C82" i="116"/>
  <c r="C82" i="117"/>
  <c r="C82" i="120"/>
  <c r="C82" i="127"/>
  <c r="C82" i="128"/>
  <c r="AO17" i="46"/>
  <c r="F8" i="144"/>
  <c r="G8" i="144"/>
  <c r="F8" i="146"/>
  <c r="G8" i="146"/>
  <c r="F8" i="145"/>
  <c r="G8" i="145"/>
  <c r="F8" i="148"/>
  <c r="G8" i="148"/>
  <c r="F8" i="151"/>
  <c r="G8" i="151"/>
  <c r="F8" i="153"/>
  <c r="G8" i="153"/>
  <c r="F8" i="147"/>
  <c r="G8" i="147"/>
  <c r="F8" i="149"/>
  <c r="G8" i="149"/>
  <c r="F8" i="152"/>
  <c r="G8" i="152"/>
  <c r="F10" i="144"/>
  <c r="G10" i="144"/>
  <c r="F10" i="146"/>
  <c r="G10" i="146"/>
  <c r="F10" i="145"/>
  <c r="G10" i="145"/>
  <c r="F10" i="148"/>
  <c r="G10" i="148"/>
  <c r="F10" i="151"/>
  <c r="G10" i="151"/>
  <c r="F10" i="153"/>
  <c r="G10" i="153"/>
  <c r="F10" i="147"/>
  <c r="G10" i="147"/>
  <c r="F10" i="149"/>
  <c r="G10" i="149"/>
  <c r="F10" i="152"/>
  <c r="G10" i="152"/>
  <c r="F12" i="144"/>
  <c r="G12" i="144"/>
  <c r="F12" i="146"/>
  <c r="G12" i="146"/>
  <c r="F12" i="145"/>
  <c r="G12" i="145"/>
  <c r="F12" i="148"/>
  <c r="G12" i="148"/>
  <c r="F12" i="151"/>
  <c r="G12" i="151"/>
  <c r="F12" i="153"/>
  <c r="G12" i="153"/>
  <c r="F12" i="147"/>
  <c r="G12" i="147"/>
  <c r="F12" i="149"/>
  <c r="G12" i="149"/>
  <c r="F12" i="152"/>
  <c r="G12" i="152"/>
  <c r="F14" i="144"/>
  <c r="G14" i="144"/>
  <c r="F14" i="146"/>
  <c r="G14" i="146"/>
  <c r="F14" i="145"/>
  <c r="G14" i="145"/>
  <c r="F14" i="148"/>
  <c r="G14" i="148"/>
  <c r="F14" i="151"/>
  <c r="G14" i="151"/>
  <c r="F14" i="153"/>
  <c r="G14" i="153"/>
  <c r="F14" i="147"/>
  <c r="G14" i="147"/>
  <c r="F14" i="149"/>
  <c r="G14" i="149"/>
  <c r="F14" i="152"/>
  <c r="G14" i="152"/>
  <c r="F16" i="144"/>
  <c r="G16" i="144"/>
  <c r="F16" i="146"/>
  <c r="G16" i="146"/>
  <c r="F16" i="145"/>
  <c r="G16" i="145"/>
  <c r="F16" i="148"/>
  <c r="G16" i="148"/>
  <c r="F16" i="151"/>
  <c r="G16" i="151"/>
  <c r="F16" i="153"/>
  <c r="G16" i="153"/>
  <c r="F16" i="147"/>
  <c r="G16" i="147"/>
  <c r="F16" i="149"/>
  <c r="G16" i="149"/>
  <c r="F16" i="152"/>
  <c r="G16" i="152"/>
  <c r="F18" i="144"/>
  <c r="G18" i="144"/>
  <c r="F18" i="146"/>
  <c r="G18" i="146"/>
  <c r="F18" i="145"/>
  <c r="G18" i="145"/>
  <c r="F18" i="148"/>
  <c r="G18" i="148"/>
  <c r="F18" i="151"/>
  <c r="G18" i="151"/>
  <c r="F18" i="153"/>
  <c r="G18" i="153"/>
  <c r="F18" i="147"/>
  <c r="G18" i="147"/>
  <c r="F18" i="149"/>
  <c r="G18" i="149"/>
  <c r="F18" i="152"/>
  <c r="G18" i="152"/>
  <c r="F20" i="144"/>
  <c r="G20" i="144"/>
  <c r="F20" i="146"/>
  <c r="G20" i="146"/>
  <c r="F20" i="145"/>
  <c r="G20" i="145"/>
  <c r="F20" i="148"/>
  <c r="G20" i="148"/>
  <c r="F20" i="151"/>
  <c r="G20" i="151"/>
  <c r="F20" i="153"/>
  <c r="G20" i="153"/>
  <c r="F20" i="147"/>
  <c r="G20" i="147"/>
  <c r="F20" i="149"/>
  <c r="G20" i="149"/>
  <c r="F20" i="152"/>
  <c r="G20" i="152"/>
  <c r="F22" i="144"/>
  <c r="G22" i="144"/>
  <c r="F22" i="146"/>
  <c r="G22" i="146"/>
  <c r="F22" i="145"/>
  <c r="G22" i="145"/>
  <c r="F22" i="148"/>
  <c r="G22" i="148"/>
  <c r="F22" i="151"/>
  <c r="G22" i="151"/>
  <c r="F22" i="153"/>
  <c r="G22" i="153"/>
  <c r="F22" i="147"/>
  <c r="G22" i="147"/>
  <c r="F22" i="149"/>
  <c r="G22" i="149"/>
  <c r="F22" i="152"/>
  <c r="G22" i="152"/>
  <c r="F25" i="145"/>
  <c r="G25" i="145"/>
  <c r="F25" i="144"/>
  <c r="G25" i="144"/>
  <c r="F25" i="146"/>
  <c r="G25" i="146"/>
  <c r="F25" i="147"/>
  <c r="G25" i="147"/>
  <c r="F25" i="149"/>
  <c r="G25" i="149"/>
  <c r="F25" i="152"/>
  <c r="G25" i="152"/>
  <c r="F25" i="148"/>
  <c r="G25" i="148"/>
  <c r="F25" i="151"/>
  <c r="G25" i="151"/>
  <c r="F25" i="153"/>
  <c r="G25" i="153"/>
  <c r="F27" i="145"/>
  <c r="G27" i="145"/>
  <c r="F27" i="144"/>
  <c r="G27" i="144"/>
  <c r="F27" i="146"/>
  <c r="G27" i="146"/>
  <c r="F27" i="147"/>
  <c r="G27" i="147"/>
  <c r="F27" i="149"/>
  <c r="G27" i="149"/>
  <c r="F27" i="152"/>
  <c r="G27" i="152"/>
  <c r="F27" i="148"/>
  <c r="G27" i="148"/>
  <c r="F27" i="151"/>
  <c r="G27" i="151"/>
  <c r="F27" i="153"/>
  <c r="G27" i="153"/>
  <c r="F29" i="145"/>
  <c r="G29" i="145"/>
  <c r="F29" i="144"/>
  <c r="G29" i="144"/>
  <c r="F29" i="146"/>
  <c r="G29" i="146"/>
  <c r="F29" i="147"/>
  <c r="G29" i="147"/>
  <c r="F29" i="149"/>
  <c r="G29" i="149"/>
  <c r="F29" i="152"/>
  <c r="G29" i="152"/>
  <c r="F29" i="148"/>
  <c r="G29" i="148"/>
  <c r="F29" i="151"/>
  <c r="G29" i="151"/>
  <c r="F29" i="153"/>
  <c r="G29" i="153"/>
  <c r="F31" i="145"/>
  <c r="G31" i="145"/>
  <c r="F31" i="144"/>
  <c r="G31" i="144"/>
  <c r="F31" i="146"/>
  <c r="G31" i="146"/>
  <c r="F31" i="147"/>
  <c r="G31" i="147"/>
  <c r="F31" i="149"/>
  <c r="G31" i="149"/>
  <c r="F31" i="152"/>
  <c r="G31" i="152"/>
  <c r="F31" i="148"/>
  <c r="G31" i="148"/>
  <c r="F31" i="151"/>
  <c r="G31" i="151"/>
  <c r="F31" i="153"/>
  <c r="G31" i="153"/>
  <c r="F33" i="145"/>
  <c r="G33" i="145"/>
  <c r="F33" i="144"/>
  <c r="G33" i="144"/>
  <c r="F33" i="146"/>
  <c r="G33" i="146"/>
  <c r="F33" i="147"/>
  <c r="G33" i="147"/>
  <c r="F33" i="149"/>
  <c r="G33" i="149"/>
  <c r="F33" i="152"/>
  <c r="G33" i="152"/>
  <c r="F33" i="148"/>
  <c r="G33" i="148"/>
  <c r="F33" i="151"/>
  <c r="G33" i="151"/>
  <c r="F33" i="153"/>
  <c r="G33" i="153"/>
  <c r="F35" i="145"/>
  <c r="G35" i="145"/>
  <c r="F35" i="144"/>
  <c r="G35" i="144"/>
  <c r="F35" i="146"/>
  <c r="G35" i="146"/>
  <c r="F35" i="147"/>
  <c r="G35" i="147"/>
  <c r="F35" i="149"/>
  <c r="G35" i="149"/>
  <c r="F35" i="152"/>
  <c r="G35" i="152"/>
  <c r="F35" i="148"/>
  <c r="G35" i="148"/>
  <c r="F35" i="151"/>
  <c r="G35" i="151"/>
  <c r="F35" i="153"/>
  <c r="G35" i="153"/>
  <c r="F37" i="145"/>
  <c r="G37" i="145"/>
  <c r="F37" i="144"/>
  <c r="G37" i="144"/>
  <c r="F37" i="146"/>
  <c r="G37" i="146"/>
  <c r="F37" i="147"/>
  <c r="G37" i="147"/>
  <c r="F37" i="149"/>
  <c r="G37" i="149"/>
  <c r="F37" i="152"/>
  <c r="G37" i="152"/>
  <c r="F37" i="148"/>
  <c r="G37" i="148"/>
  <c r="F37" i="151"/>
  <c r="G37" i="151"/>
  <c r="F37" i="153"/>
  <c r="G37" i="153"/>
  <c r="F39" i="145"/>
  <c r="G39" i="145"/>
  <c r="F39" i="144"/>
  <c r="G39" i="144"/>
  <c r="F39" i="146"/>
  <c r="G39" i="146"/>
  <c r="F39" i="147"/>
  <c r="G39" i="147"/>
  <c r="F39" i="149"/>
  <c r="G39" i="149"/>
  <c r="F39" i="152"/>
  <c r="G39" i="152"/>
  <c r="F39" i="148"/>
  <c r="G39" i="148"/>
  <c r="F39" i="151"/>
  <c r="G39" i="151"/>
  <c r="F39" i="153"/>
  <c r="G39" i="153"/>
  <c r="F41" i="145"/>
  <c r="G41" i="145"/>
  <c r="F41" i="144"/>
  <c r="G41" i="144"/>
  <c r="F41" i="146"/>
  <c r="G41" i="146"/>
  <c r="F41" i="147"/>
  <c r="G41" i="147"/>
  <c r="F41" i="149"/>
  <c r="G41" i="149"/>
  <c r="F41" i="152"/>
  <c r="G41" i="152"/>
  <c r="F41" i="148"/>
  <c r="G41" i="148"/>
  <c r="F41" i="151"/>
  <c r="G41" i="151"/>
  <c r="F41" i="153"/>
  <c r="G41" i="153"/>
  <c r="F44" i="145"/>
  <c r="G44" i="145"/>
  <c r="F44" i="144"/>
  <c r="G44" i="144"/>
  <c r="F44" i="146"/>
  <c r="G44" i="146"/>
  <c r="F44" i="147"/>
  <c r="G44" i="147"/>
  <c r="F44" i="149"/>
  <c r="G44" i="149"/>
  <c r="F44" i="152"/>
  <c r="G44" i="152"/>
  <c r="F44" i="148"/>
  <c r="G44" i="148"/>
  <c r="F44" i="151"/>
  <c r="G44" i="151"/>
  <c r="F44" i="153"/>
  <c r="G44" i="153"/>
  <c r="F47" i="144"/>
  <c r="G47" i="144"/>
  <c r="F47" i="146"/>
  <c r="G47" i="146"/>
  <c r="F47" i="145"/>
  <c r="G47" i="145"/>
  <c r="F47" i="148"/>
  <c r="G47" i="148"/>
  <c r="F47" i="151"/>
  <c r="G47" i="151"/>
  <c r="F47" i="153"/>
  <c r="G47" i="153"/>
  <c r="F47" i="147"/>
  <c r="G47" i="147"/>
  <c r="F47" i="149"/>
  <c r="G47" i="149"/>
  <c r="F47" i="152"/>
  <c r="G47" i="152"/>
  <c r="F49" i="144"/>
  <c r="G49" i="144"/>
  <c r="F49" i="146"/>
  <c r="G49" i="146"/>
  <c r="F49" i="145"/>
  <c r="G49" i="145"/>
  <c r="F49" i="148"/>
  <c r="G49" i="148"/>
  <c r="F49" i="151"/>
  <c r="G49" i="151"/>
  <c r="F49" i="153"/>
  <c r="G49" i="153"/>
  <c r="F49" i="147"/>
  <c r="G49" i="147"/>
  <c r="F49" i="149"/>
  <c r="G49" i="149"/>
  <c r="F49" i="152"/>
  <c r="G49" i="152"/>
  <c r="F51" i="144"/>
  <c r="G51" i="144"/>
  <c r="F51" i="146"/>
  <c r="G51" i="146"/>
  <c r="F51" i="145"/>
  <c r="G51" i="145"/>
  <c r="F51" i="148"/>
  <c r="G51" i="148"/>
  <c r="F51" i="151"/>
  <c r="G51" i="151"/>
  <c r="F51" i="153"/>
  <c r="G51" i="153"/>
  <c r="F51" i="147"/>
  <c r="G51" i="147"/>
  <c r="F51" i="149"/>
  <c r="G51" i="149"/>
  <c r="F51" i="152"/>
  <c r="G51" i="152"/>
  <c r="F53" i="144"/>
  <c r="G53" i="144"/>
  <c r="F53" i="146"/>
  <c r="G53" i="146"/>
  <c r="F53" i="145"/>
  <c r="G53" i="145"/>
  <c r="F53" i="148"/>
  <c r="G53" i="148"/>
  <c r="F53" i="151"/>
  <c r="G53" i="151"/>
  <c r="F53" i="153"/>
  <c r="G53" i="153"/>
  <c r="F53" i="147"/>
  <c r="G53" i="147"/>
  <c r="F53" i="149"/>
  <c r="G53" i="149"/>
  <c r="F53" i="152"/>
  <c r="G53" i="152"/>
  <c r="F55" i="144"/>
  <c r="G55" i="144"/>
  <c r="F55" i="146"/>
  <c r="G55" i="146"/>
  <c r="F55" i="145"/>
  <c r="G55" i="145"/>
  <c r="F55" i="148"/>
  <c r="G55" i="148"/>
  <c r="F55" i="151"/>
  <c r="G55" i="151"/>
  <c r="F55" i="153"/>
  <c r="G55" i="153"/>
  <c r="F55" i="147"/>
  <c r="G55" i="147"/>
  <c r="F55" i="149"/>
  <c r="G55" i="149"/>
  <c r="F55" i="152"/>
  <c r="G55" i="152"/>
  <c r="F57" i="144"/>
  <c r="G57" i="144"/>
  <c r="F57" i="146"/>
  <c r="G57" i="146"/>
  <c r="F57" i="145"/>
  <c r="G57" i="145"/>
  <c r="F57" i="148"/>
  <c r="G57" i="148"/>
  <c r="F57" i="151"/>
  <c r="G57" i="151"/>
  <c r="F57" i="153"/>
  <c r="G57" i="153"/>
  <c r="F57" i="147"/>
  <c r="G57" i="147"/>
  <c r="F57" i="149"/>
  <c r="G57" i="149"/>
  <c r="F57" i="152"/>
  <c r="G57" i="152"/>
  <c r="F59" i="144"/>
  <c r="G59" i="144"/>
  <c r="F59" i="146"/>
  <c r="G59" i="146"/>
  <c r="F59" i="145"/>
  <c r="G59" i="145"/>
  <c r="F59" i="148"/>
  <c r="G59" i="148"/>
  <c r="F59" i="151"/>
  <c r="G59" i="151"/>
  <c r="F59" i="153"/>
  <c r="G59" i="153"/>
  <c r="F59" i="147"/>
  <c r="G59" i="147"/>
  <c r="F59" i="149"/>
  <c r="G59" i="149"/>
  <c r="F59" i="152"/>
  <c r="G59" i="152"/>
  <c r="F61" i="144"/>
  <c r="G61" i="144"/>
  <c r="F61" i="146"/>
  <c r="G61" i="146"/>
  <c r="F61" i="145"/>
  <c r="G61" i="145"/>
  <c r="F61" i="148"/>
  <c r="G61" i="148"/>
  <c r="F61" i="151"/>
  <c r="G61" i="151"/>
  <c r="F61" i="153"/>
  <c r="G61" i="153"/>
  <c r="F61" i="147"/>
  <c r="G61" i="147"/>
  <c r="F61" i="149"/>
  <c r="G61" i="149"/>
  <c r="F61" i="152"/>
  <c r="G61" i="152"/>
  <c r="F63" i="144"/>
  <c r="G63" i="144"/>
  <c r="F63" i="146"/>
  <c r="G63" i="146"/>
  <c r="F63" i="145"/>
  <c r="G63" i="145"/>
  <c r="F63" i="148"/>
  <c r="G63" i="148"/>
  <c r="F63" i="151"/>
  <c r="G63" i="151"/>
  <c r="F63" i="153"/>
  <c r="G63" i="153"/>
  <c r="F63" i="147"/>
  <c r="G63" i="147"/>
  <c r="F63" i="149"/>
  <c r="G63" i="149"/>
  <c r="F63" i="152"/>
  <c r="G63" i="152"/>
  <c r="F65" i="144"/>
  <c r="G65" i="144"/>
  <c r="F65" i="146"/>
  <c r="G65" i="146"/>
  <c r="F65" i="145"/>
  <c r="G65" i="145"/>
  <c r="F65" i="148"/>
  <c r="G65" i="148"/>
  <c r="F65" i="151"/>
  <c r="G65" i="151"/>
  <c r="F65" i="153"/>
  <c r="G65" i="153"/>
  <c r="F65" i="147"/>
  <c r="G65" i="147"/>
  <c r="F65" i="149"/>
  <c r="G65" i="149"/>
  <c r="F65" i="152"/>
  <c r="G65" i="152"/>
  <c r="F67" i="144"/>
  <c r="G67" i="144"/>
  <c r="F67" i="146"/>
  <c r="G67" i="146"/>
  <c r="F67" i="145"/>
  <c r="G67" i="145"/>
  <c r="F67" i="148"/>
  <c r="G67" i="148"/>
  <c r="F67" i="151"/>
  <c r="G67" i="151"/>
  <c r="F67" i="153"/>
  <c r="G67" i="153"/>
  <c r="F67" i="147"/>
  <c r="G67" i="147"/>
  <c r="F67" i="149"/>
  <c r="G67" i="149"/>
  <c r="F67" i="152"/>
  <c r="G67" i="152"/>
  <c r="F69" i="144"/>
  <c r="G69" i="144"/>
  <c r="F69" i="146"/>
  <c r="G69" i="146"/>
  <c r="F69" i="145"/>
  <c r="G69" i="145"/>
  <c r="F69" i="148"/>
  <c r="G69" i="148"/>
  <c r="F69" i="151"/>
  <c r="G69" i="151"/>
  <c r="F69" i="153"/>
  <c r="G69" i="153"/>
  <c r="F69" i="147"/>
  <c r="G69" i="147"/>
  <c r="F69" i="149"/>
  <c r="G69" i="149"/>
  <c r="F69" i="152"/>
  <c r="G69" i="152"/>
  <c r="F71" i="144"/>
  <c r="G71" i="144"/>
  <c r="F71" i="146"/>
  <c r="G71" i="146"/>
  <c r="F71" i="145"/>
  <c r="G71" i="145"/>
  <c r="F71" i="147"/>
  <c r="G71" i="147"/>
  <c r="F71" i="148"/>
  <c r="G71" i="148"/>
  <c r="F71" i="151"/>
  <c r="G71" i="151"/>
  <c r="F71" i="153"/>
  <c r="G71" i="153"/>
  <c r="F71" i="149"/>
  <c r="G71" i="149"/>
  <c r="F71" i="152"/>
  <c r="G71" i="152"/>
  <c r="F73" i="144"/>
  <c r="G73" i="144"/>
  <c r="F73" i="146"/>
  <c r="G73" i="146"/>
  <c r="F73" i="145"/>
  <c r="G73" i="145"/>
  <c r="F73" i="147"/>
  <c r="G73" i="147"/>
  <c r="F73" i="148"/>
  <c r="G73" i="148"/>
  <c r="F73" i="151"/>
  <c r="G73" i="151"/>
  <c r="F73" i="153"/>
  <c r="G73" i="153"/>
  <c r="F73" i="149"/>
  <c r="G73" i="149"/>
  <c r="F73" i="152"/>
  <c r="G73" i="152"/>
  <c r="F75" i="144"/>
  <c r="G75" i="144"/>
  <c r="F75" i="146"/>
  <c r="G75" i="146"/>
  <c r="F75" i="145"/>
  <c r="G75" i="145"/>
  <c r="F75" i="147"/>
  <c r="G75" i="147"/>
  <c r="F75" i="148"/>
  <c r="G75" i="148"/>
  <c r="F75" i="151"/>
  <c r="G75" i="151"/>
  <c r="F75" i="153"/>
  <c r="G75" i="153"/>
  <c r="F75" i="149"/>
  <c r="G75" i="149"/>
  <c r="F75" i="152"/>
  <c r="G75" i="152"/>
  <c r="T5" i="116"/>
  <c r="U5" i="116"/>
  <c r="V5" i="116"/>
  <c r="W5" i="116"/>
  <c r="X5" i="116"/>
  <c r="Y5" i="116"/>
  <c r="Z5" i="116"/>
  <c r="AA5" i="116"/>
  <c r="AB5" i="116"/>
  <c r="AC5" i="116"/>
  <c r="AD5" i="116"/>
  <c r="AE5" i="116"/>
  <c r="AF5" i="116"/>
  <c r="AG5" i="116"/>
  <c r="AH5" i="116"/>
  <c r="AI5" i="116"/>
  <c r="AJ5" i="116"/>
  <c r="AK5" i="116"/>
  <c r="T5" i="119"/>
  <c r="U5" i="119"/>
  <c r="V5" i="119"/>
  <c r="W5" i="119"/>
  <c r="X5" i="119"/>
  <c r="Y5" i="119"/>
  <c r="Z5" i="119"/>
  <c r="AA5" i="119"/>
  <c r="AB5" i="119"/>
  <c r="AC5" i="119"/>
  <c r="AD5" i="119"/>
  <c r="AE5" i="119"/>
  <c r="AF5" i="119"/>
  <c r="AG5" i="119"/>
  <c r="AH5" i="119"/>
  <c r="AI5" i="119"/>
  <c r="AJ5" i="119"/>
  <c r="AK5" i="119"/>
  <c r="T5" i="127"/>
  <c r="U5" i="127"/>
  <c r="V5" i="127"/>
  <c r="W5" i="127"/>
  <c r="X5" i="127"/>
  <c r="Y5" i="127"/>
  <c r="Z5" i="127"/>
  <c r="AA5" i="127"/>
  <c r="AB5" i="127"/>
  <c r="AC5" i="127"/>
  <c r="AD5" i="127"/>
  <c r="AE5" i="127"/>
  <c r="AF5" i="127"/>
  <c r="AG5" i="127"/>
  <c r="AH5" i="127"/>
  <c r="AI5" i="127"/>
  <c r="AJ5" i="127"/>
  <c r="AK5" i="127"/>
  <c r="F7" i="144"/>
  <c r="G7" i="144"/>
  <c r="F7" i="146"/>
  <c r="G7" i="146"/>
  <c r="F7" i="148"/>
  <c r="G7" i="148"/>
  <c r="F7" i="151"/>
  <c r="G7" i="151"/>
  <c r="F7" i="153"/>
  <c r="G7" i="153"/>
  <c r="F7" i="145"/>
  <c r="G7" i="145"/>
  <c r="F7" i="147"/>
  <c r="G7" i="147"/>
  <c r="F7" i="149"/>
  <c r="G7" i="149"/>
  <c r="F7" i="152"/>
  <c r="G7" i="152"/>
  <c r="F9" i="145"/>
  <c r="G9" i="145"/>
  <c r="F9" i="144"/>
  <c r="G9" i="144"/>
  <c r="F9" i="146"/>
  <c r="G9" i="146"/>
  <c r="F9" i="147"/>
  <c r="G9" i="147"/>
  <c r="F9" i="149"/>
  <c r="G9" i="149"/>
  <c r="F9" i="152"/>
  <c r="G9" i="152"/>
  <c r="F9" i="148"/>
  <c r="G9" i="148"/>
  <c r="F9" i="151"/>
  <c r="G9" i="151"/>
  <c r="F9" i="153"/>
  <c r="G9" i="153"/>
  <c r="F11" i="145"/>
  <c r="G11" i="145"/>
  <c r="F11" i="144"/>
  <c r="G11" i="144"/>
  <c r="F11" i="146"/>
  <c r="G11" i="146"/>
  <c r="F11" i="147"/>
  <c r="G11" i="147"/>
  <c r="F11" i="149"/>
  <c r="G11" i="149"/>
  <c r="F11" i="152"/>
  <c r="G11" i="152"/>
  <c r="F11" i="148"/>
  <c r="G11" i="148"/>
  <c r="F11" i="151"/>
  <c r="G11" i="151"/>
  <c r="F11" i="153"/>
  <c r="G11" i="153"/>
  <c r="F13" i="145"/>
  <c r="G13" i="145"/>
  <c r="F13" i="144"/>
  <c r="G13" i="144"/>
  <c r="F13" i="146"/>
  <c r="G13" i="146"/>
  <c r="F13" i="147"/>
  <c r="G13" i="147"/>
  <c r="F13" i="149"/>
  <c r="G13" i="149"/>
  <c r="F13" i="152"/>
  <c r="G13" i="152"/>
  <c r="F13" i="148"/>
  <c r="G13" i="148"/>
  <c r="F13" i="151"/>
  <c r="G13" i="151"/>
  <c r="F13" i="153"/>
  <c r="G13" i="153"/>
  <c r="F15" i="145"/>
  <c r="G15" i="145"/>
  <c r="F15" i="144"/>
  <c r="G15" i="144"/>
  <c r="F15" i="146"/>
  <c r="G15" i="146"/>
  <c r="F15" i="147"/>
  <c r="G15" i="147"/>
  <c r="F15" i="149"/>
  <c r="G15" i="149"/>
  <c r="F15" i="152"/>
  <c r="G15" i="152"/>
  <c r="F15" i="148"/>
  <c r="G15" i="148"/>
  <c r="F15" i="151"/>
  <c r="G15" i="151"/>
  <c r="F15" i="153"/>
  <c r="G15" i="153"/>
  <c r="F17" i="145"/>
  <c r="G17" i="145"/>
  <c r="F17" i="144"/>
  <c r="G17" i="144"/>
  <c r="F17" i="146"/>
  <c r="G17" i="146"/>
  <c r="F17" i="147"/>
  <c r="G17" i="147"/>
  <c r="F17" i="149"/>
  <c r="G17" i="149"/>
  <c r="F17" i="152"/>
  <c r="G17" i="152"/>
  <c r="F17" i="148"/>
  <c r="G17" i="148"/>
  <c r="F17" i="151"/>
  <c r="G17" i="151"/>
  <c r="F17" i="153"/>
  <c r="G17" i="153"/>
  <c r="F19" i="145"/>
  <c r="G19" i="145"/>
  <c r="F19" i="144"/>
  <c r="G19" i="144"/>
  <c r="F19" i="146"/>
  <c r="G19" i="146"/>
  <c r="F19" i="147"/>
  <c r="G19" i="147"/>
  <c r="F19" i="149"/>
  <c r="G19" i="149"/>
  <c r="F19" i="152"/>
  <c r="G19" i="152"/>
  <c r="F19" i="148"/>
  <c r="G19" i="148"/>
  <c r="F19" i="151"/>
  <c r="G19" i="151"/>
  <c r="F19" i="153"/>
  <c r="G19" i="153"/>
  <c r="F21" i="145"/>
  <c r="G21" i="145"/>
  <c r="F21" i="144"/>
  <c r="G21" i="144"/>
  <c r="F21" i="146"/>
  <c r="G21" i="146"/>
  <c r="F21" i="147"/>
  <c r="G21" i="147"/>
  <c r="F21" i="149"/>
  <c r="G21" i="149"/>
  <c r="F21" i="152"/>
  <c r="G21" i="152"/>
  <c r="F21" i="148"/>
  <c r="G21" i="148"/>
  <c r="F21" i="151"/>
  <c r="G21" i="151"/>
  <c r="F21" i="153"/>
  <c r="G21" i="153"/>
  <c r="F24" i="144"/>
  <c r="G24" i="144"/>
  <c r="F24" i="146"/>
  <c r="G24" i="146"/>
  <c r="F24" i="145"/>
  <c r="G24" i="145"/>
  <c r="F24" i="148"/>
  <c r="G24" i="148"/>
  <c r="F24" i="151"/>
  <c r="G24" i="151"/>
  <c r="F24" i="153"/>
  <c r="G24" i="153"/>
  <c r="F24" i="147"/>
  <c r="G24" i="147"/>
  <c r="F24" i="149"/>
  <c r="G24" i="149"/>
  <c r="F24" i="152"/>
  <c r="G24" i="152"/>
  <c r="F26" i="144"/>
  <c r="G26" i="144"/>
  <c r="F26" i="146"/>
  <c r="G26" i="146"/>
  <c r="F26" i="145"/>
  <c r="G26" i="145"/>
  <c r="F26" i="148"/>
  <c r="G26" i="148"/>
  <c r="F26" i="151"/>
  <c r="G26" i="151"/>
  <c r="F26" i="153"/>
  <c r="G26" i="153"/>
  <c r="F26" i="147"/>
  <c r="G26" i="147"/>
  <c r="F26" i="149"/>
  <c r="G26" i="149"/>
  <c r="F26" i="152"/>
  <c r="G26" i="152"/>
  <c r="F28" i="144"/>
  <c r="G28" i="144"/>
  <c r="F28" i="146"/>
  <c r="G28" i="146"/>
  <c r="F28" i="145"/>
  <c r="G28" i="145"/>
  <c r="F28" i="148"/>
  <c r="G28" i="148"/>
  <c r="F28" i="151"/>
  <c r="G28" i="151"/>
  <c r="F28" i="153"/>
  <c r="G28" i="153"/>
  <c r="F28" i="147"/>
  <c r="G28" i="147"/>
  <c r="F28" i="149"/>
  <c r="G28" i="149"/>
  <c r="F28" i="152"/>
  <c r="G28" i="152"/>
  <c r="F30" i="144"/>
  <c r="G30" i="144"/>
  <c r="F30" i="146"/>
  <c r="G30" i="146"/>
  <c r="F30" i="145"/>
  <c r="G30" i="145"/>
  <c r="F30" i="148"/>
  <c r="G30" i="148"/>
  <c r="F30" i="151"/>
  <c r="G30" i="151"/>
  <c r="F30" i="153"/>
  <c r="G30" i="153"/>
  <c r="F30" i="147"/>
  <c r="G30" i="147"/>
  <c r="F30" i="149"/>
  <c r="G30" i="149"/>
  <c r="F30" i="152"/>
  <c r="G30" i="152"/>
  <c r="F32" i="144"/>
  <c r="G32" i="144"/>
  <c r="F32" i="146"/>
  <c r="G32" i="146"/>
  <c r="F32" i="145"/>
  <c r="G32" i="145"/>
  <c r="F32" i="148"/>
  <c r="G32" i="148"/>
  <c r="F32" i="151"/>
  <c r="G32" i="151"/>
  <c r="F32" i="153"/>
  <c r="G32" i="153"/>
  <c r="F32" i="147"/>
  <c r="G32" i="147"/>
  <c r="F32" i="149"/>
  <c r="G32" i="149"/>
  <c r="F32" i="152"/>
  <c r="G32" i="152"/>
  <c r="F34" i="144"/>
  <c r="G34" i="144"/>
  <c r="F34" i="146"/>
  <c r="G34" i="146"/>
  <c r="F34" i="145"/>
  <c r="G34" i="145"/>
  <c r="F34" i="148"/>
  <c r="G34" i="148"/>
  <c r="F34" i="151"/>
  <c r="G34" i="151"/>
  <c r="F34" i="153"/>
  <c r="G34" i="153"/>
  <c r="F34" i="147"/>
  <c r="G34" i="147"/>
  <c r="F34" i="149"/>
  <c r="G34" i="149"/>
  <c r="F34" i="152"/>
  <c r="G34" i="152"/>
  <c r="F36" i="144"/>
  <c r="G36" i="144"/>
  <c r="F36" i="146"/>
  <c r="G36" i="146"/>
  <c r="F36" i="145"/>
  <c r="G36" i="145"/>
  <c r="F36" i="148"/>
  <c r="G36" i="148"/>
  <c r="F36" i="151"/>
  <c r="G36" i="151"/>
  <c r="F36" i="153"/>
  <c r="G36" i="153"/>
  <c r="F36" i="147"/>
  <c r="G36" i="147"/>
  <c r="F36" i="149"/>
  <c r="G36" i="149"/>
  <c r="F36" i="152"/>
  <c r="G36" i="152"/>
  <c r="F38" i="144"/>
  <c r="G38" i="144"/>
  <c r="F38" i="146"/>
  <c r="G38" i="146"/>
  <c r="F38" i="145"/>
  <c r="G38" i="145"/>
  <c r="F38" i="148"/>
  <c r="G38" i="148"/>
  <c r="F38" i="151"/>
  <c r="G38" i="151"/>
  <c r="F38" i="153"/>
  <c r="G38" i="153"/>
  <c r="F38" i="147"/>
  <c r="G38" i="147"/>
  <c r="F38" i="149"/>
  <c r="G38" i="149"/>
  <c r="F38" i="152"/>
  <c r="G38" i="152"/>
  <c r="F40" i="144"/>
  <c r="G40" i="144"/>
  <c r="F40" i="146"/>
  <c r="G40" i="146"/>
  <c r="F40" i="145"/>
  <c r="G40" i="145"/>
  <c r="F40" i="148"/>
  <c r="G40" i="148"/>
  <c r="F40" i="151"/>
  <c r="G40" i="151"/>
  <c r="F40" i="153"/>
  <c r="G40" i="153"/>
  <c r="F40" i="147"/>
  <c r="G40" i="147"/>
  <c r="F40" i="149"/>
  <c r="G40" i="149"/>
  <c r="F40" i="152"/>
  <c r="G40" i="152"/>
  <c r="F43" i="144"/>
  <c r="G43" i="144"/>
  <c r="F43" i="146"/>
  <c r="G43" i="146"/>
  <c r="F43" i="145"/>
  <c r="G43" i="145"/>
  <c r="F43" i="148"/>
  <c r="G43" i="148"/>
  <c r="F43" i="151"/>
  <c r="G43" i="151"/>
  <c r="F43" i="153"/>
  <c r="G43" i="153"/>
  <c r="F43" i="147"/>
  <c r="G43" i="147"/>
  <c r="F43" i="149"/>
  <c r="G43" i="149"/>
  <c r="F43" i="152"/>
  <c r="G43" i="152"/>
  <c r="F46" i="145"/>
  <c r="G46" i="145"/>
  <c r="F46" i="144"/>
  <c r="G46" i="144"/>
  <c r="F46" i="146"/>
  <c r="G46" i="146"/>
  <c r="F46" i="147"/>
  <c r="G46" i="147"/>
  <c r="F46" i="149"/>
  <c r="G46" i="149"/>
  <c r="F46" i="152"/>
  <c r="G46" i="152"/>
  <c r="F46" i="148"/>
  <c r="G46" i="148"/>
  <c r="F46" i="151"/>
  <c r="G46" i="151"/>
  <c r="F46" i="153"/>
  <c r="G46" i="153"/>
  <c r="F48" i="145"/>
  <c r="G48" i="145"/>
  <c r="F48" i="144"/>
  <c r="G48" i="144"/>
  <c r="F48" i="146"/>
  <c r="G48" i="146"/>
  <c r="F48" i="147"/>
  <c r="G48" i="147"/>
  <c r="F48" i="149"/>
  <c r="G48" i="149"/>
  <c r="F48" i="152"/>
  <c r="G48" i="152"/>
  <c r="F48" i="148"/>
  <c r="G48" i="148"/>
  <c r="F48" i="151"/>
  <c r="G48" i="151"/>
  <c r="F48" i="153"/>
  <c r="G48" i="153"/>
  <c r="F50" i="145"/>
  <c r="G50" i="145"/>
  <c r="F50" i="144"/>
  <c r="G50" i="144"/>
  <c r="F50" i="146"/>
  <c r="G50" i="146"/>
  <c r="F50" i="147"/>
  <c r="G50" i="147"/>
  <c r="F50" i="149"/>
  <c r="G50" i="149"/>
  <c r="F50" i="152"/>
  <c r="G50" i="152"/>
  <c r="F50" i="148"/>
  <c r="G50" i="148"/>
  <c r="F50" i="151"/>
  <c r="G50" i="151"/>
  <c r="F50" i="153"/>
  <c r="G50" i="153"/>
  <c r="F52" i="145"/>
  <c r="G52" i="145"/>
  <c r="F52" i="144"/>
  <c r="G52" i="144"/>
  <c r="F52" i="146"/>
  <c r="G52" i="146"/>
  <c r="F52" i="147"/>
  <c r="G52" i="147"/>
  <c r="F52" i="149"/>
  <c r="G52" i="149"/>
  <c r="F52" i="152"/>
  <c r="G52" i="152"/>
  <c r="F52" i="148"/>
  <c r="G52" i="148"/>
  <c r="F52" i="151"/>
  <c r="G52" i="151"/>
  <c r="F52" i="153"/>
  <c r="G52" i="153"/>
  <c r="F54" i="145"/>
  <c r="G54" i="145"/>
  <c r="F54" i="144"/>
  <c r="G54" i="144"/>
  <c r="F54" i="146"/>
  <c r="G54" i="146"/>
  <c r="F54" i="147"/>
  <c r="G54" i="147"/>
  <c r="F54" i="149"/>
  <c r="G54" i="149"/>
  <c r="F54" i="152"/>
  <c r="G54" i="152"/>
  <c r="F54" i="148"/>
  <c r="G54" i="148"/>
  <c r="F54" i="151"/>
  <c r="G54" i="151"/>
  <c r="F54" i="153"/>
  <c r="G54" i="153"/>
  <c r="F56" i="145"/>
  <c r="G56" i="145"/>
  <c r="F56" i="144"/>
  <c r="G56" i="144"/>
  <c r="F56" i="146"/>
  <c r="G56" i="146"/>
  <c r="F56" i="147"/>
  <c r="G56" i="147"/>
  <c r="F56" i="149"/>
  <c r="G56" i="149"/>
  <c r="F56" i="152"/>
  <c r="G56" i="152"/>
  <c r="F56" i="148"/>
  <c r="G56" i="148"/>
  <c r="F56" i="151"/>
  <c r="G56" i="151"/>
  <c r="F56" i="153"/>
  <c r="G56" i="153"/>
  <c r="F58" i="145"/>
  <c r="G58" i="145"/>
  <c r="F58" i="144"/>
  <c r="G58" i="144"/>
  <c r="F58" i="146"/>
  <c r="G58" i="146"/>
  <c r="F58" i="147"/>
  <c r="G58" i="147"/>
  <c r="F58" i="149"/>
  <c r="G58" i="149"/>
  <c r="F58" i="152"/>
  <c r="G58" i="152"/>
  <c r="F58" i="148"/>
  <c r="G58" i="148"/>
  <c r="F58" i="151"/>
  <c r="G58" i="151"/>
  <c r="F58" i="153"/>
  <c r="G58" i="153"/>
  <c r="F60" i="145"/>
  <c r="G60" i="145"/>
  <c r="F60" i="144"/>
  <c r="G60" i="144"/>
  <c r="F60" i="146"/>
  <c r="G60" i="146"/>
  <c r="F60" i="147"/>
  <c r="G60" i="147"/>
  <c r="F60" i="149"/>
  <c r="G60" i="149"/>
  <c r="F60" i="152"/>
  <c r="G60" i="152"/>
  <c r="F60" i="148"/>
  <c r="G60" i="148"/>
  <c r="F60" i="151"/>
  <c r="G60" i="151"/>
  <c r="F60" i="153"/>
  <c r="G60" i="153"/>
  <c r="F62" i="145"/>
  <c r="G62" i="145"/>
  <c r="F62" i="144"/>
  <c r="G62" i="144"/>
  <c r="F62" i="146"/>
  <c r="G62" i="146"/>
  <c r="F62" i="147"/>
  <c r="G62" i="147"/>
  <c r="F62" i="149"/>
  <c r="G62" i="149"/>
  <c r="F62" i="152"/>
  <c r="G62" i="152"/>
  <c r="F62" i="148"/>
  <c r="G62" i="148"/>
  <c r="F62" i="151"/>
  <c r="G62" i="151"/>
  <c r="F62" i="153"/>
  <c r="G62" i="153"/>
  <c r="F64" i="145"/>
  <c r="G64" i="145"/>
  <c r="F64" i="144"/>
  <c r="G64" i="144"/>
  <c r="F64" i="146"/>
  <c r="G64" i="146"/>
  <c r="F64" i="147"/>
  <c r="G64" i="147"/>
  <c r="F64" i="149"/>
  <c r="G64" i="149"/>
  <c r="F64" i="152"/>
  <c r="G64" i="152"/>
  <c r="F64" i="148"/>
  <c r="G64" i="148"/>
  <c r="F64" i="151"/>
  <c r="G64" i="151"/>
  <c r="F64" i="153"/>
  <c r="G64" i="153"/>
  <c r="F66" i="145"/>
  <c r="G66" i="145"/>
  <c r="F66" i="144"/>
  <c r="G66" i="144"/>
  <c r="F66" i="146"/>
  <c r="G66" i="146"/>
  <c r="F66" i="147"/>
  <c r="G66" i="147"/>
  <c r="F66" i="149"/>
  <c r="G66" i="149"/>
  <c r="F66" i="152"/>
  <c r="G66" i="152"/>
  <c r="F66" i="148"/>
  <c r="G66" i="148"/>
  <c r="F66" i="151"/>
  <c r="G66" i="151"/>
  <c r="F66" i="153"/>
  <c r="G66" i="153"/>
  <c r="F68" i="145"/>
  <c r="G68" i="145"/>
  <c r="F68" i="144"/>
  <c r="G68" i="144"/>
  <c r="F68" i="146"/>
  <c r="G68" i="146"/>
  <c r="F68" i="147"/>
  <c r="G68" i="147"/>
  <c r="F68" i="149"/>
  <c r="G68" i="149"/>
  <c r="F68" i="152"/>
  <c r="G68" i="152"/>
  <c r="F68" i="148"/>
  <c r="G68" i="148"/>
  <c r="F68" i="151"/>
  <c r="G68" i="151"/>
  <c r="F68" i="153"/>
  <c r="G68" i="153"/>
  <c r="F70" i="145"/>
  <c r="G70" i="145"/>
  <c r="F70" i="144"/>
  <c r="G70" i="144"/>
  <c r="F70" i="146"/>
  <c r="G70" i="146"/>
  <c r="F70" i="147"/>
  <c r="G70" i="147"/>
  <c r="F70" i="149"/>
  <c r="G70" i="149"/>
  <c r="F70" i="152"/>
  <c r="G70" i="152"/>
  <c r="F70" i="148"/>
  <c r="G70" i="148"/>
  <c r="F70" i="151"/>
  <c r="G70" i="151"/>
  <c r="F70" i="153"/>
  <c r="G70" i="153"/>
  <c r="F72" i="145"/>
  <c r="G72" i="145"/>
  <c r="F72" i="147"/>
  <c r="G72" i="147"/>
  <c r="F72" i="144"/>
  <c r="G72" i="144"/>
  <c r="F72" i="146"/>
  <c r="G72" i="146"/>
  <c r="F72" i="149"/>
  <c r="G72" i="149"/>
  <c r="F72" i="152"/>
  <c r="G72" i="152"/>
  <c r="F72" i="148"/>
  <c r="G72" i="148"/>
  <c r="F72" i="151"/>
  <c r="G72" i="151"/>
  <c r="F72" i="153"/>
  <c r="G72" i="153"/>
  <c r="F74" i="145"/>
  <c r="G74" i="145"/>
  <c r="F74" i="147"/>
  <c r="G74" i="147"/>
  <c r="F74" i="144"/>
  <c r="G74" i="144"/>
  <c r="F74" i="146"/>
  <c r="G74" i="146"/>
  <c r="F74" i="149"/>
  <c r="G74" i="149"/>
  <c r="F74" i="152"/>
  <c r="G74" i="152"/>
  <c r="F74" i="148"/>
  <c r="G74" i="148"/>
  <c r="F74" i="151"/>
  <c r="G74" i="151"/>
  <c r="F74" i="153"/>
  <c r="G74" i="153"/>
  <c r="T5" i="114"/>
  <c r="U5" i="114"/>
  <c r="V5" i="114"/>
  <c r="W5" i="114"/>
  <c r="X5" i="114"/>
  <c r="Y5" i="114"/>
  <c r="Z5" i="114"/>
  <c r="AA5" i="114"/>
  <c r="AB5" i="114"/>
  <c r="AC5" i="114"/>
  <c r="AD5" i="114"/>
  <c r="AE5" i="114"/>
  <c r="AF5" i="114"/>
  <c r="AG5" i="114"/>
  <c r="AH5" i="114"/>
  <c r="AI5" i="114"/>
  <c r="AJ5" i="114"/>
  <c r="AK5" i="114"/>
  <c r="T5" i="128"/>
  <c r="U5" i="128"/>
  <c r="V5" i="128"/>
  <c r="W5" i="128"/>
  <c r="X5" i="128"/>
  <c r="Y5" i="128"/>
  <c r="Z5" i="128"/>
  <c r="AA5" i="128"/>
  <c r="AB5" i="128"/>
  <c r="AC5" i="128"/>
  <c r="AD5" i="128"/>
  <c r="AE5" i="128"/>
  <c r="AF5" i="128"/>
  <c r="AG5" i="128"/>
  <c r="AH5" i="128"/>
  <c r="AI5" i="128"/>
  <c r="AJ5" i="128"/>
  <c r="AK5" i="128"/>
  <c r="F42" i="144"/>
  <c r="G42" i="144"/>
  <c r="F42" i="145"/>
  <c r="G42" i="145"/>
  <c r="F42" i="146"/>
  <c r="G42" i="146"/>
  <c r="F42" i="147"/>
  <c r="G42" i="147"/>
  <c r="F42" i="148"/>
  <c r="G42" i="148"/>
  <c r="F42" i="149"/>
  <c r="G42" i="149"/>
  <c r="F42" i="151"/>
  <c r="G42" i="151"/>
  <c r="F42" i="152"/>
  <c r="G42" i="152"/>
  <c r="F42" i="153"/>
  <c r="G42" i="153"/>
  <c r="S5" i="46"/>
  <c r="T5" i="46"/>
  <c r="U5" i="46"/>
  <c r="V5" i="46"/>
  <c r="W5" i="46"/>
  <c r="X5" i="46"/>
  <c r="Z76" i="13"/>
  <c r="AA76" i="13"/>
  <c r="AD70" i="13"/>
  <c r="H76" i="13"/>
  <c r="C70" i="25"/>
  <c r="AD67" i="13"/>
  <c r="AN21" i="13"/>
  <c r="AO21" i="13"/>
  <c r="X78" i="13"/>
  <c r="E1" i="25"/>
  <c r="N4" i="5"/>
  <c r="O4" i="5"/>
  <c r="P4" i="5"/>
  <c r="W5" i="113"/>
  <c r="X5" i="113"/>
  <c r="Y5" i="113"/>
  <c r="Z5" i="113"/>
  <c r="AA5" i="113"/>
  <c r="AB5" i="113"/>
  <c r="AC5" i="113"/>
  <c r="AD5" i="113"/>
  <c r="AE5" i="113"/>
  <c r="AF5" i="113"/>
  <c r="AG5" i="113"/>
  <c r="AH5" i="113"/>
  <c r="AI5" i="113"/>
  <c r="AJ5" i="113"/>
  <c r="AK5" i="113"/>
  <c r="V5" i="117"/>
  <c r="W5" i="117"/>
  <c r="X5" i="117"/>
  <c r="Y5" i="117"/>
  <c r="Z5" i="117"/>
  <c r="AA5" i="117"/>
  <c r="AB5" i="117"/>
  <c r="AC5" i="117"/>
  <c r="AD5" i="117"/>
  <c r="AE5" i="117"/>
  <c r="AF5" i="117"/>
  <c r="AG5" i="117"/>
  <c r="AH5" i="117"/>
  <c r="AI5" i="117"/>
  <c r="AJ5" i="117"/>
  <c r="AK5" i="117"/>
  <c r="H4" i="67"/>
  <c r="I4" i="67"/>
  <c r="AE76" i="116"/>
  <c r="G23" i="147"/>
  <c r="G23" i="146"/>
  <c r="G23" i="153"/>
  <c r="G23" i="151"/>
  <c r="G23" i="152"/>
  <c r="G23" i="149"/>
  <c r="G23" i="148"/>
  <c r="G23" i="145"/>
  <c r="G23" i="144"/>
  <c r="G45" i="152"/>
  <c r="G45" i="146"/>
  <c r="G45" i="153"/>
  <c r="G45" i="151"/>
  <c r="G45" i="147"/>
  <c r="G45" i="148"/>
  <c r="G45" i="149"/>
  <c r="G45" i="145"/>
  <c r="G45" i="144"/>
  <c r="I75" i="25"/>
  <c r="AN27" i="13"/>
  <c r="AO27" i="13"/>
  <c r="AL58" i="13"/>
  <c r="AM58" i="13"/>
  <c r="G57" i="25"/>
  <c r="AO58" i="13"/>
  <c r="AN58" i="13"/>
  <c r="AO45" i="13"/>
  <c r="AL45" i="13"/>
  <c r="AM45" i="13"/>
  <c r="G44" i="25"/>
  <c r="AN45" i="13"/>
  <c r="AM51" i="13"/>
  <c r="G50" i="25"/>
  <c r="AL51" i="13"/>
  <c r="AO51" i="13"/>
  <c r="AM7" i="13"/>
  <c r="G6" i="25"/>
  <c r="AL7" i="13"/>
  <c r="AM8" i="13"/>
  <c r="G7" i="25"/>
  <c r="AL8" i="13"/>
  <c r="AM9" i="13"/>
  <c r="G8" i="25"/>
  <c r="AO9" i="13"/>
  <c r="F9" i="25"/>
  <c r="AQ10" i="13"/>
  <c r="AO12" i="13"/>
  <c r="AL12" i="13"/>
  <c r="AM12" i="13"/>
  <c r="G11" i="25"/>
  <c r="AM13" i="13"/>
  <c r="G12" i="25"/>
  <c r="AN13" i="13"/>
  <c r="AM15" i="13"/>
  <c r="G14" i="25"/>
  <c r="AO15" i="13"/>
  <c r="AN15" i="13"/>
  <c r="AL15" i="13"/>
  <c r="AN20" i="13"/>
  <c r="AO20" i="13"/>
  <c r="AL21" i="13"/>
  <c r="AM21" i="13"/>
  <c r="G20" i="25"/>
  <c r="AN24" i="13"/>
  <c r="AO24" i="13"/>
  <c r="AK25" i="13"/>
  <c r="F24" i="25"/>
  <c r="AM27" i="13"/>
  <c r="G26" i="25"/>
  <c r="AL27" i="13"/>
  <c r="AK28" i="13"/>
  <c r="F27" i="25"/>
  <c r="AN34" i="13"/>
  <c r="AM34" i="13"/>
  <c r="G33" i="25"/>
  <c r="AL34" i="13"/>
  <c r="AL66" i="13"/>
  <c r="AN66" i="13"/>
  <c r="AM66" i="13"/>
  <c r="G65" i="25"/>
  <c r="AK72" i="13"/>
  <c r="F71" i="25"/>
  <c r="AL43" i="13"/>
  <c r="AM43" i="13"/>
  <c r="G42" i="25"/>
  <c r="AO59" i="13"/>
  <c r="AN59" i="13"/>
  <c r="AL59" i="13"/>
  <c r="AL35" i="13"/>
  <c r="AM35" i="13"/>
  <c r="G34" i="25"/>
  <c r="AK37" i="13"/>
  <c r="AM37" i="13"/>
  <c r="G36" i="25"/>
  <c r="AQ37" i="13"/>
  <c r="AK40" i="13"/>
  <c r="AM40" i="13"/>
  <c r="G39" i="25"/>
  <c r="F39" i="25"/>
  <c r="AK44" i="13"/>
  <c r="AQ44" i="13"/>
  <c r="AK46" i="13"/>
  <c r="AN46" i="13"/>
  <c r="AQ46" i="13"/>
  <c r="AK54" i="13"/>
  <c r="F53" i="25"/>
  <c r="AK56" i="13"/>
  <c r="F55" i="25"/>
  <c r="AM60" i="13"/>
  <c r="G59" i="25"/>
  <c r="AL60" i="13"/>
  <c r="AN60" i="13"/>
  <c r="AK61" i="13"/>
  <c r="AQ61" i="13"/>
  <c r="AK63" i="13"/>
  <c r="F62" i="25"/>
  <c r="AN65" i="13"/>
  <c r="AM65" i="13"/>
  <c r="G64" i="25"/>
  <c r="AL65" i="13"/>
  <c r="F66" i="25"/>
  <c r="AK67" i="13"/>
  <c r="AK69" i="13"/>
  <c r="AM69" i="13"/>
  <c r="G68" i="25"/>
  <c r="F68" i="25"/>
  <c r="AK71" i="13"/>
  <c r="F70" i="25"/>
  <c r="AL73" i="13"/>
  <c r="AM73" i="13"/>
  <c r="G72" i="25"/>
  <c r="AN73" i="13"/>
  <c r="AQ35" i="13"/>
  <c r="AQ40" i="13"/>
  <c r="AQ34" i="13"/>
  <c r="AQ48" i="13"/>
  <c r="AL17" i="13"/>
  <c r="AM17" i="13"/>
  <c r="G16" i="25"/>
  <c r="AO17" i="13"/>
  <c r="AN17" i="13"/>
  <c r="AN31" i="13"/>
  <c r="AL31" i="13"/>
  <c r="AM31" i="13"/>
  <c r="G30" i="25"/>
  <c r="AO31" i="13"/>
  <c r="AN47" i="13"/>
  <c r="AO47" i="13"/>
  <c r="AM47" i="13"/>
  <c r="G46" i="25"/>
  <c r="AL47" i="13"/>
  <c r="AL64" i="13"/>
  <c r="AM64" i="13"/>
  <c r="G63" i="25"/>
  <c r="AN64" i="13"/>
  <c r="AO64" i="13"/>
  <c r="AO70" i="13"/>
  <c r="AM70" i="13"/>
  <c r="G69" i="25"/>
  <c r="AN70" i="13"/>
  <c r="AL70" i="13"/>
  <c r="AL42" i="13"/>
  <c r="AO42" i="13"/>
  <c r="AN42" i="13"/>
  <c r="AM42" i="13"/>
  <c r="G41" i="25"/>
  <c r="AO46" i="13"/>
  <c r="AM46" i="13"/>
  <c r="G45" i="25"/>
  <c r="AL46" i="13"/>
  <c r="AL52" i="13"/>
  <c r="AM52" i="13"/>
  <c r="G51" i="25"/>
  <c r="AO52" i="13"/>
  <c r="AN52" i="13"/>
  <c r="AL69" i="13"/>
  <c r="AN22" i="13"/>
  <c r="AM22" i="13"/>
  <c r="G21" i="25"/>
  <c r="AO22" i="13"/>
  <c r="AL22" i="13"/>
  <c r="AN25" i="13"/>
  <c r="AM25" i="13"/>
  <c r="G24" i="25"/>
  <c r="AO25" i="13"/>
  <c r="AL25" i="13"/>
  <c r="AL28" i="13"/>
  <c r="AN28" i="13"/>
  <c r="AL30" i="13"/>
  <c r="AM30" i="13"/>
  <c r="G29" i="25"/>
  <c r="AO30" i="13"/>
  <c r="AN30" i="13"/>
  <c r="AM33" i="13"/>
  <c r="G32" i="25"/>
  <c r="AO33" i="13"/>
  <c r="AN33" i="13"/>
  <c r="AL33" i="13"/>
  <c r="AL36" i="13"/>
  <c r="AO36" i="13"/>
  <c r="AL41" i="13"/>
  <c r="AM41" i="13"/>
  <c r="G40" i="25"/>
  <c r="AN41" i="13"/>
  <c r="AO54" i="13"/>
  <c r="AM54" i="13"/>
  <c r="G53" i="25"/>
  <c r="AN54" i="13"/>
  <c r="AL54" i="13"/>
  <c r="AL56" i="13"/>
  <c r="AM56" i="13"/>
  <c r="G55" i="25"/>
  <c r="AN56" i="13"/>
  <c r="AO56" i="13"/>
  <c r="AO68" i="13"/>
  <c r="AN68" i="13"/>
  <c r="AM68" i="13"/>
  <c r="G67" i="25"/>
  <c r="AL68" i="13"/>
  <c r="AL74" i="13"/>
  <c r="AN74" i="13"/>
  <c r="AM74" i="13"/>
  <c r="G73" i="25"/>
  <c r="AO74" i="13"/>
  <c r="AM11" i="13"/>
  <c r="AL11" i="13"/>
  <c r="AN11" i="13"/>
  <c r="AO11" i="13"/>
  <c r="AL19" i="13"/>
  <c r="AM19" i="13"/>
  <c r="G18" i="25"/>
  <c r="AO19" i="13"/>
  <c r="AN19" i="13"/>
  <c r="AM29" i="13"/>
  <c r="G28" i="25"/>
  <c r="AN29" i="13"/>
  <c r="AO29" i="13"/>
  <c r="AL29" i="13"/>
  <c r="AL37" i="13"/>
  <c r="AN37" i="13"/>
  <c r="AL40" i="13"/>
  <c r="AN40" i="13"/>
  <c r="AN44" i="13"/>
  <c r="AM44" i="13"/>
  <c r="G43" i="25"/>
  <c r="AL44" i="13"/>
  <c r="AO44" i="13"/>
  <c r="AL48" i="13"/>
  <c r="AN48" i="13"/>
  <c r="AM48" i="13"/>
  <c r="G47" i="25"/>
  <c r="AO48" i="13"/>
  <c r="AL50" i="13"/>
  <c r="AN50" i="13"/>
  <c r="AM50" i="13"/>
  <c r="G49" i="25"/>
  <c r="AO50" i="13"/>
  <c r="AN53" i="13"/>
  <c r="AM53" i="13"/>
  <c r="G52" i="25"/>
  <c r="AO53" i="13"/>
  <c r="AL53" i="13"/>
  <c r="AL62" i="13"/>
  <c r="AM62" i="13"/>
  <c r="G61" i="25"/>
  <c r="AN62" i="13"/>
  <c r="AO62" i="13"/>
  <c r="C75" i="25"/>
  <c r="D75" i="25"/>
  <c r="R5" i="80"/>
  <c r="S5" i="80"/>
  <c r="T5" i="80"/>
  <c r="K5" i="76"/>
  <c r="L5" i="76"/>
  <c r="M5" i="76"/>
  <c r="I5" i="115"/>
  <c r="J5" i="115"/>
  <c r="K5" i="115"/>
  <c r="L5" i="115"/>
  <c r="M5" i="115"/>
  <c r="N5" i="115"/>
  <c r="O5" i="115"/>
  <c r="P5" i="115"/>
  <c r="I5" i="131"/>
  <c r="J5" i="131"/>
  <c r="K5" i="131"/>
  <c r="L5" i="131"/>
  <c r="M5" i="131"/>
  <c r="N5" i="131"/>
  <c r="O5" i="131"/>
  <c r="P5" i="131"/>
  <c r="I5" i="120"/>
  <c r="J5" i="120"/>
  <c r="K5" i="120"/>
  <c r="L5" i="120"/>
  <c r="M5" i="120"/>
  <c r="N5" i="120"/>
  <c r="O5" i="120"/>
  <c r="P5" i="120"/>
  <c r="Q5" i="120"/>
  <c r="R5" i="120"/>
  <c r="S5" i="120"/>
  <c r="I5" i="125"/>
  <c r="J5" i="125"/>
  <c r="K5" i="125"/>
  <c r="L5" i="125"/>
  <c r="M5" i="125"/>
  <c r="N5" i="125"/>
  <c r="O5" i="125"/>
  <c r="P5" i="125"/>
  <c r="Q5" i="125"/>
  <c r="R5" i="125"/>
  <c r="S5" i="125"/>
  <c r="I5" i="126"/>
  <c r="J5" i="126"/>
  <c r="K5" i="126"/>
  <c r="L5" i="126"/>
  <c r="M5" i="126"/>
  <c r="N5" i="126"/>
  <c r="O5" i="126"/>
  <c r="P5" i="126"/>
  <c r="Q5" i="126"/>
  <c r="R5" i="126"/>
  <c r="S5" i="126"/>
  <c r="Q5" i="118"/>
  <c r="R5" i="118"/>
  <c r="S5" i="118"/>
  <c r="J5" i="129"/>
  <c r="K5" i="129"/>
  <c r="C7" i="5"/>
  <c r="S75" i="67"/>
  <c r="S81" i="67"/>
  <c r="G76" i="76"/>
  <c r="G15" i="46"/>
  <c r="C15" i="46"/>
  <c r="C17" i="46"/>
  <c r="G20" i="33"/>
  <c r="G28" i="33"/>
  <c r="H34" i="33"/>
  <c r="H58" i="33"/>
  <c r="G60" i="33"/>
  <c r="H81" i="67"/>
  <c r="K73" i="1"/>
  <c r="H50" i="33"/>
  <c r="H66" i="33"/>
  <c r="H70" i="33"/>
  <c r="G10" i="33"/>
  <c r="H16" i="33"/>
  <c r="G74" i="33"/>
  <c r="G6" i="5"/>
  <c r="G7" i="5"/>
  <c r="H64" i="33"/>
  <c r="G64" i="33"/>
  <c r="H40" i="33"/>
  <c r="G40" i="33"/>
  <c r="G18" i="33"/>
  <c r="H38" i="33"/>
  <c r="G42" i="33"/>
  <c r="G57" i="33"/>
  <c r="H45" i="33"/>
  <c r="G72" i="33"/>
  <c r="G13" i="33"/>
  <c r="H12" i="33"/>
  <c r="G24" i="33"/>
  <c r="G44" i="33"/>
  <c r="G56" i="33"/>
  <c r="H48" i="33"/>
  <c r="G48" i="33"/>
  <c r="H17" i="33"/>
  <c r="H49" i="33"/>
  <c r="G14" i="33"/>
  <c r="H22" i="33"/>
  <c r="G30" i="33"/>
  <c r="H46" i="33"/>
  <c r="H54" i="33"/>
  <c r="H62" i="33"/>
  <c r="G26" i="33"/>
  <c r="G9" i="33"/>
  <c r="H41" i="33"/>
  <c r="H73" i="33"/>
  <c r="G33" i="33"/>
  <c r="H65" i="33"/>
  <c r="G36" i="33"/>
  <c r="H36" i="33"/>
  <c r="H7" i="33"/>
  <c r="H68" i="33"/>
  <c r="H32" i="33"/>
  <c r="G32" i="33"/>
  <c r="H52" i="33"/>
  <c r="H25" i="33"/>
  <c r="G75" i="2"/>
  <c r="G76" i="120"/>
  <c r="G76" i="80"/>
  <c r="G76" i="115"/>
  <c r="G76" i="118"/>
  <c r="G73" i="1"/>
  <c r="I73" i="1"/>
  <c r="E73" i="1"/>
  <c r="G76" i="131"/>
  <c r="P82" i="76"/>
  <c r="AF82" i="76"/>
  <c r="G82" i="80"/>
  <c r="AE82" i="116"/>
  <c r="G82" i="118"/>
  <c r="G82" i="115"/>
  <c r="G82" i="120"/>
  <c r="V5" i="126"/>
  <c r="T5" i="126"/>
  <c r="U5" i="126"/>
  <c r="T5" i="120"/>
  <c r="U5" i="120"/>
  <c r="V5" i="120"/>
  <c r="W5" i="120"/>
  <c r="X5" i="120"/>
  <c r="Y5" i="120"/>
  <c r="Z5" i="120"/>
  <c r="AA5" i="120"/>
  <c r="AB5" i="120"/>
  <c r="AC5" i="120"/>
  <c r="AD5" i="120"/>
  <c r="AE5" i="120"/>
  <c r="AF5" i="120"/>
  <c r="T5" i="118"/>
  <c r="U5" i="118"/>
  <c r="V5" i="118"/>
  <c r="W5" i="118"/>
  <c r="X5" i="118"/>
  <c r="Y5" i="118"/>
  <c r="Z5" i="118"/>
  <c r="AA5" i="118"/>
  <c r="AB5" i="118"/>
  <c r="AC5" i="118"/>
  <c r="AD5" i="118"/>
  <c r="AE5" i="118"/>
  <c r="AF5" i="118"/>
  <c r="T5" i="125"/>
  <c r="U5" i="125"/>
  <c r="V5" i="125"/>
  <c r="W5" i="125"/>
  <c r="X5" i="125"/>
  <c r="Y5" i="125"/>
  <c r="Z5" i="125"/>
  <c r="AA5" i="125"/>
  <c r="AB5" i="125"/>
  <c r="AC5" i="125"/>
  <c r="AD5" i="125"/>
  <c r="AE5" i="125"/>
  <c r="AF5" i="125"/>
  <c r="Y5" i="46"/>
  <c r="Z5" i="46"/>
  <c r="AA5" i="46"/>
  <c r="AB5" i="46"/>
  <c r="AC5" i="46"/>
  <c r="AD5" i="46"/>
  <c r="AE5" i="46"/>
  <c r="AF5" i="46"/>
  <c r="AG5" i="46"/>
  <c r="AH5" i="46"/>
  <c r="AI5" i="46"/>
  <c r="AJ5" i="46"/>
  <c r="AK5" i="46"/>
  <c r="AL5" i="46"/>
  <c r="AM5" i="46"/>
  <c r="AN5" i="46"/>
  <c r="AO5" i="46"/>
  <c r="AP5" i="46"/>
  <c r="AQ5" i="46"/>
  <c r="AR5" i="46"/>
  <c r="AS5" i="46"/>
  <c r="AT5" i="46"/>
  <c r="AU5" i="46"/>
  <c r="G68" i="33"/>
  <c r="G52" i="33"/>
  <c r="H26" i="33"/>
  <c r="G25" i="33"/>
  <c r="G7" i="33"/>
  <c r="O82" i="116"/>
  <c r="E75" i="25"/>
  <c r="AO40" i="13"/>
  <c r="AO37" i="13"/>
  <c r="U5" i="80"/>
  <c r="V5" i="80"/>
  <c r="W5" i="80"/>
  <c r="X5" i="80"/>
  <c r="Y5" i="80"/>
  <c r="Z5" i="80"/>
  <c r="AA5" i="80"/>
  <c r="AB5" i="80"/>
  <c r="AC5" i="80"/>
  <c r="AD5" i="80"/>
  <c r="AE5" i="80"/>
  <c r="AF5" i="80"/>
  <c r="AG5" i="80"/>
  <c r="AH5" i="80"/>
  <c r="AI5" i="80"/>
  <c r="AJ5" i="80"/>
  <c r="AK5" i="80"/>
  <c r="AL5" i="80"/>
  <c r="S4" i="5"/>
  <c r="T4" i="5"/>
  <c r="U4" i="5"/>
  <c r="V4" i="5"/>
  <c r="W4" i="5"/>
  <c r="X4" i="5"/>
  <c r="Q4" i="5"/>
  <c r="R4" i="5"/>
  <c r="C76" i="31"/>
  <c r="G76" i="126"/>
  <c r="N5" i="76"/>
  <c r="O5" i="76"/>
  <c r="P5" i="76"/>
  <c r="Q5" i="76"/>
  <c r="R5" i="76"/>
  <c r="S5" i="76"/>
  <c r="T5" i="76"/>
  <c r="G76" i="149"/>
  <c r="G76" i="146"/>
  <c r="G76" i="117"/>
  <c r="G76" i="116"/>
  <c r="G76" i="119"/>
  <c r="G76" i="148"/>
  <c r="G76" i="153"/>
  <c r="G77" i="114"/>
  <c r="G76" i="125"/>
  <c r="G76" i="144"/>
  <c r="G76" i="152"/>
  <c r="G76" i="147"/>
  <c r="G76" i="145"/>
  <c r="G76" i="151"/>
  <c r="AO69" i="13"/>
  <c r="AK76" i="13"/>
  <c r="AF76" i="13"/>
  <c r="AQ76" i="13"/>
  <c r="F75" i="25"/>
  <c r="AN69" i="13"/>
  <c r="AL67" i="13"/>
  <c r="AM67" i="13"/>
  <c r="G66" i="25"/>
  <c r="AO67" i="13"/>
  <c r="AN67" i="13"/>
  <c r="AM63" i="13"/>
  <c r="G62" i="25"/>
  <c r="AL63" i="13"/>
  <c r="AN63" i="13"/>
  <c r="AO63" i="13"/>
  <c r="AL61" i="13"/>
  <c r="AO61" i="13"/>
  <c r="AN61" i="13"/>
  <c r="AM61" i="13"/>
  <c r="G60" i="25"/>
  <c r="AL72" i="13"/>
  <c r="AO72" i="13"/>
  <c r="AN72" i="13"/>
  <c r="AM72" i="13"/>
  <c r="G71" i="25"/>
  <c r="AM28" i="13"/>
  <c r="G27" i="25"/>
  <c r="AO28" i="13"/>
  <c r="AM71" i="13"/>
  <c r="G70" i="25"/>
  <c r="AL71" i="13"/>
  <c r="AO71" i="13"/>
  <c r="AN71" i="13"/>
  <c r="G10" i="25"/>
  <c r="Y73" i="1"/>
  <c r="J4" i="67"/>
  <c r="K4" i="67"/>
  <c r="L4" i="67"/>
  <c r="Q5" i="115"/>
  <c r="R5" i="115"/>
  <c r="S5" i="115"/>
  <c r="Q5" i="131"/>
  <c r="R5" i="131"/>
  <c r="S5" i="131"/>
  <c r="W5" i="126"/>
  <c r="X5" i="126"/>
  <c r="Y5" i="126"/>
  <c r="Z5" i="126"/>
  <c r="AA5" i="126"/>
  <c r="AB5" i="126"/>
  <c r="AC5" i="126"/>
  <c r="AD5" i="126"/>
  <c r="AE5" i="126"/>
  <c r="AF5" i="126"/>
  <c r="G50" i="33"/>
  <c r="G76" i="129"/>
  <c r="L5" i="129"/>
  <c r="M5" i="129"/>
  <c r="N5" i="129"/>
  <c r="O5" i="129"/>
  <c r="P5" i="129"/>
  <c r="H74" i="33"/>
  <c r="H20" i="33"/>
  <c r="H24" i="33"/>
  <c r="H60" i="33"/>
  <c r="H10" i="33"/>
  <c r="G16" i="33"/>
  <c r="G58" i="33"/>
  <c r="G70" i="33"/>
  <c r="G34" i="33"/>
  <c r="G45" i="33"/>
  <c r="G12" i="46"/>
  <c r="G17" i="46"/>
  <c r="H18" i="33"/>
  <c r="O44" i="67"/>
  <c r="P44" i="67"/>
  <c r="G76" i="127"/>
  <c r="G76" i="113"/>
  <c r="H28" i="33"/>
  <c r="G22" i="33"/>
  <c r="G66" i="33"/>
  <c r="H42" i="33"/>
  <c r="G62" i="33"/>
  <c r="AR22" i="13"/>
  <c r="O21" i="67"/>
  <c r="P21" i="67"/>
  <c r="O22" i="67"/>
  <c r="P22" i="67"/>
  <c r="AR36" i="13"/>
  <c r="AR10" i="13"/>
  <c r="O73" i="67"/>
  <c r="P73" i="67"/>
  <c r="AR74" i="13"/>
  <c r="H44" i="33"/>
  <c r="H9" i="33"/>
  <c r="H57" i="33"/>
  <c r="G12" i="33"/>
  <c r="G54" i="33"/>
  <c r="H14" i="33"/>
  <c r="G73" i="33"/>
  <c r="G65" i="33"/>
  <c r="G17" i="33"/>
  <c r="G38" i="33"/>
  <c r="H56" i="33"/>
  <c r="G49" i="33"/>
  <c r="H33" i="33"/>
  <c r="H13" i="33"/>
  <c r="H61" i="33"/>
  <c r="G61" i="33"/>
  <c r="H69" i="33"/>
  <c r="G69" i="33"/>
  <c r="H53" i="33"/>
  <c r="G53" i="33"/>
  <c r="G46" i="33"/>
  <c r="H30" i="33"/>
  <c r="G29" i="33"/>
  <c r="H29" i="33"/>
  <c r="G37" i="33"/>
  <c r="H37" i="33"/>
  <c r="G41" i="33"/>
  <c r="G21" i="33"/>
  <c r="H21" i="33"/>
  <c r="G63" i="33"/>
  <c r="H63" i="33"/>
  <c r="G47" i="33"/>
  <c r="H47" i="33"/>
  <c r="G31" i="33"/>
  <c r="H31" i="33"/>
  <c r="G15" i="33"/>
  <c r="H15" i="33"/>
  <c r="G75" i="33"/>
  <c r="H75" i="33"/>
  <c r="G59" i="33"/>
  <c r="H59" i="33"/>
  <c r="G43" i="33"/>
  <c r="H43" i="33"/>
  <c r="H27" i="33"/>
  <c r="G27" i="33"/>
  <c r="G11" i="33"/>
  <c r="H11" i="33"/>
  <c r="H71" i="33"/>
  <c r="G71" i="33"/>
  <c r="G55" i="33"/>
  <c r="H55" i="33"/>
  <c r="G39" i="33"/>
  <c r="H39" i="33"/>
  <c r="G23" i="33"/>
  <c r="H23" i="33"/>
  <c r="H8" i="33"/>
  <c r="G8" i="33"/>
  <c r="H67" i="33"/>
  <c r="G67" i="33"/>
  <c r="H51" i="33"/>
  <c r="G51" i="33"/>
  <c r="H35" i="33"/>
  <c r="G35" i="33"/>
  <c r="H19" i="33"/>
  <c r="G19" i="33"/>
  <c r="G82" i="76"/>
  <c r="G82" i="129"/>
  <c r="G82" i="151"/>
  <c r="G83" i="114"/>
  <c r="G82" i="148"/>
  <c r="G82" i="119"/>
  <c r="G82" i="117"/>
  <c r="G82" i="149"/>
  <c r="G82" i="126"/>
  <c r="G82" i="131"/>
  <c r="G82" i="113"/>
  <c r="G82" i="127"/>
  <c r="G82" i="145"/>
  <c r="G82" i="125"/>
  <c r="G82" i="153"/>
  <c r="G82" i="116"/>
  <c r="G82" i="144"/>
  <c r="G82" i="152"/>
  <c r="G82" i="146"/>
  <c r="G82" i="147"/>
  <c r="T5" i="131"/>
  <c r="U5" i="131"/>
  <c r="V5" i="131"/>
  <c r="W5" i="131"/>
  <c r="X5" i="131"/>
  <c r="Y5" i="131"/>
  <c r="Z5" i="131"/>
  <c r="T5" i="115"/>
  <c r="U5" i="115"/>
  <c r="V5" i="115"/>
  <c r="AN5" i="31"/>
  <c r="AO5" i="31"/>
  <c r="AP5" i="31"/>
  <c r="AQ5" i="31"/>
  <c r="AN76" i="13"/>
  <c r="AL76" i="13"/>
  <c r="H1" i="25"/>
  <c r="O4" i="67"/>
  <c r="P4" i="67"/>
  <c r="Q4" i="67"/>
  <c r="R4" i="67"/>
  <c r="S4" i="67"/>
  <c r="M4" i="67"/>
  <c r="N4" i="67"/>
  <c r="U5" i="76"/>
  <c r="V5" i="76"/>
  <c r="W5" i="76"/>
  <c r="X5" i="76"/>
  <c r="Y5" i="76"/>
  <c r="Z5" i="76"/>
  <c r="AA5" i="76"/>
  <c r="AB5" i="76"/>
  <c r="AC5" i="76"/>
  <c r="AD5" i="76"/>
  <c r="AE5" i="76"/>
  <c r="AF5" i="76"/>
  <c r="AG5" i="76"/>
  <c r="AH5" i="76"/>
  <c r="AI5" i="76"/>
  <c r="AJ5" i="76"/>
  <c r="AK5" i="76"/>
  <c r="AL5" i="76"/>
  <c r="AG5" i="118"/>
  <c r="AH5" i="118"/>
  <c r="AI5" i="118"/>
  <c r="AJ5" i="118"/>
  <c r="AK5" i="118"/>
  <c r="AG5" i="120"/>
  <c r="AH5" i="120"/>
  <c r="AI5" i="120"/>
  <c r="AJ5" i="120"/>
  <c r="AK5" i="120"/>
  <c r="AG5" i="125"/>
  <c r="AH5" i="125"/>
  <c r="AI5" i="125"/>
  <c r="AJ5" i="125"/>
  <c r="AK5" i="125"/>
  <c r="AG5" i="126"/>
  <c r="AH5" i="126"/>
  <c r="AI5" i="126"/>
  <c r="AJ5" i="126"/>
  <c r="AK5" i="126"/>
  <c r="AR46" i="13"/>
  <c r="O63" i="67"/>
  <c r="P63" i="67"/>
  <c r="O45" i="67"/>
  <c r="P45" i="67"/>
  <c r="O57" i="67"/>
  <c r="P57" i="67"/>
  <c r="O58" i="67"/>
  <c r="P58" i="67"/>
  <c r="AR64" i="13"/>
  <c r="G76" i="128"/>
  <c r="AO76" i="13"/>
  <c r="AM76" i="13"/>
  <c r="G75" i="25"/>
  <c r="AR58" i="13"/>
  <c r="W5" i="115"/>
  <c r="X5" i="115"/>
  <c r="Y5" i="115"/>
  <c r="Z5" i="115"/>
  <c r="AA5" i="115"/>
  <c r="AB5" i="115"/>
  <c r="AC5" i="115"/>
  <c r="AD5" i="115"/>
  <c r="AE5" i="115"/>
  <c r="AF5" i="115"/>
  <c r="O70" i="67"/>
  <c r="P70" i="67"/>
  <c r="O62" i="67"/>
  <c r="P62" i="67"/>
  <c r="Q5" i="129"/>
  <c r="R5" i="129"/>
  <c r="S5" i="129"/>
  <c r="AR71" i="13"/>
  <c r="AR45" i="13"/>
  <c r="AR59" i="13"/>
  <c r="AR63" i="13"/>
  <c r="O33" i="67"/>
  <c r="P33" i="67"/>
  <c r="AR34" i="13"/>
  <c r="O27" i="67"/>
  <c r="P27" i="67"/>
  <c r="O11" i="67"/>
  <c r="P11" i="67"/>
  <c r="O14" i="67"/>
  <c r="P14" i="67"/>
  <c r="AR25" i="13"/>
  <c r="AR56" i="13"/>
  <c r="O24" i="67"/>
  <c r="P24" i="67"/>
  <c r="AR28" i="13"/>
  <c r="O55" i="67"/>
  <c r="P55" i="67"/>
  <c r="AR23" i="13"/>
  <c r="AR61" i="13"/>
  <c r="AR62" i="13"/>
  <c r="O61" i="67"/>
  <c r="P61" i="67"/>
  <c r="AR72" i="13"/>
  <c r="O71" i="67"/>
  <c r="P71" i="67"/>
  <c r="AR15" i="13"/>
  <c r="AR12" i="13"/>
  <c r="O60" i="67"/>
  <c r="P60" i="67"/>
  <c r="O19" i="67"/>
  <c r="P19" i="67"/>
  <c r="AR20" i="13"/>
  <c r="O35" i="67"/>
  <c r="P35" i="67"/>
  <c r="O51" i="67"/>
  <c r="P51" i="67"/>
  <c r="AR52" i="13"/>
  <c r="O9" i="67"/>
  <c r="P9" i="67"/>
  <c r="AR51" i="13"/>
  <c r="O50" i="67"/>
  <c r="P50" i="67"/>
  <c r="O29" i="67"/>
  <c r="P29" i="67"/>
  <c r="AR30" i="13"/>
  <c r="O43" i="67"/>
  <c r="P43" i="67"/>
  <c r="AR44" i="13"/>
  <c r="AR7" i="13"/>
  <c r="O6" i="67"/>
  <c r="P6" i="67"/>
  <c r="O37" i="67"/>
  <c r="P37" i="67"/>
  <c r="AR38" i="13"/>
  <c r="O12" i="67"/>
  <c r="P12" i="67"/>
  <c r="AR13" i="13"/>
  <c r="O15" i="67"/>
  <c r="P15" i="67"/>
  <c r="AR16" i="13"/>
  <c r="O10" i="67"/>
  <c r="P10" i="67"/>
  <c r="AR11" i="13"/>
  <c r="O41" i="67"/>
  <c r="P41" i="67"/>
  <c r="AR42" i="13"/>
  <c r="O49" i="67"/>
  <c r="P49" i="67"/>
  <c r="AR50" i="13"/>
  <c r="O28" i="67"/>
  <c r="P28" i="67"/>
  <c r="AR29" i="13"/>
  <c r="O32" i="67"/>
  <c r="P32" i="67"/>
  <c r="AR33" i="13"/>
  <c r="O38" i="67"/>
  <c r="P38" i="67"/>
  <c r="AR39" i="13"/>
  <c r="O68" i="67"/>
  <c r="P68" i="67"/>
  <c r="AR69" i="13"/>
  <c r="O53" i="67"/>
  <c r="P53" i="67"/>
  <c r="AR54" i="13"/>
  <c r="O36" i="67"/>
  <c r="P36" i="67"/>
  <c r="AR37" i="13"/>
  <c r="O74" i="67"/>
  <c r="P74" i="67"/>
  <c r="AR75" i="13"/>
  <c r="O42" i="67"/>
  <c r="P42" i="67"/>
  <c r="AR43" i="13"/>
  <c r="O39" i="67"/>
  <c r="P39" i="67"/>
  <c r="AR40" i="13"/>
  <c r="AR26" i="13"/>
  <c r="O25" i="67"/>
  <c r="P25" i="67"/>
  <c r="O8" i="67"/>
  <c r="P8" i="67"/>
  <c r="AR9" i="13"/>
  <c r="O66" i="67"/>
  <c r="P66" i="67"/>
  <c r="AR67" i="13"/>
  <c r="O46" i="67"/>
  <c r="P46" i="67"/>
  <c r="AR47" i="13"/>
  <c r="O30" i="67"/>
  <c r="P30" i="67"/>
  <c r="AR31" i="13"/>
  <c r="O13" i="67"/>
  <c r="P13" i="67"/>
  <c r="AR14" i="13"/>
  <c r="O64" i="67"/>
  <c r="P64" i="67"/>
  <c r="AR65" i="13"/>
  <c r="O52" i="67"/>
  <c r="P52" i="67"/>
  <c r="AR53" i="13"/>
  <c r="O26" i="67"/>
  <c r="P26" i="67"/>
  <c r="AR27" i="13"/>
  <c r="O56" i="67"/>
  <c r="P56" i="67"/>
  <c r="AR57" i="13"/>
  <c r="O7" i="67"/>
  <c r="P7" i="67"/>
  <c r="AR8" i="13"/>
  <c r="AR35" i="13"/>
  <c r="O34" i="67"/>
  <c r="P34" i="67"/>
  <c r="AR21" i="13"/>
  <c r="O20" i="67"/>
  <c r="P20" i="67"/>
  <c r="O54" i="67"/>
  <c r="P54" i="67"/>
  <c r="AR55" i="13"/>
  <c r="O72" i="67"/>
  <c r="P72" i="67"/>
  <c r="AR73" i="13"/>
  <c r="O40" i="67"/>
  <c r="P40" i="67"/>
  <c r="AR41" i="13"/>
  <c r="AR18" i="13"/>
  <c r="O17" i="67"/>
  <c r="P17" i="67"/>
  <c r="AR24" i="13"/>
  <c r="O23" i="67"/>
  <c r="P23" i="67"/>
  <c r="O67" i="67"/>
  <c r="P67" i="67"/>
  <c r="AR68" i="13"/>
  <c r="O65" i="67"/>
  <c r="P65" i="67"/>
  <c r="AR66" i="13"/>
  <c r="O59" i="67"/>
  <c r="P59" i="67"/>
  <c r="AR60" i="13"/>
  <c r="AR70" i="13"/>
  <c r="O69" i="67"/>
  <c r="P69" i="67"/>
  <c r="AR49" i="13"/>
  <c r="O48" i="67"/>
  <c r="P48" i="67"/>
  <c r="O16" i="67"/>
  <c r="P16" i="67"/>
  <c r="AR17" i="13"/>
  <c r="AR19" i="13"/>
  <c r="O18" i="67"/>
  <c r="P18" i="67"/>
  <c r="O47" i="67"/>
  <c r="P47" i="67"/>
  <c r="AR48" i="13"/>
  <c r="O31" i="67"/>
  <c r="P31" i="67"/>
  <c r="AR32" i="13"/>
  <c r="H76" i="33"/>
  <c r="G76" i="33"/>
  <c r="G82" i="128"/>
  <c r="T5" i="129"/>
  <c r="U5" i="129"/>
  <c r="V5" i="129"/>
  <c r="W5" i="129"/>
  <c r="X5" i="129"/>
  <c r="Y5" i="129"/>
  <c r="Z5" i="129"/>
  <c r="AA5" i="129"/>
  <c r="AB5" i="129"/>
  <c r="AC5" i="129"/>
  <c r="AD5" i="129"/>
  <c r="AE5" i="129"/>
  <c r="AF5" i="129"/>
  <c r="AG5" i="129"/>
  <c r="AH5" i="129"/>
  <c r="AI5" i="129"/>
  <c r="AJ5" i="129"/>
  <c r="AK5" i="129"/>
  <c r="AG5" i="115"/>
  <c r="AH5" i="115"/>
  <c r="AI5" i="115"/>
  <c r="AJ5" i="115"/>
  <c r="AK5" i="115"/>
  <c r="T4" i="67"/>
  <c r="AA5" i="131"/>
  <c r="AB5" i="131"/>
  <c r="AC5" i="131"/>
  <c r="AD5" i="131"/>
  <c r="AE5" i="131"/>
  <c r="AF5" i="131"/>
  <c r="AR76" i="13"/>
  <c r="L73" i="1"/>
  <c r="O75" i="67"/>
  <c r="O81" i="67"/>
  <c r="P75" i="67"/>
  <c r="P81" i="67"/>
  <c r="M75" i="2"/>
  <c r="N73" i="1"/>
  <c r="H75" i="25"/>
  <c r="BJ2" i="72"/>
  <c r="AG5" i="131"/>
  <c r="AH5" i="131"/>
  <c r="AI5" i="131"/>
  <c r="AJ5" i="131"/>
  <c r="AK5" i="131"/>
  <c r="AA61" i="1"/>
  <c r="J75" i="25"/>
  <c r="S73" i="1"/>
  <c r="U4" i="67"/>
  <c r="V4" i="67"/>
  <c r="W4" i="67"/>
  <c r="X4" i="67"/>
  <c r="AA58" i="1"/>
  <c r="X58" i="1"/>
  <c r="AN62" i="1"/>
  <c r="AJ62" i="1"/>
  <c r="O73" i="1"/>
  <c r="C75" i="2"/>
  <c r="AN10" i="1"/>
  <c r="AN45" i="1"/>
  <c r="AJ53" i="1"/>
  <c r="AN5" i="1"/>
  <c r="AJ5" i="1"/>
  <c r="AN4" i="1"/>
  <c r="AN27" i="1"/>
  <c r="AJ27" i="1"/>
  <c r="AJ55" i="1"/>
  <c r="AJ31" i="1"/>
  <c r="AN65" i="1"/>
  <c r="AN12" i="1"/>
  <c r="AN18" i="1"/>
  <c r="AN64" i="1"/>
  <c r="AJ64" i="1"/>
  <c r="AJ43" i="1"/>
  <c r="AJ7" i="1"/>
  <c r="AJ36" i="1"/>
  <c r="AN60" i="1"/>
  <c r="AN34" i="1"/>
  <c r="AJ34" i="1"/>
  <c r="AN63" i="1"/>
  <c r="AN20" i="1"/>
  <c r="AJ20" i="1"/>
  <c r="AJ67" i="1"/>
  <c r="AN24" i="1"/>
  <c r="AN66" i="1"/>
  <c r="AN11" i="1"/>
  <c r="AJ11" i="1"/>
  <c r="AJ21" i="1"/>
  <c r="AJ16" i="1"/>
  <c r="AN40" i="1"/>
  <c r="AN56" i="1"/>
  <c r="AN29" i="1"/>
  <c r="AN51" i="1"/>
  <c r="AJ15" i="1"/>
  <c r="AN35" i="1"/>
  <c r="AN54" i="1"/>
  <c r="AN57" i="1"/>
  <c r="AN47" i="1"/>
  <c r="AN41" i="1"/>
  <c r="AN14" i="1"/>
  <c r="AJ71" i="1"/>
  <c r="AN38" i="1"/>
  <c r="AN61" i="1"/>
  <c r="AJ19" i="1"/>
  <c r="AN42" i="1"/>
  <c r="AJ39" i="1"/>
  <c r="AJ22" i="1"/>
  <c r="AJ30" i="1"/>
  <c r="AN52" i="1"/>
  <c r="AJ52" i="1"/>
  <c r="AN37" i="1"/>
  <c r="AN49" i="1"/>
  <c r="AJ68" i="1"/>
  <c r="AN50" i="1"/>
  <c r="AN33" i="1"/>
  <c r="AJ58" i="1"/>
  <c r="AJ46" i="1"/>
  <c r="AN48" i="1"/>
  <c r="AN28" i="1"/>
  <c r="AN26" i="1"/>
  <c r="AJ9" i="1"/>
  <c r="AN44" i="1"/>
  <c r="AN59" i="1"/>
  <c r="AJ72" i="1"/>
  <c r="AJ8" i="1"/>
  <c r="AN8" i="1"/>
  <c r="AA72" i="1"/>
  <c r="AA16" i="1"/>
  <c r="AA30" i="1"/>
  <c r="X46" i="1"/>
  <c r="X14" i="1"/>
  <c r="X36" i="1"/>
  <c r="X61" i="1"/>
  <c r="AA52" i="1"/>
  <c r="V58" i="1"/>
  <c r="V59" i="1"/>
  <c r="AA71" i="1"/>
  <c r="AA7" i="1"/>
  <c r="N73" i="67"/>
  <c r="Q73" i="67"/>
  <c r="X71" i="1"/>
  <c r="X22" i="1"/>
  <c r="X6" i="1"/>
  <c r="AA67" i="1"/>
  <c r="AA26" i="1"/>
  <c r="AA28" i="1"/>
  <c r="X64" i="1"/>
  <c r="X51" i="1"/>
  <c r="AA20" i="1"/>
  <c r="X20" i="1"/>
  <c r="AJ69" i="1"/>
  <c r="AJ23" i="1"/>
  <c r="AJ32" i="1"/>
  <c r="AJ13" i="1"/>
  <c r="X19" i="1"/>
  <c r="AA19" i="1"/>
  <c r="X43" i="1"/>
  <c r="AA43" i="1"/>
  <c r="AJ6" i="1"/>
  <c r="AJ17" i="1"/>
  <c r="AN25" i="1"/>
  <c r="AJ70" i="1"/>
  <c r="AA59" i="1"/>
  <c r="F76" i="141"/>
  <c r="F82" i="141"/>
  <c r="F76" i="140"/>
  <c r="F82" i="140"/>
  <c r="X59" i="1"/>
  <c r="X33" i="1"/>
  <c r="AA33" i="1"/>
  <c r="V53" i="1"/>
  <c r="X53" i="1"/>
  <c r="AA53" i="1"/>
  <c r="AA69" i="1"/>
  <c r="X69" i="1"/>
  <c r="AJ60" i="1"/>
  <c r="V48" i="1"/>
  <c r="AJ57" i="1"/>
  <c r="AJ45" i="1"/>
  <c r="AA48" i="1"/>
  <c r="X48" i="1"/>
  <c r="AN55" i="1"/>
  <c r="X17" i="1"/>
  <c r="AA17" i="1"/>
  <c r="X49" i="1"/>
  <c r="AA49" i="1"/>
  <c r="V57" i="1"/>
  <c r="AA38" i="1"/>
  <c r="X38" i="1"/>
  <c r="AA10" i="1"/>
  <c r="X10" i="1"/>
  <c r="AA35" i="1"/>
  <c r="X35" i="1"/>
  <c r="X24" i="1"/>
  <c r="AA24" i="1"/>
  <c r="AA65" i="1"/>
  <c r="X65" i="1"/>
  <c r="X21" i="1"/>
  <c r="AA21" i="1"/>
  <c r="V23" i="1"/>
  <c r="X15" i="1"/>
  <c r="AA15" i="1"/>
  <c r="X37" i="1"/>
  <c r="AA37" i="1"/>
  <c r="X57" i="1"/>
  <c r="AA57" i="1"/>
  <c r="X18" i="1"/>
  <c r="AA18" i="1"/>
  <c r="X44" i="1"/>
  <c r="AA44" i="1"/>
  <c r="AA40" i="1"/>
  <c r="X40" i="1"/>
  <c r="X23" i="1"/>
  <c r="AA23" i="1"/>
  <c r="V20" i="1"/>
  <c r="F76" i="113"/>
  <c r="P73" i="1"/>
  <c r="AF58" i="1"/>
  <c r="N60" i="67"/>
  <c r="Q60" i="67"/>
  <c r="X39" i="1"/>
  <c r="F82" i="113"/>
  <c r="F76" i="116"/>
  <c r="F82" i="116"/>
  <c r="F76" i="118"/>
  <c r="F82" i="118"/>
  <c r="F76" i="120"/>
  <c r="F82" i="120"/>
  <c r="F76" i="126"/>
  <c r="F82" i="126"/>
  <c r="F76" i="128"/>
  <c r="F82" i="128"/>
  <c r="F76" i="131"/>
  <c r="F82" i="131"/>
  <c r="F76" i="145"/>
  <c r="F82" i="145"/>
  <c r="F76" i="147"/>
  <c r="F82" i="147"/>
  <c r="F76" i="149"/>
  <c r="F82" i="149"/>
  <c r="F76" i="152"/>
  <c r="F82" i="152"/>
  <c r="F76" i="115"/>
  <c r="F82" i="115"/>
  <c r="F77" i="114"/>
  <c r="F83" i="114"/>
  <c r="F76" i="117"/>
  <c r="F82" i="117"/>
  <c r="F76" i="119"/>
  <c r="F82" i="119"/>
  <c r="F76" i="125"/>
  <c r="F82" i="125"/>
  <c r="F76" i="127"/>
  <c r="F82" i="127"/>
  <c r="F76" i="129"/>
  <c r="F82" i="129"/>
  <c r="F82" i="144"/>
  <c r="F76" i="146"/>
  <c r="F82" i="146"/>
  <c r="F76" i="148"/>
  <c r="F82" i="148"/>
  <c r="F76" i="151"/>
  <c r="F82" i="151"/>
  <c r="F76" i="153"/>
  <c r="F82" i="153"/>
  <c r="X29" i="1"/>
  <c r="X7" i="1"/>
  <c r="AJ4" i="1"/>
  <c r="V54" i="1"/>
  <c r="AA25" i="1"/>
  <c r="V25" i="1"/>
  <c r="X25" i="1"/>
  <c r="AJ29" i="1"/>
  <c r="AA29" i="1"/>
  <c r="AJ63" i="1"/>
  <c r="AA34" i="1"/>
  <c r="AA66" i="1"/>
  <c r="AA5" i="1"/>
  <c r="X34" i="1"/>
  <c r="X66" i="1"/>
  <c r="V5" i="1"/>
  <c r="AA36" i="1"/>
  <c r="X5" i="1"/>
  <c r="X72" i="1"/>
  <c r="V71" i="1"/>
  <c r="X41" i="1"/>
  <c r="AN70" i="1"/>
  <c r="AJ12" i="1"/>
  <c r="AN69" i="1"/>
  <c r="AJ28" i="1"/>
  <c r="AJ14" i="1"/>
  <c r="AN30" i="1"/>
  <c r="AJ56" i="1"/>
  <c r="X16" i="1"/>
  <c r="X8" i="1"/>
  <c r="V8" i="1"/>
  <c r="AJ37" i="1"/>
  <c r="AN36" i="1"/>
  <c r="AA41" i="1"/>
  <c r="X4" i="1"/>
  <c r="X52" i="1"/>
  <c r="AA46" i="1"/>
  <c r="AA39" i="1"/>
  <c r="AA4" i="1"/>
  <c r="X30" i="1"/>
  <c r="V4" i="1"/>
  <c r="V22" i="1"/>
  <c r="AA8" i="1"/>
  <c r="AA70" i="1"/>
  <c r="AA32" i="1"/>
  <c r="AA62" i="1"/>
  <c r="AA22" i="1"/>
  <c r="X70" i="1"/>
  <c r="AA6" i="1"/>
  <c r="X54" i="1"/>
  <c r="AA14" i="1"/>
  <c r="AA50" i="1"/>
  <c r="V61" i="1"/>
  <c r="X32" i="1"/>
  <c r="V62" i="1"/>
  <c r="X62" i="1"/>
  <c r="V26" i="1"/>
  <c r="AA45" i="1"/>
  <c r="AA11" i="1"/>
  <c r="AJ47" i="1"/>
  <c r="AN9" i="1"/>
  <c r="AN58" i="1"/>
  <c r="AA27" i="1"/>
  <c r="AN6" i="1"/>
  <c r="AN16" i="1"/>
  <c r="X28" i="1"/>
  <c r="X63" i="1"/>
  <c r="X45" i="1"/>
  <c r="X11" i="1"/>
  <c r="X27" i="1"/>
  <c r="AJ42" i="1"/>
  <c r="AN7" i="1"/>
  <c r="AJ59" i="1"/>
  <c r="V63" i="1"/>
  <c r="AJ26" i="1"/>
  <c r="AA54" i="1"/>
  <c r="X67" i="1"/>
  <c r="X50" i="1"/>
  <c r="X26" i="1"/>
  <c r="AJ18" i="1"/>
  <c r="AN67" i="1"/>
  <c r="AN39" i="1"/>
  <c r="AJ65" i="1"/>
  <c r="AJ10" i="1"/>
  <c r="AN43" i="1"/>
  <c r="AN31" i="1"/>
  <c r="AN23" i="1"/>
  <c r="AJ61" i="1"/>
  <c r="AJ66" i="1"/>
  <c r="AN21" i="1"/>
  <c r="AN68" i="1"/>
  <c r="AJ49" i="1"/>
  <c r="AN22" i="1"/>
  <c r="AN32" i="1"/>
  <c r="X47" i="1"/>
  <c r="AA13" i="1"/>
  <c r="AA63" i="1"/>
  <c r="X13" i="1"/>
  <c r="AA47" i="1"/>
  <c r="AA51" i="1"/>
  <c r="AA64" i="1"/>
  <c r="N61" i="67"/>
  <c r="Q61" i="67"/>
  <c r="R61" i="67"/>
  <c r="T61" i="67"/>
  <c r="AJ38" i="1"/>
  <c r="AN71" i="1"/>
  <c r="AJ54" i="1"/>
  <c r="AJ50" i="1"/>
  <c r="AN53" i="1"/>
  <c r="AJ24" i="1"/>
  <c r="AJ25" i="1"/>
  <c r="AJ33" i="1"/>
  <c r="AJ44" i="1"/>
  <c r="AN19" i="1"/>
  <c r="AN46" i="1"/>
  <c r="AJ40" i="1"/>
  <c r="AJ41" i="1"/>
  <c r="AN13" i="1"/>
  <c r="AN17" i="1"/>
  <c r="AJ51" i="1"/>
  <c r="AJ48" i="1"/>
  <c r="AJ35" i="1"/>
  <c r="AN72" i="1"/>
  <c r="AN15" i="1"/>
  <c r="AA9" i="1"/>
  <c r="X9" i="1"/>
  <c r="X31" i="1"/>
  <c r="AA31" i="1"/>
  <c r="V42" i="1"/>
  <c r="V55" i="1"/>
  <c r="AA56" i="1"/>
  <c r="X56" i="1"/>
  <c r="V43" i="1"/>
  <c r="AA68" i="1"/>
  <c r="X68" i="1"/>
  <c r="AA60" i="1"/>
  <c r="X60" i="1"/>
  <c r="AA42" i="1"/>
  <c r="X42" i="1"/>
  <c r="X55" i="1"/>
  <c r="AA55" i="1"/>
  <c r="V19" i="1"/>
  <c r="R60" i="67"/>
  <c r="T60" i="67"/>
  <c r="R73" i="67"/>
  <c r="T73" i="67"/>
  <c r="V33" i="1"/>
  <c r="V69" i="1"/>
  <c r="V49" i="1"/>
  <c r="V17" i="1"/>
  <c r="V18" i="1"/>
  <c r="V37" i="1"/>
  <c r="V13" i="1"/>
  <c r="V44" i="1"/>
  <c r="V15" i="1"/>
  <c r="V21" i="1"/>
  <c r="V24" i="1"/>
  <c r="V11" i="1"/>
  <c r="V38" i="1"/>
  <c r="V65" i="1"/>
  <c r="N63" i="67"/>
  <c r="Q63" i="67"/>
  <c r="V40" i="1"/>
  <c r="V35" i="1"/>
  <c r="V10" i="1"/>
  <c r="N22" i="67"/>
  <c r="Q22" i="67"/>
  <c r="AB73" i="1"/>
  <c r="R73" i="1"/>
  <c r="AH58" i="1"/>
  <c r="AF38" i="1"/>
  <c r="V29" i="1"/>
  <c r="V32" i="1"/>
  <c r="V47" i="1"/>
  <c r="V67" i="1"/>
  <c r="V34" i="1"/>
  <c r="V66" i="1"/>
  <c r="AF52" i="1"/>
  <c r="V7" i="1"/>
  <c r="N25" i="67"/>
  <c r="Q25" i="67"/>
  <c r="V30" i="1"/>
  <c r="V72" i="1"/>
  <c r="V16" i="1"/>
  <c r="V46" i="1"/>
  <c r="V39" i="1"/>
  <c r="AF61" i="1"/>
  <c r="V51" i="1"/>
  <c r="V70" i="1"/>
  <c r="N20" i="67"/>
  <c r="Q20" i="67"/>
  <c r="N10" i="67"/>
  <c r="Q10" i="67"/>
  <c r="V52" i="1"/>
  <c r="V14" i="1"/>
  <c r="V28" i="1"/>
  <c r="V50" i="1"/>
  <c r="V41" i="1"/>
  <c r="N64" i="67"/>
  <c r="Q64" i="67"/>
  <c r="AF71" i="1"/>
  <c r="N15" i="67"/>
  <c r="Q15" i="67"/>
  <c r="V27" i="1"/>
  <c r="V6" i="1"/>
  <c r="V45" i="1"/>
  <c r="N19" i="67"/>
  <c r="Q19" i="67"/>
  <c r="V36" i="1"/>
  <c r="N29" i="67"/>
  <c r="Q29" i="67"/>
  <c r="AF48" i="1"/>
  <c r="AF32" i="1"/>
  <c r="AF8" i="1"/>
  <c r="AF23" i="1"/>
  <c r="AH35" i="1"/>
  <c r="AF21" i="1"/>
  <c r="AF20" i="1"/>
  <c r="AF59" i="1"/>
  <c r="V64" i="1"/>
  <c r="N35" i="67"/>
  <c r="Q35" i="67"/>
  <c r="N34" i="67"/>
  <c r="Q34" i="67"/>
  <c r="AN73" i="1"/>
  <c r="AJ73" i="1"/>
  <c r="N21" i="67"/>
  <c r="Q21" i="67"/>
  <c r="R21" i="67"/>
  <c r="T21" i="67"/>
  <c r="N45" i="67"/>
  <c r="Q45" i="67"/>
  <c r="R45" i="67"/>
  <c r="T45" i="67"/>
  <c r="V60" i="1"/>
  <c r="V68" i="1"/>
  <c r="AF19" i="1"/>
  <c r="AF43" i="1"/>
  <c r="V56" i="1"/>
  <c r="V31" i="1"/>
  <c r="V9" i="1"/>
  <c r="AH59" i="1"/>
  <c r="R22" i="67"/>
  <c r="T22" i="67"/>
  <c r="R63" i="67"/>
  <c r="T63" i="67"/>
  <c r="AH20" i="1"/>
  <c r="N24" i="67"/>
  <c r="Q24" i="67"/>
  <c r="AF33" i="1"/>
  <c r="AF49" i="1"/>
  <c r="N55" i="67"/>
  <c r="Q55" i="67"/>
  <c r="AF53" i="1"/>
  <c r="AF25" i="1"/>
  <c r="N71" i="67"/>
  <c r="Q71" i="67"/>
  <c r="N27" i="67"/>
  <c r="Q27" i="67"/>
  <c r="N50" i="67"/>
  <c r="Q50" i="67"/>
  <c r="AH24" i="1"/>
  <c r="AF41" i="1"/>
  <c r="N9" i="67"/>
  <c r="Q9" i="67"/>
  <c r="AF24" i="1"/>
  <c r="AF10" i="1"/>
  <c r="AF27" i="1"/>
  <c r="AF17" i="1"/>
  <c r="N67" i="67"/>
  <c r="Q67" i="67"/>
  <c r="N42" i="67"/>
  <c r="Q42" i="67"/>
  <c r="AF62" i="1"/>
  <c r="AF13" i="1"/>
  <c r="N68" i="67"/>
  <c r="Q68" i="67"/>
  <c r="N32" i="67"/>
  <c r="Q32" i="67"/>
  <c r="N65" i="67"/>
  <c r="Q65" i="67"/>
  <c r="N54" i="67"/>
  <c r="Q54" i="67"/>
  <c r="N52" i="67"/>
  <c r="Q52" i="67"/>
  <c r="AF18" i="1"/>
  <c r="N16" i="67"/>
  <c r="Q16" i="67"/>
  <c r="N41" i="67"/>
  <c r="Q41" i="67"/>
  <c r="N38" i="67"/>
  <c r="Q38" i="67"/>
  <c r="N13" i="67"/>
  <c r="Q13" i="67"/>
  <c r="AF37" i="1"/>
  <c r="N18" i="67"/>
  <c r="Q18" i="67"/>
  <c r="N37" i="67"/>
  <c r="Q37" i="67"/>
  <c r="N17" i="67"/>
  <c r="Q17" i="67"/>
  <c r="N72" i="67"/>
  <c r="Q72" i="67"/>
  <c r="N59" i="67"/>
  <c r="Q59" i="67"/>
  <c r="N31" i="67"/>
  <c r="Q31" i="67"/>
  <c r="N7" i="67"/>
  <c r="Q7" i="67"/>
  <c r="AF34" i="1"/>
  <c r="N8" i="67"/>
  <c r="Q8" i="67"/>
  <c r="N40" i="67"/>
  <c r="Q40" i="67"/>
  <c r="AF47" i="1"/>
  <c r="N53" i="67"/>
  <c r="Q53" i="67"/>
  <c r="N48" i="67"/>
  <c r="Q48" i="67"/>
  <c r="N66" i="67"/>
  <c r="Q66" i="67"/>
  <c r="AF44" i="1"/>
  <c r="AF29" i="1"/>
  <c r="N36" i="67"/>
  <c r="Q36" i="67"/>
  <c r="N39" i="67"/>
  <c r="Q39" i="67"/>
  <c r="N56" i="67"/>
  <c r="Q56" i="67"/>
  <c r="N74" i="67"/>
  <c r="Q74" i="67"/>
  <c r="N47" i="67"/>
  <c r="Q47" i="67"/>
  <c r="AF50" i="1"/>
  <c r="N28" i="67"/>
  <c r="Q28" i="67"/>
  <c r="N69" i="67"/>
  <c r="Q69" i="67"/>
  <c r="AF35" i="1"/>
  <c r="X12" i="1"/>
  <c r="AA12" i="1"/>
  <c r="AA73" i="1"/>
  <c r="T73" i="1"/>
  <c r="N6" i="67"/>
  <c r="AF57" i="1"/>
  <c r="D61" i="144"/>
  <c r="D61" i="145"/>
  <c r="E61" i="145"/>
  <c r="H61" i="145"/>
  <c r="D61" i="146"/>
  <c r="D61" i="147"/>
  <c r="D61" i="148"/>
  <c r="E61" i="148"/>
  <c r="H61" i="148"/>
  <c r="D61" i="149"/>
  <c r="D61" i="151"/>
  <c r="D61" i="152"/>
  <c r="D61" i="153"/>
  <c r="E61" i="153"/>
  <c r="H61" i="153"/>
  <c r="AH71" i="1"/>
  <c r="AF11" i="1"/>
  <c r="AH11" i="1"/>
  <c r="N23" i="67"/>
  <c r="Q23" i="67"/>
  <c r="R23" i="67"/>
  <c r="T23" i="67"/>
  <c r="AF63" i="1"/>
  <c r="AH61" i="1"/>
  <c r="AF26" i="1"/>
  <c r="AF28" i="1"/>
  <c r="AF69" i="1"/>
  <c r="AF30" i="1"/>
  <c r="AH16" i="1"/>
  <c r="AH70" i="1"/>
  <c r="AF5" i="1"/>
  <c r="AF16" i="1"/>
  <c r="AF66" i="1"/>
  <c r="AH5" i="1"/>
  <c r="N43" i="67"/>
  <c r="Q43" i="67"/>
  <c r="R43" i="67"/>
  <c r="T43" i="67"/>
  <c r="AH69" i="1"/>
  <c r="AF70" i="1"/>
  <c r="AF46" i="1"/>
  <c r="AF64" i="1"/>
  <c r="AF54" i="1"/>
  <c r="AF7" i="1"/>
  <c r="AF36" i="1"/>
  <c r="AH36" i="1"/>
  <c r="AF65" i="1"/>
  <c r="AF45" i="1"/>
  <c r="AF72" i="1"/>
  <c r="AF6" i="1"/>
  <c r="AF51" i="1"/>
  <c r="AH6" i="1"/>
  <c r="AF39" i="1"/>
  <c r="AW58" i="1"/>
  <c r="AQ58" i="1"/>
  <c r="N46" i="67"/>
  <c r="Q46" i="67"/>
  <c r="R46" i="67"/>
  <c r="T46" i="67"/>
  <c r="N30" i="67"/>
  <c r="Q30" i="67"/>
  <c r="R30" i="67"/>
  <c r="T30" i="67"/>
  <c r="AF15" i="1"/>
  <c r="AH22" i="1"/>
  <c r="N12" i="67"/>
  <c r="Q12" i="67"/>
  <c r="R12" i="67"/>
  <c r="T12" i="67"/>
  <c r="AF14" i="1"/>
  <c r="N51" i="67"/>
  <c r="Q51" i="67"/>
  <c r="R51" i="67"/>
  <c r="T51" i="67"/>
  <c r="AF22" i="1"/>
  <c r="N49" i="67"/>
  <c r="Q49" i="67"/>
  <c r="R49" i="67"/>
  <c r="T49" i="67"/>
  <c r="N26" i="67"/>
  <c r="Q26" i="67"/>
  <c r="R26" i="67"/>
  <c r="T26" i="67"/>
  <c r="AH39" i="1"/>
  <c r="AF40" i="1"/>
  <c r="AH50" i="1"/>
  <c r="AH37" i="1"/>
  <c r="AW50" i="1"/>
  <c r="AQ50" i="1"/>
  <c r="AF42" i="1"/>
  <c r="AF55" i="1"/>
  <c r="AF67" i="1"/>
  <c r="AH68" i="1"/>
  <c r="AF68" i="1"/>
  <c r="AF60" i="1"/>
  <c r="N33" i="67"/>
  <c r="Q33" i="67"/>
  <c r="R33" i="67"/>
  <c r="T33" i="67"/>
  <c r="N62" i="67"/>
  <c r="Q62" i="67"/>
  <c r="R62" i="67"/>
  <c r="T62" i="67"/>
  <c r="N44" i="67"/>
  <c r="Q44" i="67"/>
  <c r="R44" i="67"/>
  <c r="T44" i="67"/>
  <c r="AH43" i="1"/>
  <c r="N11" i="67"/>
  <c r="Q11" i="67"/>
  <c r="R11" i="67"/>
  <c r="T11" i="67"/>
  <c r="AF56" i="1"/>
  <c r="AF31" i="1"/>
  <c r="N57" i="67"/>
  <c r="Q57" i="67"/>
  <c r="R57" i="67"/>
  <c r="T57" i="67"/>
  <c r="AH19" i="1"/>
  <c r="AF9" i="1"/>
  <c r="N58" i="67"/>
  <c r="Q58" i="67"/>
  <c r="R58" i="67"/>
  <c r="T58" i="67"/>
  <c r="N70" i="67"/>
  <c r="Q70" i="67"/>
  <c r="R70" i="67"/>
  <c r="T70" i="67"/>
  <c r="D68" i="100"/>
  <c r="D43" i="100"/>
  <c r="D59" i="100"/>
  <c r="R69" i="67"/>
  <c r="T69" i="67"/>
  <c r="R28" i="67"/>
  <c r="T28" i="67"/>
  <c r="R20" i="67"/>
  <c r="T20" i="67"/>
  <c r="R74" i="67"/>
  <c r="T74" i="67"/>
  <c r="R15" i="67"/>
  <c r="T15" i="67"/>
  <c r="R7" i="67"/>
  <c r="T7" i="67"/>
  <c r="R31" i="67"/>
  <c r="T31" i="67"/>
  <c r="R72" i="67"/>
  <c r="T72" i="67"/>
  <c r="R37" i="67"/>
  <c r="T37" i="67"/>
  <c r="R41" i="67"/>
  <c r="T41" i="67"/>
  <c r="R16" i="67"/>
  <c r="T16" i="67"/>
  <c r="R52" i="67"/>
  <c r="T52" i="67"/>
  <c r="R54" i="67"/>
  <c r="T54" i="67"/>
  <c r="R25" i="67"/>
  <c r="T25" i="67"/>
  <c r="R42" i="67"/>
  <c r="T42" i="67"/>
  <c r="R50" i="67"/>
  <c r="T50" i="67"/>
  <c r="R71" i="67"/>
  <c r="T71" i="67"/>
  <c r="R55" i="67"/>
  <c r="T55" i="67"/>
  <c r="R24" i="67"/>
  <c r="T24" i="67"/>
  <c r="R47" i="67"/>
  <c r="T47" i="67"/>
  <c r="R56" i="67"/>
  <c r="T56" i="67"/>
  <c r="R39" i="67"/>
  <c r="T39" i="67"/>
  <c r="R36" i="67"/>
  <c r="T36" i="67"/>
  <c r="R66" i="67"/>
  <c r="T66" i="67"/>
  <c r="R48" i="67"/>
  <c r="T48" i="67"/>
  <c r="R53" i="67"/>
  <c r="T53" i="67"/>
  <c r="R40" i="67"/>
  <c r="T40" i="67"/>
  <c r="R8" i="67"/>
  <c r="T8" i="67"/>
  <c r="R59" i="67"/>
  <c r="T59" i="67"/>
  <c r="R64" i="67"/>
  <c r="T64" i="67"/>
  <c r="R17" i="67"/>
  <c r="T17" i="67"/>
  <c r="R18" i="67"/>
  <c r="T18" i="67"/>
  <c r="R34" i="67"/>
  <c r="T34" i="67"/>
  <c r="R13" i="67"/>
  <c r="T13" i="67"/>
  <c r="R38" i="67"/>
  <c r="T38" i="67"/>
  <c r="R10" i="67"/>
  <c r="T10" i="67"/>
  <c r="R65" i="67"/>
  <c r="T65" i="67"/>
  <c r="R32" i="67"/>
  <c r="T32" i="67"/>
  <c r="R68" i="67"/>
  <c r="T68" i="67"/>
  <c r="R67" i="67"/>
  <c r="T67" i="67"/>
  <c r="R29" i="67"/>
  <c r="T29" i="67"/>
  <c r="R19" i="67"/>
  <c r="T19" i="67"/>
  <c r="R9" i="67"/>
  <c r="T9" i="67"/>
  <c r="R27" i="67"/>
  <c r="T27" i="67"/>
  <c r="R35" i="67"/>
  <c r="T35" i="67"/>
  <c r="AH10" i="1"/>
  <c r="AH33" i="1"/>
  <c r="AH53" i="1"/>
  <c r="AW39" i="1"/>
  <c r="AV39" i="1"/>
  <c r="AH25" i="1"/>
  <c r="AH27" i="1"/>
  <c r="AH41" i="1"/>
  <c r="AH49" i="1"/>
  <c r="AH48" i="1"/>
  <c r="AH17" i="1"/>
  <c r="AH13" i="1"/>
  <c r="AH62" i="1"/>
  <c r="AH29" i="1"/>
  <c r="AH8" i="1"/>
  <c r="AH38" i="1"/>
  <c r="AH32" i="1"/>
  <c r="AH65" i="1"/>
  <c r="AH21" i="1"/>
  <c r="AH26" i="1"/>
  <c r="AH18" i="1"/>
  <c r="AW61" i="1"/>
  <c r="AH23" i="1"/>
  <c r="AH44" i="1"/>
  <c r="AH47" i="1"/>
  <c r="AW10" i="1"/>
  <c r="AH57" i="1"/>
  <c r="AH34" i="1"/>
  <c r="AW37" i="1"/>
  <c r="X73" i="1"/>
  <c r="W73" i="1"/>
  <c r="Z73" i="1"/>
  <c r="V12" i="1"/>
  <c r="AF4" i="1"/>
  <c r="Q6" i="67"/>
  <c r="E61" i="152"/>
  <c r="H61" i="152"/>
  <c r="E61" i="146"/>
  <c r="H61" i="146"/>
  <c r="E61" i="144"/>
  <c r="H61" i="144"/>
  <c r="E61" i="147"/>
  <c r="H61" i="147"/>
  <c r="E61" i="149"/>
  <c r="H61" i="149"/>
  <c r="E61" i="151"/>
  <c r="H61" i="151"/>
  <c r="D74" i="144"/>
  <c r="D74" i="145"/>
  <c r="E74" i="145"/>
  <c r="H74" i="145"/>
  <c r="D74" i="146"/>
  <c r="D74" i="147"/>
  <c r="D74" i="148"/>
  <c r="E74" i="148"/>
  <c r="H74" i="148"/>
  <c r="D74" i="149"/>
  <c r="D74" i="151"/>
  <c r="D74" i="152"/>
  <c r="D74" i="153"/>
  <c r="E74" i="153"/>
  <c r="H74" i="153"/>
  <c r="AH63" i="1"/>
  <c r="AW71" i="1"/>
  <c r="AQ71" i="1"/>
  <c r="AH52" i="1"/>
  <c r="AH46" i="1"/>
  <c r="AH28" i="1"/>
  <c r="AH64" i="1"/>
  <c r="AH66" i="1"/>
  <c r="AH51" i="1"/>
  <c r="AH15" i="1"/>
  <c r="AH45" i="1"/>
  <c r="AH72" i="1"/>
  <c r="AH7" i="1"/>
  <c r="AH30" i="1"/>
  <c r="AH14" i="1"/>
  <c r="AW28" i="1"/>
  <c r="AQ28" i="1"/>
  <c r="AX58" i="1"/>
  <c r="AV58" i="1"/>
  <c r="AH54" i="1"/>
  <c r="AW35" i="1"/>
  <c r="AQ35" i="1"/>
  <c r="AX50" i="1"/>
  <c r="AV50" i="1"/>
  <c r="AH40" i="1"/>
  <c r="AH56" i="1"/>
  <c r="AW24" i="1"/>
  <c r="AX24" i="1"/>
  <c r="AH67" i="1"/>
  <c r="AW59" i="1"/>
  <c r="AV59" i="1"/>
  <c r="AH9" i="1"/>
  <c r="AW19" i="1"/>
  <c r="AH31" i="1"/>
  <c r="AH60" i="1"/>
  <c r="AH55" i="1"/>
  <c r="AH42" i="1"/>
  <c r="AW43" i="1"/>
  <c r="AQ43" i="1"/>
  <c r="D9" i="100"/>
  <c r="D58" i="100"/>
  <c r="D31" i="100"/>
  <c r="D42" i="100"/>
  <c r="D60" i="100"/>
  <c r="D71" i="100"/>
  <c r="D19" i="100"/>
  <c r="R6" i="67"/>
  <c r="T6" i="67"/>
  <c r="AW20" i="1"/>
  <c r="AX20" i="1"/>
  <c r="AX39" i="1"/>
  <c r="AQ39" i="1"/>
  <c r="AW33" i="1"/>
  <c r="AQ33" i="1"/>
  <c r="AW53" i="1"/>
  <c r="AQ53" i="1"/>
  <c r="AW25" i="1"/>
  <c r="AQ25" i="1"/>
  <c r="AW48" i="1"/>
  <c r="AQ48" i="1"/>
  <c r="AW41" i="1"/>
  <c r="AW27" i="1"/>
  <c r="AW17" i="1"/>
  <c r="AW49" i="1"/>
  <c r="AW26" i="1"/>
  <c r="AW57" i="1"/>
  <c r="AQ57" i="1"/>
  <c r="AW44" i="1"/>
  <c r="AW30" i="1"/>
  <c r="AW13" i="1"/>
  <c r="AW64" i="1"/>
  <c r="AW23" i="1"/>
  <c r="AW62" i="1"/>
  <c r="AW34" i="1"/>
  <c r="AW63" i="1"/>
  <c r="AW38" i="1"/>
  <c r="AW29" i="1"/>
  <c r="AV10" i="1"/>
  <c r="AQ10" i="1"/>
  <c r="AX10" i="1"/>
  <c r="AW47" i="1"/>
  <c r="AW21" i="1"/>
  <c r="AW65" i="1"/>
  <c r="AQ65" i="1"/>
  <c r="AQ37" i="1"/>
  <c r="AV37" i="1"/>
  <c r="AX37" i="1"/>
  <c r="AW51" i="1"/>
  <c r="AW54" i="1"/>
  <c r="AX61" i="1"/>
  <c r="AV61" i="1"/>
  <c r="AQ61" i="1"/>
  <c r="AW18" i="1"/>
  <c r="AW32" i="1"/>
  <c r="AW15" i="1"/>
  <c r="AW8" i="1"/>
  <c r="V73" i="1"/>
  <c r="AC73" i="1"/>
  <c r="AH4" i="1"/>
  <c r="AW16" i="1"/>
  <c r="AQ16" i="1"/>
  <c r="E74" i="146"/>
  <c r="H74" i="146"/>
  <c r="E74" i="144"/>
  <c r="H74" i="144"/>
  <c r="E74" i="152"/>
  <c r="H74" i="152"/>
  <c r="E74" i="147"/>
  <c r="H74" i="147"/>
  <c r="E74" i="149"/>
  <c r="H74" i="149"/>
  <c r="E74" i="151"/>
  <c r="H74" i="151"/>
  <c r="D17" i="144"/>
  <c r="D17" i="145"/>
  <c r="E17" i="145"/>
  <c r="H17" i="145"/>
  <c r="D17" i="146"/>
  <c r="D17" i="147"/>
  <c r="D17" i="148"/>
  <c r="E17" i="148"/>
  <c r="H17" i="148"/>
  <c r="D17" i="149"/>
  <c r="D17" i="151"/>
  <c r="D17" i="152"/>
  <c r="D17" i="153"/>
  <c r="E17" i="153"/>
  <c r="H17" i="153"/>
  <c r="D37" i="144"/>
  <c r="D37" i="145"/>
  <c r="E37" i="145"/>
  <c r="H37" i="145"/>
  <c r="D37" i="146"/>
  <c r="D37" i="147"/>
  <c r="D37" i="148"/>
  <c r="E37" i="148"/>
  <c r="H37" i="148"/>
  <c r="D37" i="149"/>
  <c r="D37" i="151"/>
  <c r="D37" i="152"/>
  <c r="D37" i="153"/>
  <c r="E37" i="153"/>
  <c r="H37" i="153"/>
  <c r="D47" i="144"/>
  <c r="D47" i="145"/>
  <c r="E47" i="145"/>
  <c r="H47" i="145"/>
  <c r="D47" i="146"/>
  <c r="D47" i="147"/>
  <c r="D47" i="148"/>
  <c r="E47" i="148"/>
  <c r="H47" i="148"/>
  <c r="D47" i="149"/>
  <c r="D47" i="151"/>
  <c r="D47" i="152"/>
  <c r="D47" i="153"/>
  <c r="E47" i="153"/>
  <c r="H47" i="153"/>
  <c r="D43" i="144"/>
  <c r="D43" i="145"/>
  <c r="E43" i="145"/>
  <c r="H43" i="145"/>
  <c r="D43" i="146"/>
  <c r="D43" i="147"/>
  <c r="D43" i="148"/>
  <c r="E43" i="148"/>
  <c r="H43" i="148"/>
  <c r="D43" i="149"/>
  <c r="D43" i="151"/>
  <c r="D43" i="152"/>
  <c r="D43" i="153"/>
  <c r="E43" i="153"/>
  <c r="H43" i="153"/>
  <c r="D29" i="144"/>
  <c r="D29" i="145"/>
  <c r="E29" i="145"/>
  <c r="H29" i="145"/>
  <c r="D29" i="146"/>
  <c r="D29" i="147"/>
  <c r="D29" i="148"/>
  <c r="E29" i="148"/>
  <c r="H29" i="148"/>
  <c r="D29" i="149"/>
  <c r="D29" i="151"/>
  <c r="D29" i="152"/>
  <c r="D29" i="153"/>
  <c r="E29" i="153"/>
  <c r="H29" i="153"/>
  <c r="D60" i="144"/>
  <c r="D60" i="145"/>
  <c r="E60" i="145"/>
  <c r="H60" i="145"/>
  <c r="D60" i="146"/>
  <c r="D60" i="147"/>
  <c r="D60" i="148"/>
  <c r="E60" i="148"/>
  <c r="H60" i="148"/>
  <c r="D60" i="149"/>
  <c r="D60" i="151"/>
  <c r="D60" i="152"/>
  <c r="D60" i="153"/>
  <c r="E60" i="153"/>
  <c r="H60" i="153"/>
  <c r="D32" i="144"/>
  <c r="D32" i="145"/>
  <c r="E32" i="145"/>
  <c r="H32" i="145"/>
  <c r="D32" i="146"/>
  <c r="D32" i="147"/>
  <c r="D32" i="148"/>
  <c r="E32" i="148"/>
  <c r="H32" i="148"/>
  <c r="D32" i="149"/>
  <c r="D32" i="151"/>
  <c r="D32" i="152"/>
  <c r="D32" i="153"/>
  <c r="E32" i="153"/>
  <c r="H32" i="153"/>
  <c r="D41" i="144"/>
  <c r="D41" i="145"/>
  <c r="E41" i="145"/>
  <c r="H41" i="145"/>
  <c r="D41" i="146"/>
  <c r="D41" i="147"/>
  <c r="D41" i="148"/>
  <c r="E41" i="148"/>
  <c r="H41" i="148"/>
  <c r="D41" i="149"/>
  <c r="D41" i="151"/>
  <c r="D41" i="152"/>
  <c r="D41" i="153"/>
  <c r="E41" i="153"/>
  <c r="H41" i="153"/>
  <c r="D24" i="144"/>
  <c r="D24" i="145"/>
  <c r="E24" i="145"/>
  <c r="H24" i="145"/>
  <c r="D24" i="146"/>
  <c r="D24" i="147"/>
  <c r="D24" i="148"/>
  <c r="E24" i="148"/>
  <c r="H24" i="148"/>
  <c r="D24" i="149"/>
  <c r="D24" i="151"/>
  <c r="D24" i="152"/>
  <c r="D24" i="153"/>
  <c r="E24" i="153"/>
  <c r="H24" i="153"/>
  <c r="D35" i="144"/>
  <c r="D35" i="145"/>
  <c r="E35" i="145"/>
  <c r="H35" i="145"/>
  <c r="D35" i="146"/>
  <c r="D35" i="147"/>
  <c r="D35" i="148"/>
  <c r="E35" i="148"/>
  <c r="H35" i="148"/>
  <c r="D35" i="149"/>
  <c r="D35" i="151"/>
  <c r="D35" i="152"/>
  <c r="D35" i="153"/>
  <c r="E35" i="153"/>
  <c r="H35" i="153"/>
  <c r="D16" i="144"/>
  <c r="D16" i="145"/>
  <c r="E16" i="145"/>
  <c r="H16" i="145"/>
  <c r="D16" i="146"/>
  <c r="D16" i="147"/>
  <c r="D16" i="148"/>
  <c r="E16" i="148"/>
  <c r="H16" i="148"/>
  <c r="D16" i="149"/>
  <c r="D16" i="151"/>
  <c r="D16" i="152"/>
  <c r="D16" i="153"/>
  <c r="E16" i="153"/>
  <c r="H16" i="153"/>
  <c r="D21" i="144"/>
  <c r="D21" i="145"/>
  <c r="E21" i="145"/>
  <c r="H21" i="145"/>
  <c r="D21" i="146"/>
  <c r="D21" i="147"/>
  <c r="D21" i="148"/>
  <c r="E21" i="148"/>
  <c r="H21" i="148"/>
  <c r="D21" i="149"/>
  <c r="D21" i="151"/>
  <c r="D21" i="152"/>
  <c r="D21" i="153"/>
  <c r="E21" i="153"/>
  <c r="H21" i="153"/>
  <c r="D26" i="144"/>
  <c r="D26" i="145"/>
  <c r="E26" i="145"/>
  <c r="H26" i="145"/>
  <c r="D26" i="146"/>
  <c r="D26" i="147"/>
  <c r="D26" i="148"/>
  <c r="E26" i="148"/>
  <c r="H26" i="148"/>
  <c r="D26" i="149"/>
  <c r="D26" i="151"/>
  <c r="D26" i="152"/>
  <c r="D26" i="153"/>
  <c r="E26" i="153"/>
  <c r="H26" i="153"/>
  <c r="D11" i="144"/>
  <c r="D11" i="145"/>
  <c r="E11" i="145"/>
  <c r="H11" i="145"/>
  <c r="D11" i="146"/>
  <c r="D11" i="147"/>
  <c r="D11" i="148"/>
  <c r="E11" i="148"/>
  <c r="H11" i="148"/>
  <c r="D11" i="149"/>
  <c r="D11" i="151"/>
  <c r="D11" i="152"/>
  <c r="D11" i="153"/>
  <c r="E11" i="153"/>
  <c r="H11" i="153"/>
  <c r="D75" i="144"/>
  <c r="D75" i="145"/>
  <c r="E75" i="145"/>
  <c r="H75" i="145"/>
  <c r="D75" i="146"/>
  <c r="D75" i="147"/>
  <c r="D75" i="148"/>
  <c r="E75" i="148"/>
  <c r="H75" i="148"/>
  <c r="D75" i="149"/>
  <c r="D75" i="151"/>
  <c r="D75" i="152"/>
  <c r="D75" i="153"/>
  <c r="E75" i="153"/>
  <c r="H75" i="153"/>
  <c r="D65" i="144"/>
  <c r="D65" i="145"/>
  <c r="E65" i="145"/>
  <c r="H65" i="145"/>
  <c r="D65" i="146"/>
  <c r="D65" i="147"/>
  <c r="D65" i="148"/>
  <c r="E65" i="148"/>
  <c r="H65" i="148"/>
  <c r="D65" i="149"/>
  <c r="D65" i="151"/>
  <c r="D65" i="152"/>
  <c r="D65" i="153"/>
  <c r="E65" i="153"/>
  <c r="H65" i="153"/>
  <c r="D52" i="144"/>
  <c r="D52" i="145"/>
  <c r="E52" i="145"/>
  <c r="H52" i="145"/>
  <c r="D52" i="146"/>
  <c r="D52" i="147"/>
  <c r="D52" i="148"/>
  <c r="E52" i="148"/>
  <c r="H52" i="148"/>
  <c r="D52" i="149"/>
  <c r="D52" i="151"/>
  <c r="D52" i="152"/>
  <c r="D52" i="153"/>
  <c r="E52" i="153"/>
  <c r="H52" i="153"/>
  <c r="D44" i="144"/>
  <c r="D44" i="145"/>
  <c r="E44" i="145"/>
  <c r="H44" i="145"/>
  <c r="D44" i="146"/>
  <c r="D44" i="147"/>
  <c r="D44" i="148"/>
  <c r="E44" i="148"/>
  <c r="H44" i="148"/>
  <c r="D44" i="149"/>
  <c r="D44" i="151"/>
  <c r="D44" i="152"/>
  <c r="D44" i="153"/>
  <c r="E44" i="153"/>
  <c r="H44" i="153"/>
  <c r="D28" i="144"/>
  <c r="D28" i="145"/>
  <c r="E28" i="145"/>
  <c r="H28" i="145"/>
  <c r="D28" i="146"/>
  <c r="D28" i="147"/>
  <c r="D28" i="148"/>
  <c r="E28" i="148"/>
  <c r="H28" i="148"/>
  <c r="D28" i="149"/>
  <c r="D28" i="151"/>
  <c r="D28" i="152"/>
  <c r="D28" i="153"/>
  <c r="E28" i="153"/>
  <c r="H28" i="153"/>
  <c r="D36" i="144"/>
  <c r="D36" i="145"/>
  <c r="E36" i="145"/>
  <c r="H36" i="145"/>
  <c r="D36" i="146"/>
  <c r="D36" i="147"/>
  <c r="D36" i="148"/>
  <c r="E36" i="148"/>
  <c r="H36" i="148"/>
  <c r="D36" i="149"/>
  <c r="D36" i="151"/>
  <c r="D36" i="152"/>
  <c r="D36" i="153"/>
  <c r="E36" i="153"/>
  <c r="H36" i="153"/>
  <c r="D22" i="144"/>
  <c r="D22" i="145"/>
  <c r="E22" i="145"/>
  <c r="H22" i="145"/>
  <c r="D22" i="146"/>
  <c r="D22" i="147"/>
  <c r="D22" i="148"/>
  <c r="E22" i="148"/>
  <c r="H22" i="148"/>
  <c r="D22" i="149"/>
  <c r="D22" i="151"/>
  <c r="D22" i="152"/>
  <c r="D22" i="153"/>
  <c r="E22" i="153"/>
  <c r="H22" i="153"/>
  <c r="D40" i="144"/>
  <c r="D40" i="145"/>
  <c r="E40" i="145"/>
  <c r="H40" i="145"/>
  <c r="D40" i="146"/>
  <c r="D40" i="147"/>
  <c r="D40" i="148"/>
  <c r="E40" i="148"/>
  <c r="H40" i="148"/>
  <c r="D40" i="149"/>
  <c r="D40" i="151"/>
  <c r="D40" i="152"/>
  <c r="D40" i="153"/>
  <c r="E40" i="153"/>
  <c r="H40" i="153"/>
  <c r="D38" i="144"/>
  <c r="D38" i="145"/>
  <c r="E38" i="145"/>
  <c r="H38" i="145"/>
  <c r="D38" i="146"/>
  <c r="D38" i="147"/>
  <c r="D38" i="148"/>
  <c r="E38" i="148"/>
  <c r="H38" i="148"/>
  <c r="D38" i="149"/>
  <c r="D38" i="151"/>
  <c r="D38" i="152"/>
  <c r="D38" i="153"/>
  <c r="E38" i="153"/>
  <c r="H38" i="153"/>
  <c r="D64" i="144"/>
  <c r="D64" i="145"/>
  <c r="E64" i="145"/>
  <c r="H64" i="145"/>
  <c r="D64" i="146"/>
  <c r="D64" i="147"/>
  <c r="D64" i="148"/>
  <c r="E64" i="148"/>
  <c r="H64" i="148"/>
  <c r="D64" i="149"/>
  <c r="D64" i="151"/>
  <c r="D64" i="152"/>
  <c r="D64" i="153"/>
  <c r="E64" i="153"/>
  <c r="H64" i="153"/>
  <c r="D68" i="144"/>
  <c r="D68" i="145"/>
  <c r="E68" i="145"/>
  <c r="H68" i="145"/>
  <c r="D68" i="146"/>
  <c r="D68" i="147"/>
  <c r="D68" i="148"/>
  <c r="E68" i="148"/>
  <c r="H68" i="148"/>
  <c r="D68" i="149"/>
  <c r="D68" i="151"/>
  <c r="D68" i="152"/>
  <c r="D68" i="153"/>
  <c r="E68" i="153"/>
  <c r="H68" i="153"/>
  <c r="D48" i="144"/>
  <c r="D48" i="145"/>
  <c r="E48" i="145"/>
  <c r="H48" i="145"/>
  <c r="D48" i="146"/>
  <c r="D48" i="147"/>
  <c r="D48" i="148"/>
  <c r="E48" i="148"/>
  <c r="H48" i="148"/>
  <c r="D48" i="149"/>
  <c r="D48" i="151"/>
  <c r="D48" i="152"/>
  <c r="D48" i="153"/>
  <c r="E48" i="153"/>
  <c r="H48" i="153"/>
  <c r="D50" i="144"/>
  <c r="D50" i="145"/>
  <c r="E50" i="145"/>
  <c r="H50" i="145"/>
  <c r="D50" i="146"/>
  <c r="D50" i="147"/>
  <c r="D50" i="148"/>
  <c r="E50" i="148"/>
  <c r="H50" i="148"/>
  <c r="D50" i="149"/>
  <c r="D50" i="151"/>
  <c r="D50" i="152"/>
  <c r="D50" i="153"/>
  <c r="E50" i="153"/>
  <c r="H50" i="153"/>
  <c r="D30" i="144"/>
  <c r="D30" i="145"/>
  <c r="E30" i="145"/>
  <c r="H30" i="145"/>
  <c r="D30" i="146"/>
  <c r="D30" i="147"/>
  <c r="D30" i="148"/>
  <c r="E30" i="148"/>
  <c r="H30" i="148"/>
  <c r="D30" i="149"/>
  <c r="D30" i="151"/>
  <c r="D30" i="152"/>
  <c r="D30" i="153"/>
  <c r="E30" i="153"/>
  <c r="H30" i="153"/>
  <c r="D10" i="144"/>
  <c r="D10" i="145"/>
  <c r="E10" i="145"/>
  <c r="H10" i="145"/>
  <c r="D10" i="146"/>
  <c r="D10" i="147"/>
  <c r="D10" i="148"/>
  <c r="E10" i="148"/>
  <c r="H10" i="148"/>
  <c r="D10" i="149"/>
  <c r="D10" i="151"/>
  <c r="D10" i="152"/>
  <c r="D10" i="153"/>
  <c r="E10" i="153"/>
  <c r="H10" i="153"/>
  <c r="D20" i="144"/>
  <c r="D20" i="145"/>
  <c r="E20" i="145"/>
  <c r="H20" i="145"/>
  <c r="D20" i="146"/>
  <c r="D20" i="147"/>
  <c r="D20" i="148"/>
  <c r="E20" i="148"/>
  <c r="H20" i="148"/>
  <c r="D20" i="149"/>
  <c r="D20" i="151"/>
  <c r="D20" i="152"/>
  <c r="D20" i="153"/>
  <c r="E20" i="153"/>
  <c r="H20" i="153"/>
  <c r="D51" i="144"/>
  <c r="D51" i="145"/>
  <c r="E51" i="145"/>
  <c r="H51" i="145"/>
  <c r="D51" i="146"/>
  <c r="D51" i="147"/>
  <c r="D51" i="148"/>
  <c r="E51" i="148"/>
  <c r="H51" i="148"/>
  <c r="D51" i="149"/>
  <c r="D51" i="151"/>
  <c r="D51" i="152"/>
  <c r="D51" i="153"/>
  <c r="E51" i="153"/>
  <c r="H51" i="153"/>
  <c r="D56" i="144"/>
  <c r="D56" i="145"/>
  <c r="E56" i="145"/>
  <c r="H56" i="145"/>
  <c r="D56" i="146"/>
  <c r="D56" i="147"/>
  <c r="D56" i="148"/>
  <c r="E56" i="148"/>
  <c r="H56" i="148"/>
  <c r="D56" i="149"/>
  <c r="D56" i="151"/>
  <c r="D56" i="152"/>
  <c r="D56" i="153"/>
  <c r="E56" i="153"/>
  <c r="H56" i="153"/>
  <c r="D27" i="144"/>
  <c r="D27" i="145"/>
  <c r="E27" i="145"/>
  <c r="H27" i="145"/>
  <c r="D27" i="146"/>
  <c r="D27" i="147"/>
  <c r="D27" i="148"/>
  <c r="E27" i="148"/>
  <c r="H27" i="148"/>
  <c r="D27" i="149"/>
  <c r="D27" i="151"/>
  <c r="D27" i="152"/>
  <c r="D27" i="153"/>
  <c r="E27" i="153"/>
  <c r="H27" i="153"/>
  <c r="D13" i="144"/>
  <c r="D13" i="145"/>
  <c r="E13" i="145"/>
  <c r="H13" i="145"/>
  <c r="D13" i="146"/>
  <c r="D13" i="147"/>
  <c r="D13" i="148"/>
  <c r="E13" i="148"/>
  <c r="H13" i="148"/>
  <c r="D13" i="149"/>
  <c r="D13" i="151"/>
  <c r="D13" i="152"/>
  <c r="D13" i="153"/>
  <c r="E13" i="153"/>
  <c r="H13" i="153"/>
  <c r="D62" i="144"/>
  <c r="D62" i="145"/>
  <c r="E62" i="145"/>
  <c r="H62" i="145"/>
  <c r="D62" i="146"/>
  <c r="D62" i="147"/>
  <c r="D62" i="148"/>
  <c r="E62" i="148"/>
  <c r="H62" i="148"/>
  <c r="D62" i="149"/>
  <c r="D62" i="151"/>
  <c r="D62" i="152"/>
  <c r="D62" i="153"/>
  <c r="E62" i="153"/>
  <c r="H62" i="153"/>
  <c r="D59" i="144"/>
  <c r="D59" i="145"/>
  <c r="E59" i="145"/>
  <c r="H59" i="145"/>
  <c r="D59" i="146"/>
  <c r="D59" i="147"/>
  <c r="D59" i="148"/>
  <c r="E59" i="148"/>
  <c r="H59" i="148"/>
  <c r="D59" i="149"/>
  <c r="D59" i="151"/>
  <c r="D59" i="152"/>
  <c r="D59" i="153"/>
  <c r="E59" i="153"/>
  <c r="H59" i="153"/>
  <c r="D23" i="144"/>
  <c r="D23" i="145"/>
  <c r="E23" i="145"/>
  <c r="H23" i="145"/>
  <c r="D23" i="146"/>
  <c r="D23" i="147"/>
  <c r="D23" i="148"/>
  <c r="E23" i="148"/>
  <c r="H23" i="148"/>
  <c r="D23" i="149"/>
  <c r="D23" i="151"/>
  <c r="D23" i="152"/>
  <c r="D23" i="153"/>
  <c r="E23" i="153"/>
  <c r="H23" i="153"/>
  <c r="D46" i="144"/>
  <c r="D46" i="145"/>
  <c r="E46" i="145"/>
  <c r="H46" i="145"/>
  <c r="D46" i="146"/>
  <c r="D46" i="147"/>
  <c r="D46" i="148"/>
  <c r="E46" i="148"/>
  <c r="H46" i="148"/>
  <c r="D46" i="149"/>
  <c r="D46" i="151"/>
  <c r="D46" i="152"/>
  <c r="D46" i="153"/>
  <c r="E46" i="153"/>
  <c r="H46" i="153"/>
  <c r="D53" i="144"/>
  <c r="D53" i="145"/>
  <c r="E53" i="145"/>
  <c r="H53" i="145"/>
  <c r="D53" i="146"/>
  <c r="D53" i="147"/>
  <c r="D53" i="148"/>
  <c r="E53" i="148"/>
  <c r="H53" i="148"/>
  <c r="D53" i="149"/>
  <c r="D53" i="151"/>
  <c r="D53" i="152"/>
  <c r="D53" i="153"/>
  <c r="E53" i="153"/>
  <c r="H53" i="153"/>
  <c r="D42" i="144"/>
  <c r="D42" i="145"/>
  <c r="E42" i="145"/>
  <c r="H42" i="145"/>
  <c r="D42" i="146"/>
  <c r="D42" i="147"/>
  <c r="D42" i="148"/>
  <c r="E42" i="148"/>
  <c r="H42" i="148"/>
  <c r="D42" i="149"/>
  <c r="D42" i="151"/>
  <c r="D42" i="152"/>
  <c r="D42" i="153"/>
  <c r="E42" i="153"/>
  <c r="H42" i="153"/>
  <c r="D69" i="144"/>
  <c r="D69" i="145"/>
  <c r="E69" i="145"/>
  <c r="H69" i="145"/>
  <c r="D69" i="146"/>
  <c r="D69" i="147"/>
  <c r="D69" i="148"/>
  <c r="E69" i="148"/>
  <c r="H69" i="148"/>
  <c r="D69" i="149"/>
  <c r="D69" i="151"/>
  <c r="D69" i="152"/>
  <c r="D69" i="153"/>
  <c r="E69" i="153"/>
  <c r="H69" i="153"/>
  <c r="D49" i="144"/>
  <c r="D49" i="145"/>
  <c r="E49" i="145"/>
  <c r="H49" i="145"/>
  <c r="D49" i="146"/>
  <c r="D49" i="147"/>
  <c r="D49" i="148"/>
  <c r="E49" i="148"/>
  <c r="H49" i="148"/>
  <c r="D49" i="149"/>
  <c r="D49" i="151"/>
  <c r="D49" i="152"/>
  <c r="D49" i="153"/>
  <c r="E49" i="153"/>
  <c r="H49" i="153"/>
  <c r="D55" i="144"/>
  <c r="D55" i="145"/>
  <c r="E55" i="145"/>
  <c r="H55" i="145"/>
  <c r="D55" i="146"/>
  <c r="D55" i="147"/>
  <c r="D55" i="148"/>
  <c r="E55" i="148"/>
  <c r="H55" i="148"/>
  <c r="D55" i="149"/>
  <c r="D55" i="151"/>
  <c r="D55" i="152"/>
  <c r="D55" i="153"/>
  <c r="E55" i="153"/>
  <c r="H55" i="153"/>
  <c r="AX71" i="1"/>
  <c r="AV71" i="1"/>
  <c r="AW46" i="1"/>
  <c r="AV46" i="1"/>
  <c r="AW70" i="1"/>
  <c r="AX70" i="1"/>
  <c r="AW11" i="1"/>
  <c r="AQ11" i="1"/>
  <c r="AW52" i="1"/>
  <c r="AQ52" i="1"/>
  <c r="AW68" i="1"/>
  <c r="AQ68" i="1"/>
  <c r="AW45" i="1"/>
  <c r="AQ45" i="1"/>
  <c r="AW66" i="1"/>
  <c r="AV66" i="1"/>
  <c r="AW69" i="1"/>
  <c r="AQ69" i="1"/>
  <c r="AW5" i="1"/>
  <c r="AX5" i="1"/>
  <c r="AW7" i="1"/>
  <c r="AQ7" i="1"/>
  <c r="AW36" i="1"/>
  <c r="AQ36" i="1"/>
  <c r="AX28" i="1"/>
  <c r="AW72" i="1"/>
  <c r="AV72" i="1"/>
  <c r="AW6" i="1"/>
  <c r="AX6" i="1"/>
  <c r="AV28" i="1"/>
  <c r="AW14" i="1"/>
  <c r="AV14" i="1"/>
  <c r="D6" i="31"/>
  <c r="AW22" i="1"/>
  <c r="AQ22" i="1"/>
  <c r="AV35" i="1"/>
  <c r="AX35" i="1"/>
  <c r="AW40" i="1"/>
  <c r="AV40" i="1"/>
  <c r="AQ24" i="1"/>
  <c r="AV24" i="1"/>
  <c r="AW56" i="1"/>
  <c r="AQ56" i="1"/>
  <c r="AW67" i="1"/>
  <c r="AQ59" i="1"/>
  <c r="AX59" i="1"/>
  <c r="AV43" i="1"/>
  <c r="AX43" i="1"/>
  <c r="AW55" i="1"/>
  <c r="AQ55" i="1"/>
  <c r="AW31" i="1"/>
  <c r="AW42" i="1"/>
  <c r="AQ42" i="1"/>
  <c r="AW60" i="1"/>
  <c r="AV19" i="1"/>
  <c r="AQ19" i="1"/>
  <c r="AX19" i="1"/>
  <c r="AW9" i="1"/>
  <c r="AQ20" i="1"/>
  <c r="D26" i="100"/>
  <c r="D69" i="100"/>
  <c r="D55" i="100"/>
  <c r="D56" i="100"/>
  <c r="D44" i="100"/>
  <c r="D14" i="100"/>
  <c r="D20" i="100"/>
  <c r="D21" i="100"/>
  <c r="D24" i="100"/>
  <c r="D35" i="100"/>
  <c r="D40" i="100"/>
  <c r="D61" i="100"/>
  <c r="AV20" i="1"/>
  <c r="AX16" i="1"/>
  <c r="AV16" i="1"/>
  <c r="AX33" i="1"/>
  <c r="AV33" i="1"/>
  <c r="AX53" i="1"/>
  <c r="AV53" i="1"/>
  <c r="AV25" i="1"/>
  <c r="AX25" i="1"/>
  <c r="AQ49" i="1"/>
  <c r="AX49" i="1"/>
  <c r="AV49" i="1"/>
  <c r="AV48" i="1"/>
  <c r="AX48" i="1"/>
  <c r="AQ17" i="1"/>
  <c r="AX17" i="1"/>
  <c r="AV17" i="1"/>
  <c r="AX27" i="1"/>
  <c r="AV27" i="1"/>
  <c r="AQ27" i="1"/>
  <c r="AV41" i="1"/>
  <c r="AX41" i="1"/>
  <c r="AQ41" i="1"/>
  <c r="AQ8" i="1"/>
  <c r="AX8" i="1"/>
  <c r="AV8" i="1"/>
  <c r="AQ51" i="1"/>
  <c r="AX51" i="1"/>
  <c r="AV51" i="1"/>
  <c r="AQ63" i="1"/>
  <c r="AX63" i="1"/>
  <c r="AV63" i="1"/>
  <c r="AQ34" i="1"/>
  <c r="AV34" i="1"/>
  <c r="AX34" i="1"/>
  <c r="AQ62" i="1"/>
  <c r="AV62" i="1"/>
  <c r="AX62" i="1"/>
  <c r="AV30" i="1"/>
  <c r="AX30" i="1"/>
  <c r="AV32" i="1"/>
  <c r="AQ32" i="1"/>
  <c r="AX32" i="1"/>
  <c r="AV21" i="1"/>
  <c r="AX21" i="1"/>
  <c r="AX57" i="1"/>
  <c r="AV57" i="1"/>
  <c r="AQ18" i="1"/>
  <c r="AX18" i="1"/>
  <c r="AV18" i="1"/>
  <c r="AQ21" i="1"/>
  <c r="AQ47" i="1"/>
  <c r="AV47" i="1"/>
  <c r="AX47" i="1"/>
  <c r="AQ29" i="1"/>
  <c r="AX29" i="1"/>
  <c r="AV29" i="1"/>
  <c r="AQ23" i="1"/>
  <c r="AX23" i="1"/>
  <c r="AV23" i="1"/>
  <c r="AQ64" i="1"/>
  <c r="AX64" i="1"/>
  <c r="AV64" i="1"/>
  <c r="AQ30" i="1"/>
  <c r="AQ15" i="1"/>
  <c r="AV15" i="1"/>
  <c r="AX15" i="1"/>
  <c r="AQ54" i="1"/>
  <c r="AV54" i="1"/>
  <c r="AX54" i="1"/>
  <c r="AV65" i="1"/>
  <c r="AX65" i="1"/>
  <c r="AX38" i="1"/>
  <c r="AQ38" i="1"/>
  <c r="AV38" i="1"/>
  <c r="AQ13" i="1"/>
  <c r="AV13" i="1"/>
  <c r="AX13" i="1"/>
  <c r="AQ44" i="1"/>
  <c r="AX44" i="1"/>
  <c r="AV44" i="1"/>
  <c r="AQ26" i="1"/>
  <c r="AV26" i="1"/>
  <c r="AX26" i="1"/>
  <c r="N14" i="67"/>
  <c r="AT73" i="1"/>
  <c r="F78" i="25"/>
  <c r="AD73" i="1"/>
  <c r="AW4" i="1"/>
  <c r="E6" i="31"/>
  <c r="H6" i="31"/>
  <c r="E55" i="146"/>
  <c r="H55" i="146"/>
  <c r="E55" i="144"/>
  <c r="H55" i="144"/>
  <c r="E49" i="152"/>
  <c r="H49" i="152"/>
  <c r="E69" i="146"/>
  <c r="H69" i="146"/>
  <c r="E69" i="144"/>
  <c r="H69" i="144"/>
  <c r="E42" i="152"/>
  <c r="H42" i="152"/>
  <c r="E53" i="146"/>
  <c r="H53" i="146"/>
  <c r="E53" i="144"/>
  <c r="H53" i="144"/>
  <c r="E46" i="152"/>
  <c r="H46" i="152"/>
  <c r="E23" i="146"/>
  <c r="H23" i="146"/>
  <c r="E23" i="144"/>
  <c r="H23" i="144"/>
  <c r="E59" i="152"/>
  <c r="H59" i="152"/>
  <c r="E62" i="146"/>
  <c r="H62" i="146"/>
  <c r="E62" i="144"/>
  <c r="H62" i="144"/>
  <c r="E13" i="152"/>
  <c r="H13" i="152"/>
  <c r="E27" i="152"/>
  <c r="H27" i="152"/>
  <c r="E56" i="152"/>
  <c r="H56" i="152"/>
  <c r="E51" i="152"/>
  <c r="H51" i="152"/>
  <c r="E20" i="152"/>
  <c r="H20" i="152"/>
  <c r="E10" i="152"/>
  <c r="H10" i="152"/>
  <c r="E30" i="152"/>
  <c r="H30" i="152"/>
  <c r="E50" i="152"/>
  <c r="H50" i="152"/>
  <c r="E48" i="152"/>
  <c r="H48" i="152"/>
  <c r="E68" i="152"/>
  <c r="H68" i="152"/>
  <c r="E64" i="146"/>
  <c r="H64" i="146"/>
  <c r="E64" i="144"/>
  <c r="H64" i="144"/>
  <c r="E38" i="152"/>
  <c r="H38" i="152"/>
  <c r="E40" i="146"/>
  <c r="H40" i="146"/>
  <c r="E40" i="144"/>
  <c r="H40" i="144"/>
  <c r="E22" i="152"/>
  <c r="H22" i="152"/>
  <c r="E36" i="146"/>
  <c r="H36" i="146"/>
  <c r="E36" i="144"/>
  <c r="H36" i="144"/>
  <c r="E28" i="146"/>
  <c r="H28" i="146"/>
  <c r="E28" i="144"/>
  <c r="H28" i="144"/>
  <c r="E44" i="146"/>
  <c r="H44" i="146"/>
  <c r="E44" i="144"/>
  <c r="H44" i="144"/>
  <c r="E52" i="146"/>
  <c r="H52" i="146"/>
  <c r="E52" i="144"/>
  <c r="H52" i="144"/>
  <c r="E65" i="146"/>
  <c r="H65" i="146"/>
  <c r="E65" i="144"/>
  <c r="H65" i="144"/>
  <c r="E75" i="146"/>
  <c r="H75" i="146"/>
  <c r="E75" i="144"/>
  <c r="H75" i="144"/>
  <c r="E11" i="146"/>
  <c r="H11" i="146"/>
  <c r="E11" i="144"/>
  <c r="H11" i="144"/>
  <c r="E26" i="146"/>
  <c r="H26" i="146"/>
  <c r="E26" i="144"/>
  <c r="H26" i="144"/>
  <c r="E21" i="146"/>
  <c r="H21" i="146"/>
  <c r="E21" i="144"/>
  <c r="H21" i="144"/>
  <c r="E16" i="146"/>
  <c r="H16" i="146"/>
  <c r="E16" i="144"/>
  <c r="H16" i="144"/>
  <c r="E35" i="146"/>
  <c r="H35" i="146"/>
  <c r="E35" i="144"/>
  <c r="H35" i="144"/>
  <c r="E24" i="146"/>
  <c r="H24" i="146"/>
  <c r="E24" i="144"/>
  <c r="H24" i="144"/>
  <c r="E41" i="146"/>
  <c r="H41" i="146"/>
  <c r="E41" i="144"/>
  <c r="H41" i="144"/>
  <c r="E32" i="146"/>
  <c r="H32" i="146"/>
  <c r="E32" i="144"/>
  <c r="H32" i="144"/>
  <c r="E60" i="146"/>
  <c r="H60" i="146"/>
  <c r="E60" i="144"/>
  <c r="H60" i="144"/>
  <c r="E29" i="152"/>
  <c r="H29" i="152"/>
  <c r="E43" i="152"/>
  <c r="H43" i="152"/>
  <c r="E47" i="152"/>
  <c r="H47" i="152"/>
  <c r="E37" i="152"/>
  <c r="H37" i="152"/>
  <c r="E17" i="152"/>
  <c r="H17" i="152"/>
  <c r="E55" i="152"/>
  <c r="H55" i="152"/>
  <c r="E49" i="146"/>
  <c r="H49" i="146"/>
  <c r="E49" i="144"/>
  <c r="H49" i="144"/>
  <c r="E69" i="152"/>
  <c r="H69" i="152"/>
  <c r="E42" i="146"/>
  <c r="H42" i="146"/>
  <c r="E42" i="144"/>
  <c r="H42" i="144"/>
  <c r="E53" i="152"/>
  <c r="H53" i="152"/>
  <c r="E46" i="146"/>
  <c r="H46" i="146"/>
  <c r="E46" i="144"/>
  <c r="H46" i="144"/>
  <c r="E23" i="152"/>
  <c r="H23" i="152"/>
  <c r="E59" i="146"/>
  <c r="H59" i="146"/>
  <c r="E59" i="144"/>
  <c r="H59" i="144"/>
  <c r="E62" i="152"/>
  <c r="H62" i="152"/>
  <c r="E13" i="146"/>
  <c r="H13" i="146"/>
  <c r="E13" i="144"/>
  <c r="H13" i="144"/>
  <c r="E27" i="146"/>
  <c r="H27" i="146"/>
  <c r="E27" i="144"/>
  <c r="H27" i="144"/>
  <c r="E56" i="146"/>
  <c r="H56" i="146"/>
  <c r="E56" i="144"/>
  <c r="H56" i="144"/>
  <c r="E51" i="146"/>
  <c r="H51" i="146"/>
  <c r="E51" i="144"/>
  <c r="H51" i="144"/>
  <c r="E20" i="146"/>
  <c r="H20" i="146"/>
  <c r="E20" i="144"/>
  <c r="H20" i="144"/>
  <c r="E10" i="146"/>
  <c r="H10" i="146"/>
  <c r="E10" i="144"/>
  <c r="H10" i="144"/>
  <c r="E30" i="146"/>
  <c r="H30" i="146"/>
  <c r="E30" i="144"/>
  <c r="H30" i="144"/>
  <c r="E50" i="146"/>
  <c r="H50" i="146"/>
  <c r="E50" i="144"/>
  <c r="H50" i="144"/>
  <c r="E48" i="146"/>
  <c r="H48" i="146"/>
  <c r="E48" i="144"/>
  <c r="H48" i="144"/>
  <c r="E68" i="146"/>
  <c r="H68" i="146"/>
  <c r="E68" i="144"/>
  <c r="H68" i="144"/>
  <c r="E64" i="152"/>
  <c r="H64" i="152"/>
  <c r="E38" i="146"/>
  <c r="H38" i="146"/>
  <c r="E38" i="144"/>
  <c r="H38" i="144"/>
  <c r="E40" i="152"/>
  <c r="H40" i="152"/>
  <c r="E22" i="146"/>
  <c r="H22" i="146"/>
  <c r="E22" i="144"/>
  <c r="H22" i="144"/>
  <c r="E36" i="152"/>
  <c r="H36" i="152"/>
  <c r="E28" i="152"/>
  <c r="H28" i="152"/>
  <c r="E44" i="152"/>
  <c r="H44" i="152"/>
  <c r="E52" i="152"/>
  <c r="H52" i="152"/>
  <c r="E65" i="152"/>
  <c r="H65" i="152"/>
  <c r="E75" i="152"/>
  <c r="H75" i="152"/>
  <c r="E11" i="152"/>
  <c r="H11" i="152"/>
  <c r="E26" i="152"/>
  <c r="H26" i="152"/>
  <c r="E21" i="152"/>
  <c r="H21" i="152"/>
  <c r="E16" i="152"/>
  <c r="H16" i="152"/>
  <c r="E35" i="152"/>
  <c r="H35" i="152"/>
  <c r="E24" i="152"/>
  <c r="H24" i="152"/>
  <c r="E41" i="152"/>
  <c r="H41" i="152"/>
  <c r="E32" i="152"/>
  <c r="H32" i="152"/>
  <c r="E60" i="152"/>
  <c r="H60" i="152"/>
  <c r="E29" i="146"/>
  <c r="H29" i="146"/>
  <c r="E29" i="144"/>
  <c r="H29" i="144"/>
  <c r="E43" i="146"/>
  <c r="H43" i="146"/>
  <c r="E43" i="144"/>
  <c r="H43" i="144"/>
  <c r="E47" i="146"/>
  <c r="H47" i="146"/>
  <c r="E47" i="144"/>
  <c r="H47" i="144"/>
  <c r="E37" i="146"/>
  <c r="H37" i="146"/>
  <c r="E37" i="144"/>
  <c r="H37" i="144"/>
  <c r="E17" i="146"/>
  <c r="H17" i="146"/>
  <c r="E17" i="144"/>
  <c r="H17" i="144"/>
  <c r="M74" i="152"/>
  <c r="E49" i="147"/>
  <c r="H49" i="147"/>
  <c r="E42" i="147"/>
  <c r="H42" i="147"/>
  <c r="E46" i="147"/>
  <c r="H46" i="147"/>
  <c r="E59" i="147"/>
  <c r="H59" i="147"/>
  <c r="E13" i="147"/>
  <c r="H13" i="147"/>
  <c r="E27" i="147"/>
  <c r="H27" i="147"/>
  <c r="E56" i="147"/>
  <c r="H56" i="147"/>
  <c r="E51" i="147"/>
  <c r="H51" i="147"/>
  <c r="E20" i="147"/>
  <c r="H20" i="147"/>
  <c r="E10" i="147"/>
  <c r="H10" i="147"/>
  <c r="E30" i="147"/>
  <c r="H30" i="147"/>
  <c r="E50" i="147"/>
  <c r="H50" i="147"/>
  <c r="E48" i="147"/>
  <c r="H48" i="147"/>
  <c r="E68" i="147"/>
  <c r="H68" i="147"/>
  <c r="E38" i="147"/>
  <c r="H38" i="147"/>
  <c r="E22" i="147"/>
  <c r="H22" i="147"/>
  <c r="E29" i="147"/>
  <c r="H29" i="147"/>
  <c r="E43" i="147"/>
  <c r="H43" i="147"/>
  <c r="E47" i="147"/>
  <c r="H47" i="147"/>
  <c r="E37" i="147"/>
  <c r="H37" i="147"/>
  <c r="E17" i="147"/>
  <c r="H17" i="147"/>
  <c r="E55" i="147"/>
  <c r="H55" i="147"/>
  <c r="E69" i="147"/>
  <c r="H69" i="147"/>
  <c r="E53" i="147"/>
  <c r="H53" i="147"/>
  <c r="E23" i="147"/>
  <c r="H23" i="147"/>
  <c r="E62" i="147"/>
  <c r="H62" i="147"/>
  <c r="E64" i="147"/>
  <c r="H64" i="147"/>
  <c r="E40" i="147"/>
  <c r="H40" i="147"/>
  <c r="E36" i="147"/>
  <c r="H36" i="147"/>
  <c r="E28" i="147"/>
  <c r="H28" i="147"/>
  <c r="E44" i="147"/>
  <c r="H44" i="147"/>
  <c r="E52" i="147"/>
  <c r="H52" i="147"/>
  <c r="E65" i="147"/>
  <c r="H65" i="147"/>
  <c r="E75" i="147"/>
  <c r="H75" i="147"/>
  <c r="E11" i="147"/>
  <c r="H11" i="147"/>
  <c r="E26" i="147"/>
  <c r="H26" i="147"/>
  <c r="E21" i="147"/>
  <c r="H21" i="147"/>
  <c r="E16" i="147"/>
  <c r="H16" i="147"/>
  <c r="E35" i="147"/>
  <c r="H35" i="147"/>
  <c r="E24" i="147"/>
  <c r="H24" i="147"/>
  <c r="E41" i="147"/>
  <c r="H41" i="147"/>
  <c r="E32" i="147"/>
  <c r="H32" i="147"/>
  <c r="E60" i="147"/>
  <c r="H60" i="147"/>
  <c r="E49" i="149"/>
  <c r="H49" i="149"/>
  <c r="E42" i="149"/>
  <c r="H42" i="149"/>
  <c r="E46" i="149"/>
  <c r="H46" i="149"/>
  <c r="E59" i="149"/>
  <c r="H59" i="149"/>
  <c r="E13" i="149"/>
  <c r="H13" i="149"/>
  <c r="E27" i="149"/>
  <c r="H27" i="149"/>
  <c r="E56" i="149"/>
  <c r="H56" i="149"/>
  <c r="E51" i="149"/>
  <c r="H51" i="149"/>
  <c r="E20" i="149"/>
  <c r="H20" i="149"/>
  <c r="E10" i="149"/>
  <c r="H10" i="149"/>
  <c r="E30" i="149"/>
  <c r="H30" i="149"/>
  <c r="E50" i="149"/>
  <c r="H50" i="149"/>
  <c r="E48" i="149"/>
  <c r="H48" i="149"/>
  <c r="E68" i="149"/>
  <c r="H68" i="149"/>
  <c r="E38" i="149"/>
  <c r="H38" i="149"/>
  <c r="E22" i="149"/>
  <c r="H22" i="149"/>
  <c r="E29" i="149"/>
  <c r="H29" i="149"/>
  <c r="E43" i="149"/>
  <c r="H43" i="149"/>
  <c r="E47" i="149"/>
  <c r="H47" i="149"/>
  <c r="E37" i="149"/>
  <c r="H37" i="149"/>
  <c r="E17" i="149"/>
  <c r="H17" i="149"/>
  <c r="E55" i="149"/>
  <c r="H55" i="149"/>
  <c r="E69" i="149"/>
  <c r="H69" i="149"/>
  <c r="E53" i="149"/>
  <c r="H53" i="149"/>
  <c r="E23" i="149"/>
  <c r="H23" i="149"/>
  <c r="E62" i="149"/>
  <c r="H62" i="149"/>
  <c r="E64" i="149"/>
  <c r="H64" i="149"/>
  <c r="E40" i="149"/>
  <c r="H40" i="149"/>
  <c r="E36" i="149"/>
  <c r="H36" i="149"/>
  <c r="E28" i="149"/>
  <c r="H28" i="149"/>
  <c r="E44" i="149"/>
  <c r="H44" i="149"/>
  <c r="E52" i="149"/>
  <c r="H52" i="149"/>
  <c r="E65" i="149"/>
  <c r="H65" i="149"/>
  <c r="E75" i="149"/>
  <c r="H75" i="149"/>
  <c r="E11" i="149"/>
  <c r="H11" i="149"/>
  <c r="E26" i="149"/>
  <c r="H26" i="149"/>
  <c r="E21" i="149"/>
  <c r="H21" i="149"/>
  <c r="E16" i="149"/>
  <c r="H16" i="149"/>
  <c r="E35" i="149"/>
  <c r="H35" i="149"/>
  <c r="E24" i="149"/>
  <c r="H24" i="149"/>
  <c r="E41" i="149"/>
  <c r="H41" i="149"/>
  <c r="E32" i="149"/>
  <c r="H32" i="149"/>
  <c r="E60" i="149"/>
  <c r="H60" i="149"/>
  <c r="E55" i="151"/>
  <c r="H55" i="151"/>
  <c r="E69" i="151"/>
  <c r="H69" i="151"/>
  <c r="E53" i="151"/>
  <c r="H53" i="151"/>
  <c r="E23" i="151"/>
  <c r="H23" i="151"/>
  <c r="E62" i="151"/>
  <c r="H62" i="151"/>
  <c r="E64" i="151"/>
  <c r="H64" i="151"/>
  <c r="E40" i="151"/>
  <c r="H40" i="151"/>
  <c r="E36" i="151"/>
  <c r="H36" i="151"/>
  <c r="E28" i="151"/>
  <c r="H28" i="151"/>
  <c r="E44" i="151"/>
  <c r="H44" i="151"/>
  <c r="E52" i="151"/>
  <c r="H52" i="151"/>
  <c r="E65" i="151"/>
  <c r="H65" i="151"/>
  <c r="E75" i="151"/>
  <c r="H75" i="151"/>
  <c r="E11" i="151"/>
  <c r="H11" i="151"/>
  <c r="E26" i="151"/>
  <c r="H26" i="151"/>
  <c r="E21" i="151"/>
  <c r="H21" i="151"/>
  <c r="E16" i="151"/>
  <c r="H16" i="151"/>
  <c r="E35" i="151"/>
  <c r="H35" i="151"/>
  <c r="E24" i="151"/>
  <c r="H24" i="151"/>
  <c r="E41" i="151"/>
  <c r="H41" i="151"/>
  <c r="E32" i="151"/>
  <c r="H32" i="151"/>
  <c r="E60" i="151"/>
  <c r="H60" i="151"/>
  <c r="E49" i="151"/>
  <c r="H49" i="151"/>
  <c r="E42" i="151"/>
  <c r="H42" i="151"/>
  <c r="E46" i="151"/>
  <c r="H46" i="151"/>
  <c r="E59" i="151"/>
  <c r="H59" i="151"/>
  <c r="E13" i="151"/>
  <c r="H13" i="151"/>
  <c r="E27" i="151"/>
  <c r="H27" i="151"/>
  <c r="E56" i="151"/>
  <c r="H56" i="151"/>
  <c r="E51" i="151"/>
  <c r="H51" i="151"/>
  <c r="E20" i="151"/>
  <c r="H20" i="151"/>
  <c r="E10" i="151"/>
  <c r="H10" i="151"/>
  <c r="E30" i="151"/>
  <c r="H30" i="151"/>
  <c r="E50" i="151"/>
  <c r="H50" i="151"/>
  <c r="E48" i="151"/>
  <c r="H48" i="151"/>
  <c r="E68" i="151"/>
  <c r="H68" i="151"/>
  <c r="E38" i="151"/>
  <c r="H38" i="151"/>
  <c r="E22" i="151"/>
  <c r="H22" i="151"/>
  <c r="E29" i="151"/>
  <c r="H29" i="151"/>
  <c r="E43" i="151"/>
  <c r="H43" i="151"/>
  <c r="E47" i="151"/>
  <c r="H47" i="151"/>
  <c r="E37" i="151"/>
  <c r="H37" i="151"/>
  <c r="E17" i="151"/>
  <c r="H17" i="151"/>
  <c r="M74" i="151"/>
  <c r="D58" i="144"/>
  <c r="D58" i="145"/>
  <c r="E58" i="145"/>
  <c r="H58" i="145"/>
  <c r="D58" i="146"/>
  <c r="D58" i="147"/>
  <c r="D58" i="148"/>
  <c r="E58" i="148"/>
  <c r="H58" i="148"/>
  <c r="D58" i="149"/>
  <c r="D58" i="151"/>
  <c r="D58" i="152"/>
  <c r="D58" i="153"/>
  <c r="E58" i="153"/>
  <c r="H58" i="153"/>
  <c r="D34" i="144"/>
  <c r="D34" i="145"/>
  <c r="E34" i="145"/>
  <c r="H34" i="145"/>
  <c r="D34" i="146"/>
  <c r="D34" i="147"/>
  <c r="D34" i="148"/>
  <c r="E34" i="148"/>
  <c r="H34" i="148"/>
  <c r="D34" i="149"/>
  <c r="D34" i="151"/>
  <c r="D34" i="152"/>
  <c r="D34" i="153"/>
  <c r="E34" i="153"/>
  <c r="H34" i="153"/>
  <c r="D63" i="144"/>
  <c r="D63" i="145"/>
  <c r="E63" i="145"/>
  <c r="H63" i="145"/>
  <c r="D63" i="146"/>
  <c r="D63" i="147"/>
  <c r="D63" i="148"/>
  <c r="E63" i="148"/>
  <c r="H63" i="148"/>
  <c r="D63" i="149"/>
  <c r="D63" i="151"/>
  <c r="D63" i="152"/>
  <c r="D63" i="153"/>
  <c r="E63" i="153"/>
  <c r="H63" i="153"/>
  <c r="D70" i="144"/>
  <c r="D70" i="145"/>
  <c r="E70" i="145"/>
  <c r="H70" i="145"/>
  <c r="D70" i="146"/>
  <c r="D70" i="147"/>
  <c r="D70" i="148"/>
  <c r="E70" i="148"/>
  <c r="H70" i="148"/>
  <c r="D70" i="149"/>
  <c r="D70" i="151"/>
  <c r="D70" i="152"/>
  <c r="D70" i="153"/>
  <c r="E70" i="153"/>
  <c r="H70" i="153"/>
  <c r="D33" i="144"/>
  <c r="D33" i="145"/>
  <c r="E33" i="145"/>
  <c r="H33" i="145"/>
  <c r="D33" i="146"/>
  <c r="D33" i="147"/>
  <c r="D33" i="148"/>
  <c r="E33" i="148"/>
  <c r="H33" i="148"/>
  <c r="D33" i="149"/>
  <c r="D33" i="151"/>
  <c r="D33" i="152"/>
  <c r="D33" i="153"/>
  <c r="E33" i="153"/>
  <c r="H33" i="153"/>
  <c r="D31" i="144"/>
  <c r="D31" i="145"/>
  <c r="E31" i="145"/>
  <c r="H31" i="145"/>
  <c r="D31" i="146"/>
  <c r="D31" i="147"/>
  <c r="D31" i="148"/>
  <c r="E31" i="148"/>
  <c r="H31" i="148"/>
  <c r="D31" i="149"/>
  <c r="D31" i="151"/>
  <c r="D31" i="152"/>
  <c r="D31" i="153"/>
  <c r="E31" i="153"/>
  <c r="H31" i="153"/>
  <c r="D54" i="144"/>
  <c r="D54" i="145"/>
  <c r="E54" i="145"/>
  <c r="H54" i="145"/>
  <c r="D54" i="146"/>
  <c r="D54" i="147"/>
  <c r="D54" i="148"/>
  <c r="E54" i="148"/>
  <c r="H54" i="148"/>
  <c r="D54" i="149"/>
  <c r="D54" i="151"/>
  <c r="D54" i="152"/>
  <c r="D54" i="153"/>
  <c r="E54" i="153"/>
  <c r="H54" i="153"/>
  <c r="D9" i="144"/>
  <c r="D9" i="145"/>
  <c r="E9" i="145"/>
  <c r="H9" i="145"/>
  <c r="D9" i="146"/>
  <c r="D9" i="147"/>
  <c r="D9" i="148"/>
  <c r="E9" i="148"/>
  <c r="H9" i="148"/>
  <c r="D9" i="149"/>
  <c r="D9" i="151"/>
  <c r="D9" i="152"/>
  <c r="D9" i="153"/>
  <c r="E9" i="153"/>
  <c r="H9" i="153"/>
  <c r="D18" i="144"/>
  <c r="D18" i="145"/>
  <c r="E18" i="145"/>
  <c r="H18" i="145"/>
  <c r="D18" i="146"/>
  <c r="D18" i="147"/>
  <c r="D18" i="148"/>
  <c r="E18" i="148"/>
  <c r="H18" i="148"/>
  <c r="D18" i="149"/>
  <c r="D18" i="151"/>
  <c r="D18" i="152"/>
  <c r="D18" i="153"/>
  <c r="E18" i="153"/>
  <c r="H18" i="153"/>
  <c r="D19" i="144"/>
  <c r="D19" i="145"/>
  <c r="E19" i="145"/>
  <c r="H19" i="145"/>
  <c r="D19" i="146"/>
  <c r="D19" i="147"/>
  <c r="D19" i="148"/>
  <c r="E19" i="148"/>
  <c r="H19" i="148"/>
  <c r="D19" i="149"/>
  <c r="D19" i="151"/>
  <c r="D19" i="152"/>
  <c r="D19" i="153"/>
  <c r="E19" i="153"/>
  <c r="H19" i="153"/>
  <c r="D8" i="144"/>
  <c r="D8" i="145"/>
  <c r="E8" i="145"/>
  <c r="H8" i="145"/>
  <c r="D8" i="146"/>
  <c r="D8" i="147"/>
  <c r="D8" i="148"/>
  <c r="E8" i="148"/>
  <c r="H8" i="148"/>
  <c r="D8" i="149"/>
  <c r="D8" i="151"/>
  <c r="D8" i="152"/>
  <c r="D8" i="153"/>
  <c r="E8" i="153"/>
  <c r="H8" i="153"/>
  <c r="D14" i="144"/>
  <c r="D14" i="145"/>
  <c r="E14" i="145"/>
  <c r="H14" i="145"/>
  <c r="D14" i="146"/>
  <c r="D14" i="147"/>
  <c r="D14" i="148"/>
  <c r="E14" i="148"/>
  <c r="H14" i="148"/>
  <c r="D14" i="149"/>
  <c r="D14" i="151"/>
  <c r="D14" i="152"/>
  <c r="D14" i="153"/>
  <c r="E14" i="153"/>
  <c r="H14" i="153"/>
  <c r="D66" i="144"/>
  <c r="D66" i="145"/>
  <c r="E66" i="145"/>
  <c r="H66" i="145"/>
  <c r="D66" i="146"/>
  <c r="D66" i="147"/>
  <c r="D66" i="148"/>
  <c r="E66" i="148"/>
  <c r="H66" i="148"/>
  <c r="D66" i="149"/>
  <c r="D66" i="151"/>
  <c r="D66" i="152"/>
  <c r="D66" i="153"/>
  <c r="E66" i="153"/>
  <c r="H66" i="153"/>
  <c r="D12" i="144"/>
  <c r="D12" i="145"/>
  <c r="E12" i="145"/>
  <c r="H12" i="145"/>
  <c r="D12" i="146"/>
  <c r="D12" i="147"/>
  <c r="D12" i="148"/>
  <c r="E12" i="148"/>
  <c r="H12" i="148"/>
  <c r="D12" i="149"/>
  <c r="D12" i="151"/>
  <c r="D12" i="152"/>
  <c r="D12" i="153"/>
  <c r="E12" i="153"/>
  <c r="H12" i="153"/>
  <c r="D45" i="144"/>
  <c r="D45" i="145"/>
  <c r="E45" i="145"/>
  <c r="H45" i="145"/>
  <c r="D45" i="146"/>
  <c r="D45" i="147"/>
  <c r="D45" i="148"/>
  <c r="E45" i="148"/>
  <c r="H45" i="148"/>
  <c r="D45" i="149"/>
  <c r="D45" i="151"/>
  <c r="D45" i="152"/>
  <c r="D45" i="153"/>
  <c r="E45" i="153"/>
  <c r="H45" i="153"/>
  <c r="D25" i="144"/>
  <c r="D25" i="145"/>
  <c r="E25" i="145"/>
  <c r="H25" i="145"/>
  <c r="D25" i="146"/>
  <c r="D25" i="147"/>
  <c r="D25" i="148"/>
  <c r="E25" i="148"/>
  <c r="H25" i="148"/>
  <c r="D25" i="149"/>
  <c r="D25" i="151"/>
  <c r="D25" i="152"/>
  <c r="D25" i="153"/>
  <c r="E25" i="153"/>
  <c r="H25" i="153"/>
  <c r="D71" i="144"/>
  <c r="D71" i="145"/>
  <c r="E71" i="145"/>
  <c r="H71" i="145"/>
  <c r="D71" i="146"/>
  <c r="D71" i="147"/>
  <c r="D71" i="148"/>
  <c r="E71" i="148"/>
  <c r="H71" i="148"/>
  <c r="D71" i="149"/>
  <c r="D71" i="151"/>
  <c r="D71" i="152"/>
  <c r="D71" i="153"/>
  <c r="E71" i="153"/>
  <c r="H71" i="153"/>
  <c r="D39" i="144"/>
  <c r="D39" i="145"/>
  <c r="E39" i="145"/>
  <c r="H39" i="145"/>
  <c r="D39" i="146"/>
  <c r="D39" i="147"/>
  <c r="D39" i="148"/>
  <c r="E39" i="148"/>
  <c r="H39" i="148"/>
  <c r="D39" i="149"/>
  <c r="D39" i="151"/>
  <c r="D39" i="152"/>
  <c r="D39" i="153"/>
  <c r="E39" i="153"/>
  <c r="H39" i="153"/>
  <c r="D57" i="144"/>
  <c r="D57" i="145"/>
  <c r="E57" i="145"/>
  <c r="H57" i="145"/>
  <c r="D57" i="146"/>
  <c r="D57" i="147"/>
  <c r="D57" i="148"/>
  <c r="E57" i="148"/>
  <c r="H57" i="148"/>
  <c r="D57" i="149"/>
  <c r="D57" i="151"/>
  <c r="D57" i="152"/>
  <c r="D57" i="153"/>
  <c r="E57" i="153"/>
  <c r="H57" i="153"/>
  <c r="D72" i="144"/>
  <c r="D72" i="145"/>
  <c r="E72" i="145"/>
  <c r="H72" i="145"/>
  <c r="D72" i="146"/>
  <c r="D72" i="147"/>
  <c r="D72" i="148"/>
  <c r="E72" i="148"/>
  <c r="H72" i="148"/>
  <c r="D72" i="149"/>
  <c r="D72" i="151"/>
  <c r="D72" i="152"/>
  <c r="D72" i="153"/>
  <c r="E72" i="153"/>
  <c r="H72" i="153"/>
  <c r="D67" i="144"/>
  <c r="D67" i="145"/>
  <c r="E67" i="145"/>
  <c r="H67" i="145"/>
  <c r="D67" i="146"/>
  <c r="D67" i="147"/>
  <c r="D67" i="148"/>
  <c r="E67" i="148"/>
  <c r="H67" i="148"/>
  <c r="D67" i="149"/>
  <c r="D67" i="151"/>
  <c r="D67" i="152"/>
  <c r="D67" i="153"/>
  <c r="E67" i="153"/>
  <c r="H67" i="153"/>
  <c r="D73" i="144"/>
  <c r="D73" i="145"/>
  <c r="E73" i="145"/>
  <c r="H73" i="145"/>
  <c r="D73" i="146"/>
  <c r="D73" i="147"/>
  <c r="D73" i="148"/>
  <c r="E73" i="148"/>
  <c r="H73" i="148"/>
  <c r="D73" i="149"/>
  <c r="D73" i="151"/>
  <c r="D73" i="152"/>
  <c r="D73" i="153"/>
  <c r="E73" i="153"/>
  <c r="H73" i="153"/>
  <c r="H73" i="31"/>
  <c r="I73" i="67"/>
  <c r="M73" i="67"/>
  <c r="X73" i="67"/>
  <c r="I37" i="67"/>
  <c r="M37" i="67"/>
  <c r="X37" i="67"/>
  <c r="I52" i="67"/>
  <c r="M52" i="67"/>
  <c r="X52" i="67"/>
  <c r="I41" i="67"/>
  <c r="M41" i="67"/>
  <c r="AX11" i="1"/>
  <c r="AV11" i="1"/>
  <c r="AX52" i="1"/>
  <c r="AV52" i="1"/>
  <c r="AX46" i="1"/>
  <c r="AQ46" i="1"/>
  <c r="AQ70" i="1"/>
  <c r="AV70" i="1"/>
  <c r="AV6" i="1"/>
  <c r="AX69" i="1"/>
  <c r="AV69" i="1"/>
  <c r="AV68" i="1"/>
  <c r="AX45" i="1"/>
  <c r="AX68" i="1"/>
  <c r="AX66" i="1"/>
  <c r="AV45" i="1"/>
  <c r="AQ66" i="1"/>
  <c r="AV5" i="1"/>
  <c r="AQ5" i="1"/>
  <c r="AV7" i="1"/>
  <c r="AX72" i="1"/>
  <c r="AX7" i="1"/>
  <c r="AX36" i="1"/>
  <c r="AQ14" i="1"/>
  <c r="AV36" i="1"/>
  <c r="AX14" i="1"/>
  <c r="AQ6" i="1"/>
  <c r="AQ72" i="1"/>
  <c r="AX56" i="1"/>
  <c r="AX22" i="1"/>
  <c r="AV22" i="1"/>
  <c r="AX40" i="1"/>
  <c r="AQ40" i="1"/>
  <c r="AV56" i="1"/>
  <c r="AV67" i="1"/>
  <c r="AQ67" i="1"/>
  <c r="AX67" i="1"/>
  <c r="AQ9" i="1"/>
  <c r="AV9" i="1"/>
  <c r="AX9" i="1"/>
  <c r="AQ60" i="1"/>
  <c r="AV60" i="1"/>
  <c r="AX60" i="1"/>
  <c r="AV42" i="1"/>
  <c r="AX42" i="1"/>
  <c r="AQ31" i="1"/>
  <c r="AX31" i="1"/>
  <c r="AV31" i="1"/>
  <c r="AV55" i="1"/>
  <c r="AX55" i="1"/>
  <c r="D17" i="100"/>
  <c r="D11" i="100"/>
  <c r="D6" i="100"/>
  <c r="D54" i="100"/>
  <c r="D33" i="100"/>
  <c r="D63" i="100"/>
  <c r="D62" i="100"/>
  <c r="D45" i="100"/>
  <c r="D23" i="100"/>
  <c r="D29" i="100"/>
  <c r="D18" i="100"/>
  <c r="D7" i="100"/>
  <c r="D8" i="100"/>
  <c r="D57" i="100"/>
  <c r="D34" i="100"/>
  <c r="D41" i="100"/>
  <c r="D36" i="100"/>
  <c r="D51" i="100"/>
  <c r="D48" i="100"/>
  <c r="D70" i="100"/>
  <c r="D72" i="100"/>
  <c r="D52" i="100"/>
  <c r="D49" i="100"/>
  <c r="D30" i="100"/>
  <c r="D47" i="100"/>
  <c r="D46" i="100"/>
  <c r="D22" i="100"/>
  <c r="D27" i="100"/>
  <c r="D32" i="100"/>
  <c r="D64" i="100"/>
  <c r="D53" i="100"/>
  <c r="D39" i="100"/>
  <c r="D13" i="100"/>
  <c r="D25" i="100"/>
  <c r="D65" i="100"/>
  <c r="D16" i="100"/>
  <c r="D38" i="100"/>
  <c r="D28" i="100"/>
  <c r="D66" i="100"/>
  <c r="D15" i="100"/>
  <c r="D37" i="100"/>
  <c r="D50" i="100"/>
  <c r="D5" i="100"/>
  <c r="D67" i="100"/>
  <c r="D10" i="100"/>
  <c r="H12" i="46"/>
  <c r="E12" i="46"/>
  <c r="AU60" i="1"/>
  <c r="AU53" i="1"/>
  <c r="AU21" i="1"/>
  <c r="AU15" i="1"/>
  <c r="AU25" i="1"/>
  <c r="AU54" i="1"/>
  <c r="AU57" i="1"/>
  <c r="AU59" i="1"/>
  <c r="AU70" i="1"/>
  <c r="AU33" i="1"/>
  <c r="AU31" i="1"/>
  <c r="AU42" i="1"/>
  <c r="AU61" i="1"/>
  <c r="AU56" i="1"/>
  <c r="AU32" i="1"/>
  <c r="AU13" i="1"/>
  <c r="AU38" i="1"/>
  <c r="AU27" i="1"/>
  <c r="AU30" i="1"/>
  <c r="AU20" i="1"/>
  <c r="AU49" i="1"/>
  <c r="AU6" i="1"/>
  <c r="AU28" i="1"/>
  <c r="AU55" i="1"/>
  <c r="AU11" i="1"/>
  <c r="AU4" i="1"/>
  <c r="AU52" i="1"/>
  <c r="AU48" i="1"/>
  <c r="AU10" i="1"/>
  <c r="AU24" i="1"/>
  <c r="AU19" i="1"/>
  <c r="AU23" i="1"/>
  <c r="AU51" i="1"/>
  <c r="AU36" i="1"/>
  <c r="AU12" i="1"/>
  <c r="AU72" i="1"/>
  <c r="AU71" i="1"/>
  <c r="AU40" i="1"/>
  <c r="AU50" i="1"/>
  <c r="AU65" i="1"/>
  <c r="AU37" i="1"/>
  <c r="AU22" i="1"/>
  <c r="AU68" i="1"/>
  <c r="AU17" i="1"/>
  <c r="AU44" i="1"/>
  <c r="AU29" i="1"/>
  <c r="AU45" i="1"/>
  <c r="AU9" i="1"/>
  <c r="AU7" i="1"/>
  <c r="AU58" i="1"/>
  <c r="AU35" i="1"/>
  <c r="AU26" i="1"/>
  <c r="AU62" i="1"/>
  <c r="AU47" i="1"/>
  <c r="AU67" i="1"/>
  <c r="AU66" i="1"/>
  <c r="AU69" i="1"/>
  <c r="AU18" i="1"/>
  <c r="AU14" i="1"/>
  <c r="AU41" i="1"/>
  <c r="AU5" i="1"/>
  <c r="AU34" i="1"/>
  <c r="AU64" i="1"/>
  <c r="AU46" i="1"/>
  <c r="AU63" i="1"/>
  <c r="AU16" i="1"/>
  <c r="AU43" i="1"/>
  <c r="AU39" i="1"/>
  <c r="AU8" i="1"/>
  <c r="AF12" i="1"/>
  <c r="Q14" i="67"/>
  <c r="N75" i="67"/>
  <c r="AX4" i="1"/>
  <c r="AV4" i="1"/>
  <c r="AQ4" i="1"/>
  <c r="E73" i="31"/>
  <c r="E74" i="31"/>
  <c r="E73" i="146"/>
  <c r="H73" i="146"/>
  <c r="E73" i="144"/>
  <c r="H73" i="144"/>
  <c r="E67" i="152"/>
  <c r="H67" i="152"/>
  <c r="E72" i="146"/>
  <c r="H72" i="146"/>
  <c r="E72" i="144"/>
  <c r="H72" i="144"/>
  <c r="E57" i="152"/>
  <c r="H57" i="152"/>
  <c r="E39" i="146"/>
  <c r="H39" i="146"/>
  <c r="E39" i="144"/>
  <c r="H39" i="144"/>
  <c r="E71" i="152"/>
  <c r="H71" i="152"/>
  <c r="E25" i="146"/>
  <c r="H25" i="146"/>
  <c r="E25" i="144"/>
  <c r="H25" i="144"/>
  <c r="E45" i="152"/>
  <c r="H45" i="152"/>
  <c r="E12" i="146"/>
  <c r="H12" i="146"/>
  <c r="E12" i="144"/>
  <c r="H12" i="144"/>
  <c r="E66" i="152"/>
  <c r="H66" i="152"/>
  <c r="E14" i="146"/>
  <c r="H14" i="146"/>
  <c r="E14" i="144"/>
  <c r="H14" i="144"/>
  <c r="E8" i="152"/>
  <c r="H8" i="152"/>
  <c r="E19" i="146"/>
  <c r="H19" i="146"/>
  <c r="E19" i="144"/>
  <c r="H19" i="144"/>
  <c r="E18" i="152"/>
  <c r="H18" i="152"/>
  <c r="E9" i="146"/>
  <c r="H9" i="146"/>
  <c r="E9" i="144"/>
  <c r="H9" i="144"/>
  <c r="E54" i="152"/>
  <c r="H54" i="152"/>
  <c r="E31" i="146"/>
  <c r="H31" i="146"/>
  <c r="E31" i="144"/>
  <c r="H31" i="144"/>
  <c r="E33" i="152"/>
  <c r="H33" i="152"/>
  <c r="E70" i="146"/>
  <c r="H70" i="146"/>
  <c r="E70" i="144"/>
  <c r="H70" i="144"/>
  <c r="E63" i="152"/>
  <c r="H63" i="152"/>
  <c r="E34" i="146"/>
  <c r="H34" i="146"/>
  <c r="E34" i="144"/>
  <c r="H34" i="144"/>
  <c r="E58" i="152"/>
  <c r="H58" i="152"/>
  <c r="E73" i="152"/>
  <c r="H73" i="152"/>
  <c r="E67" i="146"/>
  <c r="H67" i="146"/>
  <c r="E67" i="144"/>
  <c r="H67" i="144"/>
  <c r="E72" i="152"/>
  <c r="H72" i="152"/>
  <c r="E57" i="146"/>
  <c r="H57" i="146"/>
  <c r="E57" i="144"/>
  <c r="H57" i="144"/>
  <c r="E39" i="152"/>
  <c r="H39" i="152"/>
  <c r="E71" i="146"/>
  <c r="H71" i="146"/>
  <c r="E71" i="144"/>
  <c r="H71" i="144"/>
  <c r="E25" i="152"/>
  <c r="H25" i="152"/>
  <c r="E45" i="146"/>
  <c r="H45" i="146"/>
  <c r="E45" i="144"/>
  <c r="H45" i="144"/>
  <c r="E12" i="152"/>
  <c r="H12" i="152"/>
  <c r="E66" i="146"/>
  <c r="H66" i="146"/>
  <c r="E66" i="144"/>
  <c r="H66" i="144"/>
  <c r="E14" i="152"/>
  <c r="H14" i="152"/>
  <c r="E8" i="146"/>
  <c r="H8" i="146"/>
  <c r="E8" i="144"/>
  <c r="H8" i="144"/>
  <c r="E19" i="152"/>
  <c r="H19" i="152"/>
  <c r="E18" i="146"/>
  <c r="H18" i="146"/>
  <c r="E18" i="144"/>
  <c r="H18" i="144"/>
  <c r="E9" i="152"/>
  <c r="H9" i="152"/>
  <c r="E54" i="146"/>
  <c r="H54" i="146"/>
  <c r="E54" i="144"/>
  <c r="H54" i="144"/>
  <c r="E31" i="152"/>
  <c r="H31" i="152"/>
  <c r="E33" i="146"/>
  <c r="H33" i="146"/>
  <c r="E33" i="144"/>
  <c r="H33" i="144"/>
  <c r="E70" i="152"/>
  <c r="H70" i="152"/>
  <c r="E63" i="146"/>
  <c r="H63" i="146"/>
  <c r="E63" i="144"/>
  <c r="H63" i="144"/>
  <c r="E34" i="152"/>
  <c r="H34" i="152"/>
  <c r="E58" i="146"/>
  <c r="H58" i="146"/>
  <c r="E58" i="144"/>
  <c r="H58" i="144"/>
  <c r="E67" i="147"/>
  <c r="H67" i="147"/>
  <c r="E57" i="147"/>
  <c r="H57" i="147"/>
  <c r="E71" i="147"/>
  <c r="H71" i="147"/>
  <c r="E45" i="147"/>
  <c r="H45" i="147"/>
  <c r="E66" i="147"/>
  <c r="H66" i="147"/>
  <c r="E8" i="147"/>
  <c r="H8" i="147"/>
  <c r="E18" i="147"/>
  <c r="H18" i="147"/>
  <c r="E54" i="147"/>
  <c r="H54" i="147"/>
  <c r="E33" i="147"/>
  <c r="H33" i="147"/>
  <c r="E63" i="147"/>
  <c r="H63" i="147"/>
  <c r="E58" i="147"/>
  <c r="H58" i="147"/>
  <c r="E73" i="147"/>
  <c r="H73" i="147"/>
  <c r="E72" i="147"/>
  <c r="H72" i="147"/>
  <c r="E39" i="147"/>
  <c r="H39" i="147"/>
  <c r="E25" i="147"/>
  <c r="H25" i="147"/>
  <c r="E12" i="147"/>
  <c r="H12" i="147"/>
  <c r="E14" i="147"/>
  <c r="H14" i="147"/>
  <c r="E19" i="147"/>
  <c r="H19" i="147"/>
  <c r="E9" i="147"/>
  <c r="H9" i="147"/>
  <c r="E31" i="147"/>
  <c r="H31" i="147"/>
  <c r="E70" i="147"/>
  <c r="H70" i="147"/>
  <c r="E34" i="147"/>
  <c r="H34" i="147"/>
  <c r="E67" i="149"/>
  <c r="H67" i="149"/>
  <c r="E57" i="149"/>
  <c r="H57" i="149"/>
  <c r="E71" i="149"/>
  <c r="H71" i="149"/>
  <c r="E45" i="149"/>
  <c r="H45" i="149"/>
  <c r="E66" i="149"/>
  <c r="H66" i="149"/>
  <c r="E8" i="149"/>
  <c r="H8" i="149"/>
  <c r="E18" i="149"/>
  <c r="H18" i="149"/>
  <c r="E54" i="149"/>
  <c r="H54" i="149"/>
  <c r="E33" i="149"/>
  <c r="H33" i="149"/>
  <c r="E63" i="149"/>
  <c r="H63" i="149"/>
  <c r="E58" i="149"/>
  <c r="H58" i="149"/>
  <c r="E73" i="149"/>
  <c r="H73" i="149"/>
  <c r="E72" i="149"/>
  <c r="H72" i="149"/>
  <c r="E39" i="149"/>
  <c r="H39" i="149"/>
  <c r="E25" i="149"/>
  <c r="H25" i="149"/>
  <c r="E12" i="149"/>
  <c r="H12" i="149"/>
  <c r="E14" i="149"/>
  <c r="H14" i="149"/>
  <c r="E19" i="149"/>
  <c r="H19" i="149"/>
  <c r="E9" i="149"/>
  <c r="H9" i="149"/>
  <c r="E31" i="149"/>
  <c r="H31" i="149"/>
  <c r="E70" i="149"/>
  <c r="H70" i="149"/>
  <c r="E34" i="149"/>
  <c r="H34" i="149"/>
  <c r="E67" i="151"/>
  <c r="H67" i="151"/>
  <c r="E57" i="151"/>
  <c r="H57" i="151"/>
  <c r="E71" i="151"/>
  <c r="H71" i="151"/>
  <c r="E45" i="151"/>
  <c r="H45" i="151"/>
  <c r="E66" i="151"/>
  <c r="H66" i="151"/>
  <c r="E8" i="151"/>
  <c r="H8" i="151"/>
  <c r="E18" i="151"/>
  <c r="H18" i="151"/>
  <c r="E54" i="151"/>
  <c r="H54" i="151"/>
  <c r="E33" i="151"/>
  <c r="H33" i="151"/>
  <c r="E63" i="151"/>
  <c r="H63" i="151"/>
  <c r="E58" i="151"/>
  <c r="H58" i="151"/>
  <c r="E73" i="151"/>
  <c r="H73" i="151"/>
  <c r="E72" i="151"/>
  <c r="H72" i="151"/>
  <c r="E39" i="151"/>
  <c r="H39" i="151"/>
  <c r="E25" i="151"/>
  <c r="H25" i="151"/>
  <c r="E12" i="151"/>
  <c r="H12" i="151"/>
  <c r="E14" i="151"/>
  <c r="H14" i="151"/>
  <c r="E19" i="151"/>
  <c r="H19" i="151"/>
  <c r="E9" i="151"/>
  <c r="H9" i="151"/>
  <c r="E31" i="151"/>
  <c r="H31" i="151"/>
  <c r="E70" i="151"/>
  <c r="H70" i="151"/>
  <c r="E34" i="151"/>
  <c r="H34" i="151"/>
  <c r="D7" i="144"/>
  <c r="D7" i="146"/>
  <c r="D7" i="148"/>
  <c r="E7" i="148"/>
  <c r="H7" i="148"/>
  <c r="D7" i="151"/>
  <c r="D7" i="153"/>
  <c r="E7" i="153"/>
  <c r="H7" i="153"/>
  <c r="D7" i="145"/>
  <c r="E7" i="145"/>
  <c r="H7" i="145"/>
  <c r="D7" i="147"/>
  <c r="D7" i="149"/>
  <c r="D7" i="152"/>
  <c r="E76" i="31"/>
  <c r="X41" i="67"/>
  <c r="Q75" i="67"/>
  <c r="Q81" i="67"/>
  <c r="N81" i="67"/>
  <c r="I13" i="67"/>
  <c r="M13" i="67"/>
  <c r="X13" i="67"/>
  <c r="I16" i="67"/>
  <c r="M16" i="67"/>
  <c r="X16" i="67"/>
  <c r="I61" i="67"/>
  <c r="M61" i="67"/>
  <c r="X61" i="67"/>
  <c r="I35" i="67"/>
  <c r="M35" i="67"/>
  <c r="X35" i="67"/>
  <c r="I53" i="67"/>
  <c r="M53" i="67"/>
  <c r="X53" i="67"/>
  <c r="I49" i="67"/>
  <c r="M49" i="67"/>
  <c r="X49" i="67"/>
  <c r="I10" i="67"/>
  <c r="M10" i="67"/>
  <c r="X10" i="67"/>
  <c r="I65" i="67"/>
  <c r="M65" i="67"/>
  <c r="X65" i="67"/>
  <c r="I32" i="67"/>
  <c r="M32" i="67"/>
  <c r="X32" i="67"/>
  <c r="I68" i="67"/>
  <c r="M68" i="67"/>
  <c r="X68" i="67"/>
  <c r="I74" i="67"/>
  <c r="M74" i="67"/>
  <c r="X74" i="67"/>
  <c r="I26" i="67"/>
  <c r="M26" i="67"/>
  <c r="X26" i="67"/>
  <c r="I29" i="67"/>
  <c r="M29" i="67"/>
  <c r="X29" i="67"/>
  <c r="I19" i="67"/>
  <c r="M19" i="67"/>
  <c r="X19" i="67"/>
  <c r="I20" i="67"/>
  <c r="M20" i="67"/>
  <c r="X20" i="67"/>
  <c r="I17" i="67"/>
  <c r="M17" i="67"/>
  <c r="X17" i="67"/>
  <c r="I64" i="67"/>
  <c r="M64" i="67"/>
  <c r="X64" i="67"/>
  <c r="I34" i="67"/>
  <c r="M34" i="67"/>
  <c r="X34" i="67"/>
  <c r="I70" i="67"/>
  <c r="M70" i="67"/>
  <c r="X70" i="67"/>
  <c r="I8" i="67"/>
  <c r="M8" i="67"/>
  <c r="X8" i="67"/>
  <c r="I22" i="67"/>
  <c r="M22" i="67"/>
  <c r="X22" i="67"/>
  <c r="I55" i="67"/>
  <c r="M55" i="67"/>
  <c r="X55" i="67"/>
  <c r="I28" i="67"/>
  <c r="M28" i="67"/>
  <c r="X28" i="67"/>
  <c r="I46" i="67"/>
  <c r="M46" i="67"/>
  <c r="X46" i="67"/>
  <c r="I56" i="67"/>
  <c r="M56" i="67"/>
  <c r="X56" i="67"/>
  <c r="I31" i="67"/>
  <c r="M31" i="67"/>
  <c r="X31" i="67"/>
  <c r="I71" i="67"/>
  <c r="M71" i="67"/>
  <c r="X71" i="67"/>
  <c r="I7" i="67"/>
  <c r="M7" i="67"/>
  <c r="X7" i="67"/>
  <c r="I38" i="67"/>
  <c r="M38" i="67"/>
  <c r="X38" i="67"/>
  <c r="I50" i="67"/>
  <c r="M50" i="67"/>
  <c r="X50" i="67"/>
  <c r="I43" i="67"/>
  <c r="M43" i="67"/>
  <c r="X43" i="67"/>
  <c r="I23" i="67"/>
  <c r="M23" i="67"/>
  <c r="X23" i="67"/>
  <c r="I59" i="67"/>
  <c r="M59" i="67"/>
  <c r="X59" i="67"/>
  <c r="I40" i="67"/>
  <c r="M40" i="67"/>
  <c r="X40" i="67"/>
  <c r="I25" i="67"/>
  <c r="M25" i="67"/>
  <c r="X25" i="67"/>
  <c r="I67" i="67"/>
  <c r="M67" i="67"/>
  <c r="X67" i="67"/>
  <c r="D4" i="100"/>
  <c r="R14" i="67"/>
  <c r="T14" i="67"/>
  <c r="AF73" i="1"/>
  <c r="AH12" i="1"/>
  <c r="E7" i="146"/>
  <c r="H7" i="146"/>
  <c r="E7" i="152"/>
  <c r="H7" i="152"/>
  <c r="E7" i="144"/>
  <c r="H7" i="144"/>
  <c r="E7" i="147"/>
  <c r="H7" i="147"/>
  <c r="E7" i="149"/>
  <c r="H7" i="149"/>
  <c r="E7" i="151"/>
  <c r="H7" i="151"/>
  <c r="H74" i="31"/>
  <c r="I44" i="67"/>
  <c r="M44" i="67"/>
  <c r="X44" i="67"/>
  <c r="I47" i="67"/>
  <c r="M47" i="67"/>
  <c r="X47" i="67"/>
  <c r="I58" i="67"/>
  <c r="M58" i="67"/>
  <c r="X58" i="67"/>
  <c r="I62" i="67"/>
  <c r="M62" i="67"/>
  <c r="X62" i="67"/>
  <c r="I11" i="67"/>
  <c r="M11" i="67"/>
  <c r="X11" i="67"/>
  <c r="R75" i="67"/>
  <c r="R81" i="67"/>
  <c r="AW12" i="1"/>
  <c r="AH73" i="1"/>
  <c r="H76" i="31"/>
  <c r="D82" i="113"/>
  <c r="D76" i="113"/>
  <c r="C76" i="33"/>
  <c r="AP73" i="1"/>
  <c r="AQ12" i="1"/>
  <c r="AX12" i="1"/>
  <c r="AV12" i="1"/>
  <c r="AW73" i="1"/>
  <c r="E76" i="80"/>
  <c r="D76" i="116"/>
  <c r="D82" i="116"/>
  <c r="D76" i="118"/>
  <c r="D82" i="118"/>
  <c r="D76" i="120"/>
  <c r="D82" i="120"/>
  <c r="D76" i="126"/>
  <c r="D82" i="126"/>
  <c r="D76" i="128"/>
  <c r="D82" i="128"/>
  <c r="D76" i="131"/>
  <c r="D82" i="131"/>
  <c r="D76" i="145"/>
  <c r="D82" i="145"/>
  <c r="D76" i="147"/>
  <c r="D82" i="147"/>
  <c r="D76" i="149"/>
  <c r="D82" i="149"/>
  <c r="D76" i="152"/>
  <c r="D82" i="152"/>
  <c r="D76" i="115"/>
  <c r="D82" i="115"/>
  <c r="D76" i="117"/>
  <c r="D82" i="117"/>
  <c r="D76" i="119"/>
  <c r="D82" i="119"/>
  <c r="D76" i="125"/>
  <c r="D82" i="125"/>
  <c r="D76" i="127"/>
  <c r="D82" i="127"/>
  <c r="D76" i="129"/>
  <c r="D82" i="129"/>
  <c r="D82" i="144"/>
  <c r="D76" i="146"/>
  <c r="D82" i="146"/>
  <c r="D76" i="148"/>
  <c r="D82" i="148"/>
  <c r="D76" i="151"/>
  <c r="D82" i="151"/>
  <c r="D76" i="153"/>
  <c r="D82" i="153"/>
  <c r="D77" i="114"/>
  <c r="D83" i="114"/>
  <c r="E76" i="118"/>
  <c r="E76" i="126"/>
  <c r="E76" i="131"/>
  <c r="D15" i="144"/>
  <c r="D15" i="145"/>
  <c r="E15" i="145"/>
  <c r="H15" i="145"/>
  <c r="D15" i="146"/>
  <c r="D15" i="147"/>
  <c r="D15" i="148"/>
  <c r="E15" i="148"/>
  <c r="H15" i="148"/>
  <c r="D15" i="149"/>
  <c r="D15" i="151"/>
  <c r="D15" i="152"/>
  <c r="D15" i="153"/>
  <c r="E15" i="153"/>
  <c r="E76" i="153"/>
  <c r="E76" i="148"/>
  <c r="E76" i="140"/>
  <c r="E82" i="140"/>
  <c r="E76" i="141"/>
  <c r="E82" i="141"/>
  <c r="E76" i="119"/>
  <c r="E76" i="117"/>
  <c r="I82" i="80"/>
  <c r="AR15" i="1"/>
  <c r="AR68" i="1"/>
  <c r="AR4" i="1"/>
  <c r="AR13" i="1"/>
  <c r="AR37" i="1"/>
  <c r="AR41" i="1"/>
  <c r="AR62" i="1"/>
  <c r="AR36" i="1"/>
  <c r="AR53" i="1"/>
  <c r="AR14" i="1"/>
  <c r="AR49" i="1"/>
  <c r="AR47" i="1"/>
  <c r="AR72" i="1"/>
  <c r="AR8" i="1"/>
  <c r="AR67" i="1"/>
  <c r="AR10" i="1"/>
  <c r="AR65" i="1"/>
  <c r="AR40" i="1"/>
  <c r="AR11" i="1"/>
  <c r="AR25" i="1"/>
  <c r="AR7" i="1"/>
  <c r="AR55" i="1"/>
  <c r="AR22" i="1"/>
  <c r="AR30" i="1"/>
  <c r="AR6" i="1"/>
  <c r="AR21" i="1"/>
  <c r="AR56" i="1"/>
  <c r="AR70" i="1"/>
  <c r="AR57" i="1"/>
  <c r="AR54" i="1"/>
  <c r="AR29" i="1"/>
  <c r="AR64" i="1"/>
  <c r="AR26" i="1"/>
  <c r="AR66" i="1"/>
  <c r="AR45" i="1"/>
  <c r="AR51" i="1"/>
  <c r="AR71" i="1"/>
  <c r="AR50" i="1"/>
  <c r="AR12" i="1"/>
  <c r="AR48" i="1"/>
  <c r="AR19" i="1"/>
  <c r="AR46" i="1"/>
  <c r="AR58" i="1"/>
  <c r="AR17" i="1"/>
  <c r="AR33" i="1"/>
  <c r="AR38" i="1"/>
  <c r="AR61" i="1"/>
  <c r="AR18" i="1"/>
  <c r="AR44" i="1"/>
  <c r="AR16" i="1"/>
  <c r="AR32" i="1"/>
  <c r="AR31" i="1"/>
  <c r="AR35" i="1"/>
  <c r="AR5" i="1"/>
  <c r="AR20" i="1"/>
  <c r="AR69" i="1"/>
  <c r="AR59" i="1"/>
  <c r="AR52" i="1"/>
  <c r="AR28" i="1"/>
  <c r="AR39" i="1"/>
  <c r="AR27" i="1"/>
  <c r="AR24" i="1"/>
  <c r="AR63" i="1"/>
  <c r="AR34" i="1"/>
  <c r="AR23" i="1"/>
  <c r="AR9" i="1"/>
  <c r="AR43" i="1"/>
  <c r="AR60" i="1"/>
  <c r="AR42" i="1"/>
  <c r="D75" i="67"/>
  <c r="E7" i="5"/>
  <c r="AQ73" i="1"/>
  <c r="AX73" i="1"/>
  <c r="AV73" i="1"/>
  <c r="AY51" i="1"/>
  <c r="AY13" i="1"/>
  <c r="AY15" i="1"/>
  <c r="AY50" i="1"/>
  <c r="AY71" i="1"/>
  <c r="AY37" i="1"/>
  <c r="AY41" i="1"/>
  <c r="AY14" i="1"/>
  <c r="AY58" i="1"/>
  <c r="AY72" i="1"/>
  <c r="AY23" i="1"/>
  <c r="AY18" i="1"/>
  <c r="AY61" i="1"/>
  <c r="AY47" i="1"/>
  <c r="AY67" i="1"/>
  <c r="AY16" i="1"/>
  <c r="AY54" i="1"/>
  <c r="AY44" i="1"/>
  <c r="AY20" i="1"/>
  <c r="AY65" i="1"/>
  <c r="AY34" i="1"/>
  <c r="AY31" i="1"/>
  <c r="AY24" i="1"/>
  <c r="AY10" i="1"/>
  <c r="AY40" i="1"/>
  <c r="AY6" i="1"/>
  <c r="AY43" i="1"/>
  <c r="AY52" i="1"/>
  <c r="AY25" i="1"/>
  <c r="AY29" i="1"/>
  <c r="AY21" i="1"/>
  <c r="AY70" i="1"/>
  <c r="AY9" i="1"/>
  <c r="AY66" i="1"/>
  <c r="AY68" i="1"/>
  <c r="AY12" i="1"/>
  <c r="AY4" i="1"/>
  <c r="AY62" i="1"/>
  <c r="AY48" i="1"/>
  <c r="AY19" i="1"/>
  <c r="AY36" i="1"/>
  <c r="AY46" i="1"/>
  <c r="AY17" i="1"/>
  <c r="AY53" i="1"/>
  <c r="AY33" i="1"/>
  <c r="AY30" i="1"/>
  <c r="AY22" i="1"/>
  <c r="AY7" i="1"/>
  <c r="AY38" i="1"/>
  <c r="AY28" i="1"/>
  <c r="AY49" i="1"/>
  <c r="AY8" i="1"/>
  <c r="AY59" i="1"/>
  <c r="AY57" i="1"/>
  <c r="AY69" i="1"/>
  <c r="AY60" i="1"/>
  <c r="AY64" i="1"/>
  <c r="AY5" i="1"/>
  <c r="AY42" i="1"/>
  <c r="AY45" i="1"/>
  <c r="AY39" i="1"/>
  <c r="AY32" i="1"/>
  <c r="AY26" i="1"/>
  <c r="AY27" i="1"/>
  <c r="AY11" i="1"/>
  <c r="AY35" i="1"/>
  <c r="AY63" i="1"/>
  <c r="AY56" i="1"/>
  <c r="AY55" i="1"/>
  <c r="E76" i="115"/>
  <c r="E76" i="76"/>
  <c r="I82" i="76"/>
  <c r="E76" i="145"/>
  <c r="H15" i="153"/>
  <c r="H76" i="153"/>
  <c r="E76" i="116"/>
  <c r="E76" i="127"/>
  <c r="E15" i="152"/>
  <c r="H15" i="152"/>
  <c r="E15" i="146"/>
  <c r="E15" i="144"/>
  <c r="E76" i="144"/>
  <c r="E15" i="147"/>
  <c r="E82" i="115"/>
  <c r="E82" i="117"/>
  <c r="E82" i="76"/>
  <c r="E82" i="119"/>
  <c r="E82" i="80"/>
  <c r="E82" i="116"/>
  <c r="E82" i="153"/>
  <c r="E82" i="145"/>
  <c r="E82" i="148"/>
  <c r="E82" i="131"/>
  <c r="E82" i="126"/>
  <c r="E82" i="118"/>
  <c r="E15" i="149"/>
  <c r="H15" i="149"/>
  <c r="H76" i="149"/>
  <c r="E15" i="151"/>
  <c r="E75" i="67"/>
  <c r="D81" i="67"/>
  <c r="I14" i="67"/>
  <c r="M14" i="67"/>
  <c r="X14" i="67"/>
  <c r="H76" i="152"/>
  <c r="H76" i="145"/>
  <c r="H76" i="148"/>
  <c r="H76" i="76"/>
  <c r="D12" i="100"/>
  <c r="D73" i="100"/>
  <c r="T75" i="67"/>
  <c r="T81" i="67"/>
  <c r="E76" i="128"/>
  <c r="E76" i="129"/>
  <c r="E15" i="46"/>
  <c r="E17" i="46"/>
  <c r="E76" i="113"/>
  <c r="H7" i="5"/>
  <c r="H15" i="46"/>
  <c r="H76" i="80"/>
  <c r="H76" i="126"/>
  <c r="H76" i="115"/>
  <c r="H76" i="113"/>
  <c r="H76" i="118"/>
  <c r="H76" i="128"/>
  <c r="E77" i="114"/>
  <c r="E82" i="127"/>
  <c r="H15" i="144"/>
  <c r="H76" i="144"/>
  <c r="H82" i="141"/>
  <c r="H82" i="140"/>
  <c r="H76" i="131"/>
  <c r="E82" i="144"/>
  <c r="E76" i="152"/>
  <c r="H76" i="129"/>
  <c r="H76" i="116"/>
  <c r="H15" i="146"/>
  <c r="E76" i="146"/>
  <c r="H82" i="144"/>
  <c r="E76" i="147"/>
  <c r="H15" i="147"/>
  <c r="E82" i="129"/>
  <c r="H82" i="113"/>
  <c r="E82" i="113"/>
  <c r="E82" i="128"/>
  <c r="H82" i="148"/>
  <c r="H82" i="145"/>
  <c r="H82" i="149"/>
  <c r="H82" i="152"/>
  <c r="H82" i="153"/>
  <c r="H82" i="80"/>
  <c r="E83" i="114"/>
  <c r="E76" i="149"/>
  <c r="E76" i="125"/>
  <c r="H15" i="151"/>
  <c r="E76" i="151"/>
  <c r="E76" i="120"/>
  <c r="H76" i="117"/>
  <c r="H77" i="114"/>
  <c r="H76" i="127"/>
  <c r="H76" i="119"/>
  <c r="H82" i="118"/>
  <c r="H82" i="126"/>
  <c r="H82" i="128"/>
  <c r="H82" i="115"/>
  <c r="H82" i="129"/>
  <c r="F75" i="67"/>
  <c r="F81" i="67"/>
  <c r="E81" i="67"/>
  <c r="H17" i="46"/>
  <c r="H82" i="131"/>
  <c r="E82" i="152"/>
  <c r="E82" i="146"/>
  <c r="H76" i="146"/>
  <c r="H76" i="147"/>
  <c r="E82" i="147"/>
  <c r="H82" i="116"/>
  <c r="H82" i="119"/>
  <c r="H82" i="127"/>
  <c r="H83" i="114"/>
  <c r="H82" i="117"/>
  <c r="E82" i="120"/>
  <c r="H82" i="76"/>
  <c r="E82" i="125"/>
  <c r="E82" i="151"/>
  <c r="E82" i="149"/>
  <c r="H76" i="125"/>
  <c r="H76" i="120"/>
  <c r="H76" i="151"/>
  <c r="H82" i="146"/>
  <c r="H82" i="147"/>
  <c r="H82" i="125"/>
  <c r="H82" i="120"/>
  <c r="H82" i="151"/>
  <c r="F73" i="100"/>
  <c r="I12" i="67"/>
  <c r="I9" i="67"/>
  <c r="I6" i="67"/>
  <c r="M6" i="67"/>
  <c r="M9" i="67"/>
  <c r="X9" i="67"/>
  <c r="X6" i="67"/>
  <c r="M12" i="67"/>
  <c r="X12" i="67"/>
  <c r="I15" i="67"/>
  <c r="M15" i="67"/>
  <c r="X15" i="67"/>
  <c r="I18" i="67"/>
  <c r="M18" i="67"/>
  <c r="I21" i="67"/>
  <c r="M21" i="67"/>
  <c r="X21" i="67"/>
  <c r="X18" i="67"/>
  <c r="I24" i="67"/>
  <c r="M24" i="67"/>
  <c r="I27" i="67"/>
  <c r="M27" i="67"/>
  <c r="X27" i="67"/>
  <c r="X24" i="67"/>
  <c r="I30" i="67"/>
  <c r="M30" i="67"/>
  <c r="X30" i="67"/>
  <c r="I33" i="67"/>
  <c r="M33" i="67"/>
  <c r="X33" i="67"/>
  <c r="I36" i="67"/>
  <c r="M36" i="67"/>
  <c r="X36" i="67"/>
  <c r="I39" i="67"/>
  <c r="M39" i="67"/>
  <c r="X39" i="67"/>
  <c r="I42" i="67"/>
  <c r="M42" i="67"/>
  <c r="X42" i="67"/>
  <c r="I45" i="67"/>
  <c r="M45" i="67"/>
  <c r="X45" i="67"/>
  <c r="I48" i="67"/>
  <c r="M48" i="67"/>
  <c r="X48" i="67"/>
  <c r="I51" i="67"/>
  <c r="M51" i="67"/>
  <c r="X51" i="67"/>
  <c r="I54" i="67"/>
  <c r="M54" i="67"/>
  <c r="X54" i="67"/>
  <c r="I57" i="67"/>
  <c r="M57" i="67"/>
  <c r="X57" i="67"/>
  <c r="I60" i="67"/>
  <c r="M60" i="67"/>
  <c r="X60" i="67"/>
  <c r="I63" i="67"/>
  <c r="M63" i="67"/>
  <c r="X63" i="67"/>
  <c r="I66" i="67"/>
  <c r="M66" i="67"/>
  <c r="X66" i="67"/>
  <c r="I72" i="67"/>
  <c r="M72" i="67"/>
  <c r="G81" i="67"/>
  <c r="I69" i="67"/>
  <c r="M69" i="67"/>
  <c r="X69" i="67"/>
  <c r="X72" i="67"/>
  <c r="M75" i="67"/>
  <c r="M81" i="67"/>
  <c r="I75" i="67"/>
  <c r="I81" i="67"/>
  <c r="X75" i="67"/>
  <c r="X81" i="67"/>
  <c r="U82" i="147"/>
  <c r="S77" i="76"/>
  <c r="T77" i="76"/>
  <c r="AL77" i="76"/>
  <c r="S77" i="80"/>
  <c r="T77" i="80"/>
  <c r="AL77" i="80"/>
  <c r="R81" i="152"/>
  <c r="S81" i="152"/>
  <c r="AK81" i="152"/>
  <c r="R77" i="116"/>
  <c r="S77" i="116"/>
  <c r="AK77" i="116"/>
  <c r="R77" i="149"/>
  <c r="S77" i="149"/>
  <c r="AK77" i="149"/>
  <c r="R77" i="115"/>
  <c r="S77" i="115"/>
  <c r="AK77" i="115"/>
  <c r="R77" i="117"/>
  <c r="S77" i="117"/>
  <c r="AK77" i="117"/>
  <c r="R77" i="119"/>
  <c r="S77" i="119"/>
  <c r="AK77" i="119"/>
  <c r="R77" i="125"/>
  <c r="S77" i="125"/>
  <c r="AK77" i="125"/>
  <c r="R77" i="127"/>
  <c r="S77" i="127"/>
  <c r="AK77" i="127"/>
  <c r="R77" i="129"/>
  <c r="S77" i="129"/>
  <c r="AK77" i="129"/>
  <c r="R77" i="144"/>
  <c r="S77" i="144"/>
  <c r="AK77" i="144"/>
  <c r="R77" i="145"/>
  <c r="S77" i="145"/>
  <c r="AK77" i="145"/>
  <c r="R77" i="146"/>
  <c r="S77" i="146"/>
  <c r="AK77" i="146"/>
  <c r="R77" i="147"/>
  <c r="S77" i="147"/>
  <c r="AK77" i="147"/>
  <c r="R77" i="148"/>
  <c r="S77" i="148"/>
  <c r="AK77" i="148"/>
  <c r="R81" i="149"/>
  <c r="S81" i="149"/>
  <c r="AK81" i="149"/>
  <c r="R81" i="151"/>
  <c r="S81" i="151"/>
  <c r="AK81" i="151"/>
  <c r="R77" i="153"/>
  <c r="S77" i="153"/>
  <c r="AK77" i="153"/>
  <c r="R78" i="114"/>
  <c r="S78" i="114"/>
  <c r="AK78" i="114"/>
  <c r="R77" i="118"/>
  <c r="S77" i="118"/>
  <c r="AK77" i="118"/>
  <c r="R77" i="120"/>
  <c r="S77" i="120"/>
  <c r="AK77" i="120"/>
  <c r="R77" i="126"/>
  <c r="S77" i="126"/>
  <c r="AK77" i="126"/>
  <c r="R77" i="128"/>
  <c r="S77" i="128"/>
  <c r="AK77" i="128"/>
  <c r="R77" i="131"/>
  <c r="S77" i="131"/>
  <c r="AK77" i="131"/>
  <c r="R81" i="144"/>
  <c r="S81" i="144"/>
  <c r="AK81" i="144"/>
  <c r="R81" i="145"/>
  <c r="S81" i="145"/>
  <c r="AK81" i="145"/>
  <c r="R81" i="146"/>
  <c r="S81" i="146"/>
  <c r="AK81" i="146"/>
  <c r="R81" i="147"/>
  <c r="S81" i="147"/>
  <c r="AK81" i="147"/>
  <c r="R81" i="148"/>
  <c r="S81" i="148"/>
  <c r="AK81" i="148"/>
  <c r="R77" i="151"/>
  <c r="S77" i="151"/>
  <c r="AK77" i="151"/>
  <c r="R77" i="152"/>
  <c r="S77" i="152"/>
  <c r="AK77" i="152"/>
  <c r="R81" i="153"/>
  <c r="S81" i="153"/>
  <c r="AK81" i="153"/>
  <c r="P77" i="141"/>
  <c r="Q77" i="141"/>
  <c r="P77" i="140"/>
  <c r="Q77" i="140"/>
  <c r="R77" i="113"/>
  <c r="S77" i="113"/>
  <c r="AK77" i="113"/>
  <c r="K76" i="67"/>
  <c r="L76" i="67"/>
  <c r="Y76" i="67"/>
  <c r="K80" i="67"/>
  <c r="L80" i="67"/>
  <c r="Y80" i="67"/>
  <c r="AQ12" i="46"/>
  <c r="AQ15" i="46"/>
  <c r="AQ17" i="46"/>
  <c r="AG76" i="125"/>
  <c r="AG76" i="149"/>
  <c r="AG76" i="117"/>
  <c r="AG76" i="144"/>
  <c r="AG76" i="128"/>
  <c r="AG76" i="146"/>
  <c r="AH76" i="80"/>
  <c r="AG76" i="129"/>
  <c r="AG76" i="118"/>
  <c r="AG76" i="152"/>
  <c r="AG76" i="113"/>
  <c r="AG76" i="115"/>
  <c r="AG76" i="147"/>
  <c r="AG76" i="148"/>
  <c r="AG76" i="116"/>
  <c r="AG76" i="145"/>
  <c r="AG76" i="127"/>
  <c r="AG82" i="146"/>
  <c r="AG82" i="128"/>
  <c r="AG82" i="144"/>
  <c r="AG82" i="117"/>
  <c r="AG82" i="149"/>
  <c r="AG82" i="125"/>
  <c r="AG76" i="151"/>
  <c r="AG77" i="114"/>
  <c r="AG76" i="119"/>
  <c r="AG76" i="126"/>
  <c r="AG76" i="120"/>
  <c r="AG82" i="127"/>
  <c r="AG82" i="145"/>
  <c r="AG82" i="116"/>
  <c r="AG82" i="148"/>
  <c r="AH82" i="80"/>
  <c r="AG76" i="131"/>
  <c r="AG76" i="153"/>
  <c r="AG82" i="147"/>
  <c r="AG82" i="115"/>
  <c r="AG82" i="113"/>
  <c r="AG82" i="152"/>
  <c r="AG82" i="118"/>
  <c r="AG82" i="129"/>
  <c r="AG82" i="153"/>
  <c r="AH82" i="76"/>
  <c r="AG82" i="120"/>
  <c r="AG82" i="131"/>
  <c r="AG82" i="126"/>
  <c r="AG82" i="119"/>
  <c r="AG83" i="114"/>
  <c r="AG82" i="151"/>
  <c r="F73" i="72"/>
  <c r="K74" i="167"/>
  <c r="K195" i="167"/>
  <c r="P5" i="167"/>
  <c r="AN7" i="33"/>
  <c r="AN76" i="33"/>
  <c r="P74" i="167"/>
  <c r="P195" i="167"/>
  <c r="V82" i="76"/>
  <c r="AO73" i="31"/>
  <c r="AO74" i="31"/>
  <c r="J73" i="140"/>
  <c r="J8" i="141"/>
  <c r="J12" i="141"/>
  <c r="J16" i="141"/>
  <c r="J31" i="141"/>
  <c r="J35" i="141"/>
  <c r="J39" i="141"/>
  <c r="J43" i="141"/>
  <c r="J47" i="141"/>
  <c r="J51" i="141"/>
  <c r="J59" i="141"/>
  <c r="J63" i="141"/>
  <c r="J71" i="141"/>
  <c r="J9" i="140"/>
  <c r="J13" i="140"/>
  <c r="J63" i="140"/>
  <c r="J69" i="140"/>
  <c r="J8" i="140"/>
  <c r="J10" i="140"/>
  <c r="J12" i="140"/>
  <c r="J14" i="140"/>
  <c r="J11" i="140"/>
  <c r="J15" i="140"/>
  <c r="J16" i="140"/>
  <c r="J18" i="140"/>
  <c r="J20" i="140"/>
  <c r="J22" i="140"/>
  <c r="J24" i="140"/>
  <c r="J26" i="140"/>
  <c r="J28" i="140"/>
  <c r="J30" i="140"/>
  <c r="J32" i="140"/>
  <c r="J34" i="140"/>
  <c r="J36" i="140"/>
  <c r="J38" i="140"/>
  <c r="J40" i="140"/>
  <c r="J42" i="140"/>
  <c r="J44" i="140"/>
  <c r="J46" i="140"/>
  <c r="J48" i="140"/>
  <c r="J50" i="140"/>
  <c r="J52" i="140"/>
  <c r="J54" i="140"/>
  <c r="J56" i="140"/>
  <c r="J58" i="140"/>
  <c r="J60" i="140"/>
  <c r="J17" i="140"/>
  <c r="J19" i="140"/>
  <c r="J21" i="140"/>
  <c r="J23" i="140"/>
  <c r="J25" i="140"/>
  <c r="J27" i="140"/>
  <c r="J29" i="140"/>
  <c r="J31" i="140"/>
  <c r="J33" i="140"/>
  <c r="J35" i="140"/>
  <c r="J37" i="140"/>
  <c r="J39" i="140"/>
  <c r="J41" i="140"/>
  <c r="J43" i="140"/>
  <c r="J45" i="140"/>
  <c r="J47" i="140"/>
  <c r="J49" i="140"/>
  <c r="J51" i="140"/>
  <c r="J53" i="140"/>
  <c r="J55" i="140"/>
  <c r="J57" i="140"/>
  <c r="J59" i="140"/>
  <c r="J61" i="140"/>
  <c r="J64" i="140"/>
  <c r="J62" i="140"/>
  <c r="J65" i="140"/>
  <c r="J66" i="140"/>
  <c r="J68" i="140"/>
  <c r="J70" i="140"/>
  <c r="J72" i="140"/>
  <c r="J74" i="140"/>
  <c r="J67" i="140"/>
  <c r="J71" i="140"/>
  <c r="J75" i="140"/>
  <c r="J9" i="141"/>
  <c r="J11" i="141"/>
  <c r="J13" i="141"/>
  <c r="J15" i="141"/>
  <c r="J20" i="141"/>
  <c r="J22" i="141"/>
  <c r="J24" i="141"/>
  <c r="J26" i="141"/>
  <c r="J28" i="141"/>
  <c r="J30" i="141"/>
  <c r="J10" i="141"/>
  <c r="J14" i="141"/>
  <c r="J17" i="141"/>
  <c r="J18" i="141"/>
  <c r="J19" i="141"/>
  <c r="J21" i="141"/>
  <c r="J23" i="141"/>
  <c r="J25" i="141"/>
  <c r="J27" i="141"/>
  <c r="J29" i="141"/>
  <c r="J33" i="141"/>
  <c r="J37" i="141"/>
  <c r="J41" i="141"/>
  <c r="J45" i="141"/>
  <c r="J49" i="141"/>
  <c r="J53" i="141"/>
  <c r="J32" i="141"/>
  <c r="J34" i="141"/>
  <c r="J36" i="141"/>
  <c r="J38" i="141"/>
  <c r="J40" i="141"/>
  <c r="J42" i="141"/>
  <c r="J44" i="141"/>
  <c r="J46" i="141"/>
  <c r="J48" i="141"/>
  <c r="J50" i="141"/>
  <c r="J52" i="141"/>
  <c r="J54" i="141"/>
  <c r="J61" i="141"/>
  <c r="J65" i="141"/>
  <c r="J73" i="141"/>
  <c r="J55" i="141"/>
  <c r="J56" i="141"/>
  <c r="J57" i="141"/>
  <c r="J58" i="141"/>
  <c r="J60" i="141"/>
  <c r="J62" i="141"/>
  <c r="J64" i="141"/>
  <c r="J66" i="141"/>
  <c r="J67" i="141"/>
  <c r="J68" i="141"/>
  <c r="J69" i="141"/>
  <c r="J70" i="141"/>
  <c r="J72" i="141"/>
  <c r="J74" i="141"/>
  <c r="J75" i="141"/>
  <c r="J6" i="31"/>
  <c r="J7" i="140"/>
  <c r="J76" i="140"/>
  <c r="J82" i="140"/>
  <c r="J7" i="141"/>
  <c r="J76" i="141"/>
  <c r="J82" i="141"/>
  <c r="J6" i="5"/>
  <c r="J5" i="5"/>
  <c r="J7" i="5"/>
  <c r="AC27" i="31"/>
  <c r="AC19" i="31"/>
  <c r="I8" i="141"/>
  <c r="K8" i="141"/>
  <c r="L8" i="141"/>
  <c r="N8" i="141"/>
  <c r="I12" i="141"/>
  <c r="K12" i="141"/>
  <c r="L12" i="141"/>
  <c r="N12" i="141"/>
  <c r="I16" i="141"/>
  <c r="K16" i="141"/>
  <c r="L16" i="141"/>
  <c r="N16" i="141"/>
  <c r="I30" i="141"/>
  <c r="K30" i="141"/>
  <c r="L30" i="141"/>
  <c r="N30" i="141"/>
  <c r="I38" i="141"/>
  <c r="K38" i="141"/>
  <c r="L38" i="141"/>
  <c r="N38" i="141"/>
  <c r="I49" i="141"/>
  <c r="K49" i="141"/>
  <c r="L49" i="141"/>
  <c r="N49" i="141"/>
  <c r="I52" i="141"/>
  <c r="K52" i="141"/>
  <c r="L52" i="141"/>
  <c r="N52" i="141"/>
  <c r="I54" i="141"/>
  <c r="K54" i="141"/>
  <c r="L54" i="141"/>
  <c r="N54" i="141"/>
  <c r="I56" i="141"/>
  <c r="K56" i="141"/>
  <c r="L56" i="141"/>
  <c r="N56" i="141"/>
  <c r="I58" i="141"/>
  <c r="K58" i="141"/>
  <c r="L58" i="141"/>
  <c r="N58" i="141"/>
  <c r="I62" i="141"/>
  <c r="K62" i="141"/>
  <c r="L62" i="141"/>
  <c r="N62" i="141"/>
  <c r="I66" i="141"/>
  <c r="K66" i="141"/>
  <c r="L66" i="141"/>
  <c r="N66" i="141"/>
  <c r="I70" i="141"/>
  <c r="K70" i="141"/>
  <c r="L70" i="141"/>
  <c r="N70" i="141"/>
  <c r="I8" i="140"/>
  <c r="K8" i="140"/>
  <c r="L8" i="140"/>
  <c r="N8" i="140"/>
  <c r="I12" i="140"/>
  <c r="K12" i="140"/>
  <c r="L12" i="140"/>
  <c r="N12" i="140"/>
  <c r="I20" i="140"/>
  <c r="K20" i="140"/>
  <c r="L20" i="140"/>
  <c r="N20" i="140"/>
  <c r="I24" i="140"/>
  <c r="K24" i="140"/>
  <c r="L24" i="140"/>
  <c r="N24" i="140"/>
  <c r="I35" i="140"/>
  <c r="K35" i="140"/>
  <c r="L35" i="140"/>
  <c r="N35" i="140"/>
  <c r="I37" i="140"/>
  <c r="K37" i="140"/>
  <c r="L37" i="140"/>
  <c r="N37" i="140"/>
  <c r="I41" i="140"/>
  <c r="K41" i="140"/>
  <c r="L41" i="140"/>
  <c r="N41" i="140"/>
  <c r="I45" i="140"/>
  <c r="K45" i="140"/>
  <c r="L45" i="140"/>
  <c r="N45" i="140"/>
  <c r="J76" i="31"/>
  <c r="I9" i="141"/>
  <c r="K9" i="141"/>
  <c r="L9" i="141"/>
  <c r="N9" i="141"/>
  <c r="I13" i="141"/>
  <c r="K13" i="141"/>
  <c r="L13" i="141"/>
  <c r="N13" i="141"/>
  <c r="I10" i="140"/>
  <c r="K10" i="140"/>
  <c r="L10" i="140"/>
  <c r="N10" i="140"/>
  <c r="I10" i="141"/>
  <c r="K10" i="141"/>
  <c r="L10" i="141"/>
  <c r="N10" i="141"/>
  <c r="I14" i="141"/>
  <c r="K14" i="141"/>
  <c r="L14" i="141"/>
  <c r="N14" i="141"/>
  <c r="I9" i="140"/>
  <c r="K9" i="140"/>
  <c r="L9" i="140"/>
  <c r="N9" i="140"/>
  <c r="I60" i="141"/>
  <c r="K60" i="141"/>
  <c r="L60" i="141"/>
  <c r="N60" i="141"/>
  <c r="I64" i="141"/>
  <c r="K64" i="141"/>
  <c r="L64" i="141"/>
  <c r="N64" i="141"/>
  <c r="I68" i="141"/>
  <c r="K68" i="141"/>
  <c r="L68" i="141"/>
  <c r="N68" i="141"/>
  <c r="I33" i="140"/>
  <c r="K33" i="140"/>
  <c r="L33" i="140"/>
  <c r="N33" i="140"/>
  <c r="I36" i="140"/>
  <c r="K36" i="140"/>
  <c r="L36" i="140"/>
  <c r="N36" i="140"/>
  <c r="I40" i="140"/>
  <c r="K40" i="140"/>
  <c r="L40" i="140"/>
  <c r="N40" i="140"/>
  <c r="I25" i="141"/>
  <c r="K25" i="141"/>
  <c r="L25" i="141"/>
  <c r="N25" i="141"/>
  <c r="I29" i="141"/>
  <c r="K29" i="141"/>
  <c r="L29" i="141"/>
  <c r="N29" i="141"/>
  <c r="I31" i="141"/>
  <c r="K31" i="141"/>
  <c r="L31" i="141"/>
  <c r="N31" i="141"/>
  <c r="I33" i="141"/>
  <c r="K33" i="141"/>
  <c r="L33" i="141"/>
  <c r="N33" i="141"/>
  <c r="I37" i="141"/>
  <c r="K37" i="141"/>
  <c r="L37" i="141"/>
  <c r="N37" i="141"/>
  <c r="I39" i="141"/>
  <c r="K39" i="141"/>
  <c r="L39" i="141"/>
  <c r="N39" i="141"/>
  <c r="I41" i="141"/>
  <c r="K41" i="141"/>
  <c r="L41" i="141"/>
  <c r="N41" i="141"/>
  <c r="I42" i="141"/>
  <c r="K42" i="141"/>
  <c r="L42" i="141"/>
  <c r="N42" i="141"/>
  <c r="I45" i="141"/>
  <c r="K45" i="141"/>
  <c r="L45" i="141"/>
  <c r="N45" i="141"/>
  <c r="I46" i="141"/>
  <c r="K46" i="141"/>
  <c r="L46" i="141"/>
  <c r="N46" i="141"/>
  <c r="I47" i="141"/>
  <c r="K47" i="141"/>
  <c r="L47" i="141"/>
  <c r="N47" i="141"/>
  <c r="I72" i="141"/>
  <c r="K72" i="141"/>
  <c r="L72" i="141"/>
  <c r="N72" i="141"/>
  <c r="I13" i="140"/>
  <c r="K13" i="140"/>
  <c r="L13" i="140"/>
  <c r="N13" i="140"/>
  <c r="I14" i="140"/>
  <c r="K14" i="140"/>
  <c r="L14" i="140"/>
  <c r="N14" i="140"/>
  <c r="I16" i="140"/>
  <c r="K16" i="140"/>
  <c r="L16" i="140"/>
  <c r="N16" i="140"/>
  <c r="I17" i="140"/>
  <c r="K17" i="140"/>
  <c r="L17" i="140"/>
  <c r="N17" i="140"/>
  <c r="I18" i="140"/>
  <c r="K18" i="140"/>
  <c r="L18" i="140"/>
  <c r="N18" i="140"/>
  <c r="I21" i="140"/>
  <c r="K21" i="140"/>
  <c r="L21" i="140"/>
  <c r="N21" i="140"/>
  <c r="I47" i="140"/>
  <c r="K47" i="140"/>
  <c r="L47" i="140"/>
  <c r="N47" i="140"/>
  <c r="I48" i="140"/>
  <c r="K48" i="140"/>
  <c r="L48" i="140"/>
  <c r="N48" i="140"/>
  <c r="I43" i="140"/>
  <c r="K43" i="140"/>
  <c r="L43" i="140"/>
  <c r="N43" i="140"/>
  <c r="I44" i="140"/>
  <c r="K44" i="140"/>
  <c r="L44" i="140"/>
  <c r="N44" i="140"/>
  <c r="I74" i="140"/>
  <c r="K74" i="140"/>
  <c r="L74" i="140"/>
  <c r="N74" i="140"/>
  <c r="I22" i="140"/>
  <c r="K22" i="140"/>
  <c r="L22" i="140"/>
  <c r="N22" i="140"/>
  <c r="I39" i="140"/>
  <c r="K39" i="140"/>
  <c r="L39" i="140"/>
  <c r="N39" i="140"/>
  <c r="I17" i="141"/>
  <c r="K17" i="141"/>
  <c r="L17" i="141"/>
  <c r="N17" i="141"/>
  <c r="I18" i="141"/>
  <c r="K18" i="141"/>
  <c r="L18" i="141"/>
  <c r="N18" i="141"/>
  <c r="I26" i="141"/>
  <c r="K26" i="141"/>
  <c r="L26" i="141"/>
  <c r="N26" i="141"/>
  <c r="I27" i="141"/>
  <c r="K27" i="141"/>
  <c r="L27" i="141"/>
  <c r="N27" i="141"/>
  <c r="I34" i="141"/>
  <c r="K34" i="141"/>
  <c r="L34" i="141"/>
  <c r="N34" i="141"/>
  <c r="I35" i="141"/>
  <c r="K35" i="141"/>
  <c r="L35" i="141"/>
  <c r="N35" i="141"/>
  <c r="I43" i="141"/>
  <c r="K43" i="141"/>
  <c r="L43" i="141"/>
  <c r="N43" i="141"/>
  <c r="I50" i="141"/>
  <c r="K50" i="141"/>
  <c r="L50" i="141"/>
  <c r="N50" i="141"/>
  <c r="I74" i="141"/>
  <c r="K74" i="141"/>
  <c r="L74" i="141"/>
  <c r="N74" i="141"/>
  <c r="I11" i="140"/>
  <c r="K11" i="140"/>
  <c r="L11" i="140"/>
  <c r="N11" i="140"/>
  <c r="I15" i="140"/>
  <c r="K15" i="140"/>
  <c r="L15" i="140"/>
  <c r="N15" i="140"/>
  <c r="I19" i="140"/>
  <c r="K19" i="140"/>
  <c r="L19" i="140"/>
  <c r="N19" i="140"/>
  <c r="I23" i="140"/>
  <c r="K23" i="140"/>
  <c r="L23" i="140"/>
  <c r="N23" i="140"/>
  <c r="I26" i="140"/>
  <c r="K26" i="140"/>
  <c r="L26" i="140"/>
  <c r="N26" i="140"/>
  <c r="I27" i="140"/>
  <c r="K27" i="140"/>
  <c r="L27" i="140"/>
  <c r="N27" i="140"/>
  <c r="I28" i="140"/>
  <c r="K28" i="140"/>
  <c r="L28" i="140"/>
  <c r="N28" i="140"/>
  <c r="I29" i="140"/>
  <c r="K29" i="140"/>
  <c r="L29" i="140"/>
  <c r="N29" i="140"/>
  <c r="I30" i="140"/>
  <c r="K30" i="140"/>
  <c r="L30" i="140"/>
  <c r="N30" i="140"/>
  <c r="I31" i="140"/>
  <c r="K31" i="140"/>
  <c r="L31" i="140"/>
  <c r="N31" i="140"/>
  <c r="I32" i="140"/>
  <c r="K32" i="140"/>
  <c r="L32" i="140"/>
  <c r="N32" i="140"/>
  <c r="I34" i="140"/>
  <c r="K34" i="140"/>
  <c r="L34" i="140"/>
  <c r="N34" i="140"/>
  <c r="I38" i="140"/>
  <c r="K38" i="140"/>
  <c r="L38" i="140"/>
  <c r="N38" i="140"/>
  <c r="I42" i="140"/>
  <c r="K42" i="140"/>
  <c r="L42" i="140"/>
  <c r="N42" i="140"/>
  <c r="I46" i="140"/>
  <c r="K46" i="140"/>
  <c r="L46" i="140"/>
  <c r="N46" i="140"/>
  <c r="I7" i="140"/>
  <c r="I25" i="140"/>
  <c r="K25" i="140"/>
  <c r="L25" i="140"/>
  <c r="N25" i="140"/>
  <c r="I49" i="140"/>
  <c r="K49" i="140"/>
  <c r="L49" i="140"/>
  <c r="N49" i="140"/>
  <c r="I50" i="140"/>
  <c r="K50" i="140"/>
  <c r="L50" i="140"/>
  <c r="N50" i="140"/>
  <c r="I52" i="140"/>
  <c r="K52" i="140"/>
  <c r="L52" i="140"/>
  <c r="N52" i="140"/>
  <c r="I54" i="140"/>
  <c r="K54" i="140"/>
  <c r="L54" i="140"/>
  <c r="N54" i="140"/>
  <c r="I56" i="140"/>
  <c r="K56" i="140"/>
  <c r="L56" i="140"/>
  <c r="N56" i="140"/>
  <c r="I58" i="140"/>
  <c r="K58" i="140"/>
  <c r="L58" i="140"/>
  <c r="N58" i="140"/>
  <c r="I60" i="140"/>
  <c r="K60" i="140"/>
  <c r="L60" i="140"/>
  <c r="N60" i="140"/>
  <c r="I62" i="140"/>
  <c r="K62" i="140"/>
  <c r="L62" i="140"/>
  <c r="N62" i="140"/>
  <c r="I64" i="140"/>
  <c r="K64" i="140"/>
  <c r="L64" i="140"/>
  <c r="N64" i="140"/>
  <c r="I66" i="140"/>
  <c r="K66" i="140"/>
  <c r="L66" i="140"/>
  <c r="N66" i="140"/>
  <c r="I68" i="140"/>
  <c r="K68" i="140"/>
  <c r="L68" i="140"/>
  <c r="N68" i="140"/>
  <c r="I70" i="140"/>
  <c r="K70" i="140"/>
  <c r="L70" i="140"/>
  <c r="N70" i="140"/>
  <c r="I72" i="140"/>
  <c r="K72" i="140"/>
  <c r="L72" i="140"/>
  <c r="N72" i="140"/>
  <c r="I51" i="140"/>
  <c r="K51" i="140"/>
  <c r="L51" i="140"/>
  <c r="N51" i="140"/>
  <c r="I53" i="140"/>
  <c r="K53" i="140"/>
  <c r="L53" i="140"/>
  <c r="N53" i="140"/>
  <c r="I55" i="140"/>
  <c r="K55" i="140"/>
  <c r="L55" i="140"/>
  <c r="N55" i="140"/>
  <c r="I57" i="140"/>
  <c r="K57" i="140"/>
  <c r="L57" i="140"/>
  <c r="N57" i="140"/>
  <c r="I59" i="140"/>
  <c r="K59" i="140"/>
  <c r="L59" i="140"/>
  <c r="N59" i="140"/>
  <c r="I61" i="140"/>
  <c r="K61" i="140"/>
  <c r="L61" i="140"/>
  <c r="N61" i="140"/>
  <c r="I63" i="140"/>
  <c r="K63" i="140"/>
  <c r="L63" i="140"/>
  <c r="N63" i="140"/>
  <c r="I65" i="140"/>
  <c r="K65" i="140"/>
  <c r="L65" i="140"/>
  <c r="N65" i="140"/>
  <c r="I67" i="140"/>
  <c r="K67" i="140"/>
  <c r="L67" i="140"/>
  <c r="N67" i="140"/>
  <c r="I69" i="140"/>
  <c r="K69" i="140"/>
  <c r="L69" i="140"/>
  <c r="N69" i="140"/>
  <c r="I71" i="140"/>
  <c r="K71" i="140"/>
  <c r="L71" i="140"/>
  <c r="N71" i="140"/>
  <c r="I73" i="140"/>
  <c r="K73" i="140"/>
  <c r="L73" i="140"/>
  <c r="N73" i="140"/>
  <c r="I75" i="140"/>
  <c r="K75" i="140"/>
  <c r="L75" i="140"/>
  <c r="N75" i="140"/>
  <c r="I20" i="141"/>
  <c r="K20" i="141"/>
  <c r="L20" i="141"/>
  <c r="N20" i="141"/>
  <c r="I11" i="141"/>
  <c r="K11" i="141"/>
  <c r="L11" i="141"/>
  <c r="N11" i="141"/>
  <c r="I15" i="141"/>
  <c r="K15" i="141"/>
  <c r="L15" i="141"/>
  <c r="N15" i="141"/>
  <c r="I19" i="141"/>
  <c r="K19" i="141"/>
  <c r="L19" i="141"/>
  <c r="N19" i="141"/>
  <c r="I7" i="141"/>
  <c r="I22" i="141"/>
  <c r="K22" i="141"/>
  <c r="L22" i="141"/>
  <c r="N22" i="141"/>
  <c r="I23" i="141"/>
  <c r="K23" i="141"/>
  <c r="L23" i="141"/>
  <c r="N23" i="141"/>
  <c r="I24" i="141"/>
  <c r="K24" i="141"/>
  <c r="L24" i="141"/>
  <c r="N24" i="141"/>
  <c r="I28" i="141"/>
  <c r="K28" i="141"/>
  <c r="L28" i="141"/>
  <c r="N28" i="141"/>
  <c r="I32" i="141"/>
  <c r="K32" i="141"/>
  <c r="L32" i="141"/>
  <c r="N32" i="141"/>
  <c r="I36" i="141"/>
  <c r="K36" i="141"/>
  <c r="L36" i="141"/>
  <c r="N36" i="141"/>
  <c r="I40" i="141"/>
  <c r="K40" i="141"/>
  <c r="L40" i="141"/>
  <c r="N40" i="141"/>
  <c r="I44" i="141"/>
  <c r="K44" i="141"/>
  <c r="L44" i="141"/>
  <c r="N44" i="141"/>
  <c r="I48" i="141"/>
  <c r="K48" i="141"/>
  <c r="L48" i="141"/>
  <c r="N48" i="141"/>
  <c r="I21" i="141"/>
  <c r="K21" i="141"/>
  <c r="L21" i="141"/>
  <c r="N21" i="141"/>
  <c r="I51" i="141"/>
  <c r="K51" i="141"/>
  <c r="L51" i="141"/>
  <c r="N51" i="141"/>
  <c r="I53" i="141"/>
  <c r="K53" i="141"/>
  <c r="L53" i="141"/>
  <c r="N53" i="141"/>
  <c r="I55" i="141"/>
  <c r="K55" i="141"/>
  <c r="L55" i="141"/>
  <c r="N55" i="141"/>
  <c r="I57" i="141"/>
  <c r="K57" i="141"/>
  <c r="L57" i="141"/>
  <c r="N57" i="141"/>
  <c r="I59" i="141"/>
  <c r="K59" i="141"/>
  <c r="L59" i="141"/>
  <c r="N59" i="141"/>
  <c r="I61" i="141"/>
  <c r="K61" i="141"/>
  <c r="L61" i="141"/>
  <c r="N61" i="141"/>
  <c r="I63" i="141"/>
  <c r="K63" i="141"/>
  <c r="L63" i="141"/>
  <c r="N63" i="141"/>
  <c r="I65" i="141"/>
  <c r="K65" i="141"/>
  <c r="L65" i="141"/>
  <c r="N65" i="141"/>
  <c r="I67" i="141"/>
  <c r="K67" i="141"/>
  <c r="L67" i="141"/>
  <c r="N67" i="141"/>
  <c r="I69" i="141"/>
  <c r="K69" i="141"/>
  <c r="L69" i="141"/>
  <c r="N69" i="141"/>
  <c r="I71" i="141"/>
  <c r="K71" i="141"/>
  <c r="L71" i="141"/>
  <c r="N71" i="141"/>
  <c r="I73" i="141"/>
  <c r="K73" i="141"/>
  <c r="L73" i="141"/>
  <c r="N73" i="141"/>
  <c r="I75" i="141"/>
  <c r="K75" i="141"/>
  <c r="L75" i="141"/>
  <c r="N75" i="141"/>
  <c r="R71" i="141"/>
  <c r="R63" i="141"/>
  <c r="R55" i="141"/>
  <c r="R73" i="141"/>
  <c r="R69" i="141"/>
  <c r="R65" i="141"/>
  <c r="R61" i="141"/>
  <c r="R57" i="141"/>
  <c r="R53" i="141"/>
  <c r="R21" i="141"/>
  <c r="R44" i="141"/>
  <c r="R40" i="141"/>
  <c r="R32" i="141"/>
  <c r="R24" i="141"/>
  <c r="R22" i="141"/>
  <c r="R11" i="141"/>
  <c r="R71" i="140"/>
  <c r="R67" i="140"/>
  <c r="R63" i="140"/>
  <c r="R59" i="140"/>
  <c r="R55" i="140"/>
  <c r="R51" i="140"/>
  <c r="R72" i="140"/>
  <c r="R68" i="140"/>
  <c r="R64" i="140"/>
  <c r="R60" i="140"/>
  <c r="R56" i="140"/>
  <c r="R52" i="140"/>
  <c r="R25" i="140"/>
  <c r="R42" i="140"/>
  <c r="R34" i="140"/>
  <c r="R32" i="140"/>
  <c r="R30" i="140"/>
  <c r="R28" i="140"/>
  <c r="R26" i="140"/>
  <c r="R74" i="141"/>
  <c r="R43" i="141"/>
  <c r="R34" i="141"/>
  <c r="R26" i="141"/>
  <c r="R17" i="141"/>
  <c r="R39" i="140"/>
  <c r="R74" i="140"/>
  <c r="R43" i="140"/>
  <c r="R48" i="140"/>
  <c r="R18" i="140"/>
  <c r="R16" i="140"/>
  <c r="R13" i="140"/>
  <c r="R72" i="141"/>
  <c r="R46" i="141"/>
  <c r="R42" i="141"/>
  <c r="R39" i="141"/>
  <c r="R33" i="141"/>
  <c r="R29" i="141"/>
  <c r="R36" i="140"/>
  <c r="R68" i="141"/>
  <c r="R60" i="141"/>
  <c r="R9" i="140"/>
  <c r="R14" i="141"/>
  <c r="R10" i="140"/>
  <c r="R9" i="141"/>
  <c r="R45" i="140"/>
  <c r="R41" i="140"/>
  <c r="R37" i="140"/>
  <c r="R35" i="140"/>
  <c r="R24" i="140"/>
  <c r="R20" i="140"/>
  <c r="R12" i="140"/>
  <c r="R8" i="140"/>
  <c r="R70" i="141"/>
  <c r="R66" i="141"/>
  <c r="R62" i="141"/>
  <c r="R58" i="141"/>
  <c r="R56" i="141"/>
  <c r="R54" i="141"/>
  <c r="R52" i="141"/>
  <c r="R38" i="141"/>
  <c r="R30" i="141"/>
  <c r="R16" i="141"/>
  <c r="R12" i="141"/>
  <c r="R8" i="141"/>
  <c r="R75" i="141"/>
  <c r="R67" i="141"/>
  <c r="R59" i="141"/>
  <c r="R51" i="141"/>
  <c r="R48" i="141"/>
  <c r="R36" i="141"/>
  <c r="R28" i="141"/>
  <c r="R23" i="141"/>
  <c r="I76" i="141"/>
  <c r="I82" i="141"/>
  <c r="K7" i="141"/>
  <c r="R19" i="141"/>
  <c r="R15" i="141"/>
  <c r="R20" i="141"/>
  <c r="R75" i="140"/>
  <c r="R73" i="140"/>
  <c r="R69" i="140"/>
  <c r="R65" i="140"/>
  <c r="R61" i="140"/>
  <c r="R57" i="140"/>
  <c r="R53" i="140"/>
  <c r="R70" i="140"/>
  <c r="R66" i="140"/>
  <c r="R62" i="140"/>
  <c r="R58" i="140"/>
  <c r="R54" i="140"/>
  <c r="R50" i="140"/>
  <c r="R49" i="140"/>
  <c r="I76" i="140"/>
  <c r="I82" i="140"/>
  <c r="K7" i="140"/>
  <c r="R46" i="140"/>
  <c r="R38" i="140"/>
  <c r="R31" i="140"/>
  <c r="R29" i="140"/>
  <c r="R27" i="140"/>
  <c r="R23" i="140"/>
  <c r="R19" i="140"/>
  <c r="R15" i="140"/>
  <c r="R11" i="140"/>
  <c r="R50" i="141"/>
  <c r="R35" i="141"/>
  <c r="R27" i="141"/>
  <c r="R18" i="141"/>
  <c r="R22" i="140"/>
  <c r="R44" i="140"/>
  <c r="R47" i="140"/>
  <c r="R21" i="140"/>
  <c r="R17" i="140"/>
  <c r="R14" i="140"/>
  <c r="R47" i="141"/>
  <c r="R45" i="141"/>
  <c r="R41" i="141"/>
  <c r="R37" i="141"/>
  <c r="R31" i="141"/>
  <c r="R25" i="141"/>
  <c r="R40" i="140"/>
  <c r="R33" i="140"/>
  <c r="R64" i="141"/>
  <c r="R10" i="141"/>
  <c r="R13" i="141"/>
  <c r="R49" i="141"/>
  <c r="L7" i="140"/>
  <c r="K76" i="140"/>
  <c r="K82" i="140"/>
  <c r="L7" i="141"/>
  <c r="K76" i="141"/>
  <c r="K82" i="141"/>
  <c r="L76" i="141"/>
  <c r="L82" i="141"/>
  <c r="N7" i="141"/>
  <c r="N7" i="140"/>
  <c r="L76" i="140"/>
  <c r="L82" i="140"/>
  <c r="R7" i="141"/>
  <c r="R76" i="141"/>
  <c r="R82" i="141"/>
  <c r="N76" i="141"/>
  <c r="N82" i="141"/>
  <c r="N76" i="140"/>
  <c r="N82" i="140"/>
  <c r="R7" i="140"/>
  <c r="R76" i="140"/>
  <c r="R82" i="140"/>
  <c r="X75" i="80"/>
  <c r="X74" i="80"/>
  <c r="X73" i="80"/>
  <c r="X72" i="80"/>
  <c r="X71" i="80"/>
  <c r="X70" i="80"/>
  <c r="X69" i="80"/>
  <c r="X68" i="80"/>
  <c r="X67" i="80"/>
  <c r="X66" i="80"/>
  <c r="X65" i="80"/>
  <c r="X64" i="80"/>
  <c r="X63" i="80"/>
  <c r="X62" i="80"/>
  <c r="X61" i="80"/>
  <c r="X60" i="80"/>
  <c r="X59" i="80"/>
  <c r="X58" i="80"/>
  <c r="X57" i="80"/>
  <c r="X56" i="80"/>
  <c r="X55" i="80"/>
  <c r="X54" i="80"/>
  <c r="X53" i="80"/>
  <c r="X52" i="80"/>
  <c r="X51" i="80"/>
  <c r="X50" i="80"/>
  <c r="X49" i="80"/>
  <c r="X48" i="80"/>
  <c r="X47" i="80"/>
  <c r="X46" i="80"/>
  <c r="X45" i="80"/>
  <c r="X44" i="80"/>
  <c r="X43" i="80"/>
  <c r="X42" i="80"/>
  <c r="X41" i="80"/>
  <c r="X40" i="80"/>
  <c r="X39" i="80"/>
  <c r="X38" i="80"/>
  <c r="X37" i="80"/>
  <c r="X36" i="80"/>
  <c r="X35" i="80"/>
  <c r="X34" i="80"/>
  <c r="X33" i="80"/>
  <c r="X32" i="80"/>
  <c r="X31" i="80"/>
  <c r="X30" i="80"/>
  <c r="X29" i="80"/>
  <c r="X28" i="80"/>
  <c r="X27" i="80"/>
  <c r="X26" i="80"/>
  <c r="X25" i="80"/>
  <c r="X24" i="80"/>
  <c r="X23" i="80"/>
  <c r="X22" i="80"/>
  <c r="X21" i="80"/>
  <c r="X20" i="80"/>
  <c r="X19" i="80"/>
  <c r="X18" i="80"/>
  <c r="X17" i="80"/>
  <c r="X16" i="80"/>
  <c r="X15" i="80"/>
  <c r="X14" i="80"/>
  <c r="X13" i="80"/>
  <c r="X12" i="80"/>
  <c r="X11" i="80"/>
  <c r="X10" i="80"/>
  <c r="X9" i="80"/>
  <c r="X8" i="80"/>
  <c r="X7" i="80"/>
  <c r="X75" i="76"/>
  <c r="X74" i="76"/>
  <c r="X73" i="76"/>
  <c r="X72" i="76"/>
  <c r="X71" i="76"/>
  <c r="X70" i="76"/>
  <c r="X69" i="76"/>
  <c r="X68" i="76"/>
  <c r="X67" i="76"/>
  <c r="X66" i="76"/>
  <c r="X65" i="76"/>
  <c r="X64" i="76"/>
  <c r="X63" i="76"/>
  <c r="X62" i="76"/>
  <c r="X61" i="76"/>
  <c r="X60" i="76"/>
  <c r="X59" i="76"/>
  <c r="X58" i="76"/>
  <c r="X57" i="76"/>
  <c r="X56" i="76"/>
  <c r="X55" i="76"/>
  <c r="X54" i="76"/>
  <c r="X53" i="76"/>
  <c r="X52" i="76"/>
  <c r="X51" i="76"/>
  <c r="X50" i="76"/>
  <c r="X49" i="76"/>
  <c r="X48" i="76"/>
  <c r="X47" i="76"/>
  <c r="X46" i="76"/>
  <c r="X45" i="76"/>
  <c r="X44" i="76"/>
  <c r="X43" i="76"/>
  <c r="X42" i="76"/>
  <c r="X41" i="76"/>
  <c r="X40" i="76"/>
  <c r="X39" i="76"/>
  <c r="X38" i="76"/>
  <c r="X37" i="76"/>
  <c r="X36" i="76"/>
  <c r="X35" i="76"/>
  <c r="X34" i="76"/>
  <c r="X33" i="76"/>
  <c r="X32" i="76"/>
  <c r="X31" i="76"/>
  <c r="X30" i="76"/>
  <c r="X29" i="76"/>
  <c r="X28" i="76"/>
  <c r="X27" i="76"/>
  <c r="X26" i="76"/>
  <c r="X25" i="76"/>
  <c r="X24" i="76"/>
  <c r="X23" i="76"/>
  <c r="X22" i="76"/>
  <c r="X21" i="76"/>
  <c r="X20" i="76"/>
  <c r="X19" i="76"/>
  <c r="X18" i="76"/>
  <c r="X17" i="76"/>
  <c r="X16" i="76"/>
  <c r="X15" i="76"/>
  <c r="X14" i="76"/>
  <c r="X13" i="76"/>
  <c r="X12" i="76"/>
  <c r="X11" i="76"/>
  <c r="X10" i="76"/>
  <c r="X9" i="76"/>
  <c r="X8" i="76"/>
  <c r="X7" i="76"/>
  <c r="N14" i="31"/>
  <c r="M14" i="31"/>
  <c r="N16" i="31"/>
  <c r="M16" i="31"/>
  <c r="N20" i="31"/>
  <c r="M20" i="31"/>
  <c r="N22" i="31"/>
  <c r="M22" i="31"/>
  <c r="N24" i="31"/>
  <c r="M24" i="31"/>
  <c r="N28" i="31"/>
  <c r="M28" i="31"/>
  <c r="N30" i="31"/>
  <c r="M30" i="31"/>
  <c r="N32" i="31"/>
  <c r="M32" i="31"/>
  <c r="N34" i="31"/>
  <c r="M34" i="31"/>
  <c r="N38" i="31"/>
  <c r="M38" i="31"/>
  <c r="N46" i="31"/>
  <c r="M46" i="31"/>
  <c r="N50" i="31"/>
  <c r="M50" i="31"/>
  <c r="N54" i="31"/>
  <c r="M54" i="31"/>
  <c r="N58" i="31"/>
  <c r="M58" i="31"/>
  <c r="N62" i="31"/>
  <c r="M62" i="31"/>
  <c r="N66" i="31"/>
  <c r="M66" i="31"/>
  <c r="N70" i="31"/>
  <c r="M70" i="31"/>
  <c r="AC73" i="31"/>
  <c r="AC74" i="31"/>
  <c r="M15" i="31"/>
  <c r="N15" i="31"/>
  <c r="M21" i="31"/>
  <c r="N21" i="31"/>
  <c r="M27" i="31"/>
  <c r="N27" i="31"/>
  <c r="M31" i="31"/>
  <c r="N31" i="31"/>
  <c r="N41" i="31"/>
  <c r="M41" i="31"/>
  <c r="M45" i="31"/>
  <c r="N45" i="31"/>
  <c r="M47" i="31"/>
  <c r="N47" i="31"/>
  <c r="M49" i="31"/>
  <c r="N49" i="31"/>
  <c r="M53" i="31"/>
  <c r="N53" i="31"/>
  <c r="O53" i="31"/>
  <c r="P53" i="31"/>
  <c r="R53" i="31"/>
  <c r="U53" i="31"/>
  <c r="Y53" i="31"/>
  <c r="M57" i="31"/>
  <c r="N57" i="31"/>
  <c r="M61" i="31"/>
  <c r="N61" i="31"/>
  <c r="O61" i="31"/>
  <c r="P61" i="31"/>
  <c r="R61" i="31"/>
  <c r="U61" i="31"/>
  <c r="Y61" i="31"/>
  <c r="M65" i="31"/>
  <c r="N65" i="31"/>
  <c r="M67" i="31"/>
  <c r="N67" i="31"/>
  <c r="O67" i="31"/>
  <c r="P67" i="31"/>
  <c r="R67" i="31"/>
  <c r="U67" i="31"/>
  <c r="Y67" i="31"/>
  <c r="M69" i="31"/>
  <c r="N69" i="31"/>
  <c r="M71" i="31"/>
  <c r="N71" i="31"/>
  <c r="O71" i="31"/>
  <c r="P71" i="31"/>
  <c r="R71" i="31"/>
  <c r="U71" i="31"/>
  <c r="Y71" i="31"/>
  <c r="AE12" i="46"/>
  <c r="AE17" i="46"/>
  <c r="X76" i="76"/>
  <c r="X76" i="80"/>
  <c r="J7" i="152"/>
  <c r="J7" i="148"/>
  <c r="J7" i="153"/>
  <c r="J7" i="151"/>
  <c r="J7" i="149"/>
  <c r="J7" i="147"/>
  <c r="J7" i="146"/>
  <c r="J7" i="145"/>
  <c r="J7" i="129"/>
  <c r="J7" i="128"/>
  <c r="J7" i="126"/>
  <c r="J7" i="144"/>
  <c r="J7" i="131"/>
  <c r="J7" i="127"/>
  <c r="J7" i="125"/>
  <c r="J7" i="120"/>
  <c r="J7" i="119"/>
  <c r="J7" i="117"/>
  <c r="J7" i="116"/>
  <c r="J7" i="118"/>
  <c r="J8" i="153"/>
  <c r="J8" i="151"/>
  <c r="J8" i="149"/>
  <c r="J8" i="147"/>
  <c r="J8" i="152"/>
  <c r="J8" i="148"/>
  <c r="J8" i="145"/>
  <c r="J8" i="144"/>
  <c r="J8" i="131"/>
  <c r="J8" i="125"/>
  <c r="J8" i="120"/>
  <c r="J8" i="146"/>
  <c r="J8" i="129"/>
  <c r="J8" i="128"/>
  <c r="J8" i="127"/>
  <c r="J8" i="126"/>
  <c r="J8" i="118"/>
  <c r="J8" i="119"/>
  <c r="J8" i="117"/>
  <c r="J8" i="116"/>
  <c r="J9" i="152"/>
  <c r="J9" i="148"/>
  <c r="J9" i="153"/>
  <c r="J9" i="151"/>
  <c r="J9" i="149"/>
  <c r="J9" i="147"/>
  <c r="J9" i="146"/>
  <c r="J9" i="145"/>
  <c r="J9" i="131"/>
  <c r="J9" i="129"/>
  <c r="J9" i="128"/>
  <c r="J9" i="127"/>
  <c r="J9" i="126"/>
  <c r="J9" i="120"/>
  <c r="J9" i="144"/>
  <c r="J9" i="125"/>
  <c r="J9" i="119"/>
  <c r="J9" i="117"/>
  <c r="J9" i="118"/>
  <c r="J9" i="116"/>
  <c r="J10" i="153"/>
  <c r="J10" i="151"/>
  <c r="J10" i="149"/>
  <c r="J10" i="147"/>
  <c r="J10" i="152"/>
  <c r="J10" i="148"/>
  <c r="J10" i="145"/>
  <c r="J10" i="144"/>
  <c r="J10" i="146"/>
  <c r="J10" i="131"/>
  <c r="J10" i="129"/>
  <c r="J10" i="128"/>
  <c r="J10" i="127"/>
  <c r="J10" i="126"/>
  <c r="J10" i="125"/>
  <c r="J10" i="120"/>
  <c r="J10" i="118"/>
  <c r="J10" i="117"/>
  <c r="J10" i="116"/>
  <c r="J10" i="119"/>
  <c r="J11" i="152"/>
  <c r="J11" i="148"/>
  <c r="J11" i="153"/>
  <c r="J11" i="151"/>
  <c r="J11" i="149"/>
  <c r="J11" i="147"/>
  <c r="J11" i="146"/>
  <c r="J11" i="145"/>
  <c r="J11" i="131"/>
  <c r="J11" i="129"/>
  <c r="J11" i="127"/>
  <c r="J11" i="125"/>
  <c r="J11" i="120"/>
  <c r="J11" i="144"/>
  <c r="J11" i="128"/>
  <c r="J11" i="126"/>
  <c r="J11" i="119"/>
  <c r="J11" i="118"/>
  <c r="J11" i="117"/>
  <c r="J11" i="116"/>
  <c r="J12" i="153"/>
  <c r="J12" i="151"/>
  <c r="J12" i="149"/>
  <c r="J12" i="147"/>
  <c r="J12" i="152"/>
  <c r="J12" i="148"/>
  <c r="J12" i="145"/>
  <c r="J12" i="144"/>
  <c r="J12" i="128"/>
  <c r="J12" i="126"/>
  <c r="J12" i="146"/>
  <c r="J12" i="131"/>
  <c r="J12" i="129"/>
  <c r="J12" i="127"/>
  <c r="J12" i="125"/>
  <c r="J12" i="120"/>
  <c r="J12" i="118"/>
  <c r="J12" i="117"/>
  <c r="J12" i="116"/>
  <c r="J12" i="119"/>
  <c r="J13" i="152"/>
  <c r="J13" i="148"/>
  <c r="J13" i="153"/>
  <c r="J13" i="151"/>
  <c r="J13" i="149"/>
  <c r="J13" i="147"/>
  <c r="J13" i="146"/>
  <c r="J13" i="145"/>
  <c r="J13" i="131"/>
  <c r="J13" i="127"/>
  <c r="J13" i="125"/>
  <c r="J13" i="120"/>
  <c r="J13" i="144"/>
  <c r="J13" i="129"/>
  <c r="J13" i="128"/>
  <c r="J13" i="126"/>
  <c r="J13" i="119"/>
  <c r="J13" i="118"/>
  <c r="J13" i="117"/>
  <c r="J13" i="116"/>
  <c r="J14" i="153"/>
  <c r="J14" i="151"/>
  <c r="J14" i="149"/>
  <c r="J14" i="147"/>
  <c r="J14" i="152"/>
  <c r="J14" i="148"/>
  <c r="J14" i="145"/>
  <c r="J14" i="144"/>
  <c r="J14" i="129"/>
  <c r="J14" i="128"/>
  <c r="J14" i="126"/>
  <c r="J14" i="146"/>
  <c r="J14" i="131"/>
  <c r="J14" i="127"/>
  <c r="J14" i="125"/>
  <c r="J14" i="120"/>
  <c r="J14" i="119"/>
  <c r="J14" i="117"/>
  <c r="J14" i="116"/>
  <c r="J14" i="118"/>
  <c r="J15" i="152"/>
  <c r="J15" i="148"/>
  <c r="J15" i="153"/>
  <c r="J15" i="151"/>
  <c r="J15" i="149"/>
  <c r="J15" i="147"/>
  <c r="J15" i="146"/>
  <c r="J15" i="145"/>
  <c r="J15" i="131"/>
  <c r="J15" i="127"/>
  <c r="J15" i="125"/>
  <c r="J15" i="120"/>
  <c r="J15" i="144"/>
  <c r="J15" i="129"/>
  <c r="J15" i="128"/>
  <c r="J15" i="126"/>
  <c r="J15" i="118"/>
  <c r="J15" i="119"/>
  <c r="J15" i="117"/>
  <c r="J15" i="116"/>
  <c r="J16" i="153"/>
  <c r="J16" i="151"/>
  <c r="J16" i="149"/>
  <c r="J16" i="147"/>
  <c r="J16" i="152"/>
  <c r="J16" i="148"/>
  <c r="J16" i="145"/>
  <c r="J16" i="144"/>
  <c r="J16" i="129"/>
  <c r="J16" i="128"/>
  <c r="J16" i="127"/>
  <c r="J16" i="126"/>
  <c r="J16" i="146"/>
  <c r="J16" i="131"/>
  <c r="J16" i="125"/>
  <c r="J16" i="120"/>
  <c r="J16" i="119"/>
  <c r="J16" i="117"/>
  <c r="J16" i="116"/>
  <c r="J16" i="118"/>
  <c r="J17" i="152"/>
  <c r="J17" i="148"/>
  <c r="J17" i="153"/>
  <c r="J17" i="151"/>
  <c r="J17" i="149"/>
  <c r="J17" i="147"/>
  <c r="J17" i="146"/>
  <c r="J17" i="145"/>
  <c r="J17" i="125"/>
  <c r="J17" i="144"/>
  <c r="J17" i="131"/>
  <c r="J17" i="129"/>
  <c r="J17" i="128"/>
  <c r="J17" i="127"/>
  <c r="J17" i="126"/>
  <c r="J17" i="120"/>
  <c r="J17" i="118"/>
  <c r="J17" i="116"/>
  <c r="J17" i="119"/>
  <c r="J17" i="117"/>
  <c r="J18" i="153"/>
  <c r="J18" i="151"/>
  <c r="J18" i="149"/>
  <c r="J18" i="147"/>
  <c r="J18" i="152"/>
  <c r="J18" i="148"/>
  <c r="J18" i="146"/>
  <c r="J18" i="145"/>
  <c r="J18" i="144"/>
  <c r="J18" i="131"/>
  <c r="J18" i="129"/>
  <c r="J18" i="128"/>
  <c r="J18" i="127"/>
  <c r="J18" i="126"/>
  <c r="J18" i="120"/>
  <c r="J18" i="125"/>
  <c r="J18" i="119"/>
  <c r="J18" i="118"/>
  <c r="J18" i="117"/>
  <c r="J18" i="116"/>
  <c r="J19" i="152"/>
  <c r="J19" i="148"/>
  <c r="J19" i="146"/>
  <c r="J19" i="153"/>
  <c r="J19" i="151"/>
  <c r="J19" i="149"/>
  <c r="J19" i="147"/>
  <c r="J19" i="145"/>
  <c r="J19" i="128"/>
  <c r="J19" i="126"/>
  <c r="J19" i="125"/>
  <c r="J19" i="144"/>
  <c r="J19" i="131"/>
  <c r="J19" i="129"/>
  <c r="J19" i="127"/>
  <c r="J19" i="120"/>
  <c r="J19" i="118"/>
  <c r="J19" i="117"/>
  <c r="J19" i="116"/>
  <c r="J19" i="119"/>
  <c r="J20" i="153"/>
  <c r="J20" i="151"/>
  <c r="J20" i="149"/>
  <c r="J20" i="147"/>
  <c r="J20" i="152"/>
  <c r="J20" i="148"/>
  <c r="J20" i="146"/>
  <c r="J20" i="145"/>
  <c r="J20" i="144"/>
  <c r="J20" i="131"/>
  <c r="J20" i="129"/>
  <c r="J20" i="127"/>
  <c r="J20" i="120"/>
  <c r="J20" i="128"/>
  <c r="J20" i="126"/>
  <c r="J20" i="125"/>
  <c r="J20" i="119"/>
  <c r="J20" i="118"/>
  <c r="J20" i="117"/>
  <c r="J20" i="116"/>
  <c r="J21" i="152"/>
  <c r="J21" i="148"/>
  <c r="J21" i="146"/>
  <c r="J21" i="153"/>
  <c r="J21" i="151"/>
  <c r="J21" i="149"/>
  <c r="J21" i="147"/>
  <c r="J21" i="145"/>
  <c r="J21" i="129"/>
  <c r="J21" i="128"/>
  <c r="J21" i="126"/>
  <c r="J21" i="125"/>
  <c r="J21" i="144"/>
  <c r="J21" i="127"/>
  <c r="J21" i="120"/>
  <c r="J21" i="117"/>
  <c r="J21" i="116"/>
  <c r="J21" i="119"/>
  <c r="J21" i="118"/>
  <c r="J22" i="153"/>
  <c r="J22" i="151"/>
  <c r="J22" i="149"/>
  <c r="J22" i="147"/>
  <c r="J22" i="152"/>
  <c r="J22" i="148"/>
  <c r="J22" i="146"/>
  <c r="J22" i="145"/>
  <c r="J22" i="144"/>
  <c r="J22" i="131"/>
  <c r="J22" i="127"/>
  <c r="J22" i="120"/>
  <c r="J22" i="129"/>
  <c r="J22" i="128"/>
  <c r="J22" i="126"/>
  <c r="J22" i="125"/>
  <c r="J22" i="118"/>
  <c r="J22" i="119"/>
  <c r="J22" i="117"/>
  <c r="J22" i="116"/>
  <c r="J23" i="152"/>
  <c r="J23" i="148"/>
  <c r="J23" i="146"/>
  <c r="J23" i="153"/>
  <c r="J23" i="151"/>
  <c r="J23" i="149"/>
  <c r="J23" i="147"/>
  <c r="J23" i="145"/>
  <c r="J23" i="129"/>
  <c r="J23" i="128"/>
  <c r="J23" i="126"/>
  <c r="J23" i="125"/>
  <c r="J23" i="144"/>
  <c r="J23" i="131"/>
  <c r="J23" i="127"/>
  <c r="J23" i="120"/>
  <c r="J23" i="119"/>
  <c r="J23" i="117"/>
  <c r="J23" i="116"/>
  <c r="J23" i="118"/>
  <c r="J24" i="153"/>
  <c r="J24" i="151"/>
  <c r="J24" i="149"/>
  <c r="J24" i="147"/>
  <c r="J24" i="152"/>
  <c r="J24" i="148"/>
  <c r="J24" i="146"/>
  <c r="J24" i="145"/>
  <c r="J24" i="144"/>
  <c r="J24" i="131"/>
  <c r="J24" i="125"/>
  <c r="J24" i="120"/>
  <c r="J24" i="129"/>
  <c r="J24" i="128"/>
  <c r="J24" i="127"/>
  <c r="J24" i="126"/>
  <c r="J24" i="118"/>
  <c r="J24" i="119"/>
  <c r="J24" i="117"/>
  <c r="J24" i="116"/>
  <c r="J25" i="152"/>
  <c r="J25" i="148"/>
  <c r="J25" i="146"/>
  <c r="J25" i="153"/>
  <c r="J25" i="151"/>
  <c r="J25" i="149"/>
  <c r="J25" i="147"/>
  <c r="J25" i="145"/>
  <c r="J25" i="131"/>
  <c r="J25" i="129"/>
  <c r="J25" i="128"/>
  <c r="J25" i="127"/>
  <c r="J25" i="126"/>
  <c r="J25" i="120"/>
  <c r="J25" i="144"/>
  <c r="J25" i="125"/>
  <c r="J25" i="119"/>
  <c r="J25" i="117"/>
  <c r="J25" i="118"/>
  <c r="J25" i="116"/>
  <c r="J26" i="153"/>
  <c r="J26" i="151"/>
  <c r="J26" i="149"/>
  <c r="J26" i="147"/>
  <c r="J26" i="152"/>
  <c r="J26" i="148"/>
  <c r="J26" i="146"/>
  <c r="J26" i="145"/>
  <c r="J26" i="144"/>
  <c r="J26" i="125"/>
  <c r="J26" i="131"/>
  <c r="J26" i="129"/>
  <c r="J26" i="128"/>
  <c r="J26" i="127"/>
  <c r="J26" i="126"/>
  <c r="J26" i="120"/>
  <c r="J26" i="119"/>
  <c r="J26" i="118"/>
  <c r="J26" i="117"/>
  <c r="J26" i="116"/>
  <c r="J27" i="152"/>
  <c r="J27" i="148"/>
  <c r="J27" i="146"/>
  <c r="J27" i="153"/>
  <c r="J27" i="151"/>
  <c r="J27" i="149"/>
  <c r="J27" i="147"/>
  <c r="J27" i="145"/>
  <c r="J27" i="131"/>
  <c r="J27" i="129"/>
  <c r="J27" i="127"/>
  <c r="J27" i="120"/>
  <c r="J27" i="119"/>
  <c r="J27" i="144"/>
  <c r="J27" i="128"/>
  <c r="J27" i="126"/>
  <c r="J27" i="125"/>
  <c r="J27" i="118"/>
  <c r="J27" i="117"/>
  <c r="J27" i="116"/>
  <c r="J28" i="153"/>
  <c r="J28" i="151"/>
  <c r="J28" i="149"/>
  <c r="J28" i="147"/>
  <c r="J28" i="152"/>
  <c r="J28" i="148"/>
  <c r="J28" i="146"/>
  <c r="J28" i="145"/>
  <c r="J28" i="144"/>
  <c r="J28" i="128"/>
  <c r="J28" i="126"/>
  <c r="J28" i="125"/>
  <c r="J28" i="131"/>
  <c r="J28" i="129"/>
  <c r="J28" i="127"/>
  <c r="J28" i="120"/>
  <c r="J28" i="119"/>
  <c r="J28" i="118"/>
  <c r="J28" i="117"/>
  <c r="J28" i="116"/>
  <c r="J29" i="152"/>
  <c r="J29" i="148"/>
  <c r="J29" i="146"/>
  <c r="J29" i="153"/>
  <c r="J29" i="151"/>
  <c r="J29" i="149"/>
  <c r="J29" i="147"/>
  <c r="J29" i="145"/>
  <c r="J29" i="131"/>
  <c r="J29" i="127"/>
  <c r="J29" i="120"/>
  <c r="J29" i="119"/>
  <c r="J29" i="144"/>
  <c r="J29" i="129"/>
  <c r="J29" i="128"/>
  <c r="J29" i="126"/>
  <c r="J29" i="125"/>
  <c r="J29" i="118"/>
  <c r="J29" i="117"/>
  <c r="J29" i="116"/>
  <c r="J30" i="153"/>
  <c r="J30" i="151"/>
  <c r="J30" i="149"/>
  <c r="J30" i="147"/>
  <c r="J30" i="152"/>
  <c r="J30" i="148"/>
  <c r="J30" i="146"/>
  <c r="J30" i="145"/>
  <c r="J30" i="144"/>
  <c r="J30" i="129"/>
  <c r="J30" i="126"/>
  <c r="J30" i="125"/>
  <c r="J30" i="119"/>
  <c r="J30" i="131"/>
  <c r="J30" i="128"/>
  <c r="J30" i="127"/>
  <c r="J30" i="120"/>
  <c r="J30" i="117"/>
  <c r="J30" i="116"/>
  <c r="J30" i="118"/>
  <c r="J31" i="152"/>
  <c r="J31" i="148"/>
  <c r="J31" i="146"/>
  <c r="J31" i="153"/>
  <c r="J31" i="151"/>
  <c r="J31" i="149"/>
  <c r="J31" i="147"/>
  <c r="J31" i="145"/>
  <c r="J31" i="131"/>
  <c r="J31" i="128"/>
  <c r="J31" i="127"/>
  <c r="J31" i="120"/>
  <c r="J31" i="144"/>
  <c r="J31" i="129"/>
  <c r="J31" i="126"/>
  <c r="J31" i="125"/>
  <c r="J31" i="119"/>
  <c r="J31" i="118"/>
  <c r="J31" i="117"/>
  <c r="J31" i="116"/>
  <c r="J32" i="153"/>
  <c r="J32" i="151"/>
  <c r="J32" i="149"/>
  <c r="J32" i="147"/>
  <c r="J32" i="152"/>
  <c r="J32" i="148"/>
  <c r="J32" i="146"/>
  <c r="J32" i="145"/>
  <c r="J32" i="144"/>
  <c r="J32" i="129"/>
  <c r="J32" i="127"/>
  <c r="J32" i="126"/>
  <c r="J32" i="119"/>
  <c r="J32" i="131"/>
  <c r="J32" i="128"/>
  <c r="J32" i="125"/>
  <c r="J32" i="120"/>
  <c r="J32" i="117"/>
  <c r="J32" i="116"/>
  <c r="J32" i="118"/>
  <c r="J33" i="152"/>
  <c r="J33" i="148"/>
  <c r="J33" i="146"/>
  <c r="J33" i="153"/>
  <c r="J33" i="151"/>
  <c r="J33" i="149"/>
  <c r="J33" i="147"/>
  <c r="J33" i="145"/>
  <c r="J33" i="128"/>
  <c r="J33" i="125"/>
  <c r="J33" i="144"/>
  <c r="J33" i="131"/>
  <c r="J33" i="129"/>
  <c r="J33" i="127"/>
  <c r="J33" i="126"/>
  <c r="J33" i="120"/>
  <c r="J33" i="119"/>
  <c r="J33" i="118"/>
  <c r="J33" i="116"/>
  <c r="J33" i="117"/>
  <c r="J34" i="153"/>
  <c r="J34" i="151"/>
  <c r="J34" i="149"/>
  <c r="J34" i="147"/>
  <c r="J34" i="152"/>
  <c r="J34" i="148"/>
  <c r="J34" i="146"/>
  <c r="J34" i="145"/>
  <c r="J34" i="144"/>
  <c r="J34" i="131"/>
  <c r="J34" i="129"/>
  <c r="J34" i="127"/>
  <c r="J34" i="126"/>
  <c r="J34" i="120"/>
  <c r="J34" i="119"/>
  <c r="J34" i="128"/>
  <c r="J34" i="125"/>
  <c r="J34" i="118"/>
  <c r="J34" i="117"/>
  <c r="J34" i="116"/>
  <c r="J35" i="152"/>
  <c r="J35" i="148"/>
  <c r="J35" i="146"/>
  <c r="J35" i="153"/>
  <c r="J35" i="151"/>
  <c r="J35" i="149"/>
  <c r="J35" i="147"/>
  <c r="J35" i="145"/>
  <c r="J35" i="128"/>
  <c r="J35" i="126"/>
  <c r="J35" i="125"/>
  <c r="J35" i="144"/>
  <c r="J35" i="131"/>
  <c r="J35" i="129"/>
  <c r="J35" i="127"/>
  <c r="J35" i="120"/>
  <c r="J35" i="119"/>
  <c r="J35" i="118"/>
  <c r="J35" i="117"/>
  <c r="J35" i="116"/>
  <c r="J36" i="153"/>
  <c r="J36" i="151"/>
  <c r="J36" i="149"/>
  <c r="J36" i="147"/>
  <c r="J36" i="152"/>
  <c r="J36" i="148"/>
  <c r="J36" i="146"/>
  <c r="J36" i="145"/>
  <c r="J36" i="144"/>
  <c r="J36" i="131"/>
  <c r="J36" i="129"/>
  <c r="J36" i="127"/>
  <c r="J36" i="120"/>
  <c r="J36" i="119"/>
  <c r="J36" i="128"/>
  <c r="J36" i="126"/>
  <c r="J36" i="125"/>
  <c r="J36" i="118"/>
  <c r="J36" i="117"/>
  <c r="J36" i="116"/>
  <c r="J37" i="152"/>
  <c r="J37" i="148"/>
  <c r="J37" i="146"/>
  <c r="J37" i="153"/>
  <c r="J37" i="151"/>
  <c r="J37" i="149"/>
  <c r="J37" i="147"/>
  <c r="J37" i="145"/>
  <c r="J37" i="129"/>
  <c r="J37" i="128"/>
  <c r="J37" i="126"/>
  <c r="J37" i="125"/>
  <c r="J37" i="144"/>
  <c r="J37" i="131"/>
  <c r="J37" i="127"/>
  <c r="J37" i="120"/>
  <c r="J37" i="119"/>
  <c r="J37" i="117"/>
  <c r="J37" i="116"/>
  <c r="J37" i="118"/>
  <c r="J38" i="153"/>
  <c r="J38" i="151"/>
  <c r="J38" i="149"/>
  <c r="J38" i="147"/>
  <c r="J38" i="152"/>
  <c r="J38" i="148"/>
  <c r="J38" i="146"/>
  <c r="J38" i="145"/>
  <c r="J38" i="144"/>
  <c r="J38" i="131"/>
  <c r="J38" i="128"/>
  <c r="J38" i="127"/>
  <c r="J38" i="120"/>
  <c r="J38" i="129"/>
  <c r="J38" i="126"/>
  <c r="J38" i="125"/>
  <c r="J38" i="119"/>
  <c r="J38" i="118"/>
  <c r="J38" i="117"/>
  <c r="J38" i="116"/>
  <c r="J39" i="152"/>
  <c r="J39" i="148"/>
  <c r="J39" i="146"/>
  <c r="J39" i="153"/>
  <c r="J39" i="151"/>
  <c r="J39" i="149"/>
  <c r="J39" i="147"/>
  <c r="J39" i="145"/>
  <c r="J39" i="129"/>
  <c r="J39" i="126"/>
  <c r="J39" i="125"/>
  <c r="J39" i="119"/>
  <c r="J39" i="144"/>
  <c r="J39" i="131"/>
  <c r="J39" i="128"/>
  <c r="J39" i="127"/>
  <c r="J39" i="120"/>
  <c r="J39" i="117"/>
  <c r="J39" i="116"/>
  <c r="J39" i="118"/>
  <c r="J40" i="153"/>
  <c r="J40" i="151"/>
  <c r="J40" i="149"/>
  <c r="J40" i="147"/>
  <c r="J40" i="152"/>
  <c r="J40" i="148"/>
  <c r="J40" i="146"/>
  <c r="J40" i="145"/>
  <c r="J40" i="144"/>
  <c r="J40" i="131"/>
  <c r="J40" i="128"/>
  <c r="J40" i="125"/>
  <c r="J40" i="120"/>
  <c r="J40" i="129"/>
  <c r="J40" i="127"/>
  <c r="J40" i="126"/>
  <c r="J40" i="119"/>
  <c r="J40" i="118"/>
  <c r="J40" i="117"/>
  <c r="J40" i="116"/>
  <c r="J41" i="152"/>
  <c r="J41" i="148"/>
  <c r="J41" i="146"/>
  <c r="J41" i="153"/>
  <c r="J41" i="151"/>
  <c r="J41" i="149"/>
  <c r="J41" i="147"/>
  <c r="J41" i="145"/>
  <c r="J41" i="131"/>
  <c r="J41" i="129"/>
  <c r="J41" i="127"/>
  <c r="J41" i="126"/>
  <c r="J41" i="120"/>
  <c r="J41" i="119"/>
  <c r="J41" i="144"/>
  <c r="J41" i="128"/>
  <c r="J41" i="125"/>
  <c r="J41" i="117"/>
  <c r="J41" i="118"/>
  <c r="J41" i="116"/>
  <c r="J42" i="153"/>
  <c r="J42" i="151"/>
  <c r="J42" i="149"/>
  <c r="J42" i="147"/>
  <c r="J42" i="152"/>
  <c r="J42" i="148"/>
  <c r="J42" i="146"/>
  <c r="J42" i="145"/>
  <c r="J42" i="144"/>
  <c r="J42" i="128"/>
  <c r="J42" i="125"/>
  <c r="J42" i="131"/>
  <c r="J42" i="129"/>
  <c r="J42" i="127"/>
  <c r="J42" i="126"/>
  <c r="J42" i="120"/>
  <c r="J42" i="119"/>
  <c r="J42" i="118"/>
  <c r="J42" i="117"/>
  <c r="J42" i="116"/>
  <c r="J43" i="152"/>
  <c r="J43" i="148"/>
  <c r="J43" i="146"/>
  <c r="J43" i="153"/>
  <c r="J43" i="151"/>
  <c r="J43" i="149"/>
  <c r="J43" i="147"/>
  <c r="J43" i="145"/>
  <c r="J43" i="131"/>
  <c r="J43" i="129"/>
  <c r="J43" i="127"/>
  <c r="J43" i="120"/>
  <c r="J43" i="119"/>
  <c r="J43" i="144"/>
  <c r="J43" i="128"/>
  <c r="J43" i="126"/>
  <c r="J43" i="125"/>
  <c r="J43" i="118"/>
  <c r="J43" i="117"/>
  <c r="J43" i="116"/>
  <c r="J44" i="153"/>
  <c r="J44" i="151"/>
  <c r="J44" i="149"/>
  <c r="J44" i="147"/>
  <c r="J44" i="152"/>
  <c r="J44" i="148"/>
  <c r="J44" i="146"/>
  <c r="J44" i="145"/>
  <c r="J44" i="144"/>
  <c r="J44" i="128"/>
  <c r="J44" i="126"/>
  <c r="J44" i="125"/>
  <c r="J44" i="131"/>
  <c r="J44" i="129"/>
  <c r="J44" i="127"/>
  <c r="J44" i="120"/>
  <c r="J44" i="119"/>
  <c r="J44" i="118"/>
  <c r="J44" i="117"/>
  <c r="J44" i="116"/>
  <c r="J45" i="152"/>
  <c r="J45" i="148"/>
  <c r="J45" i="146"/>
  <c r="J45" i="153"/>
  <c r="J45" i="151"/>
  <c r="J45" i="149"/>
  <c r="J45" i="147"/>
  <c r="J45" i="145"/>
  <c r="J45" i="131"/>
  <c r="J45" i="127"/>
  <c r="J45" i="120"/>
  <c r="J45" i="119"/>
  <c r="J45" i="144"/>
  <c r="J45" i="129"/>
  <c r="J45" i="128"/>
  <c r="J45" i="126"/>
  <c r="J45" i="125"/>
  <c r="J45" i="118"/>
  <c r="J45" i="117"/>
  <c r="J45" i="116"/>
  <c r="J46" i="153"/>
  <c r="J46" i="151"/>
  <c r="J46" i="149"/>
  <c r="J46" i="147"/>
  <c r="J46" i="152"/>
  <c r="J46" i="148"/>
  <c r="J46" i="146"/>
  <c r="J46" i="145"/>
  <c r="J46" i="144"/>
  <c r="J46" i="129"/>
  <c r="J46" i="126"/>
  <c r="J46" i="125"/>
  <c r="J46" i="119"/>
  <c r="J46" i="131"/>
  <c r="J46" i="128"/>
  <c r="J46" i="127"/>
  <c r="J46" i="120"/>
  <c r="J46" i="117"/>
  <c r="J46" i="116"/>
  <c r="J46" i="118"/>
  <c r="J47" i="152"/>
  <c r="J47" i="148"/>
  <c r="J47" i="146"/>
  <c r="J47" i="153"/>
  <c r="J47" i="151"/>
  <c r="J47" i="149"/>
  <c r="J47" i="147"/>
  <c r="J47" i="131"/>
  <c r="J47" i="128"/>
  <c r="J47" i="127"/>
  <c r="J47" i="120"/>
  <c r="J47" i="145"/>
  <c r="J47" i="144"/>
  <c r="J47" i="129"/>
  <c r="J47" i="126"/>
  <c r="J47" i="125"/>
  <c r="J47" i="119"/>
  <c r="J47" i="118"/>
  <c r="J47" i="117"/>
  <c r="J47" i="116"/>
  <c r="J48" i="153"/>
  <c r="J48" i="151"/>
  <c r="J48" i="149"/>
  <c r="J48" i="147"/>
  <c r="J48" i="152"/>
  <c r="J48" i="148"/>
  <c r="J48" i="146"/>
  <c r="J48" i="145"/>
  <c r="J48" i="144"/>
  <c r="J48" i="129"/>
  <c r="J48" i="127"/>
  <c r="J48" i="126"/>
  <c r="J48" i="119"/>
  <c r="J48" i="131"/>
  <c r="J48" i="128"/>
  <c r="J48" i="125"/>
  <c r="J48" i="120"/>
  <c r="J48" i="117"/>
  <c r="J48" i="116"/>
  <c r="J48" i="118"/>
  <c r="J49" i="152"/>
  <c r="J49" i="148"/>
  <c r="J49" i="146"/>
  <c r="J49" i="153"/>
  <c r="J49" i="151"/>
  <c r="J49" i="149"/>
  <c r="J49" i="147"/>
  <c r="J49" i="128"/>
  <c r="J49" i="125"/>
  <c r="J49" i="145"/>
  <c r="J49" i="144"/>
  <c r="J49" i="131"/>
  <c r="J49" i="129"/>
  <c r="J49" i="127"/>
  <c r="J49" i="126"/>
  <c r="J49" i="120"/>
  <c r="J49" i="119"/>
  <c r="J49" i="118"/>
  <c r="J49" i="116"/>
  <c r="J49" i="117"/>
  <c r="J50" i="153"/>
  <c r="J50" i="151"/>
  <c r="J50" i="149"/>
  <c r="J50" i="147"/>
  <c r="J50" i="152"/>
  <c r="J50" i="148"/>
  <c r="J50" i="146"/>
  <c r="J50" i="145"/>
  <c r="J50" i="144"/>
  <c r="J50" i="131"/>
  <c r="J50" i="129"/>
  <c r="J50" i="127"/>
  <c r="J50" i="126"/>
  <c r="J50" i="120"/>
  <c r="J50" i="119"/>
  <c r="J50" i="128"/>
  <c r="J50" i="125"/>
  <c r="J50" i="118"/>
  <c r="J50" i="117"/>
  <c r="J50" i="116"/>
  <c r="J51" i="152"/>
  <c r="J51" i="148"/>
  <c r="J51" i="146"/>
  <c r="J51" i="153"/>
  <c r="J51" i="151"/>
  <c r="J51" i="149"/>
  <c r="J51" i="147"/>
  <c r="J51" i="128"/>
  <c r="J51" i="126"/>
  <c r="J51" i="125"/>
  <c r="J51" i="145"/>
  <c r="J51" i="144"/>
  <c r="J51" i="131"/>
  <c r="J51" i="129"/>
  <c r="J51" i="127"/>
  <c r="J51" i="120"/>
  <c r="J51" i="119"/>
  <c r="J51" i="118"/>
  <c r="J51" i="117"/>
  <c r="J51" i="116"/>
  <c r="J52" i="153"/>
  <c r="J52" i="151"/>
  <c r="J52" i="149"/>
  <c r="J52" i="147"/>
  <c r="J52" i="152"/>
  <c r="J52" i="148"/>
  <c r="J52" i="146"/>
  <c r="J52" i="145"/>
  <c r="J52" i="144"/>
  <c r="J52" i="131"/>
  <c r="J52" i="129"/>
  <c r="J52" i="127"/>
  <c r="J52" i="120"/>
  <c r="J52" i="119"/>
  <c r="J52" i="128"/>
  <c r="J52" i="126"/>
  <c r="J52" i="125"/>
  <c r="J52" i="118"/>
  <c r="J52" i="117"/>
  <c r="J52" i="116"/>
  <c r="J53" i="152"/>
  <c r="J53" i="148"/>
  <c r="J53" i="146"/>
  <c r="J53" i="153"/>
  <c r="J53" i="151"/>
  <c r="J53" i="149"/>
  <c r="J53" i="147"/>
  <c r="J53" i="129"/>
  <c r="J53" i="128"/>
  <c r="J53" i="126"/>
  <c r="J53" i="125"/>
  <c r="J53" i="145"/>
  <c r="J53" i="144"/>
  <c r="J53" i="131"/>
  <c r="J53" i="127"/>
  <c r="J53" i="120"/>
  <c r="J53" i="119"/>
  <c r="J53" i="117"/>
  <c r="J53" i="116"/>
  <c r="J53" i="118"/>
  <c r="J54" i="153"/>
  <c r="J54" i="151"/>
  <c r="J54" i="149"/>
  <c r="J54" i="147"/>
  <c r="J54" i="152"/>
  <c r="J54" i="148"/>
  <c r="J54" i="146"/>
  <c r="J54" i="145"/>
  <c r="J54" i="144"/>
  <c r="J54" i="131"/>
  <c r="J54" i="128"/>
  <c r="J54" i="127"/>
  <c r="J54" i="120"/>
  <c r="J54" i="129"/>
  <c r="J54" i="126"/>
  <c r="J54" i="125"/>
  <c r="J54" i="119"/>
  <c r="J54" i="118"/>
  <c r="J54" i="117"/>
  <c r="J54" i="116"/>
  <c r="J55" i="152"/>
  <c r="J55" i="148"/>
  <c r="J55" i="146"/>
  <c r="J55" i="153"/>
  <c r="J55" i="151"/>
  <c r="J55" i="149"/>
  <c r="J55" i="147"/>
  <c r="J55" i="129"/>
  <c r="J55" i="126"/>
  <c r="J55" i="125"/>
  <c r="J55" i="119"/>
  <c r="J55" i="145"/>
  <c r="J55" i="144"/>
  <c r="J55" i="131"/>
  <c r="J55" i="128"/>
  <c r="J55" i="127"/>
  <c r="J55" i="120"/>
  <c r="J55" i="117"/>
  <c r="J55" i="116"/>
  <c r="J55" i="118"/>
  <c r="J56" i="153"/>
  <c r="J56" i="151"/>
  <c r="J56" i="149"/>
  <c r="J56" i="147"/>
  <c r="J56" i="152"/>
  <c r="J56" i="148"/>
  <c r="J56" i="146"/>
  <c r="J56" i="145"/>
  <c r="J56" i="144"/>
  <c r="J56" i="131"/>
  <c r="J56" i="128"/>
  <c r="J56" i="125"/>
  <c r="J56" i="120"/>
  <c r="J56" i="129"/>
  <c r="J56" i="127"/>
  <c r="J56" i="126"/>
  <c r="J56" i="119"/>
  <c r="J56" i="118"/>
  <c r="J56" i="117"/>
  <c r="J56" i="116"/>
  <c r="J57" i="152"/>
  <c r="J57" i="148"/>
  <c r="J57" i="146"/>
  <c r="J57" i="153"/>
  <c r="J57" i="151"/>
  <c r="J57" i="149"/>
  <c r="J57" i="147"/>
  <c r="J57" i="131"/>
  <c r="J57" i="129"/>
  <c r="J57" i="127"/>
  <c r="J57" i="126"/>
  <c r="J57" i="120"/>
  <c r="J57" i="119"/>
  <c r="J57" i="145"/>
  <c r="J57" i="144"/>
  <c r="J57" i="128"/>
  <c r="J57" i="125"/>
  <c r="J57" i="117"/>
  <c r="J57" i="118"/>
  <c r="J57" i="116"/>
  <c r="J58" i="153"/>
  <c r="J58" i="151"/>
  <c r="J58" i="149"/>
  <c r="J58" i="147"/>
  <c r="J58" i="152"/>
  <c r="J58" i="148"/>
  <c r="J58" i="146"/>
  <c r="J58" i="145"/>
  <c r="J58" i="144"/>
  <c r="J58" i="128"/>
  <c r="J58" i="125"/>
  <c r="J58" i="131"/>
  <c r="J58" i="129"/>
  <c r="J58" i="127"/>
  <c r="J58" i="126"/>
  <c r="J58" i="120"/>
  <c r="J58" i="119"/>
  <c r="J58" i="118"/>
  <c r="J58" i="117"/>
  <c r="J58" i="116"/>
  <c r="J59" i="152"/>
  <c r="J59" i="148"/>
  <c r="J59" i="146"/>
  <c r="J59" i="153"/>
  <c r="J59" i="151"/>
  <c r="J59" i="149"/>
  <c r="J59" i="147"/>
  <c r="J59" i="131"/>
  <c r="J59" i="129"/>
  <c r="J59" i="127"/>
  <c r="J59" i="120"/>
  <c r="J59" i="119"/>
  <c r="J59" i="145"/>
  <c r="J59" i="144"/>
  <c r="J59" i="128"/>
  <c r="J59" i="126"/>
  <c r="J59" i="125"/>
  <c r="J59" i="118"/>
  <c r="J59" i="117"/>
  <c r="J59" i="116"/>
  <c r="J60" i="153"/>
  <c r="J60" i="151"/>
  <c r="J60" i="149"/>
  <c r="J60" i="147"/>
  <c r="J60" i="152"/>
  <c r="J60" i="148"/>
  <c r="J60" i="146"/>
  <c r="J60" i="145"/>
  <c r="J60" i="144"/>
  <c r="J60" i="128"/>
  <c r="J60" i="126"/>
  <c r="J60" i="125"/>
  <c r="J60" i="131"/>
  <c r="J60" i="129"/>
  <c r="J60" i="127"/>
  <c r="J60" i="120"/>
  <c r="J60" i="119"/>
  <c r="J60" i="118"/>
  <c r="J60" i="117"/>
  <c r="J60" i="116"/>
  <c r="J61" i="152"/>
  <c r="J61" i="148"/>
  <c r="J61" i="146"/>
  <c r="J61" i="153"/>
  <c r="J61" i="151"/>
  <c r="J61" i="149"/>
  <c r="J61" i="147"/>
  <c r="J61" i="131"/>
  <c r="J61" i="127"/>
  <c r="J61" i="120"/>
  <c r="J61" i="119"/>
  <c r="J61" i="145"/>
  <c r="J61" i="144"/>
  <c r="J61" i="129"/>
  <c r="J61" i="128"/>
  <c r="J61" i="126"/>
  <c r="J61" i="125"/>
  <c r="J61" i="118"/>
  <c r="J61" i="117"/>
  <c r="J61" i="116"/>
  <c r="J62" i="153"/>
  <c r="J62" i="151"/>
  <c r="J62" i="149"/>
  <c r="J62" i="147"/>
  <c r="J62" i="152"/>
  <c r="J62" i="148"/>
  <c r="J62" i="146"/>
  <c r="J62" i="145"/>
  <c r="J62" i="144"/>
  <c r="J62" i="129"/>
  <c r="J62" i="126"/>
  <c r="J62" i="125"/>
  <c r="J62" i="119"/>
  <c r="J62" i="131"/>
  <c r="J62" i="128"/>
  <c r="J62" i="127"/>
  <c r="J62" i="120"/>
  <c r="J62" i="117"/>
  <c r="J62" i="116"/>
  <c r="J62" i="118"/>
  <c r="J63" i="152"/>
  <c r="J63" i="148"/>
  <c r="J63" i="146"/>
  <c r="J63" i="153"/>
  <c r="J63" i="151"/>
  <c r="J63" i="149"/>
  <c r="J63" i="147"/>
  <c r="J63" i="131"/>
  <c r="J63" i="128"/>
  <c r="J63" i="127"/>
  <c r="J63" i="120"/>
  <c r="J63" i="145"/>
  <c r="J63" i="144"/>
  <c r="J63" i="129"/>
  <c r="J63" i="126"/>
  <c r="J63" i="125"/>
  <c r="J63" i="119"/>
  <c r="J63" i="118"/>
  <c r="J63" i="117"/>
  <c r="J63" i="116"/>
  <c r="J64" i="153"/>
  <c r="J64" i="151"/>
  <c r="J64" i="149"/>
  <c r="J64" i="147"/>
  <c r="J64" i="152"/>
  <c r="J64" i="148"/>
  <c r="J64" i="146"/>
  <c r="J64" i="145"/>
  <c r="J64" i="144"/>
  <c r="J64" i="129"/>
  <c r="J64" i="127"/>
  <c r="J64" i="126"/>
  <c r="J64" i="119"/>
  <c r="J64" i="131"/>
  <c r="J64" i="128"/>
  <c r="J64" i="125"/>
  <c r="J64" i="120"/>
  <c r="J64" i="117"/>
  <c r="J64" i="116"/>
  <c r="J64" i="118"/>
  <c r="J65" i="152"/>
  <c r="J65" i="148"/>
  <c r="J65" i="146"/>
  <c r="J65" i="153"/>
  <c r="J65" i="151"/>
  <c r="J65" i="149"/>
  <c r="J65" i="147"/>
  <c r="J65" i="128"/>
  <c r="J65" i="125"/>
  <c r="J65" i="145"/>
  <c r="J65" i="144"/>
  <c r="J65" i="131"/>
  <c r="J65" i="129"/>
  <c r="J65" i="127"/>
  <c r="J65" i="126"/>
  <c r="J65" i="120"/>
  <c r="J65" i="119"/>
  <c r="J65" i="118"/>
  <c r="J65" i="116"/>
  <c r="J65" i="117"/>
  <c r="J66" i="153"/>
  <c r="J66" i="151"/>
  <c r="J66" i="149"/>
  <c r="J66" i="147"/>
  <c r="J66" i="152"/>
  <c r="J66" i="148"/>
  <c r="J66" i="146"/>
  <c r="J66" i="145"/>
  <c r="J66" i="144"/>
  <c r="J66" i="131"/>
  <c r="J66" i="129"/>
  <c r="J66" i="127"/>
  <c r="J66" i="126"/>
  <c r="J66" i="120"/>
  <c r="J66" i="119"/>
  <c r="J66" i="128"/>
  <c r="J66" i="125"/>
  <c r="J66" i="118"/>
  <c r="J66" i="117"/>
  <c r="J66" i="116"/>
  <c r="J67" i="152"/>
  <c r="J67" i="148"/>
  <c r="J67" i="146"/>
  <c r="J67" i="153"/>
  <c r="J67" i="151"/>
  <c r="J67" i="149"/>
  <c r="J67" i="147"/>
  <c r="J67" i="128"/>
  <c r="J67" i="126"/>
  <c r="J67" i="125"/>
  <c r="J67" i="145"/>
  <c r="J67" i="144"/>
  <c r="J67" i="131"/>
  <c r="J67" i="129"/>
  <c r="J67" i="127"/>
  <c r="J67" i="120"/>
  <c r="J67" i="119"/>
  <c r="J67" i="118"/>
  <c r="J67" i="117"/>
  <c r="J67" i="116"/>
  <c r="J68" i="153"/>
  <c r="J68" i="151"/>
  <c r="J68" i="149"/>
  <c r="J68" i="147"/>
  <c r="J68" i="152"/>
  <c r="J68" i="148"/>
  <c r="J68" i="146"/>
  <c r="J68" i="145"/>
  <c r="J68" i="144"/>
  <c r="J68" i="131"/>
  <c r="J68" i="129"/>
  <c r="J68" i="127"/>
  <c r="J68" i="120"/>
  <c r="J68" i="119"/>
  <c r="J68" i="128"/>
  <c r="J68" i="126"/>
  <c r="J68" i="125"/>
  <c r="J68" i="118"/>
  <c r="J68" i="117"/>
  <c r="J68" i="116"/>
  <c r="J69" i="152"/>
  <c r="J69" i="148"/>
  <c r="J69" i="146"/>
  <c r="J69" i="153"/>
  <c r="J69" i="151"/>
  <c r="J69" i="149"/>
  <c r="J69" i="147"/>
  <c r="J69" i="129"/>
  <c r="J69" i="128"/>
  <c r="J69" i="126"/>
  <c r="J69" i="125"/>
  <c r="J69" i="145"/>
  <c r="J69" i="144"/>
  <c r="J69" i="131"/>
  <c r="J69" i="127"/>
  <c r="J69" i="120"/>
  <c r="J69" i="119"/>
  <c r="J69" i="117"/>
  <c r="J69" i="116"/>
  <c r="J69" i="118"/>
  <c r="J70" i="153"/>
  <c r="J70" i="151"/>
  <c r="J70" i="149"/>
  <c r="J70" i="147"/>
  <c r="J70" i="152"/>
  <c r="J70" i="148"/>
  <c r="J70" i="146"/>
  <c r="J70" i="145"/>
  <c r="J70" i="144"/>
  <c r="J70" i="131"/>
  <c r="J70" i="128"/>
  <c r="J70" i="127"/>
  <c r="J70" i="120"/>
  <c r="J70" i="129"/>
  <c r="J70" i="126"/>
  <c r="J70" i="125"/>
  <c r="J70" i="119"/>
  <c r="J70" i="118"/>
  <c r="J70" i="117"/>
  <c r="J70" i="116"/>
  <c r="J71" i="152"/>
  <c r="J71" i="148"/>
  <c r="J71" i="146"/>
  <c r="J71" i="153"/>
  <c r="J71" i="151"/>
  <c r="J71" i="149"/>
  <c r="J71" i="147"/>
  <c r="J71" i="129"/>
  <c r="J71" i="126"/>
  <c r="J71" i="125"/>
  <c r="J71" i="119"/>
  <c r="J71" i="145"/>
  <c r="J71" i="144"/>
  <c r="J71" i="131"/>
  <c r="J71" i="128"/>
  <c r="J71" i="127"/>
  <c r="J71" i="120"/>
  <c r="J71" i="117"/>
  <c r="J71" i="116"/>
  <c r="J71" i="118"/>
  <c r="J72" i="153"/>
  <c r="J72" i="151"/>
  <c r="J72" i="149"/>
  <c r="J72" i="147"/>
  <c r="J72" i="152"/>
  <c r="J72" i="148"/>
  <c r="J72" i="146"/>
  <c r="J72" i="145"/>
  <c r="J72" i="144"/>
  <c r="J72" i="131"/>
  <c r="J72" i="128"/>
  <c r="J72" i="127"/>
  <c r="J72" i="125"/>
  <c r="J72" i="120"/>
  <c r="J72" i="129"/>
  <c r="J72" i="126"/>
  <c r="J72" i="119"/>
  <c r="J72" i="118"/>
  <c r="J72" i="117"/>
  <c r="J72" i="116"/>
  <c r="J73" i="152"/>
  <c r="J73" i="148"/>
  <c r="J73" i="146"/>
  <c r="J73" i="153"/>
  <c r="J73" i="151"/>
  <c r="J73" i="149"/>
  <c r="J73" i="147"/>
  <c r="J73" i="131"/>
  <c r="J73" i="129"/>
  <c r="J73" i="126"/>
  <c r="J73" i="120"/>
  <c r="J73" i="119"/>
  <c r="J73" i="145"/>
  <c r="J73" i="144"/>
  <c r="J73" i="128"/>
  <c r="J73" i="127"/>
  <c r="J73" i="125"/>
  <c r="J73" i="117"/>
  <c r="J73" i="118"/>
  <c r="J73" i="116"/>
  <c r="J74" i="153"/>
  <c r="J74" i="151"/>
  <c r="J74" i="149"/>
  <c r="J74" i="147"/>
  <c r="J74" i="152"/>
  <c r="J74" i="148"/>
  <c r="J74" i="146"/>
  <c r="J74" i="145"/>
  <c r="J74" i="144"/>
  <c r="J74" i="128"/>
  <c r="J74" i="127"/>
  <c r="J74" i="125"/>
  <c r="J74" i="131"/>
  <c r="J74" i="129"/>
  <c r="J74" i="126"/>
  <c r="J74" i="120"/>
  <c r="J74" i="119"/>
  <c r="J74" i="118"/>
  <c r="J74" i="117"/>
  <c r="J74" i="116"/>
  <c r="J75" i="152"/>
  <c r="J75" i="148"/>
  <c r="J75" i="146"/>
  <c r="J75" i="153"/>
  <c r="J75" i="151"/>
  <c r="J75" i="149"/>
  <c r="J75" i="147"/>
  <c r="J75" i="131"/>
  <c r="J75" i="129"/>
  <c r="J75" i="120"/>
  <c r="J75" i="119"/>
  <c r="J75" i="145"/>
  <c r="J75" i="144"/>
  <c r="J75" i="128"/>
  <c r="J75" i="127"/>
  <c r="J75" i="126"/>
  <c r="J75" i="125"/>
  <c r="J75" i="118"/>
  <c r="J75" i="117"/>
  <c r="J75" i="116"/>
  <c r="I7" i="153"/>
  <c r="I7" i="152"/>
  <c r="I7" i="151"/>
  <c r="I7" i="149"/>
  <c r="I7" i="148"/>
  <c r="I7" i="145"/>
  <c r="I7" i="146"/>
  <c r="I8" i="153"/>
  <c r="K8" i="153"/>
  <c r="L8" i="153"/>
  <c r="M8" i="153"/>
  <c r="N8" i="153"/>
  <c r="P8" i="153"/>
  <c r="I8" i="151"/>
  <c r="K8" i="151"/>
  <c r="L8" i="151"/>
  <c r="M8" i="151"/>
  <c r="N8" i="151"/>
  <c r="P8" i="151"/>
  <c r="I8" i="148"/>
  <c r="K8" i="148"/>
  <c r="L8" i="148"/>
  <c r="M8" i="148"/>
  <c r="N8" i="148"/>
  <c r="P8" i="148"/>
  <c r="I8" i="146"/>
  <c r="K8" i="146"/>
  <c r="L8" i="146"/>
  <c r="M8" i="146"/>
  <c r="N8" i="146"/>
  <c r="P8" i="146"/>
  <c r="I8" i="145"/>
  <c r="K8" i="145"/>
  <c r="L8" i="145"/>
  <c r="M8" i="145"/>
  <c r="N8" i="145"/>
  <c r="P8" i="145"/>
  <c r="I8" i="144"/>
  <c r="K8" i="144"/>
  <c r="L8" i="144"/>
  <c r="M8" i="144"/>
  <c r="N8" i="144"/>
  <c r="P8" i="144"/>
  <c r="I9" i="153"/>
  <c r="K9" i="153"/>
  <c r="L9" i="153"/>
  <c r="M9" i="153"/>
  <c r="N9" i="153"/>
  <c r="P9" i="153"/>
  <c r="I9" i="151"/>
  <c r="K9" i="151"/>
  <c r="L9" i="151"/>
  <c r="M9" i="151"/>
  <c r="N9" i="151"/>
  <c r="P9" i="151"/>
  <c r="I9" i="149"/>
  <c r="K9" i="149"/>
  <c r="L9" i="149"/>
  <c r="M9" i="149"/>
  <c r="N9" i="149"/>
  <c r="P9" i="149"/>
  <c r="I9" i="148"/>
  <c r="K9" i="148"/>
  <c r="L9" i="148"/>
  <c r="M9" i="148"/>
  <c r="N9" i="148"/>
  <c r="P9" i="148"/>
  <c r="I9" i="147"/>
  <c r="K9" i="147"/>
  <c r="L9" i="147"/>
  <c r="M9" i="147"/>
  <c r="N9" i="147"/>
  <c r="P9" i="147"/>
  <c r="I9" i="145"/>
  <c r="K9" i="145"/>
  <c r="L9" i="145"/>
  <c r="M9" i="145"/>
  <c r="N9" i="145"/>
  <c r="P9" i="145"/>
  <c r="I10" i="153"/>
  <c r="K10" i="153"/>
  <c r="L10" i="153"/>
  <c r="M10" i="153"/>
  <c r="N10" i="153"/>
  <c r="P10" i="153"/>
  <c r="I10" i="152"/>
  <c r="K10" i="152"/>
  <c r="L10" i="152"/>
  <c r="M10" i="152"/>
  <c r="N10" i="152"/>
  <c r="P10" i="152"/>
  <c r="I10" i="151"/>
  <c r="K10" i="151"/>
  <c r="L10" i="151"/>
  <c r="M10" i="151"/>
  <c r="N10" i="151"/>
  <c r="P10" i="151"/>
  <c r="I10" i="149"/>
  <c r="K10" i="149"/>
  <c r="L10" i="149"/>
  <c r="M10" i="149"/>
  <c r="N10" i="149"/>
  <c r="P10" i="149"/>
  <c r="I10" i="147"/>
  <c r="K10" i="147"/>
  <c r="L10" i="147"/>
  <c r="M10" i="147"/>
  <c r="N10" i="147"/>
  <c r="P10" i="147"/>
  <c r="I10" i="146"/>
  <c r="K10" i="146"/>
  <c r="L10" i="146"/>
  <c r="M10" i="146"/>
  <c r="N10" i="146"/>
  <c r="P10" i="146"/>
  <c r="I10" i="144"/>
  <c r="K10" i="144"/>
  <c r="L10" i="144"/>
  <c r="M10" i="144"/>
  <c r="N10" i="144"/>
  <c r="P10" i="144"/>
  <c r="I11" i="153"/>
  <c r="K11" i="153"/>
  <c r="L11" i="153"/>
  <c r="M11" i="153"/>
  <c r="N11" i="153"/>
  <c r="P11" i="153"/>
  <c r="I11" i="152"/>
  <c r="K11" i="152"/>
  <c r="L11" i="152"/>
  <c r="M11" i="152"/>
  <c r="N11" i="152"/>
  <c r="P11" i="152"/>
  <c r="I11" i="151"/>
  <c r="K11" i="151"/>
  <c r="L11" i="151"/>
  <c r="M11" i="151"/>
  <c r="N11" i="151"/>
  <c r="P11" i="151"/>
  <c r="I11" i="149"/>
  <c r="K11" i="149"/>
  <c r="L11" i="149"/>
  <c r="M11" i="149"/>
  <c r="N11" i="149"/>
  <c r="P11" i="149"/>
  <c r="I11" i="148"/>
  <c r="K11" i="148"/>
  <c r="L11" i="148"/>
  <c r="M11" i="148"/>
  <c r="N11" i="148"/>
  <c r="P11" i="148"/>
  <c r="I11" i="145"/>
  <c r="K11" i="145"/>
  <c r="L11" i="145"/>
  <c r="M11" i="145"/>
  <c r="N11" i="145"/>
  <c r="P11" i="145"/>
  <c r="I11" i="146"/>
  <c r="K11" i="146"/>
  <c r="L11" i="146"/>
  <c r="M11" i="146"/>
  <c r="N11" i="146"/>
  <c r="P11" i="146"/>
  <c r="I12" i="153"/>
  <c r="K12" i="153"/>
  <c r="L12" i="153"/>
  <c r="M12" i="153"/>
  <c r="N12" i="153"/>
  <c r="P12" i="153"/>
  <c r="I12" i="151"/>
  <c r="K12" i="151"/>
  <c r="L12" i="151"/>
  <c r="M12" i="151"/>
  <c r="N12" i="151"/>
  <c r="P12" i="151"/>
  <c r="I12" i="148"/>
  <c r="K12" i="148"/>
  <c r="L12" i="148"/>
  <c r="M12" i="148"/>
  <c r="N12" i="148"/>
  <c r="P12" i="148"/>
  <c r="I12" i="146"/>
  <c r="K12" i="146"/>
  <c r="L12" i="146"/>
  <c r="M12" i="146"/>
  <c r="N12" i="146"/>
  <c r="P12" i="146"/>
  <c r="I12" i="145"/>
  <c r="K12" i="145"/>
  <c r="L12" i="145"/>
  <c r="M12" i="145"/>
  <c r="N12" i="145"/>
  <c r="P12" i="145"/>
  <c r="I12" i="144"/>
  <c r="K12" i="144"/>
  <c r="L12" i="144"/>
  <c r="M12" i="144"/>
  <c r="N12" i="144"/>
  <c r="P12" i="144"/>
  <c r="I13" i="153"/>
  <c r="K13" i="153"/>
  <c r="L13" i="153"/>
  <c r="M13" i="153"/>
  <c r="N13" i="153"/>
  <c r="P13" i="153"/>
  <c r="I13" i="151"/>
  <c r="K13" i="151"/>
  <c r="L13" i="151"/>
  <c r="M13" i="151"/>
  <c r="N13" i="151"/>
  <c r="P13" i="151"/>
  <c r="I13" i="149"/>
  <c r="K13" i="149"/>
  <c r="L13" i="149"/>
  <c r="M13" i="149"/>
  <c r="N13" i="149"/>
  <c r="P13" i="149"/>
  <c r="I13" i="148"/>
  <c r="K13" i="148"/>
  <c r="L13" i="148"/>
  <c r="M13" i="148"/>
  <c r="N13" i="148"/>
  <c r="P13" i="148"/>
  <c r="I13" i="147"/>
  <c r="K13" i="147"/>
  <c r="L13" i="147"/>
  <c r="M13" i="147"/>
  <c r="N13" i="147"/>
  <c r="P13" i="147"/>
  <c r="I13" i="145"/>
  <c r="K13" i="145"/>
  <c r="L13" i="145"/>
  <c r="M13" i="145"/>
  <c r="N13" i="145"/>
  <c r="P13" i="145"/>
  <c r="I14" i="153"/>
  <c r="K14" i="153"/>
  <c r="L14" i="153"/>
  <c r="M14" i="153"/>
  <c r="N14" i="153"/>
  <c r="P14" i="153"/>
  <c r="I14" i="152"/>
  <c r="K14" i="152"/>
  <c r="L14" i="152"/>
  <c r="M14" i="152"/>
  <c r="N14" i="152"/>
  <c r="P14" i="152"/>
  <c r="I14" i="151"/>
  <c r="K14" i="151"/>
  <c r="L14" i="151"/>
  <c r="M14" i="151"/>
  <c r="N14" i="151"/>
  <c r="P14" i="151"/>
  <c r="I14" i="149"/>
  <c r="K14" i="149"/>
  <c r="L14" i="149"/>
  <c r="M14" i="149"/>
  <c r="N14" i="149"/>
  <c r="P14" i="149"/>
  <c r="I14" i="147"/>
  <c r="K14" i="147"/>
  <c r="L14" i="147"/>
  <c r="M14" i="147"/>
  <c r="N14" i="147"/>
  <c r="P14" i="147"/>
  <c r="I14" i="146"/>
  <c r="K14" i="146"/>
  <c r="L14" i="146"/>
  <c r="M14" i="146"/>
  <c r="N14" i="146"/>
  <c r="P14" i="146"/>
  <c r="I14" i="144"/>
  <c r="K14" i="144"/>
  <c r="L14" i="144"/>
  <c r="M14" i="144"/>
  <c r="N14" i="144"/>
  <c r="P14" i="144"/>
  <c r="I15" i="153"/>
  <c r="K15" i="153"/>
  <c r="L15" i="153"/>
  <c r="M15" i="153"/>
  <c r="N15" i="153"/>
  <c r="P15" i="153"/>
  <c r="I15" i="152"/>
  <c r="K15" i="152"/>
  <c r="L15" i="152"/>
  <c r="M15" i="152"/>
  <c r="N15" i="152"/>
  <c r="P15" i="152"/>
  <c r="I15" i="151"/>
  <c r="K15" i="151"/>
  <c r="L15" i="151"/>
  <c r="M15" i="151"/>
  <c r="N15" i="151"/>
  <c r="P15" i="151"/>
  <c r="I15" i="149"/>
  <c r="K15" i="149"/>
  <c r="L15" i="149"/>
  <c r="M15" i="149"/>
  <c r="N15" i="149"/>
  <c r="P15" i="149"/>
  <c r="I15" i="148"/>
  <c r="K15" i="148"/>
  <c r="L15" i="148"/>
  <c r="M15" i="148"/>
  <c r="N15" i="148"/>
  <c r="P15" i="148"/>
  <c r="I15" i="145"/>
  <c r="K15" i="145"/>
  <c r="L15" i="145"/>
  <c r="M15" i="145"/>
  <c r="N15" i="145"/>
  <c r="P15" i="145"/>
  <c r="I15" i="146"/>
  <c r="K15" i="146"/>
  <c r="L15" i="146"/>
  <c r="M15" i="146"/>
  <c r="N15" i="146"/>
  <c r="P15" i="146"/>
  <c r="I16" i="153"/>
  <c r="K16" i="153"/>
  <c r="L16" i="153"/>
  <c r="M16" i="153"/>
  <c r="N16" i="153"/>
  <c r="P16" i="153"/>
  <c r="I16" i="152"/>
  <c r="K16" i="152"/>
  <c r="L16" i="152"/>
  <c r="M16" i="152"/>
  <c r="N16" i="152"/>
  <c r="P16" i="152"/>
  <c r="I16" i="151"/>
  <c r="K16" i="151"/>
  <c r="L16" i="151"/>
  <c r="M16" i="151"/>
  <c r="N16" i="151"/>
  <c r="P16" i="151"/>
  <c r="I16" i="148"/>
  <c r="K16" i="148"/>
  <c r="L16" i="148"/>
  <c r="M16" i="148"/>
  <c r="N16" i="148"/>
  <c r="P16" i="148"/>
  <c r="I16" i="146"/>
  <c r="K16" i="146"/>
  <c r="L16" i="146"/>
  <c r="M16" i="146"/>
  <c r="N16" i="146"/>
  <c r="P16" i="146"/>
  <c r="I16" i="145"/>
  <c r="K16" i="145"/>
  <c r="L16" i="145"/>
  <c r="M16" i="145"/>
  <c r="N16" i="145"/>
  <c r="P16" i="145"/>
  <c r="I16" i="144"/>
  <c r="K16" i="144"/>
  <c r="L16" i="144"/>
  <c r="M16" i="144"/>
  <c r="N16" i="144"/>
  <c r="P16" i="144"/>
  <c r="I17" i="153"/>
  <c r="K17" i="153"/>
  <c r="L17" i="153"/>
  <c r="M17" i="153"/>
  <c r="N17" i="153"/>
  <c r="P17" i="153"/>
  <c r="I17" i="152"/>
  <c r="K17" i="152"/>
  <c r="L17" i="152"/>
  <c r="M17" i="152"/>
  <c r="N17" i="152"/>
  <c r="P17" i="152"/>
  <c r="I17" i="151"/>
  <c r="K17" i="151"/>
  <c r="L17" i="151"/>
  <c r="M17" i="151"/>
  <c r="N17" i="151"/>
  <c r="P17" i="151"/>
  <c r="I17" i="149"/>
  <c r="K17" i="149"/>
  <c r="L17" i="149"/>
  <c r="M17" i="149"/>
  <c r="N17" i="149"/>
  <c r="P17" i="149"/>
  <c r="I17" i="148"/>
  <c r="K17" i="148"/>
  <c r="L17" i="148"/>
  <c r="M17" i="148"/>
  <c r="N17" i="148"/>
  <c r="P17" i="148"/>
  <c r="I17" i="147"/>
  <c r="K17" i="147"/>
  <c r="L17" i="147"/>
  <c r="M17" i="147"/>
  <c r="N17" i="147"/>
  <c r="P17" i="147"/>
  <c r="I17" i="145"/>
  <c r="K17" i="145"/>
  <c r="L17" i="145"/>
  <c r="M17" i="145"/>
  <c r="N17" i="145"/>
  <c r="P17" i="145"/>
  <c r="I18" i="153"/>
  <c r="K18" i="153"/>
  <c r="L18" i="153"/>
  <c r="M18" i="153"/>
  <c r="N18" i="153"/>
  <c r="P18" i="153"/>
  <c r="I18" i="152"/>
  <c r="K18" i="152"/>
  <c r="L18" i="152"/>
  <c r="M18" i="152"/>
  <c r="N18" i="152"/>
  <c r="P18" i="152"/>
  <c r="I18" i="151"/>
  <c r="K18" i="151"/>
  <c r="L18" i="151"/>
  <c r="M18" i="151"/>
  <c r="N18" i="151"/>
  <c r="P18" i="151"/>
  <c r="I18" i="149"/>
  <c r="K18" i="149"/>
  <c r="L18" i="149"/>
  <c r="M18" i="149"/>
  <c r="N18" i="149"/>
  <c r="P18" i="149"/>
  <c r="I18" i="147"/>
  <c r="K18" i="147"/>
  <c r="L18" i="147"/>
  <c r="M18" i="147"/>
  <c r="N18" i="147"/>
  <c r="P18" i="147"/>
  <c r="I18" i="146"/>
  <c r="K18" i="146"/>
  <c r="L18" i="146"/>
  <c r="M18" i="146"/>
  <c r="N18" i="146"/>
  <c r="P18" i="146"/>
  <c r="I18" i="144"/>
  <c r="K18" i="144"/>
  <c r="L18" i="144"/>
  <c r="M18" i="144"/>
  <c r="N18" i="144"/>
  <c r="P18" i="144"/>
  <c r="I19" i="153"/>
  <c r="K19" i="153"/>
  <c r="L19" i="153"/>
  <c r="M19" i="153"/>
  <c r="N19" i="153"/>
  <c r="P19" i="153"/>
  <c r="I19" i="152"/>
  <c r="K19" i="152"/>
  <c r="L19" i="152"/>
  <c r="M19" i="152"/>
  <c r="N19" i="152"/>
  <c r="P19" i="152"/>
  <c r="I19" i="151"/>
  <c r="K19" i="151"/>
  <c r="L19" i="151"/>
  <c r="M19" i="151"/>
  <c r="N19" i="151"/>
  <c r="P19" i="151"/>
  <c r="I19" i="149"/>
  <c r="K19" i="149"/>
  <c r="L19" i="149"/>
  <c r="M19" i="149"/>
  <c r="N19" i="149"/>
  <c r="P19" i="149"/>
  <c r="I19" i="148"/>
  <c r="K19" i="148"/>
  <c r="L19" i="148"/>
  <c r="M19" i="148"/>
  <c r="N19" i="148"/>
  <c r="P19" i="148"/>
  <c r="I19" i="146"/>
  <c r="K19" i="146"/>
  <c r="L19" i="146"/>
  <c r="M19" i="146"/>
  <c r="N19" i="146"/>
  <c r="P19" i="146"/>
  <c r="I19" i="145"/>
  <c r="K19" i="145"/>
  <c r="L19" i="145"/>
  <c r="M19" i="145"/>
  <c r="N19" i="145"/>
  <c r="P19" i="145"/>
  <c r="I19" i="147"/>
  <c r="K19" i="147"/>
  <c r="L19" i="147"/>
  <c r="M19" i="147"/>
  <c r="N19" i="147"/>
  <c r="P19" i="147"/>
  <c r="I19" i="144"/>
  <c r="K19" i="144"/>
  <c r="L19" i="144"/>
  <c r="M19" i="144"/>
  <c r="N19" i="144"/>
  <c r="P19" i="144"/>
  <c r="I20" i="153"/>
  <c r="K20" i="153"/>
  <c r="L20" i="153"/>
  <c r="M20" i="153"/>
  <c r="N20" i="153"/>
  <c r="P20" i="153"/>
  <c r="I20" i="152"/>
  <c r="K20" i="152"/>
  <c r="L20" i="152"/>
  <c r="M20" i="152"/>
  <c r="N20" i="152"/>
  <c r="P20" i="152"/>
  <c r="I20" i="151"/>
  <c r="K20" i="151"/>
  <c r="L20" i="151"/>
  <c r="M20" i="151"/>
  <c r="N20" i="151"/>
  <c r="P20" i="151"/>
  <c r="I20" i="148"/>
  <c r="K20" i="148"/>
  <c r="L20" i="148"/>
  <c r="M20" i="148"/>
  <c r="N20" i="148"/>
  <c r="P20" i="148"/>
  <c r="I20" i="149"/>
  <c r="K20" i="149"/>
  <c r="L20" i="149"/>
  <c r="M20" i="149"/>
  <c r="N20" i="149"/>
  <c r="P20" i="149"/>
  <c r="I20" i="145"/>
  <c r="K20" i="145"/>
  <c r="L20" i="145"/>
  <c r="M20" i="145"/>
  <c r="N20" i="145"/>
  <c r="P20" i="145"/>
  <c r="I20" i="144"/>
  <c r="K20" i="144"/>
  <c r="L20" i="144"/>
  <c r="M20" i="144"/>
  <c r="N20" i="144"/>
  <c r="P20" i="144"/>
  <c r="I20" i="147"/>
  <c r="K20" i="147"/>
  <c r="L20" i="147"/>
  <c r="M20" i="147"/>
  <c r="N20" i="147"/>
  <c r="P20" i="147"/>
  <c r="I20" i="146"/>
  <c r="K20" i="146"/>
  <c r="L20" i="146"/>
  <c r="M20" i="146"/>
  <c r="N20" i="146"/>
  <c r="P20" i="146"/>
  <c r="I21" i="153"/>
  <c r="K21" i="153"/>
  <c r="L21" i="153"/>
  <c r="M21" i="153"/>
  <c r="N21" i="153"/>
  <c r="P21" i="153"/>
  <c r="I21" i="152"/>
  <c r="K21" i="152"/>
  <c r="L21" i="152"/>
  <c r="M21" i="152"/>
  <c r="N21" i="152"/>
  <c r="P21" i="152"/>
  <c r="I21" i="151"/>
  <c r="K21" i="151"/>
  <c r="L21" i="151"/>
  <c r="M21" i="151"/>
  <c r="N21" i="151"/>
  <c r="P21" i="151"/>
  <c r="I21" i="149"/>
  <c r="K21" i="149"/>
  <c r="L21" i="149"/>
  <c r="M21" i="149"/>
  <c r="N21" i="149"/>
  <c r="P21" i="149"/>
  <c r="I21" i="148"/>
  <c r="K21" i="148"/>
  <c r="L21" i="148"/>
  <c r="M21" i="148"/>
  <c r="N21" i="148"/>
  <c r="P21" i="148"/>
  <c r="I21" i="147"/>
  <c r="K21" i="147"/>
  <c r="L21" i="147"/>
  <c r="M21" i="147"/>
  <c r="N21" i="147"/>
  <c r="P21" i="147"/>
  <c r="I21" i="146"/>
  <c r="K21" i="146"/>
  <c r="L21" i="146"/>
  <c r="M21" i="146"/>
  <c r="N21" i="146"/>
  <c r="P21" i="146"/>
  <c r="I21" i="145"/>
  <c r="K21" i="145"/>
  <c r="L21" i="145"/>
  <c r="M21" i="145"/>
  <c r="N21" i="145"/>
  <c r="P21" i="145"/>
  <c r="I21" i="144"/>
  <c r="K21" i="144"/>
  <c r="L21" i="144"/>
  <c r="M21" i="144"/>
  <c r="N21" i="144"/>
  <c r="P21" i="144"/>
  <c r="I22" i="153"/>
  <c r="K22" i="153"/>
  <c r="L22" i="153"/>
  <c r="M22" i="153"/>
  <c r="N22" i="153"/>
  <c r="P22" i="153"/>
  <c r="I22" i="152"/>
  <c r="K22" i="152"/>
  <c r="L22" i="152"/>
  <c r="M22" i="152"/>
  <c r="N22" i="152"/>
  <c r="P22" i="152"/>
  <c r="I22" i="151"/>
  <c r="K22" i="151"/>
  <c r="L22" i="151"/>
  <c r="M22" i="151"/>
  <c r="N22" i="151"/>
  <c r="P22" i="151"/>
  <c r="I22" i="149"/>
  <c r="K22" i="149"/>
  <c r="L22" i="149"/>
  <c r="M22" i="149"/>
  <c r="N22" i="149"/>
  <c r="P22" i="149"/>
  <c r="I22" i="148"/>
  <c r="K22" i="148"/>
  <c r="L22" i="148"/>
  <c r="M22" i="148"/>
  <c r="N22" i="148"/>
  <c r="P22" i="148"/>
  <c r="I22" i="147"/>
  <c r="K22" i="147"/>
  <c r="L22" i="147"/>
  <c r="M22" i="147"/>
  <c r="N22" i="147"/>
  <c r="P22" i="147"/>
  <c r="I22" i="146"/>
  <c r="K22" i="146"/>
  <c r="L22" i="146"/>
  <c r="M22" i="146"/>
  <c r="N22" i="146"/>
  <c r="P22" i="146"/>
  <c r="I22" i="145"/>
  <c r="K22" i="145"/>
  <c r="L22" i="145"/>
  <c r="M22" i="145"/>
  <c r="N22" i="145"/>
  <c r="P22" i="145"/>
  <c r="I22" i="144"/>
  <c r="K22" i="144"/>
  <c r="L22" i="144"/>
  <c r="M22" i="144"/>
  <c r="N22" i="144"/>
  <c r="P22" i="144"/>
  <c r="I23" i="153"/>
  <c r="K23" i="153"/>
  <c r="L23" i="153"/>
  <c r="M23" i="153"/>
  <c r="N23" i="153"/>
  <c r="P23" i="153"/>
  <c r="I23" i="152"/>
  <c r="K23" i="152"/>
  <c r="L23" i="152"/>
  <c r="M23" i="152"/>
  <c r="N23" i="152"/>
  <c r="P23" i="152"/>
  <c r="I23" i="151"/>
  <c r="K23" i="151"/>
  <c r="L23" i="151"/>
  <c r="M23" i="151"/>
  <c r="N23" i="151"/>
  <c r="P23" i="151"/>
  <c r="I23" i="149"/>
  <c r="K23" i="149"/>
  <c r="L23" i="149"/>
  <c r="M23" i="149"/>
  <c r="N23" i="149"/>
  <c r="P23" i="149"/>
  <c r="I23" i="148"/>
  <c r="K23" i="148"/>
  <c r="L23" i="148"/>
  <c r="M23" i="148"/>
  <c r="N23" i="148"/>
  <c r="P23" i="148"/>
  <c r="I23" i="147"/>
  <c r="K23" i="147"/>
  <c r="L23" i="147"/>
  <c r="M23" i="147"/>
  <c r="N23" i="147"/>
  <c r="P23" i="147"/>
  <c r="I23" i="146"/>
  <c r="K23" i="146"/>
  <c r="L23" i="146"/>
  <c r="M23" i="146"/>
  <c r="N23" i="146"/>
  <c r="P23" i="146"/>
  <c r="I23" i="145"/>
  <c r="K23" i="145"/>
  <c r="L23" i="145"/>
  <c r="M23" i="145"/>
  <c r="N23" i="145"/>
  <c r="P23" i="145"/>
  <c r="I23" i="144"/>
  <c r="K23" i="144"/>
  <c r="L23" i="144"/>
  <c r="M23" i="144"/>
  <c r="N23" i="144"/>
  <c r="P23" i="144"/>
  <c r="I24" i="153"/>
  <c r="K24" i="153"/>
  <c r="L24" i="153"/>
  <c r="M24" i="153"/>
  <c r="N24" i="153"/>
  <c r="P24" i="153"/>
  <c r="I24" i="152"/>
  <c r="K24" i="152"/>
  <c r="L24" i="152"/>
  <c r="M24" i="152"/>
  <c r="N24" i="152"/>
  <c r="P24" i="152"/>
  <c r="I24" i="151"/>
  <c r="K24" i="151"/>
  <c r="L24" i="151"/>
  <c r="M24" i="151"/>
  <c r="N24" i="151"/>
  <c r="P24" i="151"/>
  <c r="I24" i="149"/>
  <c r="K24" i="149"/>
  <c r="L24" i="149"/>
  <c r="M24" i="149"/>
  <c r="N24" i="149"/>
  <c r="P24" i="149"/>
  <c r="I24" i="148"/>
  <c r="K24" i="148"/>
  <c r="L24" i="148"/>
  <c r="M24" i="148"/>
  <c r="N24" i="148"/>
  <c r="P24" i="148"/>
  <c r="I24" i="147"/>
  <c r="K24" i="147"/>
  <c r="L24" i="147"/>
  <c r="M24" i="147"/>
  <c r="N24" i="147"/>
  <c r="P24" i="147"/>
  <c r="I24" i="145"/>
  <c r="K24" i="145"/>
  <c r="L24" i="145"/>
  <c r="M24" i="145"/>
  <c r="N24" i="145"/>
  <c r="P24" i="145"/>
  <c r="I24" i="144"/>
  <c r="K24" i="144"/>
  <c r="L24" i="144"/>
  <c r="M24" i="144"/>
  <c r="N24" i="144"/>
  <c r="P24" i="144"/>
  <c r="I24" i="146"/>
  <c r="K24" i="146"/>
  <c r="L24" i="146"/>
  <c r="M24" i="146"/>
  <c r="N24" i="146"/>
  <c r="P24" i="146"/>
  <c r="I25" i="153"/>
  <c r="K25" i="153"/>
  <c r="L25" i="153"/>
  <c r="M25" i="153"/>
  <c r="N25" i="153"/>
  <c r="P25" i="153"/>
  <c r="I25" i="152"/>
  <c r="K25" i="152"/>
  <c r="L25" i="152"/>
  <c r="M25" i="152"/>
  <c r="N25" i="152"/>
  <c r="P25" i="152"/>
  <c r="I25" i="151"/>
  <c r="K25" i="151"/>
  <c r="L25" i="151"/>
  <c r="M25" i="151"/>
  <c r="N25" i="151"/>
  <c r="P25" i="151"/>
  <c r="I25" i="147"/>
  <c r="K25" i="147"/>
  <c r="L25" i="147"/>
  <c r="M25" i="147"/>
  <c r="N25" i="147"/>
  <c r="P25" i="147"/>
  <c r="I25" i="149"/>
  <c r="K25" i="149"/>
  <c r="L25" i="149"/>
  <c r="M25" i="149"/>
  <c r="N25" i="149"/>
  <c r="P25" i="149"/>
  <c r="I25" i="148"/>
  <c r="K25" i="148"/>
  <c r="L25" i="148"/>
  <c r="M25" i="148"/>
  <c r="N25" i="148"/>
  <c r="P25" i="148"/>
  <c r="I25" i="146"/>
  <c r="K25" i="146"/>
  <c r="L25" i="146"/>
  <c r="M25" i="146"/>
  <c r="N25" i="146"/>
  <c r="P25" i="146"/>
  <c r="I25" i="145"/>
  <c r="K25" i="145"/>
  <c r="L25" i="145"/>
  <c r="M25" i="145"/>
  <c r="N25" i="145"/>
  <c r="P25" i="145"/>
  <c r="I25" i="144"/>
  <c r="K25" i="144"/>
  <c r="L25" i="144"/>
  <c r="M25" i="144"/>
  <c r="N25" i="144"/>
  <c r="P25" i="144"/>
  <c r="I26" i="153"/>
  <c r="K26" i="153"/>
  <c r="L26" i="153"/>
  <c r="M26" i="153"/>
  <c r="N26" i="153"/>
  <c r="P26" i="153"/>
  <c r="I26" i="152"/>
  <c r="K26" i="152"/>
  <c r="L26" i="152"/>
  <c r="M26" i="152"/>
  <c r="N26" i="152"/>
  <c r="P26" i="152"/>
  <c r="I26" i="151"/>
  <c r="K26" i="151"/>
  <c r="L26" i="151"/>
  <c r="M26" i="151"/>
  <c r="N26" i="151"/>
  <c r="P26" i="151"/>
  <c r="I26" i="149"/>
  <c r="K26" i="149"/>
  <c r="L26" i="149"/>
  <c r="M26" i="149"/>
  <c r="N26" i="149"/>
  <c r="P26" i="149"/>
  <c r="I26" i="148"/>
  <c r="K26" i="148"/>
  <c r="L26" i="148"/>
  <c r="M26" i="148"/>
  <c r="N26" i="148"/>
  <c r="P26" i="148"/>
  <c r="I26" i="147"/>
  <c r="K26" i="147"/>
  <c r="L26" i="147"/>
  <c r="M26" i="147"/>
  <c r="N26" i="147"/>
  <c r="P26" i="147"/>
  <c r="I26" i="146"/>
  <c r="K26" i="146"/>
  <c r="L26" i="146"/>
  <c r="M26" i="146"/>
  <c r="N26" i="146"/>
  <c r="P26" i="146"/>
  <c r="I26" i="145"/>
  <c r="K26" i="145"/>
  <c r="L26" i="145"/>
  <c r="M26" i="145"/>
  <c r="N26" i="145"/>
  <c r="P26" i="145"/>
  <c r="I26" i="144"/>
  <c r="K26" i="144"/>
  <c r="L26" i="144"/>
  <c r="M26" i="144"/>
  <c r="N26" i="144"/>
  <c r="P26" i="144"/>
  <c r="I27" i="153"/>
  <c r="K27" i="153"/>
  <c r="L27" i="153"/>
  <c r="M27" i="153"/>
  <c r="N27" i="153"/>
  <c r="P27" i="153"/>
  <c r="I27" i="152"/>
  <c r="K27" i="152"/>
  <c r="L27" i="152"/>
  <c r="M27" i="152"/>
  <c r="N27" i="152"/>
  <c r="P27" i="152"/>
  <c r="I27" i="151"/>
  <c r="K27" i="151"/>
  <c r="L27" i="151"/>
  <c r="M27" i="151"/>
  <c r="N27" i="151"/>
  <c r="P27" i="151"/>
  <c r="I27" i="149"/>
  <c r="K27" i="149"/>
  <c r="L27" i="149"/>
  <c r="M27" i="149"/>
  <c r="N27" i="149"/>
  <c r="P27" i="149"/>
  <c r="I27" i="148"/>
  <c r="K27" i="148"/>
  <c r="L27" i="148"/>
  <c r="M27" i="148"/>
  <c r="N27" i="148"/>
  <c r="P27" i="148"/>
  <c r="I27" i="147"/>
  <c r="K27" i="147"/>
  <c r="L27" i="147"/>
  <c r="M27" i="147"/>
  <c r="N27" i="147"/>
  <c r="P27" i="147"/>
  <c r="I27" i="146"/>
  <c r="K27" i="146"/>
  <c r="L27" i="146"/>
  <c r="M27" i="146"/>
  <c r="N27" i="146"/>
  <c r="P27" i="146"/>
  <c r="I27" i="145"/>
  <c r="K27" i="145"/>
  <c r="L27" i="145"/>
  <c r="M27" i="145"/>
  <c r="N27" i="145"/>
  <c r="P27" i="145"/>
  <c r="I27" i="144"/>
  <c r="K27" i="144"/>
  <c r="L27" i="144"/>
  <c r="M27" i="144"/>
  <c r="N27" i="144"/>
  <c r="P27" i="144"/>
  <c r="I28" i="153"/>
  <c r="K28" i="153"/>
  <c r="L28" i="153"/>
  <c r="M28" i="153"/>
  <c r="N28" i="153"/>
  <c r="P28" i="153"/>
  <c r="I28" i="152"/>
  <c r="K28" i="152"/>
  <c r="L28" i="152"/>
  <c r="M28" i="152"/>
  <c r="N28" i="152"/>
  <c r="P28" i="152"/>
  <c r="I28" i="149"/>
  <c r="K28" i="149"/>
  <c r="L28" i="149"/>
  <c r="M28" i="149"/>
  <c r="N28" i="149"/>
  <c r="P28" i="149"/>
  <c r="I28" i="151"/>
  <c r="K28" i="151"/>
  <c r="L28" i="151"/>
  <c r="M28" i="151"/>
  <c r="N28" i="151"/>
  <c r="P28" i="151"/>
  <c r="I28" i="148"/>
  <c r="K28" i="148"/>
  <c r="L28" i="148"/>
  <c r="M28" i="148"/>
  <c r="N28" i="148"/>
  <c r="P28" i="148"/>
  <c r="I28" i="147"/>
  <c r="K28" i="147"/>
  <c r="L28" i="147"/>
  <c r="M28" i="147"/>
  <c r="N28" i="147"/>
  <c r="P28" i="147"/>
  <c r="I28" i="145"/>
  <c r="K28" i="145"/>
  <c r="L28" i="145"/>
  <c r="M28" i="145"/>
  <c r="N28" i="145"/>
  <c r="P28" i="145"/>
  <c r="I28" i="144"/>
  <c r="K28" i="144"/>
  <c r="L28" i="144"/>
  <c r="M28" i="144"/>
  <c r="N28" i="144"/>
  <c r="P28" i="144"/>
  <c r="I28" i="146"/>
  <c r="K28" i="146"/>
  <c r="L28" i="146"/>
  <c r="M28" i="146"/>
  <c r="N28" i="146"/>
  <c r="P28" i="146"/>
  <c r="I29" i="153"/>
  <c r="K29" i="153"/>
  <c r="L29" i="153"/>
  <c r="M29" i="153"/>
  <c r="N29" i="153"/>
  <c r="P29" i="153"/>
  <c r="I29" i="152"/>
  <c r="K29" i="152"/>
  <c r="L29" i="152"/>
  <c r="M29" i="152"/>
  <c r="N29" i="152"/>
  <c r="P29" i="152"/>
  <c r="I29" i="149"/>
  <c r="K29" i="149"/>
  <c r="L29" i="149"/>
  <c r="M29" i="149"/>
  <c r="N29" i="149"/>
  <c r="P29" i="149"/>
  <c r="I29" i="151"/>
  <c r="K29" i="151"/>
  <c r="L29" i="151"/>
  <c r="M29" i="151"/>
  <c r="N29" i="151"/>
  <c r="P29" i="151"/>
  <c r="I29" i="147"/>
  <c r="K29" i="147"/>
  <c r="L29" i="147"/>
  <c r="M29" i="147"/>
  <c r="N29" i="147"/>
  <c r="P29" i="147"/>
  <c r="I29" i="148"/>
  <c r="K29" i="148"/>
  <c r="L29" i="148"/>
  <c r="M29" i="148"/>
  <c r="N29" i="148"/>
  <c r="P29" i="148"/>
  <c r="I29" i="146"/>
  <c r="K29" i="146"/>
  <c r="L29" i="146"/>
  <c r="M29" i="146"/>
  <c r="N29" i="146"/>
  <c r="P29" i="146"/>
  <c r="I29" i="145"/>
  <c r="K29" i="145"/>
  <c r="L29" i="145"/>
  <c r="M29" i="145"/>
  <c r="N29" i="145"/>
  <c r="P29" i="145"/>
  <c r="I29" i="144"/>
  <c r="K29" i="144"/>
  <c r="L29" i="144"/>
  <c r="M29" i="144"/>
  <c r="N29" i="144"/>
  <c r="P29" i="144"/>
  <c r="I30" i="153"/>
  <c r="K30" i="153"/>
  <c r="L30" i="153"/>
  <c r="M30" i="153"/>
  <c r="N30" i="153"/>
  <c r="P30" i="153"/>
  <c r="I30" i="152"/>
  <c r="K30" i="152"/>
  <c r="L30" i="152"/>
  <c r="M30" i="152"/>
  <c r="N30" i="152"/>
  <c r="P30" i="152"/>
  <c r="I30" i="151"/>
  <c r="K30" i="151"/>
  <c r="L30" i="151"/>
  <c r="M30" i="151"/>
  <c r="N30" i="151"/>
  <c r="P30" i="151"/>
  <c r="I30" i="149"/>
  <c r="K30" i="149"/>
  <c r="L30" i="149"/>
  <c r="M30" i="149"/>
  <c r="N30" i="149"/>
  <c r="P30" i="149"/>
  <c r="I30" i="148"/>
  <c r="K30" i="148"/>
  <c r="L30" i="148"/>
  <c r="M30" i="148"/>
  <c r="N30" i="148"/>
  <c r="P30" i="148"/>
  <c r="I30" i="147"/>
  <c r="K30" i="147"/>
  <c r="L30" i="147"/>
  <c r="M30" i="147"/>
  <c r="N30" i="147"/>
  <c r="P30" i="147"/>
  <c r="I30" i="146"/>
  <c r="K30" i="146"/>
  <c r="L30" i="146"/>
  <c r="M30" i="146"/>
  <c r="N30" i="146"/>
  <c r="P30" i="146"/>
  <c r="I30" i="145"/>
  <c r="K30" i="145"/>
  <c r="L30" i="145"/>
  <c r="M30" i="145"/>
  <c r="N30" i="145"/>
  <c r="P30" i="145"/>
  <c r="I30" i="144"/>
  <c r="K30" i="144"/>
  <c r="L30" i="144"/>
  <c r="M30" i="144"/>
  <c r="N30" i="144"/>
  <c r="P30" i="144"/>
  <c r="I31" i="153"/>
  <c r="K31" i="153"/>
  <c r="L31" i="153"/>
  <c r="M31" i="153"/>
  <c r="N31" i="153"/>
  <c r="P31" i="153"/>
  <c r="I31" i="152"/>
  <c r="K31" i="152"/>
  <c r="L31" i="152"/>
  <c r="M31" i="152"/>
  <c r="N31" i="152"/>
  <c r="P31" i="152"/>
  <c r="I31" i="151"/>
  <c r="K31" i="151"/>
  <c r="L31" i="151"/>
  <c r="M31" i="151"/>
  <c r="N31" i="151"/>
  <c r="P31" i="151"/>
  <c r="I31" i="149"/>
  <c r="K31" i="149"/>
  <c r="L31" i="149"/>
  <c r="M31" i="149"/>
  <c r="N31" i="149"/>
  <c r="P31" i="149"/>
  <c r="I31" i="148"/>
  <c r="K31" i="148"/>
  <c r="L31" i="148"/>
  <c r="M31" i="148"/>
  <c r="N31" i="148"/>
  <c r="P31" i="148"/>
  <c r="I31" i="147"/>
  <c r="K31" i="147"/>
  <c r="L31" i="147"/>
  <c r="M31" i="147"/>
  <c r="N31" i="147"/>
  <c r="P31" i="147"/>
  <c r="I31" i="146"/>
  <c r="K31" i="146"/>
  <c r="L31" i="146"/>
  <c r="M31" i="146"/>
  <c r="N31" i="146"/>
  <c r="P31" i="146"/>
  <c r="I31" i="145"/>
  <c r="K31" i="145"/>
  <c r="L31" i="145"/>
  <c r="M31" i="145"/>
  <c r="N31" i="145"/>
  <c r="P31" i="145"/>
  <c r="I31" i="144"/>
  <c r="K31" i="144"/>
  <c r="L31" i="144"/>
  <c r="M31" i="144"/>
  <c r="N31" i="144"/>
  <c r="P31" i="144"/>
  <c r="I32" i="153"/>
  <c r="K32" i="153"/>
  <c r="L32" i="153"/>
  <c r="M32" i="153"/>
  <c r="N32" i="153"/>
  <c r="P32" i="153"/>
  <c r="I32" i="152"/>
  <c r="K32" i="152"/>
  <c r="L32" i="152"/>
  <c r="M32" i="152"/>
  <c r="N32" i="152"/>
  <c r="P32" i="152"/>
  <c r="I32" i="149"/>
  <c r="K32" i="149"/>
  <c r="L32" i="149"/>
  <c r="M32" i="149"/>
  <c r="N32" i="149"/>
  <c r="P32" i="149"/>
  <c r="I32" i="151"/>
  <c r="K32" i="151"/>
  <c r="L32" i="151"/>
  <c r="M32" i="151"/>
  <c r="N32" i="151"/>
  <c r="P32" i="151"/>
  <c r="I32" i="148"/>
  <c r="K32" i="148"/>
  <c r="L32" i="148"/>
  <c r="M32" i="148"/>
  <c r="N32" i="148"/>
  <c r="P32" i="148"/>
  <c r="I32" i="147"/>
  <c r="K32" i="147"/>
  <c r="L32" i="147"/>
  <c r="M32" i="147"/>
  <c r="N32" i="147"/>
  <c r="P32" i="147"/>
  <c r="I32" i="145"/>
  <c r="K32" i="145"/>
  <c r="L32" i="145"/>
  <c r="M32" i="145"/>
  <c r="N32" i="145"/>
  <c r="P32" i="145"/>
  <c r="I32" i="144"/>
  <c r="K32" i="144"/>
  <c r="L32" i="144"/>
  <c r="M32" i="144"/>
  <c r="N32" i="144"/>
  <c r="P32" i="144"/>
  <c r="I32" i="146"/>
  <c r="K32" i="146"/>
  <c r="L32" i="146"/>
  <c r="M32" i="146"/>
  <c r="N32" i="146"/>
  <c r="P32" i="146"/>
  <c r="I33" i="153"/>
  <c r="K33" i="153"/>
  <c r="L33" i="153"/>
  <c r="M33" i="153"/>
  <c r="N33" i="153"/>
  <c r="P33" i="153"/>
  <c r="I33" i="152"/>
  <c r="K33" i="152"/>
  <c r="L33" i="152"/>
  <c r="M33" i="152"/>
  <c r="N33" i="152"/>
  <c r="P33" i="152"/>
  <c r="I33" i="149"/>
  <c r="K33" i="149"/>
  <c r="L33" i="149"/>
  <c r="M33" i="149"/>
  <c r="N33" i="149"/>
  <c r="P33" i="149"/>
  <c r="I33" i="151"/>
  <c r="K33" i="151"/>
  <c r="L33" i="151"/>
  <c r="M33" i="151"/>
  <c r="N33" i="151"/>
  <c r="P33" i="151"/>
  <c r="I33" i="147"/>
  <c r="K33" i="147"/>
  <c r="L33" i="147"/>
  <c r="M33" i="147"/>
  <c r="N33" i="147"/>
  <c r="P33" i="147"/>
  <c r="I33" i="148"/>
  <c r="K33" i="148"/>
  <c r="L33" i="148"/>
  <c r="M33" i="148"/>
  <c r="N33" i="148"/>
  <c r="P33" i="148"/>
  <c r="I33" i="146"/>
  <c r="K33" i="146"/>
  <c r="L33" i="146"/>
  <c r="M33" i="146"/>
  <c r="N33" i="146"/>
  <c r="P33" i="146"/>
  <c r="I33" i="145"/>
  <c r="K33" i="145"/>
  <c r="L33" i="145"/>
  <c r="M33" i="145"/>
  <c r="N33" i="145"/>
  <c r="P33" i="145"/>
  <c r="I33" i="144"/>
  <c r="K33" i="144"/>
  <c r="L33" i="144"/>
  <c r="M33" i="144"/>
  <c r="N33" i="144"/>
  <c r="P33" i="144"/>
  <c r="I34" i="153"/>
  <c r="K34" i="153"/>
  <c r="L34" i="153"/>
  <c r="M34" i="153"/>
  <c r="N34" i="153"/>
  <c r="P34" i="153"/>
  <c r="I34" i="152"/>
  <c r="K34" i="152"/>
  <c r="L34" i="152"/>
  <c r="M34" i="152"/>
  <c r="N34" i="152"/>
  <c r="P34" i="152"/>
  <c r="I34" i="151"/>
  <c r="K34" i="151"/>
  <c r="L34" i="151"/>
  <c r="M34" i="151"/>
  <c r="N34" i="151"/>
  <c r="P34" i="151"/>
  <c r="I34" i="149"/>
  <c r="K34" i="149"/>
  <c r="L34" i="149"/>
  <c r="M34" i="149"/>
  <c r="N34" i="149"/>
  <c r="P34" i="149"/>
  <c r="I34" i="148"/>
  <c r="K34" i="148"/>
  <c r="L34" i="148"/>
  <c r="M34" i="148"/>
  <c r="N34" i="148"/>
  <c r="P34" i="148"/>
  <c r="I34" i="147"/>
  <c r="K34" i="147"/>
  <c r="L34" i="147"/>
  <c r="M34" i="147"/>
  <c r="N34" i="147"/>
  <c r="P34" i="147"/>
  <c r="I34" i="146"/>
  <c r="K34" i="146"/>
  <c r="L34" i="146"/>
  <c r="M34" i="146"/>
  <c r="N34" i="146"/>
  <c r="P34" i="146"/>
  <c r="I34" i="145"/>
  <c r="K34" i="145"/>
  <c r="L34" i="145"/>
  <c r="M34" i="145"/>
  <c r="N34" i="145"/>
  <c r="P34" i="145"/>
  <c r="I34" i="144"/>
  <c r="K34" i="144"/>
  <c r="L34" i="144"/>
  <c r="M34" i="144"/>
  <c r="N34" i="144"/>
  <c r="P34" i="144"/>
  <c r="I35" i="153"/>
  <c r="K35" i="153"/>
  <c r="L35" i="153"/>
  <c r="M35" i="153"/>
  <c r="N35" i="153"/>
  <c r="P35" i="153"/>
  <c r="I35" i="152"/>
  <c r="K35" i="152"/>
  <c r="L35" i="152"/>
  <c r="M35" i="152"/>
  <c r="N35" i="152"/>
  <c r="P35" i="152"/>
  <c r="I35" i="151"/>
  <c r="K35" i="151"/>
  <c r="L35" i="151"/>
  <c r="M35" i="151"/>
  <c r="N35" i="151"/>
  <c r="P35" i="151"/>
  <c r="I35" i="149"/>
  <c r="K35" i="149"/>
  <c r="L35" i="149"/>
  <c r="M35" i="149"/>
  <c r="N35" i="149"/>
  <c r="P35" i="149"/>
  <c r="I35" i="148"/>
  <c r="K35" i="148"/>
  <c r="L35" i="148"/>
  <c r="M35" i="148"/>
  <c r="N35" i="148"/>
  <c r="P35" i="148"/>
  <c r="I35" i="147"/>
  <c r="K35" i="147"/>
  <c r="L35" i="147"/>
  <c r="M35" i="147"/>
  <c r="N35" i="147"/>
  <c r="P35" i="147"/>
  <c r="I35" i="146"/>
  <c r="K35" i="146"/>
  <c r="L35" i="146"/>
  <c r="M35" i="146"/>
  <c r="N35" i="146"/>
  <c r="P35" i="146"/>
  <c r="I35" i="145"/>
  <c r="K35" i="145"/>
  <c r="L35" i="145"/>
  <c r="M35" i="145"/>
  <c r="N35" i="145"/>
  <c r="P35" i="145"/>
  <c r="I35" i="144"/>
  <c r="K35" i="144"/>
  <c r="L35" i="144"/>
  <c r="M35" i="144"/>
  <c r="N35" i="144"/>
  <c r="P35" i="144"/>
  <c r="I36" i="153"/>
  <c r="K36" i="153"/>
  <c r="L36" i="153"/>
  <c r="M36" i="153"/>
  <c r="N36" i="153"/>
  <c r="P36" i="153"/>
  <c r="I36" i="152"/>
  <c r="K36" i="152"/>
  <c r="L36" i="152"/>
  <c r="M36" i="152"/>
  <c r="N36" i="152"/>
  <c r="P36" i="152"/>
  <c r="I36" i="149"/>
  <c r="K36" i="149"/>
  <c r="L36" i="149"/>
  <c r="M36" i="149"/>
  <c r="N36" i="149"/>
  <c r="P36" i="149"/>
  <c r="I36" i="151"/>
  <c r="K36" i="151"/>
  <c r="L36" i="151"/>
  <c r="M36" i="151"/>
  <c r="N36" i="151"/>
  <c r="P36" i="151"/>
  <c r="I36" i="148"/>
  <c r="K36" i="148"/>
  <c r="L36" i="148"/>
  <c r="M36" i="148"/>
  <c r="N36" i="148"/>
  <c r="P36" i="148"/>
  <c r="I36" i="147"/>
  <c r="K36" i="147"/>
  <c r="L36" i="147"/>
  <c r="M36" i="147"/>
  <c r="N36" i="147"/>
  <c r="P36" i="147"/>
  <c r="I36" i="146"/>
  <c r="K36" i="146"/>
  <c r="L36" i="146"/>
  <c r="M36" i="146"/>
  <c r="N36" i="146"/>
  <c r="P36" i="146"/>
  <c r="I36" i="144"/>
  <c r="K36" i="144"/>
  <c r="L36" i="144"/>
  <c r="M36" i="144"/>
  <c r="N36" i="144"/>
  <c r="P36" i="144"/>
  <c r="I36" i="145"/>
  <c r="K36" i="145"/>
  <c r="L36" i="145"/>
  <c r="M36" i="145"/>
  <c r="N36" i="145"/>
  <c r="P36" i="145"/>
  <c r="I37" i="153"/>
  <c r="K37" i="153"/>
  <c r="L37" i="153"/>
  <c r="M37" i="153"/>
  <c r="N37" i="153"/>
  <c r="P37" i="153"/>
  <c r="I37" i="152"/>
  <c r="K37" i="152"/>
  <c r="L37" i="152"/>
  <c r="M37" i="152"/>
  <c r="N37" i="152"/>
  <c r="P37" i="152"/>
  <c r="I37" i="149"/>
  <c r="K37" i="149"/>
  <c r="L37" i="149"/>
  <c r="M37" i="149"/>
  <c r="N37" i="149"/>
  <c r="P37" i="149"/>
  <c r="I37" i="151"/>
  <c r="K37" i="151"/>
  <c r="L37" i="151"/>
  <c r="M37" i="151"/>
  <c r="N37" i="151"/>
  <c r="P37" i="151"/>
  <c r="I37" i="147"/>
  <c r="K37" i="147"/>
  <c r="L37" i="147"/>
  <c r="M37" i="147"/>
  <c r="N37" i="147"/>
  <c r="P37" i="147"/>
  <c r="I37" i="148"/>
  <c r="K37" i="148"/>
  <c r="L37" i="148"/>
  <c r="M37" i="148"/>
  <c r="N37" i="148"/>
  <c r="P37" i="148"/>
  <c r="I37" i="146"/>
  <c r="K37" i="146"/>
  <c r="L37" i="146"/>
  <c r="M37" i="146"/>
  <c r="N37" i="146"/>
  <c r="P37" i="146"/>
  <c r="I37" i="145"/>
  <c r="K37" i="145"/>
  <c r="L37" i="145"/>
  <c r="M37" i="145"/>
  <c r="N37" i="145"/>
  <c r="P37" i="145"/>
  <c r="I37" i="144"/>
  <c r="K37" i="144"/>
  <c r="L37" i="144"/>
  <c r="M37" i="144"/>
  <c r="N37" i="144"/>
  <c r="P37" i="144"/>
  <c r="I38" i="153"/>
  <c r="K38" i="153"/>
  <c r="L38" i="153"/>
  <c r="M38" i="153"/>
  <c r="N38" i="153"/>
  <c r="P38" i="153"/>
  <c r="I38" i="152"/>
  <c r="K38" i="152"/>
  <c r="L38" i="152"/>
  <c r="M38" i="152"/>
  <c r="N38" i="152"/>
  <c r="P38" i="152"/>
  <c r="I38" i="151"/>
  <c r="K38" i="151"/>
  <c r="L38" i="151"/>
  <c r="M38" i="151"/>
  <c r="N38" i="151"/>
  <c r="P38" i="151"/>
  <c r="I38" i="149"/>
  <c r="K38" i="149"/>
  <c r="L38" i="149"/>
  <c r="M38" i="149"/>
  <c r="N38" i="149"/>
  <c r="P38" i="149"/>
  <c r="I38" i="148"/>
  <c r="K38" i="148"/>
  <c r="L38" i="148"/>
  <c r="M38" i="148"/>
  <c r="N38" i="148"/>
  <c r="P38" i="148"/>
  <c r="I38" i="147"/>
  <c r="K38" i="147"/>
  <c r="L38" i="147"/>
  <c r="M38" i="147"/>
  <c r="N38" i="147"/>
  <c r="P38" i="147"/>
  <c r="I38" i="145"/>
  <c r="K38" i="145"/>
  <c r="L38" i="145"/>
  <c r="M38" i="145"/>
  <c r="N38" i="145"/>
  <c r="P38" i="145"/>
  <c r="I38" i="144"/>
  <c r="K38" i="144"/>
  <c r="L38" i="144"/>
  <c r="M38" i="144"/>
  <c r="N38" i="144"/>
  <c r="P38" i="144"/>
  <c r="I38" i="146"/>
  <c r="K38" i="146"/>
  <c r="L38" i="146"/>
  <c r="M38" i="146"/>
  <c r="N38" i="146"/>
  <c r="P38" i="146"/>
  <c r="I39" i="153"/>
  <c r="K39" i="153"/>
  <c r="L39" i="153"/>
  <c r="M39" i="153"/>
  <c r="N39" i="153"/>
  <c r="P39" i="153"/>
  <c r="I39" i="152"/>
  <c r="K39" i="152"/>
  <c r="L39" i="152"/>
  <c r="M39" i="152"/>
  <c r="N39" i="152"/>
  <c r="P39" i="152"/>
  <c r="I39" i="151"/>
  <c r="K39" i="151"/>
  <c r="L39" i="151"/>
  <c r="M39" i="151"/>
  <c r="N39" i="151"/>
  <c r="P39" i="151"/>
  <c r="I39" i="149"/>
  <c r="K39" i="149"/>
  <c r="L39" i="149"/>
  <c r="M39" i="149"/>
  <c r="N39" i="149"/>
  <c r="P39" i="149"/>
  <c r="I39" i="148"/>
  <c r="K39" i="148"/>
  <c r="L39" i="148"/>
  <c r="M39" i="148"/>
  <c r="N39" i="148"/>
  <c r="P39" i="148"/>
  <c r="I39" i="147"/>
  <c r="K39" i="147"/>
  <c r="L39" i="147"/>
  <c r="M39" i="147"/>
  <c r="N39" i="147"/>
  <c r="P39" i="147"/>
  <c r="I39" i="146"/>
  <c r="K39" i="146"/>
  <c r="L39" i="146"/>
  <c r="M39" i="146"/>
  <c r="N39" i="146"/>
  <c r="P39" i="146"/>
  <c r="I39" i="145"/>
  <c r="K39" i="145"/>
  <c r="L39" i="145"/>
  <c r="M39" i="145"/>
  <c r="N39" i="145"/>
  <c r="P39" i="145"/>
  <c r="I39" i="144"/>
  <c r="K39" i="144"/>
  <c r="L39" i="144"/>
  <c r="M39" i="144"/>
  <c r="N39" i="144"/>
  <c r="P39" i="144"/>
  <c r="I40" i="153"/>
  <c r="K40" i="153"/>
  <c r="L40" i="153"/>
  <c r="M40" i="153"/>
  <c r="N40" i="153"/>
  <c r="P40" i="153"/>
  <c r="I40" i="152"/>
  <c r="K40" i="152"/>
  <c r="L40" i="152"/>
  <c r="M40" i="152"/>
  <c r="N40" i="152"/>
  <c r="P40" i="152"/>
  <c r="I40" i="149"/>
  <c r="K40" i="149"/>
  <c r="L40" i="149"/>
  <c r="M40" i="149"/>
  <c r="N40" i="149"/>
  <c r="P40" i="149"/>
  <c r="I40" i="151"/>
  <c r="K40" i="151"/>
  <c r="L40" i="151"/>
  <c r="M40" i="151"/>
  <c r="N40" i="151"/>
  <c r="P40" i="151"/>
  <c r="I40" i="148"/>
  <c r="K40" i="148"/>
  <c r="L40" i="148"/>
  <c r="M40" i="148"/>
  <c r="N40" i="148"/>
  <c r="P40" i="148"/>
  <c r="I40" i="147"/>
  <c r="K40" i="147"/>
  <c r="L40" i="147"/>
  <c r="M40" i="147"/>
  <c r="N40" i="147"/>
  <c r="P40" i="147"/>
  <c r="I40" i="146"/>
  <c r="K40" i="146"/>
  <c r="L40" i="146"/>
  <c r="M40" i="146"/>
  <c r="N40" i="146"/>
  <c r="P40" i="146"/>
  <c r="I40" i="144"/>
  <c r="K40" i="144"/>
  <c r="L40" i="144"/>
  <c r="M40" i="144"/>
  <c r="N40" i="144"/>
  <c r="P40" i="144"/>
  <c r="I40" i="145"/>
  <c r="K40" i="145"/>
  <c r="L40" i="145"/>
  <c r="M40" i="145"/>
  <c r="N40" i="145"/>
  <c r="P40" i="145"/>
  <c r="I41" i="153"/>
  <c r="K41" i="153"/>
  <c r="L41" i="153"/>
  <c r="M41" i="153"/>
  <c r="N41" i="153"/>
  <c r="P41" i="153"/>
  <c r="I41" i="152"/>
  <c r="K41" i="152"/>
  <c r="L41" i="152"/>
  <c r="M41" i="152"/>
  <c r="N41" i="152"/>
  <c r="P41" i="152"/>
  <c r="I41" i="149"/>
  <c r="K41" i="149"/>
  <c r="L41" i="149"/>
  <c r="M41" i="149"/>
  <c r="N41" i="149"/>
  <c r="P41" i="149"/>
  <c r="I41" i="151"/>
  <c r="K41" i="151"/>
  <c r="L41" i="151"/>
  <c r="M41" i="151"/>
  <c r="N41" i="151"/>
  <c r="P41" i="151"/>
  <c r="I41" i="147"/>
  <c r="K41" i="147"/>
  <c r="L41" i="147"/>
  <c r="M41" i="147"/>
  <c r="N41" i="147"/>
  <c r="P41" i="147"/>
  <c r="I41" i="148"/>
  <c r="K41" i="148"/>
  <c r="L41" i="148"/>
  <c r="M41" i="148"/>
  <c r="N41" i="148"/>
  <c r="P41" i="148"/>
  <c r="I41" i="146"/>
  <c r="K41" i="146"/>
  <c r="L41" i="146"/>
  <c r="M41" i="146"/>
  <c r="N41" i="146"/>
  <c r="P41" i="146"/>
  <c r="I41" i="145"/>
  <c r="K41" i="145"/>
  <c r="L41" i="145"/>
  <c r="M41" i="145"/>
  <c r="N41" i="145"/>
  <c r="P41" i="145"/>
  <c r="I41" i="144"/>
  <c r="K41" i="144"/>
  <c r="L41" i="144"/>
  <c r="M41" i="144"/>
  <c r="N41" i="144"/>
  <c r="P41" i="144"/>
  <c r="I42" i="153"/>
  <c r="K42" i="153"/>
  <c r="L42" i="153"/>
  <c r="M42" i="153"/>
  <c r="N42" i="153"/>
  <c r="P42" i="153"/>
  <c r="I42" i="152"/>
  <c r="K42" i="152"/>
  <c r="L42" i="152"/>
  <c r="M42" i="152"/>
  <c r="N42" i="152"/>
  <c r="P42" i="152"/>
  <c r="I42" i="151"/>
  <c r="K42" i="151"/>
  <c r="L42" i="151"/>
  <c r="M42" i="151"/>
  <c r="N42" i="151"/>
  <c r="P42" i="151"/>
  <c r="I42" i="149"/>
  <c r="K42" i="149"/>
  <c r="L42" i="149"/>
  <c r="M42" i="149"/>
  <c r="N42" i="149"/>
  <c r="P42" i="149"/>
  <c r="I42" i="148"/>
  <c r="K42" i="148"/>
  <c r="L42" i="148"/>
  <c r="M42" i="148"/>
  <c r="N42" i="148"/>
  <c r="P42" i="148"/>
  <c r="I42" i="147"/>
  <c r="K42" i="147"/>
  <c r="L42" i="147"/>
  <c r="M42" i="147"/>
  <c r="N42" i="147"/>
  <c r="P42" i="147"/>
  <c r="I42" i="145"/>
  <c r="K42" i="145"/>
  <c r="L42" i="145"/>
  <c r="M42" i="145"/>
  <c r="N42" i="145"/>
  <c r="P42" i="145"/>
  <c r="I42" i="144"/>
  <c r="K42" i="144"/>
  <c r="L42" i="144"/>
  <c r="M42" i="144"/>
  <c r="N42" i="144"/>
  <c r="P42" i="144"/>
  <c r="I42" i="146"/>
  <c r="K42" i="146"/>
  <c r="L42" i="146"/>
  <c r="M42" i="146"/>
  <c r="N42" i="146"/>
  <c r="P42" i="146"/>
  <c r="I43" i="153"/>
  <c r="K43" i="153"/>
  <c r="L43" i="153"/>
  <c r="M43" i="153"/>
  <c r="N43" i="153"/>
  <c r="P43" i="153"/>
  <c r="I43" i="152"/>
  <c r="K43" i="152"/>
  <c r="L43" i="152"/>
  <c r="M43" i="152"/>
  <c r="N43" i="152"/>
  <c r="P43" i="152"/>
  <c r="I43" i="151"/>
  <c r="K43" i="151"/>
  <c r="L43" i="151"/>
  <c r="M43" i="151"/>
  <c r="N43" i="151"/>
  <c r="P43" i="151"/>
  <c r="I43" i="149"/>
  <c r="K43" i="149"/>
  <c r="L43" i="149"/>
  <c r="M43" i="149"/>
  <c r="N43" i="149"/>
  <c r="P43" i="149"/>
  <c r="I43" i="148"/>
  <c r="K43" i="148"/>
  <c r="L43" i="148"/>
  <c r="M43" i="148"/>
  <c r="N43" i="148"/>
  <c r="P43" i="148"/>
  <c r="I43" i="147"/>
  <c r="K43" i="147"/>
  <c r="L43" i="147"/>
  <c r="M43" i="147"/>
  <c r="N43" i="147"/>
  <c r="P43" i="147"/>
  <c r="I43" i="146"/>
  <c r="K43" i="146"/>
  <c r="L43" i="146"/>
  <c r="M43" i="146"/>
  <c r="N43" i="146"/>
  <c r="P43" i="146"/>
  <c r="I43" i="145"/>
  <c r="K43" i="145"/>
  <c r="L43" i="145"/>
  <c r="M43" i="145"/>
  <c r="N43" i="145"/>
  <c r="P43" i="145"/>
  <c r="I43" i="144"/>
  <c r="K43" i="144"/>
  <c r="L43" i="144"/>
  <c r="M43" i="144"/>
  <c r="N43" i="144"/>
  <c r="P43" i="144"/>
  <c r="I44" i="153"/>
  <c r="K44" i="153"/>
  <c r="L44" i="153"/>
  <c r="M44" i="153"/>
  <c r="N44" i="153"/>
  <c r="P44" i="153"/>
  <c r="I44" i="152"/>
  <c r="K44" i="152"/>
  <c r="L44" i="152"/>
  <c r="M44" i="152"/>
  <c r="N44" i="152"/>
  <c r="P44" i="152"/>
  <c r="I44" i="149"/>
  <c r="K44" i="149"/>
  <c r="L44" i="149"/>
  <c r="M44" i="149"/>
  <c r="N44" i="149"/>
  <c r="P44" i="149"/>
  <c r="I44" i="151"/>
  <c r="K44" i="151"/>
  <c r="L44" i="151"/>
  <c r="M44" i="151"/>
  <c r="N44" i="151"/>
  <c r="P44" i="151"/>
  <c r="I44" i="148"/>
  <c r="K44" i="148"/>
  <c r="L44" i="148"/>
  <c r="M44" i="148"/>
  <c r="N44" i="148"/>
  <c r="P44" i="148"/>
  <c r="I44" i="147"/>
  <c r="K44" i="147"/>
  <c r="L44" i="147"/>
  <c r="M44" i="147"/>
  <c r="N44" i="147"/>
  <c r="P44" i="147"/>
  <c r="I44" i="146"/>
  <c r="K44" i="146"/>
  <c r="L44" i="146"/>
  <c r="M44" i="146"/>
  <c r="N44" i="146"/>
  <c r="P44" i="146"/>
  <c r="I44" i="144"/>
  <c r="K44" i="144"/>
  <c r="L44" i="144"/>
  <c r="M44" i="144"/>
  <c r="N44" i="144"/>
  <c r="P44" i="144"/>
  <c r="I44" i="145"/>
  <c r="K44" i="145"/>
  <c r="L44" i="145"/>
  <c r="M44" i="145"/>
  <c r="N44" i="145"/>
  <c r="P44" i="145"/>
  <c r="I45" i="153"/>
  <c r="K45" i="153"/>
  <c r="L45" i="153"/>
  <c r="M45" i="153"/>
  <c r="N45" i="153"/>
  <c r="P45" i="153"/>
  <c r="I45" i="152"/>
  <c r="K45" i="152"/>
  <c r="L45" i="152"/>
  <c r="M45" i="152"/>
  <c r="N45" i="152"/>
  <c r="P45" i="152"/>
  <c r="I45" i="149"/>
  <c r="K45" i="149"/>
  <c r="L45" i="149"/>
  <c r="M45" i="149"/>
  <c r="N45" i="149"/>
  <c r="P45" i="149"/>
  <c r="I45" i="151"/>
  <c r="K45" i="151"/>
  <c r="L45" i="151"/>
  <c r="M45" i="151"/>
  <c r="N45" i="151"/>
  <c r="P45" i="151"/>
  <c r="I45" i="147"/>
  <c r="K45" i="147"/>
  <c r="L45" i="147"/>
  <c r="M45" i="147"/>
  <c r="N45" i="147"/>
  <c r="P45" i="147"/>
  <c r="I45" i="148"/>
  <c r="K45" i="148"/>
  <c r="L45" i="148"/>
  <c r="M45" i="148"/>
  <c r="N45" i="148"/>
  <c r="P45" i="148"/>
  <c r="I45" i="146"/>
  <c r="K45" i="146"/>
  <c r="L45" i="146"/>
  <c r="M45" i="146"/>
  <c r="N45" i="146"/>
  <c r="P45" i="146"/>
  <c r="I45" i="145"/>
  <c r="K45" i="145"/>
  <c r="L45" i="145"/>
  <c r="M45" i="145"/>
  <c r="N45" i="145"/>
  <c r="P45" i="145"/>
  <c r="I45" i="144"/>
  <c r="K45" i="144"/>
  <c r="L45" i="144"/>
  <c r="M45" i="144"/>
  <c r="N45" i="144"/>
  <c r="P45" i="144"/>
  <c r="I46" i="153"/>
  <c r="K46" i="153"/>
  <c r="L46" i="153"/>
  <c r="M46" i="153"/>
  <c r="N46" i="153"/>
  <c r="P46" i="153"/>
  <c r="I46" i="152"/>
  <c r="K46" i="152"/>
  <c r="L46" i="152"/>
  <c r="M46" i="152"/>
  <c r="N46" i="152"/>
  <c r="P46" i="152"/>
  <c r="I46" i="151"/>
  <c r="K46" i="151"/>
  <c r="L46" i="151"/>
  <c r="M46" i="151"/>
  <c r="N46" i="151"/>
  <c r="P46" i="151"/>
  <c r="I46" i="149"/>
  <c r="K46" i="149"/>
  <c r="L46" i="149"/>
  <c r="M46" i="149"/>
  <c r="N46" i="149"/>
  <c r="P46" i="149"/>
  <c r="I46" i="148"/>
  <c r="K46" i="148"/>
  <c r="L46" i="148"/>
  <c r="M46" i="148"/>
  <c r="N46" i="148"/>
  <c r="P46" i="148"/>
  <c r="I46" i="147"/>
  <c r="K46" i="147"/>
  <c r="L46" i="147"/>
  <c r="M46" i="147"/>
  <c r="N46" i="147"/>
  <c r="P46" i="147"/>
  <c r="I46" i="145"/>
  <c r="K46" i="145"/>
  <c r="L46" i="145"/>
  <c r="M46" i="145"/>
  <c r="N46" i="145"/>
  <c r="P46" i="145"/>
  <c r="I46" i="144"/>
  <c r="K46" i="144"/>
  <c r="L46" i="144"/>
  <c r="M46" i="144"/>
  <c r="N46" i="144"/>
  <c r="P46" i="144"/>
  <c r="I46" i="146"/>
  <c r="K46" i="146"/>
  <c r="L46" i="146"/>
  <c r="M46" i="146"/>
  <c r="N46" i="146"/>
  <c r="P46" i="146"/>
  <c r="I47" i="153"/>
  <c r="K47" i="153"/>
  <c r="L47" i="153"/>
  <c r="M47" i="153"/>
  <c r="N47" i="153"/>
  <c r="P47" i="153"/>
  <c r="I47" i="152"/>
  <c r="K47" i="152"/>
  <c r="L47" i="152"/>
  <c r="M47" i="152"/>
  <c r="N47" i="152"/>
  <c r="P47" i="152"/>
  <c r="I47" i="151"/>
  <c r="K47" i="151"/>
  <c r="L47" i="151"/>
  <c r="M47" i="151"/>
  <c r="N47" i="151"/>
  <c r="P47" i="151"/>
  <c r="I47" i="149"/>
  <c r="K47" i="149"/>
  <c r="L47" i="149"/>
  <c r="M47" i="149"/>
  <c r="N47" i="149"/>
  <c r="P47" i="149"/>
  <c r="I47" i="148"/>
  <c r="K47" i="148"/>
  <c r="L47" i="148"/>
  <c r="M47" i="148"/>
  <c r="N47" i="148"/>
  <c r="P47" i="148"/>
  <c r="I47" i="147"/>
  <c r="K47" i="147"/>
  <c r="L47" i="147"/>
  <c r="M47" i="147"/>
  <c r="N47" i="147"/>
  <c r="P47" i="147"/>
  <c r="I47" i="146"/>
  <c r="K47" i="146"/>
  <c r="L47" i="146"/>
  <c r="M47" i="146"/>
  <c r="N47" i="146"/>
  <c r="P47" i="146"/>
  <c r="I47" i="145"/>
  <c r="K47" i="145"/>
  <c r="L47" i="145"/>
  <c r="M47" i="145"/>
  <c r="N47" i="145"/>
  <c r="P47" i="145"/>
  <c r="I47" i="144"/>
  <c r="K47" i="144"/>
  <c r="L47" i="144"/>
  <c r="M47" i="144"/>
  <c r="N47" i="144"/>
  <c r="P47" i="144"/>
  <c r="I48" i="153"/>
  <c r="K48" i="153"/>
  <c r="L48" i="153"/>
  <c r="M48" i="153"/>
  <c r="N48" i="153"/>
  <c r="P48" i="153"/>
  <c r="I48" i="152"/>
  <c r="K48" i="152"/>
  <c r="L48" i="152"/>
  <c r="M48" i="152"/>
  <c r="N48" i="152"/>
  <c r="P48" i="152"/>
  <c r="I48" i="149"/>
  <c r="K48" i="149"/>
  <c r="L48" i="149"/>
  <c r="M48" i="149"/>
  <c r="N48" i="149"/>
  <c r="P48" i="149"/>
  <c r="I48" i="151"/>
  <c r="K48" i="151"/>
  <c r="L48" i="151"/>
  <c r="M48" i="151"/>
  <c r="N48" i="151"/>
  <c r="P48" i="151"/>
  <c r="I48" i="148"/>
  <c r="K48" i="148"/>
  <c r="L48" i="148"/>
  <c r="M48" i="148"/>
  <c r="N48" i="148"/>
  <c r="P48" i="148"/>
  <c r="I48" i="147"/>
  <c r="K48" i="147"/>
  <c r="L48" i="147"/>
  <c r="M48" i="147"/>
  <c r="N48" i="147"/>
  <c r="P48" i="147"/>
  <c r="I48" i="146"/>
  <c r="K48" i="146"/>
  <c r="L48" i="146"/>
  <c r="M48" i="146"/>
  <c r="N48" i="146"/>
  <c r="P48" i="146"/>
  <c r="I48" i="144"/>
  <c r="K48" i="144"/>
  <c r="L48" i="144"/>
  <c r="M48" i="144"/>
  <c r="N48" i="144"/>
  <c r="P48" i="144"/>
  <c r="I48" i="145"/>
  <c r="K48" i="145"/>
  <c r="L48" i="145"/>
  <c r="M48" i="145"/>
  <c r="N48" i="145"/>
  <c r="P48" i="145"/>
  <c r="I49" i="153"/>
  <c r="K49" i="153"/>
  <c r="L49" i="153"/>
  <c r="M49" i="153"/>
  <c r="N49" i="153"/>
  <c r="P49" i="153"/>
  <c r="I49" i="152"/>
  <c r="K49" i="152"/>
  <c r="L49" i="152"/>
  <c r="M49" i="152"/>
  <c r="N49" i="152"/>
  <c r="P49" i="152"/>
  <c r="I49" i="151"/>
  <c r="K49" i="151"/>
  <c r="L49" i="151"/>
  <c r="M49" i="151"/>
  <c r="N49" i="151"/>
  <c r="P49" i="151"/>
  <c r="I49" i="149"/>
  <c r="K49" i="149"/>
  <c r="L49" i="149"/>
  <c r="M49" i="149"/>
  <c r="N49" i="149"/>
  <c r="P49" i="149"/>
  <c r="I49" i="147"/>
  <c r="K49" i="147"/>
  <c r="L49" i="147"/>
  <c r="M49" i="147"/>
  <c r="N49" i="147"/>
  <c r="P49" i="147"/>
  <c r="I49" i="148"/>
  <c r="K49" i="148"/>
  <c r="L49" i="148"/>
  <c r="M49" i="148"/>
  <c r="N49" i="148"/>
  <c r="P49" i="148"/>
  <c r="I49" i="146"/>
  <c r="K49" i="146"/>
  <c r="L49" i="146"/>
  <c r="M49" i="146"/>
  <c r="N49" i="146"/>
  <c r="P49" i="146"/>
  <c r="I49" i="145"/>
  <c r="K49" i="145"/>
  <c r="L49" i="145"/>
  <c r="M49" i="145"/>
  <c r="N49" i="145"/>
  <c r="P49" i="145"/>
  <c r="I49" i="144"/>
  <c r="K49" i="144"/>
  <c r="L49" i="144"/>
  <c r="M49" i="144"/>
  <c r="N49" i="144"/>
  <c r="P49" i="144"/>
  <c r="I50" i="153"/>
  <c r="K50" i="153"/>
  <c r="L50" i="153"/>
  <c r="M50" i="153"/>
  <c r="N50" i="153"/>
  <c r="P50" i="153"/>
  <c r="I50" i="152"/>
  <c r="K50" i="152"/>
  <c r="L50" i="152"/>
  <c r="M50" i="152"/>
  <c r="N50" i="152"/>
  <c r="P50" i="152"/>
  <c r="I50" i="151"/>
  <c r="K50" i="151"/>
  <c r="L50" i="151"/>
  <c r="M50" i="151"/>
  <c r="N50" i="151"/>
  <c r="P50" i="151"/>
  <c r="I50" i="149"/>
  <c r="K50" i="149"/>
  <c r="L50" i="149"/>
  <c r="M50" i="149"/>
  <c r="N50" i="149"/>
  <c r="P50" i="149"/>
  <c r="I50" i="148"/>
  <c r="K50" i="148"/>
  <c r="L50" i="148"/>
  <c r="M50" i="148"/>
  <c r="N50" i="148"/>
  <c r="P50" i="148"/>
  <c r="I50" i="147"/>
  <c r="K50" i="147"/>
  <c r="L50" i="147"/>
  <c r="M50" i="147"/>
  <c r="N50" i="147"/>
  <c r="P50" i="147"/>
  <c r="I50" i="144"/>
  <c r="K50" i="144"/>
  <c r="L50" i="144"/>
  <c r="M50" i="144"/>
  <c r="N50" i="144"/>
  <c r="P50" i="144"/>
  <c r="I50" i="146"/>
  <c r="K50" i="146"/>
  <c r="L50" i="146"/>
  <c r="M50" i="146"/>
  <c r="N50" i="146"/>
  <c r="P50" i="146"/>
  <c r="I50" i="145"/>
  <c r="K50" i="145"/>
  <c r="L50" i="145"/>
  <c r="M50" i="145"/>
  <c r="N50" i="145"/>
  <c r="P50" i="145"/>
  <c r="I51" i="153"/>
  <c r="K51" i="153"/>
  <c r="L51" i="153"/>
  <c r="M51" i="153"/>
  <c r="N51" i="153"/>
  <c r="P51" i="153"/>
  <c r="I51" i="152"/>
  <c r="K51" i="152"/>
  <c r="L51" i="152"/>
  <c r="M51" i="152"/>
  <c r="N51" i="152"/>
  <c r="P51" i="152"/>
  <c r="I51" i="149"/>
  <c r="K51" i="149"/>
  <c r="L51" i="149"/>
  <c r="M51" i="149"/>
  <c r="N51" i="149"/>
  <c r="P51" i="149"/>
  <c r="I51" i="151"/>
  <c r="K51" i="151"/>
  <c r="L51" i="151"/>
  <c r="M51" i="151"/>
  <c r="N51" i="151"/>
  <c r="P51" i="151"/>
  <c r="I51" i="148"/>
  <c r="K51" i="148"/>
  <c r="L51" i="148"/>
  <c r="M51" i="148"/>
  <c r="N51" i="148"/>
  <c r="P51" i="148"/>
  <c r="I51" i="147"/>
  <c r="K51" i="147"/>
  <c r="L51" i="147"/>
  <c r="M51" i="147"/>
  <c r="N51" i="147"/>
  <c r="P51" i="147"/>
  <c r="I51" i="146"/>
  <c r="K51" i="146"/>
  <c r="L51" i="146"/>
  <c r="M51" i="146"/>
  <c r="N51" i="146"/>
  <c r="P51" i="146"/>
  <c r="I51" i="145"/>
  <c r="K51" i="145"/>
  <c r="L51" i="145"/>
  <c r="M51" i="145"/>
  <c r="N51" i="145"/>
  <c r="P51" i="145"/>
  <c r="I51" i="144"/>
  <c r="K51" i="144"/>
  <c r="L51" i="144"/>
  <c r="M51" i="144"/>
  <c r="N51" i="144"/>
  <c r="P51" i="144"/>
  <c r="I52" i="153"/>
  <c r="K52" i="153"/>
  <c r="L52" i="153"/>
  <c r="M52" i="153"/>
  <c r="N52" i="153"/>
  <c r="P52" i="153"/>
  <c r="I52" i="152"/>
  <c r="K52" i="152"/>
  <c r="L52" i="152"/>
  <c r="M52" i="152"/>
  <c r="N52" i="152"/>
  <c r="P52" i="152"/>
  <c r="I52" i="149"/>
  <c r="K52" i="149"/>
  <c r="L52" i="149"/>
  <c r="M52" i="149"/>
  <c r="N52" i="149"/>
  <c r="P52" i="149"/>
  <c r="I52" i="151"/>
  <c r="K52" i="151"/>
  <c r="L52" i="151"/>
  <c r="M52" i="151"/>
  <c r="N52" i="151"/>
  <c r="P52" i="151"/>
  <c r="I52" i="148"/>
  <c r="K52" i="148"/>
  <c r="L52" i="148"/>
  <c r="M52" i="148"/>
  <c r="N52" i="148"/>
  <c r="P52" i="148"/>
  <c r="I52" i="147"/>
  <c r="K52" i="147"/>
  <c r="L52" i="147"/>
  <c r="M52" i="147"/>
  <c r="N52" i="147"/>
  <c r="P52" i="147"/>
  <c r="I52" i="146"/>
  <c r="K52" i="146"/>
  <c r="L52" i="146"/>
  <c r="M52" i="146"/>
  <c r="N52" i="146"/>
  <c r="P52" i="146"/>
  <c r="I52" i="144"/>
  <c r="K52" i="144"/>
  <c r="L52" i="144"/>
  <c r="M52" i="144"/>
  <c r="N52" i="144"/>
  <c r="P52" i="144"/>
  <c r="I52" i="145"/>
  <c r="K52" i="145"/>
  <c r="L52" i="145"/>
  <c r="M52" i="145"/>
  <c r="N52" i="145"/>
  <c r="P52" i="145"/>
  <c r="I53" i="153"/>
  <c r="K53" i="153"/>
  <c r="L53" i="153"/>
  <c r="M53" i="153"/>
  <c r="N53" i="153"/>
  <c r="P53" i="153"/>
  <c r="I53" i="152"/>
  <c r="K53" i="152"/>
  <c r="L53" i="152"/>
  <c r="M53" i="152"/>
  <c r="N53" i="152"/>
  <c r="P53" i="152"/>
  <c r="I53" i="151"/>
  <c r="K53" i="151"/>
  <c r="L53" i="151"/>
  <c r="M53" i="151"/>
  <c r="N53" i="151"/>
  <c r="P53" i="151"/>
  <c r="I53" i="149"/>
  <c r="K53" i="149"/>
  <c r="L53" i="149"/>
  <c r="M53" i="149"/>
  <c r="N53" i="149"/>
  <c r="P53" i="149"/>
  <c r="I53" i="148"/>
  <c r="K53" i="148"/>
  <c r="L53" i="148"/>
  <c r="M53" i="148"/>
  <c r="N53" i="148"/>
  <c r="P53" i="148"/>
  <c r="I53" i="147"/>
  <c r="K53" i="147"/>
  <c r="L53" i="147"/>
  <c r="M53" i="147"/>
  <c r="N53" i="147"/>
  <c r="P53" i="147"/>
  <c r="I53" i="145"/>
  <c r="K53" i="145"/>
  <c r="L53" i="145"/>
  <c r="M53" i="145"/>
  <c r="N53" i="145"/>
  <c r="P53" i="145"/>
  <c r="I53" i="146"/>
  <c r="K53" i="146"/>
  <c r="L53" i="146"/>
  <c r="M53" i="146"/>
  <c r="N53" i="146"/>
  <c r="P53" i="146"/>
  <c r="I53" i="144"/>
  <c r="K53" i="144"/>
  <c r="L53" i="144"/>
  <c r="M53" i="144"/>
  <c r="N53" i="144"/>
  <c r="P53" i="144"/>
  <c r="I54" i="153"/>
  <c r="K54" i="153"/>
  <c r="L54" i="153"/>
  <c r="M54" i="153"/>
  <c r="N54" i="153"/>
  <c r="P54" i="153"/>
  <c r="I54" i="152"/>
  <c r="K54" i="152"/>
  <c r="L54" i="152"/>
  <c r="M54" i="152"/>
  <c r="N54" i="152"/>
  <c r="P54" i="152"/>
  <c r="I54" i="151"/>
  <c r="K54" i="151"/>
  <c r="L54" i="151"/>
  <c r="M54" i="151"/>
  <c r="N54" i="151"/>
  <c r="P54" i="151"/>
  <c r="I54" i="149"/>
  <c r="K54" i="149"/>
  <c r="L54" i="149"/>
  <c r="M54" i="149"/>
  <c r="N54" i="149"/>
  <c r="P54" i="149"/>
  <c r="I54" i="148"/>
  <c r="K54" i="148"/>
  <c r="L54" i="148"/>
  <c r="M54" i="148"/>
  <c r="N54" i="148"/>
  <c r="P54" i="148"/>
  <c r="I54" i="147"/>
  <c r="K54" i="147"/>
  <c r="L54" i="147"/>
  <c r="M54" i="147"/>
  <c r="N54" i="147"/>
  <c r="P54" i="147"/>
  <c r="I54" i="144"/>
  <c r="K54" i="144"/>
  <c r="L54" i="144"/>
  <c r="M54" i="144"/>
  <c r="N54" i="144"/>
  <c r="P54" i="144"/>
  <c r="I54" i="146"/>
  <c r="K54" i="146"/>
  <c r="L54" i="146"/>
  <c r="M54" i="146"/>
  <c r="N54" i="146"/>
  <c r="P54" i="146"/>
  <c r="I54" i="145"/>
  <c r="K54" i="145"/>
  <c r="L54" i="145"/>
  <c r="M54" i="145"/>
  <c r="N54" i="145"/>
  <c r="P54" i="145"/>
  <c r="I55" i="152"/>
  <c r="K55" i="152"/>
  <c r="L55" i="152"/>
  <c r="M55" i="152"/>
  <c r="N55" i="152"/>
  <c r="P55" i="152"/>
  <c r="I55" i="149"/>
  <c r="K55" i="149"/>
  <c r="L55" i="149"/>
  <c r="M55" i="149"/>
  <c r="N55" i="149"/>
  <c r="P55" i="149"/>
  <c r="I55" i="151"/>
  <c r="K55" i="151"/>
  <c r="L55" i="151"/>
  <c r="M55" i="151"/>
  <c r="N55" i="151"/>
  <c r="P55" i="151"/>
  <c r="I55" i="148"/>
  <c r="K55" i="148"/>
  <c r="L55" i="148"/>
  <c r="M55" i="148"/>
  <c r="N55" i="148"/>
  <c r="P55" i="148"/>
  <c r="I55" i="147"/>
  <c r="K55" i="147"/>
  <c r="L55" i="147"/>
  <c r="M55" i="147"/>
  <c r="N55" i="147"/>
  <c r="P55" i="147"/>
  <c r="I55" i="146"/>
  <c r="K55" i="146"/>
  <c r="L55" i="146"/>
  <c r="M55" i="146"/>
  <c r="N55" i="146"/>
  <c r="P55" i="146"/>
  <c r="I55" i="145"/>
  <c r="K55" i="145"/>
  <c r="L55" i="145"/>
  <c r="M55" i="145"/>
  <c r="N55" i="145"/>
  <c r="P55" i="145"/>
  <c r="I55" i="144"/>
  <c r="K55" i="144"/>
  <c r="L55" i="144"/>
  <c r="M55" i="144"/>
  <c r="N55" i="144"/>
  <c r="P55" i="144"/>
  <c r="I56" i="153"/>
  <c r="K56" i="153"/>
  <c r="L56" i="153"/>
  <c r="M56" i="153"/>
  <c r="N56" i="153"/>
  <c r="P56" i="153"/>
  <c r="I56" i="152"/>
  <c r="K56" i="152"/>
  <c r="L56" i="152"/>
  <c r="M56" i="152"/>
  <c r="N56" i="152"/>
  <c r="P56" i="152"/>
  <c r="I56" i="149"/>
  <c r="K56" i="149"/>
  <c r="L56" i="149"/>
  <c r="M56" i="149"/>
  <c r="N56" i="149"/>
  <c r="P56" i="149"/>
  <c r="I56" i="151"/>
  <c r="K56" i="151"/>
  <c r="L56" i="151"/>
  <c r="M56" i="151"/>
  <c r="N56" i="151"/>
  <c r="P56" i="151"/>
  <c r="I56" i="148"/>
  <c r="K56" i="148"/>
  <c r="L56" i="148"/>
  <c r="M56" i="148"/>
  <c r="N56" i="148"/>
  <c r="P56" i="148"/>
  <c r="I56" i="147"/>
  <c r="K56" i="147"/>
  <c r="L56" i="147"/>
  <c r="M56" i="147"/>
  <c r="N56" i="147"/>
  <c r="P56" i="147"/>
  <c r="I56" i="146"/>
  <c r="K56" i="146"/>
  <c r="L56" i="146"/>
  <c r="M56" i="146"/>
  <c r="N56" i="146"/>
  <c r="P56" i="146"/>
  <c r="I56" i="144"/>
  <c r="K56" i="144"/>
  <c r="L56" i="144"/>
  <c r="M56" i="144"/>
  <c r="N56" i="144"/>
  <c r="P56" i="144"/>
  <c r="I56" i="145"/>
  <c r="K56" i="145"/>
  <c r="L56" i="145"/>
  <c r="M56" i="145"/>
  <c r="N56" i="145"/>
  <c r="P56" i="145"/>
  <c r="I57" i="153"/>
  <c r="K57" i="153"/>
  <c r="L57" i="153"/>
  <c r="M57" i="153"/>
  <c r="N57" i="153"/>
  <c r="P57" i="153"/>
  <c r="I57" i="152"/>
  <c r="K57" i="152"/>
  <c r="L57" i="152"/>
  <c r="M57" i="152"/>
  <c r="N57" i="152"/>
  <c r="P57" i="152"/>
  <c r="I57" i="151"/>
  <c r="K57" i="151"/>
  <c r="L57" i="151"/>
  <c r="M57" i="151"/>
  <c r="N57" i="151"/>
  <c r="P57" i="151"/>
  <c r="I57" i="149"/>
  <c r="K57" i="149"/>
  <c r="L57" i="149"/>
  <c r="M57" i="149"/>
  <c r="N57" i="149"/>
  <c r="P57" i="149"/>
  <c r="I57" i="148"/>
  <c r="K57" i="148"/>
  <c r="L57" i="148"/>
  <c r="M57" i="148"/>
  <c r="N57" i="148"/>
  <c r="P57" i="148"/>
  <c r="I57" i="147"/>
  <c r="K57" i="147"/>
  <c r="L57" i="147"/>
  <c r="M57" i="147"/>
  <c r="N57" i="147"/>
  <c r="P57" i="147"/>
  <c r="I57" i="145"/>
  <c r="K57" i="145"/>
  <c r="L57" i="145"/>
  <c r="M57" i="145"/>
  <c r="N57" i="145"/>
  <c r="P57" i="145"/>
  <c r="I57" i="146"/>
  <c r="K57" i="146"/>
  <c r="L57" i="146"/>
  <c r="M57" i="146"/>
  <c r="N57" i="146"/>
  <c r="P57" i="146"/>
  <c r="I57" i="144"/>
  <c r="K57" i="144"/>
  <c r="L57" i="144"/>
  <c r="M57" i="144"/>
  <c r="N57" i="144"/>
  <c r="P57" i="144"/>
  <c r="I58" i="153"/>
  <c r="K58" i="153"/>
  <c r="L58" i="153"/>
  <c r="M58" i="153"/>
  <c r="N58" i="153"/>
  <c r="P58" i="153"/>
  <c r="I58" i="152"/>
  <c r="K58" i="152"/>
  <c r="L58" i="152"/>
  <c r="M58" i="152"/>
  <c r="N58" i="152"/>
  <c r="P58" i="152"/>
  <c r="I58" i="151"/>
  <c r="K58" i="151"/>
  <c r="L58" i="151"/>
  <c r="M58" i="151"/>
  <c r="N58" i="151"/>
  <c r="P58" i="151"/>
  <c r="I58" i="149"/>
  <c r="K58" i="149"/>
  <c r="L58" i="149"/>
  <c r="M58" i="149"/>
  <c r="N58" i="149"/>
  <c r="P58" i="149"/>
  <c r="I58" i="147"/>
  <c r="K58" i="147"/>
  <c r="L58" i="147"/>
  <c r="M58" i="147"/>
  <c r="N58" i="147"/>
  <c r="P58" i="147"/>
  <c r="I58" i="148"/>
  <c r="K58" i="148"/>
  <c r="L58" i="148"/>
  <c r="M58" i="148"/>
  <c r="N58" i="148"/>
  <c r="P58" i="148"/>
  <c r="I58" i="144"/>
  <c r="K58" i="144"/>
  <c r="L58" i="144"/>
  <c r="M58" i="144"/>
  <c r="N58" i="144"/>
  <c r="P58" i="144"/>
  <c r="I58" i="146"/>
  <c r="K58" i="146"/>
  <c r="L58" i="146"/>
  <c r="M58" i="146"/>
  <c r="N58" i="146"/>
  <c r="P58" i="146"/>
  <c r="I58" i="145"/>
  <c r="K58" i="145"/>
  <c r="L58" i="145"/>
  <c r="M58" i="145"/>
  <c r="N58" i="145"/>
  <c r="P58" i="145"/>
  <c r="I59" i="152"/>
  <c r="K59" i="152"/>
  <c r="L59" i="152"/>
  <c r="M59" i="152"/>
  <c r="N59" i="152"/>
  <c r="P59" i="152"/>
  <c r="I59" i="149"/>
  <c r="K59" i="149"/>
  <c r="L59" i="149"/>
  <c r="M59" i="149"/>
  <c r="N59" i="149"/>
  <c r="P59" i="149"/>
  <c r="I59" i="151"/>
  <c r="K59" i="151"/>
  <c r="L59" i="151"/>
  <c r="M59" i="151"/>
  <c r="N59" i="151"/>
  <c r="P59" i="151"/>
  <c r="I59" i="148"/>
  <c r="K59" i="148"/>
  <c r="L59" i="148"/>
  <c r="M59" i="148"/>
  <c r="N59" i="148"/>
  <c r="P59" i="148"/>
  <c r="I59" i="147"/>
  <c r="K59" i="147"/>
  <c r="L59" i="147"/>
  <c r="M59" i="147"/>
  <c r="N59" i="147"/>
  <c r="P59" i="147"/>
  <c r="I59" i="146"/>
  <c r="K59" i="146"/>
  <c r="L59" i="146"/>
  <c r="M59" i="146"/>
  <c r="N59" i="146"/>
  <c r="P59" i="146"/>
  <c r="I59" i="145"/>
  <c r="K59" i="145"/>
  <c r="L59" i="145"/>
  <c r="M59" i="145"/>
  <c r="N59" i="145"/>
  <c r="P59" i="145"/>
  <c r="I59" i="144"/>
  <c r="K59" i="144"/>
  <c r="L59" i="144"/>
  <c r="M59" i="144"/>
  <c r="N59" i="144"/>
  <c r="P59" i="144"/>
  <c r="I60" i="153"/>
  <c r="K60" i="153"/>
  <c r="L60" i="153"/>
  <c r="M60" i="153"/>
  <c r="N60" i="153"/>
  <c r="P60" i="153"/>
  <c r="I60" i="152"/>
  <c r="K60" i="152"/>
  <c r="L60" i="152"/>
  <c r="M60" i="152"/>
  <c r="N60" i="152"/>
  <c r="P60" i="152"/>
  <c r="I60" i="151"/>
  <c r="K60" i="151"/>
  <c r="L60" i="151"/>
  <c r="M60" i="151"/>
  <c r="N60" i="151"/>
  <c r="P60" i="151"/>
  <c r="I60" i="149"/>
  <c r="K60" i="149"/>
  <c r="L60" i="149"/>
  <c r="M60" i="149"/>
  <c r="N60" i="149"/>
  <c r="P60" i="149"/>
  <c r="I60" i="148"/>
  <c r="K60" i="148"/>
  <c r="L60" i="148"/>
  <c r="M60" i="148"/>
  <c r="N60" i="148"/>
  <c r="P60" i="148"/>
  <c r="I60" i="147"/>
  <c r="K60" i="147"/>
  <c r="L60" i="147"/>
  <c r="M60" i="147"/>
  <c r="N60" i="147"/>
  <c r="P60" i="147"/>
  <c r="I60" i="146"/>
  <c r="K60" i="146"/>
  <c r="L60" i="146"/>
  <c r="M60" i="146"/>
  <c r="N60" i="146"/>
  <c r="P60" i="146"/>
  <c r="I60" i="144"/>
  <c r="K60" i="144"/>
  <c r="L60" i="144"/>
  <c r="M60" i="144"/>
  <c r="N60" i="144"/>
  <c r="P60" i="144"/>
  <c r="I60" i="145"/>
  <c r="K60" i="145"/>
  <c r="L60" i="145"/>
  <c r="M60" i="145"/>
  <c r="N60" i="145"/>
  <c r="P60" i="145"/>
  <c r="I61" i="152"/>
  <c r="K61" i="152"/>
  <c r="L61" i="152"/>
  <c r="M61" i="152"/>
  <c r="N61" i="152"/>
  <c r="P61" i="152"/>
  <c r="I61" i="151"/>
  <c r="K61" i="151"/>
  <c r="L61" i="151"/>
  <c r="M61" i="151"/>
  <c r="N61" i="151"/>
  <c r="P61" i="151"/>
  <c r="I61" i="149"/>
  <c r="K61" i="149"/>
  <c r="L61" i="149"/>
  <c r="M61" i="149"/>
  <c r="N61" i="149"/>
  <c r="P61" i="149"/>
  <c r="I61" i="148"/>
  <c r="K61" i="148"/>
  <c r="L61" i="148"/>
  <c r="M61" i="148"/>
  <c r="N61" i="148"/>
  <c r="P61" i="148"/>
  <c r="I61" i="147"/>
  <c r="K61" i="147"/>
  <c r="L61" i="147"/>
  <c r="M61" i="147"/>
  <c r="N61" i="147"/>
  <c r="P61" i="147"/>
  <c r="I61" i="145"/>
  <c r="K61" i="145"/>
  <c r="L61" i="145"/>
  <c r="M61" i="145"/>
  <c r="N61" i="145"/>
  <c r="P61" i="145"/>
  <c r="I61" i="146"/>
  <c r="K61" i="146"/>
  <c r="L61" i="146"/>
  <c r="M61" i="146"/>
  <c r="N61" i="146"/>
  <c r="P61" i="146"/>
  <c r="I61" i="144"/>
  <c r="K61" i="144"/>
  <c r="L61" i="144"/>
  <c r="M61" i="144"/>
  <c r="N61" i="144"/>
  <c r="P61" i="144"/>
  <c r="I62" i="153"/>
  <c r="K62" i="153"/>
  <c r="L62" i="153"/>
  <c r="M62" i="153"/>
  <c r="N62" i="153"/>
  <c r="P62" i="153"/>
  <c r="I62" i="151"/>
  <c r="K62" i="151"/>
  <c r="L62" i="151"/>
  <c r="M62" i="151"/>
  <c r="N62" i="151"/>
  <c r="P62" i="151"/>
  <c r="I62" i="149"/>
  <c r="K62" i="149"/>
  <c r="L62" i="149"/>
  <c r="M62" i="149"/>
  <c r="N62" i="149"/>
  <c r="P62" i="149"/>
  <c r="I62" i="147"/>
  <c r="K62" i="147"/>
  <c r="L62" i="147"/>
  <c r="M62" i="147"/>
  <c r="N62" i="147"/>
  <c r="P62" i="147"/>
  <c r="I62" i="148"/>
  <c r="K62" i="148"/>
  <c r="L62" i="148"/>
  <c r="M62" i="148"/>
  <c r="N62" i="148"/>
  <c r="P62" i="148"/>
  <c r="I62" i="144"/>
  <c r="K62" i="144"/>
  <c r="L62" i="144"/>
  <c r="M62" i="144"/>
  <c r="N62" i="144"/>
  <c r="P62" i="144"/>
  <c r="I62" i="146"/>
  <c r="K62" i="146"/>
  <c r="L62" i="146"/>
  <c r="M62" i="146"/>
  <c r="N62" i="146"/>
  <c r="P62" i="146"/>
  <c r="I62" i="145"/>
  <c r="K62" i="145"/>
  <c r="L62" i="145"/>
  <c r="M62" i="145"/>
  <c r="N62" i="145"/>
  <c r="P62" i="145"/>
  <c r="I63" i="152"/>
  <c r="K63" i="152"/>
  <c r="L63" i="152"/>
  <c r="M63" i="152"/>
  <c r="N63" i="152"/>
  <c r="P63" i="152"/>
  <c r="I63" i="149"/>
  <c r="K63" i="149"/>
  <c r="L63" i="149"/>
  <c r="M63" i="149"/>
  <c r="N63" i="149"/>
  <c r="P63" i="149"/>
  <c r="I63" i="151"/>
  <c r="K63" i="151"/>
  <c r="L63" i="151"/>
  <c r="M63" i="151"/>
  <c r="N63" i="151"/>
  <c r="P63" i="151"/>
  <c r="I63" i="148"/>
  <c r="K63" i="148"/>
  <c r="L63" i="148"/>
  <c r="M63" i="148"/>
  <c r="N63" i="148"/>
  <c r="P63" i="148"/>
  <c r="I63" i="147"/>
  <c r="K63" i="147"/>
  <c r="L63" i="147"/>
  <c r="M63" i="147"/>
  <c r="N63" i="147"/>
  <c r="P63" i="147"/>
  <c r="I63" i="146"/>
  <c r="K63" i="146"/>
  <c r="L63" i="146"/>
  <c r="M63" i="146"/>
  <c r="N63" i="146"/>
  <c r="P63" i="146"/>
  <c r="I63" i="145"/>
  <c r="K63" i="145"/>
  <c r="L63" i="145"/>
  <c r="M63" i="145"/>
  <c r="N63" i="145"/>
  <c r="P63" i="145"/>
  <c r="I63" i="144"/>
  <c r="K63" i="144"/>
  <c r="L63" i="144"/>
  <c r="M63" i="144"/>
  <c r="N63" i="144"/>
  <c r="P63" i="144"/>
  <c r="I64" i="153"/>
  <c r="K64" i="153"/>
  <c r="L64" i="153"/>
  <c r="M64" i="153"/>
  <c r="N64" i="153"/>
  <c r="P64" i="153"/>
  <c r="I64" i="151"/>
  <c r="K64" i="151"/>
  <c r="L64" i="151"/>
  <c r="M64" i="151"/>
  <c r="N64" i="151"/>
  <c r="P64" i="151"/>
  <c r="I64" i="149"/>
  <c r="K64" i="149"/>
  <c r="L64" i="149"/>
  <c r="M64" i="149"/>
  <c r="N64" i="149"/>
  <c r="P64" i="149"/>
  <c r="I64" i="148"/>
  <c r="K64" i="148"/>
  <c r="L64" i="148"/>
  <c r="M64" i="148"/>
  <c r="N64" i="148"/>
  <c r="P64" i="148"/>
  <c r="I64" i="147"/>
  <c r="K64" i="147"/>
  <c r="L64" i="147"/>
  <c r="M64" i="147"/>
  <c r="N64" i="147"/>
  <c r="P64" i="147"/>
  <c r="I64" i="146"/>
  <c r="K64" i="146"/>
  <c r="L64" i="146"/>
  <c r="M64" i="146"/>
  <c r="N64" i="146"/>
  <c r="P64" i="146"/>
  <c r="I64" i="144"/>
  <c r="K64" i="144"/>
  <c r="L64" i="144"/>
  <c r="M64" i="144"/>
  <c r="N64" i="144"/>
  <c r="P64" i="144"/>
  <c r="I64" i="145"/>
  <c r="K64" i="145"/>
  <c r="L64" i="145"/>
  <c r="M64" i="145"/>
  <c r="N64" i="145"/>
  <c r="P64" i="145"/>
  <c r="I65" i="152"/>
  <c r="K65" i="152"/>
  <c r="L65" i="152"/>
  <c r="M65" i="152"/>
  <c r="N65" i="152"/>
  <c r="P65" i="152"/>
  <c r="I65" i="149"/>
  <c r="K65" i="149"/>
  <c r="L65" i="149"/>
  <c r="M65" i="149"/>
  <c r="N65" i="149"/>
  <c r="P65" i="149"/>
  <c r="I65" i="148"/>
  <c r="K65" i="148"/>
  <c r="L65" i="148"/>
  <c r="M65" i="148"/>
  <c r="N65" i="148"/>
  <c r="P65" i="148"/>
  <c r="I65" i="147"/>
  <c r="K65" i="147"/>
  <c r="L65" i="147"/>
  <c r="M65" i="147"/>
  <c r="N65" i="147"/>
  <c r="P65" i="147"/>
  <c r="I65" i="145"/>
  <c r="K65" i="145"/>
  <c r="L65" i="145"/>
  <c r="M65" i="145"/>
  <c r="N65" i="145"/>
  <c r="P65" i="145"/>
  <c r="I65" i="146"/>
  <c r="K65" i="146"/>
  <c r="L65" i="146"/>
  <c r="M65" i="146"/>
  <c r="N65" i="146"/>
  <c r="P65" i="146"/>
  <c r="I65" i="144"/>
  <c r="K65" i="144"/>
  <c r="L65" i="144"/>
  <c r="M65" i="144"/>
  <c r="N65" i="144"/>
  <c r="P65" i="144"/>
  <c r="I66" i="153"/>
  <c r="K66" i="153"/>
  <c r="L66" i="153"/>
  <c r="M66" i="153"/>
  <c r="N66" i="153"/>
  <c r="P66" i="153"/>
  <c r="I66" i="151"/>
  <c r="K66" i="151"/>
  <c r="L66" i="151"/>
  <c r="M66" i="151"/>
  <c r="N66" i="151"/>
  <c r="P66" i="151"/>
  <c r="I66" i="149"/>
  <c r="K66" i="149"/>
  <c r="L66" i="149"/>
  <c r="M66" i="149"/>
  <c r="N66" i="149"/>
  <c r="P66" i="149"/>
  <c r="I66" i="148"/>
  <c r="K66" i="148"/>
  <c r="L66" i="148"/>
  <c r="M66" i="148"/>
  <c r="N66" i="148"/>
  <c r="P66" i="148"/>
  <c r="I66" i="147"/>
  <c r="K66" i="147"/>
  <c r="L66" i="147"/>
  <c r="M66" i="147"/>
  <c r="N66" i="147"/>
  <c r="P66" i="147"/>
  <c r="I66" i="144"/>
  <c r="K66" i="144"/>
  <c r="L66" i="144"/>
  <c r="M66" i="144"/>
  <c r="N66" i="144"/>
  <c r="P66" i="144"/>
  <c r="I66" i="146"/>
  <c r="K66" i="146"/>
  <c r="L66" i="146"/>
  <c r="M66" i="146"/>
  <c r="N66" i="146"/>
  <c r="P66" i="146"/>
  <c r="I66" i="145"/>
  <c r="K66" i="145"/>
  <c r="L66" i="145"/>
  <c r="M66" i="145"/>
  <c r="N66" i="145"/>
  <c r="P66" i="145"/>
  <c r="I67" i="149"/>
  <c r="K67" i="149"/>
  <c r="L67" i="149"/>
  <c r="M67" i="149"/>
  <c r="N67" i="149"/>
  <c r="P67" i="149"/>
  <c r="I67" i="151"/>
  <c r="K67" i="151"/>
  <c r="L67" i="151"/>
  <c r="M67" i="151"/>
  <c r="N67" i="151"/>
  <c r="P67" i="151"/>
  <c r="I67" i="148"/>
  <c r="K67" i="148"/>
  <c r="L67" i="148"/>
  <c r="M67" i="148"/>
  <c r="N67" i="148"/>
  <c r="P67" i="148"/>
  <c r="I67" i="147"/>
  <c r="K67" i="147"/>
  <c r="L67" i="147"/>
  <c r="M67" i="147"/>
  <c r="N67" i="147"/>
  <c r="P67" i="147"/>
  <c r="I67" i="146"/>
  <c r="K67" i="146"/>
  <c r="L67" i="146"/>
  <c r="M67" i="146"/>
  <c r="N67" i="146"/>
  <c r="P67" i="146"/>
  <c r="I67" i="145"/>
  <c r="K67" i="145"/>
  <c r="L67" i="145"/>
  <c r="M67" i="145"/>
  <c r="N67" i="145"/>
  <c r="P67" i="145"/>
  <c r="I67" i="144"/>
  <c r="K67" i="144"/>
  <c r="L67" i="144"/>
  <c r="M67" i="144"/>
  <c r="N67" i="144"/>
  <c r="P67" i="144"/>
  <c r="I68" i="153"/>
  <c r="K68" i="153"/>
  <c r="L68" i="153"/>
  <c r="M68" i="153"/>
  <c r="N68" i="153"/>
  <c r="P68" i="153"/>
  <c r="I68" i="152"/>
  <c r="K68" i="152"/>
  <c r="L68" i="152"/>
  <c r="M68" i="152"/>
  <c r="N68" i="152"/>
  <c r="P68" i="152"/>
  <c r="I68" i="149"/>
  <c r="K68" i="149"/>
  <c r="L68" i="149"/>
  <c r="M68" i="149"/>
  <c r="N68" i="149"/>
  <c r="P68" i="149"/>
  <c r="I68" i="148"/>
  <c r="K68" i="148"/>
  <c r="L68" i="148"/>
  <c r="M68" i="148"/>
  <c r="N68" i="148"/>
  <c r="P68" i="148"/>
  <c r="I68" i="147"/>
  <c r="K68" i="147"/>
  <c r="L68" i="147"/>
  <c r="M68" i="147"/>
  <c r="N68" i="147"/>
  <c r="P68" i="147"/>
  <c r="I68" i="146"/>
  <c r="K68" i="146"/>
  <c r="L68" i="146"/>
  <c r="M68" i="146"/>
  <c r="N68" i="146"/>
  <c r="P68" i="146"/>
  <c r="I68" i="144"/>
  <c r="K68" i="144"/>
  <c r="L68" i="144"/>
  <c r="M68" i="144"/>
  <c r="N68" i="144"/>
  <c r="P68" i="144"/>
  <c r="I68" i="145"/>
  <c r="K68" i="145"/>
  <c r="L68" i="145"/>
  <c r="M68" i="145"/>
  <c r="N68" i="145"/>
  <c r="P68" i="145"/>
  <c r="I69" i="153"/>
  <c r="K69" i="153"/>
  <c r="L69" i="153"/>
  <c r="M69" i="153"/>
  <c r="N69" i="153"/>
  <c r="P69" i="153"/>
  <c r="I69" i="152"/>
  <c r="K69" i="152"/>
  <c r="L69" i="152"/>
  <c r="M69" i="152"/>
  <c r="N69" i="152"/>
  <c r="P69" i="152"/>
  <c r="I69" i="149"/>
  <c r="K69" i="149"/>
  <c r="L69" i="149"/>
  <c r="M69" i="149"/>
  <c r="N69" i="149"/>
  <c r="P69" i="149"/>
  <c r="I69" i="148"/>
  <c r="K69" i="148"/>
  <c r="L69" i="148"/>
  <c r="M69" i="148"/>
  <c r="N69" i="148"/>
  <c r="P69" i="148"/>
  <c r="I69" i="147"/>
  <c r="K69" i="147"/>
  <c r="L69" i="147"/>
  <c r="M69" i="147"/>
  <c r="N69" i="147"/>
  <c r="P69" i="147"/>
  <c r="I69" i="145"/>
  <c r="K69" i="145"/>
  <c r="L69" i="145"/>
  <c r="M69" i="145"/>
  <c r="N69" i="145"/>
  <c r="P69" i="145"/>
  <c r="I69" i="146"/>
  <c r="K69" i="146"/>
  <c r="L69" i="146"/>
  <c r="M69" i="146"/>
  <c r="N69" i="146"/>
  <c r="P69" i="146"/>
  <c r="I69" i="144"/>
  <c r="K69" i="144"/>
  <c r="L69" i="144"/>
  <c r="M69" i="144"/>
  <c r="N69" i="144"/>
  <c r="P69" i="144"/>
  <c r="I70" i="153"/>
  <c r="K70" i="153"/>
  <c r="L70" i="153"/>
  <c r="M70" i="153"/>
  <c r="N70" i="153"/>
  <c r="P70" i="153"/>
  <c r="I70" i="152"/>
  <c r="K70" i="152"/>
  <c r="L70" i="152"/>
  <c r="M70" i="152"/>
  <c r="N70" i="152"/>
  <c r="P70" i="152"/>
  <c r="I70" i="149"/>
  <c r="K70" i="149"/>
  <c r="L70" i="149"/>
  <c r="M70" i="149"/>
  <c r="N70" i="149"/>
  <c r="P70" i="149"/>
  <c r="I70" i="148"/>
  <c r="K70" i="148"/>
  <c r="L70" i="148"/>
  <c r="M70" i="148"/>
  <c r="N70" i="148"/>
  <c r="P70" i="148"/>
  <c r="I70" i="147"/>
  <c r="K70" i="147"/>
  <c r="L70" i="147"/>
  <c r="M70" i="147"/>
  <c r="N70" i="147"/>
  <c r="P70" i="147"/>
  <c r="I70" i="144"/>
  <c r="K70" i="144"/>
  <c r="L70" i="144"/>
  <c r="M70" i="144"/>
  <c r="N70" i="144"/>
  <c r="P70" i="144"/>
  <c r="I70" i="146"/>
  <c r="K70" i="146"/>
  <c r="L70" i="146"/>
  <c r="M70" i="146"/>
  <c r="N70" i="146"/>
  <c r="P70" i="146"/>
  <c r="I70" i="145"/>
  <c r="K70" i="145"/>
  <c r="L70" i="145"/>
  <c r="M70" i="145"/>
  <c r="N70" i="145"/>
  <c r="P70" i="145"/>
  <c r="I71" i="153"/>
  <c r="K71" i="153"/>
  <c r="L71" i="153"/>
  <c r="M71" i="153"/>
  <c r="N71" i="153"/>
  <c r="P71" i="153"/>
  <c r="I71" i="152"/>
  <c r="K71" i="152"/>
  <c r="L71" i="152"/>
  <c r="M71" i="152"/>
  <c r="N71" i="152"/>
  <c r="P71" i="152"/>
  <c r="I71" i="149"/>
  <c r="K71" i="149"/>
  <c r="L71" i="149"/>
  <c r="M71" i="149"/>
  <c r="N71" i="149"/>
  <c r="P71" i="149"/>
  <c r="I71" i="148"/>
  <c r="K71" i="148"/>
  <c r="L71" i="148"/>
  <c r="M71" i="148"/>
  <c r="N71" i="148"/>
  <c r="P71" i="148"/>
  <c r="I71" i="147"/>
  <c r="K71" i="147"/>
  <c r="L71" i="147"/>
  <c r="M71" i="147"/>
  <c r="N71" i="147"/>
  <c r="P71" i="147"/>
  <c r="I71" i="146"/>
  <c r="K71" i="146"/>
  <c r="L71" i="146"/>
  <c r="M71" i="146"/>
  <c r="N71" i="146"/>
  <c r="P71" i="146"/>
  <c r="I71" i="145"/>
  <c r="K71" i="145"/>
  <c r="L71" i="145"/>
  <c r="M71" i="145"/>
  <c r="N71" i="145"/>
  <c r="P71" i="145"/>
  <c r="I71" i="144"/>
  <c r="K71" i="144"/>
  <c r="L71" i="144"/>
  <c r="M71" i="144"/>
  <c r="N71" i="144"/>
  <c r="P71" i="144"/>
  <c r="I72" i="153"/>
  <c r="K72" i="153"/>
  <c r="L72" i="153"/>
  <c r="M72" i="153"/>
  <c r="N72" i="153"/>
  <c r="P72" i="153"/>
  <c r="I72" i="149"/>
  <c r="K72" i="149"/>
  <c r="L72" i="149"/>
  <c r="M72" i="149"/>
  <c r="N72" i="149"/>
  <c r="P72" i="149"/>
  <c r="I72" i="148"/>
  <c r="K72" i="148"/>
  <c r="L72" i="148"/>
  <c r="M72" i="148"/>
  <c r="N72" i="148"/>
  <c r="P72" i="148"/>
  <c r="I72" i="147"/>
  <c r="K72" i="147"/>
  <c r="L72" i="147"/>
  <c r="M72" i="147"/>
  <c r="N72" i="147"/>
  <c r="P72" i="147"/>
  <c r="I72" i="146"/>
  <c r="K72" i="146"/>
  <c r="L72" i="146"/>
  <c r="M72" i="146"/>
  <c r="N72" i="146"/>
  <c r="P72" i="146"/>
  <c r="I72" i="144"/>
  <c r="K72" i="144"/>
  <c r="L72" i="144"/>
  <c r="M72" i="144"/>
  <c r="N72" i="144"/>
  <c r="P72" i="144"/>
  <c r="I72" i="145"/>
  <c r="K72" i="145"/>
  <c r="L72" i="145"/>
  <c r="M72" i="145"/>
  <c r="N72" i="145"/>
  <c r="P72" i="145"/>
  <c r="I73" i="153"/>
  <c r="K73" i="153"/>
  <c r="L73" i="153"/>
  <c r="M73" i="153"/>
  <c r="N73" i="153"/>
  <c r="P73" i="153"/>
  <c r="I73" i="151"/>
  <c r="K73" i="151"/>
  <c r="L73" i="151"/>
  <c r="M73" i="151"/>
  <c r="N73" i="151"/>
  <c r="P73" i="151"/>
  <c r="I73" i="149"/>
  <c r="K73" i="149"/>
  <c r="L73" i="149"/>
  <c r="M73" i="149"/>
  <c r="N73" i="149"/>
  <c r="P73" i="149"/>
  <c r="I73" i="147"/>
  <c r="K73" i="147"/>
  <c r="L73" i="147"/>
  <c r="M73" i="147"/>
  <c r="N73" i="147"/>
  <c r="P73" i="147"/>
  <c r="I73" i="145"/>
  <c r="K73" i="145"/>
  <c r="L73" i="145"/>
  <c r="M73" i="145"/>
  <c r="N73" i="145"/>
  <c r="P73" i="145"/>
  <c r="I73" i="146"/>
  <c r="K73" i="146"/>
  <c r="L73" i="146"/>
  <c r="M73" i="146"/>
  <c r="N73" i="146"/>
  <c r="P73" i="146"/>
  <c r="I73" i="144"/>
  <c r="K73" i="144"/>
  <c r="L73" i="144"/>
  <c r="M73" i="144"/>
  <c r="N73" i="144"/>
  <c r="P73" i="144"/>
  <c r="I74" i="153"/>
  <c r="K74" i="153"/>
  <c r="L74" i="153"/>
  <c r="M74" i="153"/>
  <c r="N74" i="153"/>
  <c r="P74" i="153"/>
  <c r="I74" i="152"/>
  <c r="K74" i="152"/>
  <c r="L74" i="152"/>
  <c r="N74" i="152"/>
  <c r="P74" i="152"/>
  <c r="I74" i="151"/>
  <c r="K74" i="151"/>
  <c r="L74" i="151"/>
  <c r="N74" i="151"/>
  <c r="P74" i="151"/>
  <c r="I74" i="149"/>
  <c r="K74" i="149"/>
  <c r="L74" i="149"/>
  <c r="M74" i="149"/>
  <c r="N74" i="149"/>
  <c r="P74" i="149"/>
  <c r="I74" i="148"/>
  <c r="K74" i="148"/>
  <c r="L74" i="148"/>
  <c r="M74" i="148"/>
  <c r="N74" i="148"/>
  <c r="P74" i="148"/>
  <c r="I74" i="147"/>
  <c r="K74" i="147"/>
  <c r="L74" i="147"/>
  <c r="M74" i="147"/>
  <c r="N74" i="147"/>
  <c r="P74" i="147"/>
  <c r="I74" i="144"/>
  <c r="K74" i="144"/>
  <c r="L74" i="144"/>
  <c r="M74" i="144"/>
  <c r="N74" i="144"/>
  <c r="P74" i="144"/>
  <c r="I74" i="146"/>
  <c r="K74" i="146"/>
  <c r="L74" i="146"/>
  <c r="M74" i="146"/>
  <c r="N74" i="146"/>
  <c r="P74" i="146"/>
  <c r="I74" i="145"/>
  <c r="K74" i="145"/>
  <c r="L74" i="145"/>
  <c r="M74" i="145"/>
  <c r="N74" i="145"/>
  <c r="P74" i="145"/>
  <c r="I75" i="153"/>
  <c r="K75" i="153"/>
  <c r="L75" i="153"/>
  <c r="M75" i="153"/>
  <c r="N75" i="153"/>
  <c r="P75" i="153"/>
  <c r="I75" i="152"/>
  <c r="K75" i="152"/>
  <c r="L75" i="152"/>
  <c r="M75" i="152"/>
  <c r="N75" i="152"/>
  <c r="P75" i="152"/>
  <c r="I75" i="151"/>
  <c r="K75" i="151"/>
  <c r="L75" i="151"/>
  <c r="M75" i="151"/>
  <c r="N75" i="151"/>
  <c r="P75" i="151"/>
  <c r="I75" i="149"/>
  <c r="K75" i="149"/>
  <c r="L75" i="149"/>
  <c r="M75" i="149"/>
  <c r="N75" i="149"/>
  <c r="P75" i="149"/>
  <c r="I75" i="148"/>
  <c r="K75" i="148"/>
  <c r="L75" i="148"/>
  <c r="M75" i="148"/>
  <c r="N75" i="148"/>
  <c r="P75" i="148"/>
  <c r="I75" i="147"/>
  <c r="K75" i="147"/>
  <c r="L75" i="147"/>
  <c r="M75" i="147"/>
  <c r="N75" i="147"/>
  <c r="P75" i="147"/>
  <c r="I75" i="146"/>
  <c r="K75" i="146"/>
  <c r="L75" i="146"/>
  <c r="M75" i="146"/>
  <c r="N75" i="146"/>
  <c r="P75" i="146"/>
  <c r="I75" i="145"/>
  <c r="K75" i="145"/>
  <c r="L75" i="145"/>
  <c r="M75" i="145"/>
  <c r="N75" i="145"/>
  <c r="P75" i="145"/>
  <c r="I75" i="144"/>
  <c r="K75" i="144"/>
  <c r="L75" i="144"/>
  <c r="M75" i="144"/>
  <c r="N75" i="144"/>
  <c r="P75" i="144"/>
  <c r="I5" i="5"/>
  <c r="I6" i="5"/>
  <c r="K6" i="5"/>
  <c r="L6" i="5"/>
  <c r="N6" i="5"/>
  <c r="Q6" i="5"/>
  <c r="O47" i="31"/>
  <c r="P47" i="31"/>
  <c r="R47" i="31"/>
  <c r="U47" i="31"/>
  <c r="Y47" i="31"/>
  <c r="O69" i="31"/>
  <c r="P69" i="31"/>
  <c r="R69" i="31"/>
  <c r="U69" i="31"/>
  <c r="Y69" i="31"/>
  <c r="O65" i="31"/>
  <c r="P65" i="31"/>
  <c r="R65" i="31"/>
  <c r="U65" i="31"/>
  <c r="Y65" i="31"/>
  <c r="O57" i="31"/>
  <c r="P57" i="31"/>
  <c r="R57" i="31"/>
  <c r="U57" i="31"/>
  <c r="Y57" i="31"/>
  <c r="O49" i="31"/>
  <c r="P49" i="31"/>
  <c r="R49" i="31"/>
  <c r="U49" i="31"/>
  <c r="Y49" i="31"/>
  <c r="O45" i="31"/>
  <c r="P45" i="31"/>
  <c r="R45" i="31"/>
  <c r="U45" i="31"/>
  <c r="Y45" i="31"/>
  <c r="O31" i="31"/>
  <c r="P31" i="31"/>
  <c r="R31" i="31"/>
  <c r="U31" i="31"/>
  <c r="Y31" i="31"/>
  <c r="O27" i="31"/>
  <c r="P27" i="31"/>
  <c r="R27" i="31"/>
  <c r="U27" i="31"/>
  <c r="Y27" i="31"/>
  <c r="O21" i="31"/>
  <c r="P21" i="31"/>
  <c r="R21" i="31"/>
  <c r="U21" i="31"/>
  <c r="Y21" i="31"/>
  <c r="O15" i="31"/>
  <c r="P15" i="31"/>
  <c r="R15" i="31"/>
  <c r="U15" i="31"/>
  <c r="Y15" i="31"/>
  <c r="N44" i="31"/>
  <c r="M44" i="31"/>
  <c r="M64" i="31"/>
  <c r="N64" i="31"/>
  <c r="M48" i="31"/>
  <c r="N48" i="31"/>
  <c r="M23" i="31"/>
  <c r="N23" i="31"/>
  <c r="M13" i="31"/>
  <c r="N13" i="31"/>
  <c r="O13" i="31"/>
  <c r="P13" i="31"/>
  <c r="R13" i="31"/>
  <c r="U13" i="31"/>
  <c r="Y13" i="31"/>
  <c r="I7" i="5"/>
  <c r="K5" i="5"/>
  <c r="T75" i="145"/>
  <c r="T75" i="149"/>
  <c r="T75" i="152"/>
  <c r="T74" i="146"/>
  <c r="T74" i="147"/>
  <c r="T74" i="149"/>
  <c r="T74" i="152"/>
  <c r="T73" i="146"/>
  <c r="T73" i="147"/>
  <c r="T73" i="149"/>
  <c r="I73" i="152"/>
  <c r="K73" i="152"/>
  <c r="L73" i="152"/>
  <c r="M73" i="152"/>
  <c r="N73" i="152"/>
  <c r="P73" i="152"/>
  <c r="T72" i="144"/>
  <c r="T72" i="147"/>
  <c r="T72" i="149"/>
  <c r="I72" i="152"/>
  <c r="K72" i="152"/>
  <c r="L72" i="152"/>
  <c r="M72" i="152"/>
  <c r="N72" i="152"/>
  <c r="P72" i="152"/>
  <c r="T71" i="145"/>
  <c r="T71" i="147"/>
  <c r="T71" i="149"/>
  <c r="T71" i="152"/>
  <c r="T70" i="146"/>
  <c r="T70" i="147"/>
  <c r="T70" i="149"/>
  <c r="T70" i="152"/>
  <c r="T69" i="146"/>
  <c r="T69" i="147"/>
  <c r="T69" i="149"/>
  <c r="T69" i="152"/>
  <c r="T68" i="144"/>
  <c r="T68" i="147"/>
  <c r="T68" i="149"/>
  <c r="T68" i="152"/>
  <c r="T67" i="145"/>
  <c r="T67" i="147"/>
  <c r="T67" i="151"/>
  <c r="I67" i="152"/>
  <c r="K67" i="152"/>
  <c r="L67" i="152"/>
  <c r="M67" i="152"/>
  <c r="N67" i="152"/>
  <c r="P67" i="152"/>
  <c r="T66" i="146"/>
  <c r="T66" i="147"/>
  <c r="T66" i="149"/>
  <c r="I66" i="152"/>
  <c r="K66" i="152"/>
  <c r="L66" i="152"/>
  <c r="M66" i="152"/>
  <c r="N66" i="152"/>
  <c r="P66" i="152"/>
  <c r="T65" i="146"/>
  <c r="T65" i="147"/>
  <c r="T65" i="149"/>
  <c r="T65" i="152"/>
  <c r="T64" i="144"/>
  <c r="T64" i="147"/>
  <c r="T64" i="149"/>
  <c r="I64" i="152"/>
  <c r="K64" i="152"/>
  <c r="L64" i="152"/>
  <c r="M64" i="152"/>
  <c r="N64" i="152"/>
  <c r="P64" i="152"/>
  <c r="T63" i="145"/>
  <c r="T63" i="147"/>
  <c r="T63" i="151"/>
  <c r="T63" i="152"/>
  <c r="T62" i="146"/>
  <c r="T62" i="148"/>
  <c r="T62" i="149"/>
  <c r="I62" i="152"/>
  <c r="K62" i="152"/>
  <c r="L62" i="152"/>
  <c r="M62" i="152"/>
  <c r="N62" i="152"/>
  <c r="P62" i="152"/>
  <c r="T61" i="146"/>
  <c r="T61" i="147"/>
  <c r="T61" i="149"/>
  <c r="T61" i="152"/>
  <c r="T60" i="144"/>
  <c r="T60" i="147"/>
  <c r="T60" i="149"/>
  <c r="T60" i="152"/>
  <c r="T59" i="145"/>
  <c r="T59" i="147"/>
  <c r="T59" i="151"/>
  <c r="T59" i="152"/>
  <c r="T58" i="146"/>
  <c r="T58" i="148"/>
  <c r="T58" i="149"/>
  <c r="T58" i="152"/>
  <c r="T57" i="146"/>
  <c r="T57" i="147"/>
  <c r="T57" i="149"/>
  <c r="T57" i="152"/>
  <c r="T56" i="144"/>
  <c r="T56" i="147"/>
  <c r="T56" i="151"/>
  <c r="T56" i="152"/>
  <c r="T55" i="145"/>
  <c r="T55" i="147"/>
  <c r="T55" i="151"/>
  <c r="T55" i="152"/>
  <c r="T54" i="146"/>
  <c r="T54" i="147"/>
  <c r="T54" i="149"/>
  <c r="T54" i="152"/>
  <c r="T53" i="146"/>
  <c r="T53" i="147"/>
  <c r="T53" i="149"/>
  <c r="T53" i="152"/>
  <c r="T52" i="144"/>
  <c r="T52" i="147"/>
  <c r="T52" i="151"/>
  <c r="T52" i="152"/>
  <c r="T51" i="145"/>
  <c r="T51" i="147"/>
  <c r="T51" i="151"/>
  <c r="T51" i="152"/>
  <c r="T50" i="146"/>
  <c r="T50" i="147"/>
  <c r="T50" i="149"/>
  <c r="T50" i="152"/>
  <c r="T49" i="145"/>
  <c r="T49" i="148"/>
  <c r="T49" i="149"/>
  <c r="T49" i="152"/>
  <c r="T48" i="144"/>
  <c r="T48" i="147"/>
  <c r="T48" i="151"/>
  <c r="T48" i="152"/>
  <c r="T47" i="145"/>
  <c r="T47" i="147"/>
  <c r="T47" i="149"/>
  <c r="T47" i="152"/>
  <c r="T46" i="144"/>
  <c r="T46" i="147"/>
  <c r="T46" i="149"/>
  <c r="T46" i="152"/>
  <c r="T45" i="145"/>
  <c r="T45" i="148"/>
  <c r="T45" i="151"/>
  <c r="T45" i="152"/>
  <c r="T44" i="144"/>
  <c r="T44" i="147"/>
  <c r="T44" i="151"/>
  <c r="T44" i="152"/>
  <c r="T43" i="145"/>
  <c r="T43" i="147"/>
  <c r="T43" i="149"/>
  <c r="T43" i="152"/>
  <c r="T42" i="144"/>
  <c r="T42" i="147"/>
  <c r="T42" i="149"/>
  <c r="T42" i="152"/>
  <c r="T41" i="145"/>
  <c r="T41" i="148"/>
  <c r="T41" i="151"/>
  <c r="T41" i="152"/>
  <c r="T40" i="144"/>
  <c r="T40" i="147"/>
  <c r="T40" i="151"/>
  <c r="T40" i="152"/>
  <c r="T39" i="145"/>
  <c r="T39" i="147"/>
  <c r="T39" i="149"/>
  <c r="T39" i="152"/>
  <c r="T38" i="144"/>
  <c r="T38" i="147"/>
  <c r="T38" i="149"/>
  <c r="T38" i="152"/>
  <c r="T37" i="145"/>
  <c r="T37" i="148"/>
  <c r="T37" i="151"/>
  <c r="T37" i="152"/>
  <c r="T36" i="144"/>
  <c r="T36" i="147"/>
  <c r="T36" i="151"/>
  <c r="T36" i="152"/>
  <c r="T35" i="145"/>
  <c r="T35" i="147"/>
  <c r="T35" i="149"/>
  <c r="T35" i="152"/>
  <c r="T34" i="145"/>
  <c r="T34" i="147"/>
  <c r="T34" i="149"/>
  <c r="T34" i="152"/>
  <c r="T33" i="145"/>
  <c r="T33" i="148"/>
  <c r="T33" i="151"/>
  <c r="T33" i="152"/>
  <c r="T32" i="144"/>
  <c r="T32" i="147"/>
  <c r="T32" i="151"/>
  <c r="T32" i="152"/>
  <c r="T31" i="145"/>
  <c r="T31" i="147"/>
  <c r="T31" i="149"/>
  <c r="T31" i="152"/>
  <c r="T30" i="145"/>
  <c r="T30" i="147"/>
  <c r="T30" i="149"/>
  <c r="T30" i="152"/>
  <c r="T29" i="145"/>
  <c r="T29" i="148"/>
  <c r="T29" i="151"/>
  <c r="T29" i="152"/>
  <c r="T28" i="144"/>
  <c r="T28" i="147"/>
  <c r="T28" i="151"/>
  <c r="T28" i="152"/>
  <c r="T27" i="145"/>
  <c r="T27" i="147"/>
  <c r="T27" i="149"/>
  <c r="T27" i="152"/>
  <c r="T26" i="145"/>
  <c r="T26" i="147"/>
  <c r="T26" i="149"/>
  <c r="T26" i="152"/>
  <c r="T25" i="145"/>
  <c r="T25" i="148"/>
  <c r="T25" i="147"/>
  <c r="T25" i="152"/>
  <c r="T24" i="144"/>
  <c r="T24" i="147"/>
  <c r="T24" i="149"/>
  <c r="T24" i="152"/>
  <c r="T23" i="145"/>
  <c r="T23" i="147"/>
  <c r="T23" i="149"/>
  <c r="T23" i="152"/>
  <c r="T22" i="145"/>
  <c r="T22" i="147"/>
  <c r="T22" i="149"/>
  <c r="T22" i="152"/>
  <c r="T21" i="145"/>
  <c r="T21" i="147"/>
  <c r="T21" i="149"/>
  <c r="T21" i="152"/>
  <c r="T20" i="147"/>
  <c r="T20" i="145"/>
  <c r="T20" i="148"/>
  <c r="T20" i="152"/>
  <c r="T19" i="147"/>
  <c r="T19" i="146"/>
  <c r="T19" i="149"/>
  <c r="T19" i="152"/>
  <c r="T18" i="144"/>
  <c r="T18" i="147"/>
  <c r="T18" i="149"/>
  <c r="T18" i="152"/>
  <c r="T17" i="145"/>
  <c r="T17" i="147"/>
  <c r="T17" i="149"/>
  <c r="T17" i="152"/>
  <c r="T16" i="144"/>
  <c r="T16" i="146"/>
  <c r="T16" i="148"/>
  <c r="T16" i="152"/>
  <c r="T15" i="146"/>
  <c r="T15" i="145"/>
  <c r="T15" i="149"/>
  <c r="T15" i="152"/>
  <c r="T14" i="144"/>
  <c r="T14" i="147"/>
  <c r="T14" i="149"/>
  <c r="T14" i="152"/>
  <c r="T13" i="145"/>
  <c r="T13" i="147"/>
  <c r="T13" i="149"/>
  <c r="T13" i="151"/>
  <c r="T12" i="144"/>
  <c r="T12" i="146"/>
  <c r="T12" i="148"/>
  <c r="T12" i="151"/>
  <c r="T11" i="146"/>
  <c r="T11" i="145"/>
  <c r="T11" i="149"/>
  <c r="T11" i="152"/>
  <c r="T10" i="144"/>
  <c r="T10" i="147"/>
  <c r="T10" i="149"/>
  <c r="T10" i="152"/>
  <c r="T9" i="145"/>
  <c r="T9" i="147"/>
  <c r="T9" i="149"/>
  <c r="T9" i="151"/>
  <c r="T8" i="144"/>
  <c r="T8" i="146"/>
  <c r="T8" i="148"/>
  <c r="T8" i="151"/>
  <c r="K7" i="146"/>
  <c r="K7" i="145"/>
  <c r="K7" i="149"/>
  <c r="K7" i="152"/>
  <c r="N36" i="31"/>
  <c r="M36" i="31"/>
  <c r="N59" i="31"/>
  <c r="M59" i="31"/>
  <c r="N63" i="31"/>
  <c r="M63" i="31"/>
  <c r="N35" i="31"/>
  <c r="M35" i="31"/>
  <c r="J76" i="116"/>
  <c r="J82" i="116"/>
  <c r="J76" i="119"/>
  <c r="J82" i="119"/>
  <c r="J76" i="125"/>
  <c r="J82" i="125"/>
  <c r="J76" i="126"/>
  <c r="J82" i="126"/>
  <c r="J76" i="129"/>
  <c r="J82" i="129"/>
  <c r="J76" i="146"/>
  <c r="J82" i="146"/>
  <c r="J76" i="149"/>
  <c r="J82" i="149"/>
  <c r="J76" i="153"/>
  <c r="J82" i="153"/>
  <c r="J76" i="148"/>
  <c r="J82" i="148"/>
  <c r="X82" i="80"/>
  <c r="X82" i="76"/>
  <c r="O41" i="31"/>
  <c r="P41" i="31"/>
  <c r="R41" i="31"/>
  <c r="U41" i="31"/>
  <c r="Y41" i="31"/>
  <c r="O70" i="31"/>
  <c r="P70" i="31"/>
  <c r="R70" i="31"/>
  <c r="U70" i="31"/>
  <c r="Y70" i="31"/>
  <c r="O66" i="31"/>
  <c r="P66" i="31"/>
  <c r="R66" i="31"/>
  <c r="U66" i="31"/>
  <c r="Y66" i="31"/>
  <c r="O62" i="31"/>
  <c r="P62" i="31"/>
  <c r="R62" i="31"/>
  <c r="U62" i="31"/>
  <c r="Y62" i="31"/>
  <c r="O58" i="31"/>
  <c r="P58" i="31"/>
  <c r="R58" i="31"/>
  <c r="U58" i="31"/>
  <c r="Y58" i="31"/>
  <c r="O54" i="31"/>
  <c r="P54" i="31"/>
  <c r="R54" i="31"/>
  <c r="U54" i="31"/>
  <c r="Y54" i="31"/>
  <c r="O50" i="31"/>
  <c r="P50" i="31"/>
  <c r="R50" i="31"/>
  <c r="U50" i="31"/>
  <c r="Y50" i="31"/>
  <c r="O46" i="31"/>
  <c r="P46" i="31"/>
  <c r="R46" i="31"/>
  <c r="U46" i="31"/>
  <c r="Y46" i="31"/>
  <c r="O38" i="31"/>
  <c r="P38" i="31"/>
  <c r="R38" i="31"/>
  <c r="U38" i="31"/>
  <c r="Y38" i="31"/>
  <c r="O34" i="31"/>
  <c r="P34" i="31"/>
  <c r="R34" i="31"/>
  <c r="U34" i="31"/>
  <c r="Y34" i="31"/>
  <c r="O32" i="31"/>
  <c r="P32" i="31"/>
  <c r="R32" i="31"/>
  <c r="U32" i="31"/>
  <c r="Y32" i="31"/>
  <c r="O30" i="31"/>
  <c r="P30" i="31"/>
  <c r="R30" i="31"/>
  <c r="U30" i="31"/>
  <c r="Y30" i="31"/>
  <c r="O28" i="31"/>
  <c r="P28" i="31"/>
  <c r="R28" i="31"/>
  <c r="U28" i="31"/>
  <c r="Y28" i="31"/>
  <c r="O24" i="31"/>
  <c r="P24" i="31"/>
  <c r="R24" i="31"/>
  <c r="U24" i="31"/>
  <c r="Y24" i="31"/>
  <c r="O22" i="31"/>
  <c r="P22" i="31"/>
  <c r="R22" i="31"/>
  <c r="U22" i="31"/>
  <c r="Y22" i="31"/>
  <c r="O20" i="31"/>
  <c r="P20" i="31"/>
  <c r="R20" i="31"/>
  <c r="U20" i="31"/>
  <c r="Y20" i="31"/>
  <c r="O16" i="31"/>
  <c r="P16" i="31"/>
  <c r="R16" i="31"/>
  <c r="U16" i="31"/>
  <c r="Y16" i="31"/>
  <c r="O14" i="31"/>
  <c r="P14" i="31"/>
  <c r="R14" i="31"/>
  <c r="U14" i="31"/>
  <c r="Y14" i="31"/>
  <c r="N40" i="31"/>
  <c r="M40" i="31"/>
  <c r="M72" i="31"/>
  <c r="N72" i="31"/>
  <c r="M56" i="31"/>
  <c r="N56" i="31"/>
  <c r="M33" i="31"/>
  <c r="N33" i="31"/>
  <c r="T75" i="147"/>
  <c r="N39" i="31"/>
  <c r="M39" i="31"/>
  <c r="N68" i="31"/>
  <c r="M68" i="31"/>
  <c r="M60" i="31"/>
  <c r="N60" i="31"/>
  <c r="M52" i="31"/>
  <c r="N52" i="31"/>
  <c r="M42" i="31"/>
  <c r="N42" i="31"/>
  <c r="M37" i="31"/>
  <c r="N37" i="31"/>
  <c r="M29" i="31"/>
  <c r="N29" i="31"/>
  <c r="N19" i="31"/>
  <c r="M19" i="31"/>
  <c r="X6" i="5"/>
  <c r="T75" i="144"/>
  <c r="T75" i="146"/>
  <c r="T75" i="148"/>
  <c r="T75" i="151"/>
  <c r="T75" i="153"/>
  <c r="T74" i="145"/>
  <c r="T74" i="144"/>
  <c r="T74" i="148"/>
  <c r="T74" i="151"/>
  <c r="T74" i="153"/>
  <c r="T73" i="144"/>
  <c r="T73" i="145"/>
  <c r="I73" i="148"/>
  <c r="K73" i="148"/>
  <c r="L73" i="148"/>
  <c r="M73" i="148"/>
  <c r="N73" i="148"/>
  <c r="P73" i="148"/>
  <c r="T73" i="151"/>
  <c r="T73" i="153"/>
  <c r="T72" i="145"/>
  <c r="T72" i="146"/>
  <c r="T72" i="148"/>
  <c r="I72" i="151"/>
  <c r="K72" i="151"/>
  <c r="L72" i="151"/>
  <c r="M72" i="151"/>
  <c r="N72" i="151"/>
  <c r="P72" i="151"/>
  <c r="T72" i="153"/>
  <c r="T71" i="144"/>
  <c r="T71" i="146"/>
  <c r="T71" i="148"/>
  <c r="I71" i="151"/>
  <c r="K71" i="151"/>
  <c r="L71" i="151"/>
  <c r="M71" i="151"/>
  <c r="N71" i="151"/>
  <c r="P71" i="151"/>
  <c r="T71" i="153"/>
  <c r="T70" i="145"/>
  <c r="T70" i="144"/>
  <c r="T70" i="148"/>
  <c r="I70" i="151"/>
  <c r="K70" i="151"/>
  <c r="L70" i="151"/>
  <c r="M70" i="151"/>
  <c r="N70" i="151"/>
  <c r="P70" i="151"/>
  <c r="T70" i="153"/>
  <c r="T69" i="144"/>
  <c r="T69" i="145"/>
  <c r="T69" i="148"/>
  <c r="I69" i="151"/>
  <c r="K69" i="151"/>
  <c r="L69" i="151"/>
  <c r="M69" i="151"/>
  <c r="N69" i="151"/>
  <c r="P69" i="151"/>
  <c r="T69" i="153"/>
  <c r="T68" i="145"/>
  <c r="T68" i="146"/>
  <c r="T68" i="148"/>
  <c r="I68" i="151"/>
  <c r="K68" i="151"/>
  <c r="L68" i="151"/>
  <c r="M68" i="151"/>
  <c r="N68" i="151"/>
  <c r="P68" i="151"/>
  <c r="T68" i="153"/>
  <c r="T67" i="144"/>
  <c r="T67" i="146"/>
  <c r="T67" i="148"/>
  <c r="T67" i="149"/>
  <c r="I67" i="153"/>
  <c r="K67" i="153"/>
  <c r="L67" i="153"/>
  <c r="M67" i="153"/>
  <c r="N67" i="153"/>
  <c r="P67" i="153"/>
  <c r="T66" i="145"/>
  <c r="T66" i="144"/>
  <c r="T66" i="148"/>
  <c r="T66" i="151"/>
  <c r="T66" i="153"/>
  <c r="T65" i="144"/>
  <c r="T65" i="145"/>
  <c r="T65" i="148"/>
  <c r="I65" i="151"/>
  <c r="K65" i="151"/>
  <c r="L65" i="151"/>
  <c r="M65" i="151"/>
  <c r="N65" i="151"/>
  <c r="P65" i="151"/>
  <c r="I65" i="153"/>
  <c r="K65" i="153"/>
  <c r="L65" i="153"/>
  <c r="M65" i="153"/>
  <c r="N65" i="153"/>
  <c r="P65" i="153"/>
  <c r="T64" i="145"/>
  <c r="T64" i="146"/>
  <c r="T64" i="148"/>
  <c r="T64" i="151"/>
  <c r="T64" i="153"/>
  <c r="T63" i="144"/>
  <c r="T63" i="146"/>
  <c r="T63" i="148"/>
  <c r="T63" i="149"/>
  <c r="I63" i="153"/>
  <c r="K63" i="153"/>
  <c r="L63" i="153"/>
  <c r="M63" i="153"/>
  <c r="N63" i="153"/>
  <c r="P63" i="153"/>
  <c r="T62" i="145"/>
  <c r="T62" i="144"/>
  <c r="T62" i="147"/>
  <c r="T62" i="151"/>
  <c r="T62" i="153"/>
  <c r="T61" i="144"/>
  <c r="T61" i="145"/>
  <c r="T61" i="148"/>
  <c r="T61" i="151"/>
  <c r="I61" i="153"/>
  <c r="K61" i="153"/>
  <c r="L61" i="153"/>
  <c r="M61" i="153"/>
  <c r="N61" i="153"/>
  <c r="P61" i="153"/>
  <c r="T60" i="145"/>
  <c r="T60" i="146"/>
  <c r="T60" i="148"/>
  <c r="T60" i="151"/>
  <c r="T60" i="153"/>
  <c r="T59" i="144"/>
  <c r="T59" i="146"/>
  <c r="T59" i="148"/>
  <c r="T59" i="149"/>
  <c r="I59" i="153"/>
  <c r="K59" i="153"/>
  <c r="L59" i="153"/>
  <c r="M59" i="153"/>
  <c r="N59" i="153"/>
  <c r="P59" i="153"/>
  <c r="T58" i="145"/>
  <c r="T58" i="144"/>
  <c r="T58" i="147"/>
  <c r="T58" i="151"/>
  <c r="T58" i="153"/>
  <c r="T57" i="144"/>
  <c r="T57" i="145"/>
  <c r="T57" i="148"/>
  <c r="T57" i="151"/>
  <c r="T57" i="153"/>
  <c r="T56" i="145"/>
  <c r="T56" i="146"/>
  <c r="T56" i="148"/>
  <c r="T56" i="149"/>
  <c r="T56" i="153"/>
  <c r="T55" i="144"/>
  <c r="T55" i="146"/>
  <c r="T55" i="148"/>
  <c r="T55" i="149"/>
  <c r="I55" i="153"/>
  <c r="K55" i="153"/>
  <c r="L55" i="153"/>
  <c r="M55" i="153"/>
  <c r="N55" i="153"/>
  <c r="P55" i="153"/>
  <c r="T54" i="145"/>
  <c r="T54" i="144"/>
  <c r="T54" i="148"/>
  <c r="T54" i="151"/>
  <c r="T54" i="153"/>
  <c r="T53" i="144"/>
  <c r="T53" i="145"/>
  <c r="T53" i="148"/>
  <c r="T53" i="151"/>
  <c r="T53" i="153"/>
  <c r="T52" i="145"/>
  <c r="T52" i="146"/>
  <c r="T52" i="148"/>
  <c r="T52" i="149"/>
  <c r="T52" i="153"/>
  <c r="T51" i="144"/>
  <c r="T51" i="146"/>
  <c r="T51" i="148"/>
  <c r="T51" i="149"/>
  <c r="T51" i="153"/>
  <c r="T50" i="145"/>
  <c r="T50" i="144"/>
  <c r="T50" i="148"/>
  <c r="T50" i="151"/>
  <c r="T50" i="153"/>
  <c r="T49" i="144"/>
  <c r="T49" i="146"/>
  <c r="T49" i="147"/>
  <c r="T49" i="151"/>
  <c r="T49" i="153"/>
  <c r="T48" i="145"/>
  <c r="T48" i="146"/>
  <c r="T48" i="148"/>
  <c r="T48" i="149"/>
  <c r="T48" i="153"/>
  <c r="T47" i="144"/>
  <c r="T47" i="146"/>
  <c r="T47" i="148"/>
  <c r="T47" i="151"/>
  <c r="T47" i="153"/>
  <c r="T46" i="146"/>
  <c r="T46" i="145"/>
  <c r="T46" i="148"/>
  <c r="T46" i="151"/>
  <c r="T46" i="153"/>
  <c r="T45" i="144"/>
  <c r="T45" i="146"/>
  <c r="T45" i="147"/>
  <c r="T45" i="149"/>
  <c r="T45" i="153"/>
  <c r="T44" i="145"/>
  <c r="T44" i="146"/>
  <c r="T44" i="148"/>
  <c r="T44" i="149"/>
  <c r="T44" i="153"/>
  <c r="T43" i="144"/>
  <c r="T43" i="146"/>
  <c r="T43" i="148"/>
  <c r="T43" i="151"/>
  <c r="T43" i="153"/>
  <c r="T42" i="146"/>
  <c r="T42" i="145"/>
  <c r="T42" i="148"/>
  <c r="T42" i="151"/>
  <c r="T42" i="153"/>
  <c r="T41" i="144"/>
  <c r="T41" i="146"/>
  <c r="T41" i="147"/>
  <c r="T41" i="149"/>
  <c r="T41" i="153"/>
  <c r="T40" i="145"/>
  <c r="T40" i="146"/>
  <c r="T40" i="148"/>
  <c r="T40" i="149"/>
  <c r="T40" i="153"/>
  <c r="T39" i="144"/>
  <c r="T39" i="146"/>
  <c r="T39" i="148"/>
  <c r="T39" i="151"/>
  <c r="T39" i="153"/>
  <c r="T38" i="146"/>
  <c r="T38" i="145"/>
  <c r="T38" i="148"/>
  <c r="T38" i="151"/>
  <c r="T38" i="153"/>
  <c r="T37" i="144"/>
  <c r="T37" i="146"/>
  <c r="T37" i="147"/>
  <c r="T37" i="149"/>
  <c r="T37" i="153"/>
  <c r="T36" i="145"/>
  <c r="T36" i="146"/>
  <c r="T36" i="148"/>
  <c r="T36" i="149"/>
  <c r="T36" i="153"/>
  <c r="T35" i="144"/>
  <c r="T35" i="146"/>
  <c r="T35" i="148"/>
  <c r="T35" i="151"/>
  <c r="T35" i="153"/>
  <c r="T34" i="144"/>
  <c r="T34" i="146"/>
  <c r="T34" i="148"/>
  <c r="T34" i="151"/>
  <c r="T34" i="153"/>
  <c r="T33" i="144"/>
  <c r="T33" i="146"/>
  <c r="T33" i="147"/>
  <c r="T33" i="149"/>
  <c r="T33" i="153"/>
  <c r="T32" i="146"/>
  <c r="T32" i="145"/>
  <c r="T32" i="148"/>
  <c r="T32" i="149"/>
  <c r="T32" i="153"/>
  <c r="T31" i="144"/>
  <c r="T31" i="146"/>
  <c r="T31" i="148"/>
  <c r="T31" i="151"/>
  <c r="T31" i="153"/>
  <c r="T30" i="144"/>
  <c r="T30" i="146"/>
  <c r="T30" i="148"/>
  <c r="T30" i="151"/>
  <c r="T30" i="153"/>
  <c r="T29" i="144"/>
  <c r="T29" i="146"/>
  <c r="T29" i="147"/>
  <c r="T29" i="149"/>
  <c r="T29" i="153"/>
  <c r="T28" i="146"/>
  <c r="T28" i="145"/>
  <c r="T28" i="148"/>
  <c r="T28" i="149"/>
  <c r="T28" i="153"/>
  <c r="T27" i="144"/>
  <c r="T27" i="146"/>
  <c r="T27" i="148"/>
  <c r="T27" i="151"/>
  <c r="T27" i="153"/>
  <c r="T26" i="144"/>
  <c r="T26" i="146"/>
  <c r="T26" i="148"/>
  <c r="T26" i="151"/>
  <c r="T26" i="153"/>
  <c r="T25" i="144"/>
  <c r="T25" i="146"/>
  <c r="T25" i="149"/>
  <c r="T25" i="151"/>
  <c r="T25" i="153"/>
  <c r="T24" i="146"/>
  <c r="T24" i="145"/>
  <c r="T24" i="148"/>
  <c r="T24" i="151"/>
  <c r="T24" i="153"/>
  <c r="T23" i="144"/>
  <c r="T23" i="146"/>
  <c r="T23" i="148"/>
  <c r="T23" i="151"/>
  <c r="T23" i="153"/>
  <c r="T22" i="144"/>
  <c r="T22" i="146"/>
  <c r="T22" i="148"/>
  <c r="T22" i="151"/>
  <c r="T22" i="153"/>
  <c r="T21" i="144"/>
  <c r="T21" i="146"/>
  <c r="T21" i="148"/>
  <c r="T21" i="151"/>
  <c r="T21" i="153"/>
  <c r="T20" i="146"/>
  <c r="T20" i="144"/>
  <c r="T20" i="149"/>
  <c r="T20" i="151"/>
  <c r="T20" i="153"/>
  <c r="T19" i="144"/>
  <c r="T19" i="145"/>
  <c r="T19" i="148"/>
  <c r="T19" i="151"/>
  <c r="T19" i="153"/>
  <c r="I18" i="145"/>
  <c r="K18" i="145"/>
  <c r="L18" i="145"/>
  <c r="M18" i="145"/>
  <c r="N18" i="145"/>
  <c r="P18" i="145"/>
  <c r="T18" i="146"/>
  <c r="I18" i="148"/>
  <c r="K18" i="148"/>
  <c r="L18" i="148"/>
  <c r="M18" i="148"/>
  <c r="N18" i="148"/>
  <c r="P18" i="148"/>
  <c r="T18" i="151"/>
  <c r="T18" i="153"/>
  <c r="T17" i="148"/>
  <c r="T17" i="151"/>
  <c r="T17" i="153"/>
  <c r="I16" i="147"/>
  <c r="K16" i="147"/>
  <c r="L16" i="147"/>
  <c r="M16" i="147"/>
  <c r="N16" i="147"/>
  <c r="P16" i="147"/>
  <c r="T16" i="145"/>
  <c r="I16" i="149"/>
  <c r="K16" i="149"/>
  <c r="L16" i="149"/>
  <c r="M16" i="149"/>
  <c r="N16" i="149"/>
  <c r="P16" i="149"/>
  <c r="T16" i="151"/>
  <c r="T16" i="153"/>
  <c r="T15" i="148"/>
  <c r="T15" i="151"/>
  <c r="T15" i="153"/>
  <c r="I14" i="145"/>
  <c r="K14" i="145"/>
  <c r="L14" i="145"/>
  <c r="M14" i="145"/>
  <c r="N14" i="145"/>
  <c r="P14" i="145"/>
  <c r="T14" i="146"/>
  <c r="I14" i="148"/>
  <c r="K14" i="148"/>
  <c r="L14" i="148"/>
  <c r="M14" i="148"/>
  <c r="N14" i="148"/>
  <c r="P14" i="148"/>
  <c r="T14" i="151"/>
  <c r="T14" i="153"/>
  <c r="T13" i="148"/>
  <c r="I13" i="152"/>
  <c r="K13" i="152"/>
  <c r="L13" i="152"/>
  <c r="M13" i="152"/>
  <c r="N13" i="152"/>
  <c r="P13" i="152"/>
  <c r="T13" i="153"/>
  <c r="I12" i="147"/>
  <c r="K12" i="147"/>
  <c r="L12" i="147"/>
  <c r="M12" i="147"/>
  <c r="N12" i="147"/>
  <c r="P12" i="147"/>
  <c r="T12" i="145"/>
  <c r="I12" i="149"/>
  <c r="K12" i="149"/>
  <c r="L12" i="149"/>
  <c r="M12" i="149"/>
  <c r="N12" i="149"/>
  <c r="P12" i="149"/>
  <c r="T12" i="153"/>
  <c r="T11" i="148"/>
  <c r="T11" i="151"/>
  <c r="T11" i="153"/>
  <c r="T10" i="146"/>
  <c r="I10" i="148"/>
  <c r="K10" i="148"/>
  <c r="L10" i="148"/>
  <c r="M10" i="148"/>
  <c r="N10" i="148"/>
  <c r="P10" i="148"/>
  <c r="T10" i="151"/>
  <c r="T10" i="153"/>
  <c r="T9" i="148"/>
  <c r="I9" i="152"/>
  <c r="K9" i="152"/>
  <c r="L9" i="152"/>
  <c r="M9" i="152"/>
  <c r="N9" i="152"/>
  <c r="P9" i="152"/>
  <c r="T9" i="153"/>
  <c r="I8" i="147"/>
  <c r="K8" i="147"/>
  <c r="L8" i="147"/>
  <c r="M8" i="147"/>
  <c r="N8" i="147"/>
  <c r="P8" i="147"/>
  <c r="T8" i="145"/>
  <c r="I8" i="149"/>
  <c r="K8" i="149"/>
  <c r="L8" i="149"/>
  <c r="M8" i="149"/>
  <c r="N8" i="149"/>
  <c r="P8" i="149"/>
  <c r="T8" i="153"/>
  <c r="I7" i="144"/>
  <c r="K7" i="148"/>
  <c r="I76" i="151"/>
  <c r="K7" i="151"/>
  <c r="I76" i="153"/>
  <c r="K7" i="153"/>
  <c r="M51" i="31"/>
  <c r="N51" i="31"/>
  <c r="N43" i="31"/>
  <c r="M43" i="31"/>
  <c r="M55" i="31"/>
  <c r="N55" i="31"/>
  <c r="J76" i="118"/>
  <c r="J82" i="118"/>
  <c r="J76" i="117"/>
  <c r="J82" i="117"/>
  <c r="J76" i="120"/>
  <c r="J82" i="120"/>
  <c r="J76" i="127"/>
  <c r="J82" i="127"/>
  <c r="J76" i="144"/>
  <c r="J82" i="144"/>
  <c r="J76" i="128"/>
  <c r="J82" i="128"/>
  <c r="J76" i="145"/>
  <c r="J82" i="145"/>
  <c r="J76" i="147"/>
  <c r="J82" i="147"/>
  <c r="J76" i="151"/>
  <c r="J82" i="151"/>
  <c r="J76" i="152"/>
  <c r="J82" i="152"/>
  <c r="K75" i="76"/>
  <c r="K73" i="76"/>
  <c r="K71" i="76"/>
  <c r="K69" i="76"/>
  <c r="K67" i="76"/>
  <c r="K65" i="76"/>
  <c r="K63" i="76"/>
  <c r="K61" i="76"/>
  <c r="K59" i="76"/>
  <c r="K57" i="76"/>
  <c r="K55" i="76"/>
  <c r="K53" i="76"/>
  <c r="K51" i="76"/>
  <c r="K49" i="76"/>
  <c r="K47" i="76"/>
  <c r="K45" i="76"/>
  <c r="K43" i="76"/>
  <c r="K41" i="76"/>
  <c r="K39" i="76"/>
  <c r="K37" i="76"/>
  <c r="K35" i="76"/>
  <c r="K33" i="76"/>
  <c r="K31" i="76"/>
  <c r="K29" i="76"/>
  <c r="K27" i="76"/>
  <c r="K25" i="76"/>
  <c r="K23" i="76"/>
  <c r="K21" i="76"/>
  <c r="K19" i="76"/>
  <c r="K17" i="76"/>
  <c r="K16" i="80"/>
  <c r="K15" i="76"/>
  <c r="K14" i="80"/>
  <c r="K13" i="76"/>
  <c r="K12" i="80"/>
  <c r="K11" i="76"/>
  <c r="K10" i="80"/>
  <c r="K9" i="76"/>
  <c r="K8" i="80"/>
  <c r="K7" i="76"/>
  <c r="J21" i="131"/>
  <c r="J76" i="131"/>
  <c r="K75" i="80"/>
  <c r="K74" i="80"/>
  <c r="K74" i="76"/>
  <c r="K73" i="80"/>
  <c r="K72" i="80"/>
  <c r="K72" i="76"/>
  <c r="K71" i="80"/>
  <c r="K70" i="80"/>
  <c r="K70" i="76"/>
  <c r="K69" i="80"/>
  <c r="K68" i="80"/>
  <c r="K68" i="76"/>
  <c r="K67" i="80"/>
  <c r="K66" i="80"/>
  <c r="K66" i="76"/>
  <c r="K65" i="80"/>
  <c r="K64" i="80"/>
  <c r="K64" i="76"/>
  <c r="K63" i="80"/>
  <c r="K62" i="80"/>
  <c r="K62" i="76"/>
  <c r="K61" i="80"/>
  <c r="K60" i="80"/>
  <c r="K60" i="76"/>
  <c r="K59" i="80"/>
  <c r="K58" i="80"/>
  <c r="K58" i="76"/>
  <c r="K57" i="80"/>
  <c r="K56" i="80"/>
  <c r="K56" i="76"/>
  <c r="K55" i="80"/>
  <c r="K54" i="80"/>
  <c r="K54" i="76"/>
  <c r="K53" i="80"/>
  <c r="K52" i="80"/>
  <c r="K52" i="76"/>
  <c r="K51" i="80"/>
  <c r="K50" i="80"/>
  <c r="K50" i="76"/>
  <c r="K49" i="80"/>
  <c r="K48" i="80"/>
  <c r="K48" i="76"/>
  <c r="K47" i="80"/>
  <c r="K46" i="80"/>
  <c r="K46" i="76"/>
  <c r="K45" i="80"/>
  <c r="K44" i="80"/>
  <c r="K44" i="76"/>
  <c r="K43" i="80"/>
  <c r="K42" i="80"/>
  <c r="K42" i="76"/>
  <c r="K41" i="80"/>
  <c r="K40" i="80"/>
  <c r="K40" i="76"/>
  <c r="K39" i="80"/>
  <c r="K38" i="80"/>
  <c r="K38" i="76"/>
  <c r="K37" i="80"/>
  <c r="K36" i="80"/>
  <c r="K36" i="76"/>
  <c r="K35" i="80"/>
  <c r="K34" i="80"/>
  <c r="K34" i="76"/>
  <c r="K33" i="80"/>
  <c r="K32" i="80"/>
  <c r="K32" i="76"/>
  <c r="K31" i="80"/>
  <c r="K30" i="80"/>
  <c r="K30" i="76"/>
  <c r="K29" i="80"/>
  <c r="K28" i="80"/>
  <c r="K28" i="76"/>
  <c r="K27" i="80"/>
  <c r="K26" i="80"/>
  <c r="K26" i="76"/>
  <c r="K25" i="80"/>
  <c r="K24" i="80"/>
  <c r="K24" i="76"/>
  <c r="K23" i="80"/>
  <c r="K22" i="80"/>
  <c r="K22" i="76"/>
  <c r="K21" i="80"/>
  <c r="K20" i="80"/>
  <c r="K20" i="76"/>
  <c r="K19" i="80"/>
  <c r="K18" i="80"/>
  <c r="K18" i="76"/>
  <c r="K17" i="80"/>
  <c r="K16" i="76"/>
  <c r="K15" i="80"/>
  <c r="K14" i="76"/>
  <c r="K13" i="80"/>
  <c r="K12" i="76"/>
  <c r="K11" i="80"/>
  <c r="K10" i="76"/>
  <c r="K9" i="80"/>
  <c r="K8" i="76"/>
  <c r="K7" i="80"/>
  <c r="J75" i="80"/>
  <c r="J72" i="80"/>
  <c r="L72" i="80"/>
  <c r="J71" i="80"/>
  <c r="J68" i="80"/>
  <c r="L68" i="80"/>
  <c r="J67" i="80"/>
  <c r="J64" i="80"/>
  <c r="L64" i="80"/>
  <c r="J63" i="80"/>
  <c r="J60" i="80"/>
  <c r="L60" i="80"/>
  <c r="J59" i="80"/>
  <c r="J56" i="80"/>
  <c r="L56" i="80"/>
  <c r="J55" i="80"/>
  <c r="J52" i="80"/>
  <c r="L52" i="80"/>
  <c r="J51" i="80"/>
  <c r="J49" i="80"/>
  <c r="L49" i="80"/>
  <c r="J48" i="80"/>
  <c r="J47" i="80"/>
  <c r="L47" i="80"/>
  <c r="J46" i="80"/>
  <c r="L46" i="80"/>
  <c r="J45" i="80"/>
  <c r="L45" i="80"/>
  <c r="J44" i="80"/>
  <c r="J43" i="80"/>
  <c r="L43" i="80"/>
  <c r="J42" i="80"/>
  <c r="L42" i="80"/>
  <c r="J41" i="80"/>
  <c r="L41" i="80"/>
  <c r="J40" i="80"/>
  <c r="J39" i="80"/>
  <c r="L39" i="80"/>
  <c r="J38" i="80"/>
  <c r="L38" i="80"/>
  <c r="J37" i="80"/>
  <c r="L37" i="80"/>
  <c r="J36" i="80"/>
  <c r="J35" i="80"/>
  <c r="L35" i="80"/>
  <c r="J33" i="80"/>
  <c r="L33" i="80"/>
  <c r="J32" i="80"/>
  <c r="L32" i="80"/>
  <c r="J29" i="80"/>
  <c r="L29" i="80"/>
  <c r="J28" i="80"/>
  <c r="L28" i="80"/>
  <c r="J25" i="80"/>
  <c r="L25" i="80"/>
  <c r="J24" i="80"/>
  <c r="L24" i="80"/>
  <c r="J23" i="80"/>
  <c r="J22" i="80"/>
  <c r="L22" i="80"/>
  <c r="J20" i="80"/>
  <c r="J19" i="80"/>
  <c r="L19" i="80"/>
  <c r="J75" i="76"/>
  <c r="L75" i="76"/>
  <c r="J74" i="76"/>
  <c r="L74" i="76"/>
  <c r="J74" i="80"/>
  <c r="L74" i="80"/>
  <c r="J73" i="76"/>
  <c r="L73" i="76"/>
  <c r="J73" i="80"/>
  <c r="L73" i="80"/>
  <c r="J72" i="76"/>
  <c r="L72" i="76"/>
  <c r="J71" i="76"/>
  <c r="L71" i="76"/>
  <c r="J70" i="76"/>
  <c r="L70" i="76"/>
  <c r="J70" i="80"/>
  <c r="L70" i="80"/>
  <c r="J69" i="76"/>
  <c r="L69" i="76"/>
  <c r="J69" i="80"/>
  <c r="L69" i="80"/>
  <c r="J68" i="76"/>
  <c r="L68" i="76"/>
  <c r="J67" i="76"/>
  <c r="L67" i="76"/>
  <c r="J66" i="76"/>
  <c r="L66" i="76"/>
  <c r="J66" i="80"/>
  <c r="L66" i="80"/>
  <c r="J65" i="76"/>
  <c r="L65" i="76"/>
  <c r="J65" i="80"/>
  <c r="L65" i="80"/>
  <c r="J64" i="76"/>
  <c r="L64" i="76"/>
  <c r="J63" i="76"/>
  <c r="L63" i="76"/>
  <c r="J62" i="76"/>
  <c r="L62" i="76"/>
  <c r="J62" i="80"/>
  <c r="L62" i="80"/>
  <c r="J61" i="80"/>
  <c r="L61" i="80"/>
  <c r="J60" i="76"/>
  <c r="L60" i="76"/>
  <c r="J59" i="76"/>
  <c r="L59" i="76"/>
  <c r="J58" i="76"/>
  <c r="L58" i="76"/>
  <c r="J58" i="80"/>
  <c r="L58" i="80"/>
  <c r="J57" i="76"/>
  <c r="L57" i="76"/>
  <c r="J57" i="80"/>
  <c r="L57" i="80"/>
  <c r="J56" i="76"/>
  <c r="L56" i="76"/>
  <c r="J55" i="76"/>
  <c r="L55" i="76"/>
  <c r="J54" i="76"/>
  <c r="L54" i="76"/>
  <c r="J54" i="80"/>
  <c r="L54" i="80"/>
  <c r="J53" i="80"/>
  <c r="L53" i="80"/>
  <c r="J52" i="76"/>
  <c r="L52" i="76"/>
  <c r="J51" i="76"/>
  <c r="L51" i="76"/>
  <c r="J50" i="76"/>
  <c r="L50" i="76"/>
  <c r="J50" i="80"/>
  <c r="L50" i="80"/>
  <c r="J49" i="76"/>
  <c r="L49" i="76"/>
  <c r="J48" i="76"/>
  <c r="L48" i="76"/>
  <c r="J46" i="76"/>
  <c r="L46" i="76"/>
  <c r="J45" i="76"/>
  <c r="L45" i="76"/>
  <c r="J44" i="76"/>
  <c r="L44" i="76"/>
  <c r="J43" i="76"/>
  <c r="L43" i="76"/>
  <c r="J42" i="76"/>
  <c r="L42" i="76"/>
  <c r="J41" i="76"/>
  <c r="L41" i="76"/>
  <c r="J40" i="76"/>
  <c r="L40" i="76"/>
  <c r="J39" i="76"/>
  <c r="L39" i="76"/>
  <c r="J38" i="76"/>
  <c r="L38" i="76"/>
  <c r="J37" i="76"/>
  <c r="L37" i="76"/>
  <c r="J36" i="76"/>
  <c r="L36" i="76"/>
  <c r="J35" i="76"/>
  <c r="L35" i="76"/>
  <c r="J34" i="76"/>
  <c r="L34" i="76"/>
  <c r="J34" i="80"/>
  <c r="L34" i="80"/>
  <c r="J33" i="76"/>
  <c r="L33" i="76"/>
  <c r="J32" i="76"/>
  <c r="L32" i="76"/>
  <c r="J31" i="76"/>
  <c r="L31" i="76"/>
  <c r="J31" i="80"/>
  <c r="L31" i="80"/>
  <c r="J30" i="76"/>
  <c r="L30" i="76"/>
  <c r="J30" i="80"/>
  <c r="L30" i="80"/>
  <c r="J29" i="76"/>
  <c r="L29" i="76"/>
  <c r="J28" i="76"/>
  <c r="L28" i="76"/>
  <c r="J27" i="76"/>
  <c r="L27" i="76"/>
  <c r="J27" i="80"/>
  <c r="L27" i="80"/>
  <c r="J26" i="76"/>
  <c r="L26" i="76"/>
  <c r="J26" i="80"/>
  <c r="L26" i="80"/>
  <c r="J25" i="76"/>
  <c r="L25" i="76"/>
  <c r="J22" i="76"/>
  <c r="L22" i="76"/>
  <c r="J21" i="76"/>
  <c r="L21" i="76"/>
  <c r="J20" i="76"/>
  <c r="L20" i="76"/>
  <c r="J19" i="76"/>
  <c r="L19" i="76"/>
  <c r="J18" i="76"/>
  <c r="L18" i="76"/>
  <c r="J18" i="80"/>
  <c r="L18" i="80"/>
  <c r="J17" i="76"/>
  <c r="L17" i="76"/>
  <c r="J17" i="80"/>
  <c r="L17" i="80"/>
  <c r="J16" i="76"/>
  <c r="L16" i="76"/>
  <c r="J16" i="80"/>
  <c r="L16" i="80"/>
  <c r="J15" i="76"/>
  <c r="L15" i="76"/>
  <c r="J15" i="80"/>
  <c r="L15" i="80"/>
  <c r="J14" i="76"/>
  <c r="L14" i="76"/>
  <c r="J14" i="80"/>
  <c r="L14" i="80"/>
  <c r="J13" i="76"/>
  <c r="L13" i="76"/>
  <c r="J13" i="80"/>
  <c r="L13" i="80"/>
  <c r="J12" i="76"/>
  <c r="L12" i="76"/>
  <c r="J12" i="80"/>
  <c r="L12" i="80"/>
  <c r="J11" i="76"/>
  <c r="L11" i="76"/>
  <c r="J11" i="80"/>
  <c r="L11" i="80"/>
  <c r="J10" i="76"/>
  <c r="L10" i="76"/>
  <c r="J10" i="80"/>
  <c r="L10" i="80"/>
  <c r="J9" i="76"/>
  <c r="L9" i="76"/>
  <c r="J9" i="80"/>
  <c r="L9" i="80"/>
  <c r="J8" i="76"/>
  <c r="L8" i="76"/>
  <c r="J8" i="80"/>
  <c r="L8" i="80"/>
  <c r="J7" i="76"/>
  <c r="J7" i="80"/>
  <c r="O23" i="31"/>
  <c r="P23" i="31"/>
  <c r="R23" i="31"/>
  <c r="U23" i="31"/>
  <c r="Y23" i="31"/>
  <c r="O48" i="31"/>
  <c r="P48" i="31"/>
  <c r="R48" i="31"/>
  <c r="U48" i="31"/>
  <c r="Y48" i="31"/>
  <c r="O64" i="31"/>
  <c r="P64" i="31"/>
  <c r="R64" i="31"/>
  <c r="U64" i="31"/>
  <c r="Y64" i="31"/>
  <c r="O33" i="31"/>
  <c r="P33" i="31"/>
  <c r="R33" i="31"/>
  <c r="U33" i="31"/>
  <c r="Y33" i="31"/>
  <c r="O56" i="31"/>
  <c r="P56" i="31"/>
  <c r="R56" i="31"/>
  <c r="U56" i="31"/>
  <c r="Y56" i="31"/>
  <c r="O72" i="31"/>
  <c r="P72" i="31"/>
  <c r="R72" i="31"/>
  <c r="U72" i="31"/>
  <c r="Y72" i="31"/>
  <c r="O10" i="46"/>
  <c r="P10" i="46"/>
  <c r="R10" i="46"/>
  <c r="U10" i="46"/>
  <c r="O40" i="31"/>
  <c r="P40" i="31"/>
  <c r="R40" i="31"/>
  <c r="U40" i="31"/>
  <c r="Y40" i="31"/>
  <c r="O35" i="31"/>
  <c r="P35" i="31"/>
  <c r="R35" i="31"/>
  <c r="U35" i="31"/>
  <c r="Y35" i="31"/>
  <c r="O63" i="31"/>
  <c r="P63" i="31"/>
  <c r="R63" i="31"/>
  <c r="U63" i="31"/>
  <c r="Y63" i="31"/>
  <c r="O59" i="31"/>
  <c r="P59" i="31"/>
  <c r="R59" i="31"/>
  <c r="U59" i="31"/>
  <c r="Y59" i="31"/>
  <c r="O36" i="31"/>
  <c r="P36" i="31"/>
  <c r="R36" i="31"/>
  <c r="U36" i="31"/>
  <c r="Y36" i="31"/>
  <c r="O43" i="31"/>
  <c r="P43" i="31"/>
  <c r="R43" i="31"/>
  <c r="U43" i="31"/>
  <c r="Y43" i="31"/>
  <c r="O19" i="31"/>
  <c r="P19" i="31"/>
  <c r="R19" i="31"/>
  <c r="U19" i="31"/>
  <c r="Y19" i="31"/>
  <c r="O68" i="31"/>
  <c r="P68" i="31"/>
  <c r="R68" i="31"/>
  <c r="U68" i="31"/>
  <c r="Y68" i="31"/>
  <c r="O39" i="31"/>
  <c r="P39" i="31"/>
  <c r="R39" i="31"/>
  <c r="U39" i="31"/>
  <c r="Y39" i="31"/>
  <c r="N8" i="80"/>
  <c r="O8" i="80"/>
  <c r="Q8" i="80"/>
  <c r="N10" i="80"/>
  <c r="O10" i="80"/>
  <c r="Q10" i="80"/>
  <c r="N12" i="80"/>
  <c r="O12" i="80"/>
  <c r="Q12" i="80"/>
  <c r="N14" i="80"/>
  <c r="O14" i="80"/>
  <c r="Q14" i="80"/>
  <c r="N16" i="80"/>
  <c r="O16" i="80"/>
  <c r="Q16" i="80"/>
  <c r="N18" i="80"/>
  <c r="O18" i="80"/>
  <c r="Q18" i="80"/>
  <c r="N22" i="76"/>
  <c r="O22" i="76"/>
  <c r="Q22" i="76"/>
  <c r="J24" i="76"/>
  <c r="L24" i="76"/>
  <c r="N27" i="80"/>
  <c r="O27" i="80"/>
  <c r="Q27" i="80"/>
  <c r="N30" i="80"/>
  <c r="O30" i="80"/>
  <c r="Q30" i="80"/>
  <c r="N32" i="76"/>
  <c r="O32" i="76"/>
  <c r="Q32" i="76"/>
  <c r="N35" i="76"/>
  <c r="O35" i="76"/>
  <c r="Q35" i="76"/>
  <c r="N41" i="76"/>
  <c r="O41" i="76"/>
  <c r="Q41" i="76"/>
  <c r="N45" i="76"/>
  <c r="O45" i="76"/>
  <c r="Q45" i="76"/>
  <c r="J47" i="76"/>
  <c r="L47" i="76"/>
  <c r="N50" i="76"/>
  <c r="O50" i="76"/>
  <c r="Q50" i="76"/>
  <c r="N54" i="76"/>
  <c r="O54" i="76"/>
  <c r="Q54" i="76"/>
  <c r="N57" i="76"/>
  <c r="O57" i="76"/>
  <c r="Q57" i="76"/>
  <c r="N60" i="76"/>
  <c r="O60" i="76"/>
  <c r="Q60" i="76"/>
  <c r="N62" i="76"/>
  <c r="O62" i="76"/>
  <c r="Q62" i="76"/>
  <c r="N65" i="76"/>
  <c r="O65" i="76"/>
  <c r="Q65" i="76"/>
  <c r="N69" i="76"/>
  <c r="O69" i="76"/>
  <c r="Q69" i="76"/>
  <c r="N72" i="76"/>
  <c r="O72" i="76"/>
  <c r="Q72" i="76"/>
  <c r="N74" i="76"/>
  <c r="O74" i="76"/>
  <c r="Q74" i="76"/>
  <c r="N19" i="80"/>
  <c r="O19" i="80"/>
  <c r="Q19" i="80"/>
  <c r="N24" i="80"/>
  <c r="O24" i="80"/>
  <c r="Q24" i="80"/>
  <c r="N32" i="80"/>
  <c r="O32" i="80"/>
  <c r="Q32" i="80"/>
  <c r="N37" i="80"/>
  <c r="O37" i="80"/>
  <c r="Q37" i="80"/>
  <c r="N41" i="80"/>
  <c r="O41" i="80"/>
  <c r="Q41" i="80"/>
  <c r="N45" i="80"/>
  <c r="O45" i="80"/>
  <c r="Q45" i="80"/>
  <c r="N49" i="80"/>
  <c r="O49" i="80"/>
  <c r="Q49" i="80"/>
  <c r="N52" i="80"/>
  <c r="O52" i="80"/>
  <c r="Q52" i="80"/>
  <c r="N56" i="80"/>
  <c r="O56" i="80"/>
  <c r="Q56" i="80"/>
  <c r="N64" i="80"/>
  <c r="O64" i="80"/>
  <c r="Q64" i="80"/>
  <c r="N68" i="80"/>
  <c r="O68" i="80"/>
  <c r="Q68" i="80"/>
  <c r="N72" i="80"/>
  <c r="O72" i="80"/>
  <c r="Q72" i="80"/>
  <c r="K73" i="31"/>
  <c r="K74" i="31"/>
  <c r="L7" i="153"/>
  <c r="K76" i="153"/>
  <c r="K76" i="151"/>
  <c r="L7" i="151"/>
  <c r="L7" i="148"/>
  <c r="K76" i="148"/>
  <c r="I7" i="147"/>
  <c r="I8" i="152"/>
  <c r="T8" i="147"/>
  <c r="I9" i="146"/>
  <c r="T10" i="148"/>
  <c r="I11" i="147"/>
  <c r="K11" i="147"/>
  <c r="L11" i="147"/>
  <c r="M11" i="147"/>
  <c r="N11" i="147"/>
  <c r="P11" i="147"/>
  <c r="I12" i="152"/>
  <c r="K12" i="152"/>
  <c r="L12" i="152"/>
  <c r="M12" i="152"/>
  <c r="N12" i="152"/>
  <c r="P12" i="152"/>
  <c r="T12" i="147"/>
  <c r="I13" i="146"/>
  <c r="K13" i="146"/>
  <c r="L13" i="146"/>
  <c r="M13" i="146"/>
  <c r="N13" i="146"/>
  <c r="P13" i="146"/>
  <c r="T14" i="148"/>
  <c r="I15" i="147"/>
  <c r="K15" i="147"/>
  <c r="L15" i="147"/>
  <c r="M15" i="147"/>
  <c r="N15" i="147"/>
  <c r="P15" i="147"/>
  <c r="T16" i="149"/>
  <c r="I17" i="146"/>
  <c r="K17" i="146"/>
  <c r="L17" i="146"/>
  <c r="M17" i="146"/>
  <c r="N17" i="146"/>
  <c r="P17" i="146"/>
  <c r="T18" i="148"/>
  <c r="T55" i="153"/>
  <c r="T59" i="153"/>
  <c r="T61" i="153"/>
  <c r="T63" i="153"/>
  <c r="T65" i="153"/>
  <c r="T65" i="151"/>
  <c r="T67" i="153"/>
  <c r="T68" i="151"/>
  <c r="T69" i="151"/>
  <c r="T70" i="151"/>
  <c r="T71" i="151"/>
  <c r="T72" i="151"/>
  <c r="T73" i="148"/>
  <c r="K15" i="46"/>
  <c r="AB10" i="46"/>
  <c r="I76" i="149"/>
  <c r="T62" i="152"/>
  <c r="T64" i="152"/>
  <c r="T66" i="152"/>
  <c r="T67" i="152"/>
  <c r="T72" i="152"/>
  <c r="T73" i="152"/>
  <c r="K7" i="5"/>
  <c r="L5" i="5"/>
  <c r="O8" i="46"/>
  <c r="P8" i="46"/>
  <c r="R8" i="46"/>
  <c r="U8" i="46"/>
  <c r="O7" i="46"/>
  <c r="P7" i="46"/>
  <c r="R7" i="46"/>
  <c r="U7" i="46"/>
  <c r="O44" i="31"/>
  <c r="P44" i="31"/>
  <c r="R44" i="31"/>
  <c r="U44" i="31"/>
  <c r="Y44" i="31"/>
  <c r="L7" i="80"/>
  <c r="N9" i="80"/>
  <c r="O9" i="80"/>
  <c r="Q9" i="80"/>
  <c r="N11" i="80"/>
  <c r="O11" i="80"/>
  <c r="Q11" i="80"/>
  <c r="N13" i="80"/>
  <c r="O13" i="80"/>
  <c r="Q13" i="80"/>
  <c r="N15" i="80"/>
  <c r="O15" i="80"/>
  <c r="Q15" i="80"/>
  <c r="N17" i="80"/>
  <c r="O17" i="80"/>
  <c r="Q17" i="80"/>
  <c r="N19" i="76"/>
  <c r="O19" i="76"/>
  <c r="Q19" i="76"/>
  <c r="J21" i="80"/>
  <c r="L21" i="80"/>
  <c r="N26" i="80"/>
  <c r="O26" i="80"/>
  <c r="Q26" i="80"/>
  <c r="N28" i="76"/>
  <c r="O28" i="76"/>
  <c r="Q28" i="76"/>
  <c r="N31" i="80"/>
  <c r="O31" i="80"/>
  <c r="Q31" i="80"/>
  <c r="N34" i="80"/>
  <c r="O34" i="80"/>
  <c r="Q34" i="80"/>
  <c r="N37" i="76"/>
  <c r="O37" i="76"/>
  <c r="Q37" i="76"/>
  <c r="N39" i="76"/>
  <c r="O39" i="76"/>
  <c r="Q39" i="76"/>
  <c r="N43" i="76"/>
  <c r="O43" i="76"/>
  <c r="Q43" i="76"/>
  <c r="N49" i="76"/>
  <c r="O49" i="76"/>
  <c r="Q49" i="76"/>
  <c r="N52" i="76"/>
  <c r="O52" i="76"/>
  <c r="Q52" i="76"/>
  <c r="J53" i="76"/>
  <c r="L53" i="76"/>
  <c r="N56" i="76"/>
  <c r="O56" i="76"/>
  <c r="Q56" i="76"/>
  <c r="N58" i="76"/>
  <c r="O58" i="76"/>
  <c r="Q58" i="76"/>
  <c r="J61" i="76"/>
  <c r="L61" i="76"/>
  <c r="N64" i="76"/>
  <c r="O64" i="76"/>
  <c r="Q64" i="76"/>
  <c r="N66" i="76"/>
  <c r="O66" i="76"/>
  <c r="Q66" i="76"/>
  <c r="N68" i="76"/>
  <c r="O68" i="76"/>
  <c r="Q68" i="76"/>
  <c r="N70" i="76"/>
  <c r="O70" i="76"/>
  <c r="Q70" i="76"/>
  <c r="N73" i="76"/>
  <c r="O73" i="76"/>
  <c r="Q73" i="76"/>
  <c r="N22" i="80"/>
  <c r="O22" i="80"/>
  <c r="Q22" i="80"/>
  <c r="N28" i="80"/>
  <c r="O28" i="80"/>
  <c r="Q28" i="80"/>
  <c r="N35" i="80"/>
  <c r="O35" i="80"/>
  <c r="Q35" i="80"/>
  <c r="N39" i="80"/>
  <c r="O39" i="80"/>
  <c r="Q39" i="80"/>
  <c r="N43" i="80"/>
  <c r="O43" i="80"/>
  <c r="Q43" i="80"/>
  <c r="N47" i="80"/>
  <c r="O47" i="80"/>
  <c r="Q47" i="80"/>
  <c r="N60" i="80"/>
  <c r="O60" i="80"/>
  <c r="Q60" i="80"/>
  <c r="L7" i="76"/>
  <c r="N8" i="76"/>
  <c r="O8" i="76"/>
  <c r="Q8" i="76"/>
  <c r="N9" i="76"/>
  <c r="O9" i="76"/>
  <c r="Q9" i="76"/>
  <c r="N10" i="76"/>
  <c r="O10" i="76"/>
  <c r="Q10" i="76"/>
  <c r="N11" i="76"/>
  <c r="O11" i="76"/>
  <c r="Q11" i="76"/>
  <c r="N12" i="76"/>
  <c r="O12" i="76"/>
  <c r="Q12" i="76"/>
  <c r="N13" i="76"/>
  <c r="O13" i="76"/>
  <c r="Q13" i="76"/>
  <c r="N14" i="76"/>
  <c r="O14" i="76"/>
  <c r="Q14" i="76"/>
  <c r="N15" i="76"/>
  <c r="O15" i="76"/>
  <c r="Q15" i="76"/>
  <c r="N16" i="76"/>
  <c r="O16" i="76"/>
  <c r="Q16" i="76"/>
  <c r="N17" i="76"/>
  <c r="O17" i="76"/>
  <c r="Q17" i="76"/>
  <c r="N18" i="76"/>
  <c r="O18" i="76"/>
  <c r="Q18" i="76"/>
  <c r="N20" i="76"/>
  <c r="O20" i="76"/>
  <c r="Q20" i="76"/>
  <c r="N21" i="76"/>
  <c r="O21" i="76"/>
  <c r="Q21" i="76"/>
  <c r="J23" i="76"/>
  <c r="L23" i="76"/>
  <c r="N25" i="76"/>
  <c r="O25" i="76"/>
  <c r="Q25" i="76"/>
  <c r="N26" i="76"/>
  <c r="O26" i="76"/>
  <c r="Q26" i="76"/>
  <c r="N27" i="76"/>
  <c r="O27" i="76"/>
  <c r="Q27" i="76"/>
  <c r="N29" i="76"/>
  <c r="O29" i="76"/>
  <c r="Q29" i="76"/>
  <c r="N30" i="76"/>
  <c r="O30" i="76"/>
  <c r="Q30" i="76"/>
  <c r="N31" i="76"/>
  <c r="O31" i="76"/>
  <c r="Q31" i="76"/>
  <c r="N33" i="76"/>
  <c r="O33" i="76"/>
  <c r="Q33" i="76"/>
  <c r="N34" i="76"/>
  <c r="O34" i="76"/>
  <c r="Q34" i="76"/>
  <c r="N36" i="76"/>
  <c r="O36" i="76"/>
  <c r="Q36" i="76"/>
  <c r="N38" i="76"/>
  <c r="O38" i="76"/>
  <c r="Q38" i="76"/>
  <c r="N40" i="76"/>
  <c r="O40" i="76"/>
  <c r="Q40" i="76"/>
  <c r="N42" i="76"/>
  <c r="O42" i="76"/>
  <c r="Q42" i="76"/>
  <c r="N44" i="76"/>
  <c r="O44" i="76"/>
  <c r="Q44" i="76"/>
  <c r="N46" i="76"/>
  <c r="O46" i="76"/>
  <c r="Q46" i="76"/>
  <c r="N48" i="76"/>
  <c r="O48" i="76"/>
  <c r="Q48" i="76"/>
  <c r="N50" i="80"/>
  <c r="O50" i="80"/>
  <c r="Q50" i="80"/>
  <c r="N51" i="76"/>
  <c r="O51" i="76"/>
  <c r="Q51" i="76"/>
  <c r="N53" i="80"/>
  <c r="O53" i="80"/>
  <c r="Q53" i="80"/>
  <c r="N54" i="80"/>
  <c r="O54" i="80"/>
  <c r="Q54" i="80"/>
  <c r="N55" i="76"/>
  <c r="O55" i="76"/>
  <c r="Q55" i="76"/>
  <c r="N57" i="80"/>
  <c r="O57" i="80"/>
  <c r="Q57" i="80"/>
  <c r="N58" i="80"/>
  <c r="O58" i="80"/>
  <c r="Q58" i="80"/>
  <c r="N59" i="76"/>
  <c r="O59" i="76"/>
  <c r="Q59" i="76"/>
  <c r="N61" i="80"/>
  <c r="O61" i="80"/>
  <c r="Q61" i="80"/>
  <c r="N62" i="80"/>
  <c r="O62" i="80"/>
  <c r="Q62" i="80"/>
  <c r="N63" i="76"/>
  <c r="O63" i="76"/>
  <c r="Q63" i="76"/>
  <c r="N65" i="80"/>
  <c r="O65" i="80"/>
  <c r="Q65" i="80"/>
  <c r="N66" i="80"/>
  <c r="O66" i="80"/>
  <c r="Q66" i="80"/>
  <c r="N67" i="76"/>
  <c r="O67" i="76"/>
  <c r="Q67" i="76"/>
  <c r="N69" i="80"/>
  <c r="O69" i="80"/>
  <c r="Q69" i="80"/>
  <c r="N70" i="80"/>
  <c r="O70" i="80"/>
  <c r="Q70" i="80"/>
  <c r="N71" i="76"/>
  <c r="O71" i="76"/>
  <c r="Q71" i="76"/>
  <c r="N73" i="80"/>
  <c r="O73" i="80"/>
  <c r="Q73" i="80"/>
  <c r="N74" i="80"/>
  <c r="O74" i="80"/>
  <c r="Q74" i="80"/>
  <c r="N75" i="76"/>
  <c r="O75" i="76"/>
  <c r="Q75" i="76"/>
  <c r="L20" i="80"/>
  <c r="L23" i="80"/>
  <c r="N25" i="80"/>
  <c r="O25" i="80"/>
  <c r="Q25" i="80"/>
  <c r="N29" i="80"/>
  <c r="O29" i="80"/>
  <c r="Q29" i="80"/>
  <c r="N33" i="80"/>
  <c r="O33" i="80"/>
  <c r="Q33" i="80"/>
  <c r="L36" i="80"/>
  <c r="N38" i="80"/>
  <c r="O38" i="80"/>
  <c r="Q38" i="80"/>
  <c r="L40" i="80"/>
  <c r="N42" i="80"/>
  <c r="O42" i="80"/>
  <c r="Q42" i="80"/>
  <c r="L44" i="80"/>
  <c r="N46" i="80"/>
  <c r="O46" i="80"/>
  <c r="Q46" i="80"/>
  <c r="L48" i="80"/>
  <c r="L51" i="80"/>
  <c r="L55" i="80"/>
  <c r="L59" i="80"/>
  <c r="L63" i="80"/>
  <c r="L67" i="80"/>
  <c r="L71" i="80"/>
  <c r="L75" i="80"/>
  <c r="K76" i="80"/>
  <c r="K82" i="80"/>
  <c r="J82" i="131"/>
  <c r="K76" i="76"/>
  <c r="K82" i="76"/>
  <c r="O55" i="31"/>
  <c r="P55" i="31"/>
  <c r="R55" i="31"/>
  <c r="U55" i="31"/>
  <c r="Y55" i="31"/>
  <c r="O51" i="31"/>
  <c r="P51" i="31"/>
  <c r="R51" i="31"/>
  <c r="U51" i="31"/>
  <c r="Y51" i="31"/>
  <c r="I82" i="153"/>
  <c r="I82" i="151"/>
  <c r="I76" i="148"/>
  <c r="K7" i="144"/>
  <c r="T8" i="149"/>
  <c r="T9" i="152"/>
  <c r="I9" i="144"/>
  <c r="K9" i="144"/>
  <c r="L9" i="144"/>
  <c r="M9" i="144"/>
  <c r="N9" i="144"/>
  <c r="P9" i="144"/>
  <c r="I10" i="145"/>
  <c r="I11" i="144"/>
  <c r="K11" i="144"/>
  <c r="L11" i="144"/>
  <c r="M11" i="144"/>
  <c r="N11" i="144"/>
  <c r="P11" i="144"/>
  <c r="T12" i="149"/>
  <c r="T13" i="152"/>
  <c r="I13" i="144"/>
  <c r="K13" i="144"/>
  <c r="L13" i="144"/>
  <c r="M13" i="144"/>
  <c r="N13" i="144"/>
  <c r="P13" i="144"/>
  <c r="T14" i="145"/>
  <c r="I15" i="144"/>
  <c r="K15" i="144"/>
  <c r="L15" i="144"/>
  <c r="M15" i="144"/>
  <c r="N15" i="144"/>
  <c r="P15" i="144"/>
  <c r="T16" i="147"/>
  <c r="I17" i="144"/>
  <c r="K17" i="144"/>
  <c r="L17" i="144"/>
  <c r="M17" i="144"/>
  <c r="N17" i="144"/>
  <c r="P17" i="144"/>
  <c r="T18" i="145"/>
  <c r="O29" i="31"/>
  <c r="P29" i="31"/>
  <c r="R29" i="31"/>
  <c r="U29" i="31"/>
  <c r="Y29" i="31"/>
  <c r="O37" i="31"/>
  <c r="P37" i="31"/>
  <c r="R37" i="31"/>
  <c r="U37" i="31"/>
  <c r="Y37" i="31"/>
  <c r="O42" i="31"/>
  <c r="P42" i="31"/>
  <c r="R42" i="31"/>
  <c r="U42" i="31"/>
  <c r="Y42" i="31"/>
  <c r="O52" i="31"/>
  <c r="P52" i="31"/>
  <c r="R52" i="31"/>
  <c r="U52" i="31"/>
  <c r="Y52" i="31"/>
  <c r="O60" i="31"/>
  <c r="P60" i="31"/>
  <c r="R60" i="31"/>
  <c r="U60" i="31"/>
  <c r="Y60" i="31"/>
  <c r="O9" i="46"/>
  <c r="P9" i="46"/>
  <c r="R9" i="46"/>
  <c r="U9" i="46"/>
  <c r="N76" i="114"/>
  <c r="P76" i="114"/>
  <c r="K12" i="46"/>
  <c r="K17" i="46"/>
  <c r="L7" i="152"/>
  <c r="K76" i="149"/>
  <c r="L7" i="149"/>
  <c r="L7" i="145"/>
  <c r="L7" i="146"/>
  <c r="T76" i="114"/>
  <c r="AJ76" i="114"/>
  <c r="M7" i="146"/>
  <c r="N7" i="146"/>
  <c r="M7" i="149"/>
  <c r="M76" i="149"/>
  <c r="L76" i="149"/>
  <c r="N7" i="149"/>
  <c r="M7" i="152"/>
  <c r="N7" i="152"/>
  <c r="T15" i="144"/>
  <c r="T11" i="144"/>
  <c r="K10" i="145"/>
  <c r="I76" i="145"/>
  <c r="I76" i="144"/>
  <c r="I82" i="148"/>
  <c r="N75" i="80"/>
  <c r="O75" i="80"/>
  <c r="Q75" i="80"/>
  <c r="N67" i="80"/>
  <c r="O67" i="80"/>
  <c r="Q67" i="80"/>
  <c r="N59" i="80"/>
  <c r="O59" i="80"/>
  <c r="Q59" i="80"/>
  <c r="N51" i="80"/>
  <c r="O51" i="80"/>
  <c r="Q51" i="80"/>
  <c r="N44" i="80"/>
  <c r="O44" i="80"/>
  <c r="Q44" i="80"/>
  <c r="N36" i="80"/>
  <c r="O36" i="80"/>
  <c r="Q36" i="80"/>
  <c r="U29" i="80"/>
  <c r="N20" i="80"/>
  <c r="O20" i="80"/>
  <c r="Q20" i="80"/>
  <c r="U74" i="80"/>
  <c r="U70" i="80"/>
  <c r="U67" i="76"/>
  <c r="U66" i="80"/>
  <c r="U62" i="80"/>
  <c r="U58" i="80"/>
  <c r="U54" i="80"/>
  <c r="U51" i="76"/>
  <c r="U50" i="80"/>
  <c r="U48" i="76"/>
  <c r="U42" i="76"/>
  <c r="U40" i="76"/>
  <c r="U31" i="76"/>
  <c r="U30" i="76"/>
  <c r="U29" i="76"/>
  <c r="U27" i="76"/>
  <c r="U26" i="76"/>
  <c r="U21" i="76"/>
  <c r="U16" i="76"/>
  <c r="U15" i="76"/>
  <c r="U14" i="76"/>
  <c r="U8" i="76"/>
  <c r="L76" i="76"/>
  <c r="U60" i="80"/>
  <c r="U47" i="80"/>
  <c r="U43" i="80"/>
  <c r="U39" i="80"/>
  <c r="U35" i="80"/>
  <c r="U28" i="80"/>
  <c r="U73" i="76"/>
  <c r="U70" i="76"/>
  <c r="U68" i="76"/>
  <c r="U64" i="76"/>
  <c r="N61" i="76"/>
  <c r="O61" i="76"/>
  <c r="Q61" i="76"/>
  <c r="N53" i="76"/>
  <c r="O53" i="76"/>
  <c r="Q53" i="76"/>
  <c r="U52" i="76"/>
  <c r="U43" i="76"/>
  <c r="U39" i="76"/>
  <c r="U34" i="80"/>
  <c r="U31" i="80"/>
  <c r="U26" i="80"/>
  <c r="N21" i="80"/>
  <c r="O21" i="80"/>
  <c r="Q21" i="80"/>
  <c r="J76" i="80"/>
  <c r="AB8" i="46"/>
  <c r="L15" i="46"/>
  <c r="T15" i="147"/>
  <c r="T12" i="152"/>
  <c r="K9" i="146"/>
  <c r="I76" i="146"/>
  <c r="K82" i="148"/>
  <c r="M7" i="151"/>
  <c r="M76" i="151"/>
  <c r="L76" i="151"/>
  <c r="K82" i="153"/>
  <c r="N12" i="31"/>
  <c r="N73" i="31"/>
  <c r="N74" i="31"/>
  <c r="M12" i="31"/>
  <c r="O11" i="46"/>
  <c r="P11" i="46"/>
  <c r="R11" i="46"/>
  <c r="U11" i="46"/>
  <c r="U68" i="80"/>
  <c r="U52" i="80"/>
  <c r="U45" i="80"/>
  <c r="U74" i="76"/>
  <c r="U72" i="76"/>
  <c r="U65" i="76"/>
  <c r="U62" i="76"/>
  <c r="U57" i="76"/>
  <c r="U54" i="76"/>
  <c r="N47" i="76"/>
  <c r="O47" i="76"/>
  <c r="Q47" i="76"/>
  <c r="U30" i="80"/>
  <c r="U27" i="80"/>
  <c r="N24" i="76"/>
  <c r="O24" i="76"/>
  <c r="Q24" i="76"/>
  <c r="U22" i="76"/>
  <c r="U14" i="80"/>
  <c r="U10" i="80"/>
  <c r="M7" i="145"/>
  <c r="K82" i="149"/>
  <c r="AB9" i="46"/>
  <c r="T17" i="144"/>
  <c r="T13" i="144"/>
  <c r="T9" i="144"/>
  <c r="K76" i="144"/>
  <c r="L7" i="144"/>
  <c r="N71" i="80"/>
  <c r="O71" i="80"/>
  <c r="Q71" i="80"/>
  <c r="N63" i="80"/>
  <c r="O63" i="80"/>
  <c r="Q63" i="80"/>
  <c r="N55" i="80"/>
  <c r="O55" i="80"/>
  <c r="Q55" i="80"/>
  <c r="N48" i="80"/>
  <c r="O48" i="80"/>
  <c r="Q48" i="80"/>
  <c r="U46" i="80"/>
  <c r="U42" i="80"/>
  <c r="N40" i="80"/>
  <c r="O40" i="80"/>
  <c r="Q40" i="80"/>
  <c r="U38" i="80"/>
  <c r="U33" i="80"/>
  <c r="U25" i="80"/>
  <c r="N23" i="80"/>
  <c r="O23" i="80"/>
  <c r="Q23" i="80"/>
  <c r="U75" i="76"/>
  <c r="U73" i="80"/>
  <c r="U71" i="76"/>
  <c r="U69" i="80"/>
  <c r="U65" i="80"/>
  <c r="U63" i="76"/>
  <c r="U61" i="80"/>
  <c r="U59" i="76"/>
  <c r="U57" i="80"/>
  <c r="U55" i="76"/>
  <c r="U53" i="80"/>
  <c r="U46" i="76"/>
  <c r="U44" i="76"/>
  <c r="U38" i="76"/>
  <c r="U36" i="76"/>
  <c r="U34" i="76"/>
  <c r="U33" i="76"/>
  <c r="U25" i="76"/>
  <c r="N23" i="76"/>
  <c r="O23" i="76"/>
  <c r="Q23" i="76"/>
  <c r="U20" i="76"/>
  <c r="U18" i="76"/>
  <c r="U17" i="76"/>
  <c r="U13" i="76"/>
  <c r="U12" i="76"/>
  <c r="U11" i="76"/>
  <c r="U10" i="76"/>
  <c r="U9" i="76"/>
  <c r="J76" i="76"/>
  <c r="U22" i="80"/>
  <c r="U66" i="76"/>
  <c r="U58" i="76"/>
  <c r="U56" i="76"/>
  <c r="U49" i="76"/>
  <c r="U37" i="76"/>
  <c r="U28" i="76"/>
  <c r="U19" i="76"/>
  <c r="U17" i="80"/>
  <c r="U15" i="80"/>
  <c r="U13" i="80"/>
  <c r="U11" i="80"/>
  <c r="U9" i="80"/>
  <c r="L76" i="80"/>
  <c r="AB7" i="46"/>
  <c r="L7" i="5"/>
  <c r="N5" i="5"/>
  <c r="I82" i="149"/>
  <c r="T17" i="146"/>
  <c r="T13" i="146"/>
  <c r="T11" i="147"/>
  <c r="K8" i="152"/>
  <c r="I76" i="152"/>
  <c r="I76" i="147"/>
  <c r="K7" i="147"/>
  <c r="M7" i="148"/>
  <c r="M76" i="148"/>
  <c r="L76" i="148"/>
  <c r="K82" i="151"/>
  <c r="M7" i="153"/>
  <c r="M76" i="153"/>
  <c r="L76" i="153"/>
  <c r="M76" i="33"/>
  <c r="U72" i="80"/>
  <c r="U64" i="80"/>
  <c r="U56" i="80"/>
  <c r="U49" i="80"/>
  <c r="U41" i="80"/>
  <c r="U37" i="80"/>
  <c r="U32" i="80"/>
  <c r="U24" i="80"/>
  <c r="U19" i="80"/>
  <c r="U69" i="76"/>
  <c r="U60" i="76"/>
  <c r="U50" i="76"/>
  <c r="U45" i="76"/>
  <c r="U41" i="76"/>
  <c r="U35" i="76"/>
  <c r="U32" i="76"/>
  <c r="U18" i="80"/>
  <c r="U16" i="80"/>
  <c r="U12" i="80"/>
  <c r="U8" i="80"/>
  <c r="N7" i="153"/>
  <c r="P7" i="153"/>
  <c r="N7" i="151"/>
  <c r="N76" i="153"/>
  <c r="M82" i="153"/>
  <c r="M85" i="153"/>
  <c r="N7" i="148"/>
  <c r="K76" i="147"/>
  <c r="L7" i="147"/>
  <c r="I82" i="152"/>
  <c r="Q5" i="5"/>
  <c r="N7" i="5"/>
  <c r="L82" i="80"/>
  <c r="J82" i="76"/>
  <c r="U40" i="80"/>
  <c r="U55" i="80"/>
  <c r="U71" i="80"/>
  <c r="K82" i="144"/>
  <c r="U24" i="76"/>
  <c r="U47" i="76"/>
  <c r="AB11" i="46"/>
  <c r="O12" i="31"/>
  <c r="M73" i="31"/>
  <c r="N76" i="151"/>
  <c r="P7" i="151"/>
  <c r="I82" i="146"/>
  <c r="O14" i="46"/>
  <c r="U53" i="76"/>
  <c r="L82" i="76"/>
  <c r="U36" i="80"/>
  <c r="U44" i="80"/>
  <c r="I82" i="144"/>
  <c r="L10" i="145"/>
  <c r="K76" i="145"/>
  <c r="O6" i="46"/>
  <c r="O76" i="33"/>
  <c r="L17" i="46"/>
  <c r="N76" i="149"/>
  <c r="P7" i="149"/>
  <c r="M82" i="149"/>
  <c r="M85" i="149"/>
  <c r="L82" i="153"/>
  <c r="L82" i="148"/>
  <c r="M82" i="148"/>
  <c r="M85" i="148"/>
  <c r="I82" i="147"/>
  <c r="L8" i="152"/>
  <c r="K76" i="152"/>
  <c r="N7" i="80"/>
  <c r="N76" i="80"/>
  <c r="M76" i="80"/>
  <c r="U23" i="76"/>
  <c r="U23" i="80"/>
  <c r="U48" i="80"/>
  <c r="U63" i="80"/>
  <c r="M7" i="144"/>
  <c r="M76" i="144"/>
  <c r="L76" i="144"/>
  <c r="N7" i="144"/>
  <c r="N7" i="145"/>
  <c r="L82" i="151"/>
  <c r="M82" i="151"/>
  <c r="M85" i="151"/>
  <c r="L9" i="146"/>
  <c r="K76" i="146"/>
  <c r="J82" i="80"/>
  <c r="U21" i="80"/>
  <c r="U61" i="76"/>
  <c r="M76" i="76"/>
  <c r="N7" i="76"/>
  <c r="N76" i="76"/>
  <c r="O7" i="76"/>
  <c r="U20" i="80"/>
  <c r="U51" i="80"/>
  <c r="U59" i="80"/>
  <c r="U67" i="80"/>
  <c r="U75" i="80"/>
  <c r="I82" i="145"/>
  <c r="N17" i="46"/>
  <c r="P7" i="152"/>
  <c r="L82" i="149"/>
  <c r="P7" i="146"/>
  <c r="O7" i="80"/>
  <c r="T7" i="146"/>
  <c r="M82" i="76"/>
  <c r="K82" i="146"/>
  <c r="N76" i="144"/>
  <c r="P7" i="144"/>
  <c r="M82" i="144"/>
  <c r="M85" i="144"/>
  <c r="N82" i="80"/>
  <c r="M8" i="152"/>
  <c r="L76" i="152"/>
  <c r="T7" i="149"/>
  <c r="P76" i="149"/>
  <c r="O12" i="46"/>
  <c r="P6" i="46"/>
  <c r="M10" i="145"/>
  <c r="L76" i="145"/>
  <c r="O15" i="46"/>
  <c r="P14" i="46"/>
  <c r="N82" i="151"/>
  <c r="O73" i="31"/>
  <c r="P12" i="31"/>
  <c r="Q7" i="5"/>
  <c r="X5" i="5"/>
  <c r="X7" i="5"/>
  <c r="K82" i="147"/>
  <c r="T7" i="153"/>
  <c r="P76" i="153"/>
  <c r="T7" i="152"/>
  <c r="Q7" i="76"/>
  <c r="O76" i="76"/>
  <c r="N82" i="76"/>
  <c r="M9" i="146"/>
  <c r="L76" i="146"/>
  <c r="P7" i="145"/>
  <c r="L82" i="144"/>
  <c r="M82" i="80"/>
  <c r="O76" i="80"/>
  <c r="Q7" i="80"/>
  <c r="K82" i="152"/>
  <c r="N82" i="149"/>
  <c r="M17" i="46"/>
  <c r="K82" i="145"/>
  <c r="P76" i="151"/>
  <c r="T7" i="151"/>
  <c r="M9" i="31"/>
  <c r="O9" i="31"/>
  <c r="P9" i="31"/>
  <c r="R9" i="31"/>
  <c r="U9" i="31"/>
  <c r="Y9" i="31"/>
  <c r="M7" i="147"/>
  <c r="M76" i="147"/>
  <c r="L76" i="147"/>
  <c r="N7" i="147"/>
  <c r="N76" i="148"/>
  <c r="P7" i="148"/>
  <c r="N82" i="153"/>
  <c r="W75" i="131"/>
  <c r="W74" i="131"/>
  <c r="W73" i="131"/>
  <c r="W72" i="131"/>
  <c r="W71" i="131"/>
  <c r="W70" i="131"/>
  <c r="W69" i="131"/>
  <c r="W68" i="131"/>
  <c r="W67" i="131"/>
  <c r="W66" i="131"/>
  <c r="W65" i="131"/>
  <c r="W64" i="131"/>
  <c r="W63" i="131"/>
  <c r="W62" i="131"/>
  <c r="W61" i="131"/>
  <c r="W60" i="131"/>
  <c r="W59" i="131"/>
  <c r="W58" i="131"/>
  <c r="W57" i="131"/>
  <c r="W56" i="131"/>
  <c r="W55" i="131"/>
  <c r="W54" i="131"/>
  <c r="W53" i="131"/>
  <c r="W52" i="131"/>
  <c r="W51" i="131"/>
  <c r="W50" i="131"/>
  <c r="W49" i="131"/>
  <c r="W48" i="131"/>
  <c r="W47" i="131"/>
  <c r="W46" i="131"/>
  <c r="W45" i="131"/>
  <c r="W44" i="131"/>
  <c r="W43" i="131"/>
  <c r="W42" i="131"/>
  <c r="W41" i="131"/>
  <c r="W40" i="131"/>
  <c r="W39" i="131"/>
  <c r="W38" i="131"/>
  <c r="W37" i="131"/>
  <c r="W36" i="131"/>
  <c r="W35" i="131"/>
  <c r="W34" i="131"/>
  <c r="W33" i="131"/>
  <c r="W32" i="131"/>
  <c r="W31" i="131"/>
  <c r="W30" i="131"/>
  <c r="W29" i="131"/>
  <c r="W28" i="131"/>
  <c r="W27" i="131"/>
  <c r="W26" i="131"/>
  <c r="W25" i="131"/>
  <c r="W24" i="131"/>
  <c r="W23" i="131"/>
  <c r="W22" i="131"/>
  <c r="W21" i="131"/>
  <c r="W20" i="131"/>
  <c r="W19" i="131"/>
  <c r="W18" i="131"/>
  <c r="W17" i="131"/>
  <c r="W16" i="131"/>
  <c r="W15" i="131"/>
  <c r="W14" i="131"/>
  <c r="W13" i="131"/>
  <c r="W12" i="131"/>
  <c r="W11" i="131"/>
  <c r="W10" i="131"/>
  <c r="W9" i="131"/>
  <c r="W8" i="131"/>
  <c r="W75" i="129"/>
  <c r="W74" i="129"/>
  <c r="W73" i="129"/>
  <c r="W72" i="129"/>
  <c r="W71" i="129"/>
  <c r="W70" i="129"/>
  <c r="W69" i="129"/>
  <c r="W68" i="129"/>
  <c r="W67" i="129"/>
  <c r="W66" i="129"/>
  <c r="W65" i="129"/>
  <c r="W64" i="129"/>
  <c r="W63" i="129"/>
  <c r="W62" i="129"/>
  <c r="W61" i="129"/>
  <c r="W60" i="129"/>
  <c r="W59" i="129"/>
  <c r="W58" i="129"/>
  <c r="W57" i="129"/>
  <c r="W56" i="129"/>
  <c r="W55" i="129"/>
  <c r="W54" i="129"/>
  <c r="W53" i="129"/>
  <c r="W52" i="129"/>
  <c r="W51" i="129"/>
  <c r="W50" i="129"/>
  <c r="W49" i="129"/>
  <c r="W48" i="129"/>
  <c r="W47" i="129"/>
  <c r="W46" i="129"/>
  <c r="W45" i="129"/>
  <c r="W44" i="129"/>
  <c r="W43" i="129"/>
  <c r="W42" i="129"/>
  <c r="W41" i="129"/>
  <c r="W40" i="129"/>
  <c r="W39" i="129"/>
  <c r="W38" i="129"/>
  <c r="W37" i="129"/>
  <c r="W36" i="129"/>
  <c r="W35" i="129"/>
  <c r="W34" i="129"/>
  <c r="W33" i="129"/>
  <c r="W32" i="129"/>
  <c r="W31" i="129"/>
  <c r="W30" i="129"/>
  <c r="W29" i="129"/>
  <c r="W28" i="129"/>
  <c r="W27" i="129"/>
  <c r="W26" i="129"/>
  <c r="W25" i="129"/>
  <c r="W24" i="129"/>
  <c r="W23" i="129"/>
  <c r="W22" i="129"/>
  <c r="W21" i="129"/>
  <c r="W20" i="129"/>
  <c r="W19" i="129"/>
  <c r="W18" i="129"/>
  <c r="W17" i="129"/>
  <c r="W16" i="129"/>
  <c r="W15" i="129"/>
  <c r="W14" i="129"/>
  <c r="W13" i="129"/>
  <c r="W12" i="129"/>
  <c r="W11" i="129"/>
  <c r="W10" i="129"/>
  <c r="W9" i="129"/>
  <c r="W8" i="129"/>
  <c r="W75" i="128"/>
  <c r="W74" i="128"/>
  <c r="W73" i="128"/>
  <c r="W72" i="128"/>
  <c r="W71" i="128"/>
  <c r="W70" i="128"/>
  <c r="W69" i="128"/>
  <c r="W68" i="128"/>
  <c r="W67" i="128"/>
  <c r="W66" i="128"/>
  <c r="W65" i="128"/>
  <c r="W64" i="128"/>
  <c r="W63" i="128"/>
  <c r="W62" i="128"/>
  <c r="W61" i="128"/>
  <c r="W60" i="128"/>
  <c r="W59" i="128"/>
  <c r="W58" i="128"/>
  <c r="W57" i="128"/>
  <c r="W56" i="128"/>
  <c r="W55" i="128"/>
  <c r="W54" i="128"/>
  <c r="W53" i="128"/>
  <c r="W52" i="128"/>
  <c r="W51" i="128"/>
  <c r="W50" i="128"/>
  <c r="W49" i="128"/>
  <c r="W48" i="128"/>
  <c r="W47" i="128"/>
  <c r="W46" i="128"/>
  <c r="W45" i="128"/>
  <c r="W44" i="128"/>
  <c r="W43" i="128"/>
  <c r="W42" i="128"/>
  <c r="W41" i="128"/>
  <c r="W40" i="128"/>
  <c r="W39" i="128"/>
  <c r="W38" i="128"/>
  <c r="W37" i="128"/>
  <c r="W36" i="128"/>
  <c r="W35" i="128"/>
  <c r="W34" i="128"/>
  <c r="W33" i="128"/>
  <c r="W32" i="128"/>
  <c r="W31" i="128"/>
  <c r="W30" i="128"/>
  <c r="W29" i="128"/>
  <c r="W28" i="128"/>
  <c r="W27" i="128"/>
  <c r="W26" i="128"/>
  <c r="W25" i="128"/>
  <c r="W24" i="128"/>
  <c r="W23" i="128"/>
  <c r="W22" i="128"/>
  <c r="W21" i="128"/>
  <c r="W20" i="128"/>
  <c r="W19" i="128"/>
  <c r="W18" i="128"/>
  <c r="W17" i="128"/>
  <c r="W16" i="128"/>
  <c r="W15" i="128"/>
  <c r="W14" i="128"/>
  <c r="W13" i="128"/>
  <c r="W12" i="128"/>
  <c r="W11" i="128"/>
  <c r="W10" i="128"/>
  <c r="W9" i="128"/>
  <c r="W8" i="128"/>
  <c r="W7" i="128"/>
  <c r="W75" i="127"/>
  <c r="W74" i="127"/>
  <c r="W73" i="127"/>
  <c r="W72" i="127"/>
  <c r="W71" i="127"/>
  <c r="W70" i="127"/>
  <c r="W69" i="127"/>
  <c r="W68" i="127"/>
  <c r="W67" i="127"/>
  <c r="W66" i="127"/>
  <c r="W65" i="127"/>
  <c r="W64" i="127"/>
  <c r="W63" i="127"/>
  <c r="W62" i="127"/>
  <c r="W61" i="127"/>
  <c r="W60" i="127"/>
  <c r="W59" i="127"/>
  <c r="W58" i="127"/>
  <c r="W57" i="127"/>
  <c r="W56" i="127"/>
  <c r="W55" i="127"/>
  <c r="W54" i="127"/>
  <c r="W53" i="127"/>
  <c r="W52" i="127"/>
  <c r="W51" i="127"/>
  <c r="W50" i="127"/>
  <c r="W49" i="127"/>
  <c r="W48" i="127"/>
  <c r="W47" i="127"/>
  <c r="W46" i="127"/>
  <c r="W45" i="127"/>
  <c r="W44" i="127"/>
  <c r="W43" i="127"/>
  <c r="W42" i="127"/>
  <c r="W41" i="127"/>
  <c r="W40" i="127"/>
  <c r="W39" i="127"/>
  <c r="W38" i="127"/>
  <c r="W37" i="127"/>
  <c r="W36" i="127"/>
  <c r="W35" i="127"/>
  <c r="W34" i="127"/>
  <c r="W33" i="127"/>
  <c r="W32" i="127"/>
  <c r="W31" i="127"/>
  <c r="W30" i="127"/>
  <c r="W29" i="127"/>
  <c r="W28" i="127"/>
  <c r="W27" i="127"/>
  <c r="W26" i="127"/>
  <c r="W25" i="127"/>
  <c r="W24" i="127"/>
  <c r="W23" i="127"/>
  <c r="W22" i="127"/>
  <c r="W21" i="127"/>
  <c r="W20" i="127"/>
  <c r="W19" i="127"/>
  <c r="W18" i="127"/>
  <c r="W17" i="127"/>
  <c r="W16" i="127"/>
  <c r="W15" i="127"/>
  <c r="W14" i="127"/>
  <c r="W13" i="127"/>
  <c r="W12" i="127"/>
  <c r="W11" i="127"/>
  <c r="W10" i="127"/>
  <c r="W9" i="127"/>
  <c r="W8" i="127"/>
  <c r="W7" i="127"/>
  <c r="W75" i="126"/>
  <c r="W74" i="126"/>
  <c r="W73" i="126"/>
  <c r="W72" i="126"/>
  <c r="W71" i="126"/>
  <c r="W70" i="126"/>
  <c r="W69" i="126"/>
  <c r="W68" i="126"/>
  <c r="W67" i="126"/>
  <c r="W66" i="126"/>
  <c r="W65" i="126"/>
  <c r="W64" i="126"/>
  <c r="W63" i="126"/>
  <c r="W62" i="126"/>
  <c r="W61" i="126"/>
  <c r="W60" i="126"/>
  <c r="W59" i="126"/>
  <c r="W58" i="126"/>
  <c r="W57" i="126"/>
  <c r="W56" i="126"/>
  <c r="W55" i="126"/>
  <c r="W54" i="126"/>
  <c r="W53" i="126"/>
  <c r="W52" i="126"/>
  <c r="W51" i="126"/>
  <c r="W50" i="126"/>
  <c r="W49" i="126"/>
  <c r="W48" i="126"/>
  <c r="W47" i="126"/>
  <c r="W46" i="126"/>
  <c r="W45" i="126"/>
  <c r="W44" i="126"/>
  <c r="W43" i="126"/>
  <c r="W42" i="126"/>
  <c r="W41" i="126"/>
  <c r="W40" i="126"/>
  <c r="W39" i="126"/>
  <c r="W38" i="126"/>
  <c r="W37" i="126"/>
  <c r="W36" i="126"/>
  <c r="W35" i="126"/>
  <c r="W34" i="126"/>
  <c r="W33" i="126"/>
  <c r="W32" i="126"/>
  <c r="W31" i="126"/>
  <c r="W30" i="126"/>
  <c r="W29" i="126"/>
  <c r="W28" i="126"/>
  <c r="W27" i="126"/>
  <c r="W26" i="126"/>
  <c r="W25" i="126"/>
  <c r="W24" i="126"/>
  <c r="W23" i="126"/>
  <c r="W22" i="126"/>
  <c r="W21" i="126"/>
  <c r="W20" i="126"/>
  <c r="W19" i="126"/>
  <c r="W18" i="126"/>
  <c r="W17" i="126"/>
  <c r="W16" i="126"/>
  <c r="W15" i="126"/>
  <c r="W14" i="126"/>
  <c r="W13" i="126"/>
  <c r="W12" i="126"/>
  <c r="W11" i="126"/>
  <c r="W10" i="126"/>
  <c r="W9" i="126"/>
  <c r="W8" i="126"/>
  <c r="W7" i="126"/>
  <c r="W75" i="125"/>
  <c r="W74" i="125"/>
  <c r="W73" i="125"/>
  <c r="W72" i="125"/>
  <c r="W71" i="125"/>
  <c r="W70" i="125"/>
  <c r="W69" i="125"/>
  <c r="W68" i="125"/>
  <c r="W67" i="125"/>
  <c r="W66" i="125"/>
  <c r="W65" i="125"/>
  <c r="W64" i="125"/>
  <c r="W63" i="125"/>
  <c r="W62" i="125"/>
  <c r="W61" i="125"/>
  <c r="W60" i="125"/>
  <c r="W59" i="125"/>
  <c r="W58" i="125"/>
  <c r="W57" i="125"/>
  <c r="W56" i="125"/>
  <c r="W55" i="125"/>
  <c r="W54" i="125"/>
  <c r="W53" i="125"/>
  <c r="W52" i="125"/>
  <c r="W51" i="125"/>
  <c r="W50" i="125"/>
  <c r="W49" i="125"/>
  <c r="W48" i="125"/>
  <c r="W47" i="125"/>
  <c r="W46" i="125"/>
  <c r="W45" i="125"/>
  <c r="W44" i="125"/>
  <c r="W43" i="125"/>
  <c r="W42" i="125"/>
  <c r="W41" i="125"/>
  <c r="W40" i="125"/>
  <c r="W39" i="125"/>
  <c r="W38" i="125"/>
  <c r="W37" i="125"/>
  <c r="W36" i="125"/>
  <c r="W35" i="125"/>
  <c r="W34" i="125"/>
  <c r="W33" i="125"/>
  <c r="W32" i="125"/>
  <c r="W31" i="125"/>
  <c r="W30" i="125"/>
  <c r="W29" i="125"/>
  <c r="W28" i="125"/>
  <c r="W27" i="125"/>
  <c r="W26" i="125"/>
  <c r="W25" i="125"/>
  <c r="W24" i="125"/>
  <c r="W23" i="125"/>
  <c r="W22" i="125"/>
  <c r="W21" i="125"/>
  <c r="W20" i="125"/>
  <c r="W19" i="125"/>
  <c r="W18" i="125"/>
  <c r="W17" i="125"/>
  <c r="W16" i="125"/>
  <c r="W15" i="125"/>
  <c r="W14" i="125"/>
  <c r="W13" i="125"/>
  <c r="W12" i="125"/>
  <c r="W11" i="125"/>
  <c r="W10" i="125"/>
  <c r="W9" i="125"/>
  <c r="W8" i="125"/>
  <c r="W76" i="126"/>
  <c r="W76" i="128"/>
  <c r="N82" i="148"/>
  <c r="L82" i="147"/>
  <c r="M74" i="31"/>
  <c r="T76" i="151"/>
  <c r="Q76" i="80"/>
  <c r="U7" i="80"/>
  <c r="L82" i="146"/>
  <c r="Q76" i="76"/>
  <c r="U7" i="76"/>
  <c r="U76" i="76"/>
  <c r="P73" i="31"/>
  <c r="P74" i="31"/>
  <c r="R12" i="31"/>
  <c r="P15" i="46"/>
  <c r="R14" i="46"/>
  <c r="L82" i="145"/>
  <c r="R6" i="46"/>
  <c r="P12" i="46"/>
  <c r="P82" i="149"/>
  <c r="T76" i="149"/>
  <c r="N8" i="152"/>
  <c r="M76" i="152"/>
  <c r="N82" i="144"/>
  <c r="W76" i="127"/>
  <c r="T7" i="148"/>
  <c r="P76" i="148"/>
  <c r="P7" i="147"/>
  <c r="N76" i="147"/>
  <c r="M82" i="147"/>
  <c r="M85" i="147"/>
  <c r="P82" i="151"/>
  <c r="O82" i="80"/>
  <c r="T7" i="145"/>
  <c r="N9" i="146"/>
  <c r="M76" i="146"/>
  <c r="N85" i="76"/>
  <c r="O82" i="76"/>
  <c r="P82" i="153"/>
  <c r="T76" i="153"/>
  <c r="O74" i="31"/>
  <c r="N10" i="145"/>
  <c r="M76" i="145"/>
  <c r="O17" i="46"/>
  <c r="L82" i="152"/>
  <c r="N85" i="80"/>
  <c r="P76" i="144"/>
  <c r="T7" i="144"/>
  <c r="I58" i="126"/>
  <c r="K58" i="126"/>
  <c r="I66" i="126"/>
  <c r="K66" i="126"/>
  <c r="I70" i="126"/>
  <c r="K70" i="126"/>
  <c r="I17" i="127"/>
  <c r="K17" i="127"/>
  <c r="I58" i="127"/>
  <c r="K58" i="127"/>
  <c r="I25" i="129"/>
  <c r="K25" i="129"/>
  <c r="I29" i="129"/>
  <c r="K29" i="129"/>
  <c r="I70" i="128"/>
  <c r="K70" i="128"/>
  <c r="I56" i="126"/>
  <c r="K56" i="126"/>
  <c r="I11" i="127"/>
  <c r="K11" i="127"/>
  <c r="I23" i="127"/>
  <c r="K23" i="127"/>
  <c r="I27" i="127"/>
  <c r="K27" i="127"/>
  <c r="I60" i="127"/>
  <c r="K60" i="127"/>
  <c r="I64" i="127"/>
  <c r="K64" i="127"/>
  <c r="I48" i="131"/>
  <c r="K48" i="131"/>
  <c r="I28" i="131"/>
  <c r="K28" i="131"/>
  <c r="I46" i="131"/>
  <c r="K46" i="131"/>
  <c r="I50" i="131"/>
  <c r="K50" i="131"/>
  <c r="I74" i="131"/>
  <c r="K74" i="131"/>
  <c r="I66" i="129"/>
  <c r="K66" i="129"/>
  <c r="I70" i="129"/>
  <c r="K70" i="129"/>
  <c r="I74" i="129"/>
  <c r="K74" i="129"/>
  <c r="I23" i="129"/>
  <c r="K23" i="129"/>
  <c r="I27" i="129"/>
  <c r="K27" i="129"/>
  <c r="I64" i="129"/>
  <c r="K64" i="129"/>
  <c r="I68" i="129"/>
  <c r="K68" i="129"/>
  <c r="I72" i="129"/>
  <c r="K72" i="129"/>
  <c r="I74" i="128"/>
  <c r="K74" i="128"/>
  <c r="I68" i="128"/>
  <c r="K68" i="128"/>
  <c r="I72" i="128"/>
  <c r="K72" i="128"/>
  <c r="I7" i="128"/>
  <c r="I28" i="128"/>
  <c r="K28" i="128"/>
  <c r="I15" i="127"/>
  <c r="K15" i="127"/>
  <c r="I19" i="127"/>
  <c r="K19" i="127"/>
  <c r="I56" i="127"/>
  <c r="K56" i="127"/>
  <c r="I68" i="127"/>
  <c r="K68" i="127"/>
  <c r="I72" i="127"/>
  <c r="K72" i="127"/>
  <c r="I9" i="127"/>
  <c r="K9" i="127"/>
  <c r="I13" i="127"/>
  <c r="K13" i="127"/>
  <c r="I21" i="127"/>
  <c r="K21" i="127"/>
  <c r="I25" i="127"/>
  <c r="K25" i="127"/>
  <c r="I29" i="127"/>
  <c r="K29" i="127"/>
  <c r="I62" i="127"/>
  <c r="K62" i="127"/>
  <c r="I66" i="127"/>
  <c r="K66" i="127"/>
  <c r="I70" i="127"/>
  <c r="K70" i="127"/>
  <c r="I74" i="127"/>
  <c r="K74" i="127"/>
  <c r="I54" i="126"/>
  <c r="K54" i="126"/>
  <c r="I62" i="126"/>
  <c r="K62" i="126"/>
  <c r="I74" i="126"/>
  <c r="K74" i="126"/>
  <c r="I60" i="126"/>
  <c r="K60" i="126"/>
  <c r="I64" i="126"/>
  <c r="K64" i="126"/>
  <c r="I68" i="126"/>
  <c r="K68" i="126"/>
  <c r="I72" i="126"/>
  <c r="K72" i="126"/>
  <c r="I7" i="126"/>
  <c r="I15" i="131"/>
  <c r="K15" i="131"/>
  <c r="I16" i="131"/>
  <c r="K16" i="131"/>
  <c r="I17" i="131"/>
  <c r="K17" i="131"/>
  <c r="I18" i="131"/>
  <c r="K18" i="131"/>
  <c r="I19" i="131"/>
  <c r="K19" i="131"/>
  <c r="I21" i="131"/>
  <c r="K21" i="131"/>
  <c r="I23" i="131"/>
  <c r="K23" i="131"/>
  <c r="I25" i="131"/>
  <c r="K25" i="131"/>
  <c r="I9" i="131"/>
  <c r="K9" i="131"/>
  <c r="I11" i="131"/>
  <c r="K11" i="131"/>
  <c r="I13" i="131"/>
  <c r="K13" i="131"/>
  <c r="I14" i="131"/>
  <c r="K14" i="131"/>
  <c r="W7" i="131"/>
  <c r="I8" i="131"/>
  <c r="K8" i="131"/>
  <c r="I10" i="131"/>
  <c r="K10" i="131"/>
  <c r="I12" i="131"/>
  <c r="K12" i="131"/>
  <c r="I20" i="131"/>
  <c r="K20" i="131"/>
  <c r="I22" i="131"/>
  <c r="K22" i="131"/>
  <c r="I24" i="131"/>
  <c r="K24" i="131"/>
  <c r="I26" i="131"/>
  <c r="K26" i="131"/>
  <c r="I27" i="131"/>
  <c r="K27" i="131"/>
  <c r="I29" i="131"/>
  <c r="K29" i="131"/>
  <c r="I30" i="131"/>
  <c r="K30" i="131"/>
  <c r="I45" i="131"/>
  <c r="K45" i="131"/>
  <c r="I47" i="131"/>
  <c r="K47" i="131"/>
  <c r="I49" i="131"/>
  <c r="K49" i="131"/>
  <c r="I51" i="131"/>
  <c r="K51" i="131"/>
  <c r="I31" i="131"/>
  <c r="K31" i="131"/>
  <c r="I32" i="131"/>
  <c r="K32" i="131"/>
  <c r="I34" i="131"/>
  <c r="K34" i="131"/>
  <c r="I36" i="131"/>
  <c r="K36" i="131"/>
  <c r="I38" i="131"/>
  <c r="K38" i="131"/>
  <c r="I40" i="131"/>
  <c r="K40" i="131"/>
  <c r="I42" i="131"/>
  <c r="K42" i="131"/>
  <c r="I43" i="131"/>
  <c r="K43" i="131"/>
  <c r="I44" i="131"/>
  <c r="K44" i="131"/>
  <c r="I33" i="131"/>
  <c r="K33" i="131"/>
  <c r="I35" i="131"/>
  <c r="K35" i="131"/>
  <c r="I37" i="131"/>
  <c r="K37" i="131"/>
  <c r="I39" i="131"/>
  <c r="K39" i="131"/>
  <c r="I41" i="131"/>
  <c r="K41" i="131"/>
  <c r="I52" i="131"/>
  <c r="K52" i="131"/>
  <c r="I53" i="131"/>
  <c r="K53" i="131"/>
  <c r="I73" i="131"/>
  <c r="K73" i="131"/>
  <c r="I75" i="131"/>
  <c r="K75" i="131"/>
  <c r="I54" i="131"/>
  <c r="K54" i="131"/>
  <c r="I55" i="131"/>
  <c r="K55" i="131"/>
  <c r="I56" i="131"/>
  <c r="K56" i="131"/>
  <c r="I57" i="131"/>
  <c r="K57" i="131"/>
  <c r="I58" i="131"/>
  <c r="K58" i="131"/>
  <c r="I60" i="131"/>
  <c r="K60" i="131"/>
  <c r="I62" i="131"/>
  <c r="K62" i="131"/>
  <c r="I64" i="131"/>
  <c r="K64" i="131"/>
  <c r="I65" i="131"/>
  <c r="K65" i="131"/>
  <c r="I66" i="131"/>
  <c r="K66" i="131"/>
  <c r="I67" i="131"/>
  <c r="K67" i="131"/>
  <c r="I68" i="131"/>
  <c r="K68" i="131"/>
  <c r="I69" i="131"/>
  <c r="K69" i="131"/>
  <c r="I70" i="131"/>
  <c r="K70" i="131"/>
  <c r="I71" i="131"/>
  <c r="K71" i="131"/>
  <c r="I72" i="131"/>
  <c r="K72" i="131"/>
  <c r="I59" i="131"/>
  <c r="K59" i="131"/>
  <c r="I61" i="131"/>
  <c r="K61" i="131"/>
  <c r="I63" i="131"/>
  <c r="K63" i="131"/>
  <c r="I9" i="129"/>
  <c r="K9" i="129"/>
  <c r="I11" i="129"/>
  <c r="K11" i="129"/>
  <c r="I13" i="129"/>
  <c r="K13" i="129"/>
  <c r="I15" i="129"/>
  <c r="K15" i="129"/>
  <c r="I17" i="129"/>
  <c r="K17" i="129"/>
  <c r="I19" i="129"/>
  <c r="K19" i="129"/>
  <c r="I20" i="129"/>
  <c r="K20" i="129"/>
  <c r="I21" i="129"/>
  <c r="K21" i="129"/>
  <c r="I22" i="129"/>
  <c r="K22" i="129"/>
  <c r="I24" i="129"/>
  <c r="K24" i="129"/>
  <c r="I26" i="129"/>
  <c r="K26" i="129"/>
  <c r="I28" i="129"/>
  <c r="K28" i="129"/>
  <c r="W7" i="129"/>
  <c r="I8" i="129"/>
  <c r="K8" i="129"/>
  <c r="I10" i="129"/>
  <c r="K10" i="129"/>
  <c r="I12" i="129"/>
  <c r="K12" i="129"/>
  <c r="I14" i="129"/>
  <c r="K14" i="129"/>
  <c r="I16" i="129"/>
  <c r="K16" i="129"/>
  <c r="I18" i="129"/>
  <c r="K18" i="129"/>
  <c r="I30" i="129"/>
  <c r="K30" i="129"/>
  <c r="I31" i="129"/>
  <c r="K31" i="129"/>
  <c r="I33" i="129"/>
  <c r="K33" i="129"/>
  <c r="I35" i="129"/>
  <c r="K35" i="129"/>
  <c r="I37" i="129"/>
  <c r="K37" i="129"/>
  <c r="I39" i="129"/>
  <c r="K39" i="129"/>
  <c r="I41" i="129"/>
  <c r="K41" i="129"/>
  <c r="I43" i="129"/>
  <c r="K43" i="129"/>
  <c r="I45" i="129"/>
  <c r="K45" i="129"/>
  <c r="I47" i="129"/>
  <c r="K47" i="129"/>
  <c r="I49" i="129"/>
  <c r="K49" i="129"/>
  <c r="I51" i="129"/>
  <c r="K51" i="129"/>
  <c r="I32" i="129"/>
  <c r="K32" i="129"/>
  <c r="I34" i="129"/>
  <c r="K34" i="129"/>
  <c r="I36" i="129"/>
  <c r="K36" i="129"/>
  <c r="I38" i="129"/>
  <c r="K38" i="129"/>
  <c r="I40" i="129"/>
  <c r="K40" i="129"/>
  <c r="I42" i="129"/>
  <c r="K42" i="129"/>
  <c r="I44" i="129"/>
  <c r="K44" i="129"/>
  <c r="I46" i="129"/>
  <c r="K46" i="129"/>
  <c r="I48" i="129"/>
  <c r="K48" i="129"/>
  <c r="I50" i="129"/>
  <c r="K50" i="129"/>
  <c r="I52" i="129"/>
  <c r="K52" i="129"/>
  <c r="I59" i="129"/>
  <c r="K59" i="129"/>
  <c r="I60" i="129"/>
  <c r="K60" i="129"/>
  <c r="I61" i="129"/>
  <c r="K61" i="129"/>
  <c r="I62" i="129"/>
  <c r="K62" i="129"/>
  <c r="I63" i="129"/>
  <c r="K63" i="129"/>
  <c r="I65" i="129"/>
  <c r="K65" i="129"/>
  <c r="I67" i="129"/>
  <c r="K67" i="129"/>
  <c r="I69" i="129"/>
  <c r="K69" i="129"/>
  <c r="I71" i="129"/>
  <c r="K71" i="129"/>
  <c r="I73" i="129"/>
  <c r="K73" i="129"/>
  <c r="I75" i="129"/>
  <c r="K75" i="129"/>
  <c r="I53" i="129"/>
  <c r="K53" i="129"/>
  <c r="I54" i="129"/>
  <c r="K54" i="129"/>
  <c r="I55" i="129"/>
  <c r="K55" i="129"/>
  <c r="I56" i="129"/>
  <c r="K56" i="129"/>
  <c r="I57" i="129"/>
  <c r="K57" i="129"/>
  <c r="I58" i="129"/>
  <c r="K58" i="129"/>
  <c r="I8" i="128"/>
  <c r="K8" i="128"/>
  <c r="I10" i="128"/>
  <c r="K10" i="128"/>
  <c r="I12" i="128"/>
  <c r="K12" i="128"/>
  <c r="I14" i="128"/>
  <c r="K14" i="128"/>
  <c r="I16" i="128"/>
  <c r="K16" i="128"/>
  <c r="I18" i="128"/>
  <c r="K18" i="128"/>
  <c r="I20" i="128"/>
  <c r="K20" i="128"/>
  <c r="I22" i="128"/>
  <c r="K22" i="128"/>
  <c r="I24" i="128"/>
  <c r="K24" i="128"/>
  <c r="I26" i="128"/>
  <c r="K26" i="128"/>
  <c r="I9" i="128"/>
  <c r="K9" i="128"/>
  <c r="I11" i="128"/>
  <c r="K11" i="128"/>
  <c r="I13" i="128"/>
  <c r="K13" i="128"/>
  <c r="I15" i="128"/>
  <c r="K15" i="128"/>
  <c r="I17" i="128"/>
  <c r="K17" i="128"/>
  <c r="I19" i="128"/>
  <c r="K19" i="128"/>
  <c r="I21" i="128"/>
  <c r="K21" i="128"/>
  <c r="I23" i="128"/>
  <c r="K23" i="128"/>
  <c r="I25" i="128"/>
  <c r="K25" i="128"/>
  <c r="I27" i="128"/>
  <c r="K27" i="128"/>
  <c r="I29" i="128"/>
  <c r="K29" i="128"/>
  <c r="I32" i="128"/>
  <c r="K32" i="128"/>
  <c r="I34" i="128"/>
  <c r="K34" i="128"/>
  <c r="I36" i="128"/>
  <c r="K36" i="128"/>
  <c r="I38" i="128"/>
  <c r="K38" i="128"/>
  <c r="I40" i="128"/>
  <c r="K40" i="128"/>
  <c r="I42" i="128"/>
  <c r="K42" i="128"/>
  <c r="I44" i="128"/>
  <c r="K44" i="128"/>
  <c r="I46" i="128"/>
  <c r="K46" i="128"/>
  <c r="I48" i="128"/>
  <c r="K48" i="128"/>
  <c r="I50" i="128"/>
  <c r="K50" i="128"/>
  <c r="I30" i="128"/>
  <c r="K30" i="128"/>
  <c r="I31" i="128"/>
  <c r="K31" i="128"/>
  <c r="I33" i="128"/>
  <c r="K33" i="128"/>
  <c r="I35" i="128"/>
  <c r="K35" i="128"/>
  <c r="I37" i="128"/>
  <c r="K37" i="128"/>
  <c r="I39" i="128"/>
  <c r="K39" i="128"/>
  <c r="I41" i="128"/>
  <c r="K41" i="128"/>
  <c r="I43" i="128"/>
  <c r="K43" i="128"/>
  <c r="I45" i="128"/>
  <c r="K45" i="128"/>
  <c r="I47" i="128"/>
  <c r="K47" i="128"/>
  <c r="I49" i="128"/>
  <c r="K49" i="128"/>
  <c r="I52" i="128"/>
  <c r="K52" i="128"/>
  <c r="I54" i="128"/>
  <c r="K54" i="128"/>
  <c r="I56" i="128"/>
  <c r="K56" i="128"/>
  <c r="I58" i="128"/>
  <c r="K58" i="128"/>
  <c r="I59" i="128"/>
  <c r="K59" i="128"/>
  <c r="I60" i="128"/>
  <c r="K60" i="128"/>
  <c r="I61" i="128"/>
  <c r="K61" i="128"/>
  <c r="I62" i="128"/>
  <c r="K62" i="128"/>
  <c r="I63" i="128"/>
  <c r="K63" i="128"/>
  <c r="I64" i="128"/>
  <c r="K64" i="128"/>
  <c r="I65" i="128"/>
  <c r="K65" i="128"/>
  <c r="I66" i="128"/>
  <c r="K66" i="128"/>
  <c r="I67" i="128"/>
  <c r="K67" i="128"/>
  <c r="I69" i="128"/>
  <c r="K69" i="128"/>
  <c r="I71" i="128"/>
  <c r="K71" i="128"/>
  <c r="I73" i="128"/>
  <c r="K73" i="128"/>
  <c r="I75" i="128"/>
  <c r="K75" i="128"/>
  <c r="I51" i="128"/>
  <c r="K51" i="128"/>
  <c r="I53" i="128"/>
  <c r="K53" i="128"/>
  <c r="I55" i="128"/>
  <c r="K55" i="128"/>
  <c r="I57" i="128"/>
  <c r="K57" i="128"/>
  <c r="I8" i="127"/>
  <c r="K8" i="127"/>
  <c r="I10" i="127"/>
  <c r="K10" i="127"/>
  <c r="I12" i="127"/>
  <c r="K12" i="127"/>
  <c r="I14" i="127"/>
  <c r="K14" i="127"/>
  <c r="I16" i="127"/>
  <c r="K16" i="127"/>
  <c r="I18" i="127"/>
  <c r="K18" i="127"/>
  <c r="I20" i="127"/>
  <c r="K20" i="127"/>
  <c r="I22" i="127"/>
  <c r="K22" i="127"/>
  <c r="I24" i="127"/>
  <c r="K24" i="127"/>
  <c r="I26" i="127"/>
  <c r="K26" i="127"/>
  <c r="I28" i="127"/>
  <c r="K28" i="127"/>
  <c r="I30" i="127"/>
  <c r="K30" i="127"/>
  <c r="I7" i="127"/>
  <c r="I31" i="127"/>
  <c r="K31" i="127"/>
  <c r="I33" i="127"/>
  <c r="K33" i="127"/>
  <c r="I35" i="127"/>
  <c r="K35" i="127"/>
  <c r="I37" i="127"/>
  <c r="K37" i="127"/>
  <c r="I39" i="127"/>
  <c r="K39" i="127"/>
  <c r="I41" i="127"/>
  <c r="K41" i="127"/>
  <c r="I43" i="127"/>
  <c r="K43" i="127"/>
  <c r="I45" i="127"/>
  <c r="K45" i="127"/>
  <c r="I47" i="127"/>
  <c r="K47" i="127"/>
  <c r="I49" i="127"/>
  <c r="K49" i="127"/>
  <c r="I51" i="127"/>
  <c r="K51" i="127"/>
  <c r="I32" i="127"/>
  <c r="K32" i="127"/>
  <c r="I34" i="127"/>
  <c r="K34" i="127"/>
  <c r="I36" i="127"/>
  <c r="K36" i="127"/>
  <c r="I38" i="127"/>
  <c r="K38" i="127"/>
  <c r="I40" i="127"/>
  <c r="K40" i="127"/>
  <c r="I42" i="127"/>
  <c r="K42" i="127"/>
  <c r="I44" i="127"/>
  <c r="K44" i="127"/>
  <c r="I46" i="127"/>
  <c r="K46" i="127"/>
  <c r="I48" i="127"/>
  <c r="K48" i="127"/>
  <c r="I50" i="127"/>
  <c r="K50" i="127"/>
  <c r="I52" i="127"/>
  <c r="K52" i="127"/>
  <c r="I55" i="127"/>
  <c r="K55" i="127"/>
  <c r="I57" i="127"/>
  <c r="K57" i="127"/>
  <c r="I59" i="127"/>
  <c r="K59" i="127"/>
  <c r="I61" i="127"/>
  <c r="K61" i="127"/>
  <c r="I63" i="127"/>
  <c r="K63" i="127"/>
  <c r="I65" i="127"/>
  <c r="K65" i="127"/>
  <c r="I67" i="127"/>
  <c r="K67" i="127"/>
  <c r="I69" i="127"/>
  <c r="K69" i="127"/>
  <c r="I71" i="127"/>
  <c r="K71" i="127"/>
  <c r="I73" i="127"/>
  <c r="K73" i="127"/>
  <c r="I75" i="127"/>
  <c r="K75" i="127"/>
  <c r="I53" i="127"/>
  <c r="K53" i="127"/>
  <c r="I54" i="127"/>
  <c r="K54" i="127"/>
  <c r="I8" i="126"/>
  <c r="K8" i="126"/>
  <c r="I10" i="126"/>
  <c r="K10" i="126"/>
  <c r="I12" i="126"/>
  <c r="K12" i="126"/>
  <c r="I14" i="126"/>
  <c r="K14" i="126"/>
  <c r="I16" i="126"/>
  <c r="K16" i="126"/>
  <c r="I18" i="126"/>
  <c r="K18" i="126"/>
  <c r="I20" i="126"/>
  <c r="K20" i="126"/>
  <c r="I22" i="126"/>
  <c r="K22" i="126"/>
  <c r="I24" i="126"/>
  <c r="K24" i="126"/>
  <c r="I26" i="126"/>
  <c r="K26" i="126"/>
  <c r="I28" i="126"/>
  <c r="K28" i="126"/>
  <c r="I30" i="126"/>
  <c r="K30" i="126"/>
  <c r="I9" i="126"/>
  <c r="K9" i="126"/>
  <c r="I11" i="126"/>
  <c r="K11" i="126"/>
  <c r="I13" i="126"/>
  <c r="K13" i="126"/>
  <c r="I15" i="126"/>
  <c r="K15" i="126"/>
  <c r="I17" i="126"/>
  <c r="K17" i="126"/>
  <c r="I19" i="126"/>
  <c r="K19" i="126"/>
  <c r="I21" i="126"/>
  <c r="K21" i="126"/>
  <c r="I23" i="126"/>
  <c r="K23" i="126"/>
  <c r="I25" i="126"/>
  <c r="K25" i="126"/>
  <c r="I27" i="126"/>
  <c r="K27" i="126"/>
  <c r="I29" i="126"/>
  <c r="K29" i="126"/>
  <c r="I31" i="126"/>
  <c r="K31" i="126"/>
  <c r="I33" i="126"/>
  <c r="K33" i="126"/>
  <c r="I35" i="126"/>
  <c r="K35" i="126"/>
  <c r="I37" i="126"/>
  <c r="K37" i="126"/>
  <c r="I39" i="126"/>
  <c r="K39" i="126"/>
  <c r="I41" i="126"/>
  <c r="K41" i="126"/>
  <c r="I43" i="126"/>
  <c r="K43" i="126"/>
  <c r="I45" i="126"/>
  <c r="K45" i="126"/>
  <c r="I47" i="126"/>
  <c r="K47" i="126"/>
  <c r="I49" i="126"/>
  <c r="K49" i="126"/>
  <c r="I51" i="126"/>
  <c r="K51" i="126"/>
  <c r="I32" i="126"/>
  <c r="K32" i="126"/>
  <c r="I34" i="126"/>
  <c r="K34" i="126"/>
  <c r="I36" i="126"/>
  <c r="K36" i="126"/>
  <c r="I38" i="126"/>
  <c r="K38" i="126"/>
  <c r="I40" i="126"/>
  <c r="K40" i="126"/>
  <c r="I42" i="126"/>
  <c r="K42" i="126"/>
  <c r="I44" i="126"/>
  <c r="K44" i="126"/>
  <c r="I46" i="126"/>
  <c r="K46" i="126"/>
  <c r="I48" i="126"/>
  <c r="K48" i="126"/>
  <c r="I50" i="126"/>
  <c r="K50" i="126"/>
  <c r="I52" i="126"/>
  <c r="K52" i="126"/>
  <c r="I55" i="126"/>
  <c r="K55" i="126"/>
  <c r="I57" i="126"/>
  <c r="K57" i="126"/>
  <c r="I59" i="126"/>
  <c r="K59" i="126"/>
  <c r="I61" i="126"/>
  <c r="K61" i="126"/>
  <c r="I63" i="126"/>
  <c r="K63" i="126"/>
  <c r="I65" i="126"/>
  <c r="K65" i="126"/>
  <c r="I67" i="126"/>
  <c r="K67" i="126"/>
  <c r="I69" i="126"/>
  <c r="K69" i="126"/>
  <c r="I71" i="126"/>
  <c r="K71" i="126"/>
  <c r="I73" i="126"/>
  <c r="K73" i="126"/>
  <c r="I75" i="126"/>
  <c r="K75" i="126"/>
  <c r="I53" i="126"/>
  <c r="K53" i="126"/>
  <c r="I9" i="125"/>
  <c r="K9" i="125"/>
  <c r="I11" i="125"/>
  <c r="K11" i="125"/>
  <c r="I13" i="125"/>
  <c r="K13" i="125"/>
  <c r="I15" i="125"/>
  <c r="K15" i="125"/>
  <c r="I17" i="125"/>
  <c r="K17" i="125"/>
  <c r="I19" i="125"/>
  <c r="K19" i="125"/>
  <c r="I21" i="125"/>
  <c r="K21" i="125"/>
  <c r="I23" i="125"/>
  <c r="K23" i="125"/>
  <c r="I25" i="125"/>
  <c r="K25" i="125"/>
  <c r="I27" i="125"/>
  <c r="K27" i="125"/>
  <c r="I8" i="125"/>
  <c r="K8" i="125"/>
  <c r="I10" i="125"/>
  <c r="K10" i="125"/>
  <c r="I12" i="125"/>
  <c r="K12" i="125"/>
  <c r="I14" i="125"/>
  <c r="K14" i="125"/>
  <c r="I16" i="125"/>
  <c r="K16" i="125"/>
  <c r="I18" i="125"/>
  <c r="K18" i="125"/>
  <c r="I20" i="125"/>
  <c r="K20" i="125"/>
  <c r="I22" i="125"/>
  <c r="K22" i="125"/>
  <c r="I24" i="125"/>
  <c r="K24" i="125"/>
  <c r="I26" i="125"/>
  <c r="K26" i="125"/>
  <c r="I28" i="125"/>
  <c r="K28" i="125"/>
  <c r="W7" i="125"/>
  <c r="I29" i="125"/>
  <c r="K29" i="125"/>
  <c r="I31" i="125"/>
  <c r="K31" i="125"/>
  <c r="I33" i="125"/>
  <c r="K33" i="125"/>
  <c r="I35" i="125"/>
  <c r="K35" i="125"/>
  <c r="I37" i="125"/>
  <c r="K37" i="125"/>
  <c r="I46" i="125"/>
  <c r="K46" i="125"/>
  <c r="I48" i="125"/>
  <c r="K48" i="125"/>
  <c r="I50" i="125"/>
  <c r="K50" i="125"/>
  <c r="I52" i="125"/>
  <c r="K52" i="125"/>
  <c r="I54" i="125"/>
  <c r="K54" i="125"/>
  <c r="I30" i="125"/>
  <c r="K30" i="125"/>
  <c r="I32" i="125"/>
  <c r="K32" i="125"/>
  <c r="I34" i="125"/>
  <c r="K34" i="125"/>
  <c r="I36" i="125"/>
  <c r="K36" i="125"/>
  <c r="I38" i="125"/>
  <c r="K38" i="125"/>
  <c r="I47" i="125"/>
  <c r="K47" i="125"/>
  <c r="I49" i="125"/>
  <c r="K49" i="125"/>
  <c r="I51" i="125"/>
  <c r="K51" i="125"/>
  <c r="I53" i="125"/>
  <c r="K53" i="125"/>
  <c r="I55" i="125"/>
  <c r="K55" i="125"/>
  <c r="I39" i="125"/>
  <c r="K39" i="125"/>
  <c r="I40" i="125"/>
  <c r="K40" i="125"/>
  <c r="I41" i="125"/>
  <c r="K41" i="125"/>
  <c r="I42" i="125"/>
  <c r="K42" i="125"/>
  <c r="I43" i="125"/>
  <c r="K43" i="125"/>
  <c r="I44" i="125"/>
  <c r="K44" i="125"/>
  <c r="I45" i="125"/>
  <c r="K45" i="125"/>
  <c r="I58" i="125"/>
  <c r="K58" i="125"/>
  <c r="I60" i="125"/>
  <c r="K60" i="125"/>
  <c r="I62" i="125"/>
  <c r="K62" i="125"/>
  <c r="I64" i="125"/>
  <c r="K64" i="125"/>
  <c r="I66" i="125"/>
  <c r="K66" i="125"/>
  <c r="I68" i="125"/>
  <c r="K68" i="125"/>
  <c r="I70" i="125"/>
  <c r="K70" i="125"/>
  <c r="I72" i="125"/>
  <c r="K72" i="125"/>
  <c r="I74" i="125"/>
  <c r="K74" i="125"/>
  <c r="I56" i="125"/>
  <c r="K56" i="125"/>
  <c r="I57" i="125"/>
  <c r="K57" i="125"/>
  <c r="I59" i="125"/>
  <c r="K59" i="125"/>
  <c r="I61" i="125"/>
  <c r="K61" i="125"/>
  <c r="I63" i="125"/>
  <c r="K63" i="125"/>
  <c r="I65" i="125"/>
  <c r="K65" i="125"/>
  <c r="I67" i="125"/>
  <c r="K67" i="125"/>
  <c r="I69" i="125"/>
  <c r="K69" i="125"/>
  <c r="I71" i="125"/>
  <c r="K71" i="125"/>
  <c r="I73" i="125"/>
  <c r="K73" i="125"/>
  <c r="I75" i="125"/>
  <c r="K75" i="125"/>
  <c r="M71" i="125"/>
  <c r="N71" i="125"/>
  <c r="P71" i="125"/>
  <c r="M59" i="125"/>
  <c r="N59" i="125"/>
  <c r="P59" i="125"/>
  <c r="M74" i="125"/>
  <c r="N74" i="125"/>
  <c r="P74" i="125"/>
  <c r="M66" i="125"/>
  <c r="N66" i="125"/>
  <c r="P66" i="125"/>
  <c r="M58" i="125"/>
  <c r="N58" i="125"/>
  <c r="P58" i="125"/>
  <c r="M44" i="125"/>
  <c r="N44" i="125"/>
  <c r="P44" i="125"/>
  <c r="M42" i="125"/>
  <c r="N42" i="125"/>
  <c r="P42" i="125"/>
  <c r="M39" i="125"/>
  <c r="N39" i="125"/>
  <c r="P39" i="125"/>
  <c r="M55" i="125"/>
  <c r="N55" i="125"/>
  <c r="P55" i="125"/>
  <c r="M49" i="125"/>
  <c r="N49" i="125"/>
  <c r="P49" i="125"/>
  <c r="M34" i="125"/>
  <c r="N34" i="125"/>
  <c r="P34" i="125"/>
  <c r="M52" i="125"/>
  <c r="N52" i="125"/>
  <c r="P52" i="125"/>
  <c r="M37" i="125"/>
  <c r="N37" i="125"/>
  <c r="P37" i="125"/>
  <c r="W76" i="125"/>
  <c r="M24" i="125"/>
  <c r="N24" i="125"/>
  <c r="P24" i="125"/>
  <c r="M12" i="125"/>
  <c r="N12" i="125"/>
  <c r="P12" i="125"/>
  <c r="M25" i="125"/>
  <c r="N25" i="125"/>
  <c r="P25" i="125"/>
  <c r="M17" i="125"/>
  <c r="N17" i="125"/>
  <c r="P17" i="125"/>
  <c r="M9" i="125"/>
  <c r="N9" i="125"/>
  <c r="P9" i="125"/>
  <c r="M75" i="126"/>
  <c r="N75" i="126"/>
  <c r="P75" i="126"/>
  <c r="M71" i="126"/>
  <c r="N71" i="126"/>
  <c r="P71" i="126"/>
  <c r="M59" i="126"/>
  <c r="N59" i="126"/>
  <c r="P59" i="126"/>
  <c r="M55" i="126"/>
  <c r="N55" i="126"/>
  <c r="P55" i="126"/>
  <c r="M50" i="126"/>
  <c r="N50" i="126"/>
  <c r="P50" i="126"/>
  <c r="M46" i="126"/>
  <c r="N46" i="126"/>
  <c r="P46" i="126"/>
  <c r="M42" i="126"/>
  <c r="N42" i="126"/>
  <c r="P42" i="126"/>
  <c r="M38" i="126"/>
  <c r="N38" i="126"/>
  <c r="P38" i="126"/>
  <c r="M32" i="126"/>
  <c r="N32" i="126"/>
  <c r="P32" i="126"/>
  <c r="M45" i="126"/>
  <c r="N45" i="126"/>
  <c r="P45" i="126"/>
  <c r="M73" i="125"/>
  <c r="N73" i="125"/>
  <c r="P73" i="125"/>
  <c r="M69" i="125"/>
  <c r="N69" i="125"/>
  <c r="P69" i="125"/>
  <c r="M65" i="125"/>
  <c r="N65" i="125"/>
  <c r="P65" i="125"/>
  <c r="M61" i="125"/>
  <c r="N61" i="125"/>
  <c r="P61" i="125"/>
  <c r="M57" i="125"/>
  <c r="N57" i="125"/>
  <c r="P57" i="125"/>
  <c r="M72" i="125"/>
  <c r="N72" i="125"/>
  <c r="P72" i="125"/>
  <c r="M68" i="125"/>
  <c r="N68" i="125"/>
  <c r="P68" i="125"/>
  <c r="M64" i="125"/>
  <c r="N64" i="125"/>
  <c r="P64" i="125"/>
  <c r="M60" i="125"/>
  <c r="N60" i="125"/>
  <c r="P60" i="125"/>
  <c r="M51" i="125"/>
  <c r="N51" i="125"/>
  <c r="P51" i="125"/>
  <c r="M47" i="125"/>
  <c r="N47" i="125"/>
  <c r="P47" i="125"/>
  <c r="M36" i="125"/>
  <c r="N36" i="125"/>
  <c r="P36" i="125"/>
  <c r="M32" i="125"/>
  <c r="N32" i="125"/>
  <c r="P32" i="125"/>
  <c r="M54" i="125"/>
  <c r="N54" i="125"/>
  <c r="P54" i="125"/>
  <c r="M50" i="125"/>
  <c r="N50" i="125"/>
  <c r="P50" i="125"/>
  <c r="M46" i="125"/>
  <c r="N46" i="125"/>
  <c r="P46" i="125"/>
  <c r="M35" i="125"/>
  <c r="N35" i="125"/>
  <c r="P35" i="125"/>
  <c r="M31" i="125"/>
  <c r="N31" i="125"/>
  <c r="P31" i="125"/>
  <c r="M28" i="125"/>
  <c r="N28" i="125"/>
  <c r="P28" i="125"/>
  <c r="M26" i="125"/>
  <c r="N26" i="125"/>
  <c r="P26" i="125"/>
  <c r="M22" i="125"/>
  <c r="N22" i="125"/>
  <c r="P22" i="125"/>
  <c r="M18" i="125"/>
  <c r="N18" i="125"/>
  <c r="P18" i="125"/>
  <c r="M14" i="125"/>
  <c r="N14" i="125"/>
  <c r="P14" i="125"/>
  <c r="M10" i="125"/>
  <c r="N10" i="125"/>
  <c r="P10" i="125"/>
  <c r="M27" i="125"/>
  <c r="N27" i="125"/>
  <c r="P27" i="125"/>
  <c r="M23" i="125"/>
  <c r="N23" i="125"/>
  <c r="P23" i="125"/>
  <c r="M19" i="125"/>
  <c r="N19" i="125"/>
  <c r="P19" i="125"/>
  <c r="M15" i="125"/>
  <c r="N15" i="125"/>
  <c r="P15" i="125"/>
  <c r="M11" i="125"/>
  <c r="N11" i="125"/>
  <c r="P11" i="125"/>
  <c r="M53" i="126"/>
  <c r="N53" i="126"/>
  <c r="P53" i="126"/>
  <c r="M73" i="126"/>
  <c r="N73" i="126"/>
  <c r="P73" i="126"/>
  <c r="M69" i="126"/>
  <c r="N69" i="126"/>
  <c r="P69" i="126"/>
  <c r="M65" i="126"/>
  <c r="N65" i="126"/>
  <c r="P65" i="126"/>
  <c r="M61" i="126"/>
  <c r="N61" i="126"/>
  <c r="P61" i="126"/>
  <c r="M57" i="126"/>
  <c r="N57" i="126"/>
  <c r="P57" i="126"/>
  <c r="M51" i="126"/>
  <c r="N51" i="126"/>
  <c r="P51" i="126"/>
  <c r="M47" i="126"/>
  <c r="N47" i="126"/>
  <c r="P47" i="126"/>
  <c r="M43" i="126"/>
  <c r="N43" i="126"/>
  <c r="P43" i="126"/>
  <c r="M39" i="126"/>
  <c r="N39" i="126"/>
  <c r="P39" i="126"/>
  <c r="M35" i="126"/>
  <c r="N35" i="126"/>
  <c r="P35" i="126"/>
  <c r="M31" i="126"/>
  <c r="N31" i="126"/>
  <c r="P31" i="126"/>
  <c r="M29" i="126"/>
  <c r="N29" i="126"/>
  <c r="P29" i="126"/>
  <c r="M27" i="126"/>
  <c r="N27" i="126"/>
  <c r="P27" i="126"/>
  <c r="M25" i="126"/>
  <c r="N25" i="126"/>
  <c r="P25" i="126"/>
  <c r="M23" i="126"/>
  <c r="N23" i="126"/>
  <c r="P23" i="126"/>
  <c r="M21" i="126"/>
  <c r="N21" i="126"/>
  <c r="P21" i="126"/>
  <c r="M19" i="126"/>
  <c r="N19" i="126"/>
  <c r="P19" i="126"/>
  <c r="M17" i="126"/>
  <c r="N17" i="126"/>
  <c r="P17" i="126"/>
  <c r="M15" i="126"/>
  <c r="N15" i="126"/>
  <c r="P15" i="126"/>
  <c r="M13" i="126"/>
  <c r="N13" i="126"/>
  <c r="P13" i="126"/>
  <c r="M11" i="126"/>
  <c r="N11" i="126"/>
  <c r="P11" i="126"/>
  <c r="M9" i="126"/>
  <c r="N9" i="126"/>
  <c r="P9" i="126"/>
  <c r="M28" i="126"/>
  <c r="N28" i="126"/>
  <c r="P28" i="126"/>
  <c r="M24" i="126"/>
  <c r="N24" i="126"/>
  <c r="P24" i="126"/>
  <c r="M20" i="126"/>
  <c r="N20" i="126"/>
  <c r="P20" i="126"/>
  <c r="M16" i="126"/>
  <c r="N16" i="126"/>
  <c r="P16" i="126"/>
  <c r="M12" i="126"/>
  <c r="N12" i="126"/>
  <c r="P12" i="126"/>
  <c r="M8" i="126"/>
  <c r="N8" i="126"/>
  <c r="P8" i="126"/>
  <c r="M54" i="127"/>
  <c r="N54" i="127"/>
  <c r="P54" i="127"/>
  <c r="M53" i="127"/>
  <c r="N53" i="127"/>
  <c r="P53" i="127"/>
  <c r="M73" i="127"/>
  <c r="N73" i="127"/>
  <c r="P73" i="127"/>
  <c r="M69" i="127"/>
  <c r="N69" i="127"/>
  <c r="P69" i="127"/>
  <c r="M65" i="127"/>
  <c r="N65" i="127"/>
  <c r="P65" i="127"/>
  <c r="M61" i="127"/>
  <c r="N61" i="127"/>
  <c r="P61" i="127"/>
  <c r="M57" i="127"/>
  <c r="N57" i="127"/>
  <c r="P57" i="127"/>
  <c r="M49" i="127"/>
  <c r="N49" i="127"/>
  <c r="P49" i="127"/>
  <c r="M45" i="127"/>
  <c r="N45" i="127"/>
  <c r="P45" i="127"/>
  <c r="M41" i="127"/>
  <c r="N41" i="127"/>
  <c r="P41" i="127"/>
  <c r="M37" i="127"/>
  <c r="N37" i="127"/>
  <c r="P37" i="127"/>
  <c r="M33" i="127"/>
  <c r="N33" i="127"/>
  <c r="P33" i="127"/>
  <c r="K7" i="127"/>
  <c r="I76" i="127"/>
  <c r="M26" i="127"/>
  <c r="N26" i="127"/>
  <c r="P26" i="127"/>
  <c r="M22" i="127"/>
  <c r="N22" i="127"/>
  <c r="P22" i="127"/>
  <c r="M18" i="127"/>
  <c r="N18" i="127"/>
  <c r="P18" i="127"/>
  <c r="M14" i="127"/>
  <c r="N14" i="127"/>
  <c r="P14" i="127"/>
  <c r="M10" i="127"/>
  <c r="N10" i="127"/>
  <c r="P10" i="127"/>
  <c r="M57" i="128"/>
  <c r="N57" i="128"/>
  <c r="P57" i="128"/>
  <c r="M55" i="128"/>
  <c r="N55" i="128"/>
  <c r="P55" i="128"/>
  <c r="M53" i="128"/>
  <c r="N53" i="128"/>
  <c r="P53" i="128"/>
  <c r="M51" i="128"/>
  <c r="N51" i="128"/>
  <c r="P51" i="128"/>
  <c r="M73" i="128"/>
  <c r="N73" i="128"/>
  <c r="P73" i="128"/>
  <c r="M69" i="128"/>
  <c r="N69" i="128"/>
  <c r="P69" i="128"/>
  <c r="M56" i="128"/>
  <c r="N56" i="128"/>
  <c r="P56" i="128"/>
  <c r="M52" i="128"/>
  <c r="N52" i="128"/>
  <c r="P52" i="128"/>
  <c r="M30" i="128"/>
  <c r="N30" i="128"/>
  <c r="P30" i="128"/>
  <c r="M46" i="128"/>
  <c r="N46" i="128"/>
  <c r="P46" i="128"/>
  <c r="M42" i="128"/>
  <c r="N42" i="128"/>
  <c r="P42" i="128"/>
  <c r="M38" i="128"/>
  <c r="N38" i="128"/>
  <c r="P38" i="128"/>
  <c r="M34" i="128"/>
  <c r="N34" i="128"/>
  <c r="P34" i="128"/>
  <c r="M27" i="128"/>
  <c r="N27" i="128"/>
  <c r="P27" i="128"/>
  <c r="M25" i="128"/>
  <c r="N25" i="128"/>
  <c r="P25" i="128"/>
  <c r="M23" i="128"/>
  <c r="N23" i="128"/>
  <c r="P23" i="128"/>
  <c r="M21" i="128"/>
  <c r="N21" i="128"/>
  <c r="P21" i="128"/>
  <c r="M19" i="128"/>
  <c r="N19" i="128"/>
  <c r="P19" i="128"/>
  <c r="M17" i="128"/>
  <c r="N17" i="128"/>
  <c r="P17" i="128"/>
  <c r="M15" i="128"/>
  <c r="N15" i="128"/>
  <c r="P15" i="128"/>
  <c r="M13" i="128"/>
  <c r="N13" i="128"/>
  <c r="P13" i="128"/>
  <c r="M11" i="128"/>
  <c r="N11" i="128"/>
  <c r="P11" i="128"/>
  <c r="M9" i="128"/>
  <c r="N9" i="128"/>
  <c r="P9" i="128"/>
  <c r="M24" i="128"/>
  <c r="N24" i="128"/>
  <c r="P24" i="128"/>
  <c r="M20" i="128"/>
  <c r="N20" i="128"/>
  <c r="P20" i="128"/>
  <c r="M16" i="128"/>
  <c r="N16" i="128"/>
  <c r="P16" i="128"/>
  <c r="M12" i="128"/>
  <c r="N12" i="128"/>
  <c r="P12" i="128"/>
  <c r="M8" i="128"/>
  <c r="N8" i="128"/>
  <c r="P8" i="128"/>
  <c r="M75" i="129"/>
  <c r="N75" i="129"/>
  <c r="P75" i="129"/>
  <c r="M71" i="129"/>
  <c r="N71" i="129"/>
  <c r="P71" i="129"/>
  <c r="M67" i="129"/>
  <c r="N67" i="129"/>
  <c r="P67" i="129"/>
  <c r="M63" i="129"/>
  <c r="N63" i="129"/>
  <c r="P63" i="129"/>
  <c r="M62" i="129"/>
  <c r="N62" i="129"/>
  <c r="P62" i="129"/>
  <c r="M61" i="129"/>
  <c r="N61" i="129"/>
  <c r="P61" i="129"/>
  <c r="M60" i="129"/>
  <c r="N60" i="129"/>
  <c r="P60" i="129"/>
  <c r="M59" i="129"/>
  <c r="N59" i="129"/>
  <c r="P59" i="129"/>
  <c r="M52" i="129"/>
  <c r="N52" i="129"/>
  <c r="P52" i="129"/>
  <c r="M50" i="129"/>
  <c r="N50" i="129"/>
  <c r="P50" i="129"/>
  <c r="M48" i="129"/>
  <c r="N48" i="129"/>
  <c r="P48" i="129"/>
  <c r="M46" i="129"/>
  <c r="N46" i="129"/>
  <c r="P46" i="129"/>
  <c r="M44" i="129"/>
  <c r="N44" i="129"/>
  <c r="P44" i="129"/>
  <c r="M42" i="129"/>
  <c r="N42" i="129"/>
  <c r="P42" i="129"/>
  <c r="M40" i="129"/>
  <c r="N40" i="129"/>
  <c r="P40" i="129"/>
  <c r="M38" i="129"/>
  <c r="N38" i="129"/>
  <c r="P38" i="129"/>
  <c r="M36" i="129"/>
  <c r="N36" i="129"/>
  <c r="P36" i="129"/>
  <c r="M34" i="129"/>
  <c r="N34" i="129"/>
  <c r="P34" i="129"/>
  <c r="M32" i="129"/>
  <c r="N32" i="129"/>
  <c r="P32" i="129"/>
  <c r="M51" i="129"/>
  <c r="N51" i="129"/>
  <c r="P51" i="129"/>
  <c r="M47" i="129"/>
  <c r="N47" i="129"/>
  <c r="P47" i="129"/>
  <c r="M43" i="129"/>
  <c r="N43" i="129"/>
  <c r="P43" i="129"/>
  <c r="M39" i="129"/>
  <c r="N39" i="129"/>
  <c r="P39" i="129"/>
  <c r="M35" i="129"/>
  <c r="N35" i="129"/>
  <c r="P35" i="129"/>
  <c r="M31" i="129"/>
  <c r="N31" i="129"/>
  <c r="P31" i="129"/>
  <c r="M30" i="129"/>
  <c r="N30" i="129"/>
  <c r="P30" i="129"/>
  <c r="M18" i="129"/>
  <c r="N18" i="129"/>
  <c r="P18" i="129"/>
  <c r="M16" i="129"/>
  <c r="N16" i="129"/>
  <c r="P16" i="129"/>
  <c r="M14" i="129"/>
  <c r="N14" i="129"/>
  <c r="P14" i="129"/>
  <c r="M12" i="129"/>
  <c r="N12" i="129"/>
  <c r="P12" i="129"/>
  <c r="M10" i="129"/>
  <c r="N10" i="129"/>
  <c r="P10" i="129"/>
  <c r="M8" i="129"/>
  <c r="N8" i="129"/>
  <c r="P8" i="129"/>
  <c r="W76" i="129"/>
  <c r="M28" i="129"/>
  <c r="N28" i="129"/>
  <c r="P28" i="129"/>
  <c r="M24" i="129"/>
  <c r="N24" i="129"/>
  <c r="P24" i="129"/>
  <c r="M17" i="129"/>
  <c r="N17" i="129"/>
  <c r="P17" i="129"/>
  <c r="M13" i="129"/>
  <c r="N13" i="129"/>
  <c r="P13" i="129"/>
  <c r="M9" i="129"/>
  <c r="N9" i="129"/>
  <c r="P9" i="129"/>
  <c r="M62" i="131"/>
  <c r="N62" i="131"/>
  <c r="P62" i="131"/>
  <c r="M58" i="131"/>
  <c r="N58" i="131"/>
  <c r="P58" i="131"/>
  <c r="M57" i="131"/>
  <c r="N57" i="131"/>
  <c r="P57" i="131"/>
  <c r="M56" i="131"/>
  <c r="N56" i="131"/>
  <c r="P56" i="131"/>
  <c r="M55" i="131"/>
  <c r="N55" i="131"/>
  <c r="P55" i="131"/>
  <c r="M54" i="131"/>
  <c r="N54" i="131"/>
  <c r="P54" i="131"/>
  <c r="M75" i="131"/>
  <c r="N75" i="131"/>
  <c r="P75" i="131"/>
  <c r="M53" i="131"/>
  <c r="N53" i="131"/>
  <c r="P53" i="131"/>
  <c r="M52" i="131"/>
  <c r="N52" i="131"/>
  <c r="P52" i="131"/>
  <c r="M41" i="131"/>
  <c r="N41" i="131"/>
  <c r="P41" i="131"/>
  <c r="M39" i="131"/>
  <c r="N39" i="131"/>
  <c r="P39" i="131"/>
  <c r="M37" i="131"/>
  <c r="N37" i="131"/>
  <c r="P37" i="131"/>
  <c r="M35" i="131"/>
  <c r="N35" i="131"/>
  <c r="P35" i="131"/>
  <c r="M33" i="131"/>
  <c r="N33" i="131"/>
  <c r="P33" i="131"/>
  <c r="M44" i="131"/>
  <c r="N44" i="131"/>
  <c r="P44" i="131"/>
  <c r="M43" i="131"/>
  <c r="N43" i="131"/>
  <c r="P43" i="131"/>
  <c r="M42" i="131"/>
  <c r="N42" i="131"/>
  <c r="P42" i="131"/>
  <c r="M38" i="131"/>
  <c r="N38" i="131"/>
  <c r="P38" i="131"/>
  <c r="M34" i="131"/>
  <c r="N34" i="131"/>
  <c r="P34" i="131"/>
  <c r="M51" i="131"/>
  <c r="N51" i="131"/>
  <c r="P51" i="131"/>
  <c r="M47" i="131"/>
  <c r="N47" i="131"/>
  <c r="P47" i="131"/>
  <c r="M27" i="131"/>
  <c r="N27" i="131"/>
  <c r="P27" i="131"/>
  <c r="M26" i="131"/>
  <c r="N26" i="131"/>
  <c r="P26" i="131"/>
  <c r="M24" i="131"/>
  <c r="N24" i="131"/>
  <c r="P24" i="131"/>
  <c r="M22" i="131"/>
  <c r="N22" i="131"/>
  <c r="P22" i="131"/>
  <c r="M20" i="131"/>
  <c r="N20" i="131"/>
  <c r="P20" i="131"/>
  <c r="M12" i="131"/>
  <c r="N12" i="131"/>
  <c r="P12" i="131"/>
  <c r="M10" i="131"/>
  <c r="N10" i="131"/>
  <c r="P10" i="131"/>
  <c r="M8" i="131"/>
  <c r="N8" i="131"/>
  <c r="P8" i="131"/>
  <c r="W76" i="131"/>
  <c r="M14" i="131"/>
  <c r="N14" i="131"/>
  <c r="P14" i="131"/>
  <c r="M13" i="131"/>
  <c r="N13" i="131"/>
  <c r="P13" i="131"/>
  <c r="M9" i="131"/>
  <c r="N9" i="131"/>
  <c r="P9" i="131"/>
  <c r="M23" i="131"/>
  <c r="N23" i="131"/>
  <c r="P23" i="131"/>
  <c r="M19" i="131"/>
  <c r="N19" i="131"/>
  <c r="P19" i="131"/>
  <c r="M18" i="131"/>
  <c r="N18" i="131"/>
  <c r="P18" i="131"/>
  <c r="M17" i="131"/>
  <c r="N17" i="131"/>
  <c r="P17" i="131"/>
  <c r="M16" i="131"/>
  <c r="N16" i="131"/>
  <c r="P16" i="131"/>
  <c r="M15" i="131"/>
  <c r="N15" i="131"/>
  <c r="P15" i="131"/>
  <c r="M72" i="126"/>
  <c r="N72" i="126"/>
  <c r="P72" i="126"/>
  <c r="M64" i="126"/>
  <c r="N64" i="126"/>
  <c r="P64" i="126"/>
  <c r="M74" i="126"/>
  <c r="N74" i="126"/>
  <c r="P74" i="126"/>
  <c r="M54" i="126"/>
  <c r="N54" i="126"/>
  <c r="P54" i="126"/>
  <c r="M70" i="127"/>
  <c r="N70" i="127"/>
  <c r="P70" i="127"/>
  <c r="M62" i="127"/>
  <c r="N62" i="127"/>
  <c r="P62" i="127"/>
  <c r="M25" i="127"/>
  <c r="N25" i="127"/>
  <c r="P25" i="127"/>
  <c r="M13" i="127"/>
  <c r="N13" i="127"/>
  <c r="P13" i="127"/>
  <c r="M72" i="127"/>
  <c r="N72" i="127"/>
  <c r="P72" i="127"/>
  <c r="M56" i="127"/>
  <c r="N56" i="127"/>
  <c r="P56" i="127"/>
  <c r="M15" i="127"/>
  <c r="N15" i="127"/>
  <c r="P15" i="127"/>
  <c r="I76" i="128"/>
  <c r="K7" i="128"/>
  <c r="M68" i="128"/>
  <c r="N68" i="128"/>
  <c r="P68" i="128"/>
  <c r="M72" i="129"/>
  <c r="N72" i="129"/>
  <c r="P72" i="129"/>
  <c r="M64" i="129"/>
  <c r="N64" i="129"/>
  <c r="P64" i="129"/>
  <c r="M23" i="129"/>
  <c r="N23" i="129"/>
  <c r="P23" i="129"/>
  <c r="M70" i="129"/>
  <c r="N70" i="129"/>
  <c r="P70" i="129"/>
  <c r="M74" i="131"/>
  <c r="N74" i="131"/>
  <c r="P74" i="131"/>
  <c r="M46" i="131"/>
  <c r="N46" i="131"/>
  <c r="P46" i="131"/>
  <c r="M48" i="131"/>
  <c r="N48" i="131"/>
  <c r="P48" i="131"/>
  <c r="M60" i="127"/>
  <c r="N60" i="127"/>
  <c r="P60" i="127"/>
  <c r="M23" i="127"/>
  <c r="N23" i="127"/>
  <c r="P23" i="127"/>
  <c r="M56" i="126"/>
  <c r="N56" i="126"/>
  <c r="P56" i="126"/>
  <c r="M70" i="128"/>
  <c r="N70" i="128"/>
  <c r="P70" i="128"/>
  <c r="M29" i="129"/>
  <c r="N29" i="129"/>
  <c r="P29" i="129"/>
  <c r="M70" i="126"/>
  <c r="N70" i="126"/>
  <c r="P70" i="126"/>
  <c r="M58" i="126"/>
  <c r="N58" i="126"/>
  <c r="P58" i="126"/>
  <c r="P82" i="144"/>
  <c r="M82" i="145"/>
  <c r="M85" i="145"/>
  <c r="P9" i="146"/>
  <c r="N76" i="146"/>
  <c r="T7" i="147"/>
  <c r="P76" i="147"/>
  <c r="T76" i="148"/>
  <c r="M82" i="152"/>
  <c r="M85" i="152"/>
  <c r="T82" i="149"/>
  <c r="P17" i="46"/>
  <c r="R15" i="46"/>
  <c r="U14" i="46"/>
  <c r="R73" i="31"/>
  <c r="R74" i="31"/>
  <c r="U12" i="31"/>
  <c r="Q82" i="76"/>
  <c r="Q82" i="80"/>
  <c r="W82" i="128"/>
  <c r="W82" i="126"/>
  <c r="M75" i="125"/>
  <c r="N75" i="125"/>
  <c r="P75" i="125"/>
  <c r="M67" i="125"/>
  <c r="N67" i="125"/>
  <c r="P67" i="125"/>
  <c r="M63" i="125"/>
  <c r="N63" i="125"/>
  <c r="P63" i="125"/>
  <c r="M56" i="125"/>
  <c r="N56" i="125"/>
  <c r="P56" i="125"/>
  <c r="M70" i="125"/>
  <c r="N70" i="125"/>
  <c r="P70" i="125"/>
  <c r="M62" i="125"/>
  <c r="N62" i="125"/>
  <c r="P62" i="125"/>
  <c r="M45" i="125"/>
  <c r="N45" i="125"/>
  <c r="P45" i="125"/>
  <c r="M43" i="125"/>
  <c r="N43" i="125"/>
  <c r="P43" i="125"/>
  <c r="M41" i="125"/>
  <c r="N41" i="125"/>
  <c r="P41" i="125"/>
  <c r="M40" i="125"/>
  <c r="N40" i="125"/>
  <c r="P40" i="125"/>
  <c r="M53" i="125"/>
  <c r="N53" i="125"/>
  <c r="P53" i="125"/>
  <c r="M38" i="125"/>
  <c r="N38" i="125"/>
  <c r="P38" i="125"/>
  <c r="M30" i="125"/>
  <c r="N30" i="125"/>
  <c r="P30" i="125"/>
  <c r="M48" i="125"/>
  <c r="N48" i="125"/>
  <c r="P48" i="125"/>
  <c r="M33" i="125"/>
  <c r="N33" i="125"/>
  <c r="P33" i="125"/>
  <c r="M29" i="125"/>
  <c r="N29" i="125"/>
  <c r="P29" i="125"/>
  <c r="M20" i="125"/>
  <c r="N20" i="125"/>
  <c r="P20" i="125"/>
  <c r="M16" i="125"/>
  <c r="N16" i="125"/>
  <c r="P16" i="125"/>
  <c r="M8" i="125"/>
  <c r="N8" i="125"/>
  <c r="P8" i="125"/>
  <c r="M21" i="125"/>
  <c r="N21" i="125"/>
  <c r="P21" i="125"/>
  <c r="M13" i="125"/>
  <c r="N13" i="125"/>
  <c r="P13" i="125"/>
  <c r="M67" i="126"/>
  <c r="N67" i="126"/>
  <c r="P67" i="126"/>
  <c r="M63" i="126"/>
  <c r="N63" i="126"/>
  <c r="P63" i="126"/>
  <c r="M52" i="126"/>
  <c r="N52" i="126"/>
  <c r="P52" i="126"/>
  <c r="M48" i="126"/>
  <c r="N48" i="126"/>
  <c r="P48" i="126"/>
  <c r="M44" i="126"/>
  <c r="N44" i="126"/>
  <c r="P44" i="126"/>
  <c r="M40" i="126"/>
  <c r="N40" i="126"/>
  <c r="P40" i="126"/>
  <c r="M36" i="126"/>
  <c r="N36" i="126"/>
  <c r="P36" i="126"/>
  <c r="M34" i="126"/>
  <c r="N34" i="126"/>
  <c r="P34" i="126"/>
  <c r="M49" i="126"/>
  <c r="N49" i="126"/>
  <c r="P49" i="126"/>
  <c r="M41" i="126"/>
  <c r="N41" i="126"/>
  <c r="P41" i="126"/>
  <c r="M37" i="126"/>
  <c r="N37" i="126"/>
  <c r="P37" i="126"/>
  <c r="M33" i="126"/>
  <c r="N33" i="126"/>
  <c r="P33" i="126"/>
  <c r="M30" i="126"/>
  <c r="N30" i="126"/>
  <c r="P30" i="126"/>
  <c r="M26" i="126"/>
  <c r="N26" i="126"/>
  <c r="P26" i="126"/>
  <c r="M22" i="126"/>
  <c r="N22" i="126"/>
  <c r="P22" i="126"/>
  <c r="M18" i="126"/>
  <c r="N18" i="126"/>
  <c r="P18" i="126"/>
  <c r="M14" i="126"/>
  <c r="N14" i="126"/>
  <c r="P14" i="126"/>
  <c r="M10" i="126"/>
  <c r="N10" i="126"/>
  <c r="P10" i="126"/>
  <c r="M75" i="127"/>
  <c r="N75" i="127"/>
  <c r="P75" i="127"/>
  <c r="M71" i="127"/>
  <c r="N71" i="127"/>
  <c r="P71" i="127"/>
  <c r="M67" i="127"/>
  <c r="N67" i="127"/>
  <c r="P67" i="127"/>
  <c r="M63" i="127"/>
  <c r="N63" i="127"/>
  <c r="P63" i="127"/>
  <c r="M59" i="127"/>
  <c r="N59" i="127"/>
  <c r="P59" i="127"/>
  <c r="M55" i="127"/>
  <c r="N55" i="127"/>
  <c r="P55" i="127"/>
  <c r="M52" i="127"/>
  <c r="N52" i="127"/>
  <c r="P52" i="127"/>
  <c r="M50" i="127"/>
  <c r="N50" i="127"/>
  <c r="P50" i="127"/>
  <c r="M48" i="127"/>
  <c r="N48" i="127"/>
  <c r="P48" i="127"/>
  <c r="M46" i="127"/>
  <c r="N46" i="127"/>
  <c r="P46" i="127"/>
  <c r="M44" i="127"/>
  <c r="N44" i="127"/>
  <c r="P44" i="127"/>
  <c r="M42" i="127"/>
  <c r="N42" i="127"/>
  <c r="P42" i="127"/>
  <c r="M40" i="127"/>
  <c r="N40" i="127"/>
  <c r="P40" i="127"/>
  <c r="M38" i="127"/>
  <c r="N38" i="127"/>
  <c r="P38" i="127"/>
  <c r="M36" i="127"/>
  <c r="N36" i="127"/>
  <c r="P36" i="127"/>
  <c r="M34" i="127"/>
  <c r="N34" i="127"/>
  <c r="P34" i="127"/>
  <c r="M32" i="127"/>
  <c r="N32" i="127"/>
  <c r="P32" i="127"/>
  <c r="M51" i="127"/>
  <c r="N51" i="127"/>
  <c r="P51" i="127"/>
  <c r="M47" i="127"/>
  <c r="N47" i="127"/>
  <c r="P47" i="127"/>
  <c r="M43" i="127"/>
  <c r="N43" i="127"/>
  <c r="P43" i="127"/>
  <c r="M39" i="127"/>
  <c r="N39" i="127"/>
  <c r="P39" i="127"/>
  <c r="M35" i="127"/>
  <c r="N35" i="127"/>
  <c r="P35" i="127"/>
  <c r="M31" i="127"/>
  <c r="N31" i="127"/>
  <c r="P31" i="127"/>
  <c r="M30" i="127"/>
  <c r="N30" i="127"/>
  <c r="P30" i="127"/>
  <c r="M28" i="127"/>
  <c r="N28" i="127"/>
  <c r="P28" i="127"/>
  <c r="M24" i="127"/>
  <c r="N24" i="127"/>
  <c r="P24" i="127"/>
  <c r="M20" i="127"/>
  <c r="N20" i="127"/>
  <c r="P20" i="127"/>
  <c r="M16" i="127"/>
  <c r="N16" i="127"/>
  <c r="P16" i="127"/>
  <c r="M12" i="127"/>
  <c r="N12" i="127"/>
  <c r="P12" i="127"/>
  <c r="M8" i="127"/>
  <c r="N8" i="127"/>
  <c r="P8" i="127"/>
  <c r="M75" i="128"/>
  <c r="N75" i="128"/>
  <c r="P75" i="128"/>
  <c r="M71" i="128"/>
  <c r="N71" i="128"/>
  <c r="P71" i="128"/>
  <c r="M67" i="128"/>
  <c r="N67" i="128"/>
  <c r="P67" i="128"/>
  <c r="M66" i="128"/>
  <c r="N66" i="128"/>
  <c r="P66" i="128"/>
  <c r="M65" i="128"/>
  <c r="N65" i="128"/>
  <c r="P65" i="128"/>
  <c r="M64" i="128"/>
  <c r="N64" i="128"/>
  <c r="P64" i="128"/>
  <c r="M63" i="128"/>
  <c r="N63" i="128"/>
  <c r="P63" i="128"/>
  <c r="M62" i="128"/>
  <c r="N62" i="128"/>
  <c r="P62" i="128"/>
  <c r="M61" i="128"/>
  <c r="N61" i="128"/>
  <c r="P61" i="128"/>
  <c r="M60" i="128"/>
  <c r="N60" i="128"/>
  <c r="P60" i="128"/>
  <c r="M59" i="128"/>
  <c r="N59" i="128"/>
  <c r="P59" i="128"/>
  <c r="M58" i="128"/>
  <c r="N58" i="128"/>
  <c r="P58" i="128"/>
  <c r="M54" i="128"/>
  <c r="N54" i="128"/>
  <c r="P54" i="128"/>
  <c r="M49" i="128"/>
  <c r="N49" i="128"/>
  <c r="P49" i="128"/>
  <c r="M47" i="128"/>
  <c r="N47" i="128"/>
  <c r="P47" i="128"/>
  <c r="M45" i="128"/>
  <c r="N45" i="128"/>
  <c r="P45" i="128"/>
  <c r="M43" i="128"/>
  <c r="N43" i="128"/>
  <c r="P43" i="128"/>
  <c r="M41" i="128"/>
  <c r="N41" i="128"/>
  <c r="P41" i="128"/>
  <c r="M39" i="128"/>
  <c r="N39" i="128"/>
  <c r="P39" i="128"/>
  <c r="M37" i="128"/>
  <c r="N37" i="128"/>
  <c r="P37" i="128"/>
  <c r="M35" i="128"/>
  <c r="N35" i="128"/>
  <c r="P35" i="128"/>
  <c r="M33" i="128"/>
  <c r="N33" i="128"/>
  <c r="P33" i="128"/>
  <c r="M31" i="128"/>
  <c r="N31" i="128"/>
  <c r="P31" i="128"/>
  <c r="M50" i="128"/>
  <c r="N50" i="128"/>
  <c r="P50" i="128"/>
  <c r="M48" i="128"/>
  <c r="N48" i="128"/>
  <c r="P48" i="128"/>
  <c r="M44" i="128"/>
  <c r="N44" i="128"/>
  <c r="P44" i="128"/>
  <c r="M40" i="128"/>
  <c r="N40" i="128"/>
  <c r="P40" i="128"/>
  <c r="M36" i="128"/>
  <c r="N36" i="128"/>
  <c r="P36" i="128"/>
  <c r="M32" i="128"/>
  <c r="N32" i="128"/>
  <c r="P32" i="128"/>
  <c r="M29" i="128"/>
  <c r="N29" i="128"/>
  <c r="P29" i="128"/>
  <c r="M26" i="128"/>
  <c r="N26" i="128"/>
  <c r="P26" i="128"/>
  <c r="M22" i="128"/>
  <c r="N22" i="128"/>
  <c r="P22" i="128"/>
  <c r="M18" i="128"/>
  <c r="N18" i="128"/>
  <c r="P18" i="128"/>
  <c r="M14" i="128"/>
  <c r="N14" i="128"/>
  <c r="P14" i="128"/>
  <c r="M10" i="128"/>
  <c r="N10" i="128"/>
  <c r="P10" i="128"/>
  <c r="M58" i="129"/>
  <c r="N58" i="129"/>
  <c r="P58" i="129"/>
  <c r="M57" i="129"/>
  <c r="N57" i="129"/>
  <c r="P57" i="129"/>
  <c r="M56" i="129"/>
  <c r="N56" i="129"/>
  <c r="P56" i="129"/>
  <c r="M55" i="129"/>
  <c r="N55" i="129"/>
  <c r="P55" i="129"/>
  <c r="M54" i="129"/>
  <c r="N54" i="129"/>
  <c r="P54" i="129"/>
  <c r="M53" i="129"/>
  <c r="N53" i="129"/>
  <c r="P53" i="129"/>
  <c r="M73" i="129"/>
  <c r="N73" i="129"/>
  <c r="P73" i="129"/>
  <c r="M69" i="129"/>
  <c r="N69" i="129"/>
  <c r="P69" i="129"/>
  <c r="M65" i="129"/>
  <c r="N65" i="129"/>
  <c r="P65" i="129"/>
  <c r="M49" i="129"/>
  <c r="N49" i="129"/>
  <c r="P49" i="129"/>
  <c r="M45" i="129"/>
  <c r="N45" i="129"/>
  <c r="P45" i="129"/>
  <c r="M41" i="129"/>
  <c r="N41" i="129"/>
  <c r="P41" i="129"/>
  <c r="M37" i="129"/>
  <c r="N37" i="129"/>
  <c r="P37" i="129"/>
  <c r="M33" i="129"/>
  <c r="N33" i="129"/>
  <c r="P33" i="129"/>
  <c r="M26" i="129"/>
  <c r="N26" i="129"/>
  <c r="P26" i="129"/>
  <c r="M22" i="129"/>
  <c r="N22" i="129"/>
  <c r="P22" i="129"/>
  <c r="M21" i="129"/>
  <c r="N21" i="129"/>
  <c r="P21" i="129"/>
  <c r="M20" i="129"/>
  <c r="N20" i="129"/>
  <c r="P20" i="129"/>
  <c r="M19" i="129"/>
  <c r="N19" i="129"/>
  <c r="P19" i="129"/>
  <c r="M15" i="129"/>
  <c r="N15" i="129"/>
  <c r="P15" i="129"/>
  <c r="M11" i="129"/>
  <c r="N11" i="129"/>
  <c r="P11" i="129"/>
  <c r="M63" i="131"/>
  <c r="N63" i="131"/>
  <c r="P63" i="131"/>
  <c r="M61" i="131"/>
  <c r="N61" i="131"/>
  <c r="P61" i="131"/>
  <c r="M59" i="131"/>
  <c r="N59" i="131"/>
  <c r="P59" i="131"/>
  <c r="M72" i="131"/>
  <c r="N72" i="131"/>
  <c r="P72" i="131"/>
  <c r="M71" i="131"/>
  <c r="N71" i="131"/>
  <c r="P71" i="131"/>
  <c r="M70" i="131"/>
  <c r="N70" i="131"/>
  <c r="P70" i="131"/>
  <c r="M69" i="131"/>
  <c r="N69" i="131"/>
  <c r="P69" i="131"/>
  <c r="M68" i="131"/>
  <c r="N68" i="131"/>
  <c r="P68" i="131"/>
  <c r="M67" i="131"/>
  <c r="N67" i="131"/>
  <c r="P67" i="131"/>
  <c r="M66" i="131"/>
  <c r="N66" i="131"/>
  <c r="P66" i="131"/>
  <c r="M65" i="131"/>
  <c r="N65" i="131"/>
  <c r="P65" i="131"/>
  <c r="M64" i="131"/>
  <c r="N64" i="131"/>
  <c r="P64" i="131"/>
  <c r="M60" i="131"/>
  <c r="N60" i="131"/>
  <c r="P60" i="131"/>
  <c r="M73" i="131"/>
  <c r="N73" i="131"/>
  <c r="P73" i="131"/>
  <c r="M40" i="131"/>
  <c r="N40" i="131"/>
  <c r="P40" i="131"/>
  <c r="M36" i="131"/>
  <c r="N36" i="131"/>
  <c r="P36" i="131"/>
  <c r="M32" i="131"/>
  <c r="N32" i="131"/>
  <c r="P32" i="131"/>
  <c r="M31" i="131"/>
  <c r="N31" i="131"/>
  <c r="P31" i="131"/>
  <c r="M49" i="131"/>
  <c r="N49" i="131"/>
  <c r="P49" i="131"/>
  <c r="M45" i="131"/>
  <c r="N45" i="131"/>
  <c r="P45" i="131"/>
  <c r="M30" i="131"/>
  <c r="N30" i="131"/>
  <c r="P30" i="131"/>
  <c r="M29" i="131"/>
  <c r="N29" i="131"/>
  <c r="P29" i="131"/>
  <c r="M11" i="131"/>
  <c r="N11" i="131"/>
  <c r="P11" i="131"/>
  <c r="M25" i="131"/>
  <c r="N25" i="131"/>
  <c r="P25" i="131"/>
  <c r="M21" i="131"/>
  <c r="N21" i="131"/>
  <c r="P21" i="131"/>
  <c r="I76" i="126"/>
  <c r="K7" i="126"/>
  <c r="M68" i="126"/>
  <c r="N68" i="126"/>
  <c r="P68" i="126"/>
  <c r="M60" i="126"/>
  <c r="N60" i="126"/>
  <c r="P60" i="126"/>
  <c r="M62" i="126"/>
  <c r="N62" i="126"/>
  <c r="P62" i="126"/>
  <c r="M74" i="127"/>
  <c r="N74" i="127"/>
  <c r="P74" i="127"/>
  <c r="M66" i="127"/>
  <c r="N66" i="127"/>
  <c r="P66" i="127"/>
  <c r="M29" i="127"/>
  <c r="N29" i="127"/>
  <c r="P29" i="127"/>
  <c r="M21" i="127"/>
  <c r="N21" i="127"/>
  <c r="P21" i="127"/>
  <c r="M9" i="127"/>
  <c r="N9" i="127"/>
  <c r="P9" i="127"/>
  <c r="M68" i="127"/>
  <c r="N68" i="127"/>
  <c r="P68" i="127"/>
  <c r="M19" i="127"/>
  <c r="N19" i="127"/>
  <c r="P19" i="127"/>
  <c r="M28" i="128"/>
  <c r="N28" i="128"/>
  <c r="P28" i="128"/>
  <c r="M72" i="128"/>
  <c r="N72" i="128"/>
  <c r="P72" i="128"/>
  <c r="M74" i="128"/>
  <c r="N74" i="128"/>
  <c r="P74" i="128"/>
  <c r="M68" i="129"/>
  <c r="N68" i="129"/>
  <c r="P68" i="129"/>
  <c r="M27" i="129"/>
  <c r="N27" i="129"/>
  <c r="P27" i="129"/>
  <c r="M74" i="129"/>
  <c r="N74" i="129"/>
  <c r="P74" i="129"/>
  <c r="M66" i="129"/>
  <c r="N66" i="129"/>
  <c r="P66" i="129"/>
  <c r="M50" i="131"/>
  <c r="N50" i="131"/>
  <c r="P50" i="131"/>
  <c r="M28" i="131"/>
  <c r="N28" i="131"/>
  <c r="P28" i="131"/>
  <c r="M64" i="127"/>
  <c r="N64" i="127"/>
  <c r="P64" i="127"/>
  <c r="M27" i="127"/>
  <c r="N27" i="127"/>
  <c r="P27" i="127"/>
  <c r="M11" i="127"/>
  <c r="N11" i="127"/>
  <c r="P11" i="127"/>
  <c r="M25" i="129"/>
  <c r="N25" i="129"/>
  <c r="P25" i="129"/>
  <c r="M58" i="127"/>
  <c r="N58" i="127"/>
  <c r="P58" i="127"/>
  <c r="M17" i="127"/>
  <c r="N17" i="127"/>
  <c r="P17" i="127"/>
  <c r="M66" i="126"/>
  <c r="N66" i="126"/>
  <c r="P66" i="126"/>
  <c r="T76" i="144"/>
  <c r="P10" i="145"/>
  <c r="N76" i="145"/>
  <c r="T82" i="153"/>
  <c r="M82" i="146"/>
  <c r="M85" i="146"/>
  <c r="N82" i="147"/>
  <c r="P82" i="148"/>
  <c r="W82" i="127"/>
  <c r="P8" i="152"/>
  <c r="N76" i="152"/>
  <c r="R12" i="46"/>
  <c r="R17" i="46"/>
  <c r="U6" i="46"/>
  <c r="U82" i="76"/>
  <c r="U76" i="80"/>
  <c r="T82" i="151"/>
  <c r="I7" i="129"/>
  <c r="I7" i="125"/>
  <c r="I76" i="125"/>
  <c r="K7" i="125"/>
  <c r="I7" i="131"/>
  <c r="U12" i="46"/>
  <c r="AB6" i="46"/>
  <c r="N82" i="152"/>
  <c r="T10" i="145"/>
  <c r="P76" i="145"/>
  <c r="T66" i="126"/>
  <c r="T17" i="127"/>
  <c r="T58" i="127"/>
  <c r="T64" i="127"/>
  <c r="T28" i="131"/>
  <c r="T50" i="131"/>
  <c r="T66" i="129"/>
  <c r="T74" i="129"/>
  <c r="T27" i="129"/>
  <c r="T68" i="129"/>
  <c r="T72" i="128"/>
  <c r="T28" i="128"/>
  <c r="T19" i="127"/>
  <c r="T68" i="127"/>
  <c r="T9" i="127"/>
  <c r="T21" i="127"/>
  <c r="T29" i="127"/>
  <c r="T66" i="127"/>
  <c r="T74" i="127"/>
  <c r="T62" i="126"/>
  <c r="T60" i="126"/>
  <c r="I82" i="126"/>
  <c r="T21" i="131"/>
  <c r="T25" i="131"/>
  <c r="T11" i="131"/>
  <c r="T29" i="131"/>
  <c r="T30" i="131"/>
  <c r="T45" i="131"/>
  <c r="T49" i="131"/>
  <c r="T31" i="131"/>
  <c r="T32" i="131"/>
  <c r="T36" i="131"/>
  <c r="T40" i="131"/>
  <c r="T73" i="131"/>
  <c r="T60" i="131"/>
  <c r="T64" i="131"/>
  <c r="T65" i="131"/>
  <c r="T66" i="131"/>
  <c r="T67" i="131"/>
  <c r="T68" i="131"/>
  <c r="T69" i="131"/>
  <c r="T70" i="131"/>
  <c r="T71" i="131"/>
  <c r="T72" i="131"/>
  <c r="T59" i="131"/>
  <c r="T61" i="131"/>
  <c r="T63" i="131"/>
  <c r="T11" i="129"/>
  <c r="T15" i="129"/>
  <c r="T19" i="129"/>
  <c r="T20" i="129"/>
  <c r="T21" i="129"/>
  <c r="T22" i="129"/>
  <c r="T26" i="129"/>
  <c r="T33" i="129"/>
  <c r="T37" i="129"/>
  <c r="T41" i="129"/>
  <c r="T45" i="129"/>
  <c r="T49" i="129"/>
  <c r="T65" i="129"/>
  <c r="T69" i="129"/>
  <c r="T73" i="129"/>
  <c r="T53" i="129"/>
  <c r="T54" i="129"/>
  <c r="T55" i="129"/>
  <c r="T56" i="129"/>
  <c r="T57" i="129"/>
  <c r="T58" i="129"/>
  <c r="T10" i="128"/>
  <c r="T14" i="128"/>
  <c r="T18" i="128"/>
  <c r="T22" i="128"/>
  <c r="T26" i="128"/>
  <c r="T29" i="128"/>
  <c r="T32" i="128"/>
  <c r="T36" i="128"/>
  <c r="T40" i="128"/>
  <c r="T44" i="128"/>
  <c r="T48" i="128"/>
  <c r="T50" i="128"/>
  <c r="T31" i="128"/>
  <c r="T33" i="128"/>
  <c r="T35" i="128"/>
  <c r="T37" i="128"/>
  <c r="T39" i="128"/>
  <c r="T41" i="128"/>
  <c r="T43" i="128"/>
  <c r="T45" i="128"/>
  <c r="T47" i="128"/>
  <c r="T49" i="128"/>
  <c r="T54" i="128"/>
  <c r="T58" i="128"/>
  <c r="T59" i="128"/>
  <c r="T60" i="128"/>
  <c r="T61" i="128"/>
  <c r="T62" i="128"/>
  <c r="T63" i="128"/>
  <c r="T64" i="128"/>
  <c r="T65" i="128"/>
  <c r="T66" i="128"/>
  <c r="T67" i="128"/>
  <c r="T71" i="128"/>
  <c r="T75" i="128"/>
  <c r="T8" i="127"/>
  <c r="T12" i="127"/>
  <c r="T16" i="127"/>
  <c r="T20" i="127"/>
  <c r="T24" i="127"/>
  <c r="T28" i="127"/>
  <c r="T30" i="127"/>
  <c r="T31" i="127"/>
  <c r="T35" i="127"/>
  <c r="T39" i="127"/>
  <c r="T43" i="127"/>
  <c r="T47" i="127"/>
  <c r="T51" i="127"/>
  <c r="T32" i="127"/>
  <c r="T34" i="127"/>
  <c r="T36" i="127"/>
  <c r="T38" i="127"/>
  <c r="T40" i="127"/>
  <c r="T42" i="127"/>
  <c r="T44" i="127"/>
  <c r="T46" i="127"/>
  <c r="T48" i="127"/>
  <c r="T50" i="127"/>
  <c r="T52" i="127"/>
  <c r="T55" i="127"/>
  <c r="T59" i="127"/>
  <c r="T63" i="127"/>
  <c r="T67" i="127"/>
  <c r="T71" i="127"/>
  <c r="T75" i="127"/>
  <c r="T10" i="126"/>
  <c r="T14" i="126"/>
  <c r="T18" i="126"/>
  <c r="T22" i="126"/>
  <c r="T26" i="126"/>
  <c r="T30" i="126"/>
  <c r="T33" i="126"/>
  <c r="T37" i="126"/>
  <c r="T41" i="126"/>
  <c r="T49" i="126"/>
  <c r="T34" i="126"/>
  <c r="T36" i="126"/>
  <c r="T40" i="126"/>
  <c r="T44" i="126"/>
  <c r="T48" i="126"/>
  <c r="T52" i="126"/>
  <c r="T63" i="126"/>
  <c r="T67" i="126"/>
  <c r="T13" i="125"/>
  <c r="T21" i="125"/>
  <c r="T8" i="125"/>
  <c r="T16" i="125"/>
  <c r="T20" i="125"/>
  <c r="T29" i="125"/>
  <c r="T41" i="125"/>
  <c r="T62" i="125"/>
  <c r="T70" i="125"/>
  <c r="T56" i="125"/>
  <c r="T63" i="125"/>
  <c r="P82" i="147"/>
  <c r="T76" i="147"/>
  <c r="T9" i="146"/>
  <c r="P76" i="146"/>
  <c r="T58" i="126"/>
  <c r="T70" i="126"/>
  <c r="T29" i="129"/>
  <c r="T70" i="128"/>
  <c r="T56" i="126"/>
  <c r="T23" i="127"/>
  <c r="T48" i="131"/>
  <c r="T46" i="131"/>
  <c r="T74" i="131"/>
  <c r="T70" i="129"/>
  <c r="T64" i="129"/>
  <c r="T72" i="129"/>
  <c r="L7" i="128"/>
  <c r="K76" i="128"/>
  <c r="T72" i="127"/>
  <c r="T70" i="127"/>
  <c r="W82" i="131"/>
  <c r="T8" i="131"/>
  <c r="T10" i="131"/>
  <c r="T12" i="131"/>
  <c r="T20" i="131"/>
  <c r="T22" i="131"/>
  <c r="T24" i="131"/>
  <c r="T26" i="131"/>
  <c r="T27" i="131"/>
  <c r="T47" i="131"/>
  <c r="T51" i="131"/>
  <c r="T34" i="131"/>
  <c r="T38" i="131"/>
  <c r="T42" i="131"/>
  <c r="T43" i="131"/>
  <c r="T44" i="131"/>
  <c r="T33" i="131"/>
  <c r="T35" i="131"/>
  <c r="T37" i="131"/>
  <c r="T39" i="131"/>
  <c r="T41" i="131"/>
  <c r="T52" i="131"/>
  <c r="T53" i="131"/>
  <c r="T75" i="131"/>
  <c r="T54" i="131"/>
  <c r="T55" i="131"/>
  <c r="T56" i="131"/>
  <c r="T57" i="131"/>
  <c r="T58" i="131"/>
  <c r="T62" i="131"/>
  <c r="T9" i="129"/>
  <c r="T13" i="129"/>
  <c r="T17" i="129"/>
  <c r="T24" i="129"/>
  <c r="T28" i="129"/>
  <c r="W82" i="129"/>
  <c r="AB76" i="33"/>
  <c r="AA76" i="33"/>
  <c r="T51" i="128"/>
  <c r="T14" i="127"/>
  <c r="T18" i="127"/>
  <c r="I82" i="127"/>
  <c r="T33" i="127"/>
  <c r="T41" i="127"/>
  <c r="T49" i="127"/>
  <c r="T57" i="127"/>
  <c r="T69" i="127"/>
  <c r="T53" i="127"/>
  <c r="Y76" i="33"/>
  <c r="T12" i="126"/>
  <c r="T16" i="126"/>
  <c r="T28" i="126"/>
  <c r="T11" i="126"/>
  <c r="T15" i="126"/>
  <c r="T19" i="126"/>
  <c r="T23" i="126"/>
  <c r="T27" i="126"/>
  <c r="T31" i="126"/>
  <c r="T39" i="126"/>
  <c r="T47" i="126"/>
  <c r="T61" i="126"/>
  <c r="T65" i="126"/>
  <c r="T53" i="126"/>
  <c r="T15" i="125"/>
  <c r="T19" i="125"/>
  <c r="T10" i="125"/>
  <c r="T14" i="125"/>
  <c r="T22" i="125"/>
  <c r="T28" i="125"/>
  <c r="T35" i="125"/>
  <c r="T50" i="125"/>
  <c r="T32" i="125"/>
  <c r="T47" i="125"/>
  <c r="T60" i="125"/>
  <c r="T72" i="125"/>
  <c r="T61" i="125"/>
  <c r="T69" i="125"/>
  <c r="T42" i="125"/>
  <c r="T66" i="125"/>
  <c r="T74" i="125"/>
  <c r="T59" i="125"/>
  <c r="I76" i="129"/>
  <c r="K7" i="129"/>
  <c r="U82" i="80"/>
  <c r="T8" i="152"/>
  <c r="P76" i="152"/>
  <c r="N82" i="145"/>
  <c r="T82" i="144"/>
  <c r="T25" i="129"/>
  <c r="T11" i="127"/>
  <c r="T27" i="127"/>
  <c r="T74" i="128"/>
  <c r="T68" i="126"/>
  <c r="L7" i="126"/>
  <c r="K76" i="126"/>
  <c r="Z76" i="33"/>
  <c r="X76" i="33"/>
  <c r="T33" i="125"/>
  <c r="T48" i="125"/>
  <c r="T30" i="125"/>
  <c r="T38" i="125"/>
  <c r="T53" i="125"/>
  <c r="T40" i="125"/>
  <c r="T43" i="125"/>
  <c r="T45" i="125"/>
  <c r="T67" i="125"/>
  <c r="T75" i="125"/>
  <c r="U73" i="31"/>
  <c r="U74" i="31"/>
  <c r="Y12" i="31"/>
  <c r="Y73" i="31"/>
  <c r="Y74" i="31"/>
  <c r="U15" i="46"/>
  <c r="AB14" i="46"/>
  <c r="T82" i="148"/>
  <c r="N82" i="146"/>
  <c r="T60" i="127"/>
  <c r="T23" i="129"/>
  <c r="T68" i="128"/>
  <c r="I82" i="128"/>
  <c r="T15" i="127"/>
  <c r="T56" i="127"/>
  <c r="T13" i="127"/>
  <c r="T25" i="127"/>
  <c r="T62" i="127"/>
  <c r="T54" i="126"/>
  <c r="T74" i="126"/>
  <c r="T64" i="126"/>
  <c r="T72" i="126"/>
  <c r="T15" i="131"/>
  <c r="T16" i="131"/>
  <c r="T17" i="131"/>
  <c r="T18" i="131"/>
  <c r="T19" i="131"/>
  <c r="T23" i="131"/>
  <c r="T9" i="131"/>
  <c r="T13" i="131"/>
  <c r="T14" i="131"/>
  <c r="AC76" i="33"/>
  <c r="T8" i="129"/>
  <c r="T10" i="129"/>
  <c r="T12" i="129"/>
  <c r="T14" i="129"/>
  <c r="T16" i="129"/>
  <c r="T18" i="129"/>
  <c r="T30" i="129"/>
  <c r="T31" i="129"/>
  <c r="T35" i="129"/>
  <c r="T39" i="129"/>
  <c r="T43" i="129"/>
  <c r="T47" i="129"/>
  <c r="T51" i="129"/>
  <c r="T32" i="129"/>
  <c r="T34" i="129"/>
  <c r="T36" i="129"/>
  <c r="T38" i="129"/>
  <c r="T40" i="129"/>
  <c r="T42" i="129"/>
  <c r="T44" i="129"/>
  <c r="T46" i="129"/>
  <c r="T48" i="129"/>
  <c r="T50" i="129"/>
  <c r="T52" i="129"/>
  <c r="T59" i="129"/>
  <c r="T60" i="129"/>
  <c r="T61" i="129"/>
  <c r="T62" i="129"/>
  <c r="T63" i="129"/>
  <c r="T67" i="129"/>
  <c r="T71" i="129"/>
  <c r="T75" i="129"/>
  <c r="T8" i="128"/>
  <c r="T12" i="128"/>
  <c r="T16" i="128"/>
  <c r="T20" i="128"/>
  <c r="T24" i="128"/>
  <c r="T9" i="128"/>
  <c r="T11" i="128"/>
  <c r="T13" i="128"/>
  <c r="T15" i="128"/>
  <c r="T17" i="128"/>
  <c r="T19" i="128"/>
  <c r="T21" i="128"/>
  <c r="T23" i="128"/>
  <c r="T25" i="128"/>
  <c r="T27" i="128"/>
  <c r="T34" i="128"/>
  <c r="T38" i="128"/>
  <c r="T42" i="128"/>
  <c r="T46" i="128"/>
  <c r="T30" i="128"/>
  <c r="T52" i="128"/>
  <c r="T56" i="128"/>
  <c r="T69" i="128"/>
  <c r="T73" i="128"/>
  <c r="T53" i="128"/>
  <c r="T55" i="128"/>
  <c r="T57" i="128"/>
  <c r="T10" i="127"/>
  <c r="T22" i="127"/>
  <c r="T26" i="127"/>
  <c r="K76" i="127"/>
  <c r="L7" i="127"/>
  <c r="T37" i="127"/>
  <c r="T45" i="127"/>
  <c r="T61" i="127"/>
  <c r="T65" i="127"/>
  <c r="T73" i="127"/>
  <c r="T54" i="127"/>
  <c r="T8" i="126"/>
  <c r="T20" i="126"/>
  <c r="T24" i="126"/>
  <c r="T9" i="126"/>
  <c r="T13" i="126"/>
  <c r="T17" i="126"/>
  <c r="T21" i="126"/>
  <c r="T25" i="126"/>
  <c r="T29" i="126"/>
  <c r="T35" i="126"/>
  <c r="T43" i="126"/>
  <c r="T51" i="126"/>
  <c r="T57" i="126"/>
  <c r="T69" i="126"/>
  <c r="T73" i="126"/>
  <c r="T11" i="125"/>
  <c r="T23" i="125"/>
  <c r="T27" i="125"/>
  <c r="T18" i="125"/>
  <c r="T26" i="125"/>
  <c r="T31" i="125"/>
  <c r="T46" i="125"/>
  <c r="T54" i="125"/>
  <c r="T36" i="125"/>
  <c r="T51" i="125"/>
  <c r="T64" i="125"/>
  <c r="T68" i="125"/>
  <c r="T57" i="125"/>
  <c r="T65" i="125"/>
  <c r="T73" i="125"/>
  <c r="T45" i="126"/>
  <c r="T32" i="126"/>
  <c r="T38" i="126"/>
  <c r="T42" i="126"/>
  <c r="T46" i="126"/>
  <c r="T50" i="126"/>
  <c r="T55" i="126"/>
  <c r="T59" i="126"/>
  <c r="T71" i="126"/>
  <c r="T75" i="126"/>
  <c r="T9" i="125"/>
  <c r="T17" i="125"/>
  <c r="T25" i="125"/>
  <c r="T12" i="125"/>
  <c r="T24" i="125"/>
  <c r="W82" i="125"/>
  <c r="T37" i="125"/>
  <c r="T52" i="125"/>
  <c r="T34" i="125"/>
  <c r="T49" i="125"/>
  <c r="T55" i="125"/>
  <c r="T39" i="125"/>
  <c r="T44" i="125"/>
  <c r="T58" i="125"/>
  <c r="T71" i="125"/>
  <c r="M7" i="127"/>
  <c r="M76" i="127"/>
  <c r="L76" i="127"/>
  <c r="AB15" i="46"/>
  <c r="K82" i="126"/>
  <c r="P82" i="152"/>
  <c r="T76" i="152"/>
  <c r="I82" i="129"/>
  <c r="K82" i="128"/>
  <c r="P82" i="146"/>
  <c r="T76" i="146"/>
  <c r="AB12" i="46"/>
  <c r="AB17" i="46"/>
  <c r="I76" i="131"/>
  <c r="K7" i="131"/>
  <c r="L7" i="125"/>
  <c r="K76" i="125"/>
  <c r="K82" i="127"/>
  <c r="M7" i="126"/>
  <c r="M76" i="126"/>
  <c r="L76" i="126"/>
  <c r="L7" i="129"/>
  <c r="K76" i="129"/>
  <c r="M7" i="128"/>
  <c r="M76" i="128"/>
  <c r="L76" i="128"/>
  <c r="T82" i="147"/>
  <c r="P82" i="145"/>
  <c r="T76" i="145"/>
  <c r="U17" i="46"/>
  <c r="I82" i="125"/>
  <c r="T82" i="145"/>
  <c r="L82" i="128"/>
  <c r="N7" i="128"/>
  <c r="L76" i="129"/>
  <c r="M7" i="129"/>
  <c r="M76" i="129"/>
  <c r="N7" i="126"/>
  <c r="K82" i="125"/>
  <c r="L7" i="131"/>
  <c r="K76" i="131"/>
  <c r="T82" i="146"/>
  <c r="T82" i="152"/>
  <c r="N7" i="127"/>
  <c r="M82" i="128"/>
  <c r="M85" i="128"/>
  <c r="K82" i="129"/>
  <c r="L82" i="126"/>
  <c r="M82" i="126"/>
  <c r="M85" i="126"/>
  <c r="M7" i="125"/>
  <c r="M76" i="125"/>
  <c r="L76" i="125"/>
  <c r="N7" i="125"/>
  <c r="I82" i="131"/>
  <c r="L82" i="127"/>
  <c r="M82" i="127"/>
  <c r="M85" i="127"/>
  <c r="L82" i="125"/>
  <c r="N76" i="127"/>
  <c r="P7" i="127"/>
  <c r="L76" i="131"/>
  <c r="M7" i="131"/>
  <c r="M76" i="131"/>
  <c r="M82" i="129"/>
  <c r="M85" i="129"/>
  <c r="N7" i="129"/>
  <c r="P7" i="125"/>
  <c r="N76" i="125"/>
  <c r="M82" i="125"/>
  <c r="M85" i="125"/>
  <c r="K82" i="131"/>
  <c r="N76" i="126"/>
  <c r="P7" i="126"/>
  <c r="L82" i="129"/>
  <c r="N76" i="128"/>
  <c r="P7" i="128"/>
  <c r="N7" i="131"/>
  <c r="N82" i="128"/>
  <c r="N82" i="126"/>
  <c r="N82" i="125"/>
  <c r="N76" i="129"/>
  <c r="P7" i="129"/>
  <c r="M82" i="131"/>
  <c r="L82" i="131"/>
  <c r="N82" i="127"/>
  <c r="T7" i="128"/>
  <c r="P76" i="128"/>
  <c r="P76" i="126"/>
  <c r="T7" i="126"/>
  <c r="T7" i="125"/>
  <c r="P76" i="125"/>
  <c r="P7" i="131"/>
  <c r="N76" i="131"/>
  <c r="T7" i="127"/>
  <c r="P76" i="127"/>
  <c r="P82" i="127"/>
  <c r="T76" i="127"/>
  <c r="N82" i="131"/>
  <c r="P82" i="125"/>
  <c r="P82" i="126"/>
  <c r="P82" i="128"/>
  <c r="T7" i="129"/>
  <c r="P76" i="129"/>
  <c r="P76" i="131"/>
  <c r="T7" i="131"/>
  <c r="T76" i="125"/>
  <c r="T76" i="126"/>
  <c r="T76" i="128"/>
  <c r="M85" i="131"/>
  <c r="N82" i="129"/>
  <c r="W7" i="120"/>
  <c r="W8" i="120"/>
  <c r="W9" i="120"/>
  <c r="W10" i="120"/>
  <c r="W11" i="120"/>
  <c r="W12" i="120"/>
  <c r="W13" i="120"/>
  <c r="W14" i="120"/>
  <c r="W15" i="120"/>
  <c r="W16" i="120"/>
  <c r="W17" i="120"/>
  <c r="W18" i="120"/>
  <c r="W19" i="120"/>
  <c r="W20" i="120"/>
  <c r="W21" i="120"/>
  <c r="W22" i="120"/>
  <c r="W23" i="120"/>
  <c r="W24" i="120"/>
  <c r="W25" i="120"/>
  <c r="W26" i="120"/>
  <c r="W27" i="120"/>
  <c r="W28" i="120"/>
  <c r="W29" i="120"/>
  <c r="W30" i="120"/>
  <c r="W31" i="120"/>
  <c r="W32" i="120"/>
  <c r="W33" i="120"/>
  <c r="W34" i="120"/>
  <c r="W35" i="120"/>
  <c r="W36" i="120"/>
  <c r="W37" i="120"/>
  <c r="W38" i="120"/>
  <c r="W39" i="120"/>
  <c r="W40" i="120"/>
  <c r="W41" i="120"/>
  <c r="W42" i="120"/>
  <c r="W43" i="120"/>
  <c r="W44" i="120"/>
  <c r="W45" i="120"/>
  <c r="W46" i="120"/>
  <c r="W47" i="120"/>
  <c r="W48" i="120"/>
  <c r="W49" i="120"/>
  <c r="W50" i="120"/>
  <c r="W51" i="120"/>
  <c r="W52" i="120"/>
  <c r="W53" i="120"/>
  <c r="W54" i="120"/>
  <c r="W55" i="120"/>
  <c r="W56" i="120"/>
  <c r="W57" i="120"/>
  <c r="W58" i="120"/>
  <c r="W59" i="120"/>
  <c r="W60" i="120"/>
  <c r="W61" i="120"/>
  <c r="W62" i="120"/>
  <c r="W63" i="120"/>
  <c r="W64" i="120"/>
  <c r="W65" i="120"/>
  <c r="W66" i="120"/>
  <c r="W67" i="120"/>
  <c r="W68" i="120"/>
  <c r="W69" i="120"/>
  <c r="W70" i="120"/>
  <c r="W71" i="120"/>
  <c r="W72" i="120"/>
  <c r="W73" i="120"/>
  <c r="W74" i="120"/>
  <c r="W75" i="120"/>
  <c r="W7" i="119"/>
  <c r="W8" i="119"/>
  <c r="W9" i="119"/>
  <c r="W10" i="119"/>
  <c r="W11" i="119"/>
  <c r="W12" i="119"/>
  <c r="W13" i="119"/>
  <c r="W14" i="119"/>
  <c r="W15" i="119"/>
  <c r="W16" i="119"/>
  <c r="W17" i="119"/>
  <c r="W18" i="119"/>
  <c r="W19" i="119"/>
  <c r="W20" i="119"/>
  <c r="W21" i="119"/>
  <c r="W22" i="119"/>
  <c r="W23" i="119"/>
  <c r="W24" i="119"/>
  <c r="W25" i="119"/>
  <c r="W26" i="119"/>
  <c r="W27" i="119"/>
  <c r="W28" i="119"/>
  <c r="W29" i="119"/>
  <c r="W30" i="119"/>
  <c r="W31" i="119"/>
  <c r="W32" i="119"/>
  <c r="W33" i="119"/>
  <c r="W34" i="119"/>
  <c r="W35" i="119"/>
  <c r="W36" i="119"/>
  <c r="W37" i="119"/>
  <c r="W38" i="119"/>
  <c r="W39" i="119"/>
  <c r="W40" i="119"/>
  <c r="W41" i="119"/>
  <c r="W42" i="119"/>
  <c r="W43" i="119"/>
  <c r="W44" i="119"/>
  <c r="W45" i="119"/>
  <c r="W46" i="119"/>
  <c r="W47" i="119"/>
  <c r="W48" i="119"/>
  <c r="W49" i="119"/>
  <c r="W50" i="119"/>
  <c r="W51" i="119"/>
  <c r="W52" i="119"/>
  <c r="W53" i="119"/>
  <c r="W54" i="119"/>
  <c r="W55" i="119"/>
  <c r="W56" i="119"/>
  <c r="W57" i="119"/>
  <c r="W58" i="119"/>
  <c r="W59" i="119"/>
  <c r="W60" i="119"/>
  <c r="W61" i="119"/>
  <c r="W62" i="119"/>
  <c r="W63" i="119"/>
  <c r="W64" i="119"/>
  <c r="W65" i="119"/>
  <c r="W66" i="119"/>
  <c r="W67" i="119"/>
  <c r="W68" i="119"/>
  <c r="W69" i="119"/>
  <c r="W70" i="119"/>
  <c r="W71" i="119"/>
  <c r="W72" i="119"/>
  <c r="W73" i="119"/>
  <c r="W74" i="119"/>
  <c r="W75" i="119"/>
  <c r="W7" i="118"/>
  <c r="W8" i="118"/>
  <c r="W13" i="118"/>
  <c r="W15" i="118"/>
  <c r="W21" i="118"/>
  <c r="W23" i="118"/>
  <c r="W29" i="118"/>
  <c r="W37" i="118"/>
  <c r="W39" i="118"/>
  <c r="W45" i="118"/>
  <c r="W55" i="118"/>
  <c r="W61" i="118"/>
  <c r="W62" i="118"/>
  <c r="W8" i="117"/>
  <c r="W9" i="117"/>
  <c r="W13" i="117"/>
  <c r="W21" i="117"/>
  <c r="W29" i="117"/>
  <c r="W31" i="117"/>
  <c r="W37" i="117"/>
  <c r="W41" i="117"/>
  <c r="W45" i="117"/>
  <c r="W53" i="117"/>
  <c r="W57" i="117"/>
  <c r="W61" i="117"/>
  <c r="W65" i="117"/>
  <c r="W73" i="117"/>
  <c r="W14" i="116"/>
  <c r="W22" i="116"/>
  <c r="W23" i="116"/>
  <c r="W25" i="116"/>
  <c r="W29" i="116"/>
  <c r="W30" i="116"/>
  <c r="W34" i="116"/>
  <c r="W36" i="116"/>
  <c r="W38" i="116"/>
  <c r="W46" i="116"/>
  <c r="W50" i="116"/>
  <c r="W54" i="116"/>
  <c r="W58" i="116"/>
  <c r="W66" i="116"/>
  <c r="W70" i="116"/>
  <c r="W76" i="119"/>
  <c r="T82" i="125"/>
  <c r="P82" i="131"/>
  <c r="T76" i="129"/>
  <c r="W76" i="120"/>
  <c r="T82" i="128"/>
  <c r="T82" i="126"/>
  <c r="T76" i="131"/>
  <c r="P82" i="129"/>
  <c r="T82" i="127"/>
  <c r="W74" i="116"/>
  <c r="W72" i="116"/>
  <c r="W61" i="116"/>
  <c r="W57" i="116"/>
  <c r="W55" i="116"/>
  <c r="W53" i="116"/>
  <c r="W51" i="116"/>
  <c r="W68" i="117"/>
  <c r="W64" i="117"/>
  <c r="W62" i="117"/>
  <c r="W60" i="117"/>
  <c r="W75" i="118"/>
  <c r="W71" i="118"/>
  <c r="W69" i="118"/>
  <c r="W67" i="118"/>
  <c r="W65" i="118"/>
  <c r="W50" i="118"/>
  <c r="W46" i="118"/>
  <c r="W40" i="118"/>
  <c r="W71" i="116"/>
  <c r="W60" i="116"/>
  <c r="W35" i="116"/>
  <c r="W67" i="117"/>
  <c r="W30" i="117"/>
  <c r="W66" i="118"/>
  <c r="W47" i="118"/>
  <c r="W73" i="116"/>
  <c r="W62" i="116"/>
  <c r="W56" i="116"/>
  <c r="W52" i="116"/>
  <c r="W47" i="116"/>
  <c r="W37" i="116"/>
  <c r="W28" i="116"/>
  <c r="W24" i="116"/>
  <c r="W69" i="117"/>
  <c r="W63" i="117"/>
  <c r="W59" i="117"/>
  <c r="W58" i="117"/>
  <c r="W54" i="117"/>
  <c r="W32" i="117"/>
  <c r="W68" i="118"/>
  <c r="W53" i="118"/>
  <c r="W49" i="118"/>
  <c r="W45" i="116"/>
  <c r="W44" i="116"/>
  <c r="W42" i="116"/>
  <c r="W10" i="116"/>
  <c r="W9" i="116"/>
  <c r="W8" i="116"/>
  <c r="W7" i="116"/>
  <c r="W52" i="117"/>
  <c r="W51" i="117"/>
  <c r="W49" i="117"/>
  <c r="W25" i="117"/>
  <c r="W22" i="117"/>
  <c r="W20" i="117"/>
  <c r="W19" i="117"/>
  <c r="W17" i="117"/>
  <c r="W16" i="117"/>
  <c r="W15" i="117"/>
  <c r="W14" i="117"/>
  <c r="W58" i="118"/>
  <c r="W57" i="118"/>
  <c r="W56" i="118"/>
  <c r="W30" i="118"/>
  <c r="W28" i="118"/>
  <c r="W27" i="118"/>
  <c r="W26" i="118"/>
  <c r="W25" i="118"/>
  <c r="W24" i="118"/>
  <c r="W18" i="116"/>
  <c r="W15" i="116"/>
  <c r="W13" i="116"/>
  <c r="W12" i="116"/>
  <c r="W36" i="117"/>
  <c r="W35" i="117"/>
  <c r="W10" i="117"/>
  <c r="W31" i="118"/>
  <c r="W14" i="118"/>
  <c r="W12" i="118"/>
  <c r="W11" i="118"/>
  <c r="W44" i="117"/>
  <c r="W43" i="117"/>
  <c r="W42" i="117"/>
  <c r="W22" i="118"/>
  <c r="W67" i="116"/>
  <c r="W39" i="116"/>
  <c r="W31" i="116"/>
  <c r="W21" i="116"/>
  <c r="W20" i="116"/>
  <c r="W74" i="117"/>
  <c r="W46" i="117"/>
  <c r="W38" i="117"/>
  <c r="W28" i="117"/>
  <c r="W27" i="117"/>
  <c r="W44" i="118"/>
  <c r="W43" i="118"/>
  <c r="W34" i="118"/>
  <c r="W33" i="118"/>
  <c r="W16" i="118"/>
  <c r="W69" i="116"/>
  <c r="W68" i="116"/>
  <c r="W63" i="116"/>
  <c r="W41" i="116"/>
  <c r="W40" i="116"/>
  <c r="W26" i="116"/>
  <c r="W19" i="116"/>
  <c r="W75" i="117"/>
  <c r="W70" i="117"/>
  <c r="W48" i="117"/>
  <c r="W47" i="117"/>
  <c r="W33" i="117"/>
  <c r="W26" i="117"/>
  <c r="W12" i="117"/>
  <c r="W11" i="117"/>
  <c r="W7" i="117"/>
  <c r="W72" i="118"/>
  <c r="W63" i="118"/>
  <c r="W60" i="118"/>
  <c r="W59" i="118"/>
  <c r="W54" i="118"/>
  <c r="W48" i="118"/>
  <c r="W36" i="118"/>
  <c r="W35" i="118"/>
  <c r="W18" i="118"/>
  <c r="W17" i="118"/>
  <c r="W75" i="116"/>
  <c r="W65" i="116"/>
  <c r="W64" i="116"/>
  <c r="W59" i="116"/>
  <c r="W49" i="116"/>
  <c r="W48" i="116"/>
  <c r="W43" i="116"/>
  <c r="W33" i="116"/>
  <c r="W32" i="116"/>
  <c r="W27" i="116"/>
  <c r="W17" i="116"/>
  <c r="W16" i="116"/>
  <c r="W11" i="116"/>
  <c r="W72" i="117"/>
  <c r="W71" i="117"/>
  <c r="W66" i="117"/>
  <c r="W56" i="117"/>
  <c r="W55" i="117"/>
  <c r="W50" i="117"/>
  <c r="W40" i="117"/>
  <c r="W39" i="117"/>
  <c r="W34" i="117"/>
  <c r="W24" i="117"/>
  <c r="W23" i="117"/>
  <c r="W18" i="117"/>
  <c r="W74" i="118"/>
  <c r="W73" i="118"/>
  <c r="W70" i="118"/>
  <c r="W64" i="118"/>
  <c r="W52" i="118"/>
  <c r="W51" i="118"/>
  <c r="W42" i="118"/>
  <c r="W41" i="118"/>
  <c r="W38" i="118"/>
  <c r="W32" i="118"/>
  <c r="W20" i="118"/>
  <c r="W19" i="118"/>
  <c r="W10" i="118"/>
  <c r="W9" i="118"/>
  <c r="T82" i="131"/>
  <c r="W82" i="120"/>
  <c r="W76" i="118"/>
  <c r="W76" i="115"/>
  <c r="W76" i="117"/>
  <c r="W77" i="114"/>
  <c r="W76" i="116"/>
  <c r="T82" i="129"/>
  <c r="W82" i="119"/>
  <c r="W76" i="113"/>
  <c r="W82" i="116"/>
  <c r="W82" i="117"/>
  <c r="W82" i="118"/>
  <c r="W82" i="113"/>
  <c r="W83" i="114"/>
  <c r="W82" i="115"/>
  <c r="I40" i="120"/>
  <c r="K40" i="120"/>
  <c r="I40" i="118"/>
  <c r="K40" i="118"/>
  <c r="I40" i="116"/>
  <c r="K40" i="116"/>
  <c r="I17" i="119"/>
  <c r="K17" i="119"/>
  <c r="I17" i="117"/>
  <c r="K17" i="117"/>
  <c r="I39" i="120"/>
  <c r="K39" i="120"/>
  <c r="I39" i="118"/>
  <c r="K39" i="118"/>
  <c r="I39" i="116"/>
  <c r="K39" i="116"/>
  <c r="I46" i="119"/>
  <c r="K46" i="119"/>
  <c r="I46" i="117"/>
  <c r="K46" i="117"/>
  <c r="I54" i="120"/>
  <c r="K54" i="120"/>
  <c r="I54" i="118"/>
  <c r="K54" i="118"/>
  <c r="I54" i="116"/>
  <c r="K54" i="116"/>
  <c r="I52" i="119"/>
  <c r="K52" i="119"/>
  <c r="I52" i="117"/>
  <c r="K52" i="117"/>
  <c r="I41" i="120"/>
  <c r="K41" i="120"/>
  <c r="I41" i="118"/>
  <c r="K41" i="118"/>
  <c r="I41" i="116"/>
  <c r="K41" i="116"/>
  <c r="I38" i="119"/>
  <c r="K38" i="119"/>
  <c r="I38" i="117"/>
  <c r="K38" i="117"/>
  <c r="I24" i="120"/>
  <c r="K24" i="120"/>
  <c r="I24" i="118"/>
  <c r="K24" i="118"/>
  <c r="I24" i="116"/>
  <c r="K24" i="116"/>
  <c r="I21" i="119"/>
  <c r="K21" i="119"/>
  <c r="I21" i="117"/>
  <c r="K21" i="117"/>
  <c r="I65" i="120"/>
  <c r="K65" i="120"/>
  <c r="I65" i="118"/>
  <c r="K65" i="118"/>
  <c r="I65" i="116"/>
  <c r="K65" i="116"/>
  <c r="I73" i="119"/>
  <c r="K73" i="119"/>
  <c r="I73" i="117"/>
  <c r="K73" i="117"/>
  <c r="I18" i="120"/>
  <c r="K18" i="120"/>
  <c r="I18" i="118"/>
  <c r="K18" i="118"/>
  <c r="I18" i="116"/>
  <c r="K18" i="116"/>
  <c r="I47" i="119"/>
  <c r="K47" i="119"/>
  <c r="I47" i="117"/>
  <c r="K47" i="117"/>
  <c r="I25" i="120"/>
  <c r="K25" i="120"/>
  <c r="I25" i="118"/>
  <c r="K25" i="118"/>
  <c r="I25" i="116"/>
  <c r="K25" i="116"/>
  <c r="I55" i="119"/>
  <c r="K55" i="119"/>
  <c r="I55" i="117"/>
  <c r="K55" i="117"/>
  <c r="I59" i="120"/>
  <c r="K59" i="120"/>
  <c r="I59" i="118"/>
  <c r="K59" i="118"/>
  <c r="I59" i="116"/>
  <c r="K59" i="116"/>
  <c r="I74" i="119"/>
  <c r="K74" i="119"/>
  <c r="I74" i="117"/>
  <c r="K74" i="117"/>
  <c r="I33" i="120"/>
  <c r="K33" i="120"/>
  <c r="I33" i="118"/>
  <c r="K33" i="118"/>
  <c r="I33" i="116"/>
  <c r="K33" i="116"/>
  <c r="I50" i="119"/>
  <c r="K50" i="119"/>
  <c r="I50" i="117"/>
  <c r="K50" i="117"/>
  <c r="I49" i="120"/>
  <c r="K49" i="120"/>
  <c r="I49" i="118"/>
  <c r="K49" i="118"/>
  <c r="I49" i="116"/>
  <c r="K49" i="116"/>
  <c r="I37" i="119"/>
  <c r="K37" i="119"/>
  <c r="I37" i="117"/>
  <c r="K37" i="117"/>
  <c r="I14" i="120"/>
  <c r="K14" i="120"/>
  <c r="I14" i="118"/>
  <c r="K14" i="118"/>
  <c r="I14" i="116"/>
  <c r="K14" i="116"/>
  <c r="I72" i="119"/>
  <c r="K72" i="119"/>
  <c r="I72" i="117"/>
  <c r="K72" i="117"/>
  <c r="I63" i="120"/>
  <c r="K63" i="120"/>
  <c r="I63" i="118"/>
  <c r="K63" i="118"/>
  <c r="I63" i="116"/>
  <c r="K63" i="116"/>
  <c r="I35" i="119"/>
  <c r="K35" i="119"/>
  <c r="I35" i="117"/>
  <c r="K35" i="117"/>
  <c r="I75" i="120"/>
  <c r="K75" i="120"/>
  <c r="I75" i="118"/>
  <c r="K75" i="118"/>
  <c r="I75" i="116"/>
  <c r="K75" i="116"/>
  <c r="I68" i="119"/>
  <c r="K68" i="119"/>
  <c r="I68" i="117"/>
  <c r="K68" i="117"/>
  <c r="I36" i="120"/>
  <c r="K36" i="120"/>
  <c r="I36" i="118"/>
  <c r="K36" i="118"/>
  <c r="I36" i="116"/>
  <c r="K36" i="116"/>
  <c r="I13" i="119"/>
  <c r="K13" i="119"/>
  <c r="I13" i="117"/>
  <c r="K13" i="117"/>
  <c r="I62" i="120"/>
  <c r="K62" i="120"/>
  <c r="I62" i="118"/>
  <c r="K62" i="118"/>
  <c r="I62" i="116"/>
  <c r="K62" i="116"/>
  <c r="I11" i="119"/>
  <c r="K11" i="119"/>
  <c r="I11" i="117"/>
  <c r="K11" i="117"/>
  <c r="I66" i="120"/>
  <c r="K66" i="120"/>
  <c r="I66" i="118"/>
  <c r="K66" i="118"/>
  <c r="I66" i="116"/>
  <c r="K66" i="116"/>
  <c r="I45" i="119"/>
  <c r="K45" i="119"/>
  <c r="I45" i="117"/>
  <c r="K45" i="117"/>
  <c r="I40" i="119"/>
  <c r="K40" i="119"/>
  <c r="I40" i="117"/>
  <c r="K40" i="117"/>
  <c r="I17" i="120"/>
  <c r="K17" i="120"/>
  <c r="I17" i="118"/>
  <c r="K17" i="118"/>
  <c r="I17" i="116"/>
  <c r="K17" i="116"/>
  <c r="I39" i="119"/>
  <c r="K39" i="119"/>
  <c r="I39" i="117"/>
  <c r="K39" i="117"/>
  <c r="I46" i="120"/>
  <c r="K46" i="120"/>
  <c r="I46" i="118"/>
  <c r="K46" i="118"/>
  <c r="I46" i="116"/>
  <c r="K46" i="116"/>
  <c r="I54" i="119"/>
  <c r="K54" i="119"/>
  <c r="I54" i="117"/>
  <c r="K54" i="117"/>
  <c r="I52" i="120"/>
  <c r="K52" i="120"/>
  <c r="I52" i="118"/>
  <c r="K52" i="118"/>
  <c r="I52" i="116"/>
  <c r="K52" i="116"/>
  <c r="I41" i="119"/>
  <c r="K41" i="119"/>
  <c r="I41" i="117"/>
  <c r="K41" i="117"/>
  <c r="I38" i="120"/>
  <c r="K38" i="120"/>
  <c r="I38" i="118"/>
  <c r="K38" i="118"/>
  <c r="I38" i="116"/>
  <c r="K38" i="116"/>
  <c r="I24" i="119"/>
  <c r="K24" i="119"/>
  <c r="I24" i="117"/>
  <c r="K24" i="117"/>
  <c r="I21" i="120"/>
  <c r="K21" i="120"/>
  <c r="I21" i="118"/>
  <c r="K21" i="118"/>
  <c r="I21" i="116"/>
  <c r="K21" i="116"/>
  <c r="I65" i="119"/>
  <c r="K65" i="119"/>
  <c r="I65" i="117"/>
  <c r="K65" i="117"/>
  <c r="I73" i="120"/>
  <c r="K73" i="120"/>
  <c r="I73" i="118"/>
  <c r="K73" i="118"/>
  <c r="I73" i="116"/>
  <c r="K73" i="116"/>
  <c r="I18" i="119"/>
  <c r="K18" i="119"/>
  <c r="I18" i="117"/>
  <c r="K18" i="117"/>
  <c r="I47" i="120"/>
  <c r="K47" i="120"/>
  <c r="I47" i="118"/>
  <c r="K47" i="118"/>
  <c r="I47" i="116"/>
  <c r="K47" i="116"/>
  <c r="I25" i="119"/>
  <c r="K25" i="119"/>
  <c r="I25" i="117"/>
  <c r="K25" i="117"/>
  <c r="I55" i="120"/>
  <c r="K55" i="120"/>
  <c r="I55" i="118"/>
  <c r="K55" i="118"/>
  <c r="I55" i="116"/>
  <c r="K55" i="116"/>
  <c r="I59" i="119"/>
  <c r="K59" i="119"/>
  <c r="I59" i="117"/>
  <c r="K59" i="117"/>
  <c r="I74" i="120"/>
  <c r="K74" i="120"/>
  <c r="I74" i="118"/>
  <c r="K74" i="118"/>
  <c r="I74" i="116"/>
  <c r="K74" i="116"/>
  <c r="I33" i="119"/>
  <c r="K33" i="119"/>
  <c r="I33" i="117"/>
  <c r="K33" i="117"/>
  <c r="I50" i="120"/>
  <c r="K50" i="120"/>
  <c r="I50" i="118"/>
  <c r="K50" i="118"/>
  <c r="I50" i="116"/>
  <c r="K50" i="116"/>
  <c r="I49" i="119"/>
  <c r="K49" i="119"/>
  <c r="I49" i="117"/>
  <c r="K49" i="117"/>
  <c r="I37" i="120"/>
  <c r="K37" i="120"/>
  <c r="I37" i="118"/>
  <c r="K37" i="118"/>
  <c r="I37" i="116"/>
  <c r="K37" i="116"/>
  <c r="I14" i="119"/>
  <c r="K14" i="119"/>
  <c r="I14" i="117"/>
  <c r="K14" i="117"/>
  <c r="I72" i="120"/>
  <c r="K72" i="120"/>
  <c r="I72" i="118"/>
  <c r="K72" i="118"/>
  <c r="I72" i="116"/>
  <c r="K72" i="116"/>
  <c r="I63" i="119"/>
  <c r="K63" i="119"/>
  <c r="I63" i="117"/>
  <c r="K63" i="117"/>
  <c r="I35" i="120"/>
  <c r="K35" i="120"/>
  <c r="I35" i="118"/>
  <c r="K35" i="118"/>
  <c r="I35" i="116"/>
  <c r="K35" i="116"/>
  <c r="I75" i="119"/>
  <c r="K75" i="119"/>
  <c r="I75" i="117"/>
  <c r="K75" i="117"/>
  <c r="I68" i="120"/>
  <c r="K68" i="120"/>
  <c r="I68" i="118"/>
  <c r="K68" i="118"/>
  <c r="I68" i="116"/>
  <c r="K68" i="116"/>
  <c r="I36" i="119"/>
  <c r="K36" i="119"/>
  <c r="I36" i="117"/>
  <c r="K36" i="117"/>
  <c r="I13" i="120"/>
  <c r="K13" i="120"/>
  <c r="I13" i="118"/>
  <c r="K13" i="118"/>
  <c r="I13" i="116"/>
  <c r="K13" i="116"/>
  <c r="I62" i="119"/>
  <c r="K62" i="119"/>
  <c r="I62" i="117"/>
  <c r="K62" i="117"/>
  <c r="I11" i="120"/>
  <c r="K11" i="120"/>
  <c r="I11" i="118"/>
  <c r="K11" i="118"/>
  <c r="I11" i="116"/>
  <c r="K11" i="116"/>
  <c r="I66" i="119"/>
  <c r="K66" i="119"/>
  <c r="I66" i="117"/>
  <c r="K66" i="117"/>
  <c r="I45" i="120"/>
  <c r="K45" i="120"/>
  <c r="I45" i="118"/>
  <c r="K45" i="118"/>
  <c r="I45" i="116"/>
  <c r="K45" i="116"/>
  <c r="M45" i="116"/>
  <c r="N45" i="116"/>
  <c r="P45" i="116"/>
  <c r="N45" i="114"/>
  <c r="P45" i="114"/>
  <c r="M45" i="118"/>
  <c r="N45" i="118"/>
  <c r="P45" i="118"/>
  <c r="M66" i="117"/>
  <c r="N66" i="117"/>
  <c r="P66" i="117"/>
  <c r="M11" i="116"/>
  <c r="N11" i="116"/>
  <c r="P11" i="116"/>
  <c r="M11" i="120"/>
  <c r="N11" i="120"/>
  <c r="P11" i="120"/>
  <c r="N62" i="115"/>
  <c r="P62" i="115"/>
  <c r="M62" i="119"/>
  <c r="N62" i="119"/>
  <c r="P62" i="119"/>
  <c r="N13" i="114"/>
  <c r="P13" i="114"/>
  <c r="M13" i="118"/>
  <c r="N13" i="118"/>
  <c r="P13" i="118"/>
  <c r="M36" i="117"/>
  <c r="N36" i="117"/>
  <c r="P36" i="117"/>
  <c r="M68" i="116"/>
  <c r="N68" i="116"/>
  <c r="P68" i="116"/>
  <c r="M68" i="120"/>
  <c r="N68" i="120"/>
  <c r="P68" i="120"/>
  <c r="N75" i="115"/>
  <c r="P75" i="115"/>
  <c r="M75" i="119"/>
  <c r="N75" i="119"/>
  <c r="P75" i="119"/>
  <c r="N35" i="114"/>
  <c r="P35" i="114"/>
  <c r="M35" i="118"/>
  <c r="N35" i="118"/>
  <c r="P35" i="118"/>
  <c r="M63" i="117"/>
  <c r="N63" i="117"/>
  <c r="P63" i="117"/>
  <c r="M72" i="116"/>
  <c r="N72" i="116"/>
  <c r="P72" i="116"/>
  <c r="M72" i="120"/>
  <c r="N72" i="120"/>
  <c r="P72" i="120"/>
  <c r="N14" i="115"/>
  <c r="P14" i="115"/>
  <c r="M14" i="119"/>
  <c r="N14" i="119"/>
  <c r="P14" i="119"/>
  <c r="N37" i="114"/>
  <c r="P37" i="114"/>
  <c r="M37" i="118"/>
  <c r="N37" i="118"/>
  <c r="P37" i="118"/>
  <c r="M49" i="117"/>
  <c r="N49" i="117"/>
  <c r="P49" i="117"/>
  <c r="M50" i="116"/>
  <c r="N50" i="116"/>
  <c r="P50" i="116"/>
  <c r="M50" i="120"/>
  <c r="N50" i="120"/>
  <c r="P50" i="120"/>
  <c r="N33" i="115"/>
  <c r="P33" i="115"/>
  <c r="M33" i="119"/>
  <c r="N33" i="119"/>
  <c r="P33" i="119"/>
  <c r="N74" i="114"/>
  <c r="P74" i="114"/>
  <c r="M74" i="118"/>
  <c r="N74" i="118"/>
  <c r="P74" i="118"/>
  <c r="M59" i="117"/>
  <c r="N59" i="117"/>
  <c r="P59" i="117"/>
  <c r="M55" i="116"/>
  <c r="N55" i="116"/>
  <c r="P55" i="116"/>
  <c r="M55" i="120"/>
  <c r="N55" i="120"/>
  <c r="P55" i="120"/>
  <c r="N25" i="115"/>
  <c r="P25" i="115"/>
  <c r="M25" i="119"/>
  <c r="N25" i="119"/>
  <c r="P25" i="119"/>
  <c r="N47" i="114"/>
  <c r="P47" i="114"/>
  <c r="M47" i="118"/>
  <c r="N47" i="118"/>
  <c r="P47" i="118"/>
  <c r="M18" i="117"/>
  <c r="N18" i="117"/>
  <c r="P18" i="117"/>
  <c r="M73" i="116"/>
  <c r="N73" i="116"/>
  <c r="P73" i="116"/>
  <c r="M73" i="120"/>
  <c r="N73" i="120"/>
  <c r="P73" i="120"/>
  <c r="N65" i="115"/>
  <c r="P65" i="115"/>
  <c r="M65" i="119"/>
  <c r="N65" i="119"/>
  <c r="P65" i="119"/>
  <c r="N21" i="114"/>
  <c r="P21" i="114"/>
  <c r="M21" i="118"/>
  <c r="N21" i="118"/>
  <c r="P21" i="118"/>
  <c r="M24" i="117"/>
  <c r="N24" i="117"/>
  <c r="P24" i="117"/>
  <c r="M38" i="116"/>
  <c r="N38" i="116"/>
  <c r="P38" i="116"/>
  <c r="M38" i="120"/>
  <c r="N38" i="120"/>
  <c r="P38" i="120"/>
  <c r="N41" i="115"/>
  <c r="P41" i="115"/>
  <c r="M41" i="119"/>
  <c r="N41" i="119"/>
  <c r="P41" i="119"/>
  <c r="N52" i="114"/>
  <c r="P52" i="114"/>
  <c r="M52" i="118"/>
  <c r="N52" i="118"/>
  <c r="P52" i="118"/>
  <c r="M54" i="117"/>
  <c r="N54" i="117"/>
  <c r="P54" i="117"/>
  <c r="M46" i="116"/>
  <c r="N46" i="116"/>
  <c r="P46" i="116"/>
  <c r="M46" i="120"/>
  <c r="N46" i="120"/>
  <c r="P46" i="120"/>
  <c r="N39" i="115"/>
  <c r="P39" i="115"/>
  <c r="M39" i="119"/>
  <c r="N39" i="119"/>
  <c r="P39" i="119"/>
  <c r="N17" i="114"/>
  <c r="P17" i="114"/>
  <c r="M17" i="118"/>
  <c r="N17" i="118"/>
  <c r="P17" i="118"/>
  <c r="M40" i="117"/>
  <c r="N40" i="117"/>
  <c r="P40" i="117"/>
  <c r="M45" i="117"/>
  <c r="N45" i="117"/>
  <c r="P45" i="117"/>
  <c r="M66" i="116"/>
  <c r="N66" i="116"/>
  <c r="P66" i="116"/>
  <c r="M66" i="120"/>
  <c r="N66" i="120"/>
  <c r="P66" i="120"/>
  <c r="N11" i="115"/>
  <c r="P11" i="115"/>
  <c r="M11" i="119"/>
  <c r="N11" i="119"/>
  <c r="P11" i="119"/>
  <c r="N62" i="114"/>
  <c r="P62" i="114"/>
  <c r="M62" i="118"/>
  <c r="N62" i="118"/>
  <c r="P62" i="118"/>
  <c r="M13" i="117"/>
  <c r="N13" i="117"/>
  <c r="P13" i="117"/>
  <c r="M36" i="116"/>
  <c r="N36" i="116"/>
  <c r="P36" i="116"/>
  <c r="M36" i="120"/>
  <c r="N36" i="120"/>
  <c r="P36" i="120"/>
  <c r="N68" i="115"/>
  <c r="P68" i="115"/>
  <c r="M68" i="119"/>
  <c r="N68" i="119"/>
  <c r="P68" i="119"/>
  <c r="N75" i="114"/>
  <c r="P75" i="114"/>
  <c r="M75" i="118"/>
  <c r="N75" i="118"/>
  <c r="P75" i="118"/>
  <c r="M35" i="117"/>
  <c r="N35" i="117"/>
  <c r="P35" i="117"/>
  <c r="M63" i="116"/>
  <c r="N63" i="116"/>
  <c r="P63" i="116"/>
  <c r="M63" i="120"/>
  <c r="N63" i="120"/>
  <c r="P63" i="120"/>
  <c r="N72" i="115"/>
  <c r="P72" i="115"/>
  <c r="M72" i="119"/>
  <c r="N72" i="119"/>
  <c r="P72" i="119"/>
  <c r="N14" i="114"/>
  <c r="P14" i="114"/>
  <c r="M14" i="118"/>
  <c r="N14" i="118"/>
  <c r="P14" i="118"/>
  <c r="M37" i="117"/>
  <c r="N37" i="117"/>
  <c r="P37" i="117"/>
  <c r="M49" i="116"/>
  <c r="N49" i="116"/>
  <c r="P49" i="116"/>
  <c r="M49" i="120"/>
  <c r="N49" i="120"/>
  <c r="P49" i="120"/>
  <c r="N50" i="115"/>
  <c r="P50" i="115"/>
  <c r="M50" i="119"/>
  <c r="N50" i="119"/>
  <c r="P50" i="119"/>
  <c r="N33" i="114"/>
  <c r="P33" i="114"/>
  <c r="M33" i="118"/>
  <c r="N33" i="118"/>
  <c r="P33" i="118"/>
  <c r="M74" i="117"/>
  <c r="N74" i="117"/>
  <c r="P74" i="117"/>
  <c r="M59" i="116"/>
  <c r="N59" i="116"/>
  <c r="P59" i="116"/>
  <c r="M59" i="120"/>
  <c r="N59" i="120"/>
  <c r="P59" i="120"/>
  <c r="N55" i="115"/>
  <c r="P55" i="115"/>
  <c r="M55" i="119"/>
  <c r="N55" i="119"/>
  <c r="P55" i="119"/>
  <c r="N25" i="114"/>
  <c r="P25" i="114"/>
  <c r="M25" i="118"/>
  <c r="N25" i="118"/>
  <c r="P25" i="118"/>
  <c r="M47" i="117"/>
  <c r="N47" i="117"/>
  <c r="P47" i="117"/>
  <c r="M18" i="116"/>
  <c r="N18" i="116"/>
  <c r="P18" i="116"/>
  <c r="M18" i="120"/>
  <c r="N18" i="120"/>
  <c r="P18" i="120"/>
  <c r="N73" i="115"/>
  <c r="P73" i="115"/>
  <c r="M73" i="119"/>
  <c r="N73" i="119"/>
  <c r="P73" i="119"/>
  <c r="N65" i="114"/>
  <c r="P65" i="114"/>
  <c r="M65" i="118"/>
  <c r="N65" i="118"/>
  <c r="P65" i="118"/>
  <c r="M21" i="117"/>
  <c r="N21" i="117"/>
  <c r="P21" i="117"/>
  <c r="M24" i="116"/>
  <c r="N24" i="116"/>
  <c r="P24" i="116"/>
  <c r="M24" i="120"/>
  <c r="N24" i="120"/>
  <c r="P24" i="120"/>
  <c r="N38" i="115"/>
  <c r="P38" i="115"/>
  <c r="M38" i="119"/>
  <c r="N38" i="119"/>
  <c r="P38" i="119"/>
  <c r="N41" i="114"/>
  <c r="P41" i="114"/>
  <c r="M41" i="118"/>
  <c r="N41" i="118"/>
  <c r="P41" i="118"/>
  <c r="M52" i="117"/>
  <c r="N52" i="117"/>
  <c r="P52" i="117"/>
  <c r="M54" i="116"/>
  <c r="N54" i="116"/>
  <c r="P54" i="116"/>
  <c r="M54" i="120"/>
  <c r="N54" i="120"/>
  <c r="P54" i="120"/>
  <c r="N46" i="115"/>
  <c r="P46" i="115"/>
  <c r="M46" i="119"/>
  <c r="N46" i="119"/>
  <c r="P46" i="119"/>
  <c r="N39" i="114"/>
  <c r="P39" i="114"/>
  <c r="M39" i="118"/>
  <c r="N39" i="118"/>
  <c r="P39" i="118"/>
  <c r="M17" i="117"/>
  <c r="N17" i="117"/>
  <c r="P17" i="117"/>
  <c r="M40" i="116"/>
  <c r="N40" i="116"/>
  <c r="P40" i="116"/>
  <c r="M40" i="120"/>
  <c r="N40" i="120"/>
  <c r="P40" i="120"/>
  <c r="M45" i="120"/>
  <c r="N45" i="120"/>
  <c r="P45" i="120"/>
  <c r="N66" i="115"/>
  <c r="P66" i="115"/>
  <c r="M66" i="119"/>
  <c r="N66" i="119"/>
  <c r="P66" i="119"/>
  <c r="N11" i="114"/>
  <c r="P11" i="114"/>
  <c r="M11" i="118"/>
  <c r="N11" i="118"/>
  <c r="P11" i="118"/>
  <c r="M62" i="117"/>
  <c r="N62" i="117"/>
  <c r="P62" i="117"/>
  <c r="M13" i="116"/>
  <c r="N13" i="116"/>
  <c r="P13" i="116"/>
  <c r="M13" i="120"/>
  <c r="N13" i="120"/>
  <c r="P13" i="120"/>
  <c r="N36" i="115"/>
  <c r="P36" i="115"/>
  <c r="M36" i="119"/>
  <c r="N36" i="119"/>
  <c r="P36" i="119"/>
  <c r="N68" i="114"/>
  <c r="P68" i="114"/>
  <c r="M68" i="118"/>
  <c r="N68" i="118"/>
  <c r="P68" i="118"/>
  <c r="M75" i="117"/>
  <c r="N75" i="117"/>
  <c r="P75" i="117"/>
  <c r="M35" i="116"/>
  <c r="N35" i="116"/>
  <c r="P35" i="116"/>
  <c r="M35" i="120"/>
  <c r="N35" i="120"/>
  <c r="P35" i="120"/>
  <c r="N63" i="115"/>
  <c r="P63" i="115"/>
  <c r="M63" i="119"/>
  <c r="N63" i="119"/>
  <c r="P63" i="119"/>
  <c r="N72" i="114"/>
  <c r="P72" i="114"/>
  <c r="M72" i="118"/>
  <c r="N72" i="118"/>
  <c r="P72" i="118"/>
  <c r="M14" i="117"/>
  <c r="N14" i="117"/>
  <c r="P14" i="117"/>
  <c r="M37" i="116"/>
  <c r="N37" i="116"/>
  <c r="P37" i="116"/>
  <c r="M37" i="120"/>
  <c r="N37" i="120"/>
  <c r="P37" i="120"/>
  <c r="N49" i="115"/>
  <c r="P49" i="115"/>
  <c r="M49" i="119"/>
  <c r="N49" i="119"/>
  <c r="P49" i="119"/>
  <c r="N50" i="114"/>
  <c r="P50" i="114"/>
  <c r="M50" i="118"/>
  <c r="N50" i="118"/>
  <c r="P50" i="118"/>
  <c r="M33" i="117"/>
  <c r="N33" i="117"/>
  <c r="P33" i="117"/>
  <c r="M74" i="116"/>
  <c r="N74" i="116"/>
  <c r="P74" i="116"/>
  <c r="M74" i="120"/>
  <c r="N74" i="120"/>
  <c r="P74" i="120"/>
  <c r="N59" i="115"/>
  <c r="P59" i="115"/>
  <c r="M59" i="119"/>
  <c r="N59" i="119"/>
  <c r="P59" i="119"/>
  <c r="N55" i="114"/>
  <c r="P55" i="114"/>
  <c r="M55" i="118"/>
  <c r="N55" i="118"/>
  <c r="P55" i="118"/>
  <c r="M25" i="117"/>
  <c r="N25" i="117"/>
  <c r="P25" i="117"/>
  <c r="M47" i="116"/>
  <c r="N47" i="116"/>
  <c r="P47" i="116"/>
  <c r="M47" i="120"/>
  <c r="N47" i="120"/>
  <c r="P47" i="120"/>
  <c r="N18" i="115"/>
  <c r="P18" i="115"/>
  <c r="M18" i="119"/>
  <c r="N18" i="119"/>
  <c r="P18" i="119"/>
  <c r="N73" i="114"/>
  <c r="P73" i="114"/>
  <c r="M73" i="118"/>
  <c r="N73" i="118"/>
  <c r="P73" i="118"/>
  <c r="M65" i="117"/>
  <c r="N65" i="117"/>
  <c r="P65" i="117"/>
  <c r="M21" i="116"/>
  <c r="N21" i="116"/>
  <c r="P21" i="116"/>
  <c r="M21" i="120"/>
  <c r="N21" i="120"/>
  <c r="P21" i="120"/>
  <c r="N24" i="115"/>
  <c r="P24" i="115"/>
  <c r="M24" i="119"/>
  <c r="N24" i="119"/>
  <c r="P24" i="119"/>
  <c r="N38" i="114"/>
  <c r="P38" i="114"/>
  <c r="M38" i="118"/>
  <c r="N38" i="118"/>
  <c r="P38" i="118"/>
  <c r="M41" i="117"/>
  <c r="N41" i="117"/>
  <c r="P41" i="117"/>
  <c r="M52" i="116"/>
  <c r="N52" i="116"/>
  <c r="P52" i="116"/>
  <c r="M52" i="120"/>
  <c r="N52" i="120"/>
  <c r="P52" i="120"/>
  <c r="N54" i="115"/>
  <c r="P54" i="115"/>
  <c r="M54" i="119"/>
  <c r="N54" i="119"/>
  <c r="P54" i="119"/>
  <c r="N46" i="114"/>
  <c r="P46" i="114"/>
  <c r="M46" i="118"/>
  <c r="N46" i="118"/>
  <c r="P46" i="118"/>
  <c r="M39" i="117"/>
  <c r="N39" i="117"/>
  <c r="P39" i="117"/>
  <c r="M17" i="116"/>
  <c r="N17" i="116"/>
  <c r="P17" i="116"/>
  <c r="M17" i="120"/>
  <c r="N17" i="120"/>
  <c r="P17" i="120"/>
  <c r="N40" i="115"/>
  <c r="P40" i="115"/>
  <c r="M40" i="119"/>
  <c r="N40" i="119"/>
  <c r="P40" i="119"/>
  <c r="N45" i="115"/>
  <c r="P45" i="115"/>
  <c r="M45" i="119"/>
  <c r="N45" i="119"/>
  <c r="P45" i="119"/>
  <c r="N66" i="114"/>
  <c r="P66" i="114"/>
  <c r="M66" i="118"/>
  <c r="N66" i="118"/>
  <c r="P66" i="118"/>
  <c r="M11" i="117"/>
  <c r="N11" i="117"/>
  <c r="P11" i="117"/>
  <c r="M62" i="116"/>
  <c r="N62" i="116"/>
  <c r="P62" i="116"/>
  <c r="M62" i="120"/>
  <c r="N62" i="120"/>
  <c r="P62" i="120"/>
  <c r="N13" i="115"/>
  <c r="P13" i="115"/>
  <c r="M13" i="119"/>
  <c r="N13" i="119"/>
  <c r="P13" i="119"/>
  <c r="N36" i="114"/>
  <c r="P36" i="114"/>
  <c r="M36" i="118"/>
  <c r="N36" i="118"/>
  <c r="P36" i="118"/>
  <c r="M68" i="117"/>
  <c r="N68" i="117"/>
  <c r="P68" i="117"/>
  <c r="M75" i="116"/>
  <c r="N75" i="116"/>
  <c r="P75" i="116"/>
  <c r="M75" i="120"/>
  <c r="N75" i="120"/>
  <c r="P75" i="120"/>
  <c r="N35" i="115"/>
  <c r="P35" i="115"/>
  <c r="M35" i="119"/>
  <c r="N35" i="119"/>
  <c r="P35" i="119"/>
  <c r="N63" i="114"/>
  <c r="P63" i="114"/>
  <c r="M63" i="118"/>
  <c r="N63" i="118"/>
  <c r="P63" i="118"/>
  <c r="M72" i="117"/>
  <c r="N72" i="117"/>
  <c r="P72" i="117"/>
  <c r="M14" i="116"/>
  <c r="N14" i="116"/>
  <c r="P14" i="116"/>
  <c r="M14" i="120"/>
  <c r="N14" i="120"/>
  <c r="P14" i="120"/>
  <c r="N37" i="115"/>
  <c r="P37" i="115"/>
  <c r="M37" i="119"/>
  <c r="N37" i="119"/>
  <c r="P37" i="119"/>
  <c r="N49" i="114"/>
  <c r="P49" i="114"/>
  <c r="M49" i="118"/>
  <c r="N49" i="118"/>
  <c r="P49" i="118"/>
  <c r="M50" i="117"/>
  <c r="N50" i="117"/>
  <c r="P50" i="117"/>
  <c r="M33" i="116"/>
  <c r="N33" i="116"/>
  <c r="P33" i="116"/>
  <c r="M33" i="120"/>
  <c r="N33" i="120"/>
  <c r="P33" i="120"/>
  <c r="N74" i="115"/>
  <c r="P74" i="115"/>
  <c r="M74" i="119"/>
  <c r="N74" i="119"/>
  <c r="P74" i="119"/>
  <c r="N59" i="114"/>
  <c r="P59" i="114"/>
  <c r="M59" i="118"/>
  <c r="N59" i="118"/>
  <c r="P59" i="118"/>
  <c r="M55" i="117"/>
  <c r="N55" i="117"/>
  <c r="P55" i="117"/>
  <c r="M25" i="116"/>
  <c r="N25" i="116"/>
  <c r="P25" i="116"/>
  <c r="M25" i="120"/>
  <c r="N25" i="120"/>
  <c r="P25" i="120"/>
  <c r="N47" i="115"/>
  <c r="P47" i="115"/>
  <c r="M47" i="119"/>
  <c r="N47" i="119"/>
  <c r="P47" i="119"/>
  <c r="N18" i="114"/>
  <c r="P18" i="114"/>
  <c r="M18" i="118"/>
  <c r="N18" i="118"/>
  <c r="P18" i="118"/>
  <c r="M73" i="117"/>
  <c r="N73" i="117"/>
  <c r="P73" i="117"/>
  <c r="M65" i="116"/>
  <c r="N65" i="116"/>
  <c r="P65" i="116"/>
  <c r="M65" i="120"/>
  <c r="N65" i="120"/>
  <c r="P65" i="120"/>
  <c r="N21" i="115"/>
  <c r="P21" i="115"/>
  <c r="M21" i="119"/>
  <c r="N21" i="119"/>
  <c r="P21" i="119"/>
  <c r="N24" i="114"/>
  <c r="P24" i="114"/>
  <c r="M24" i="118"/>
  <c r="N24" i="118"/>
  <c r="P24" i="118"/>
  <c r="M38" i="117"/>
  <c r="N38" i="117"/>
  <c r="P38" i="117"/>
  <c r="M41" i="116"/>
  <c r="N41" i="116"/>
  <c r="P41" i="116"/>
  <c r="M41" i="120"/>
  <c r="N41" i="120"/>
  <c r="P41" i="120"/>
  <c r="N52" i="115"/>
  <c r="P52" i="115"/>
  <c r="M52" i="119"/>
  <c r="N52" i="119"/>
  <c r="P52" i="119"/>
  <c r="N54" i="114"/>
  <c r="P54" i="114"/>
  <c r="M54" i="118"/>
  <c r="N54" i="118"/>
  <c r="P54" i="118"/>
  <c r="M46" i="117"/>
  <c r="N46" i="117"/>
  <c r="P46" i="117"/>
  <c r="M39" i="116"/>
  <c r="N39" i="116"/>
  <c r="P39" i="116"/>
  <c r="M39" i="120"/>
  <c r="N39" i="120"/>
  <c r="P39" i="120"/>
  <c r="N17" i="115"/>
  <c r="P17" i="115"/>
  <c r="M17" i="119"/>
  <c r="N17" i="119"/>
  <c r="P17" i="119"/>
  <c r="N40" i="114"/>
  <c r="P40" i="114"/>
  <c r="M40" i="118"/>
  <c r="N40" i="118"/>
  <c r="P40" i="118"/>
  <c r="I26" i="120"/>
  <c r="K26" i="120"/>
  <c r="I26" i="118"/>
  <c r="K26" i="118"/>
  <c r="I26" i="116"/>
  <c r="K26" i="116"/>
  <c r="I8" i="119"/>
  <c r="K8" i="119"/>
  <c r="I8" i="117"/>
  <c r="K8" i="117"/>
  <c r="I70" i="120"/>
  <c r="K70" i="120"/>
  <c r="I70" i="118"/>
  <c r="K70" i="118"/>
  <c r="I70" i="116"/>
  <c r="K70" i="116"/>
  <c r="I9" i="119"/>
  <c r="K9" i="119"/>
  <c r="I9" i="117"/>
  <c r="K9" i="117"/>
  <c r="I22" i="120"/>
  <c r="K22" i="120"/>
  <c r="I22" i="118"/>
  <c r="K22" i="118"/>
  <c r="I22" i="116"/>
  <c r="K22" i="116"/>
  <c r="I28" i="119"/>
  <c r="K28" i="119"/>
  <c r="I28" i="117"/>
  <c r="K28" i="117"/>
  <c r="I53" i="120"/>
  <c r="K53" i="120"/>
  <c r="I53" i="118"/>
  <c r="K53" i="118"/>
  <c r="I53" i="116"/>
  <c r="K53" i="116"/>
  <c r="I31" i="119"/>
  <c r="K31" i="119"/>
  <c r="I31" i="117"/>
  <c r="K31" i="117"/>
  <c r="I32" i="120"/>
  <c r="K32" i="120"/>
  <c r="I32" i="118"/>
  <c r="K32" i="118"/>
  <c r="I32" i="116"/>
  <c r="K32" i="116"/>
  <c r="I29" i="119"/>
  <c r="K29" i="119"/>
  <c r="I29" i="117"/>
  <c r="K29" i="117"/>
  <c r="I57" i="120"/>
  <c r="K57" i="120"/>
  <c r="I57" i="118"/>
  <c r="K57" i="118"/>
  <c r="I57" i="116"/>
  <c r="K57" i="116"/>
  <c r="I16" i="119"/>
  <c r="K16" i="119"/>
  <c r="I16" i="117"/>
  <c r="K16" i="117"/>
  <c r="I56" i="120"/>
  <c r="K56" i="120"/>
  <c r="I56" i="118"/>
  <c r="K56" i="118"/>
  <c r="I56" i="116"/>
  <c r="K56" i="116"/>
  <c r="I58" i="119"/>
  <c r="K58" i="119"/>
  <c r="I58" i="117"/>
  <c r="K58" i="117"/>
  <c r="I51" i="120"/>
  <c r="K51" i="120"/>
  <c r="I51" i="118"/>
  <c r="K51" i="118"/>
  <c r="I51" i="116"/>
  <c r="K51" i="116"/>
  <c r="I60" i="119"/>
  <c r="K60" i="119"/>
  <c r="I60" i="117"/>
  <c r="K60" i="117"/>
  <c r="I30" i="120"/>
  <c r="K30" i="120"/>
  <c r="I30" i="118"/>
  <c r="K30" i="118"/>
  <c r="I30" i="116"/>
  <c r="K30" i="116"/>
  <c r="I27" i="119"/>
  <c r="K27" i="119"/>
  <c r="I27" i="117"/>
  <c r="K27" i="117"/>
  <c r="I43" i="120"/>
  <c r="K43" i="120"/>
  <c r="I43" i="118"/>
  <c r="K43" i="118"/>
  <c r="I43" i="116"/>
  <c r="K43" i="116"/>
  <c r="I61" i="119"/>
  <c r="K61" i="119"/>
  <c r="I61" i="117"/>
  <c r="K61" i="117"/>
  <c r="I48" i="120"/>
  <c r="K48" i="120"/>
  <c r="I48" i="118"/>
  <c r="K48" i="118"/>
  <c r="I48" i="116"/>
  <c r="K48" i="116"/>
  <c r="I67" i="119"/>
  <c r="K67" i="119"/>
  <c r="I67" i="117"/>
  <c r="K67" i="117"/>
  <c r="I34" i="119"/>
  <c r="K34" i="119"/>
  <c r="I34" i="117"/>
  <c r="K34" i="117"/>
  <c r="I42" i="120"/>
  <c r="K42" i="120"/>
  <c r="I42" i="118"/>
  <c r="K42" i="118"/>
  <c r="I42" i="116"/>
  <c r="K42" i="116"/>
  <c r="I23" i="119"/>
  <c r="K23" i="119"/>
  <c r="I23" i="117"/>
  <c r="K23" i="117"/>
  <c r="I64" i="120"/>
  <c r="K64" i="120"/>
  <c r="I64" i="118"/>
  <c r="K64" i="118"/>
  <c r="I64" i="116"/>
  <c r="K64" i="116"/>
  <c r="I20" i="119"/>
  <c r="K20" i="119"/>
  <c r="I20" i="117"/>
  <c r="K20" i="117"/>
  <c r="I12" i="120"/>
  <c r="K12" i="120"/>
  <c r="I12" i="118"/>
  <c r="K12" i="118"/>
  <c r="I12" i="116"/>
  <c r="K12" i="116"/>
  <c r="I44" i="119"/>
  <c r="K44" i="119"/>
  <c r="I44" i="117"/>
  <c r="K44" i="117"/>
  <c r="I69" i="120"/>
  <c r="K69" i="120"/>
  <c r="I69" i="118"/>
  <c r="K69" i="118"/>
  <c r="I69" i="116"/>
  <c r="K69" i="116"/>
  <c r="I71" i="119"/>
  <c r="K71" i="119"/>
  <c r="I71" i="117"/>
  <c r="K71" i="117"/>
  <c r="I19" i="120"/>
  <c r="K19" i="120"/>
  <c r="I19" i="118"/>
  <c r="K19" i="118"/>
  <c r="I19" i="116"/>
  <c r="K19" i="116"/>
  <c r="I10" i="119"/>
  <c r="K10" i="119"/>
  <c r="I10" i="117"/>
  <c r="K10" i="117"/>
  <c r="I26" i="119"/>
  <c r="K26" i="119"/>
  <c r="I26" i="117"/>
  <c r="K26" i="117"/>
  <c r="I8" i="120"/>
  <c r="K8" i="120"/>
  <c r="I8" i="118"/>
  <c r="K8" i="118"/>
  <c r="I8" i="116"/>
  <c r="K8" i="116"/>
  <c r="I70" i="119"/>
  <c r="K70" i="119"/>
  <c r="I70" i="117"/>
  <c r="K70" i="117"/>
  <c r="I9" i="120"/>
  <c r="K9" i="120"/>
  <c r="I9" i="118"/>
  <c r="K9" i="118"/>
  <c r="I9" i="116"/>
  <c r="K9" i="116"/>
  <c r="I22" i="119"/>
  <c r="K22" i="119"/>
  <c r="I22" i="117"/>
  <c r="K22" i="117"/>
  <c r="I28" i="120"/>
  <c r="K28" i="120"/>
  <c r="I28" i="118"/>
  <c r="K28" i="118"/>
  <c r="I28" i="116"/>
  <c r="K28" i="116"/>
  <c r="I53" i="119"/>
  <c r="K53" i="119"/>
  <c r="I53" i="117"/>
  <c r="K53" i="117"/>
  <c r="I31" i="120"/>
  <c r="K31" i="120"/>
  <c r="I31" i="118"/>
  <c r="K31" i="118"/>
  <c r="I31" i="116"/>
  <c r="K31" i="116"/>
  <c r="I32" i="119"/>
  <c r="K32" i="119"/>
  <c r="I32" i="117"/>
  <c r="K32" i="117"/>
  <c r="I29" i="120"/>
  <c r="K29" i="120"/>
  <c r="I29" i="118"/>
  <c r="K29" i="118"/>
  <c r="I29" i="116"/>
  <c r="K29" i="116"/>
  <c r="I57" i="119"/>
  <c r="K57" i="119"/>
  <c r="I57" i="117"/>
  <c r="K57" i="117"/>
  <c r="I16" i="120"/>
  <c r="K16" i="120"/>
  <c r="I16" i="118"/>
  <c r="K16" i="118"/>
  <c r="I16" i="116"/>
  <c r="K16" i="116"/>
  <c r="I56" i="119"/>
  <c r="K56" i="119"/>
  <c r="I56" i="117"/>
  <c r="K56" i="117"/>
  <c r="I58" i="120"/>
  <c r="K58" i="120"/>
  <c r="I58" i="118"/>
  <c r="K58" i="118"/>
  <c r="I58" i="116"/>
  <c r="K58" i="116"/>
  <c r="I51" i="119"/>
  <c r="K51" i="119"/>
  <c r="I51" i="117"/>
  <c r="K51" i="117"/>
  <c r="I60" i="120"/>
  <c r="K60" i="120"/>
  <c r="I60" i="118"/>
  <c r="K60" i="118"/>
  <c r="I60" i="116"/>
  <c r="K60" i="116"/>
  <c r="I30" i="119"/>
  <c r="K30" i="119"/>
  <c r="I30" i="117"/>
  <c r="K30" i="117"/>
  <c r="I27" i="120"/>
  <c r="K27" i="120"/>
  <c r="I27" i="118"/>
  <c r="K27" i="118"/>
  <c r="I27" i="116"/>
  <c r="K27" i="116"/>
  <c r="I43" i="119"/>
  <c r="K43" i="119"/>
  <c r="I43" i="117"/>
  <c r="K43" i="117"/>
  <c r="I61" i="120"/>
  <c r="K61" i="120"/>
  <c r="I61" i="118"/>
  <c r="K61" i="118"/>
  <c r="I61" i="116"/>
  <c r="K61" i="116"/>
  <c r="I48" i="119"/>
  <c r="K48" i="119"/>
  <c r="I48" i="117"/>
  <c r="K48" i="117"/>
  <c r="I67" i="120"/>
  <c r="K67" i="120"/>
  <c r="I67" i="118"/>
  <c r="K67" i="118"/>
  <c r="I67" i="116"/>
  <c r="K67" i="116"/>
  <c r="I34" i="120"/>
  <c r="K34" i="120"/>
  <c r="I34" i="118"/>
  <c r="K34" i="118"/>
  <c r="I34" i="116"/>
  <c r="K34" i="116"/>
  <c r="I42" i="119"/>
  <c r="K42" i="119"/>
  <c r="I42" i="117"/>
  <c r="K42" i="117"/>
  <c r="I23" i="120"/>
  <c r="K23" i="120"/>
  <c r="I23" i="118"/>
  <c r="K23" i="118"/>
  <c r="I23" i="116"/>
  <c r="K23" i="116"/>
  <c r="I64" i="119"/>
  <c r="K64" i="119"/>
  <c r="I64" i="117"/>
  <c r="K64" i="117"/>
  <c r="I20" i="120"/>
  <c r="K20" i="120"/>
  <c r="I20" i="118"/>
  <c r="K20" i="118"/>
  <c r="I20" i="116"/>
  <c r="K20" i="116"/>
  <c r="I12" i="119"/>
  <c r="K12" i="119"/>
  <c r="I12" i="117"/>
  <c r="K12" i="117"/>
  <c r="I44" i="120"/>
  <c r="K44" i="120"/>
  <c r="I44" i="118"/>
  <c r="K44" i="118"/>
  <c r="I44" i="116"/>
  <c r="K44" i="116"/>
  <c r="I69" i="119"/>
  <c r="K69" i="119"/>
  <c r="I69" i="117"/>
  <c r="K69" i="117"/>
  <c r="I71" i="120"/>
  <c r="K71" i="120"/>
  <c r="I71" i="118"/>
  <c r="K71" i="118"/>
  <c r="I71" i="116"/>
  <c r="K71" i="116"/>
  <c r="I19" i="119"/>
  <c r="K19" i="119"/>
  <c r="I19" i="117"/>
  <c r="K19" i="117"/>
  <c r="I10" i="120"/>
  <c r="K10" i="120"/>
  <c r="I10" i="118"/>
  <c r="K10" i="118"/>
  <c r="I10" i="116"/>
  <c r="K10" i="116"/>
  <c r="M10" i="116"/>
  <c r="N10" i="116"/>
  <c r="P10" i="116"/>
  <c r="N19" i="115"/>
  <c r="P19" i="115"/>
  <c r="N71" i="114"/>
  <c r="P71" i="114"/>
  <c r="M44" i="120"/>
  <c r="N44" i="120"/>
  <c r="P44" i="120"/>
  <c r="M12" i="119"/>
  <c r="N12" i="119"/>
  <c r="P12" i="119"/>
  <c r="M20" i="118"/>
  <c r="N20" i="118"/>
  <c r="P20" i="118"/>
  <c r="M64" i="117"/>
  <c r="N64" i="117"/>
  <c r="P64" i="117"/>
  <c r="M23" i="120"/>
  <c r="N23" i="120"/>
  <c r="P23" i="120"/>
  <c r="M42" i="119"/>
  <c r="N42" i="119"/>
  <c r="P42" i="119"/>
  <c r="M34" i="118"/>
  <c r="N34" i="118"/>
  <c r="P34" i="118"/>
  <c r="M67" i="120"/>
  <c r="N67" i="120"/>
  <c r="P67" i="120"/>
  <c r="M48" i="119"/>
  <c r="N48" i="119"/>
  <c r="P48" i="119"/>
  <c r="M61" i="118"/>
  <c r="N61" i="118"/>
  <c r="P61" i="118"/>
  <c r="M43" i="117"/>
  <c r="N43" i="117"/>
  <c r="P43" i="117"/>
  <c r="M27" i="116"/>
  <c r="N27" i="116"/>
  <c r="P27" i="116"/>
  <c r="N30" i="115"/>
  <c r="P30" i="115"/>
  <c r="N60" i="114"/>
  <c r="P60" i="114"/>
  <c r="M58" i="116"/>
  <c r="N58" i="116"/>
  <c r="P58" i="116"/>
  <c r="N56" i="115"/>
  <c r="P56" i="115"/>
  <c r="N16" i="114"/>
  <c r="P16" i="114"/>
  <c r="N32" i="115"/>
  <c r="P32" i="115"/>
  <c r="N10" i="114"/>
  <c r="P10" i="114"/>
  <c r="M10" i="118"/>
  <c r="N10" i="118"/>
  <c r="P10" i="118"/>
  <c r="M19" i="117"/>
  <c r="N19" i="117"/>
  <c r="P19" i="117"/>
  <c r="M71" i="116"/>
  <c r="N71" i="116"/>
  <c r="P71" i="116"/>
  <c r="M71" i="120"/>
  <c r="N71" i="120"/>
  <c r="P71" i="120"/>
  <c r="N69" i="115"/>
  <c r="P69" i="115"/>
  <c r="M69" i="119"/>
  <c r="N69" i="119"/>
  <c r="P69" i="119"/>
  <c r="N44" i="114"/>
  <c r="P44" i="114"/>
  <c r="M44" i="118"/>
  <c r="N44" i="118"/>
  <c r="P44" i="118"/>
  <c r="M12" i="117"/>
  <c r="N12" i="117"/>
  <c r="P12" i="117"/>
  <c r="M20" i="116"/>
  <c r="N20" i="116"/>
  <c r="P20" i="116"/>
  <c r="M20" i="120"/>
  <c r="N20" i="120"/>
  <c r="P20" i="120"/>
  <c r="N64" i="115"/>
  <c r="P64" i="115"/>
  <c r="M64" i="119"/>
  <c r="N64" i="119"/>
  <c r="P64" i="119"/>
  <c r="N23" i="114"/>
  <c r="P23" i="114"/>
  <c r="M23" i="118"/>
  <c r="N23" i="118"/>
  <c r="P23" i="118"/>
  <c r="M42" i="117"/>
  <c r="N42" i="117"/>
  <c r="P42" i="117"/>
  <c r="M34" i="116"/>
  <c r="N34" i="116"/>
  <c r="P34" i="116"/>
  <c r="M34" i="120"/>
  <c r="N34" i="120"/>
  <c r="P34" i="120"/>
  <c r="N67" i="114"/>
  <c r="P67" i="114"/>
  <c r="M67" i="118"/>
  <c r="N67" i="118"/>
  <c r="P67" i="118"/>
  <c r="M48" i="117"/>
  <c r="N48" i="117"/>
  <c r="P48" i="117"/>
  <c r="M61" i="116"/>
  <c r="N61" i="116"/>
  <c r="P61" i="116"/>
  <c r="M61" i="120"/>
  <c r="N61" i="120"/>
  <c r="P61" i="120"/>
  <c r="N43" i="115"/>
  <c r="P43" i="115"/>
  <c r="M43" i="119"/>
  <c r="N43" i="119"/>
  <c r="P43" i="119"/>
  <c r="N27" i="114"/>
  <c r="P27" i="114"/>
  <c r="M27" i="118"/>
  <c r="N27" i="118"/>
  <c r="P27" i="118"/>
  <c r="M30" i="117"/>
  <c r="N30" i="117"/>
  <c r="P30" i="117"/>
  <c r="M60" i="116"/>
  <c r="N60" i="116"/>
  <c r="P60" i="116"/>
  <c r="M60" i="120"/>
  <c r="N60" i="120"/>
  <c r="P60" i="120"/>
  <c r="N51" i="115"/>
  <c r="P51" i="115"/>
  <c r="M51" i="119"/>
  <c r="N51" i="119"/>
  <c r="P51" i="119"/>
  <c r="N58" i="114"/>
  <c r="P58" i="114"/>
  <c r="M58" i="118"/>
  <c r="N58" i="118"/>
  <c r="P58" i="118"/>
  <c r="M56" i="117"/>
  <c r="N56" i="117"/>
  <c r="P56" i="117"/>
  <c r="M16" i="116"/>
  <c r="N16" i="116"/>
  <c r="P16" i="116"/>
  <c r="M16" i="120"/>
  <c r="N16" i="120"/>
  <c r="P16" i="120"/>
  <c r="N57" i="115"/>
  <c r="P57" i="115"/>
  <c r="M57" i="119"/>
  <c r="N57" i="119"/>
  <c r="P57" i="119"/>
  <c r="N29" i="114"/>
  <c r="P29" i="114"/>
  <c r="M29" i="118"/>
  <c r="N29" i="118"/>
  <c r="P29" i="118"/>
  <c r="M32" i="117"/>
  <c r="N32" i="117"/>
  <c r="P32" i="117"/>
  <c r="M31" i="116"/>
  <c r="N31" i="116"/>
  <c r="P31" i="116"/>
  <c r="M31" i="120"/>
  <c r="N31" i="120"/>
  <c r="P31" i="120"/>
  <c r="N53" i="115"/>
  <c r="P53" i="115"/>
  <c r="M53" i="119"/>
  <c r="N53" i="119"/>
  <c r="P53" i="119"/>
  <c r="N28" i="114"/>
  <c r="P28" i="114"/>
  <c r="M28" i="118"/>
  <c r="N28" i="118"/>
  <c r="P28" i="118"/>
  <c r="M22" i="117"/>
  <c r="N22" i="117"/>
  <c r="P22" i="117"/>
  <c r="M9" i="116"/>
  <c r="N9" i="116"/>
  <c r="P9" i="116"/>
  <c r="M9" i="120"/>
  <c r="N9" i="120"/>
  <c r="P9" i="120"/>
  <c r="N70" i="115"/>
  <c r="P70" i="115"/>
  <c r="M70" i="119"/>
  <c r="N70" i="119"/>
  <c r="P70" i="119"/>
  <c r="N8" i="114"/>
  <c r="P8" i="114"/>
  <c r="M8" i="118"/>
  <c r="N8" i="118"/>
  <c r="P8" i="118"/>
  <c r="M26" i="117"/>
  <c r="N26" i="117"/>
  <c r="P26" i="117"/>
  <c r="M10" i="117"/>
  <c r="N10" i="117"/>
  <c r="P10" i="117"/>
  <c r="M19" i="116"/>
  <c r="N19" i="116"/>
  <c r="P19" i="116"/>
  <c r="M19" i="120"/>
  <c r="N19" i="120"/>
  <c r="P19" i="120"/>
  <c r="N71" i="115"/>
  <c r="P71" i="115"/>
  <c r="M71" i="119"/>
  <c r="N71" i="119"/>
  <c r="P71" i="119"/>
  <c r="N69" i="114"/>
  <c r="P69" i="114"/>
  <c r="M69" i="118"/>
  <c r="N69" i="118"/>
  <c r="P69" i="118"/>
  <c r="M44" i="117"/>
  <c r="N44" i="117"/>
  <c r="P44" i="117"/>
  <c r="M12" i="116"/>
  <c r="N12" i="116"/>
  <c r="P12" i="116"/>
  <c r="M12" i="120"/>
  <c r="N12" i="120"/>
  <c r="P12" i="120"/>
  <c r="N20" i="115"/>
  <c r="P20" i="115"/>
  <c r="M20" i="119"/>
  <c r="N20" i="119"/>
  <c r="P20" i="119"/>
  <c r="N64" i="114"/>
  <c r="P64" i="114"/>
  <c r="M64" i="118"/>
  <c r="N64" i="118"/>
  <c r="P64" i="118"/>
  <c r="M23" i="117"/>
  <c r="N23" i="117"/>
  <c r="P23" i="117"/>
  <c r="M42" i="116"/>
  <c r="N42" i="116"/>
  <c r="P42" i="116"/>
  <c r="M42" i="120"/>
  <c r="N42" i="120"/>
  <c r="P42" i="120"/>
  <c r="N34" i="115"/>
  <c r="P34" i="115"/>
  <c r="M34" i="119"/>
  <c r="N34" i="119"/>
  <c r="P34" i="119"/>
  <c r="N67" i="115"/>
  <c r="P67" i="115"/>
  <c r="M67" i="119"/>
  <c r="N67" i="119"/>
  <c r="P67" i="119"/>
  <c r="N48" i="114"/>
  <c r="P48" i="114"/>
  <c r="M48" i="118"/>
  <c r="N48" i="118"/>
  <c r="P48" i="118"/>
  <c r="M61" i="117"/>
  <c r="N61" i="117"/>
  <c r="P61" i="117"/>
  <c r="M43" i="116"/>
  <c r="N43" i="116"/>
  <c r="P43" i="116"/>
  <c r="M43" i="120"/>
  <c r="N43" i="120"/>
  <c r="P43" i="120"/>
  <c r="N27" i="115"/>
  <c r="P27" i="115"/>
  <c r="M27" i="119"/>
  <c r="N27" i="119"/>
  <c r="P27" i="119"/>
  <c r="N30" i="114"/>
  <c r="P30" i="114"/>
  <c r="M30" i="118"/>
  <c r="N30" i="118"/>
  <c r="P30" i="118"/>
  <c r="M60" i="117"/>
  <c r="N60" i="117"/>
  <c r="P60" i="117"/>
  <c r="M51" i="116"/>
  <c r="N51" i="116"/>
  <c r="P51" i="116"/>
  <c r="M51" i="120"/>
  <c r="N51" i="120"/>
  <c r="P51" i="120"/>
  <c r="N58" i="115"/>
  <c r="P58" i="115"/>
  <c r="M58" i="119"/>
  <c r="N58" i="119"/>
  <c r="P58" i="119"/>
  <c r="N56" i="114"/>
  <c r="P56" i="114"/>
  <c r="M56" i="118"/>
  <c r="N56" i="118"/>
  <c r="P56" i="118"/>
  <c r="M16" i="117"/>
  <c r="N16" i="117"/>
  <c r="P16" i="117"/>
  <c r="M57" i="116"/>
  <c r="N57" i="116"/>
  <c r="P57" i="116"/>
  <c r="M57" i="120"/>
  <c r="N57" i="120"/>
  <c r="P57" i="120"/>
  <c r="N29" i="115"/>
  <c r="P29" i="115"/>
  <c r="M29" i="119"/>
  <c r="N29" i="119"/>
  <c r="P29" i="119"/>
  <c r="N32" i="114"/>
  <c r="P32" i="114"/>
  <c r="M32" i="118"/>
  <c r="N32" i="118"/>
  <c r="P32" i="118"/>
  <c r="M31" i="117"/>
  <c r="N31" i="117"/>
  <c r="P31" i="117"/>
  <c r="M53" i="116"/>
  <c r="N53" i="116"/>
  <c r="P53" i="116"/>
  <c r="M53" i="120"/>
  <c r="N53" i="120"/>
  <c r="P53" i="120"/>
  <c r="N28" i="115"/>
  <c r="P28" i="115"/>
  <c r="M28" i="119"/>
  <c r="N28" i="119"/>
  <c r="P28" i="119"/>
  <c r="N22" i="114"/>
  <c r="P22" i="114"/>
  <c r="M22" i="118"/>
  <c r="N22" i="118"/>
  <c r="P22" i="118"/>
  <c r="M9" i="117"/>
  <c r="N9" i="117"/>
  <c r="P9" i="117"/>
  <c r="M70" i="116"/>
  <c r="N70" i="116"/>
  <c r="P70" i="116"/>
  <c r="M70" i="120"/>
  <c r="N70" i="120"/>
  <c r="P70" i="120"/>
  <c r="N8" i="115"/>
  <c r="P8" i="115"/>
  <c r="M8" i="119"/>
  <c r="N8" i="119"/>
  <c r="P8" i="119"/>
  <c r="N26" i="114"/>
  <c r="P26" i="114"/>
  <c r="M26" i="118"/>
  <c r="N26" i="118"/>
  <c r="P26" i="118"/>
  <c r="T40" i="118"/>
  <c r="T17" i="115"/>
  <c r="T39" i="120"/>
  <c r="N46" i="113"/>
  <c r="P46" i="113"/>
  <c r="T54" i="118"/>
  <c r="T52" i="115"/>
  <c r="T41" i="120"/>
  <c r="N38" i="113"/>
  <c r="P38" i="113"/>
  <c r="T24" i="118"/>
  <c r="T21" i="115"/>
  <c r="T65" i="120"/>
  <c r="N73" i="113"/>
  <c r="P73" i="113"/>
  <c r="T18" i="118"/>
  <c r="T47" i="115"/>
  <c r="T25" i="120"/>
  <c r="N55" i="113"/>
  <c r="P55" i="113"/>
  <c r="T59" i="118"/>
  <c r="T74" i="115"/>
  <c r="T33" i="120"/>
  <c r="N50" i="113"/>
  <c r="P50" i="113"/>
  <c r="T49" i="118"/>
  <c r="T37" i="115"/>
  <c r="T14" i="120"/>
  <c r="N72" i="113"/>
  <c r="P72" i="113"/>
  <c r="T63" i="118"/>
  <c r="T35" i="115"/>
  <c r="T75" i="120"/>
  <c r="N68" i="113"/>
  <c r="P68" i="113"/>
  <c r="T36" i="118"/>
  <c r="T13" i="115"/>
  <c r="T62" i="120"/>
  <c r="N11" i="113"/>
  <c r="P11" i="113"/>
  <c r="T66" i="118"/>
  <c r="T45" i="115"/>
  <c r="T40" i="115"/>
  <c r="T17" i="120"/>
  <c r="N39" i="113"/>
  <c r="P39" i="113"/>
  <c r="T46" i="118"/>
  <c r="T54" i="115"/>
  <c r="T52" i="120"/>
  <c r="N41" i="113"/>
  <c r="P41" i="113"/>
  <c r="T38" i="118"/>
  <c r="T24" i="115"/>
  <c r="T21" i="120"/>
  <c r="N65" i="113"/>
  <c r="P65" i="113"/>
  <c r="T73" i="118"/>
  <c r="T18" i="115"/>
  <c r="T47" i="120"/>
  <c r="N25" i="113"/>
  <c r="P25" i="113"/>
  <c r="T55" i="118"/>
  <c r="T59" i="115"/>
  <c r="T74" i="120"/>
  <c r="N33" i="113"/>
  <c r="P33" i="113"/>
  <c r="T50" i="118"/>
  <c r="T49" i="115"/>
  <c r="T37" i="120"/>
  <c r="N14" i="113"/>
  <c r="P14" i="113"/>
  <c r="T72" i="118"/>
  <c r="T63" i="115"/>
  <c r="T35" i="120"/>
  <c r="N75" i="113"/>
  <c r="P75" i="113"/>
  <c r="T68" i="118"/>
  <c r="T36" i="115"/>
  <c r="T13" i="120"/>
  <c r="N62" i="113"/>
  <c r="P62" i="113"/>
  <c r="T11" i="118"/>
  <c r="T66" i="115"/>
  <c r="T45" i="120"/>
  <c r="T40" i="120"/>
  <c r="N17" i="113"/>
  <c r="P17" i="113"/>
  <c r="T39" i="118"/>
  <c r="T46" i="115"/>
  <c r="T54" i="120"/>
  <c r="N52" i="113"/>
  <c r="P52" i="113"/>
  <c r="T41" i="118"/>
  <c r="T38" i="115"/>
  <c r="T24" i="120"/>
  <c r="N21" i="113"/>
  <c r="P21" i="113"/>
  <c r="T65" i="118"/>
  <c r="T73" i="115"/>
  <c r="T18" i="120"/>
  <c r="N47" i="113"/>
  <c r="P47" i="113"/>
  <c r="T25" i="118"/>
  <c r="T55" i="115"/>
  <c r="T59" i="120"/>
  <c r="N74" i="113"/>
  <c r="P74" i="113"/>
  <c r="T33" i="118"/>
  <c r="T50" i="115"/>
  <c r="T49" i="120"/>
  <c r="N37" i="113"/>
  <c r="P37" i="113"/>
  <c r="T14" i="118"/>
  <c r="T72" i="115"/>
  <c r="T63" i="120"/>
  <c r="N35" i="113"/>
  <c r="P35" i="113"/>
  <c r="T75" i="118"/>
  <c r="T68" i="115"/>
  <c r="T36" i="120"/>
  <c r="N13" i="113"/>
  <c r="P13" i="113"/>
  <c r="T62" i="118"/>
  <c r="T11" i="115"/>
  <c r="T66" i="120"/>
  <c r="N45" i="113"/>
  <c r="P45" i="113"/>
  <c r="N40" i="113"/>
  <c r="P40" i="113"/>
  <c r="T17" i="118"/>
  <c r="T39" i="115"/>
  <c r="T46" i="120"/>
  <c r="N54" i="113"/>
  <c r="P54" i="113"/>
  <c r="T52" i="118"/>
  <c r="T41" i="115"/>
  <c r="T38" i="120"/>
  <c r="N24" i="113"/>
  <c r="P24" i="113"/>
  <c r="T21" i="118"/>
  <c r="T65" i="115"/>
  <c r="T73" i="120"/>
  <c r="N18" i="113"/>
  <c r="P18" i="113"/>
  <c r="T47" i="118"/>
  <c r="T25" i="115"/>
  <c r="T55" i="120"/>
  <c r="N59" i="113"/>
  <c r="P59" i="113"/>
  <c r="T74" i="118"/>
  <c r="T33" i="115"/>
  <c r="T50" i="120"/>
  <c r="N49" i="113"/>
  <c r="P49" i="113"/>
  <c r="T37" i="118"/>
  <c r="T14" i="115"/>
  <c r="T72" i="120"/>
  <c r="N63" i="113"/>
  <c r="P63" i="113"/>
  <c r="T35" i="118"/>
  <c r="T75" i="115"/>
  <c r="T68" i="120"/>
  <c r="N36" i="113"/>
  <c r="P36" i="113"/>
  <c r="T13" i="118"/>
  <c r="T62" i="115"/>
  <c r="T11" i="120"/>
  <c r="N66" i="113"/>
  <c r="P66" i="113"/>
  <c r="T45" i="118"/>
  <c r="M10" i="120"/>
  <c r="N10" i="120"/>
  <c r="P10" i="120"/>
  <c r="M19" i="119"/>
  <c r="N19" i="119"/>
  <c r="P19" i="119"/>
  <c r="M71" i="118"/>
  <c r="N71" i="118"/>
  <c r="P71" i="118"/>
  <c r="M69" i="117"/>
  <c r="N69" i="117"/>
  <c r="P69" i="117"/>
  <c r="M44" i="116"/>
  <c r="N44" i="116"/>
  <c r="P44" i="116"/>
  <c r="N12" i="115"/>
  <c r="P12" i="115"/>
  <c r="N20" i="114"/>
  <c r="P20" i="114"/>
  <c r="M23" i="116"/>
  <c r="N23" i="116"/>
  <c r="P23" i="116"/>
  <c r="N42" i="115"/>
  <c r="P42" i="115"/>
  <c r="N34" i="114"/>
  <c r="P34" i="114"/>
  <c r="M67" i="116"/>
  <c r="N67" i="116"/>
  <c r="P67" i="116"/>
  <c r="N48" i="115"/>
  <c r="P48" i="115"/>
  <c r="N61" i="114"/>
  <c r="P61" i="114"/>
  <c r="M27" i="120"/>
  <c r="N27" i="120"/>
  <c r="P27" i="120"/>
  <c r="M30" i="119"/>
  <c r="N30" i="119"/>
  <c r="P30" i="119"/>
  <c r="M60" i="118"/>
  <c r="N60" i="118"/>
  <c r="P60" i="118"/>
  <c r="M51" i="117"/>
  <c r="N51" i="117"/>
  <c r="P51" i="117"/>
  <c r="M58" i="120"/>
  <c r="N58" i="120"/>
  <c r="P58" i="120"/>
  <c r="M56" i="119"/>
  <c r="N56" i="119"/>
  <c r="P56" i="119"/>
  <c r="M16" i="118"/>
  <c r="N16" i="118"/>
  <c r="P16" i="118"/>
  <c r="M57" i="117"/>
  <c r="N57" i="117"/>
  <c r="P57" i="117"/>
  <c r="M29" i="116"/>
  <c r="N29" i="116"/>
  <c r="P29" i="116"/>
  <c r="M29" i="120"/>
  <c r="N29" i="120"/>
  <c r="P29" i="120"/>
  <c r="M32" i="119"/>
  <c r="N32" i="119"/>
  <c r="P32" i="119"/>
  <c r="N31" i="114"/>
  <c r="P31" i="114"/>
  <c r="M31" i="118"/>
  <c r="N31" i="118"/>
  <c r="P31" i="118"/>
  <c r="M53" i="117"/>
  <c r="N53" i="117"/>
  <c r="P53" i="117"/>
  <c r="M28" i="116"/>
  <c r="N28" i="116"/>
  <c r="P28" i="116"/>
  <c r="M28" i="120"/>
  <c r="N28" i="120"/>
  <c r="P28" i="120"/>
  <c r="N22" i="115"/>
  <c r="P22" i="115"/>
  <c r="M22" i="119"/>
  <c r="N22" i="119"/>
  <c r="P22" i="119"/>
  <c r="N9" i="114"/>
  <c r="P9" i="114"/>
  <c r="M9" i="118"/>
  <c r="N9" i="118"/>
  <c r="P9" i="118"/>
  <c r="M70" i="117"/>
  <c r="N70" i="117"/>
  <c r="P70" i="117"/>
  <c r="M8" i="116"/>
  <c r="N8" i="116"/>
  <c r="P8" i="116"/>
  <c r="M8" i="120"/>
  <c r="N8" i="120"/>
  <c r="P8" i="120"/>
  <c r="N26" i="115"/>
  <c r="P26" i="115"/>
  <c r="M26" i="119"/>
  <c r="N26" i="119"/>
  <c r="P26" i="119"/>
  <c r="N10" i="115"/>
  <c r="P10" i="115"/>
  <c r="M10" i="119"/>
  <c r="N10" i="119"/>
  <c r="P10" i="119"/>
  <c r="N19" i="114"/>
  <c r="P19" i="114"/>
  <c r="M19" i="118"/>
  <c r="N19" i="118"/>
  <c r="P19" i="118"/>
  <c r="M71" i="117"/>
  <c r="N71" i="117"/>
  <c r="P71" i="117"/>
  <c r="M69" i="116"/>
  <c r="N69" i="116"/>
  <c r="P69" i="116"/>
  <c r="M69" i="120"/>
  <c r="N69" i="120"/>
  <c r="P69" i="120"/>
  <c r="N44" i="115"/>
  <c r="P44" i="115"/>
  <c r="M44" i="119"/>
  <c r="N44" i="119"/>
  <c r="P44" i="119"/>
  <c r="N12" i="114"/>
  <c r="P12" i="114"/>
  <c r="M12" i="118"/>
  <c r="N12" i="118"/>
  <c r="P12" i="118"/>
  <c r="M20" i="117"/>
  <c r="N20" i="117"/>
  <c r="P20" i="117"/>
  <c r="M64" i="116"/>
  <c r="N64" i="116"/>
  <c r="P64" i="116"/>
  <c r="M64" i="120"/>
  <c r="N64" i="120"/>
  <c r="P64" i="120"/>
  <c r="N23" i="115"/>
  <c r="P23" i="115"/>
  <c r="M23" i="119"/>
  <c r="N23" i="119"/>
  <c r="P23" i="119"/>
  <c r="N42" i="114"/>
  <c r="P42" i="114"/>
  <c r="M42" i="118"/>
  <c r="N42" i="118"/>
  <c r="P42" i="118"/>
  <c r="I6" i="31"/>
  <c r="M34" i="117"/>
  <c r="N34" i="117"/>
  <c r="P34" i="117"/>
  <c r="M67" i="117"/>
  <c r="N67" i="117"/>
  <c r="P67" i="117"/>
  <c r="M48" i="116"/>
  <c r="N48" i="116"/>
  <c r="P48" i="116"/>
  <c r="M48" i="120"/>
  <c r="N48" i="120"/>
  <c r="P48" i="120"/>
  <c r="N61" i="115"/>
  <c r="P61" i="115"/>
  <c r="M61" i="119"/>
  <c r="N61" i="119"/>
  <c r="P61" i="119"/>
  <c r="N43" i="114"/>
  <c r="P43" i="114"/>
  <c r="M43" i="118"/>
  <c r="N43" i="118"/>
  <c r="P43" i="118"/>
  <c r="M27" i="117"/>
  <c r="N27" i="117"/>
  <c r="P27" i="117"/>
  <c r="M30" i="116"/>
  <c r="N30" i="116"/>
  <c r="P30" i="116"/>
  <c r="M30" i="120"/>
  <c r="N30" i="120"/>
  <c r="P30" i="120"/>
  <c r="N60" i="115"/>
  <c r="P60" i="115"/>
  <c r="M60" i="119"/>
  <c r="N60" i="119"/>
  <c r="P60" i="119"/>
  <c r="N51" i="114"/>
  <c r="P51" i="114"/>
  <c r="M51" i="118"/>
  <c r="N51" i="118"/>
  <c r="P51" i="118"/>
  <c r="M58" i="117"/>
  <c r="N58" i="117"/>
  <c r="P58" i="117"/>
  <c r="M56" i="116"/>
  <c r="N56" i="116"/>
  <c r="P56" i="116"/>
  <c r="M56" i="120"/>
  <c r="N56" i="120"/>
  <c r="P56" i="120"/>
  <c r="N16" i="115"/>
  <c r="P16" i="115"/>
  <c r="M16" i="119"/>
  <c r="N16" i="119"/>
  <c r="P16" i="119"/>
  <c r="N57" i="114"/>
  <c r="P57" i="114"/>
  <c r="M57" i="118"/>
  <c r="N57" i="118"/>
  <c r="P57" i="118"/>
  <c r="M29" i="117"/>
  <c r="N29" i="117"/>
  <c r="P29" i="117"/>
  <c r="M32" i="116"/>
  <c r="N32" i="116"/>
  <c r="P32" i="116"/>
  <c r="M32" i="120"/>
  <c r="N32" i="120"/>
  <c r="P32" i="120"/>
  <c r="N31" i="115"/>
  <c r="P31" i="115"/>
  <c r="M31" i="119"/>
  <c r="N31" i="119"/>
  <c r="P31" i="119"/>
  <c r="N53" i="114"/>
  <c r="P53" i="114"/>
  <c r="M53" i="118"/>
  <c r="N53" i="118"/>
  <c r="P53" i="118"/>
  <c r="M28" i="117"/>
  <c r="N28" i="117"/>
  <c r="P28" i="117"/>
  <c r="M22" i="116"/>
  <c r="N22" i="116"/>
  <c r="P22" i="116"/>
  <c r="M22" i="120"/>
  <c r="N22" i="120"/>
  <c r="P22" i="120"/>
  <c r="N9" i="115"/>
  <c r="P9" i="115"/>
  <c r="M9" i="119"/>
  <c r="N9" i="119"/>
  <c r="P9" i="119"/>
  <c r="N70" i="114"/>
  <c r="P70" i="114"/>
  <c r="M70" i="118"/>
  <c r="N70" i="118"/>
  <c r="P70" i="118"/>
  <c r="M8" i="117"/>
  <c r="N8" i="117"/>
  <c r="P8" i="117"/>
  <c r="M26" i="116"/>
  <c r="N26" i="116"/>
  <c r="P26" i="116"/>
  <c r="M26" i="120"/>
  <c r="N26" i="120"/>
  <c r="P26" i="120"/>
  <c r="T40" i="114"/>
  <c r="T17" i="119"/>
  <c r="T39" i="116"/>
  <c r="T46" i="117"/>
  <c r="T54" i="114"/>
  <c r="T52" i="119"/>
  <c r="T41" i="116"/>
  <c r="T38" i="117"/>
  <c r="T24" i="114"/>
  <c r="T21" i="119"/>
  <c r="T65" i="116"/>
  <c r="T73" i="117"/>
  <c r="T18" i="114"/>
  <c r="T47" i="119"/>
  <c r="T25" i="116"/>
  <c r="T55" i="117"/>
  <c r="T59" i="114"/>
  <c r="T74" i="119"/>
  <c r="T33" i="116"/>
  <c r="T50" i="117"/>
  <c r="T49" i="114"/>
  <c r="T37" i="119"/>
  <c r="T14" i="116"/>
  <c r="T72" i="117"/>
  <c r="T63" i="114"/>
  <c r="T35" i="119"/>
  <c r="T75" i="116"/>
  <c r="T68" i="117"/>
  <c r="T36" i="114"/>
  <c r="T13" i="119"/>
  <c r="T62" i="116"/>
  <c r="T11" i="117"/>
  <c r="T66" i="114"/>
  <c r="T45" i="119"/>
  <c r="T40" i="119"/>
  <c r="T17" i="116"/>
  <c r="T39" i="117"/>
  <c r="T46" i="114"/>
  <c r="T54" i="119"/>
  <c r="T52" i="116"/>
  <c r="T41" i="117"/>
  <c r="T38" i="114"/>
  <c r="T24" i="119"/>
  <c r="T21" i="116"/>
  <c r="T65" i="117"/>
  <c r="T73" i="114"/>
  <c r="T18" i="119"/>
  <c r="T47" i="116"/>
  <c r="T25" i="117"/>
  <c r="T55" i="114"/>
  <c r="T59" i="119"/>
  <c r="T74" i="116"/>
  <c r="T33" i="117"/>
  <c r="T50" i="114"/>
  <c r="T49" i="119"/>
  <c r="T37" i="116"/>
  <c r="T14" i="117"/>
  <c r="T72" i="114"/>
  <c r="T63" i="119"/>
  <c r="T35" i="116"/>
  <c r="T75" i="117"/>
  <c r="T68" i="114"/>
  <c r="T36" i="119"/>
  <c r="T13" i="116"/>
  <c r="T62" i="117"/>
  <c r="T11" i="114"/>
  <c r="T66" i="119"/>
  <c r="T40" i="116"/>
  <c r="T17" i="117"/>
  <c r="T39" i="114"/>
  <c r="T46" i="119"/>
  <c r="T54" i="116"/>
  <c r="T52" i="117"/>
  <c r="T41" i="114"/>
  <c r="T38" i="119"/>
  <c r="T24" i="116"/>
  <c r="T21" i="117"/>
  <c r="T65" i="114"/>
  <c r="T73" i="119"/>
  <c r="T18" i="116"/>
  <c r="T47" i="117"/>
  <c r="T25" i="114"/>
  <c r="T55" i="119"/>
  <c r="T59" i="116"/>
  <c r="T74" i="117"/>
  <c r="T33" i="114"/>
  <c r="T50" i="119"/>
  <c r="T49" i="116"/>
  <c r="T37" i="117"/>
  <c r="T14" i="114"/>
  <c r="T72" i="119"/>
  <c r="T63" i="116"/>
  <c r="T35" i="117"/>
  <c r="T75" i="114"/>
  <c r="T68" i="119"/>
  <c r="T36" i="116"/>
  <c r="T13" i="117"/>
  <c r="T62" i="114"/>
  <c r="T11" i="119"/>
  <c r="T66" i="116"/>
  <c r="T45" i="117"/>
  <c r="T40" i="117"/>
  <c r="T17" i="114"/>
  <c r="T39" i="119"/>
  <c r="T46" i="116"/>
  <c r="T54" i="117"/>
  <c r="T52" i="114"/>
  <c r="T41" i="119"/>
  <c r="T38" i="116"/>
  <c r="T24" i="117"/>
  <c r="T21" i="114"/>
  <c r="T65" i="119"/>
  <c r="T73" i="116"/>
  <c r="T18" i="117"/>
  <c r="T47" i="114"/>
  <c r="T25" i="119"/>
  <c r="T55" i="116"/>
  <c r="T59" i="117"/>
  <c r="T74" i="114"/>
  <c r="T33" i="119"/>
  <c r="T50" i="116"/>
  <c r="T49" i="117"/>
  <c r="T37" i="114"/>
  <c r="T14" i="119"/>
  <c r="T72" i="116"/>
  <c r="T63" i="117"/>
  <c r="T35" i="114"/>
  <c r="T75" i="119"/>
  <c r="T68" i="116"/>
  <c r="T36" i="117"/>
  <c r="T13" i="114"/>
  <c r="T62" i="119"/>
  <c r="T11" i="116"/>
  <c r="T66" i="117"/>
  <c r="T45" i="114"/>
  <c r="T45" i="116"/>
  <c r="I15" i="119"/>
  <c r="K15" i="119"/>
  <c r="I15" i="117"/>
  <c r="K15" i="117"/>
  <c r="I15" i="120"/>
  <c r="K15" i="120"/>
  <c r="I15" i="118"/>
  <c r="K15" i="118"/>
  <c r="I15" i="116"/>
  <c r="K15" i="116"/>
  <c r="M15" i="116"/>
  <c r="N15" i="116"/>
  <c r="P15" i="116"/>
  <c r="W76" i="33"/>
  <c r="M15" i="120"/>
  <c r="N15" i="120"/>
  <c r="P15" i="120"/>
  <c r="N15" i="115"/>
  <c r="P15" i="115"/>
  <c r="M15" i="119"/>
  <c r="N15" i="119"/>
  <c r="P15" i="119"/>
  <c r="V76" i="33"/>
  <c r="T26" i="116"/>
  <c r="T8" i="117"/>
  <c r="T70" i="114"/>
  <c r="T9" i="119"/>
  <c r="T22" i="116"/>
  <c r="T28" i="117"/>
  <c r="T53" i="114"/>
  <c r="T31" i="119"/>
  <c r="T32" i="116"/>
  <c r="T29" i="117"/>
  <c r="T57" i="114"/>
  <c r="T16" i="119"/>
  <c r="T56" i="116"/>
  <c r="T58" i="117"/>
  <c r="T51" i="114"/>
  <c r="T60" i="119"/>
  <c r="T30" i="116"/>
  <c r="T27" i="117"/>
  <c r="T43" i="114"/>
  <c r="T61" i="119"/>
  <c r="T48" i="116"/>
  <c r="T67" i="117"/>
  <c r="T34" i="117"/>
  <c r="T42" i="114"/>
  <c r="T23" i="119"/>
  <c r="T64" i="116"/>
  <c r="T20" i="117"/>
  <c r="T12" i="114"/>
  <c r="T44" i="119"/>
  <c r="T69" i="116"/>
  <c r="T71" i="117"/>
  <c r="T19" i="114"/>
  <c r="T10" i="119"/>
  <c r="T26" i="119"/>
  <c r="T8" i="116"/>
  <c r="T70" i="117"/>
  <c r="T9" i="114"/>
  <c r="T22" i="119"/>
  <c r="T28" i="116"/>
  <c r="T53" i="117"/>
  <c r="T31" i="114"/>
  <c r="T32" i="119"/>
  <c r="T29" i="116"/>
  <c r="T57" i="117"/>
  <c r="T56" i="119"/>
  <c r="T51" i="117"/>
  <c r="T30" i="119"/>
  <c r="T61" i="114"/>
  <c r="T67" i="116"/>
  <c r="T34" i="114"/>
  <c r="T23" i="116"/>
  <c r="T20" i="114"/>
  <c r="T44" i="116"/>
  <c r="T69" i="117"/>
  <c r="T19" i="119"/>
  <c r="T66" i="113"/>
  <c r="T36" i="113"/>
  <c r="T63" i="113"/>
  <c r="T49" i="113"/>
  <c r="T59" i="113"/>
  <c r="T18" i="113"/>
  <c r="T24" i="113"/>
  <c r="T54" i="113"/>
  <c r="T40" i="113"/>
  <c r="T45" i="113"/>
  <c r="T13" i="113"/>
  <c r="T35" i="113"/>
  <c r="T37" i="113"/>
  <c r="T74" i="113"/>
  <c r="T47" i="113"/>
  <c r="T21" i="113"/>
  <c r="T52" i="113"/>
  <c r="T17" i="113"/>
  <c r="T62" i="113"/>
  <c r="T75" i="113"/>
  <c r="T14" i="113"/>
  <c r="T33" i="113"/>
  <c r="T25" i="113"/>
  <c r="T65" i="113"/>
  <c r="T41" i="113"/>
  <c r="T39" i="113"/>
  <c r="T11" i="113"/>
  <c r="T68" i="113"/>
  <c r="T72" i="113"/>
  <c r="T50" i="113"/>
  <c r="T55" i="113"/>
  <c r="T73" i="113"/>
  <c r="T38" i="113"/>
  <c r="T46" i="113"/>
  <c r="T56" i="114"/>
  <c r="T43" i="116"/>
  <c r="T61" i="117"/>
  <c r="T34" i="119"/>
  <c r="T64" i="114"/>
  <c r="T20" i="119"/>
  <c r="T19" i="116"/>
  <c r="T10" i="117"/>
  <c r="T8" i="114"/>
  <c r="T70" i="119"/>
  <c r="T9" i="116"/>
  <c r="T53" i="119"/>
  <c r="T29" i="114"/>
  <c r="T16" i="116"/>
  <c r="T56" i="117"/>
  <c r="T58" i="114"/>
  <c r="T60" i="116"/>
  <c r="T43" i="119"/>
  <c r="T34" i="116"/>
  <c r="T64" i="119"/>
  <c r="T44" i="114"/>
  <c r="T71" i="120"/>
  <c r="N19" i="113"/>
  <c r="P19" i="113"/>
  <c r="T10" i="118"/>
  <c r="T10" i="114"/>
  <c r="T32" i="115"/>
  <c r="T56" i="115"/>
  <c r="T30" i="115"/>
  <c r="T61" i="118"/>
  <c r="T67" i="120"/>
  <c r="T34" i="118"/>
  <c r="T23" i="120"/>
  <c r="N64" i="113"/>
  <c r="P64" i="113"/>
  <c r="T20" i="118"/>
  <c r="T44" i="120"/>
  <c r="N69" i="113"/>
  <c r="P69" i="113"/>
  <c r="T19" i="115"/>
  <c r="N15" i="114"/>
  <c r="P15" i="114"/>
  <c r="M15" i="118"/>
  <c r="N15" i="118"/>
  <c r="P15" i="118"/>
  <c r="M15" i="117"/>
  <c r="N15" i="117"/>
  <c r="P15" i="117"/>
  <c r="T26" i="120"/>
  <c r="N8" i="113"/>
  <c r="P8" i="113"/>
  <c r="T70" i="118"/>
  <c r="T9" i="115"/>
  <c r="T22" i="120"/>
  <c r="N28" i="113"/>
  <c r="P28" i="113"/>
  <c r="T53" i="118"/>
  <c r="T31" i="115"/>
  <c r="T32" i="120"/>
  <c r="N29" i="113"/>
  <c r="P29" i="113"/>
  <c r="T57" i="118"/>
  <c r="T16" i="115"/>
  <c r="T56" i="120"/>
  <c r="N58" i="113"/>
  <c r="P58" i="113"/>
  <c r="T51" i="118"/>
  <c r="T60" i="115"/>
  <c r="T30" i="120"/>
  <c r="N27" i="113"/>
  <c r="P27" i="113"/>
  <c r="T43" i="118"/>
  <c r="T61" i="115"/>
  <c r="T48" i="120"/>
  <c r="N67" i="113"/>
  <c r="P67" i="113"/>
  <c r="N34" i="113"/>
  <c r="P34" i="113"/>
  <c r="K6" i="31"/>
  <c r="I76" i="31"/>
  <c r="T42" i="118"/>
  <c r="T23" i="115"/>
  <c r="T64" i="120"/>
  <c r="N20" i="113"/>
  <c r="P20" i="113"/>
  <c r="T12" i="118"/>
  <c r="T44" i="115"/>
  <c r="T69" i="120"/>
  <c r="N71" i="113"/>
  <c r="P71" i="113"/>
  <c r="T19" i="118"/>
  <c r="T10" i="115"/>
  <c r="T26" i="115"/>
  <c r="T8" i="120"/>
  <c r="N70" i="113"/>
  <c r="P70" i="113"/>
  <c r="T9" i="118"/>
  <c r="T22" i="115"/>
  <c r="T28" i="120"/>
  <c r="N53" i="113"/>
  <c r="P53" i="113"/>
  <c r="T31" i="118"/>
  <c r="T29" i="120"/>
  <c r="N57" i="113"/>
  <c r="P57" i="113"/>
  <c r="T16" i="118"/>
  <c r="T58" i="120"/>
  <c r="N51" i="113"/>
  <c r="P51" i="113"/>
  <c r="T60" i="118"/>
  <c r="T27" i="120"/>
  <c r="N43" i="113"/>
  <c r="P43" i="113"/>
  <c r="T48" i="115"/>
  <c r="T42" i="115"/>
  <c r="T12" i="115"/>
  <c r="T71" i="118"/>
  <c r="T10" i="120"/>
  <c r="AP66" i="33"/>
  <c r="C63" i="100"/>
  <c r="AP36" i="33"/>
  <c r="C33" i="100"/>
  <c r="AP63" i="33"/>
  <c r="C60" i="100"/>
  <c r="AP49" i="33"/>
  <c r="C46" i="100"/>
  <c r="AP59" i="33"/>
  <c r="C56" i="100"/>
  <c r="AP18" i="33"/>
  <c r="C15" i="100"/>
  <c r="AP24" i="33"/>
  <c r="C21" i="100"/>
  <c r="AP54" i="33"/>
  <c r="C51" i="100"/>
  <c r="AP40" i="33"/>
  <c r="C37" i="100"/>
  <c r="AP45" i="33"/>
  <c r="C42" i="100"/>
  <c r="AP13" i="33"/>
  <c r="C10" i="100"/>
  <c r="AP35" i="33"/>
  <c r="C32" i="100"/>
  <c r="AP37" i="33"/>
  <c r="C34" i="100"/>
  <c r="AP74" i="33"/>
  <c r="C71" i="100"/>
  <c r="AP47" i="33"/>
  <c r="C44" i="100"/>
  <c r="AP21" i="33"/>
  <c r="C18" i="100"/>
  <c r="AP52" i="33"/>
  <c r="C49" i="100"/>
  <c r="AP17" i="33"/>
  <c r="C14" i="100"/>
  <c r="AP62" i="33"/>
  <c r="C59" i="100"/>
  <c r="AP75" i="33"/>
  <c r="C72" i="100"/>
  <c r="AP14" i="33"/>
  <c r="C11" i="100"/>
  <c r="AP33" i="33"/>
  <c r="C30" i="100"/>
  <c r="AP25" i="33"/>
  <c r="C22" i="100"/>
  <c r="AP65" i="33"/>
  <c r="C62" i="100"/>
  <c r="AP41" i="33"/>
  <c r="C38" i="100"/>
  <c r="AP39" i="33"/>
  <c r="C36" i="100"/>
  <c r="AP11" i="33"/>
  <c r="C8" i="100"/>
  <c r="AP68" i="33"/>
  <c r="C65" i="100"/>
  <c r="AP72" i="33"/>
  <c r="C69" i="100"/>
  <c r="AP50" i="33"/>
  <c r="C47" i="100"/>
  <c r="AP55" i="33"/>
  <c r="C52" i="100"/>
  <c r="AP73" i="33"/>
  <c r="C70" i="100"/>
  <c r="AP38" i="33"/>
  <c r="C35" i="100"/>
  <c r="AP46" i="33"/>
  <c r="C43" i="100"/>
  <c r="T26" i="118"/>
  <c r="T26" i="114"/>
  <c r="T8" i="119"/>
  <c r="T8" i="115"/>
  <c r="T70" i="120"/>
  <c r="T70" i="116"/>
  <c r="N9" i="113"/>
  <c r="P9" i="113"/>
  <c r="T9" i="117"/>
  <c r="T22" i="118"/>
  <c r="T22" i="114"/>
  <c r="T28" i="119"/>
  <c r="T28" i="115"/>
  <c r="T53" i="120"/>
  <c r="T53" i="116"/>
  <c r="N31" i="113"/>
  <c r="P31" i="113"/>
  <c r="T31" i="117"/>
  <c r="T32" i="118"/>
  <c r="T32" i="114"/>
  <c r="T29" i="119"/>
  <c r="T29" i="115"/>
  <c r="T57" i="120"/>
  <c r="T57" i="116"/>
  <c r="N16" i="113"/>
  <c r="P16" i="113"/>
  <c r="T16" i="117"/>
  <c r="T56" i="118"/>
  <c r="T58" i="119"/>
  <c r="T58" i="115"/>
  <c r="T51" i="120"/>
  <c r="T51" i="116"/>
  <c r="N60" i="113"/>
  <c r="P60" i="113"/>
  <c r="T60" i="117"/>
  <c r="T30" i="118"/>
  <c r="T30" i="114"/>
  <c r="T27" i="119"/>
  <c r="T27" i="115"/>
  <c r="T43" i="120"/>
  <c r="N61" i="113"/>
  <c r="P61" i="113"/>
  <c r="T48" i="118"/>
  <c r="T48" i="114"/>
  <c r="T67" i="119"/>
  <c r="T67" i="115"/>
  <c r="T34" i="115"/>
  <c r="T42" i="120"/>
  <c r="T42" i="116"/>
  <c r="N23" i="113"/>
  <c r="P23" i="113"/>
  <c r="T23" i="117"/>
  <c r="T64" i="118"/>
  <c r="T20" i="115"/>
  <c r="T12" i="120"/>
  <c r="T12" i="116"/>
  <c r="N44" i="113"/>
  <c r="P44" i="113"/>
  <c r="T44" i="117"/>
  <c r="T69" i="118"/>
  <c r="T69" i="114"/>
  <c r="T71" i="119"/>
  <c r="T71" i="115"/>
  <c r="T19" i="120"/>
  <c r="N10" i="113"/>
  <c r="P10" i="113"/>
  <c r="N26" i="113"/>
  <c r="P26" i="113"/>
  <c r="T26" i="117"/>
  <c r="T8" i="118"/>
  <c r="T70" i="115"/>
  <c r="T9" i="120"/>
  <c r="N22" i="113"/>
  <c r="P22" i="113"/>
  <c r="T22" i="117"/>
  <c r="T28" i="118"/>
  <c r="T28" i="114"/>
  <c r="T53" i="115"/>
  <c r="T31" i="120"/>
  <c r="T31" i="116"/>
  <c r="N32" i="113"/>
  <c r="P32" i="113"/>
  <c r="T32" i="117"/>
  <c r="T29" i="118"/>
  <c r="T57" i="119"/>
  <c r="T57" i="115"/>
  <c r="T16" i="120"/>
  <c r="N56" i="113"/>
  <c r="P56" i="113"/>
  <c r="T58" i="118"/>
  <c r="T51" i="119"/>
  <c r="T51" i="115"/>
  <c r="T60" i="120"/>
  <c r="N30" i="113"/>
  <c r="P30" i="113"/>
  <c r="T30" i="117"/>
  <c r="T27" i="118"/>
  <c r="T27" i="114"/>
  <c r="T43" i="115"/>
  <c r="T61" i="120"/>
  <c r="T61" i="116"/>
  <c r="N48" i="113"/>
  <c r="P48" i="113"/>
  <c r="T48" i="117"/>
  <c r="T67" i="118"/>
  <c r="T67" i="114"/>
  <c r="T34" i="120"/>
  <c r="N42" i="113"/>
  <c r="P42" i="113"/>
  <c r="T42" i="117"/>
  <c r="T23" i="118"/>
  <c r="T23" i="114"/>
  <c r="T64" i="115"/>
  <c r="T20" i="120"/>
  <c r="T20" i="116"/>
  <c r="N12" i="113"/>
  <c r="P12" i="113"/>
  <c r="T12" i="117"/>
  <c r="T44" i="118"/>
  <c r="T69" i="119"/>
  <c r="T69" i="115"/>
  <c r="T71" i="116"/>
  <c r="T19" i="117"/>
  <c r="T16" i="114"/>
  <c r="T58" i="116"/>
  <c r="T60" i="114"/>
  <c r="T27" i="116"/>
  <c r="T43" i="117"/>
  <c r="T48" i="119"/>
  <c r="T42" i="119"/>
  <c r="T64" i="117"/>
  <c r="T12" i="119"/>
  <c r="T71" i="114"/>
  <c r="T10" i="116"/>
  <c r="I7" i="119"/>
  <c r="I7" i="120"/>
  <c r="I7" i="116"/>
  <c r="I7" i="117"/>
  <c r="I7" i="118"/>
  <c r="K7" i="118"/>
  <c r="I76" i="118"/>
  <c r="I76" i="116"/>
  <c r="K7" i="116"/>
  <c r="T12" i="113"/>
  <c r="T42" i="113"/>
  <c r="T48" i="113"/>
  <c r="AP30" i="33"/>
  <c r="C27" i="100"/>
  <c r="AP56" i="33"/>
  <c r="C53" i="100"/>
  <c r="T32" i="113"/>
  <c r="AP22" i="33"/>
  <c r="C19" i="100"/>
  <c r="AP26" i="33"/>
  <c r="C23" i="100"/>
  <c r="T10" i="113"/>
  <c r="AP44" i="33"/>
  <c r="C41" i="100"/>
  <c r="AP23" i="33"/>
  <c r="C20" i="100"/>
  <c r="T61" i="113"/>
  <c r="T60" i="113"/>
  <c r="T16" i="113"/>
  <c r="T31" i="113"/>
  <c r="T9" i="113"/>
  <c r="AP43" i="33"/>
  <c r="C40" i="100"/>
  <c r="AP51" i="33"/>
  <c r="C48" i="100"/>
  <c r="AP57" i="33"/>
  <c r="C54" i="100"/>
  <c r="AP53" i="33"/>
  <c r="C50" i="100"/>
  <c r="AP70" i="33"/>
  <c r="C67" i="100"/>
  <c r="AP71" i="33"/>
  <c r="C68" i="100"/>
  <c r="AP20" i="33"/>
  <c r="C17" i="100"/>
  <c r="L6" i="31"/>
  <c r="L76" i="31"/>
  <c r="K76" i="31"/>
  <c r="AP34" i="33"/>
  <c r="C31" i="100"/>
  <c r="AP67" i="33"/>
  <c r="C64" i="100"/>
  <c r="AP27" i="33"/>
  <c r="C24" i="100"/>
  <c r="AP58" i="33"/>
  <c r="C55" i="100"/>
  <c r="AP29" i="33"/>
  <c r="C26" i="100"/>
  <c r="T28" i="113"/>
  <c r="N15" i="113"/>
  <c r="P15" i="113"/>
  <c r="T15" i="114"/>
  <c r="T69" i="113"/>
  <c r="T64" i="113"/>
  <c r="T19" i="113"/>
  <c r="T15" i="119"/>
  <c r="T15" i="116"/>
  <c r="K7" i="117"/>
  <c r="I76" i="117"/>
  <c r="K7" i="120"/>
  <c r="I76" i="120"/>
  <c r="K7" i="119"/>
  <c r="I76" i="119"/>
  <c r="AP12" i="33"/>
  <c r="C9" i="100"/>
  <c r="AP42" i="33"/>
  <c r="C39" i="100"/>
  <c r="AP48" i="33"/>
  <c r="C45" i="100"/>
  <c r="T30" i="113"/>
  <c r="T56" i="113"/>
  <c r="AP32" i="33"/>
  <c r="C29" i="100"/>
  <c r="T22" i="113"/>
  <c r="T26" i="113"/>
  <c r="AP10" i="33"/>
  <c r="C7" i="100"/>
  <c r="T44" i="113"/>
  <c r="T23" i="113"/>
  <c r="AP61" i="33"/>
  <c r="C58" i="100"/>
  <c r="AP60" i="33"/>
  <c r="C57" i="100"/>
  <c r="AP16" i="33"/>
  <c r="C13" i="100"/>
  <c r="AP31" i="33"/>
  <c r="C28" i="100"/>
  <c r="AP9" i="33"/>
  <c r="C6" i="100"/>
  <c r="T43" i="113"/>
  <c r="T51" i="113"/>
  <c r="T57" i="113"/>
  <c r="T53" i="113"/>
  <c r="T70" i="113"/>
  <c r="T71" i="113"/>
  <c r="T20" i="113"/>
  <c r="T34" i="113"/>
  <c r="T67" i="113"/>
  <c r="T27" i="113"/>
  <c r="T58" i="113"/>
  <c r="T29" i="113"/>
  <c r="AP28" i="33"/>
  <c r="C25" i="100"/>
  <c r="T8" i="113"/>
  <c r="T15" i="117"/>
  <c r="T15" i="118"/>
  <c r="AP69" i="33"/>
  <c r="C66" i="100"/>
  <c r="AP64" i="33"/>
  <c r="C61" i="100"/>
  <c r="AP19" i="33"/>
  <c r="C16" i="100"/>
  <c r="T15" i="115"/>
  <c r="T15" i="120"/>
  <c r="AP15" i="33"/>
  <c r="C12" i="100"/>
  <c r="I82" i="119"/>
  <c r="I82" i="120"/>
  <c r="K76" i="115"/>
  <c r="I82" i="117"/>
  <c r="AF76" i="33"/>
  <c r="I82" i="116"/>
  <c r="L7" i="118"/>
  <c r="K76" i="118"/>
  <c r="L7" i="119"/>
  <c r="K76" i="119"/>
  <c r="K76" i="120"/>
  <c r="L7" i="120"/>
  <c r="L76" i="33"/>
  <c r="N76" i="33"/>
  <c r="K76" i="33"/>
  <c r="K77" i="114"/>
  <c r="K76" i="117"/>
  <c r="L7" i="117"/>
  <c r="T15" i="113"/>
  <c r="K76" i="116"/>
  <c r="L7" i="116"/>
  <c r="I82" i="118"/>
  <c r="K82" i="116"/>
  <c r="K82" i="117"/>
  <c r="L77" i="114"/>
  <c r="K82" i="120"/>
  <c r="M7" i="119"/>
  <c r="M76" i="119"/>
  <c r="L76" i="119"/>
  <c r="L76" i="118"/>
  <c r="M7" i="118"/>
  <c r="M76" i="118"/>
  <c r="AP8" i="33"/>
  <c r="C5" i="100"/>
  <c r="N7" i="115"/>
  <c r="L76" i="115"/>
  <c r="K76" i="113"/>
  <c r="L76" i="116"/>
  <c r="M7" i="116"/>
  <c r="M76" i="116"/>
  <c r="L76" i="117"/>
  <c r="M7" i="117"/>
  <c r="M76" i="117"/>
  <c r="K83" i="114"/>
  <c r="AP7" i="33"/>
  <c r="AI76" i="33"/>
  <c r="L76" i="120"/>
  <c r="M7" i="120"/>
  <c r="M76" i="120"/>
  <c r="K82" i="119"/>
  <c r="K82" i="118"/>
  <c r="K82" i="115"/>
  <c r="N7" i="116"/>
  <c r="N7" i="114"/>
  <c r="N7" i="118"/>
  <c r="N7" i="120"/>
  <c r="L82" i="120"/>
  <c r="AP76" i="33"/>
  <c r="C4" i="100"/>
  <c r="L82" i="117"/>
  <c r="M82" i="116"/>
  <c r="M85" i="116"/>
  <c r="K82" i="113"/>
  <c r="L82" i="115"/>
  <c r="M82" i="118"/>
  <c r="M85" i="118"/>
  <c r="L82" i="118"/>
  <c r="N7" i="119"/>
  <c r="P7" i="114"/>
  <c r="N77" i="114"/>
  <c r="M82" i="120"/>
  <c r="M85" i="120"/>
  <c r="M82" i="117"/>
  <c r="M85" i="117"/>
  <c r="N7" i="117"/>
  <c r="N76" i="116"/>
  <c r="P7" i="116"/>
  <c r="L82" i="116"/>
  <c r="L76" i="113"/>
  <c r="P7" i="115"/>
  <c r="N76" i="115"/>
  <c r="N76" i="118"/>
  <c r="P7" i="118"/>
  <c r="L82" i="119"/>
  <c r="M82" i="119"/>
  <c r="M85" i="119"/>
  <c r="L83" i="114"/>
  <c r="N7" i="113"/>
  <c r="N76" i="113"/>
  <c r="P76" i="118"/>
  <c r="T7" i="118"/>
  <c r="N82" i="115"/>
  <c r="L82" i="113"/>
  <c r="N82" i="116"/>
  <c r="P77" i="114"/>
  <c r="T7" i="114"/>
  <c r="N82" i="118"/>
  <c r="T7" i="115"/>
  <c r="P76" i="115"/>
  <c r="P7" i="113"/>
  <c r="T7" i="116"/>
  <c r="P76" i="116"/>
  <c r="N76" i="117"/>
  <c r="P7" i="117"/>
  <c r="N83" i="114"/>
  <c r="P7" i="119"/>
  <c r="N76" i="119"/>
  <c r="C73" i="100"/>
  <c r="N76" i="120"/>
  <c r="P7" i="120"/>
  <c r="N82" i="120"/>
  <c r="T7" i="119"/>
  <c r="P76" i="119"/>
  <c r="N82" i="117"/>
  <c r="T76" i="116"/>
  <c r="P76" i="113"/>
  <c r="T7" i="113"/>
  <c r="P82" i="115"/>
  <c r="T76" i="115"/>
  <c r="T77" i="114"/>
  <c r="T7" i="120"/>
  <c r="P76" i="120"/>
  <c r="N82" i="119"/>
  <c r="P76" i="117"/>
  <c r="T7" i="117"/>
  <c r="P82" i="116"/>
  <c r="N82" i="113"/>
  <c r="P83" i="114"/>
  <c r="T76" i="118"/>
  <c r="P82" i="118"/>
  <c r="T82" i="118"/>
  <c r="P82" i="117"/>
  <c r="T76" i="120"/>
  <c r="T82" i="115"/>
  <c r="T76" i="113"/>
  <c r="P82" i="113"/>
  <c r="T82" i="116"/>
  <c r="T76" i="117"/>
  <c r="P82" i="120"/>
  <c r="T83" i="114"/>
  <c r="P82" i="119"/>
  <c r="T76" i="119"/>
  <c r="T82" i="119"/>
  <c r="T82" i="113"/>
  <c r="T82" i="120"/>
  <c r="T82" i="117"/>
  <c r="J7" i="137"/>
  <c r="I7" i="137"/>
  <c r="J8" i="137"/>
  <c r="I8" i="137"/>
  <c r="U29" i="146"/>
  <c r="U29" i="120"/>
  <c r="U29" i="117"/>
  <c r="U29" i="151"/>
  <c r="U29" i="119"/>
  <c r="U29" i="145"/>
  <c r="U29" i="147"/>
  <c r="V29" i="80"/>
  <c r="U29" i="153"/>
  <c r="U29" i="128"/>
  <c r="V29" i="76"/>
  <c r="U29" i="116"/>
  <c r="U29" i="127"/>
  <c r="U29" i="152"/>
  <c r="U29" i="118"/>
  <c r="U29" i="125"/>
  <c r="U29" i="148"/>
  <c r="U29" i="144"/>
  <c r="U29" i="126"/>
  <c r="U29" i="129"/>
  <c r="U29" i="131"/>
  <c r="U29" i="149"/>
  <c r="U31" i="144"/>
  <c r="U31" i="118"/>
  <c r="U31" i="125"/>
  <c r="U31" i="117"/>
  <c r="U31" i="116"/>
  <c r="U31" i="147"/>
  <c r="U31" i="126"/>
  <c r="U31" i="146"/>
  <c r="U31" i="127"/>
  <c r="U31" i="145"/>
  <c r="U31" i="149"/>
  <c r="U31" i="153"/>
  <c r="V31" i="76"/>
  <c r="U31" i="131"/>
  <c r="U31" i="148"/>
  <c r="V31" i="80"/>
  <c r="U31" i="129"/>
  <c r="U31" i="119"/>
  <c r="U31" i="151"/>
  <c r="U31" i="152"/>
  <c r="U31" i="120"/>
  <c r="U31" i="128"/>
  <c r="U22" i="146"/>
  <c r="U22" i="144"/>
  <c r="U22" i="117"/>
  <c r="U22" i="126"/>
  <c r="U22" i="116"/>
  <c r="V22" i="76"/>
  <c r="U22" i="127"/>
  <c r="U22" i="128"/>
  <c r="U22" i="149"/>
  <c r="U22" i="131"/>
  <c r="U22" i="120"/>
  <c r="U22" i="129"/>
  <c r="U22" i="118"/>
  <c r="U22" i="152"/>
  <c r="V22" i="80"/>
  <c r="U22" i="119"/>
  <c r="U22" i="153"/>
  <c r="U22" i="145"/>
  <c r="U22" i="148"/>
  <c r="U22" i="151"/>
  <c r="U22" i="125"/>
  <c r="U22" i="147"/>
  <c r="U64" i="153"/>
  <c r="U64" i="129"/>
  <c r="U64" i="145"/>
  <c r="U64" i="128"/>
  <c r="U64" i="146"/>
  <c r="U64" i="118"/>
  <c r="U64" i="127"/>
  <c r="U64" i="152"/>
  <c r="U64" i="117"/>
  <c r="U64" i="147"/>
  <c r="U64" i="149"/>
  <c r="U64" i="119"/>
  <c r="V64" i="76"/>
  <c r="U64" i="131"/>
  <c r="U64" i="120"/>
  <c r="U64" i="151"/>
  <c r="U64" i="126"/>
  <c r="U64" i="144"/>
  <c r="U64" i="125"/>
  <c r="U64" i="148"/>
  <c r="V64" i="80"/>
  <c r="U64" i="116"/>
  <c r="U30" i="147"/>
  <c r="U30" i="131"/>
  <c r="U30" i="144"/>
  <c r="U30" i="153"/>
  <c r="U30" i="116"/>
  <c r="U30" i="149"/>
  <c r="U30" i="146"/>
  <c r="U30" i="118"/>
  <c r="U30" i="119"/>
  <c r="U30" i="151"/>
  <c r="U30" i="127"/>
  <c r="V30" i="80"/>
  <c r="U30" i="152"/>
  <c r="U30" i="117"/>
  <c r="U30" i="126"/>
  <c r="U30" i="120"/>
  <c r="U30" i="145"/>
  <c r="V30" i="76"/>
  <c r="U30" i="129"/>
  <c r="U30" i="148"/>
  <c r="U30" i="128"/>
  <c r="U30" i="125"/>
  <c r="U50" i="153"/>
  <c r="U50" i="120"/>
  <c r="V50" i="76"/>
  <c r="U50" i="144"/>
  <c r="U50" i="126"/>
  <c r="U50" i="149"/>
  <c r="U50" i="119"/>
  <c r="U50" i="151"/>
  <c r="U50" i="117"/>
  <c r="U50" i="125"/>
  <c r="U50" i="118"/>
  <c r="U50" i="145"/>
  <c r="U50" i="152"/>
  <c r="U50" i="148"/>
  <c r="U50" i="146"/>
  <c r="U50" i="128"/>
  <c r="U50" i="147"/>
  <c r="V50" i="80"/>
  <c r="U50" i="127"/>
  <c r="U50" i="129"/>
  <c r="U50" i="116"/>
  <c r="U50" i="131"/>
  <c r="U70" i="147"/>
  <c r="U70" i="131"/>
  <c r="U70" i="152"/>
  <c r="U70" i="116"/>
  <c r="U70" i="146"/>
  <c r="U70" i="148"/>
  <c r="U70" i="118"/>
  <c r="U70" i="119"/>
  <c r="U70" i="153"/>
  <c r="U70" i="117"/>
  <c r="V70" i="80"/>
  <c r="V70" i="76"/>
  <c r="U70" i="129"/>
  <c r="U70" i="151"/>
  <c r="U70" i="128"/>
  <c r="U70" i="125"/>
  <c r="U70" i="149"/>
  <c r="U70" i="144"/>
  <c r="U70" i="120"/>
  <c r="U70" i="127"/>
  <c r="U70" i="126"/>
  <c r="U70" i="145"/>
  <c r="U56" i="149"/>
  <c r="U56" i="128"/>
  <c r="U56" i="152"/>
  <c r="U56" i="116"/>
  <c r="U56" i="148"/>
  <c r="U56" i="146"/>
  <c r="U56" i="119"/>
  <c r="U56" i="120"/>
  <c r="U56" i="153"/>
  <c r="U56" i="126"/>
  <c r="V56" i="76"/>
  <c r="U56" i="131"/>
  <c r="V56" i="80"/>
  <c r="U56" i="151"/>
  <c r="U56" i="127"/>
  <c r="U56" i="129"/>
  <c r="U56" i="147"/>
  <c r="U56" i="144"/>
  <c r="U56" i="117"/>
  <c r="U56" i="125"/>
  <c r="U56" i="118"/>
  <c r="U56" i="145"/>
  <c r="U9" i="148"/>
  <c r="U9" i="120"/>
  <c r="U9" i="151"/>
  <c r="U9" i="119"/>
  <c r="V9" i="76"/>
  <c r="U9" i="145"/>
  <c r="U9" i="118"/>
  <c r="U9" i="144"/>
  <c r="U9" i="147"/>
  <c r="U9" i="129"/>
  <c r="U9" i="146"/>
  <c r="U9" i="117"/>
  <c r="U9" i="116"/>
  <c r="U9" i="153"/>
  <c r="U9" i="131"/>
  <c r="U9" i="126"/>
  <c r="U9" i="149"/>
  <c r="U9" i="128"/>
  <c r="V9" i="80"/>
  <c r="U9" i="152"/>
  <c r="U9" i="125"/>
  <c r="U9" i="127"/>
  <c r="U45" i="153"/>
  <c r="U45" i="131"/>
  <c r="U45" i="119"/>
  <c r="U45" i="151"/>
  <c r="V45" i="80"/>
  <c r="U45" i="144"/>
  <c r="U45" i="127"/>
  <c r="U45" i="147"/>
  <c r="U45" i="126"/>
  <c r="U45" i="117"/>
  <c r="U45" i="146"/>
  <c r="U45" i="148"/>
  <c r="V45" i="76"/>
  <c r="U45" i="120"/>
  <c r="U45" i="149"/>
  <c r="U45" i="116"/>
  <c r="U45" i="125"/>
  <c r="U45" i="145"/>
  <c r="U45" i="129"/>
  <c r="U45" i="128"/>
  <c r="U45" i="152"/>
  <c r="U45" i="118"/>
  <c r="U53" i="146"/>
  <c r="U53" i="129"/>
  <c r="U53" i="152"/>
  <c r="U53" i="127"/>
  <c r="U53" i="149"/>
  <c r="U53" i="147"/>
  <c r="U53" i="128"/>
  <c r="U53" i="116"/>
  <c r="U53" i="153"/>
  <c r="V53" i="80"/>
  <c r="U53" i="118"/>
  <c r="U53" i="117"/>
  <c r="U53" i="119"/>
  <c r="U53" i="151"/>
  <c r="U53" i="125"/>
  <c r="U53" i="131"/>
  <c r="U53" i="148"/>
  <c r="U53" i="126"/>
  <c r="U53" i="120"/>
  <c r="U53" i="144"/>
  <c r="V53" i="76"/>
  <c r="U53" i="145"/>
  <c r="U19" i="151"/>
  <c r="V19" i="76"/>
  <c r="U19" i="117"/>
  <c r="U19" i="127"/>
  <c r="U19" i="153"/>
  <c r="U19" i="129"/>
  <c r="U19" i="144"/>
  <c r="U19" i="118"/>
  <c r="U19" i="149"/>
  <c r="U19" i="119"/>
  <c r="U19" i="126"/>
  <c r="U19" i="146"/>
  <c r="U19" i="145"/>
  <c r="U19" i="128"/>
  <c r="V19" i="80"/>
  <c r="U19" i="120"/>
  <c r="U19" i="152"/>
  <c r="U19" i="125"/>
  <c r="U19" i="147"/>
  <c r="U19" i="116"/>
  <c r="U19" i="131"/>
  <c r="U19" i="148"/>
  <c r="U41" i="148"/>
  <c r="U41" i="120"/>
  <c r="U41" i="144"/>
  <c r="U41" i="147"/>
  <c r="U41" i="119"/>
  <c r="U41" i="146"/>
  <c r="U41" i="117"/>
  <c r="U41" i="149"/>
  <c r="V41" i="76"/>
  <c r="U41" i="152"/>
  <c r="U41" i="131"/>
  <c r="U41" i="116"/>
  <c r="U41" i="127"/>
  <c r="U41" i="153"/>
  <c r="V41" i="80"/>
  <c r="U41" i="129"/>
  <c r="U41" i="125"/>
  <c r="U41" i="126"/>
  <c r="U41" i="145"/>
  <c r="U41" i="151"/>
  <c r="U41" i="118"/>
  <c r="U41" i="128"/>
  <c r="U13" i="151"/>
  <c r="U13" i="144"/>
  <c r="U13" i="149"/>
  <c r="U13" i="116"/>
  <c r="U13" i="126"/>
  <c r="U13" i="129"/>
  <c r="U13" i="128"/>
  <c r="U13" i="117"/>
  <c r="V13" i="76"/>
  <c r="U13" i="127"/>
  <c r="U13" i="125"/>
  <c r="V13" i="80"/>
  <c r="U13" i="119"/>
  <c r="U13" i="153"/>
  <c r="U13" i="118"/>
  <c r="U13" i="131"/>
  <c r="U13" i="146"/>
  <c r="U13" i="148"/>
  <c r="U13" i="120"/>
  <c r="U13" i="152"/>
  <c r="U13" i="147"/>
  <c r="U13" i="145"/>
  <c r="U74" i="147"/>
  <c r="U74" i="119"/>
  <c r="U74" i="146"/>
  <c r="U74" i="153"/>
  <c r="V74" i="80"/>
  <c r="U74" i="152"/>
  <c r="U74" i="116"/>
  <c r="U74" i="149"/>
  <c r="U74" i="131"/>
  <c r="U74" i="144"/>
  <c r="U74" i="120"/>
  <c r="U74" i="118"/>
  <c r="U74" i="129"/>
  <c r="V74" i="76"/>
  <c r="U74" i="145"/>
  <c r="U74" i="125"/>
  <c r="U74" i="128"/>
  <c r="U74" i="117"/>
  <c r="U74" i="127"/>
  <c r="U74" i="148"/>
  <c r="U74" i="126"/>
  <c r="U74" i="151"/>
  <c r="U49" i="151"/>
  <c r="V49" i="80"/>
  <c r="U49" i="131"/>
  <c r="U49" i="153"/>
  <c r="U49" i="120"/>
  <c r="U49" i="125"/>
  <c r="U49" i="128"/>
  <c r="U49" i="145"/>
  <c r="U49" i="129"/>
  <c r="U49" i="144"/>
  <c r="U49" i="149"/>
  <c r="U49" i="148"/>
  <c r="U49" i="119"/>
  <c r="U49" i="127"/>
  <c r="U49" i="118"/>
  <c r="U49" i="152"/>
  <c r="V49" i="76"/>
  <c r="U49" i="146"/>
  <c r="U49" i="126"/>
  <c r="U49" i="117"/>
  <c r="U49" i="147"/>
  <c r="U49" i="116"/>
  <c r="U16" i="148"/>
  <c r="V16" i="76"/>
  <c r="U16" i="144"/>
  <c r="U16" i="151"/>
  <c r="U16" i="117"/>
  <c r="U16" i="149"/>
  <c r="U16" i="128"/>
  <c r="U16" i="145"/>
  <c r="U16" i="131"/>
  <c r="U16" i="147"/>
  <c r="U16" i="120"/>
  <c r="U16" i="116"/>
  <c r="U16" i="125"/>
  <c r="U16" i="152"/>
  <c r="U16" i="129"/>
  <c r="V16" i="80"/>
  <c r="U16" i="119"/>
  <c r="U16" i="118"/>
  <c r="U16" i="146"/>
  <c r="U16" i="153"/>
  <c r="U16" i="126"/>
  <c r="U16" i="127"/>
  <c r="U60" i="151"/>
  <c r="U60" i="125"/>
  <c r="U60" i="119"/>
  <c r="U60" i="118"/>
  <c r="U60" i="153"/>
  <c r="U60" i="120"/>
  <c r="U60" i="144"/>
  <c r="U60" i="126"/>
  <c r="U60" i="145"/>
  <c r="U60" i="127"/>
  <c r="U60" i="116"/>
  <c r="U60" i="146"/>
  <c r="U60" i="149"/>
  <c r="U60" i="128"/>
  <c r="U60" i="131"/>
  <c r="U60" i="117"/>
  <c r="U60" i="152"/>
  <c r="V60" i="76"/>
  <c r="U60" i="148"/>
  <c r="V60" i="80"/>
  <c r="U60" i="129"/>
  <c r="U60" i="147"/>
  <c r="U68" i="145"/>
  <c r="U68" i="127"/>
  <c r="U68" i="144"/>
  <c r="U68" i="149"/>
  <c r="U68" i="131"/>
  <c r="U68" i="148"/>
  <c r="U68" i="117"/>
  <c r="U68" i="147"/>
  <c r="U68" i="128"/>
  <c r="U68" i="151"/>
  <c r="U68" i="125"/>
  <c r="U68" i="119"/>
  <c r="V68" i="80"/>
  <c r="U68" i="153"/>
  <c r="U68" i="129"/>
  <c r="V68" i="76"/>
  <c r="U68" i="152"/>
  <c r="U68" i="126"/>
  <c r="U68" i="120"/>
  <c r="U68" i="116"/>
  <c r="U68" i="118"/>
  <c r="U68" i="146"/>
  <c r="U18" i="147"/>
  <c r="U18" i="125"/>
  <c r="V18" i="76"/>
  <c r="V18" i="80"/>
  <c r="U18" i="148"/>
  <c r="U18" i="117"/>
  <c r="U18" i="146"/>
  <c r="U18" i="116"/>
  <c r="U18" i="126"/>
  <c r="U18" i="153"/>
  <c r="U18" i="129"/>
  <c r="U18" i="144"/>
  <c r="U18" i="149"/>
  <c r="U18" i="152"/>
  <c r="U18" i="128"/>
  <c r="U18" i="119"/>
  <c r="U18" i="151"/>
  <c r="U18" i="120"/>
  <c r="U18" i="145"/>
  <c r="U18" i="131"/>
  <c r="U18" i="127"/>
  <c r="U18" i="118"/>
  <c r="U21" i="146"/>
  <c r="U21" i="129"/>
  <c r="U21" i="125"/>
  <c r="U21" i="152"/>
  <c r="U21" i="119"/>
  <c r="U21" i="149"/>
  <c r="U21" i="147"/>
  <c r="U21" i="128"/>
  <c r="V21" i="76"/>
  <c r="U21" i="153"/>
  <c r="V21" i="80"/>
  <c r="U21" i="116"/>
  <c r="U21" i="151"/>
  <c r="U21" i="118"/>
  <c r="U21" i="117"/>
  <c r="U21" i="144"/>
  <c r="U21" i="126"/>
  <c r="U21" i="145"/>
  <c r="U21" i="148"/>
  <c r="U21" i="127"/>
  <c r="U21" i="120"/>
  <c r="U21" i="131"/>
  <c r="U66" i="153"/>
  <c r="U66" i="120"/>
  <c r="V66" i="76"/>
  <c r="U66" i="119"/>
  <c r="U66" i="151"/>
  <c r="U66" i="117"/>
  <c r="U66" i="144"/>
  <c r="U66" i="126"/>
  <c r="U66" i="148"/>
  <c r="U66" i="125"/>
  <c r="U66" i="118"/>
  <c r="V66" i="80"/>
  <c r="U66" i="127"/>
  <c r="U66" i="116"/>
  <c r="U66" i="152"/>
  <c r="U66" i="147"/>
  <c r="U66" i="131"/>
  <c r="U66" i="145"/>
  <c r="U66" i="146"/>
  <c r="U66" i="128"/>
  <c r="U66" i="129"/>
  <c r="U66" i="149"/>
  <c r="U34" i="144"/>
  <c r="U34" i="129"/>
  <c r="U34" i="146"/>
  <c r="U34" i="151"/>
  <c r="U34" i="131"/>
  <c r="V34" i="80"/>
  <c r="U34" i="145"/>
  <c r="U34" i="127"/>
  <c r="U34" i="152"/>
  <c r="U34" i="116"/>
  <c r="U34" i="128"/>
  <c r="U34" i="149"/>
  <c r="U34" i="126"/>
  <c r="U34" i="125"/>
  <c r="U34" i="148"/>
  <c r="V34" i="76"/>
  <c r="U34" i="119"/>
  <c r="U34" i="117"/>
  <c r="U34" i="147"/>
  <c r="U34" i="118"/>
  <c r="U34" i="120"/>
  <c r="U34" i="153"/>
  <c r="U62" i="126"/>
  <c r="U62" i="151"/>
  <c r="U62" i="120"/>
  <c r="U62" i="128"/>
  <c r="U62" i="147"/>
  <c r="U62" i="116"/>
  <c r="V62" i="80"/>
  <c r="V62" i="76"/>
  <c r="U62" i="129"/>
  <c r="U62" i="117"/>
  <c r="U62" i="118"/>
  <c r="U62" i="153"/>
  <c r="U62" i="131"/>
  <c r="U62" i="145"/>
  <c r="U62" i="149"/>
  <c r="U62" i="146"/>
  <c r="U62" i="148"/>
  <c r="U62" i="119"/>
  <c r="U62" i="127"/>
  <c r="U62" i="152"/>
  <c r="U62" i="125"/>
  <c r="U62" i="144"/>
  <c r="U24" i="147"/>
  <c r="U24" i="146"/>
  <c r="U24" i="152"/>
  <c r="U24" i="125"/>
  <c r="U24" i="128"/>
  <c r="U24" i="116"/>
  <c r="U24" i="149"/>
  <c r="U24" i="119"/>
  <c r="U24" i="153"/>
  <c r="U24" i="131"/>
  <c r="U24" i="148"/>
  <c r="U24" i="117"/>
  <c r="V24" i="80"/>
  <c r="U24" i="129"/>
  <c r="U24" i="126"/>
  <c r="U24" i="118"/>
  <c r="U24" i="120"/>
  <c r="U24" i="145"/>
  <c r="U24" i="151"/>
  <c r="U24" i="144"/>
  <c r="U24" i="127"/>
  <c r="V24" i="76"/>
  <c r="U39" i="144"/>
  <c r="U39" i="125"/>
  <c r="U39" i="117"/>
  <c r="U39" i="127"/>
  <c r="U39" i="120"/>
  <c r="U39" i="116"/>
  <c r="U39" i="147"/>
  <c r="V39" i="76"/>
  <c r="U39" i="146"/>
  <c r="U39" i="128"/>
  <c r="U39" i="145"/>
  <c r="U39" i="149"/>
  <c r="U39" i="153"/>
  <c r="V39" i="80"/>
  <c r="U39" i="119"/>
  <c r="U39" i="148"/>
  <c r="U39" i="129"/>
  <c r="U39" i="126"/>
  <c r="U39" i="151"/>
  <c r="U39" i="152"/>
  <c r="U39" i="118"/>
  <c r="U39" i="131"/>
  <c r="U73" i="118"/>
  <c r="U73" i="153"/>
  <c r="U73" i="126"/>
  <c r="V73" i="76"/>
  <c r="U73" i="146"/>
  <c r="U73" i="120"/>
  <c r="U73" i="125"/>
  <c r="U73" i="152"/>
  <c r="U73" i="119"/>
  <c r="U73" i="145"/>
  <c r="U73" i="128"/>
  <c r="U73" i="151"/>
  <c r="V73" i="80"/>
  <c r="U73" i="117"/>
  <c r="U73" i="149"/>
  <c r="U73" i="144"/>
  <c r="U73" i="131"/>
  <c r="U73" i="127"/>
  <c r="U73" i="148"/>
  <c r="U73" i="116"/>
  <c r="U73" i="129"/>
  <c r="U73" i="147"/>
  <c r="U32" i="153"/>
  <c r="U32" i="117"/>
  <c r="U32" i="149"/>
  <c r="U32" i="152"/>
  <c r="U32" i="116"/>
  <c r="V32" i="76"/>
  <c r="U32" i="145"/>
  <c r="U32" i="128"/>
  <c r="U32" i="146"/>
  <c r="U32" i="118"/>
  <c r="U32" i="127"/>
  <c r="U32" i="147"/>
  <c r="U32" i="119"/>
  <c r="U32" i="129"/>
  <c r="U32" i="148"/>
  <c r="U32" i="144"/>
  <c r="U32" i="125"/>
  <c r="V32" i="80"/>
  <c r="U32" i="151"/>
  <c r="U32" i="131"/>
  <c r="U32" i="120"/>
  <c r="U32" i="126"/>
  <c r="U59" i="144"/>
  <c r="U59" i="118"/>
  <c r="U59" i="126"/>
  <c r="U59" i="146"/>
  <c r="V59" i="76"/>
  <c r="U59" i="131"/>
  <c r="U59" i="152"/>
  <c r="U59" i="128"/>
  <c r="U59" i="117"/>
  <c r="U59" i="119"/>
  <c r="U59" i="147"/>
  <c r="U59" i="125"/>
  <c r="U59" i="116"/>
  <c r="U59" i="145"/>
  <c r="U59" i="149"/>
  <c r="U59" i="129"/>
  <c r="U59" i="120"/>
  <c r="U59" i="153"/>
  <c r="V59" i="80"/>
  <c r="U59" i="127"/>
  <c r="U59" i="148"/>
  <c r="U59" i="151"/>
  <c r="U67" i="149"/>
  <c r="U67" i="128"/>
  <c r="U67" i="151"/>
  <c r="U67" i="120"/>
  <c r="U67" i="131"/>
  <c r="U67" i="152"/>
  <c r="U67" i="126"/>
  <c r="U67" i="146"/>
  <c r="U67" i="125"/>
  <c r="U67" i="148"/>
  <c r="U67" i="119"/>
  <c r="U67" i="145"/>
  <c r="U67" i="147"/>
  <c r="V67" i="76"/>
  <c r="U67" i="144"/>
  <c r="U67" i="117"/>
  <c r="U67" i="127"/>
  <c r="U67" i="118"/>
  <c r="U67" i="153"/>
  <c r="V67" i="80"/>
  <c r="U67" i="116"/>
  <c r="U67" i="129"/>
  <c r="U36" i="118"/>
  <c r="U36" i="153"/>
  <c r="U36" i="120"/>
  <c r="U36" i="129"/>
  <c r="U36" i="145"/>
  <c r="V36" i="76"/>
  <c r="V36" i="80"/>
  <c r="U36" i="151"/>
  <c r="U36" i="116"/>
  <c r="U36" i="126"/>
  <c r="U36" i="149"/>
  <c r="U36" i="128"/>
  <c r="U36" i="125"/>
  <c r="U36" i="148"/>
  <c r="U36" i="144"/>
  <c r="U36" i="131"/>
  <c r="U36" i="117"/>
  <c r="U36" i="152"/>
  <c r="U36" i="119"/>
  <c r="U36" i="127"/>
  <c r="U36" i="147"/>
  <c r="U36" i="146"/>
  <c r="U28" i="152"/>
  <c r="U28" i="131"/>
  <c r="U28" i="146"/>
  <c r="U28" i="117"/>
  <c r="V28" i="80"/>
  <c r="U28" i="153"/>
  <c r="U28" i="129"/>
  <c r="U28" i="147"/>
  <c r="V28" i="76"/>
  <c r="U28" i="149"/>
  <c r="U28" i="128"/>
  <c r="U28" i="145"/>
  <c r="U28" i="144"/>
  <c r="U28" i="125"/>
  <c r="U28" i="151"/>
  <c r="U28" i="116"/>
  <c r="U28" i="126"/>
  <c r="U28" i="127"/>
  <c r="U28" i="148"/>
  <c r="U28" i="119"/>
  <c r="U28" i="118"/>
  <c r="U28" i="120"/>
  <c r="U26" i="126"/>
  <c r="U26" i="151"/>
  <c r="U26" i="120"/>
  <c r="U26" i="128"/>
  <c r="U26" i="147"/>
  <c r="U26" i="125"/>
  <c r="V26" i="76"/>
  <c r="U26" i="153"/>
  <c r="U26" i="129"/>
  <c r="U26" i="144"/>
  <c r="U26" i="119"/>
  <c r="U26" i="148"/>
  <c r="U26" i="127"/>
  <c r="U26" i="152"/>
  <c r="U26" i="146"/>
  <c r="U26" i="145"/>
  <c r="V26" i="80"/>
  <c r="U26" i="117"/>
  <c r="U26" i="149"/>
  <c r="U26" i="118"/>
  <c r="U26" i="131"/>
  <c r="U26" i="116"/>
  <c r="U10" i="152"/>
  <c r="U10" i="120"/>
  <c r="V10" i="76"/>
  <c r="U10" i="119"/>
  <c r="U10" i="148"/>
  <c r="U10" i="117"/>
  <c r="U10" i="118"/>
  <c r="U10" i="126"/>
  <c r="U10" i="147"/>
  <c r="U10" i="125"/>
  <c r="U10" i="144"/>
  <c r="V10" i="80"/>
  <c r="U10" i="127"/>
  <c r="U10" i="116"/>
  <c r="U10" i="153"/>
  <c r="U10" i="145"/>
  <c r="U10" i="131"/>
  <c r="U10" i="149"/>
  <c r="U10" i="128"/>
  <c r="U10" i="146"/>
  <c r="U10" i="129"/>
  <c r="U10" i="151"/>
  <c r="AF15" i="46"/>
  <c r="U65" i="145"/>
  <c r="U65" i="129"/>
  <c r="U65" i="144"/>
  <c r="U65" i="149"/>
  <c r="U65" i="127"/>
  <c r="U65" i="146"/>
  <c r="U65" i="118"/>
  <c r="U65" i="147"/>
  <c r="U65" i="151"/>
  <c r="V65" i="80"/>
  <c r="U65" i="119"/>
  <c r="U65" i="125"/>
  <c r="U65" i="152"/>
  <c r="U65" i="126"/>
  <c r="U65" i="116"/>
  <c r="U65" i="128"/>
  <c r="U65" i="131"/>
  <c r="U65" i="153"/>
  <c r="U65" i="120"/>
  <c r="V65" i="76"/>
  <c r="U65" i="148"/>
  <c r="U65" i="117"/>
  <c r="U17" i="153"/>
  <c r="V17" i="80"/>
  <c r="U17" i="128"/>
  <c r="U17" i="127"/>
  <c r="U17" i="151"/>
  <c r="U17" i="118"/>
  <c r="U17" i="144"/>
  <c r="U17" i="149"/>
  <c r="U17" i="129"/>
  <c r="U17" i="125"/>
  <c r="U17" i="131"/>
  <c r="U17" i="145"/>
  <c r="U17" i="120"/>
  <c r="U17" i="146"/>
  <c r="U17" i="117"/>
  <c r="U17" i="126"/>
  <c r="U17" i="152"/>
  <c r="U17" i="116"/>
  <c r="U17" i="148"/>
  <c r="V17" i="76"/>
  <c r="U17" i="147"/>
  <c r="U17" i="119"/>
  <c r="U61" i="146"/>
  <c r="U61" i="129"/>
  <c r="U61" i="116"/>
  <c r="U61" i="152"/>
  <c r="U61" i="120"/>
  <c r="U61" i="145"/>
  <c r="U61" i="147"/>
  <c r="V61" i="80"/>
  <c r="V61" i="76"/>
  <c r="U61" i="153"/>
  <c r="U61" i="128"/>
  <c r="U61" i="117"/>
  <c r="U61" i="148"/>
  <c r="U61" i="125"/>
  <c r="U61" i="144"/>
  <c r="U61" i="127"/>
  <c r="U61" i="119"/>
  <c r="U61" i="151"/>
  <c r="U61" i="131"/>
  <c r="U61" i="118"/>
  <c r="U61" i="149"/>
  <c r="U61" i="126"/>
  <c r="U27" i="144"/>
  <c r="U27" i="151"/>
  <c r="V27" i="80"/>
  <c r="U27" i="149"/>
  <c r="U27" i="127"/>
  <c r="U27" i="153"/>
  <c r="U27" i="120"/>
  <c r="U27" i="129"/>
  <c r="U27" i="119"/>
  <c r="U27" i="146"/>
  <c r="U27" i="125"/>
  <c r="U27" i="145"/>
  <c r="U27" i="128"/>
  <c r="U27" i="147"/>
  <c r="U27" i="118"/>
  <c r="V27" i="76"/>
  <c r="U27" i="126"/>
  <c r="U27" i="116"/>
  <c r="U27" i="152"/>
  <c r="U27" i="117"/>
  <c r="U27" i="148"/>
  <c r="U27" i="131"/>
  <c r="U69" i="152"/>
  <c r="U69" i="126"/>
  <c r="U69" i="151"/>
  <c r="U69" i="128"/>
  <c r="U69" i="119"/>
  <c r="U69" i="147"/>
  <c r="U69" i="146"/>
  <c r="U69" i="131"/>
  <c r="U69" i="153"/>
  <c r="U69" i="120"/>
  <c r="U69" i="125"/>
  <c r="U69" i="148"/>
  <c r="U69" i="118"/>
  <c r="V69" i="76"/>
  <c r="U69" i="144"/>
  <c r="U69" i="127"/>
  <c r="U69" i="116"/>
  <c r="U69" i="149"/>
  <c r="U69" i="129"/>
  <c r="U69" i="117"/>
  <c r="U69" i="145"/>
  <c r="V69" i="80"/>
  <c r="U54" i="151"/>
  <c r="U54" i="127"/>
  <c r="V54" i="76"/>
  <c r="U54" i="117"/>
  <c r="U54" i="153"/>
  <c r="U54" i="125"/>
  <c r="U54" i="126"/>
  <c r="U54" i="145"/>
  <c r="U54" i="131"/>
  <c r="U54" i="144"/>
  <c r="U54" i="119"/>
  <c r="U54" i="146"/>
  <c r="U54" i="129"/>
  <c r="U54" i="149"/>
  <c r="U54" i="128"/>
  <c r="U54" i="148"/>
  <c r="U54" i="116"/>
  <c r="U54" i="147"/>
  <c r="U54" i="120"/>
  <c r="V54" i="80"/>
  <c r="U54" i="152"/>
  <c r="U54" i="118"/>
  <c r="U55" i="145"/>
  <c r="V55" i="80"/>
  <c r="U55" i="149"/>
  <c r="U55" i="148"/>
  <c r="U55" i="118"/>
  <c r="U55" i="151"/>
  <c r="U55" i="116"/>
  <c r="U55" i="147"/>
  <c r="U55" i="120"/>
  <c r="U55" i="153"/>
  <c r="V55" i="76"/>
  <c r="U55" i="126"/>
  <c r="U55" i="119"/>
  <c r="U55" i="152"/>
  <c r="U55" i="125"/>
  <c r="U55" i="117"/>
  <c r="U55" i="128"/>
  <c r="U55" i="129"/>
  <c r="U55" i="144"/>
  <c r="U55" i="127"/>
  <c r="U55" i="131"/>
  <c r="U55" i="146"/>
  <c r="U46" i="153"/>
  <c r="U46" i="125"/>
  <c r="V46" i="80"/>
  <c r="U46" i="126"/>
  <c r="U46" i="151"/>
  <c r="U46" i="127"/>
  <c r="U46" i="144"/>
  <c r="U46" i="117"/>
  <c r="U46" i="147"/>
  <c r="U46" i="129"/>
  <c r="U46" i="128"/>
  <c r="U46" i="145"/>
  <c r="U46" i="131"/>
  <c r="U46" i="148"/>
  <c r="U46" i="120"/>
  <c r="U46" i="119"/>
  <c r="U46" i="152"/>
  <c r="U46" i="116"/>
  <c r="U46" i="146"/>
  <c r="V46" i="76"/>
  <c r="U46" i="149"/>
  <c r="U46" i="118"/>
  <c r="U33" i="147"/>
  <c r="U33" i="127"/>
  <c r="U33" i="146"/>
  <c r="U33" i="118"/>
  <c r="U33" i="119"/>
  <c r="U33" i="151"/>
  <c r="U33" i="126"/>
  <c r="V33" i="76"/>
  <c r="U33" i="145"/>
  <c r="U33" i="117"/>
  <c r="U33" i="149"/>
  <c r="U33" i="125"/>
  <c r="U33" i="128"/>
  <c r="U33" i="129"/>
  <c r="U33" i="152"/>
  <c r="U33" i="116"/>
  <c r="U33" i="131"/>
  <c r="U33" i="120"/>
  <c r="U33" i="148"/>
  <c r="U33" i="144"/>
  <c r="V33" i="80"/>
  <c r="U33" i="153"/>
  <c r="U72" i="149"/>
  <c r="U72" i="116"/>
  <c r="U72" i="144"/>
  <c r="U72" i="125"/>
  <c r="U72" i="120"/>
  <c r="U72" i="151"/>
  <c r="U72" i="126"/>
  <c r="V72" i="76"/>
  <c r="U72" i="148"/>
  <c r="U72" i="128"/>
  <c r="U72" i="146"/>
  <c r="U72" i="117"/>
  <c r="U72" i="119"/>
  <c r="U72" i="118"/>
  <c r="U72" i="153"/>
  <c r="U72" i="131"/>
  <c r="V72" i="80"/>
  <c r="U72" i="152"/>
  <c r="U72" i="145"/>
  <c r="U72" i="147"/>
  <c r="U72" i="127"/>
  <c r="U72" i="129"/>
  <c r="U15" i="127"/>
  <c r="U15" i="145"/>
  <c r="U15" i="129"/>
  <c r="U15" i="146"/>
  <c r="U15" i="116"/>
  <c r="U15" i="125"/>
  <c r="U15" i="152"/>
  <c r="U15" i="131"/>
  <c r="U15" i="148"/>
  <c r="U15" i="147"/>
  <c r="V15" i="76"/>
  <c r="U15" i="126"/>
  <c r="U15" i="151"/>
  <c r="U15" i="117"/>
  <c r="U15" i="120"/>
  <c r="U15" i="128"/>
  <c r="U15" i="153"/>
  <c r="V15" i="80"/>
  <c r="U15" i="119"/>
  <c r="U15" i="118"/>
  <c r="U15" i="149"/>
  <c r="U15" i="144"/>
  <c r="U25" i="125"/>
  <c r="U25" i="145"/>
  <c r="U25" i="120"/>
  <c r="U25" i="144"/>
  <c r="U25" i="148"/>
  <c r="U25" i="116"/>
  <c r="U25" i="118"/>
  <c r="U25" i="149"/>
  <c r="V25" i="76"/>
  <c r="U25" i="151"/>
  <c r="U25" i="131"/>
  <c r="U25" i="146"/>
  <c r="U25" i="127"/>
  <c r="U25" i="117"/>
  <c r="U25" i="153"/>
  <c r="V25" i="80"/>
  <c r="U25" i="129"/>
  <c r="U25" i="152"/>
  <c r="U25" i="119"/>
  <c r="U25" i="147"/>
  <c r="U25" i="126"/>
  <c r="U25" i="128"/>
  <c r="U37" i="117"/>
  <c r="U37" i="145"/>
  <c r="U37" i="118"/>
  <c r="U37" i="147"/>
  <c r="U37" i="148"/>
  <c r="U37" i="129"/>
  <c r="U37" i="151"/>
  <c r="U37" i="119"/>
  <c r="U37" i="116"/>
  <c r="U37" i="152"/>
  <c r="U37" i="120"/>
  <c r="U37" i="125"/>
  <c r="U37" i="144"/>
  <c r="V37" i="80"/>
  <c r="U37" i="131"/>
  <c r="U37" i="153"/>
  <c r="U37" i="127"/>
  <c r="U37" i="126"/>
  <c r="U37" i="128"/>
  <c r="U37" i="149"/>
  <c r="U37" i="146"/>
  <c r="V37" i="76"/>
  <c r="AF12" i="46"/>
  <c r="AF17" i="46"/>
  <c r="AM11" i="46"/>
  <c r="AN11" i="46"/>
  <c r="AP11" i="46"/>
  <c r="AK43" i="72"/>
  <c r="G43" i="100"/>
  <c r="X46" i="149"/>
  <c r="Z46" i="149"/>
  <c r="V46" i="149"/>
  <c r="Z46" i="116"/>
  <c r="V46" i="116"/>
  <c r="X46" i="116"/>
  <c r="AA46" i="116"/>
  <c r="AB46" i="116"/>
  <c r="Z46" i="119"/>
  <c r="V46" i="119"/>
  <c r="X46" i="119"/>
  <c r="AA46" i="119"/>
  <c r="V46" i="148"/>
  <c r="X46" i="148"/>
  <c r="Z46" i="148"/>
  <c r="Z46" i="145"/>
  <c r="X46" i="145"/>
  <c r="AA46" i="145"/>
  <c r="V46" i="145"/>
  <c r="V46" i="147"/>
  <c r="Z46" i="147"/>
  <c r="X46" i="147"/>
  <c r="V46" i="127"/>
  <c r="Z46" i="127"/>
  <c r="X46" i="127"/>
  <c r="AA46" i="127"/>
  <c r="AB46" i="127"/>
  <c r="Z46" i="126"/>
  <c r="V46" i="126"/>
  <c r="X46" i="126"/>
  <c r="W46" i="80"/>
  <c r="AA46" i="80"/>
  <c r="Y46" i="80"/>
  <c r="AB46" i="80"/>
  <c r="AC46" i="80"/>
  <c r="Z46" i="153"/>
  <c r="X46" i="153"/>
  <c r="AA46" i="153"/>
  <c r="V46" i="153"/>
  <c r="AB46" i="153"/>
  <c r="Z55" i="131"/>
  <c r="V55" i="131"/>
  <c r="X55" i="131"/>
  <c r="Z55" i="144"/>
  <c r="X55" i="144"/>
  <c r="V55" i="144"/>
  <c r="V55" i="125"/>
  <c r="Z55" i="125"/>
  <c r="X55" i="125"/>
  <c r="AA55" i="125"/>
  <c r="AB55" i="125"/>
  <c r="Z55" i="119"/>
  <c r="V55" i="119"/>
  <c r="X55" i="119"/>
  <c r="AA55" i="76"/>
  <c r="W55" i="76"/>
  <c r="Y55" i="76"/>
  <c r="AB55" i="76"/>
  <c r="AC55" i="76"/>
  <c r="V55" i="120"/>
  <c r="Z55" i="120"/>
  <c r="X55" i="120"/>
  <c r="Z55" i="147"/>
  <c r="X55" i="147"/>
  <c r="V55" i="147"/>
  <c r="X55" i="151"/>
  <c r="Z55" i="151"/>
  <c r="V55" i="151"/>
  <c r="Z55" i="148"/>
  <c r="X55" i="148"/>
  <c r="V55" i="148"/>
  <c r="W55" i="80"/>
  <c r="AA55" i="80"/>
  <c r="Y55" i="80"/>
  <c r="AK51" i="72"/>
  <c r="G51" i="100"/>
  <c r="V54" i="152"/>
  <c r="Z54" i="152"/>
  <c r="X54" i="152"/>
  <c r="V54" i="120"/>
  <c r="Z54" i="120"/>
  <c r="X54" i="120"/>
  <c r="AA54" i="120"/>
  <c r="AB54" i="120"/>
  <c r="V54" i="116"/>
  <c r="Z54" i="116"/>
  <c r="X54" i="116"/>
  <c r="Z54" i="128"/>
  <c r="V54" i="128"/>
  <c r="X54" i="128"/>
  <c r="X54" i="149"/>
  <c r="V54" i="149"/>
  <c r="Z54" i="149"/>
  <c r="X54" i="146"/>
  <c r="Z54" i="146"/>
  <c r="V54" i="146"/>
  <c r="Z54" i="144"/>
  <c r="V54" i="144"/>
  <c r="X54" i="144"/>
  <c r="X54" i="145"/>
  <c r="V54" i="145"/>
  <c r="Z54" i="145"/>
  <c r="V54" i="125"/>
  <c r="Z54" i="125"/>
  <c r="X54" i="125"/>
  <c r="AA54" i="125"/>
  <c r="AB54" i="125"/>
  <c r="Z54" i="117"/>
  <c r="V54" i="117"/>
  <c r="X54" i="117"/>
  <c r="W54" i="76"/>
  <c r="AA54" i="76"/>
  <c r="Y54" i="76"/>
  <c r="Z54" i="151"/>
  <c r="X54" i="151"/>
  <c r="AA54" i="151"/>
  <c r="V54" i="151"/>
  <c r="G66" i="100"/>
  <c r="AK66" i="72"/>
  <c r="AD69" i="113"/>
  <c r="AF69" i="113"/>
  <c r="V69" i="145"/>
  <c r="Z69" i="145"/>
  <c r="X69" i="145"/>
  <c r="V69" i="129"/>
  <c r="Z69" i="129"/>
  <c r="X69" i="129"/>
  <c r="V69" i="116"/>
  <c r="Z69" i="116"/>
  <c r="X69" i="116"/>
  <c r="V69" i="127"/>
  <c r="Z69" i="127"/>
  <c r="X69" i="127"/>
  <c r="AA69" i="127"/>
  <c r="AB69" i="127"/>
  <c r="V69" i="144"/>
  <c r="Z69" i="144"/>
  <c r="X69" i="144"/>
  <c r="Z69" i="118"/>
  <c r="V69" i="118"/>
  <c r="X69" i="118"/>
  <c r="Z69" i="125"/>
  <c r="V69" i="125"/>
  <c r="X69" i="125"/>
  <c r="AA69" i="125"/>
  <c r="V69" i="153"/>
  <c r="Z69" i="153"/>
  <c r="X69" i="153"/>
  <c r="AA69" i="153"/>
  <c r="AB69" i="153"/>
  <c r="V69" i="131"/>
  <c r="Z69" i="131"/>
  <c r="X69" i="131"/>
  <c r="V69" i="119"/>
  <c r="Z69" i="119"/>
  <c r="X69" i="119"/>
  <c r="V69" i="151"/>
  <c r="Z69" i="151"/>
  <c r="X69" i="151"/>
  <c r="Z69" i="152"/>
  <c r="X69" i="152"/>
  <c r="V69" i="152"/>
  <c r="V27" i="131"/>
  <c r="Z27" i="131"/>
  <c r="X27" i="131"/>
  <c r="Z27" i="117"/>
  <c r="V27" i="117"/>
  <c r="X27" i="117"/>
  <c r="X27" i="152"/>
  <c r="V27" i="152"/>
  <c r="Z27" i="152"/>
  <c r="Z27" i="126"/>
  <c r="V27" i="126"/>
  <c r="X27" i="126"/>
  <c r="AA27" i="126"/>
  <c r="AB27" i="126"/>
  <c r="Z27" i="118"/>
  <c r="V27" i="118"/>
  <c r="X27" i="118"/>
  <c r="V27" i="128"/>
  <c r="Z27" i="128"/>
  <c r="X27" i="128"/>
  <c r="Z27" i="125"/>
  <c r="V27" i="125"/>
  <c r="X27" i="125"/>
  <c r="AA27" i="125"/>
  <c r="AB27" i="125"/>
  <c r="V27" i="119"/>
  <c r="Z27" i="119"/>
  <c r="X27" i="119"/>
  <c r="Z27" i="129"/>
  <c r="V27" i="129"/>
  <c r="X27" i="129"/>
  <c r="V27" i="153"/>
  <c r="Z27" i="153"/>
  <c r="X27" i="153"/>
  <c r="X27" i="149"/>
  <c r="Z27" i="149"/>
  <c r="AA27" i="149"/>
  <c r="V27" i="149"/>
  <c r="Z27" i="151"/>
  <c r="V27" i="151"/>
  <c r="X27" i="151"/>
  <c r="G58" i="100"/>
  <c r="AK58" i="72"/>
  <c r="Z61" i="149"/>
  <c r="V61" i="149"/>
  <c r="X61" i="149"/>
  <c r="AA61" i="149"/>
  <c r="Z61" i="131"/>
  <c r="V61" i="131"/>
  <c r="X61" i="131"/>
  <c r="AA61" i="131"/>
  <c r="AB61" i="131"/>
  <c r="Z61" i="119"/>
  <c r="V61" i="119"/>
  <c r="X61" i="119"/>
  <c r="V61" i="127"/>
  <c r="Z61" i="127"/>
  <c r="X61" i="127"/>
  <c r="V61" i="144"/>
  <c r="X61" i="144"/>
  <c r="Z61" i="144"/>
  <c r="V61" i="148"/>
  <c r="Z61" i="148"/>
  <c r="X61" i="148"/>
  <c r="AA61" i="148"/>
  <c r="AB61" i="148"/>
  <c r="Z61" i="153"/>
  <c r="X61" i="153"/>
  <c r="V61" i="153"/>
  <c r="AA61" i="80"/>
  <c r="W61" i="80"/>
  <c r="Y61" i="80"/>
  <c r="AB61" i="80"/>
  <c r="V61" i="120"/>
  <c r="Z61" i="120"/>
  <c r="X61" i="120"/>
  <c r="AA61" i="120"/>
  <c r="AB61" i="120"/>
  <c r="V61" i="116"/>
  <c r="Z61" i="116"/>
  <c r="X61" i="116"/>
  <c r="X61" i="146"/>
  <c r="V61" i="146"/>
  <c r="Z61" i="146"/>
  <c r="V17" i="119"/>
  <c r="Z17" i="119"/>
  <c r="X17" i="119"/>
  <c r="AA17" i="76"/>
  <c r="W17" i="76"/>
  <c r="Y17" i="76"/>
  <c r="AB17" i="76"/>
  <c r="AC17" i="76"/>
  <c r="V17" i="148"/>
  <c r="Z17" i="148"/>
  <c r="X17" i="148"/>
  <c r="Z17" i="152"/>
  <c r="X17" i="152"/>
  <c r="V17" i="152"/>
  <c r="V17" i="117"/>
  <c r="Z17" i="117"/>
  <c r="X17" i="117"/>
  <c r="Z17" i="120"/>
  <c r="V17" i="120"/>
  <c r="X17" i="120"/>
  <c r="AA17" i="120"/>
  <c r="AB17" i="120"/>
  <c r="Z17" i="131"/>
  <c r="V17" i="131"/>
  <c r="X17" i="131"/>
  <c r="V17" i="129"/>
  <c r="Z17" i="129"/>
  <c r="X17" i="129"/>
  <c r="X17" i="144"/>
  <c r="Z17" i="144"/>
  <c r="AA17" i="144"/>
  <c r="V17" i="144"/>
  <c r="V17" i="151"/>
  <c r="X17" i="151"/>
  <c r="Z17" i="151"/>
  <c r="AA17" i="151"/>
  <c r="AA17" i="80"/>
  <c r="W17" i="80"/>
  <c r="Y17" i="80"/>
  <c r="AB17" i="80"/>
  <c r="AD65" i="113"/>
  <c r="AF65" i="113"/>
  <c r="AK62" i="72"/>
  <c r="G62" i="100"/>
  <c r="Z65" i="148"/>
  <c r="V65" i="148"/>
  <c r="X65" i="148"/>
  <c r="V65" i="120"/>
  <c r="Z65" i="120"/>
  <c r="X65" i="120"/>
  <c r="Z65" i="131"/>
  <c r="V65" i="131"/>
  <c r="X65" i="131"/>
  <c r="AA65" i="131"/>
  <c r="V65" i="128"/>
  <c r="Z65" i="128"/>
  <c r="X65" i="128"/>
  <c r="Z65" i="116"/>
  <c r="V65" i="116"/>
  <c r="X65" i="116"/>
  <c r="V65" i="152"/>
  <c r="X65" i="152"/>
  <c r="Z65" i="152"/>
  <c r="Z65" i="119"/>
  <c r="V65" i="119"/>
  <c r="X65" i="119"/>
  <c r="AA65" i="119"/>
  <c r="V65" i="151"/>
  <c r="Z65" i="151"/>
  <c r="X65" i="151"/>
  <c r="Z65" i="118"/>
  <c r="V65" i="118"/>
  <c r="X65" i="118"/>
  <c r="Z65" i="127"/>
  <c r="V65" i="127"/>
  <c r="X65" i="127"/>
  <c r="AA65" i="127"/>
  <c r="AB65" i="127"/>
  <c r="V65" i="144"/>
  <c r="Z65" i="144"/>
  <c r="X65" i="144"/>
  <c r="V65" i="145"/>
  <c r="Z65" i="145"/>
  <c r="X65" i="145"/>
  <c r="AH15" i="46"/>
  <c r="G7" i="100"/>
  <c r="AK7" i="72"/>
  <c r="Z10" i="129"/>
  <c r="V10" i="129"/>
  <c r="X10" i="129"/>
  <c r="AA10" i="129"/>
  <c r="AB10" i="129"/>
  <c r="Z10" i="149"/>
  <c r="V10" i="149"/>
  <c r="X10" i="149"/>
  <c r="X10" i="153"/>
  <c r="V10" i="153"/>
  <c r="Z10" i="153"/>
  <c r="V10" i="127"/>
  <c r="Z10" i="127"/>
  <c r="X10" i="127"/>
  <c r="AA10" i="127"/>
  <c r="AB10" i="127"/>
  <c r="X10" i="144"/>
  <c r="Z10" i="144"/>
  <c r="V10" i="144"/>
  <c r="X10" i="147"/>
  <c r="V10" i="147"/>
  <c r="Z10" i="147"/>
  <c r="V10" i="117"/>
  <c r="Z10" i="117"/>
  <c r="X10" i="117"/>
  <c r="V10" i="119"/>
  <c r="Z10" i="119"/>
  <c r="X10" i="119"/>
  <c r="AA10" i="119"/>
  <c r="AB10" i="119"/>
  <c r="AA10" i="76"/>
  <c r="W10" i="76"/>
  <c r="Y10" i="76"/>
  <c r="AB10" i="76"/>
  <c r="V10" i="152"/>
  <c r="Z10" i="152"/>
  <c r="X10" i="152"/>
  <c r="AA10" i="152"/>
  <c r="V26" i="116"/>
  <c r="Z26" i="116"/>
  <c r="X26" i="116"/>
  <c r="V26" i="118"/>
  <c r="Z26" i="118"/>
  <c r="X26" i="118"/>
  <c r="Z26" i="117"/>
  <c r="V26" i="117"/>
  <c r="X26" i="117"/>
  <c r="AA26" i="117"/>
  <c r="AB26" i="117"/>
  <c r="Z26" i="145"/>
  <c r="X26" i="145"/>
  <c r="AA26" i="145"/>
  <c r="V26" i="145"/>
  <c r="AB26" i="145"/>
  <c r="X26" i="152"/>
  <c r="V26" i="152"/>
  <c r="Z26" i="152"/>
  <c r="Z26" i="129"/>
  <c r="V26" i="129"/>
  <c r="X26" i="129"/>
  <c r="AA26" i="129"/>
  <c r="W26" i="76"/>
  <c r="AA26" i="76"/>
  <c r="Y26" i="76"/>
  <c r="AB26" i="76"/>
  <c r="AC26" i="76"/>
  <c r="Z26" i="147"/>
  <c r="V26" i="147"/>
  <c r="X26" i="147"/>
  <c r="Z26" i="120"/>
  <c r="V26" i="120"/>
  <c r="X26" i="120"/>
  <c r="AA26" i="120"/>
  <c r="AB26" i="120"/>
  <c r="V26" i="126"/>
  <c r="Z26" i="126"/>
  <c r="X26" i="126"/>
  <c r="U57" i="118"/>
  <c r="U57" i="153"/>
  <c r="U57" i="128"/>
  <c r="V57" i="76"/>
  <c r="U57" i="149"/>
  <c r="U57" i="129"/>
  <c r="U57" i="152"/>
  <c r="U57" i="126"/>
  <c r="U57" i="116"/>
  <c r="V57" i="80"/>
  <c r="U57" i="148"/>
  <c r="U57" i="125"/>
  <c r="U57" i="131"/>
  <c r="U57" i="145"/>
  <c r="U57" i="144"/>
  <c r="U57" i="127"/>
  <c r="U57" i="117"/>
  <c r="U57" i="151"/>
  <c r="U57" i="119"/>
  <c r="U57" i="120"/>
  <c r="U57" i="147"/>
  <c r="U57" i="146"/>
  <c r="AK25" i="72"/>
  <c r="G25" i="100"/>
  <c r="Z28" i="118"/>
  <c r="V28" i="118"/>
  <c r="X28" i="118"/>
  <c r="AA28" i="118"/>
  <c r="AB28" i="118"/>
  <c r="Z28" i="148"/>
  <c r="X28" i="148"/>
  <c r="AA28" i="148"/>
  <c r="V28" i="148"/>
  <c r="V28" i="126"/>
  <c r="Z28" i="126"/>
  <c r="X28" i="126"/>
  <c r="AA28" i="126"/>
  <c r="AB28" i="126"/>
  <c r="V28" i="151"/>
  <c r="Z28" i="151"/>
  <c r="X28" i="151"/>
  <c r="Z28" i="125"/>
  <c r="V28" i="125"/>
  <c r="X28" i="125"/>
  <c r="Z28" i="145"/>
  <c r="X28" i="145"/>
  <c r="AA28" i="145"/>
  <c r="V28" i="145"/>
  <c r="Z28" i="128"/>
  <c r="V28" i="128"/>
  <c r="X28" i="128"/>
  <c r="AA28" i="128"/>
  <c r="AB28" i="128"/>
  <c r="X28" i="149"/>
  <c r="V28" i="149"/>
  <c r="Z28" i="149"/>
  <c r="X28" i="147"/>
  <c r="V28" i="147"/>
  <c r="Z28" i="147"/>
  <c r="AA28" i="80"/>
  <c r="W28" i="80"/>
  <c r="Y28" i="80"/>
  <c r="AB28" i="80"/>
  <c r="AC28" i="80"/>
  <c r="Z28" i="146"/>
  <c r="V28" i="146"/>
  <c r="X28" i="146"/>
  <c r="AA28" i="146"/>
  <c r="V28" i="152"/>
  <c r="Z28" i="152"/>
  <c r="X28" i="152"/>
  <c r="AA28" i="152"/>
  <c r="AB28" i="152"/>
  <c r="V36" i="146"/>
  <c r="Z36" i="146"/>
  <c r="X36" i="146"/>
  <c r="Z36" i="127"/>
  <c r="V36" i="127"/>
  <c r="X36" i="127"/>
  <c r="AA36" i="127"/>
  <c r="AB36" i="127"/>
  <c r="Z36" i="152"/>
  <c r="X36" i="152"/>
  <c r="AA36" i="152"/>
  <c r="V36" i="152"/>
  <c r="Z36" i="117"/>
  <c r="V36" i="117"/>
  <c r="X36" i="117"/>
  <c r="AA36" i="117"/>
  <c r="AB36" i="117"/>
  <c r="Z36" i="144"/>
  <c r="X36" i="144"/>
  <c r="AA36" i="144"/>
  <c r="V36" i="144"/>
  <c r="AB36" i="144"/>
  <c r="Z36" i="125"/>
  <c r="V36" i="125"/>
  <c r="X36" i="125"/>
  <c r="AA36" i="125"/>
  <c r="AB36" i="125"/>
  <c r="V36" i="149"/>
  <c r="X36" i="149"/>
  <c r="Z36" i="149"/>
  <c r="AA36" i="149"/>
  <c r="AB36" i="149"/>
  <c r="AA36" i="80"/>
  <c r="W36" i="80"/>
  <c r="Y36" i="80"/>
  <c r="X36" i="145"/>
  <c r="V36" i="145"/>
  <c r="Z36" i="145"/>
  <c r="V36" i="120"/>
  <c r="Z36" i="120"/>
  <c r="X36" i="120"/>
  <c r="AA36" i="120"/>
  <c r="AB36" i="120"/>
  <c r="Z36" i="118"/>
  <c r="V36" i="118"/>
  <c r="X36" i="118"/>
  <c r="AA36" i="118"/>
  <c r="G64" i="100"/>
  <c r="AK64" i="72"/>
  <c r="AD67" i="113"/>
  <c r="AF67" i="113"/>
  <c r="V67" i="116"/>
  <c r="Z67" i="116"/>
  <c r="X67" i="116"/>
  <c r="X67" i="153"/>
  <c r="V67" i="153"/>
  <c r="Z67" i="153"/>
  <c r="Z67" i="127"/>
  <c r="V67" i="127"/>
  <c r="X67" i="127"/>
  <c r="V67" i="144"/>
  <c r="Z67" i="144"/>
  <c r="X67" i="144"/>
  <c r="AA67" i="144"/>
  <c r="AB67" i="144"/>
  <c r="W67" i="76"/>
  <c r="AA67" i="76"/>
  <c r="Y67" i="76"/>
  <c r="Z67" i="145"/>
  <c r="X67" i="145"/>
  <c r="V67" i="145"/>
  <c r="V67" i="119"/>
  <c r="Z67" i="119"/>
  <c r="X67" i="119"/>
  <c r="V67" i="148"/>
  <c r="X67" i="148"/>
  <c r="Z67" i="148"/>
  <c r="Z67" i="146"/>
  <c r="X67" i="146"/>
  <c r="AA67" i="146"/>
  <c r="V67" i="146"/>
  <c r="V67" i="131"/>
  <c r="Z67" i="131"/>
  <c r="X67" i="131"/>
  <c r="X67" i="151"/>
  <c r="V67" i="151"/>
  <c r="Z67" i="151"/>
  <c r="Z67" i="149"/>
  <c r="V67" i="149"/>
  <c r="X67" i="149"/>
  <c r="AA67" i="149"/>
  <c r="AK56" i="72"/>
  <c r="G56" i="100"/>
  <c r="AD59" i="113"/>
  <c r="AF59" i="113"/>
  <c r="V59" i="148"/>
  <c r="Z59" i="148"/>
  <c r="X59" i="148"/>
  <c r="W59" i="80"/>
  <c r="AA59" i="80"/>
  <c r="Y59" i="80"/>
  <c r="AB59" i="80"/>
  <c r="AC59" i="80"/>
  <c r="Z59" i="129"/>
  <c r="V59" i="129"/>
  <c r="X59" i="129"/>
  <c r="AA59" i="129"/>
  <c r="Z59" i="145"/>
  <c r="X59" i="145"/>
  <c r="V59" i="145"/>
  <c r="Z59" i="125"/>
  <c r="V59" i="125"/>
  <c r="X59" i="125"/>
  <c r="AA59" i="125"/>
  <c r="Z59" i="119"/>
  <c r="V59" i="119"/>
  <c r="X59" i="119"/>
  <c r="AA59" i="119"/>
  <c r="AB59" i="119"/>
  <c r="V59" i="117"/>
  <c r="Z59" i="117"/>
  <c r="X59" i="117"/>
  <c r="Z59" i="152"/>
  <c r="X59" i="152"/>
  <c r="V59" i="152"/>
  <c r="AA59" i="76"/>
  <c r="W59" i="76"/>
  <c r="Y59" i="76"/>
  <c r="AB59" i="76"/>
  <c r="Z59" i="126"/>
  <c r="V59" i="126"/>
  <c r="X59" i="126"/>
  <c r="AA59" i="126"/>
  <c r="AB59" i="126"/>
  <c r="Z59" i="144"/>
  <c r="X59" i="144"/>
  <c r="AA59" i="144"/>
  <c r="V59" i="144"/>
  <c r="G29" i="100"/>
  <c r="AK29" i="72"/>
  <c r="AD32" i="113"/>
  <c r="AF32" i="113"/>
  <c r="Z32" i="120"/>
  <c r="V32" i="120"/>
  <c r="X32" i="120"/>
  <c r="AA32" i="120"/>
  <c r="Z32" i="151"/>
  <c r="X32" i="151"/>
  <c r="V32" i="151"/>
  <c r="V32" i="125"/>
  <c r="Z32" i="125"/>
  <c r="X32" i="125"/>
  <c r="V32" i="148"/>
  <c r="X32" i="148"/>
  <c r="Z32" i="148"/>
  <c r="Z32" i="129"/>
  <c r="V32" i="129"/>
  <c r="X32" i="129"/>
  <c r="AA32" i="129"/>
  <c r="Z32" i="147"/>
  <c r="X32" i="147"/>
  <c r="V32" i="147"/>
  <c r="Z32" i="127"/>
  <c r="V32" i="127"/>
  <c r="X32" i="127"/>
  <c r="V32" i="146"/>
  <c r="Z32" i="146"/>
  <c r="X32" i="146"/>
  <c r="AA32" i="146"/>
  <c r="AB32" i="146"/>
  <c r="X32" i="145"/>
  <c r="V32" i="145"/>
  <c r="Z32" i="145"/>
  <c r="Z32" i="116"/>
  <c r="V32" i="116"/>
  <c r="X32" i="116"/>
  <c r="V32" i="149"/>
  <c r="Z32" i="149"/>
  <c r="X32" i="149"/>
  <c r="AA32" i="149"/>
  <c r="X32" i="153"/>
  <c r="V32" i="153"/>
  <c r="Z32" i="153"/>
  <c r="X73" i="147"/>
  <c r="V73" i="147"/>
  <c r="Z73" i="147"/>
  <c r="V73" i="129"/>
  <c r="Z73" i="129"/>
  <c r="X73" i="129"/>
  <c r="X73" i="148"/>
  <c r="V73" i="148"/>
  <c r="Z73" i="148"/>
  <c r="X73" i="144"/>
  <c r="V73" i="144"/>
  <c r="Z73" i="144"/>
  <c r="V73" i="117"/>
  <c r="Z73" i="117"/>
  <c r="X73" i="117"/>
  <c r="AA73" i="117"/>
  <c r="AB73" i="117"/>
  <c r="X73" i="151"/>
  <c r="Z73" i="151"/>
  <c r="V73" i="151"/>
  <c r="V73" i="119"/>
  <c r="Z73" i="119"/>
  <c r="X73" i="119"/>
  <c r="AA73" i="119"/>
  <c r="AB73" i="119"/>
  <c r="V73" i="125"/>
  <c r="Z73" i="125"/>
  <c r="X73" i="125"/>
  <c r="Z73" i="146"/>
  <c r="V73" i="146"/>
  <c r="X73" i="146"/>
  <c r="Z73" i="126"/>
  <c r="V73" i="126"/>
  <c r="X73" i="126"/>
  <c r="V73" i="118"/>
  <c r="Z73" i="118"/>
  <c r="X73" i="118"/>
  <c r="AA73" i="118"/>
  <c r="AB73" i="118"/>
  <c r="AK36" i="72"/>
  <c r="G36" i="100"/>
  <c r="V39" i="118"/>
  <c r="Z39" i="118"/>
  <c r="X39" i="118"/>
  <c r="V39" i="151"/>
  <c r="Z39" i="151"/>
  <c r="X39" i="151"/>
  <c r="V39" i="129"/>
  <c r="Z39" i="129"/>
  <c r="X39" i="129"/>
  <c r="V39" i="148"/>
  <c r="X39" i="148"/>
  <c r="Z39" i="148"/>
  <c r="Z39" i="119"/>
  <c r="V39" i="119"/>
  <c r="X39" i="119"/>
  <c r="AA39" i="119"/>
  <c r="AB39" i="119"/>
  <c r="X39" i="153"/>
  <c r="V39" i="153"/>
  <c r="Z39" i="153"/>
  <c r="V39" i="145"/>
  <c r="Z39" i="145"/>
  <c r="X39" i="145"/>
  <c r="V39" i="146"/>
  <c r="X39" i="146"/>
  <c r="Z39" i="146"/>
  <c r="V39" i="116"/>
  <c r="Z39" i="116"/>
  <c r="X39" i="116"/>
  <c r="V39" i="127"/>
  <c r="Z39" i="127"/>
  <c r="X39" i="127"/>
  <c r="V39" i="117"/>
  <c r="Z39" i="117"/>
  <c r="X39" i="117"/>
  <c r="V39" i="144"/>
  <c r="X39" i="144"/>
  <c r="Z39" i="144"/>
  <c r="AA24" i="76"/>
  <c r="W24" i="76"/>
  <c r="Y24" i="76"/>
  <c r="AB24" i="76"/>
  <c r="AC24" i="76"/>
  <c r="X24" i="144"/>
  <c r="Z24" i="144"/>
  <c r="V24" i="144"/>
  <c r="X24" i="145"/>
  <c r="V24" i="145"/>
  <c r="Z24" i="145"/>
  <c r="Z24" i="118"/>
  <c r="V24" i="118"/>
  <c r="X24" i="118"/>
  <c r="AA24" i="118"/>
  <c r="V24" i="129"/>
  <c r="Z24" i="129"/>
  <c r="X24" i="129"/>
  <c r="AA24" i="129"/>
  <c r="AB24" i="129"/>
  <c r="Z24" i="131"/>
  <c r="V24" i="131"/>
  <c r="X24" i="131"/>
  <c r="V24" i="119"/>
  <c r="Z24" i="119"/>
  <c r="X24" i="119"/>
  <c r="Z24" i="128"/>
  <c r="V24" i="128"/>
  <c r="X24" i="128"/>
  <c r="AA24" i="128"/>
  <c r="X24" i="146"/>
  <c r="V24" i="146"/>
  <c r="Z24" i="146"/>
  <c r="G59" i="100"/>
  <c r="AK59" i="72"/>
  <c r="Z62" i="144"/>
  <c r="V62" i="144"/>
  <c r="X62" i="144"/>
  <c r="AA62" i="144"/>
  <c r="AB62" i="144"/>
  <c r="Z62" i="152"/>
  <c r="X62" i="152"/>
  <c r="V62" i="152"/>
  <c r="Z62" i="119"/>
  <c r="V62" i="119"/>
  <c r="X62" i="119"/>
  <c r="V62" i="146"/>
  <c r="Z62" i="146"/>
  <c r="X62" i="146"/>
  <c r="V62" i="145"/>
  <c r="X62" i="145"/>
  <c r="Z62" i="145"/>
  <c r="V62" i="153"/>
  <c r="Z62" i="153"/>
  <c r="X62" i="153"/>
  <c r="Z62" i="117"/>
  <c r="V62" i="117"/>
  <c r="X62" i="117"/>
  <c r="V62" i="129"/>
  <c r="Z62" i="129"/>
  <c r="X62" i="129"/>
  <c r="W62" i="80"/>
  <c r="AA62" i="80"/>
  <c r="Y62" i="80"/>
  <c r="AB62" i="80"/>
  <c r="AC62" i="80"/>
  <c r="Z62" i="128"/>
  <c r="V62" i="128"/>
  <c r="X62" i="128"/>
  <c r="X62" i="151"/>
  <c r="V62" i="151"/>
  <c r="Z62" i="151"/>
  <c r="X34" i="153"/>
  <c r="V34" i="153"/>
  <c r="Z34" i="153"/>
  <c r="Z34" i="120"/>
  <c r="V34" i="120"/>
  <c r="X34" i="120"/>
  <c r="Z34" i="147"/>
  <c r="V34" i="147"/>
  <c r="X34" i="147"/>
  <c r="AA34" i="147"/>
  <c r="AB34" i="147"/>
  <c r="V34" i="117"/>
  <c r="Z34" i="117"/>
  <c r="X34" i="117"/>
  <c r="AA34" i="117"/>
  <c r="AB34" i="117"/>
  <c r="AA34" i="76"/>
  <c r="W34" i="76"/>
  <c r="Y34" i="76"/>
  <c r="AB34" i="76"/>
  <c r="Z34" i="125"/>
  <c r="V34" i="125"/>
  <c r="X34" i="125"/>
  <c r="V34" i="149"/>
  <c r="X34" i="149"/>
  <c r="Z34" i="149"/>
  <c r="AA34" i="149"/>
  <c r="AB34" i="149"/>
  <c r="Z34" i="116"/>
  <c r="V34" i="116"/>
  <c r="X34" i="116"/>
  <c r="AA34" i="116"/>
  <c r="AB34" i="116"/>
  <c r="Z34" i="127"/>
  <c r="V34" i="127"/>
  <c r="X34" i="127"/>
  <c r="W34" i="80"/>
  <c r="AA34" i="80"/>
  <c r="Y34" i="80"/>
  <c r="AB34" i="80"/>
  <c r="AC34" i="80"/>
  <c r="Z34" i="151"/>
  <c r="V34" i="151"/>
  <c r="X34" i="151"/>
  <c r="AA34" i="151"/>
  <c r="V34" i="129"/>
  <c r="Z34" i="129"/>
  <c r="X34" i="129"/>
  <c r="AA34" i="129"/>
  <c r="AB34" i="129"/>
  <c r="G63" i="100"/>
  <c r="AK63" i="72"/>
  <c r="Z66" i="128"/>
  <c r="V66" i="128"/>
  <c r="X66" i="128"/>
  <c r="V66" i="145"/>
  <c r="Z66" i="145"/>
  <c r="X66" i="145"/>
  <c r="V66" i="152"/>
  <c r="Z66" i="152"/>
  <c r="X66" i="152"/>
  <c r="Z66" i="127"/>
  <c r="V66" i="127"/>
  <c r="X66" i="127"/>
  <c r="V66" i="118"/>
  <c r="Z66" i="118"/>
  <c r="X66" i="118"/>
  <c r="V66" i="148"/>
  <c r="X66" i="148"/>
  <c r="Z66" i="148"/>
  <c r="Z66" i="117"/>
  <c r="V66" i="117"/>
  <c r="X66" i="117"/>
  <c r="AA66" i="117"/>
  <c r="Z66" i="119"/>
  <c r="V66" i="119"/>
  <c r="X66" i="119"/>
  <c r="AA66" i="76"/>
  <c r="W66" i="76"/>
  <c r="Y66" i="76"/>
  <c r="Z66" i="153"/>
  <c r="X66" i="153"/>
  <c r="V66" i="153"/>
  <c r="V21" i="131"/>
  <c r="Z21" i="131"/>
  <c r="X21" i="131"/>
  <c r="V21" i="127"/>
  <c r="Z21" i="127"/>
  <c r="X21" i="127"/>
  <c r="AA21" i="127"/>
  <c r="AB21" i="127"/>
  <c r="Z21" i="145"/>
  <c r="X21" i="145"/>
  <c r="AA21" i="145"/>
  <c r="V21" i="145"/>
  <c r="AB21" i="145"/>
  <c r="V21" i="144"/>
  <c r="X21" i="144"/>
  <c r="Z21" i="144"/>
  <c r="Z21" i="118"/>
  <c r="V21" i="118"/>
  <c r="X21" i="118"/>
  <c r="AA21" i="118"/>
  <c r="Z21" i="116"/>
  <c r="V21" i="116"/>
  <c r="X21" i="116"/>
  <c r="AA21" i="116"/>
  <c r="W21" i="80"/>
  <c r="AA21" i="80"/>
  <c r="Y21" i="80"/>
  <c r="AB21" i="80"/>
  <c r="AC21" i="80"/>
  <c r="W21" i="76"/>
  <c r="AA21" i="76"/>
  <c r="Y21" i="76"/>
  <c r="V21" i="147"/>
  <c r="Z21" i="147"/>
  <c r="X21" i="147"/>
  <c r="AA21" i="147"/>
  <c r="AB21" i="147"/>
  <c r="Z21" i="149"/>
  <c r="V21" i="149"/>
  <c r="X21" i="149"/>
  <c r="AA21" i="149"/>
  <c r="X21" i="152"/>
  <c r="V21" i="152"/>
  <c r="Z21" i="152"/>
  <c r="Z21" i="129"/>
  <c r="V21" i="129"/>
  <c r="X21" i="129"/>
  <c r="AA21" i="129"/>
  <c r="AK15" i="72"/>
  <c r="G15" i="100"/>
  <c r="V18" i="131"/>
  <c r="Z18" i="131"/>
  <c r="X18" i="131"/>
  <c r="AA18" i="131"/>
  <c r="AB18" i="131"/>
  <c r="V18" i="120"/>
  <c r="Z18" i="120"/>
  <c r="X18" i="120"/>
  <c r="X18" i="151"/>
  <c r="V18" i="151"/>
  <c r="Z18" i="151"/>
  <c r="V18" i="119"/>
  <c r="Z18" i="119"/>
  <c r="X18" i="119"/>
  <c r="V18" i="152"/>
  <c r="Z18" i="152"/>
  <c r="X18" i="152"/>
  <c r="AA18" i="152"/>
  <c r="AB18" i="152"/>
  <c r="V18" i="144"/>
  <c r="Z18" i="144"/>
  <c r="X18" i="144"/>
  <c r="Z18" i="153"/>
  <c r="X18" i="153"/>
  <c r="V18" i="153"/>
  <c r="Z18" i="116"/>
  <c r="V18" i="116"/>
  <c r="X18" i="116"/>
  <c r="AA18" i="116"/>
  <c r="Z18" i="117"/>
  <c r="V18" i="117"/>
  <c r="X18" i="117"/>
  <c r="AA18" i="117"/>
  <c r="AB18" i="117"/>
  <c r="AA18" i="80"/>
  <c r="W18" i="80"/>
  <c r="Y18" i="80"/>
  <c r="AB18" i="80"/>
  <c r="W18" i="76"/>
  <c r="AA18" i="76"/>
  <c r="Y18" i="76"/>
  <c r="Z18" i="147"/>
  <c r="X18" i="147"/>
  <c r="AA18" i="147"/>
  <c r="V18" i="147"/>
  <c r="V68" i="146"/>
  <c r="Z68" i="146"/>
  <c r="X68" i="146"/>
  <c r="AA68" i="146"/>
  <c r="AB68" i="146"/>
  <c r="Z68" i="116"/>
  <c r="V68" i="116"/>
  <c r="X68" i="116"/>
  <c r="AA68" i="116"/>
  <c r="V68" i="126"/>
  <c r="Z68" i="126"/>
  <c r="X68" i="126"/>
  <c r="W68" i="76"/>
  <c r="AA68" i="76"/>
  <c r="Y68" i="76"/>
  <c r="X68" i="153"/>
  <c r="V68" i="153"/>
  <c r="Z68" i="153"/>
  <c r="W68" i="80"/>
  <c r="AA68" i="80"/>
  <c r="Y68" i="80"/>
  <c r="AB68" i="80"/>
  <c r="AC68" i="80"/>
  <c r="Z68" i="125"/>
  <c r="V68" i="125"/>
  <c r="X68" i="125"/>
  <c r="AA68" i="125"/>
  <c r="Z68" i="128"/>
  <c r="V68" i="128"/>
  <c r="X68" i="128"/>
  <c r="AA68" i="128"/>
  <c r="AB68" i="128"/>
  <c r="Z68" i="147"/>
  <c r="X68" i="147"/>
  <c r="AA68" i="147"/>
  <c r="V68" i="147"/>
  <c r="AB68" i="147"/>
  <c r="Z68" i="148"/>
  <c r="V68" i="148"/>
  <c r="X68" i="148"/>
  <c r="V68" i="149"/>
  <c r="X68" i="149"/>
  <c r="Z68" i="149"/>
  <c r="AA68" i="149"/>
  <c r="AB68" i="149"/>
  <c r="V68" i="127"/>
  <c r="Z68" i="127"/>
  <c r="X68" i="127"/>
  <c r="AA68" i="127"/>
  <c r="AB68" i="127"/>
  <c r="G57" i="100"/>
  <c r="AK57" i="72"/>
  <c r="V60" i="147"/>
  <c r="Z60" i="147"/>
  <c r="X60" i="147"/>
  <c r="V60" i="129"/>
  <c r="Z60" i="129"/>
  <c r="X60" i="129"/>
  <c r="V60" i="148"/>
  <c r="Z60" i="148"/>
  <c r="X60" i="148"/>
  <c r="V60" i="152"/>
  <c r="Z60" i="152"/>
  <c r="X60" i="152"/>
  <c r="V60" i="131"/>
  <c r="Z60" i="131"/>
  <c r="X60" i="131"/>
  <c r="Z60" i="149"/>
  <c r="X60" i="149"/>
  <c r="V60" i="149"/>
  <c r="V60" i="116"/>
  <c r="Z60" i="116"/>
  <c r="X60" i="116"/>
  <c r="X60" i="145"/>
  <c r="Z60" i="145"/>
  <c r="V60" i="145"/>
  <c r="Z60" i="120"/>
  <c r="V60" i="120"/>
  <c r="X60" i="120"/>
  <c r="AA60" i="120"/>
  <c r="V60" i="118"/>
  <c r="Z60" i="118"/>
  <c r="X60" i="118"/>
  <c r="V60" i="119"/>
  <c r="Z60" i="119"/>
  <c r="X60" i="119"/>
  <c r="X60" i="151"/>
  <c r="V60" i="151"/>
  <c r="Z60" i="151"/>
  <c r="V16" i="127"/>
  <c r="Z16" i="127"/>
  <c r="X16" i="127"/>
  <c r="X16" i="153"/>
  <c r="V16" i="153"/>
  <c r="Z16" i="153"/>
  <c r="Z16" i="118"/>
  <c r="V16" i="118"/>
  <c r="X16" i="118"/>
  <c r="W16" i="80"/>
  <c r="AA16" i="80"/>
  <c r="Y16" i="80"/>
  <c r="Z16" i="152"/>
  <c r="X16" i="152"/>
  <c r="V16" i="152"/>
  <c r="Z16" i="120"/>
  <c r="V16" i="120"/>
  <c r="X16" i="120"/>
  <c r="V16" i="131"/>
  <c r="Z16" i="131"/>
  <c r="X16" i="131"/>
  <c r="X16" i="145"/>
  <c r="V16" i="145"/>
  <c r="Z16" i="145"/>
  <c r="V16" i="149"/>
  <c r="Z16" i="149"/>
  <c r="X16" i="149"/>
  <c r="Z16" i="151"/>
  <c r="X16" i="151"/>
  <c r="V16" i="151"/>
  <c r="AA16" i="76"/>
  <c r="W16" i="76"/>
  <c r="Y16" i="76"/>
  <c r="AB16" i="76"/>
  <c r="AK46" i="72"/>
  <c r="G46" i="100"/>
  <c r="AD49" i="113"/>
  <c r="AF49" i="113"/>
  <c r="V49" i="147"/>
  <c r="Z49" i="147"/>
  <c r="X49" i="147"/>
  <c r="V49" i="126"/>
  <c r="Z49" i="126"/>
  <c r="X49" i="126"/>
  <c r="AA49" i="126"/>
  <c r="AB49" i="126"/>
  <c r="V49" i="152"/>
  <c r="Z49" i="152"/>
  <c r="X49" i="152"/>
  <c r="Z49" i="127"/>
  <c r="V49" i="127"/>
  <c r="X49" i="127"/>
  <c r="V49" i="148"/>
  <c r="X49" i="148"/>
  <c r="Z49" i="148"/>
  <c r="AA49" i="148"/>
  <c r="AB49" i="148"/>
  <c r="Z49" i="144"/>
  <c r="X49" i="144"/>
  <c r="V49" i="144"/>
  <c r="Z49" i="145"/>
  <c r="V49" i="145"/>
  <c r="X49" i="145"/>
  <c r="AA49" i="145"/>
  <c r="V49" i="120"/>
  <c r="Z49" i="120"/>
  <c r="X49" i="120"/>
  <c r="Z49" i="131"/>
  <c r="V49" i="131"/>
  <c r="X49" i="131"/>
  <c r="AA49" i="131"/>
  <c r="AB49" i="131"/>
  <c r="V49" i="151"/>
  <c r="X49" i="151"/>
  <c r="Z49" i="151"/>
  <c r="Z74" i="151"/>
  <c r="X74" i="151"/>
  <c r="AA74" i="151"/>
  <c r="V74" i="151"/>
  <c r="AB74" i="151"/>
  <c r="X74" i="148"/>
  <c r="V74" i="148"/>
  <c r="Z74" i="148"/>
  <c r="V74" i="117"/>
  <c r="Z74" i="117"/>
  <c r="X74" i="117"/>
  <c r="V74" i="128"/>
  <c r="Z74" i="128"/>
  <c r="X74" i="128"/>
  <c r="AA74" i="128"/>
  <c r="AB74" i="128"/>
  <c r="V74" i="145"/>
  <c r="X74" i="145"/>
  <c r="Z74" i="145"/>
  <c r="AA74" i="145"/>
  <c r="Z74" i="129"/>
  <c r="V74" i="129"/>
  <c r="X74" i="129"/>
  <c r="AA74" i="129"/>
  <c r="V74" i="120"/>
  <c r="Z74" i="120"/>
  <c r="X74" i="120"/>
  <c r="AA74" i="120"/>
  <c r="AB74" i="120"/>
  <c r="V74" i="131"/>
  <c r="Z74" i="131"/>
  <c r="X74" i="131"/>
  <c r="X74" i="149"/>
  <c r="V74" i="149"/>
  <c r="Z74" i="149"/>
  <c r="Z74" i="152"/>
  <c r="X74" i="152"/>
  <c r="AA74" i="152"/>
  <c r="V74" i="152"/>
  <c r="AB74" i="152"/>
  <c r="Z74" i="153"/>
  <c r="X74" i="153"/>
  <c r="V74" i="153"/>
  <c r="Z74" i="119"/>
  <c r="V74" i="119"/>
  <c r="X74" i="119"/>
  <c r="AA74" i="119"/>
  <c r="AK10" i="72"/>
  <c r="G10" i="100"/>
  <c r="X13" i="145"/>
  <c r="V13" i="145"/>
  <c r="Z13" i="145"/>
  <c r="X13" i="152"/>
  <c r="V13" i="152"/>
  <c r="Z13" i="152"/>
  <c r="X13" i="148"/>
  <c r="V13" i="148"/>
  <c r="Z13" i="148"/>
  <c r="Z13" i="131"/>
  <c r="V13" i="131"/>
  <c r="X13" i="131"/>
  <c r="V13" i="153"/>
  <c r="Z13" i="153"/>
  <c r="X13" i="153"/>
  <c r="W13" i="80"/>
  <c r="AA13" i="80"/>
  <c r="Y13" i="80"/>
  <c r="AB13" i="80"/>
  <c r="AC13" i="80"/>
  <c r="Z13" i="127"/>
  <c r="V13" i="127"/>
  <c r="X13" i="127"/>
  <c r="AA13" i="127"/>
  <c r="W13" i="76"/>
  <c r="AA13" i="76"/>
  <c r="Y13" i="76"/>
  <c r="AB13" i="76"/>
  <c r="AC13" i="76"/>
  <c r="Z13" i="128"/>
  <c r="V13" i="128"/>
  <c r="X13" i="128"/>
  <c r="AA13" i="128"/>
  <c r="V13" i="126"/>
  <c r="Z13" i="126"/>
  <c r="X13" i="126"/>
  <c r="AA13" i="126"/>
  <c r="AB13" i="126"/>
  <c r="V13" i="149"/>
  <c r="X13" i="149"/>
  <c r="Z13" i="149"/>
  <c r="AA13" i="149"/>
  <c r="AB13" i="149"/>
  <c r="Z13" i="151"/>
  <c r="V13" i="151"/>
  <c r="X13" i="151"/>
  <c r="Z41" i="128"/>
  <c r="V41" i="128"/>
  <c r="X41" i="128"/>
  <c r="AA41" i="128"/>
  <c r="V41" i="151"/>
  <c r="Z41" i="151"/>
  <c r="X41" i="151"/>
  <c r="AA41" i="151"/>
  <c r="V41" i="126"/>
  <c r="Z41" i="126"/>
  <c r="X41" i="126"/>
  <c r="V41" i="129"/>
  <c r="Z41" i="129"/>
  <c r="X41" i="129"/>
  <c r="AA41" i="129"/>
  <c r="AB41" i="129"/>
  <c r="Z41" i="153"/>
  <c r="V41" i="153"/>
  <c r="X41" i="153"/>
  <c r="AA41" i="153"/>
  <c r="Z41" i="131"/>
  <c r="V41" i="131"/>
  <c r="X41" i="131"/>
  <c r="AA41" i="131"/>
  <c r="AB41" i="131"/>
  <c r="AA41" i="76"/>
  <c r="W41" i="76"/>
  <c r="Y41" i="76"/>
  <c r="V41" i="149"/>
  <c r="X41" i="149"/>
  <c r="Z41" i="149"/>
  <c r="Z41" i="146"/>
  <c r="X41" i="146"/>
  <c r="AA41" i="146"/>
  <c r="V41" i="146"/>
  <c r="V41" i="147"/>
  <c r="Z41" i="147"/>
  <c r="X41" i="147"/>
  <c r="AA41" i="147"/>
  <c r="AB41" i="147"/>
  <c r="V41" i="120"/>
  <c r="Z41" i="120"/>
  <c r="X41" i="120"/>
  <c r="G16" i="100"/>
  <c r="AK16" i="72"/>
  <c r="AD19" i="113"/>
  <c r="AF19" i="113"/>
  <c r="X19" i="148"/>
  <c r="V19" i="148"/>
  <c r="Z19" i="148"/>
  <c r="Z19" i="116"/>
  <c r="V19" i="116"/>
  <c r="X19" i="116"/>
  <c r="AA19" i="116"/>
  <c r="AB19" i="116"/>
  <c r="X19" i="152"/>
  <c r="V19" i="152"/>
  <c r="Z19" i="152"/>
  <c r="W19" i="80"/>
  <c r="AA19" i="80"/>
  <c r="Y19" i="80"/>
  <c r="AB19" i="80"/>
  <c r="AC19" i="80"/>
  <c r="V19" i="145"/>
  <c r="Z19" i="145"/>
  <c r="X19" i="145"/>
  <c r="V19" i="126"/>
  <c r="Z19" i="126"/>
  <c r="X19" i="126"/>
  <c r="AA19" i="126"/>
  <c r="AB19" i="126"/>
  <c r="V19" i="149"/>
  <c r="X19" i="149"/>
  <c r="Z19" i="149"/>
  <c r="AA19" i="149"/>
  <c r="Z19" i="129"/>
  <c r="V19" i="129"/>
  <c r="X19" i="129"/>
  <c r="AA19" i="129"/>
  <c r="V19" i="127"/>
  <c r="Z19" i="127"/>
  <c r="X19" i="127"/>
  <c r="AA19" i="127"/>
  <c r="AB19" i="127"/>
  <c r="V19" i="117"/>
  <c r="Z19" i="117"/>
  <c r="X19" i="117"/>
  <c r="Z19" i="151"/>
  <c r="X19" i="151"/>
  <c r="V19" i="151"/>
  <c r="Z53" i="145"/>
  <c r="V53" i="145"/>
  <c r="X53" i="145"/>
  <c r="AA53" i="145"/>
  <c r="Z53" i="144"/>
  <c r="V53" i="144"/>
  <c r="X53" i="144"/>
  <c r="AA53" i="144"/>
  <c r="AB53" i="144"/>
  <c r="V53" i="126"/>
  <c r="Z53" i="126"/>
  <c r="X53" i="126"/>
  <c r="V53" i="131"/>
  <c r="Z53" i="131"/>
  <c r="X53" i="131"/>
  <c r="AA53" i="131"/>
  <c r="AB53" i="131"/>
  <c r="X53" i="151"/>
  <c r="V53" i="151"/>
  <c r="Z53" i="151"/>
  <c r="V53" i="117"/>
  <c r="Z53" i="117"/>
  <c r="X53" i="117"/>
  <c r="AA53" i="117"/>
  <c r="AB53" i="117"/>
  <c r="AA53" i="80"/>
  <c r="W53" i="80"/>
  <c r="Y53" i="80"/>
  <c r="AB53" i="80"/>
  <c r="V53" i="116"/>
  <c r="Z53" i="116"/>
  <c r="X53" i="116"/>
  <c r="AA53" i="116"/>
  <c r="AB53" i="116"/>
  <c r="Z53" i="147"/>
  <c r="X53" i="147"/>
  <c r="AA53" i="147"/>
  <c r="V53" i="147"/>
  <c r="Z53" i="149"/>
  <c r="V53" i="149"/>
  <c r="X53" i="149"/>
  <c r="AA53" i="149"/>
  <c r="AB53" i="149"/>
  <c r="Z53" i="152"/>
  <c r="X53" i="152"/>
  <c r="AA53" i="152"/>
  <c r="V53" i="152"/>
  <c r="V53" i="129"/>
  <c r="Z53" i="129"/>
  <c r="X53" i="129"/>
  <c r="AA53" i="129"/>
  <c r="AB53" i="129"/>
  <c r="AK42" i="72"/>
  <c r="G42" i="100"/>
  <c r="AD45" i="113"/>
  <c r="AF45" i="113"/>
  <c r="V45" i="152"/>
  <c r="Z45" i="152"/>
  <c r="X45" i="152"/>
  <c r="AA45" i="152"/>
  <c r="AB45" i="152"/>
  <c r="V45" i="129"/>
  <c r="Z45" i="129"/>
  <c r="X45" i="129"/>
  <c r="Z45" i="125"/>
  <c r="V45" i="125"/>
  <c r="X45" i="125"/>
  <c r="X45" i="149"/>
  <c r="V45" i="149"/>
  <c r="Z45" i="149"/>
  <c r="Z45" i="120"/>
  <c r="V45" i="120"/>
  <c r="X45" i="120"/>
  <c r="AA45" i="120"/>
  <c r="AB45" i="120"/>
  <c r="V45" i="148"/>
  <c r="X45" i="148"/>
  <c r="Z45" i="148"/>
  <c r="AA45" i="148"/>
  <c r="AB45" i="148"/>
  <c r="Z45" i="117"/>
  <c r="V45" i="117"/>
  <c r="X45" i="117"/>
  <c r="AA45" i="117"/>
  <c r="AB45" i="117"/>
  <c r="X45" i="147"/>
  <c r="V45" i="147"/>
  <c r="Z45" i="147"/>
  <c r="AA45" i="80"/>
  <c r="W45" i="80"/>
  <c r="Y45" i="80"/>
  <c r="V45" i="119"/>
  <c r="Z45" i="119"/>
  <c r="X45" i="119"/>
  <c r="Z45" i="153"/>
  <c r="X45" i="153"/>
  <c r="AA45" i="153"/>
  <c r="V45" i="153"/>
  <c r="AB45" i="153"/>
  <c r="Z9" i="127"/>
  <c r="V9" i="127"/>
  <c r="X9" i="127"/>
  <c r="Z9" i="152"/>
  <c r="X9" i="152"/>
  <c r="V9" i="152"/>
  <c r="V9" i="128"/>
  <c r="Z9" i="128"/>
  <c r="X9" i="128"/>
  <c r="V9" i="126"/>
  <c r="Z9" i="126"/>
  <c r="X9" i="126"/>
  <c r="AA9" i="126"/>
  <c r="AB9" i="126"/>
  <c r="V9" i="153"/>
  <c r="Z9" i="153"/>
  <c r="X9" i="153"/>
  <c r="Z9" i="146"/>
  <c r="X9" i="146"/>
  <c r="V9" i="146"/>
  <c r="Z9" i="147"/>
  <c r="X9" i="147"/>
  <c r="AA9" i="147"/>
  <c r="V9" i="147"/>
  <c r="Z9" i="118"/>
  <c r="V9" i="118"/>
  <c r="X9" i="118"/>
  <c r="AA9" i="118"/>
  <c r="AB9" i="118"/>
  <c r="W9" i="76"/>
  <c r="AA9" i="76"/>
  <c r="Y9" i="76"/>
  <c r="X9" i="151"/>
  <c r="V9" i="151"/>
  <c r="Z9" i="151"/>
  <c r="G53" i="100"/>
  <c r="AK53" i="72"/>
  <c r="Z56" i="118"/>
  <c r="V56" i="118"/>
  <c r="X56" i="118"/>
  <c r="AA56" i="118"/>
  <c r="AB56" i="118"/>
  <c r="V56" i="117"/>
  <c r="Z56" i="117"/>
  <c r="X56" i="117"/>
  <c r="V56" i="147"/>
  <c r="Z56" i="147"/>
  <c r="X56" i="147"/>
  <c r="V56" i="127"/>
  <c r="Z56" i="127"/>
  <c r="X56" i="127"/>
  <c r="W56" i="80"/>
  <c r="AA56" i="80"/>
  <c r="Y56" i="80"/>
  <c r="AA56" i="76"/>
  <c r="W56" i="76"/>
  <c r="Y56" i="76"/>
  <c r="X56" i="153"/>
  <c r="V56" i="153"/>
  <c r="Z56" i="153"/>
  <c r="V56" i="119"/>
  <c r="Z56" i="119"/>
  <c r="X56" i="119"/>
  <c r="Z56" i="116"/>
  <c r="V56" i="116"/>
  <c r="X56" i="116"/>
  <c r="X56" i="149"/>
  <c r="V56" i="149"/>
  <c r="Z56" i="149"/>
  <c r="V70" i="145"/>
  <c r="X70" i="145"/>
  <c r="Z70" i="145"/>
  <c r="Z70" i="127"/>
  <c r="V70" i="127"/>
  <c r="X70" i="127"/>
  <c r="X70" i="144"/>
  <c r="Z70" i="144"/>
  <c r="V70" i="144"/>
  <c r="V70" i="125"/>
  <c r="Z70" i="125"/>
  <c r="X70" i="125"/>
  <c r="X70" i="151"/>
  <c r="V70" i="151"/>
  <c r="Z70" i="151"/>
  <c r="AA70" i="76"/>
  <c r="W70" i="76"/>
  <c r="Y70" i="76"/>
  <c r="Z70" i="117"/>
  <c r="V70" i="117"/>
  <c r="X70" i="117"/>
  <c r="V70" i="119"/>
  <c r="Z70" i="119"/>
  <c r="X70" i="119"/>
  <c r="X70" i="148"/>
  <c r="V70" i="148"/>
  <c r="Z70" i="148"/>
  <c r="X70" i="146"/>
  <c r="V70" i="146"/>
  <c r="Z70" i="146"/>
  <c r="V70" i="152"/>
  <c r="Z70" i="152"/>
  <c r="X70" i="152"/>
  <c r="V70" i="131"/>
  <c r="Z70" i="131"/>
  <c r="X70" i="131"/>
  <c r="G47" i="100"/>
  <c r="AK47" i="72"/>
  <c r="V50" i="127"/>
  <c r="Z50" i="127"/>
  <c r="X50" i="127"/>
  <c r="X50" i="147"/>
  <c r="V50" i="147"/>
  <c r="Z50" i="147"/>
  <c r="V50" i="146"/>
  <c r="Z50" i="146"/>
  <c r="X50" i="146"/>
  <c r="Z50" i="152"/>
  <c r="X50" i="152"/>
  <c r="V50" i="152"/>
  <c r="V50" i="118"/>
  <c r="Z50" i="118"/>
  <c r="X50" i="118"/>
  <c r="Z50" i="117"/>
  <c r="V50" i="117"/>
  <c r="X50" i="117"/>
  <c r="AA50" i="117"/>
  <c r="V50" i="119"/>
  <c r="Z50" i="119"/>
  <c r="X50" i="119"/>
  <c r="Z50" i="126"/>
  <c r="V50" i="126"/>
  <c r="X50" i="126"/>
  <c r="V50" i="144"/>
  <c r="Z50" i="144"/>
  <c r="X50" i="144"/>
  <c r="AA50" i="76"/>
  <c r="W50" i="76"/>
  <c r="Y50" i="76"/>
  <c r="AB50" i="76"/>
  <c r="X50" i="153"/>
  <c r="V50" i="153"/>
  <c r="Z50" i="153"/>
  <c r="U71" i="152"/>
  <c r="U71" i="117"/>
  <c r="U71" i="148"/>
  <c r="U71" i="119"/>
  <c r="U71" i="149"/>
  <c r="U71" i="131"/>
  <c r="U71" i="145"/>
  <c r="U71" i="129"/>
  <c r="U71" i="151"/>
  <c r="U71" i="116"/>
  <c r="V71" i="80"/>
  <c r="U71" i="147"/>
  <c r="U71" i="120"/>
  <c r="U71" i="125"/>
  <c r="U71" i="153"/>
  <c r="U71" i="146"/>
  <c r="V71" i="76"/>
  <c r="U71" i="128"/>
  <c r="U71" i="144"/>
  <c r="U71" i="118"/>
  <c r="U71" i="127"/>
  <c r="U71" i="126"/>
  <c r="Z30" i="125"/>
  <c r="V30" i="125"/>
  <c r="X30" i="125"/>
  <c r="AA30" i="125"/>
  <c r="AB30" i="125"/>
  <c r="V30" i="148"/>
  <c r="Z30" i="148"/>
  <c r="X30" i="148"/>
  <c r="W30" i="76"/>
  <c r="AA30" i="76"/>
  <c r="Y30" i="76"/>
  <c r="Z30" i="120"/>
  <c r="V30" i="120"/>
  <c r="X30" i="120"/>
  <c r="AA30" i="120"/>
  <c r="V30" i="117"/>
  <c r="Z30" i="117"/>
  <c r="X30" i="117"/>
  <c r="Z30" i="152"/>
  <c r="X30" i="152"/>
  <c r="V30" i="152"/>
  <c r="Z30" i="127"/>
  <c r="V30" i="127"/>
  <c r="X30" i="127"/>
  <c r="AA30" i="127"/>
  <c r="AB30" i="127"/>
  <c r="Z30" i="119"/>
  <c r="V30" i="119"/>
  <c r="X30" i="119"/>
  <c r="AA30" i="119"/>
  <c r="X30" i="146"/>
  <c r="V30" i="146"/>
  <c r="Z30" i="146"/>
  <c r="V30" i="149"/>
  <c r="Z30" i="149"/>
  <c r="X30" i="149"/>
  <c r="X30" i="153"/>
  <c r="V30" i="153"/>
  <c r="Z30" i="153"/>
  <c r="V30" i="131"/>
  <c r="Z30" i="131"/>
  <c r="X30" i="131"/>
  <c r="G61" i="100"/>
  <c r="AK61" i="72"/>
  <c r="AD64" i="113"/>
  <c r="AF64" i="113"/>
  <c r="W64" i="80"/>
  <c r="AA64" i="80"/>
  <c r="Y64" i="80"/>
  <c r="Z64" i="125"/>
  <c r="V64" i="125"/>
  <c r="X64" i="125"/>
  <c r="AA64" i="125"/>
  <c r="AB64" i="125"/>
  <c r="V64" i="144"/>
  <c r="Z64" i="144"/>
  <c r="X64" i="144"/>
  <c r="V64" i="151"/>
  <c r="X64" i="151"/>
  <c r="Z64" i="151"/>
  <c r="AA64" i="76"/>
  <c r="W64" i="76"/>
  <c r="Y64" i="76"/>
  <c r="AB64" i="76"/>
  <c r="AC64" i="76"/>
  <c r="X64" i="149"/>
  <c r="V64" i="149"/>
  <c r="Z64" i="149"/>
  <c r="Z64" i="117"/>
  <c r="V64" i="117"/>
  <c r="X64" i="117"/>
  <c r="V64" i="127"/>
  <c r="Z64" i="127"/>
  <c r="X64" i="127"/>
  <c r="Z64" i="146"/>
  <c r="X64" i="146"/>
  <c r="V64" i="146"/>
  <c r="Z64" i="145"/>
  <c r="V64" i="145"/>
  <c r="X64" i="145"/>
  <c r="AA64" i="145"/>
  <c r="Z64" i="153"/>
  <c r="X64" i="153"/>
  <c r="V64" i="153"/>
  <c r="V22" i="147"/>
  <c r="X22" i="147"/>
  <c r="Z22" i="147"/>
  <c r="AA22" i="147"/>
  <c r="Z22" i="151"/>
  <c r="X22" i="151"/>
  <c r="V22" i="151"/>
  <c r="V22" i="145"/>
  <c r="Z22" i="145"/>
  <c r="X22" i="145"/>
  <c r="V22" i="119"/>
  <c r="Z22" i="119"/>
  <c r="X22" i="119"/>
  <c r="AA22" i="119"/>
  <c r="AB22" i="119"/>
  <c r="V22" i="152"/>
  <c r="Z22" i="152"/>
  <c r="X22" i="152"/>
  <c r="Z22" i="129"/>
  <c r="V22" i="129"/>
  <c r="X22" i="129"/>
  <c r="AA22" i="129"/>
  <c r="AB22" i="129"/>
  <c r="V22" i="131"/>
  <c r="Z22" i="131"/>
  <c r="X22" i="131"/>
  <c r="V22" i="128"/>
  <c r="Z22" i="128"/>
  <c r="X22" i="128"/>
  <c r="AA22" i="128"/>
  <c r="AB22" i="128"/>
  <c r="W22" i="76"/>
  <c r="AA22" i="76"/>
  <c r="Y22" i="76"/>
  <c r="Z22" i="126"/>
  <c r="V22" i="126"/>
  <c r="X22" i="126"/>
  <c r="AA22" i="126"/>
  <c r="AB22" i="126"/>
  <c r="V22" i="144"/>
  <c r="X22" i="144"/>
  <c r="Z22" i="144"/>
  <c r="AA22" i="144"/>
  <c r="AB22" i="144"/>
  <c r="AK28" i="72"/>
  <c r="G28" i="100"/>
  <c r="AD31" i="113"/>
  <c r="AF31" i="113"/>
  <c r="Z31" i="120"/>
  <c r="V31" i="120"/>
  <c r="X31" i="120"/>
  <c r="AA31" i="120"/>
  <c r="Z31" i="151"/>
  <c r="X31" i="151"/>
  <c r="V31" i="151"/>
  <c r="V31" i="129"/>
  <c r="Z31" i="129"/>
  <c r="X31" i="129"/>
  <c r="V31" i="148"/>
  <c r="X31" i="148"/>
  <c r="Z31" i="148"/>
  <c r="V31" i="131"/>
  <c r="Z31" i="131"/>
  <c r="X31" i="131"/>
  <c r="Z31" i="153"/>
  <c r="X31" i="153"/>
  <c r="V31" i="153"/>
  <c r="Z31" i="145"/>
  <c r="X31" i="145"/>
  <c r="AA31" i="145"/>
  <c r="V31" i="145"/>
  <c r="AB31" i="145"/>
  <c r="X31" i="146"/>
  <c r="V31" i="146"/>
  <c r="Z31" i="146"/>
  <c r="Z31" i="116"/>
  <c r="V31" i="116"/>
  <c r="X31" i="116"/>
  <c r="AA31" i="116"/>
  <c r="V31" i="125"/>
  <c r="Z31" i="125"/>
  <c r="X31" i="125"/>
  <c r="AA31" i="125"/>
  <c r="AB31" i="125"/>
  <c r="X31" i="144"/>
  <c r="V31" i="144"/>
  <c r="Z31" i="144"/>
  <c r="X29" i="149"/>
  <c r="Z29" i="149"/>
  <c r="V29" i="149"/>
  <c r="Z29" i="129"/>
  <c r="V29" i="129"/>
  <c r="X29" i="129"/>
  <c r="AA29" i="129"/>
  <c r="AB29" i="129"/>
  <c r="X29" i="144"/>
  <c r="Z29" i="144"/>
  <c r="V29" i="144"/>
  <c r="Z29" i="125"/>
  <c r="V29" i="125"/>
  <c r="X29" i="125"/>
  <c r="V29" i="152"/>
  <c r="Z29" i="152"/>
  <c r="X29" i="152"/>
  <c r="V29" i="116"/>
  <c r="Z29" i="116"/>
  <c r="X29" i="116"/>
  <c r="AA29" i="116"/>
  <c r="AB29" i="116"/>
  <c r="Z29" i="128"/>
  <c r="V29" i="128"/>
  <c r="X29" i="128"/>
  <c r="AA29" i="128"/>
  <c r="V29" i="147"/>
  <c r="X29" i="147"/>
  <c r="Z29" i="147"/>
  <c r="AA29" i="147"/>
  <c r="V29" i="145"/>
  <c r="Z29" i="145"/>
  <c r="X29" i="145"/>
  <c r="AA29" i="145"/>
  <c r="AB29" i="145"/>
  <c r="Z29" i="151"/>
  <c r="V29" i="151"/>
  <c r="X29" i="151"/>
  <c r="AA29" i="151"/>
  <c r="Z29" i="120"/>
  <c r="V29" i="120"/>
  <c r="X29" i="120"/>
  <c r="U75" i="120"/>
  <c r="U75" i="144"/>
  <c r="U75" i="119"/>
  <c r="U75" i="127"/>
  <c r="U75" i="147"/>
  <c r="U75" i="125"/>
  <c r="U75" i="129"/>
  <c r="U75" i="153"/>
  <c r="V75" i="80"/>
  <c r="U75" i="118"/>
  <c r="U75" i="152"/>
  <c r="U75" i="128"/>
  <c r="U75" i="126"/>
  <c r="U75" i="151"/>
  <c r="U75" i="149"/>
  <c r="U75" i="146"/>
  <c r="V75" i="76"/>
  <c r="U75" i="116"/>
  <c r="U75" i="145"/>
  <c r="U75" i="148"/>
  <c r="U75" i="131"/>
  <c r="U75" i="117"/>
  <c r="U51" i="144"/>
  <c r="U51" i="126"/>
  <c r="U51" i="128"/>
  <c r="U51" i="129"/>
  <c r="U51" i="117"/>
  <c r="U51" i="127"/>
  <c r="U51" i="146"/>
  <c r="V51" i="76"/>
  <c r="U51" i="149"/>
  <c r="U51" i="131"/>
  <c r="U51" i="148"/>
  <c r="U51" i="145"/>
  <c r="U51" i="153"/>
  <c r="U51" i="118"/>
  <c r="U51" i="116"/>
  <c r="U51" i="147"/>
  <c r="U51" i="125"/>
  <c r="U51" i="119"/>
  <c r="U51" i="120"/>
  <c r="U51" i="152"/>
  <c r="U51" i="151"/>
  <c r="V51" i="80"/>
  <c r="U63" i="146"/>
  <c r="U63" i="127"/>
  <c r="U63" i="117"/>
  <c r="U63" i="152"/>
  <c r="U63" i="131"/>
  <c r="U63" i="147"/>
  <c r="U63" i="151"/>
  <c r="U63" i="119"/>
  <c r="U63" i="125"/>
  <c r="U63" i="144"/>
  <c r="U63" i="118"/>
  <c r="V63" i="80"/>
  <c r="U63" i="128"/>
  <c r="U63" i="153"/>
  <c r="V63" i="76"/>
  <c r="U63" i="129"/>
  <c r="U63" i="149"/>
  <c r="U63" i="148"/>
  <c r="U63" i="120"/>
  <c r="U63" i="126"/>
  <c r="U63" i="116"/>
  <c r="U63" i="145"/>
  <c r="U47" i="144"/>
  <c r="U47" i="126"/>
  <c r="U47" i="125"/>
  <c r="U47" i="117"/>
  <c r="U47" i="118"/>
  <c r="U47" i="147"/>
  <c r="U47" i="131"/>
  <c r="U47" i="146"/>
  <c r="U47" i="129"/>
  <c r="U47" i="149"/>
  <c r="U47" i="145"/>
  <c r="U47" i="153"/>
  <c r="V47" i="76"/>
  <c r="U47" i="128"/>
  <c r="U47" i="148"/>
  <c r="V47" i="80"/>
  <c r="U47" i="119"/>
  <c r="U47" i="116"/>
  <c r="U47" i="152"/>
  <c r="U47" i="151"/>
  <c r="U47" i="120"/>
  <c r="U47" i="127"/>
  <c r="U14" i="146"/>
  <c r="U14" i="129"/>
  <c r="U14" i="144"/>
  <c r="U14" i="153"/>
  <c r="U14" i="116"/>
  <c r="U14" i="145"/>
  <c r="U14" i="149"/>
  <c r="U14" i="120"/>
  <c r="U14" i="119"/>
  <c r="U14" i="152"/>
  <c r="U14" i="125"/>
  <c r="V14" i="80"/>
  <c r="V14" i="76"/>
  <c r="U14" i="118"/>
  <c r="U14" i="147"/>
  <c r="U14" i="128"/>
  <c r="U14" i="131"/>
  <c r="U14" i="151"/>
  <c r="U14" i="117"/>
  <c r="U14" i="126"/>
  <c r="U14" i="127"/>
  <c r="U14" i="148"/>
  <c r="U40" i="153"/>
  <c r="U40" i="129"/>
  <c r="U40" i="131"/>
  <c r="U40" i="120"/>
  <c r="U40" i="152"/>
  <c r="U40" i="126"/>
  <c r="U40" i="144"/>
  <c r="U40" i="125"/>
  <c r="U40" i="146"/>
  <c r="V40" i="80"/>
  <c r="U40" i="116"/>
  <c r="U40" i="149"/>
  <c r="U40" i="147"/>
  <c r="U40" i="127"/>
  <c r="U40" i="117"/>
  <c r="U40" i="148"/>
  <c r="V40" i="76"/>
  <c r="U40" i="128"/>
  <c r="U40" i="118"/>
  <c r="U40" i="151"/>
  <c r="U40" i="145"/>
  <c r="U40" i="119"/>
  <c r="U58" i="149"/>
  <c r="U58" i="125"/>
  <c r="U58" i="152"/>
  <c r="U58" i="129"/>
  <c r="U58" i="148"/>
  <c r="U58" i="146"/>
  <c r="U58" i="116"/>
  <c r="U58" i="128"/>
  <c r="U58" i="153"/>
  <c r="U58" i="120"/>
  <c r="V58" i="76"/>
  <c r="U58" i="118"/>
  <c r="U58" i="131"/>
  <c r="U58" i="151"/>
  <c r="V58" i="80"/>
  <c r="U58" i="127"/>
  <c r="U58" i="147"/>
  <c r="U58" i="144"/>
  <c r="U58" i="126"/>
  <c r="U58" i="119"/>
  <c r="U58" i="117"/>
  <c r="U58" i="145"/>
  <c r="U12" i="152"/>
  <c r="U12" i="118"/>
  <c r="V12" i="80"/>
  <c r="U12" i="120"/>
  <c r="U12" i="148"/>
  <c r="U12" i="125"/>
  <c r="U12" i="144"/>
  <c r="U12" i="128"/>
  <c r="U12" i="147"/>
  <c r="U12" i="129"/>
  <c r="U12" i="116"/>
  <c r="U12" i="149"/>
  <c r="U12" i="146"/>
  <c r="U12" i="127"/>
  <c r="U12" i="151"/>
  <c r="V12" i="76"/>
  <c r="U12" i="126"/>
  <c r="U12" i="117"/>
  <c r="U12" i="153"/>
  <c r="U12" i="145"/>
  <c r="U12" i="119"/>
  <c r="U12" i="131"/>
  <c r="U43" i="146"/>
  <c r="U43" i="131"/>
  <c r="U43" i="145"/>
  <c r="U43" i="151"/>
  <c r="U43" i="117"/>
  <c r="U43" i="152"/>
  <c r="U43" i="153"/>
  <c r="U43" i="116"/>
  <c r="V43" i="76"/>
  <c r="U43" i="144"/>
  <c r="U43" i="127"/>
  <c r="U43" i="128"/>
  <c r="V43" i="80"/>
  <c r="U43" i="126"/>
  <c r="U43" i="129"/>
  <c r="U43" i="125"/>
  <c r="U43" i="149"/>
  <c r="U43" i="147"/>
  <c r="U43" i="120"/>
  <c r="U43" i="119"/>
  <c r="U43" i="118"/>
  <c r="U43" i="148"/>
  <c r="U20" i="152"/>
  <c r="U20" i="120"/>
  <c r="V20" i="80"/>
  <c r="U20" i="126"/>
  <c r="U20" i="148"/>
  <c r="U20" i="125"/>
  <c r="U20" i="144"/>
  <c r="U20" i="118"/>
  <c r="U20" i="147"/>
  <c r="V20" i="76"/>
  <c r="U20" i="116"/>
  <c r="U20" i="145"/>
  <c r="U20" i="146"/>
  <c r="U20" i="129"/>
  <c r="U20" i="151"/>
  <c r="U20" i="128"/>
  <c r="U20" i="127"/>
  <c r="U20" i="117"/>
  <c r="U20" i="153"/>
  <c r="U20" i="149"/>
  <c r="U20" i="119"/>
  <c r="U20" i="131"/>
  <c r="U8" i="146"/>
  <c r="V8" i="80"/>
  <c r="U8" i="116"/>
  <c r="U8" i="153"/>
  <c r="U8" i="117"/>
  <c r="U8" i="145"/>
  <c r="U8" i="149"/>
  <c r="U8" i="128"/>
  <c r="U8" i="126"/>
  <c r="U8" i="152"/>
  <c r="U8" i="127"/>
  <c r="U8" i="131"/>
  <c r="U8" i="119"/>
  <c r="U8" i="147"/>
  <c r="U8" i="129"/>
  <c r="V8" i="76"/>
  <c r="U8" i="151"/>
  <c r="U8" i="144"/>
  <c r="U8" i="125"/>
  <c r="U8" i="118"/>
  <c r="U8" i="120"/>
  <c r="U8" i="148"/>
  <c r="U52" i="118"/>
  <c r="U52" i="145"/>
  <c r="U52" i="120"/>
  <c r="U52" i="129"/>
  <c r="U52" i="148"/>
  <c r="V52" i="76"/>
  <c r="V52" i="80"/>
  <c r="U52" i="153"/>
  <c r="U52" i="144"/>
  <c r="U52" i="126"/>
  <c r="U52" i="149"/>
  <c r="U52" i="128"/>
  <c r="U52" i="125"/>
  <c r="U52" i="146"/>
  <c r="U52" i="116"/>
  <c r="U52" i="131"/>
  <c r="U52" i="117"/>
  <c r="U52" i="151"/>
  <c r="U52" i="119"/>
  <c r="U52" i="127"/>
  <c r="U52" i="152"/>
  <c r="U52" i="147"/>
  <c r="U23" i="153"/>
  <c r="U23" i="120"/>
  <c r="U23" i="151"/>
  <c r="U23" i="119"/>
  <c r="U23" i="144"/>
  <c r="U23" i="131"/>
  <c r="V23" i="80"/>
  <c r="U23" i="148"/>
  <c r="U23" i="129"/>
  <c r="U23" i="117"/>
  <c r="U23" i="126"/>
  <c r="U23" i="127"/>
  <c r="U23" i="152"/>
  <c r="U23" i="149"/>
  <c r="U23" i="125"/>
  <c r="U23" i="145"/>
  <c r="U23" i="147"/>
  <c r="U23" i="118"/>
  <c r="U23" i="128"/>
  <c r="U23" i="146"/>
  <c r="V23" i="76"/>
  <c r="U23" i="116"/>
  <c r="U38" i="117"/>
  <c r="U38" i="153"/>
  <c r="U38" i="127"/>
  <c r="U38" i="119"/>
  <c r="U38" i="146"/>
  <c r="U38" i="131"/>
  <c r="V38" i="80"/>
  <c r="U38" i="151"/>
  <c r="U38" i="116"/>
  <c r="U38" i="126"/>
  <c r="U38" i="145"/>
  <c r="U38" i="128"/>
  <c r="U38" i="120"/>
  <c r="U38" i="149"/>
  <c r="U38" i="144"/>
  <c r="U38" i="129"/>
  <c r="U38" i="118"/>
  <c r="U38" i="152"/>
  <c r="V38" i="76"/>
  <c r="U38" i="125"/>
  <c r="U38" i="148"/>
  <c r="U38" i="147"/>
  <c r="AH12" i="46"/>
  <c r="AH17" i="46"/>
  <c r="AD12" i="46"/>
  <c r="Z46" i="118"/>
  <c r="V46" i="118"/>
  <c r="X46" i="118"/>
  <c r="AA46" i="118"/>
  <c r="W46" i="76"/>
  <c r="AA46" i="76"/>
  <c r="Y46" i="76"/>
  <c r="AB46" i="76"/>
  <c r="AC46" i="76"/>
  <c r="Z46" i="146"/>
  <c r="V46" i="146"/>
  <c r="X46" i="146"/>
  <c r="AA46" i="146"/>
  <c r="X46" i="152"/>
  <c r="V46" i="152"/>
  <c r="Z46" i="152"/>
  <c r="Z46" i="120"/>
  <c r="V46" i="120"/>
  <c r="X46" i="120"/>
  <c r="Z46" i="131"/>
  <c r="V46" i="131"/>
  <c r="X46" i="131"/>
  <c r="AA46" i="131"/>
  <c r="AB46" i="131"/>
  <c r="Z46" i="128"/>
  <c r="V46" i="128"/>
  <c r="X46" i="128"/>
  <c r="AA46" i="128"/>
  <c r="Z46" i="129"/>
  <c r="V46" i="129"/>
  <c r="X46" i="129"/>
  <c r="AA46" i="129"/>
  <c r="AB46" i="129"/>
  <c r="Z46" i="117"/>
  <c r="V46" i="117"/>
  <c r="X46" i="117"/>
  <c r="V46" i="144"/>
  <c r="Z46" i="144"/>
  <c r="X46" i="144"/>
  <c r="AA46" i="144"/>
  <c r="AB46" i="144"/>
  <c r="V46" i="151"/>
  <c r="Z46" i="151"/>
  <c r="X46" i="151"/>
  <c r="Z46" i="125"/>
  <c r="V46" i="125"/>
  <c r="X46" i="125"/>
  <c r="Z55" i="146"/>
  <c r="X55" i="146"/>
  <c r="AA55" i="146"/>
  <c r="V55" i="146"/>
  <c r="Z55" i="127"/>
  <c r="V55" i="127"/>
  <c r="X55" i="127"/>
  <c r="AA55" i="127"/>
  <c r="AB55" i="127"/>
  <c r="Z55" i="129"/>
  <c r="V55" i="129"/>
  <c r="X55" i="129"/>
  <c r="AA55" i="129"/>
  <c r="Z55" i="128"/>
  <c r="V55" i="128"/>
  <c r="X55" i="128"/>
  <c r="V55" i="117"/>
  <c r="Z55" i="117"/>
  <c r="X55" i="117"/>
  <c r="Z55" i="152"/>
  <c r="X55" i="152"/>
  <c r="V55" i="152"/>
  <c r="V55" i="126"/>
  <c r="Z55" i="126"/>
  <c r="X55" i="126"/>
  <c r="V55" i="153"/>
  <c r="Z55" i="153"/>
  <c r="X55" i="153"/>
  <c r="AA55" i="153"/>
  <c r="V55" i="116"/>
  <c r="Z55" i="116"/>
  <c r="X55" i="116"/>
  <c r="V55" i="118"/>
  <c r="Z55" i="118"/>
  <c r="X55" i="118"/>
  <c r="AA55" i="118"/>
  <c r="AB55" i="118"/>
  <c r="V55" i="149"/>
  <c r="Z55" i="149"/>
  <c r="X55" i="149"/>
  <c r="X55" i="145"/>
  <c r="V55" i="145"/>
  <c r="Z55" i="145"/>
  <c r="Z54" i="118"/>
  <c r="V54" i="118"/>
  <c r="X54" i="118"/>
  <c r="AA54" i="80"/>
  <c r="W54" i="80"/>
  <c r="Y54" i="80"/>
  <c r="AB54" i="80"/>
  <c r="AC54" i="80"/>
  <c r="Z54" i="147"/>
  <c r="X54" i="147"/>
  <c r="AA54" i="147"/>
  <c r="V54" i="147"/>
  <c r="V54" i="148"/>
  <c r="Z54" i="148"/>
  <c r="X54" i="148"/>
  <c r="AA54" i="148"/>
  <c r="Z54" i="129"/>
  <c r="V54" i="129"/>
  <c r="X54" i="129"/>
  <c r="AA54" i="129"/>
  <c r="Z54" i="119"/>
  <c r="V54" i="119"/>
  <c r="X54" i="119"/>
  <c r="Z54" i="131"/>
  <c r="V54" i="131"/>
  <c r="X54" i="131"/>
  <c r="Z54" i="126"/>
  <c r="V54" i="126"/>
  <c r="X54" i="126"/>
  <c r="AA54" i="126"/>
  <c r="AB54" i="126"/>
  <c r="V54" i="153"/>
  <c r="X54" i="153"/>
  <c r="Z54" i="153"/>
  <c r="Z54" i="127"/>
  <c r="V54" i="127"/>
  <c r="X54" i="127"/>
  <c r="AA54" i="127"/>
  <c r="W69" i="80"/>
  <c r="AA69" i="80"/>
  <c r="Y69" i="80"/>
  <c r="AB69" i="80"/>
  <c r="AC69" i="80"/>
  <c r="Z69" i="117"/>
  <c r="V69" i="117"/>
  <c r="X69" i="117"/>
  <c r="AA69" i="117"/>
  <c r="X69" i="149"/>
  <c r="V69" i="149"/>
  <c r="Z69" i="149"/>
  <c r="W69" i="76"/>
  <c r="AA69" i="76"/>
  <c r="Y69" i="76"/>
  <c r="AB69" i="76"/>
  <c r="AC69" i="76"/>
  <c r="X69" i="148"/>
  <c r="V69" i="148"/>
  <c r="Z69" i="148"/>
  <c r="Z69" i="120"/>
  <c r="V69" i="120"/>
  <c r="X69" i="120"/>
  <c r="X69" i="146"/>
  <c r="Z69" i="146"/>
  <c r="AA69" i="146"/>
  <c r="V69" i="146"/>
  <c r="V69" i="147"/>
  <c r="Z69" i="147"/>
  <c r="X69" i="147"/>
  <c r="Z69" i="128"/>
  <c r="V69" i="128"/>
  <c r="X69" i="128"/>
  <c r="AA69" i="128"/>
  <c r="AB69" i="128"/>
  <c r="Z69" i="126"/>
  <c r="V69" i="126"/>
  <c r="X69" i="126"/>
  <c r="AA69" i="126"/>
  <c r="AK24" i="72"/>
  <c r="G24" i="100"/>
  <c r="Z27" i="148"/>
  <c r="V27" i="148"/>
  <c r="X27" i="148"/>
  <c r="AA27" i="148"/>
  <c r="Z27" i="116"/>
  <c r="V27" i="116"/>
  <c r="X27" i="116"/>
  <c r="AA27" i="116"/>
  <c r="AB27" i="116"/>
  <c r="AA27" i="76"/>
  <c r="W27" i="76"/>
  <c r="Y27" i="76"/>
  <c r="AB27" i="76"/>
  <c r="V27" i="147"/>
  <c r="X27" i="147"/>
  <c r="Z27" i="147"/>
  <c r="AA27" i="147"/>
  <c r="AB27" i="147"/>
  <c r="V27" i="145"/>
  <c r="X27" i="145"/>
  <c r="Z27" i="145"/>
  <c r="V27" i="146"/>
  <c r="Z27" i="146"/>
  <c r="X27" i="146"/>
  <c r="Z27" i="120"/>
  <c r="V27" i="120"/>
  <c r="X27" i="120"/>
  <c r="V27" i="127"/>
  <c r="Z27" i="127"/>
  <c r="X27" i="127"/>
  <c r="W27" i="80"/>
  <c r="AA27" i="80"/>
  <c r="Y27" i="80"/>
  <c r="AB27" i="80"/>
  <c r="AC27" i="80"/>
  <c r="X27" i="144"/>
  <c r="V27" i="144"/>
  <c r="Z27" i="144"/>
  <c r="V61" i="126"/>
  <c r="Z61" i="126"/>
  <c r="X61" i="126"/>
  <c r="AA61" i="126"/>
  <c r="AB61" i="126"/>
  <c r="Z61" i="118"/>
  <c r="V61" i="118"/>
  <c r="X61" i="118"/>
  <c r="AA61" i="118"/>
  <c r="X61" i="151"/>
  <c r="V61" i="151"/>
  <c r="Z61" i="151"/>
  <c r="V61" i="125"/>
  <c r="Z61" i="125"/>
  <c r="X61" i="125"/>
  <c r="AA61" i="125"/>
  <c r="AB61" i="125"/>
  <c r="V61" i="117"/>
  <c r="Z61" i="117"/>
  <c r="X61" i="117"/>
  <c r="Z61" i="128"/>
  <c r="V61" i="128"/>
  <c r="X61" i="128"/>
  <c r="AA61" i="128"/>
  <c r="AB61" i="128"/>
  <c r="W61" i="76"/>
  <c r="AA61" i="76"/>
  <c r="Y61" i="76"/>
  <c r="X61" i="147"/>
  <c r="Z61" i="147"/>
  <c r="AA61" i="147"/>
  <c r="V61" i="147"/>
  <c r="Z61" i="145"/>
  <c r="V61" i="145"/>
  <c r="X61" i="145"/>
  <c r="AA61" i="145"/>
  <c r="Z61" i="152"/>
  <c r="V61" i="152"/>
  <c r="X61" i="152"/>
  <c r="AA61" i="152"/>
  <c r="AB61" i="152"/>
  <c r="Z61" i="129"/>
  <c r="V61" i="129"/>
  <c r="X61" i="129"/>
  <c r="AK14" i="72"/>
  <c r="G14" i="100"/>
  <c r="Z17" i="147"/>
  <c r="V17" i="147"/>
  <c r="X17" i="147"/>
  <c r="AA17" i="147"/>
  <c r="Z17" i="116"/>
  <c r="V17" i="116"/>
  <c r="X17" i="116"/>
  <c r="AA17" i="116"/>
  <c r="AB17" i="116"/>
  <c r="V17" i="126"/>
  <c r="Z17" i="126"/>
  <c r="X17" i="126"/>
  <c r="Z17" i="146"/>
  <c r="X17" i="146"/>
  <c r="V17" i="146"/>
  <c r="Z17" i="145"/>
  <c r="X17" i="145"/>
  <c r="V17" i="145"/>
  <c r="V17" i="125"/>
  <c r="Z17" i="125"/>
  <c r="X17" i="125"/>
  <c r="V17" i="149"/>
  <c r="X17" i="149"/>
  <c r="Z17" i="149"/>
  <c r="Z17" i="118"/>
  <c r="V17" i="118"/>
  <c r="X17" i="118"/>
  <c r="V17" i="127"/>
  <c r="Z17" i="127"/>
  <c r="X17" i="127"/>
  <c r="V17" i="128"/>
  <c r="Z17" i="128"/>
  <c r="X17" i="128"/>
  <c r="Z17" i="153"/>
  <c r="X17" i="153"/>
  <c r="V17" i="153"/>
  <c r="V65" i="117"/>
  <c r="Z65" i="117"/>
  <c r="X65" i="117"/>
  <c r="W65" i="76"/>
  <c r="AA65" i="76"/>
  <c r="Y65" i="76"/>
  <c r="X65" i="153"/>
  <c r="V65" i="153"/>
  <c r="Z65" i="153"/>
  <c r="Z65" i="126"/>
  <c r="V65" i="126"/>
  <c r="X65" i="126"/>
  <c r="AA65" i="126"/>
  <c r="AB65" i="126"/>
  <c r="Z65" i="125"/>
  <c r="V65" i="125"/>
  <c r="X65" i="125"/>
  <c r="AA65" i="125"/>
  <c r="W65" i="80"/>
  <c r="AA65" i="80"/>
  <c r="Y65" i="80"/>
  <c r="AB65" i="80"/>
  <c r="AC65" i="80"/>
  <c r="X65" i="147"/>
  <c r="Z65" i="147"/>
  <c r="V65" i="147"/>
  <c r="X65" i="146"/>
  <c r="V65" i="146"/>
  <c r="Z65" i="146"/>
  <c r="Z65" i="149"/>
  <c r="V65" i="149"/>
  <c r="X65" i="149"/>
  <c r="AA65" i="149"/>
  <c r="AB65" i="149"/>
  <c r="V65" i="129"/>
  <c r="Z65" i="129"/>
  <c r="X65" i="129"/>
  <c r="AD15" i="46"/>
  <c r="AD17" i="46"/>
  <c r="U42" i="126"/>
  <c r="V42" i="80"/>
  <c r="U42" i="129"/>
  <c r="U42" i="145"/>
  <c r="U42" i="144"/>
  <c r="U42" i="147"/>
  <c r="U42" i="116"/>
  <c r="U42" i="131"/>
  <c r="U42" i="149"/>
  <c r="U42" i="127"/>
  <c r="U42" i="148"/>
  <c r="U42" i="146"/>
  <c r="U42" i="153"/>
  <c r="U42" i="118"/>
  <c r="V42" i="76"/>
  <c r="U42" i="151"/>
  <c r="U42" i="128"/>
  <c r="U42" i="125"/>
  <c r="U42" i="120"/>
  <c r="U42" i="152"/>
  <c r="U42" i="117"/>
  <c r="U42" i="119"/>
  <c r="Z10" i="151"/>
  <c r="X10" i="151"/>
  <c r="AA10" i="151"/>
  <c r="V10" i="151"/>
  <c r="V10" i="146"/>
  <c r="X10" i="146"/>
  <c r="Z10" i="146"/>
  <c r="Z10" i="128"/>
  <c r="V10" i="128"/>
  <c r="X10" i="128"/>
  <c r="AA10" i="128"/>
  <c r="V10" i="131"/>
  <c r="Z10" i="131"/>
  <c r="X10" i="131"/>
  <c r="AA10" i="131"/>
  <c r="AB10" i="131"/>
  <c r="Z10" i="145"/>
  <c r="V10" i="145"/>
  <c r="X10" i="145"/>
  <c r="AA10" i="145"/>
  <c r="V10" i="116"/>
  <c r="Z10" i="116"/>
  <c r="X10" i="116"/>
  <c r="AA10" i="80"/>
  <c r="W10" i="80"/>
  <c r="Y10" i="80"/>
  <c r="AB10" i="80"/>
  <c r="Z10" i="125"/>
  <c r="V10" i="125"/>
  <c r="X10" i="125"/>
  <c r="AA10" i="125"/>
  <c r="AB10" i="125"/>
  <c r="Z10" i="126"/>
  <c r="V10" i="126"/>
  <c r="X10" i="126"/>
  <c r="AA10" i="126"/>
  <c r="Z10" i="118"/>
  <c r="V10" i="118"/>
  <c r="X10" i="118"/>
  <c r="X10" i="148"/>
  <c r="V10" i="148"/>
  <c r="Z10" i="148"/>
  <c r="Z10" i="120"/>
  <c r="V10" i="120"/>
  <c r="X10" i="120"/>
  <c r="AA10" i="120"/>
  <c r="V26" i="131"/>
  <c r="Z26" i="131"/>
  <c r="X26" i="131"/>
  <c r="V26" i="149"/>
  <c r="Z26" i="149"/>
  <c r="X26" i="149"/>
  <c r="AA26" i="149"/>
  <c r="W26" i="80"/>
  <c r="AA26" i="80"/>
  <c r="Y26" i="80"/>
  <c r="X26" i="146"/>
  <c r="V26" i="146"/>
  <c r="Z26" i="146"/>
  <c r="V26" i="127"/>
  <c r="Z26" i="127"/>
  <c r="X26" i="127"/>
  <c r="Z26" i="148"/>
  <c r="X26" i="148"/>
  <c r="V26" i="148"/>
  <c r="V26" i="119"/>
  <c r="Z26" i="119"/>
  <c r="X26" i="119"/>
  <c r="Z26" i="144"/>
  <c r="X26" i="144"/>
  <c r="V26" i="144"/>
  <c r="X26" i="153"/>
  <c r="V26" i="153"/>
  <c r="Z26" i="153"/>
  <c r="Z26" i="125"/>
  <c r="V26" i="125"/>
  <c r="X26" i="125"/>
  <c r="AA26" i="125"/>
  <c r="AB26" i="125"/>
  <c r="Z26" i="128"/>
  <c r="V26" i="128"/>
  <c r="X26" i="128"/>
  <c r="AA26" i="128"/>
  <c r="V26" i="151"/>
  <c r="Z26" i="151"/>
  <c r="X26" i="151"/>
  <c r="AA26" i="151"/>
  <c r="AB26" i="151"/>
  <c r="V28" i="120"/>
  <c r="Z28" i="120"/>
  <c r="X28" i="120"/>
  <c r="V28" i="119"/>
  <c r="Z28" i="119"/>
  <c r="X28" i="119"/>
  <c r="V28" i="127"/>
  <c r="Z28" i="127"/>
  <c r="X28" i="127"/>
  <c r="Z28" i="116"/>
  <c r="V28" i="116"/>
  <c r="X28" i="116"/>
  <c r="AA28" i="116"/>
  <c r="AB28" i="116"/>
  <c r="X28" i="144"/>
  <c r="Z28" i="144"/>
  <c r="V28" i="144"/>
  <c r="AA28" i="76"/>
  <c r="W28" i="76"/>
  <c r="Y28" i="76"/>
  <c r="AB28" i="76"/>
  <c r="Z28" i="129"/>
  <c r="V28" i="129"/>
  <c r="X28" i="129"/>
  <c r="X28" i="153"/>
  <c r="V28" i="153"/>
  <c r="Z28" i="153"/>
  <c r="V28" i="117"/>
  <c r="Z28" i="117"/>
  <c r="X28" i="117"/>
  <c r="AA28" i="117"/>
  <c r="AB28" i="117"/>
  <c r="V28" i="131"/>
  <c r="Z28" i="131"/>
  <c r="X28" i="131"/>
  <c r="G33" i="100"/>
  <c r="AK33" i="72"/>
  <c r="Z36" i="147"/>
  <c r="X36" i="147"/>
  <c r="AA36" i="147"/>
  <c r="V36" i="147"/>
  <c r="V36" i="119"/>
  <c r="Z36" i="119"/>
  <c r="X36" i="119"/>
  <c r="AA36" i="119"/>
  <c r="AB36" i="119"/>
  <c r="Z36" i="131"/>
  <c r="V36" i="131"/>
  <c r="X36" i="131"/>
  <c r="X36" i="148"/>
  <c r="V36" i="148"/>
  <c r="Z36" i="148"/>
  <c r="Z36" i="128"/>
  <c r="V36" i="128"/>
  <c r="X36" i="128"/>
  <c r="AA36" i="128"/>
  <c r="Z36" i="126"/>
  <c r="V36" i="126"/>
  <c r="X36" i="126"/>
  <c r="AA36" i="126"/>
  <c r="AB36" i="126"/>
  <c r="V36" i="116"/>
  <c r="Z36" i="116"/>
  <c r="X36" i="116"/>
  <c r="V36" i="151"/>
  <c r="X36" i="151"/>
  <c r="Z36" i="151"/>
  <c r="AA36" i="76"/>
  <c r="W36" i="76"/>
  <c r="Y36" i="76"/>
  <c r="AB36" i="76"/>
  <c r="Z36" i="129"/>
  <c r="V36" i="129"/>
  <c r="X36" i="129"/>
  <c r="AA36" i="129"/>
  <c r="AB36" i="129"/>
  <c r="X36" i="153"/>
  <c r="V36" i="153"/>
  <c r="Z36" i="153"/>
  <c r="Z67" i="129"/>
  <c r="V67" i="129"/>
  <c r="X67" i="129"/>
  <c r="AA67" i="80"/>
  <c r="W67" i="80"/>
  <c r="Y67" i="80"/>
  <c r="AB67" i="80"/>
  <c r="Z67" i="118"/>
  <c r="V67" i="118"/>
  <c r="X67" i="118"/>
  <c r="AA67" i="118"/>
  <c r="AB67" i="118"/>
  <c r="V67" i="117"/>
  <c r="Z67" i="117"/>
  <c r="X67" i="117"/>
  <c r="Z67" i="147"/>
  <c r="X67" i="147"/>
  <c r="V67" i="147"/>
  <c r="V67" i="125"/>
  <c r="Z67" i="125"/>
  <c r="X67" i="125"/>
  <c r="AA67" i="125"/>
  <c r="AB67" i="125"/>
  <c r="V67" i="126"/>
  <c r="Z67" i="126"/>
  <c r="X67" i="126"/>
  <c r="Z67" i="152"/>
  <c r="V67" i="152"/>
  <c r="X67" i="152"/>
  <c r="Z67" i="120"/>
  <c r="V67" i="120"/>
  <c r="X67" i="120"/>
  <c r="Z67" i="128"/>
  <c r="V67" i="128"/>
  <c r="X67" i="128"/>
  <c r="AA67" i="128"/>
  <c r="AB67" i="128"/>
  <c r="V59" i="151"/>
  <c r="Z59" i="151"/>
  <c r="X59" i="151"/>
  <c r="Z59" i="127"/>
  <c r="V59" i="127"/>
  <c r="X59" i="127"/>
  <c r="V59" i="153"/>
  <c r="Z59" i="153"/>
  <c r="X59" i="153"/>
  <c r="Z59" i="120"/>
  <c r="V59" i="120"/>
  <c r="X59" i="120"/>
  <c r="AA59" i="120"/>
  <c r="AB59" i="120"/>
  <c r="Z59" i="149"/>
  <c r="V59" i="149"/>
  <c r="X59" i="149"/>
  <c r="AA59" i="149"/>
  <c r="Z59" i="116"/>
  <c r="V59" i="116"/>
  <c r="X59" i="116"/>
  <c r="Z59" i="147"/>
  <c r="X59" i="147"/>
  <c r="AA59" i="147"/>
  <c r="V59" i="147"/>
  <c r="AB59" i="147"/>
  <c r="Z59" i="128"/>
  <c r="V59" i="128"/>
  <c r="X59" i="128"/>
  <c r="AA59" i="128"/>
  <c r="Z59" i="131"/>
  <c r="V59" i="131"/>
  <c r="X59" i="131"/>
  <c r="Z59" i="146"/>
  <c r="X59" i="146"/>
  <c r="AA59" i="146"/>
  <c r="V59" i="146"/>
  <c r="AB59" i="146"/>
  <c r="V59" i="118"/>
  <c r="Z59" i="118"/>
  <c r="X59" i="118"/>
  <c r="AA59" i="118"/>
  <c r="AB59" i="118"/>
  <c r="V32" i="126"/>
  <c r="Z32" i="126"/>
  <c r="X32" i="126"/>
  <c r="AA32" i="126"/>
  <c r="AB32" i="126"/>
  <c r="V32" i="131"/>
  <c r="Z32" i="131"/>
  <c r="X32" i="131"/>
  <c r="W32" i="80"/>
  <c r="AA32" i="80"/>
  <c r="Y32" i="80"/>
  <c r="AB32" i="80"/>
  <c r="AC32" i="80"/>
  <c r="X32" i="144"/>
  <c r="Z32" i="144"/>
  <c r="V32" i="144"/>
  <c r="V32" i="119"/>
  <c r="Z32" i="119"/>
  <c r="X32" i="119"/>
  <c r="Z32" i="118"/>
  <c r="V32" i="118"/>
  <c r="X32" i="118"/>
  <c r="AA32" i="118"/>
  <c r="AB32" i="118"/>
  <c r="Z32" i="128"/>
  <c r="V32" i="128"/>
  <c r="X32" i="128"/>
  <c r="AA32" i="128"/>
  <c r="AA32" i="76"/>
  <c r="W32" i="76"/>
  <c r="Y32" i="76"/>
  <c r="Z32" i="152"/>
  <c r="X32" i="152"/>
  <c r="AA32" i="152"/>
  <c r="V32" i="152"/>
  <c r="Z32" i="117"/>
  <c r="V32" i="117"/>
  <c r="X32" i="117"/>
  <c r="AA32" i="117"/>
  <c r="AB32" i="117"/>
  <c r="Z73" i="116"/>
  <c r="V73" i="116"/>
  <c r="X73" i="116"/>
  <c r="AA73" i="116"/>
  <c r="V73" i="127"/>
  <c r="Z73" i="127"/>
  <c r="X73" i="127"/>
  <c r="AA73" i="127"/>
  <c r="AB73" i="127"/>
  <c r="Z73" i="131"/>
  <c r="V73" i="131"/>
  <c r="X73" i="131"/>
  <c r="AA73" i="131"/>
  <c r="X73" i="149"/>
  <c r="V73" i="149"/>
  <c r="Z73" i="149"/>
  <c r="W73" i="80"/>
  <c r="AA73" i="80"/>
  <c r="Y73" i="80"/>
  <c r="Z73" i="128"/>
  <c r="V73" i="128"/>
  <c r="X73" i="128"/>
  <c r="V73" i="145"/>
  <c r="X73" i="145"/>
  <c r="Z73" i="145"/>
  <c r="AA73" i="145"/>
  <c r="Z73" i="152"/>
  <c r="X73" i="152"/>
  <c r="V73" i="152"/>
  <c r="V73" i="120"/>
  <c r="Z73" i="120"/>
  <c r="X73" i="120"/>
  <c r="W73" i="76"/>
  <c r="AA73" i="76"/>
  <c r="Y73" i="76"/>
  <c r="AB73" i="76"/>
  <c r="AC73" i="76"/>
  <c r="Z73" i="153"/>
  <c r="X73" i="153"/>
  <c r="AA73" i="153"/>
  <c r="V73" i="153"/>
  <c r="Z39" i="131"/>
  <c r="V39" i="131"/>
  <c r="X39" i="131"/>
  <c r="AA39" i="131"/>
  <c r="V39" i="152"/>
  <c r="Z39" i="152"/>
  <c r="X39" i="152"/>
  <c r="AA39" i="152"/>
  <c r="AB39" i="152"/>
  <c r="Z39" i="126"/>
  <c r="V39" i="126"/>
  <c r="X39" i="126"/>
  <c r="AA39" i="126"/>
  <c r="AA39" i="80"/>
  <c r="W39" i="80"/>
  <c r="Y39" i="80"/>
  <c r="AB39" i="80"/>
  <c r="Z39" i="149"/>
  <c r="X39" i="149"/>
  <c r="V39" i="149"/>
  <c r="Z39" i="128"/>
  <c r="V39" i="128"/>
  <c r="X39" i="128"/>
  <c r="AA39" i="128"/>
  <c r="W39" i="76"/>
  <c r="AA39" i="76"/>
  <c r="Y39" i="76"/>
  <c r="AB39" i="76"/>
  <c r="AC39" i="76"/>
  <c r="V39" i="147"/>
  <c r="Z39" i="147"/>
  <c r="X39" i="147"/>
  <c r="V39" i="120"/>
  <c r="Z39" i="120"/>
  <c r="X39" i="120"/>
  <c r="AA39" i="120"/>
  <c r="AB39" i="120"/>
  <c r="V39" i="125"/>
  <c r="Z39" i="125"/>
  <c r="X39" i="125"/>
  <c r="AA39" i="125"/>
  <c r="AB39" i="125"/>
  <c r="Z24" i="127"/>
  <c r="V24" i="127"/>
  <c r="X24" i="127"/>
  <c r="AA24" i="127"/>
  <c r="AB24" i="127"/>
  <c r="V24" i="151"/>
  <c r="Z24" i="151"/>
  <c r="X24" i="151"/>
  <c r="V24" i="120"/>
  <c r="Z24" i="120"/>
  <c r="X24" i="120"/>
  <c r="AA24" i="120"/>
  <c r="AB24" i="120"/>
  <c r="V24" i="126"/>
  <c r="Z24" i="126"/>
  <c r="X24" i="126"/>
  <c r="W24" i="80"/>
  <c r="AA24" i="80"/>
  <c r="Y24" i="80"/>
  <c r="AB24" i="80"/>
  <c r="AC24" i="80"/>
  <c r="Z24" i="117"/>
  <c r="V24" i="117"/>
  <c r="X24" i="117"/>
  <c r="AA24" i="117"/>
  <c r="X24" i="148"/>
  <c r="V24" i="148"/>
  <c r="Z24" i="148"/>
  <c r="Z24" i="153"/>
  <c r="V24" i="153"/>
  <c r="X24" i="153"/>
  <c r="AA24" i="153"/>
  <c r="AB24" i="153"/>
  <c r="X24" i="149"/>
  <c r="Z24" i="149"/>
  <c r="AA24" i="149"/>
  <c r="V24" i="149"/>
  <c r="V24" i="116"/>
  <c r="Z24" i="116"/>
  <c r="X24" i="116"/>
  <c r="Z24" i="125"/>
  <c r="V24" i="125"/>
  <c r="X24" i="125"/>
  <c r="V24" i="152"/>
  <c r="X24" i="152"/>
  <c r="Z24" i="152"/>
  <c r="AA24" i="152"/>
  <c r="V24" i="147"/>
  <c r="Z24" i="147"/>
  <c r="X24" i="147"/>
  <c r="AA24" i="147"/>
  <c r="V62" i="125"/>
  <c r="Z62" i="125"/>
  <c r="X62" i="125"/>
  <c r="V62" i="127"/>
  <c r="Z62" i="127"/>
  <c r="X62" i="127"/>
  <c r="AA62" i="127"/>
  <c r="AB62" i="127"/>
  <c r="Z62" i="148"/>
  <c r="X62" i="148"/>
  <c r="AA62" i="148"/>
  <c r="V62" i="148"/>
  <c r="X62" i="149"/>
  <c r="Z62" i="149"/>
  <c r="AA62" i="149"/>
  <c r="V62" i="149"/>
  <c r="Z62" i="131"/>
  <c r="V62" i="131"/>
  <c r="X62" i="131"/>
  <c r="AA62" i="131"/>
  <c r="V62" i="118"/>
  <c r="Z62" i="118"/>
  <c r="X62" i="118"/>
  <c r="AA62" i="118"/>
  <c r="AB62" i="118"/>
  <c r="AA62" i="76"/>
  <c r="W62" i="76"/>
  <c r="Y62" i="76"/>
  <c r="Z62" i="116"/>
  <c r="V62" i="116"/>
  <c r="X62" i="116"/>
  <c r="AA62" i="116"/>
  <c r="AB62" i="116"/>
  <c r="X62" i="147"/>
  <c r="V62" i="147"/>
  <c r="Z62" i="147"/>
  <c r="Z62" i="120"/>
  <c r="V62" i="120"/>
  <c r="X62" i="120"/>
  <c r="Z62" i="126"/>
  <c r="V62" i="126"/>
  <c r="X62" i="126"/>
  <c r="AA62" i="126"/>
  <c r="V34" i="118"/>
  <c r="Z34" i="118"/>
  <c r="X34" i="118"/>
  <c r="AA34" i="118"/>
  <c r="AB34" i="118"/>
  <c r="V34" i="119"/>
  <c r="Z34" i="119"/>
  <c r="X34" i="119"/>
  <c r="V34" i="148"/>
  <c r="X34" i="148"/>
  <c r="Z34" i="148"/>
  <c r="Z34" i="126"/>
  <c r="V34" i="126"/>
  <c r="X34" i="126"/>
  <c r="AA34" i="126"/>
  <c r="V34" i="128"/>
  <c r="Z34" i="128"/>
  <c r="X34" i="128"/>
  <c r="AA34" i="128"/>
  <c r="AB34" i="128"/>
  <c r="Z34" i="152"/>
  <c r="V34" i="152"/>
  <c r="X34" i="152"/>
  <c r="AA34" i="152"/>
  <c r="AB34" i="152"/>
  <c r="Z34" i="145"/>
  <c r="X34" i="145"/>
  <c r="V34" i="145"/>
  <c r="V34" i="131"/>
  <c r="Z34" i="131"/>
  <c r="X34" i="131"/>
  <c r="V34" i="146"/>
  <c r="Z34" i="146"/>
  <c r="X34" i="146"/>
  <c r="X34" i="144"/>
  <c r="Z34" i="144"/>
  <c r="AA34" i="144"/>
  <c r="V34" i="144"/>
  <c r="U44" i="145"/>
  <c r="U44" i="127"/>
  <c r="U44" i="144"/>
  <c r="U44" i="149"/>
  <c r="U44" i="131"/>
  <c r="U44" i="148"/>
  <c r="U44" i="117"/>
  <c r="U44" i="146"/>
  <c r="U44" i="128"/>
  <c r="U44" i="151"/>
  <c r="U44" i="125"/>
  <c r="U44" i="119"/>
  <c r="V44" i="80"/>
  <c r="U44" i="153"/>
  <c r="U44" i="129"/>
  <c r="V44" i="76"/>
  <c r="U44" i="152"/>
  <c r="U44" i="116"/>
  <c r="U44" i="126"/>
  <c r="U44" i="118"/>
  <c r="U44" i="120"/>
  <c r="U44" i="147"/>
  <c r="V66" i="149"/>
  <c r="Z66" i="149"/>
  <c r="X66" i="149"/>
  <c r="AA66" i="149"/>
  <c r="V66" i="129"/>
  <c r="Z66" i="129"/>
  <c r="X66" i="129"/>
  <c r="X66" i="146"/>
  <c r="V66" i="146"/>
  <c r="Z66" i="146"/>
  <c r="Z66" i="131"/>
  <c r="V66" i="131"/>
  <c r="X66" i="131"/>
  <c r="AA66" i="131"/>
  <c r="Z66" i="147"/>
  <c r="X66" i="147"/>
  <c r="V66" i="147"/>
  <c r="V66" i="116"/>
  <c r="Z66" i="116"/>
  <c r="X66" i="116"/>
  <c r="W66" i="80"/>
  <c r="AA66" i="80"/>
  <c r="Y66" i="80"/>
  <c r="AB66" i="80"/>
  <c r="AC66" i="80"/>
  <c r="Z66" i="125"/>
  <c r="V66" i="125"/>
  <c r="X66" i="125"/>
  <c r="AA66" i="125"/>
  <c r="V66" i="126"/>
  <c r="Z66" i="126"/>
  <c r="X66" i="126"/>
  <c r="AA66" i="126"/>
  <c r="AB66" i="126"/>
  <c r="X66" i="144"/>
  <c r="V66" i="144"/>
  <c r="Z66" i="144"/>
  <c r="V66" i="151"/>
  <c r="Z66" i="151"/>
  <c r="X66" i="151"/>
  <c r="AA66" i="151"/>
  <c r="AB66" i="151"/>
  <c r="Z66" i="120"/>
  <c r="V66" i="120"/>
  <c r="X66" i="120"/>
  <c r="AA66" i="120"/>
  <c r="AB66" i="120"/>
  <c r="G18" i="100"/>
  <c r="AK18" i="72"/>
  <c r="V21" i="120"/>
  <c r="Z21" i="120"/>
  <c r="X21" i="120"/>
  <c r="V21" i="148"/>
  <c r="Z21" i="148"/>
  <c r="X21" i="148"/>
  <c r="V21" i="126"/>
  <c r="Z21" i="126"/>
  <c r="X21" i="126"/>
  <c r="V21" i="117"/>
  <c r="Z21" i="117"/>
  <c r="X21" i="117"/>
  <c r="X21" i="151"/>
  <c r="V21" i="151"/>
  <c r="Z21" i="151"/>
  <c r="V21" i="153"/>
  <c r="Z21" i="153"/>
  <c r="X21" i="153"/>
  <c r="Z21" i="128"/>
  <c r="V21" i="128"/>
  <c r="X21" i="128"/>
  <c r="AA21" i="128"/>
  <c r="Z21" i="119"/>
  <c r="V21" i="119"/>
  <c r="X21" i="119"/>
  <c r="V21" i="125"/>
  <c r="Z21" i="125"/>
  <c r="X21" i="125"/>
  <c r="V21" i="146"/>
  <c r="Z21" i="146"/>
  <c r="X21" i="146"/>
  <c r="Z18" i="118"/>
  <c r="V18" i="118"/>
  <c r="X18" i="118"/>
  <c r="AA18" i="118"/>
  <c r="V18" i="127"/>
  <c r="Z18" i="127"/>
  <c r="X18" i="127"/>
  <c r="Z18" i="145"/>
  <c r="X18" i="145"/>
  <c r="V18" i="145"/>
  <c r="Z18" i="128"/>
  <c r="V18" i="128"/>
  <c r="X18" i="128"/>
  <c r="AA18" i="128"/>
  <c r="V18" i="149"/>
  <c r="X18" i="149"/>
  <c r="Z18" i="149"/>
  <c r="V18" i="129"/>
  <c r="Z18" i="129"/>
  <c r="X18" i="129"/>
  <c r="V18" i="126"/>
  <c r="Z18" i="126"/>
  <c r="X18" i="126"/>
  <c r="AA18" i="126"/>
  <c r="AB18" i="126"/>
  <c r="X18" i="146"/>
  <c r="Z18" i="146"/>
  <c r="V18" i="146"/>
  <c r="Z18" i="148"/>
  <c r="X18" i="148"/>
  <c r="V18" i="148"/>
  <c r="Z18" i="125"/>
  <c r="V18" i="125"/>
  <c r="X18" i="125"/>
  <c r="AA18" i="125"/>
  <c r="AK65" i="72"/>
  <c r="G65" i="100"/>
  <c r="V68" i="118"/>
  <c r="Z68" i="118"/>
  <c r="X68" i="118"/>
  <c r="Z68" i="120"/>
  <c r="V68" i="120"/>
  <c r="X68" i="120"/>
  <c r="Z68" i="152"/>
  <c r="X68" i="152"/>
  <c r="AA68" i="152"/>
  <c r="V68" i="152"/>
  <c r="V68" i="129"/>
  <c r="Z68" i="129"/>
  <c r="X68" i="129"/>
  <c r="AA68" i="129"/>
  <c r="AB68" i="129"/>
  <c r="V68" i="119"/>
  <c r="Z68" i="119"/>
  <c r="X68" i="119"/>
  <c r="AA68" i="119"/>
  <c r="AB68" i="119"/>
  <c r="X68" i="151"/>
  <c r="V68" i="151"/>
  <c r="Z68" i="151"/>
  <c r="V68" i="117"/>
  <c r="Z68" i="117"/>
  <c r="X68" i="117"/>
  <c r="AA68" i="117"/>
  <c r="AB68" i="117"/>
  <c r="V68" i="131"/>
  <c r="Z68" i="131"/>
  <c r="X68" i="131"/>
  <c r="X68" i="144"/>
  <c r="V68" i="144"/>
  <c r="Z68" i="144"/>
  <c r="V68" i="145"/>
  <c r="Z68" i="145"/>
  <c r="X68" i="145"/>
  <c r="W60" i="80"/>
  <c r="AA60" i="80"/>
  <c r="Y60" i="80"/>
  <c r="W60" i="76"/>
  <c r="AA60" i="76"/>
  <c r="Y60" i="76"/>
  <c r="AB60" i="76"/>
  <c r="AC60" i="76"/>
  <c r="V60" i="117"/>
  <c r="Z60" i="117"/>
  <c r="X60" i="117"/>
  <c r="Z60" i="128"/>
  <c r="V60" i="128"/>
  <c r="X60" i="128"/>
  <c r="AA60" i="128"/>
  <c r="AB60" i="128"/>
  <c r="X60" i="146"/>
  <c r="V60" i="146"/>
  <c r="Z60" i="146"/>
  <c r="V60" i="127"/>
  <c r="Z60" i="127"/>
  <c r="X60" i="127"/>
  <c r="AA60" i="127"/>
  <c r="AB60" i="127"/>
  <c r="Z60" i="126"/>
  <c r="V60" i="126"/>
  <c r="X60" i="126"/>
  <c r="AA60" i="126"/>
  <c r="X60" i="144"/>
  <c r="V60" i="144"/>
  <c r="Z60" i="144"/>
  <c r="V60" i="153"/>
  <c r="X60" i="153"/>
  <c r="Z60" i="153"/>
  <c r="AA60" i="153"/>
  <c r="Z60" i="125"/>
  <c r="V60" i="125"/>
  <c r="X60" i="125"/>
  <c r="AA60" i="125"/>
  <c r="AB60" i="125"/>
  <c r="G13" i="100"/>
  <c r="AK13" i="72"/>
  <c r="V16" i="126"/>
  <c r="Z16" i="126"/>
  <c r="X16" i="126"/>
  <c r="X16" i="146"/>
  <c r="V16" i="146"/>
  <c r="Z16" i="146"/>
  <c r="Z16" i="119"/>
  <c r="V16" i="119"/>
  <c r="X16" i="119"/>
  <c r="V16" i="129"/>
  <c r="Z16" i="129"/>
  <c r="X16" i="129"/>
  <c r="Z16" i="125"/>
  <c r="V16" i="125"/>
  <c r="X16" i="125"/>
  <c r="AA16" i="125"/>
  <c r="AB16" i="125"/>
  <c r="V16" i="116"/>
  <c r="Z16" i="116"/>
  <c r="X16" i="116"/>
  <c r="V16" i="147"/>
  <c r="Z16" i="147"/>
  <c r="X16" i="147"/>
  <c r="V16" i="128"/>
  <c r="Z16" i="128"/>
  <c r="X16" i="128"/>
  <c r="V16" i="117"/>
  <c r="Z16" i="117"/>
  <c r="X16" i="117"/>
  <c r="Z16" i="144"/>
  <c r="V16" i="144"/>
  <c r="X16" i="144"/>
  <c r="V16" i="148"/>
  <c r="Z16" i="148"/>
  <c r="X16" i="148"/>
  <c r="V49" i="116"/>
  <c r="Z49" i="116"/>
  <c r="X49" i="116"/>
  <c r="V49" i="117"/>
  <c r="Z49" i="117"/>
  <c r="X49" i="117"/>
  <c r="X49" i="146"/>
  <c r="V49" i="146"/>
  <c r="Z49" i="146"/>
  <c r="W49" i="76"/>
  <c r="AA49" i="76"/>
  <c r="Y49" i="76"/>
  <c r="Z49" i="118"/>
  <c r="V49" i="118"/>
  <c r="X49" i="118"/>
  <c r="AA49" i="118"/>
  <c r="V49" i="119"/>
  <c r="Z49" i="119"/>
  <c r="X49" i="119"/>
  <c r="V49" i="149"/>
  <c r="Z49" i="149"/>
  <c r="X49" i="149"/>
  <c r="Z49" i="129"/>
  <c r="V49" i="129"/>
  <c r="X49" i="129"/>
  <c r="AA49" i="129"/>
  <c r="AB49" i="129"/>
  <c r="Z49" i="128"/>
  <c r="V49" i="128"/>
  <c r="X49" i="128"/>
  <c r="AA49" i="128"/>
  <c r="V49" i="125"/>
  <c r="Z49" i="125"/>
  <c r="X49" i="125"/>
  <c r="X49" i="153"/>
  <c r="V49" i="153"/>
  <c r="Z49" i="153"/>
  <c r="AA49" i="80"/>
  <c r="W49" i="80"/>
  <c r="Y49" i="80"/>
  <c r="AB49" i="80"/>
  <c r="AC49" i="80"/>
  <c r="AK71" i="72"/>
  <c r="G71" i="100"/>
  <c r="AD74" i="113"/>
  <c r="AF74" i="113"/>
  <c r="Z74" i="126"/>
  <c r="V74" i="126"/>
  <c r="X74" i="126"/>
  <c r="AA74" i="126"/>
  <c r="AB74" i="126"/>
  <c r="V74" i="127"/>
  <c r="Z74" i="127"/>
  <c r="X74" i="127"/>
  <c r="AA74" i="127"/>
  <c r="AB74" i="127"/>
  <c r="Z74" i="125"/>
  <c r="V74" i="125"/>
  <c r="X74" i="125"/>
  <c r="AA74" i="76"/>
  <c r="W74" i="76"/>
  <c r="Y74" i="76"/>
  <c r="V74" i="118"/>
  <c r="Z74" i="118"/>
  <c r="X74" i="118"/>
  <c r="AA74" i="118"/>
  <c r="AB74" i="118"/>
  <c r="Z74" i="144"/>
  <c r="V74" i="144"/>
  <c r="X74" i="144"/>
  <c r="AA74" i="144"/>
  <c r="V74" i="116"/>
  <c r="Z74" i="116"/>
  <c r="X74" i="116"/>
  <c r="AA74" i="80"/>
  <c r="W74" i="80"/>
  <c r="Y74" i="80"/>
  <c r="AB74" i="80"/>
  <c r="AC74" i="80"/>
  <c r="X74" i="146"/>
  <c r="Z74" i="146"/>
  <c r="V74" i="146"/>
  <c r="Z74" i="147"/>
  <c r="X74" i="147"/>
  <c r="V74" i="147"/>
  <c r="Z13" i="147"/>
  <c r="X13" i="147"/>
  <c r="AA13" i="147"/>
  <c r="V13" i="147"/>
  <c r="Z13" i="120"/>
  <c r="V13" i="120"/>
  <c r="X13" i="120"/>
  <c r="V13" i="146"/>
  <c r="Z13" i="146"/>
  <c r="X13" i="146"/>
  <c r="V13" i="118"/>
  <c r="Z13" i="118"/>
  <c r="X13" i="118"/>
  <c r="AA13" i="118"/>
  <c r="AB13" i="118"/>
  <c r="Z13" i="119"/>
  <c r="V13" i="119"/>
  <c r="X13" i="119"/>
  <c r="AA13" i="119"/>
  <c r="V13" i="125"/>
  <c r="Z13" i="125"/>
  <c r="X13" i="125"/>
  <c r="Z13" i="117"/>
  <c r="V13" i="117"/>
  <c r="X13" i="117"/>
  <c r="AA13" i="117"/>
  <c r="AB13" i="117"/>
  <c r="Z13" i="129"/>
  <c r="V13" i="129"/>
  <c r="X13" i="129"/>
  <c r="Z13" i="116"/>
  <c r="V13" i="116"/>
  <c r="X13" i="116"/>
  <c r="V13" i="144"/>
  <c r="X13" i="144"/>
  <c r="Z13" i="144"/>
  <c r="G38" i="100"/>
  <c r="AK38" i="72"/>
  <c r="AD41" i="113"/>
  <c r="AF41" i="113"/>
  <c r="V41" i="118"/>
  <c r="Z41" i="118"/>
  <c r="X41" i="118"/>
  <c r="AA41" i="118"/>
  <c r="AB41" i="118"/>
  <c r="Z41" i="145"/>
  <c r="X41" i="145"/>
  <c r="V41" i="145"/>
  <c r="Z41" i="125"/>
  <c r="V41" i="125"/>
  <c r="X41" i="125"/>
  <c r="W41" i="80"/>
  <c r="AA41" i="80"/>
  <c r="Y41" i="80"/>
  <c r="AB41" i="80"/>
  <c r="AC41" i="80"/>
  <c r="V41" i="127"/>
  <c r="Z41" i="127"/>
  <c r="X41" i="127"/>
  <c r="V41" i="116"/>
  <c r="Z41" i="116"/>
  <c r="X41" i="116"/>
  <c r="V41" i="152"/>
  <c r="Z41" i="152"/>
  <c r="X41" i="152"/>
  <c r="V41" i="117"/>
  <c r="Z41" i="117"/>
  <c r="X41" i="117"/>
  <c r="AA41" i="117"/>
  <c r="AB41" i="117"/>
  <c r="V41" i="119"/>
  <c r="Z41" i="119"/>
  <c r="X41" i="119"/>
  <c r="X41" i="144"/>
  <c r="V41" i="144"/>
  <c r="Z41" i="144"/>
  <c r="X41" i="148"/>
  <c r="V41" i="148"/>
  <c r="Z41" i="148"/>
  <c r="V19" i="131"/>
  <c r="Z19" i="131"/>
  <c r="X19" i="131"/>
  <c r="V19" i="147"/>
  <c r="Z19" i="147"/>
  <c r="X19" i="147"/>
  <c r="AA19" i="147"/>
  <c r="AB19" i="147"/>
  <c r="V19" i="125"/>
  <c r="Z19" i="125"/>
  <c r="X19" i="125"/>
  <c r="V19" i="120"/>
  <c r="Z19" i="120"/>
  <c r="X19" i="120"/>
  <c r="AA19" i="120"/>
  <c r="AB19" i="120"/>
  <c r="Z19" i="128"/>
  <c r="V19" i="128"/>
  <c r="X19" i="128"/>
  <c r="AA19" i="128"/>
  <c r="X19" i="146"/>
  <c r="V19" i="146"/>
  <c r="Z19" i="146"/>
  <c r="V19" i="119"/>
  <c r="Z19" i="119"/>
  <c r="X19" i="119"/>
  <c r="Z19" i="118"/>
  <c r="V19" i="118"/>
  <c r="X19" i="118"/>
  <c r="AA19" i="118"/>
  <c r="AB19" i="118"/>
  <c r="X19" i="144"/>
  <c r="Z19" i="144"/>
  <c r="V19" i="144"/>
  <c r="X19" i="153"/>
  <c r="V19" i="153"/>
  <c r="Z19" i="153"/>
  <c r="AA19" i="76"/>
  <c r="W19" i="76"/>
  <c r="Y19" i="76"/>
  <c r="AB19" i="76"/>
  <c r="AC19" i="76"/>
  <c r="AA53" i="76"/>
  <c r="W53" i="76"/>
  <c r="Y53" i="76"/>
  <c r="AB53" i="76"/>
  <c r="AC53" i="76"/>
  <c r="V53" i="120"/>
  <c r="Z53" i="120"/>
  <c r="X53" i="120"/>
  <c r="AA53" i="120"/>
  <c r="AB53" i="120"/>
  <c r="X53" i="148"/>
  <c r="Z53" i="148"/>
  <c r="V53" i="148"/>
  <c r="V53" i="125"/>
  <c r="Z53" i="125"/>
  <c r="X53" i="125"/>
  <c r="Z53" i="119"/>
  <c r="V53" i="119"/>
  <c r="X53" i="119"/>
  <c r="AA53" i="119"/>
  <c r="AB53" i="119"/>
  <c r="V53" i="118"/>
  <c r="Z53" i="118"/>
  <c r="X53" i="118"/>
  <c r="X53" i="153"/>
  <c r="V53" i="153"/>
  <c r="Z53" i="153"/>
  <c r="V53" i="128"/>
  <c r="Z53" i="128"/>
  <c r="X53" i="128"/>
  <c r="V53" i="127"/>
  <c r="Z53" i="127"/>
  <c r="X53" i="127"/>
  <c r="Z53" i="146"/>
  <c r="X53" i="146"/>
  <c r="V53" i="146"/>
  <c r="Z45" i="118"/>
  <c r="V45" i="118"/>
  <c r="X45" i="118"/>
  <c r="AA45" i="118"/>
  <c r="AB45" i="118"/>
  <c r="V45" i="128"/>
  <c r="Z45" i="128"/>
  <c r="X45" i="128"/>
  <c r="V45" i="145"/>
  <c r="Z45" i="145"/>
  <c r="X45" i="145"/>
  <c r="AA45" i="145"/>
  <c r="AB45" i="145"/>
  <c r="V45" i="116"/>
  <c r="Z45" i="116"/>
  <c r="X45" i="116"/>
  <c r="AA45" i="76"/>
  <c r="W45" i="76"/>
  <c r="Y45" i="76"/>
  <c r="V45" i="146"/>
  <c r="Z45" i="146"/>
  <c r="X45" i="146"/>
  <c r="AA45" i="146"/>
  <c r="Z45" i="126"/>
  <c r="V45" i="126"/>
  <c r="X45" i="126"/>
  <c r="AA45" i="126"/>
  <c r="AB45" i="126"/>
  <c r="V45" i="127"/>
  <c r="Z45" i="127"/>
  <c r="X45" i="127"/>
  <c r="X45" i="144"/>
  <c r="V45" i="144"/>
  <c r="Z45" i="144"/>
  <c r="V45" i="151"/>
  <c r="Z45" i="151"/>
  <c r="X45" i="151"/>
  <c r="Z45" i="131"/>
  <c r="V45" i="131"/>
  <c r="X45" i="131"/>
  <c r="Z9" i="125"/>
  <c r="V9" i="125"/>
  <c r="X9" i="125"/>
  <c r="W9" i="80"/>
  <c r="AA9" i="80"/>
  <c r="Y9" i="80"/>
  <c r="V9" i="149"/>
  <c r="X9" i="149"/>
  <c r="Z9" i="149"/>
  <c r="Z9" i="131"/>
  <c r="V9" i="131"/>
  <c r="X9" i="131"/>
  <c r="AA9" i="131"/>
  <c r="AB9" i="131"/>
  <c r="Z9" i="116"/>
  <c r="V9" i="116"/>
  <c r="X9" i="116"/>
  <c r="V9" i="117"/>
  <c r="Z9" i="117"/>
  <c r="X9" i="117"/>
  <c r="V9" i="129"/>
  <c r="Z9" i="129"/>
  <c r="X9" i="129"/>
  <c r="AA9" i="129"/>
  <c r="AB9" i="129"/>
  <c r="X9" i="144"/>
  <c r="Z9" i="144"/>
  <c r="V9" i="144"/>
  <c r="Z9" i="145"/>
  <c r="X9" i="145"/>
  <c r="V9" i="145"/>
  <c r="Z9" i="119"/>
  <c r="V9" i="119"/>
  <c r="X9" i="119"/>
  <c r="AA9" i="119"/>
  <c r="AB9" i="119"/>
  <c r="Z9" i="120"/>
  <c r="V9" i="120"/>
  <c r="X9" i="120"/>
  <c r="AA9" i="120"/>
  <c r="AB9" i="120"/>
  <c r="V9" i="148"/>
  <c r="Z9" i="148"/>
  <c r="X9" i="148"/>
  <c r="V56" i="145"/>
  <c r="X56" i="145"/>
  <c r="Z56" i="145"/>
  <c r="V56" i="125"/>
  <c r="Z56" i="125"/>
  <c r="X56" i="125"/>
  <c r="Z56" i="144"/>
  <c r="V56" i="144"/>
  <c r="X56" i="144"/>
  <c r="AA56" i="144"/>
  <c r="V56" i="129"/>
  <c r="Z56" i="129"/>
  <c r="X56" i="129"/>
  <c r="X56" i="151"/>
  <c r="V56" i="151"/>
  <c r="Z56" i="151"/>
  <c r="Z56" i="131"/>
  <c r="V56" i="131"/>
  <c r="X56" i="131"/>
  <c r="AA56" i="131"/>
  <c r="AB56" i="131"/>
  <c r="V56" i="126"/>
  <c r="Z56" i="126"/>
  <c r="X56" i="126"/>
  <c r="AA56" i="126"/>
  <c r="AB56" i="126"/>
  <c r="V56" i="120"/>
  <c r="Z56" i="120"/>
  <c r="X56" i="120"/>
  <c r="AA56" i="120"/>
  <c r="AB56" i="120"/>
  <c r="X56" i="146"/>
  <c r="V56" i="146"/>
  <c r="Z56" i="146"/>
  <c r="Z56" i="148"/>
  <c r="X56" i="148"/>
  <c r="V56" i="148"/>
  <c r="X56" i="152"/>
  <c r="V56" i="152"/>
  <c r="Z56" i="152"/>
  <c r="V56" i="128"/>
  <c r="Z56" i="128"/>
  <c r="X56" i="128"/>
  <c r="AA56" i="128"/>
  <c r="AB56" i="128"/>
  <c r="Z70" i="126"/>
  <c r="V70" i="126"/>
  <c r="X70" i="126"/>
  <c r="AA70" i="126"/>
  <c r="AB70" i="126"/>
  <c r="Z70" i="120"/>
  <c r="V70" i="120"/>
  <c r="X70" i="120"/>
  <c r="X70" i="149"/>
  <c r="Z70" i="149"/>
  <c r="V70" i="149"/>
  <c r="Z70" i="128"/>
  <c r="V70" i="128"/>
  <c r="X70" i="128"/>
  <c r="AA70" i="128"/>
  <c r="AB70" i="128"/>
  <c r="Z70" i="129"/>
  <c r="V70" i="129"/>
  <c r="X70" i="129"/>
  <c r="AA70" i="80"/>
  <c r="W70" i="80"/>
  <c r="Y70" i="80"/>
  <c r="Z70" i="153"/>
  <c r="X70" i="153"/>
  <c r="AA70" i="153"/>
  <c r="V70" i="153"/>
  <c r="AB70" i="153"/>
  <c r="Z70" i="118"/>
  <c r="V70" i="118"/>
  <c r="X70" i="118"/>
  <c r="AA70" i="118"/>
  <c r="AB70" i="118"/>
  <c r="Z70" i="116"/>
  <c r="V70" i="116"/>
  <c r="X70" i="116"/>
  <c r="Z70" i="147"/>
  <c r="X70" i="147"/>
  <c r="AA70" i="147"/>
  <c r="V70" i="147"/>
  <c r="V50" i="131"/>
  <c r="Z50" i="131"/>
  <c r="X50" i="131"/>
  <c r="AA50" i="131"/>
  <c r="AB50" i="131"/>
  <c r="V50" i="116"/>
  <c r="Z50" i="116"/>
  <c r="X50" i="116"/>
  <c r="Z50" i="129"/>
  <c r="V50" i="129"/>
  <c r="X50" i="129"/>
  <c r="W50" i="80"/>
  <c r="AA50" i="80"/>
  <c r="Y50" i="80"/>
  <c r="V50" i="128"/>
  <c r="Z50" i="128"/>
  <c r="X50" i="128"/>
  <c r="AA50" i="128"/>
  <c r="AB50" i="128"/>
  <c r="Z50" i="148"/>
  <c r="X50" i="148"/>
  <c r="AA50" i="148"/>
  <c r="V50" i="148"/>
  <c r="AB50" i="148"/>
  <c r="V50" i="145"/>
  <c r="X50" i="145"/>
  <c r="Z50" i="145"/>
  <c r="V50" i="125"/>
  <c r="Z50" i="125"/>
  <c r="X50" i="125"/>
  <c r="V50" i="151"/>
  <c r="X50" i="151"/>
  <c r="Z50" i="151"/>
  <c r="X50" i="149"/>
  <c r="Z50" i="149"/>
  <c r="V50" i="149"/>
  <c r="V50" i="120"/>
  <c r="Z50" i="120"/>
  <c r="X50" i="120"/>
  <c r="V30" i="128"/>
  <c r="Z30" i="128"/>
  <c r="X30" i="128"/>
  <c r="Z30" i="129"/>
  <c r="V30" i="129"/>
  <c r="X30" i="129"/>
  <c r="AA30" i="129"/>
  <c r="AB30" i="129"/>
  <c r="Z30" i="145"/>
  <c r="X30" i="145"/>
  <c r="V30" i="145"/>
  <c r="Z30" i="126"/>
  <c r="V30" i="126"/>
  <c r="X30" i="126"/>
  <c r="AA30" i="126"/>
  <c r="AB30" i="126"/>
  <c r="AA30" i="80"/>
  <c r="W30" i="80"/>
  <c r="Y30" i="80"/>
  <c r="AB30" i="80"/>
  <c r="AC30" i="80"/>
  <c r="V30" i="151"/>
  <c r="X30" i="151"/>
  <c r="Z30" i="151"/>
  <c r="V30" i="118"/>
  <c r="Z30" i="118"/>
  <c r="X30" i="118"/>
  <c r="AA30" i="118"/>
  <c r="AB30" i="118"/>
  <c r="Z30" i="116"/>
  <c r="V30" i="116"/>
  <c r="X30" i="116"/>
  <c r="AA30" i="116"/>
  <c r="Z30" i="144"/>
  <c r="V30" i="144"/>
  <c r="X30" i="144"/>
  <c r="X30" i="147"/>
  <c r="V30" i="147"/>
  <c r="Z30" i="147"/>
  <c r="U35" i="152"/>
  <c r="U35" i="128"/>
  <c r="U35" i="126"/>
  <c r="V35" i="76"/>
  <c r="U35" i="117"/>
  <c r="U35" i="148"/>
  <c r="U35" i="119"/>
  <c r="U35" i="146"/>
  <c r="U35" i="147"/>
  <c r="V35" i="80"/>
  <c r="U35" i="153"/>
  <c r="U35" i="120"/>
  <c r="U35" i="144"/>
  <c r="U35" i="129"/>
  <c r="U35" i="145"/>
  <c r="U35" i="116"/>
  <c r="U35" i="127"/>
  <c r="U35" i="125"/>
  <c r="U35" i="131"/>
  <c r="U35" i="151"/>
  <c r="U35" i="149"/>
  <c r="U35" i="118"/>
  <c r="V64" i="116"/>
  <c r="Z64" i="116"/>
  <c r="X64" i="116"/>
  <c r="AA64" i="116"/>
  <c r="AB64" i="116"/>
  <c r="Z64" i="148"/>
  <c r="X64" i="148"/>
  <c r="V64" i="148"/>
  <c r="Z64" i="126"/>
  <c r="V64" i="126"/>
  <c r="X64" i="126"/>
  <c r="AA64" i="126"/>
  <c r="AB64" i="126"/>
  <c r="V64" i="120"/>
  <c r="Z64" i="120"/>
  <c r="X64" i="120"/>
  <c r="V64" i="131"/>
  <c r="Z64" i="131"/>
  <c r="X64" i="131"/>
  <c r="AA64" i="131"/>
  <c r="AB64" i="131"/>
  <c r="V64" i="119"/>
  <c r="Z64" i="119"/>
  <c r="X64" i="119"/>
  <c r="V64" i="147"/>
  <c r="Z64" i="147"/>
  <c r="X64" i="147"/>
  <c r="V64" i="152"/>
  <c r="X64" i="152"/>
  <c r="Z64" i="152"/>
  <c r="V64" i="118"/>
  <c r="Z64" i="118"/>
  <c r="X64" i="118"/>
  <c r="Z64" i="128"/>
  <c r="V64" i="128"/>
  <c r="X64" i="128"/>
  <c r="Z64" i="129"/>
  <c r="V64" i="129"/>
  <c r="X64" i="129"/>
  <c r="Z22" i="125"/>
  <c r="V22" i="125"/>
  <c r="X22" i="125"/>
  <c r="AA22" i="125"/>
  <c r="AB22" i="125"/>
  <c r="X22" i="148"/>
  <c r="V22" i="148"/>
  <c r="Z22" i="148"/>
  <c r="X22" i="153"/>
  <c r="V22" i="153"/>
  <c r="Z22" i="153"/>
  <c r="W22" i="80"/>
  <c r="AA22" i="80"/>
  <c r="Y22" i="80"/>
  <c r="AB22" i="80"/>
  <c r="AC22" i="80"/>
  <c r="Z22" i="118"/>
  <c r="V22" i="118"/>
  <c r="X22" i="118"/>
  <c r="V22" i="120"/>
  <c r="Z22" i="120"/>
  <c r="X22" i="120"/>
  <c r="Z22" i="149"/>
  <c r="V22" i="149"/>
  <c r="X22" i="149"/>
  <c r="AA22" i="149"/>
  <c r="Z22" i="127"/>
  <c r="V22" i="127"/>
  <c r="X22" i="127"/>
  <c r="AA22" i="127"/>
  <c r="AB22" i="127"/>
  <c r="V22" i="116"/>
  <c r="Z22" i="116"/>
  <c r="X22" i="116"/>
  <c r="Z22" i="117"/>
  <c r="V22" i="117"/>
  <c r="X22" i="117"/>
  <c r="V22" i="146"/>
  <c r="Z22" i="146"/>
  <c r="X22" i="146"/>
  <c r="AA22" i="146"/>
  <c r="AB22" i="146"/>
  <c r="Z31" i="128"/>
  <c r="V31" i="128"/>
  <c r="X31" i="128"/>
  <c r="AA31" i="128"/>
  <c r="Z31" i="152"/>
  <c r="X31" i="152"/>
  <c r="V31" i="152"/>
  <c r="V31" i="119"/>
  <c r="Z31" i="119"/>
  <c r="X31" i="119"/>
  <c r="W31" i="80"/>
  <c r="AA31" i="80"/>
  <c r="Y31" i="80"/>
  <c r="AA31" i="76"/>
  <c r="W31" i="76"/>
  <c r="Y31" i="76"/>
  <c r="Z31" i="149"/>
  <c r="X31" i="149"/>
  <c r="AA31" i="149"/>
  <c r="V31" i="149"/>
  <c r="AB31" i="149"/>
  <c r="Z31" i="127"/>
  <c r="V31" i="127"/>
  <c r="X31" i="127"/>
  <c r="AA31" i="127"/>
  <c r="AB31" i="127"/>
  <c r="Z31" i="126"/>
  <c r="V31" i="126"/>
  <c r="X31" i="126"/>
  <c r="AA31" i="126"/>
  <c r="X31" i="147"/>
  <c r="Z31" i="147"/>
  <c r="AA31" i="147"/>
  <c r="V31" i="147"/>
  <c r="Z31" i="117"/>
  <c r="V31" i="117"/>
  <c r="X31" i="117"/>
  <c r="V31" i="118"/>
  <c r="Z31" i="118"/>
  <c r="X31" i="118"/>
  <c r="V29" i="131"/>
  <c r="Z29" i="131"/>
  <c r="X29" i="131"/>
  <c r="AA29" i="131"/>
  <c r="AB29" i="131"/>
  <c r="Z29" i="126"/>
  <c r="V29" i="126"/>
  <c r="X29" i="126"/>
  <c r="Z29" i="148"/>
  <c r="X29" i="148"/>
  <c r="AA29" i="148"/>
  <c r="V29" i="148"/>
  <c r="Z29" i="118"/>
  <c r="V29" i="118"/>
  <c r="X29" i="118"/>
  <c r="AA29" i="118"/>
  <c r="AB29" i="118"/>
  <c r="Z29" i="127"/>
  <c r="V29" i="127"/>
  <c r="X29" i="127"/>
  <c r="W29" i="76"/>
  <c r="AA29" i="76"/>
  <c r="Y29" i="76"/>
  <c r="Z29" i="153"/>
  <c r="X29" i="153"/>
  <c r="V29" i="153"/>
  <c r="AA29" i="80"/>
  <c r="W29" i="80"/>
  <c r="Y29" i="80"/>
  <c r="AB29" i="80"/>
  <c r="AC29" i="80"/>
  <c r="V29" i="119"/>
  <c r="Z29" i="119"/>
  <c r="X29" i="119"/>
  <c r="AA29" i="119"/>
  <c r="AB29" i="119"/>
  <c r="Z29" i="117"/>
  <c r="V29" i="117"/>
  <c r="X29" i="117"/>
  <c r="V29" i="146"/>
  <c r="Z29" i="146"/>
  <c r="X29" i="146"/>
  <c r="AA29" i="146"/>
  <c r="AB29" i="146"/>
  <c r="AM7" i="46"/>
  <c r="AN7" i="46"/>
  <c r="AP7" i="46"/>
  <c r="AB22" i="149"/>
  <c r="AA64" i="129"/>
  <c r="AB64" i="129"/>
  <c r="AA30" i="151"/>
  <c r="AB30" i="151"/>
  <c r="AA30" i="145"/>
  <c r="AA30" i="128"/>
  <c r="AB30" i="128"/>
  <c r="AA70" i="116"/>
  <c r="AA70" i="129"/>
  <c r="AB70" i="129"/>
  <c r="AA70" i="120"/>
  <c r="AA9" i="116"/>
  <c r="AB9" i="116"/>
  <c r="AA9" i="125"/>
  <c r="AB9" i="125"/>
  <c r="AB45" i="76"/>
  <c r="AC45" i="76"/>
  <c r="AA53" i="146"/>
  <c r="AA53" i="128"/>
  <c r="AB53" i="128"/>
  <c r="AA41" i="125"/>
  <c r="AB41" i="125"/>
  <c r="AA41" i="145"/>
  <c r="AA13" i="146"/>
  <c r="AB49" i="76"/>
  <c r="AC49" i="76"/>
  <c r="AA16" i="148"/>
  <c r="AB16" i="148"/>
  <c r="AA16" i="147"/>
  <c r="AA16" i="119"/>
  <c r="AB16" i="119"/>
  <c r="AA69" i="120"/>
  <c r="AB69" i="120"/>
  <c r="AA54" i="119"/>
  <c r="AB54" i="119"/>
  <c r="AA9" i="127"/>
  <c r="AB9" i="127"/>
  <c r="AB45" i="80"/>
  <c r="AC45" i="80"/>
  <c r="AA13" i="151"/>
  <c r="AA13" i="131"/>
  <c r="AB13" i="131"/>
  <c r="AD13" i="113"/>
  <c r="AF13" i="113"/>
  <c r="AA16" i="120"/>
  <c r="AB16" i="120"/>
  <c r="AB16" i="80"/>
  <c r="AC16" i="80"/>
  <c r="AA60" i="131"/>
  <c r="AB60" i="131"/>
  <c r="AA60" i="147"/>
  <c r="AB66" i="76"/>
  <c r="AA39" i="144"/>
  <c r="AA39" i="116"/>
  <c r="AB39" i="116"/>
  <c r="AA39" i="146"/>
  <c r="AA39" i="148"/>
  <c r="AA39" i="118"/>
  <c r="AB39" i="118"/>
  <c r="AA73" i="126"/>
  <c r="AA32" i="127"/>
  <c r="AD28" i="113"/>
  <c r="AF28" i="113"/>
  <c r="AA26" i="147"/>
  <c r="AA65" i="118"/>
  <c r="AA65" i="116"/>
  <c r="AA65" i="148"/>
  <c r="AA17" i="131"/>
  <c r="AA61" i="119"/>
  <c r="AA27" i="151"/>
  <c r="AA54" i="117"/>
  <c r="AA54" i="144"/>
  <c r="AD46" i="113"/>
  <c r="AF46" i="113"/>
  <c r="AA29" i="127"/>
  <c r="AB29" i="127"/>
  <c r="AA29" i="126"/>
  <c r="AB29" i="126"/>
  <c r="AB31" i="76"/>
  <c r="AC31" i="76"/>
  <c r="AA22" i="118"/>
  <c r="AB22" i="118"/>
  <c r="AA50" i="129"/>
  <c r="AB50" i="129"/>
  <c r="AB70" i="80"/>
  <c r="AC70" i="80"/>
  <c r="AA56" i="125"/>
  <c r="AB56" i="125"/>
  <c r="AA9" i="145"/>
  <c r="AA9" i="117"/>
  <c r="AB9" i="117"/>
  <c r="AA45" i="151"/>
  <c r="AB45" i="151"/>
  <c r="AA74" i="147"/>
  <c r="AB74" i="147"/>
  <c r="AA74" i="146"/>
  <c r="AA74" i="116"/>
  <c r="AB74" i="116"/>
  <c r="AA74" i="125"/>
  <c r="AB74" i="125"/>
  <c r="AA18" i="145"/>
  <c r="AB18" i="145"/>
  <c r="AA21" i="146"/>
  <c r="AA21" i="153"/>
  <c r="AA21" i="126"/>
  <c r="AB21" i="126"/>
  <c r="AA36" i="131"/>
  <c r="AA28" i="129"/>
  <c r="AB28" i="129"/>
  <c r="AA65" i="147"/>
  <c r="AA17" i="128"/>
  <c r="AB17" i="128"/>
  <c r="AA17" i="125"/>
  <c r="AB17" i="125"/>
  <c r="AA17" i="145"/>
  <c r="AB17" i="145"/>
  <c r="AB17" i="147"/>
  <c r="AA61" i="129"/>
  <c r="AA54" i="131"/>
  <c r="AA30" i="152"/>
  <c r="AB30" i="152"/>
  <c r="AB30" i="76"/>
  <c r="AC30" i="76"/>
  <c r="AA50" i="119"/>
  <c r="AB50" i="119"/>
  <c r="AA50" i="146"/>
  <c r="AD50" i="113"/>
  <c r="AF50" i="113"/>
  <c r="AA70" i="144"/>
  <c r="AA56" i="119"/>
  <c r="AB56" i="119"/>
  <c r="AB41" i="76"/>
  <c r="AA28" i="125"/>
  <c r="AB28" i="125"/>
  <c r="AA65" i="120"/>
  <c r="AB65" i="120"/>
  <c r="AB65" i="148"/>
  <c r="AA17" i="129"/>
  <c r="AB17" i="129"/>
  <c r="AA61" i="127"/>
  <c r="AB61" i="127"/>
  <c r="AD61" i="113"/>
  <c r="AF61" i="113"/>
  <c r="AB27" i="151"/>
  <c r="AA27" i="129"/>
  <c r="AB27" i="129"/>
  <c r="AA27" i="118"/>
  <c r="AB27" i="118"/>
  <c r="AA27" i="117"/>
  <c r="AB27" i="117"/>
  <c r="AA69" i="119"/>
  <c r="AB69" i="119"/>
  <c r="AA69" i="118"/>
  <c r="AB69" i="118"/>
  <c r="AA69" i="129"/>
  <c r="AB69" i="129"/>
  <c r="AB54" i="76"/>
  <c r="AC54" i="76"/>
  <c r="AB54" i="144"/>
  <c r="AA54" i="146"/>
  <c r="AA54" i="128"/>
  <c r="AB54" i="128"/>
  <c r="AA55" i="119"/>
  <c r="AA55" i="131"/>
  <c r="AA46" i="126"/>
  <c r="AA29" i="117"/>
  <c r="AB29" i="117"/>
  <c r="AA31" i="117"/>
  <c r="AA22" i="117"/>
  <c r="AB22" i="117"/>
  <c r="AA22" i="120"/>
  <c r="AB22" i="120"/>
  <c r="AA64" i="118"/>
  <c r="AB64" i="118"/>
  <c r="AA30" i="144"/>
  <c r="AB30" i="144"/>
  <c r="AA53" i="118"/>
  <c r="AB53" i="118"/>
  <c r="AA13" i="129"/>
  <c r="AB74" i="76"/>
  <c r="AC74" i="76"/>
  <c r="AA49" i="125"/>
  <c r="AB49" i="125"/>
  <c r="AA49" i="119"/>
  <c r="AB49" i="119"/>
  <c r="AA49" i="117"/>
  <c r="AB49" i="117"/>
  <c r="AA16" i="117"/>
  <c r="AB16" i="117"/>
  <c r="AA16" i="126"/>
  <c r="AB16" i="126"/>
  <c r="AA62" i="120"/>
  <c r="AB62" i="120"/>
  <c r="AA24" i="125"/>
  <c r="AB24" i="125"/>
  <c r="AA73" i="128"/>
  <c r="AB73" i="128"/>
  <c r="AB32" i="76"/>
  <c r="AC32" i="76"/>
  <c r="AA59" i="131"/>
  <c r="AB59" i="131"/>
  <c r="AA59" i="116"/>
  <c r="AB59" i="116"/>
  <c r="AA59" i="127"/>
  <c r="AB59" i="127"/>
  <c r="AA67" i="152"/>
  <c r="AA67" i="129"/>
  <c r="AB67" i="129"/>
  <c r="AA10" i="118"/>
  <c r="AB10" i="118"/>
  <c r="AA10" i="116"/>
  <c r="AB10" i="116"/>
  <c r="AA27" i="120"/>
  <c r="AB27" i="120"/>
  <c r="AD27" i="113"/>
  <c r="AF27" i="113"/>
  <c r="AA55" i="128"/>
  <c r="AB55" i="128"/>
  <c r="AA29" i="120"/>
  <c r="AB29" i="120"/>
  <c r="AA29" i="125"/>
  <c r="AB29" i="125"/>
  <c r="AA64" i="117"/>
  <c r="AB64" i="117"/>
  <c r="AA50" i="126"/>
  <c r="AB70" i="76"/>
  <c r="AA70" i="127"/>
  <c r="AA56" i="116"/>
  <c r="AA45" i="125"/>
  <c r="AB45" i="125"/>
  <c r="AA49" i="127"/>
  <c r="AB49" i="127"/>
  <c r="AA16" i="152"/>
  <c r="AB16" i="152"/>
  <c r="AA60" i="118"/>
  <c r="AB60" i="118"/>
  <c r="AA60" i="116"/>
  <c r="AB60" i="116"/>
  <c r="AA60" i="149"/>
  <c r="AA60" i="148"/>
  <c r="AB60" i="148"/>
  <c r="AA34" i="127"/>
  <c r="AA24" i="131"/>
  <c r="AB24" i="131"/>
  <c r="AA39" i="117"/>
  <c r="AB39" i="117"/>
  <c r="AA39" i="145"/>
  <c r="AB39" i="145"/>
  <c r="AA39" i="129"/>
  <c r="AB39" i="129"/>
  <c r="AA67" i="127"/>
  <c r="AI15" i="46"/>
  <c r="AA31" i="119"/>
  <c r="AB31" i="119"/>
  <c r="AA31" i="152"/>
  <c r="AB31" i="152"/>
  <c r="AA64" i="128"/>
  <c r="AA64" i="148"/>
  <c r="AB64" i="148"/>
  <c r="AA70" i="149"/>
  <c r="AB70" i="149"/>
  <c r="AA56" i="129"/>
  <c r="AB56" i="129"/>
  <c r="AA9" i="148"/>
  <c r="AB9" i="148"/>
  <c r="AA45" i="131"/>
  <c r="AB45" i="131"/>
  <c r="AA45" i="127"/>
  <c r="AB45" i="127"/>
  <c r="AA53" i="125"/>
  <c r="AB53" i="125"/>
  <c r="AA41" i="116"/>
  <c r="AB41" i="116"/>
  <c r="AB41" i="145"/>
  <c r="AA13" i="116"/>
  <c r="AB13" i="116"/>
  <c r="AA13" i="125"/>
  <c r="AB13" i="125"/>
  <c r="AA13" i="120"/>
  <c r="AB13" i="120"/>
  <c r="AA16" i="144"/>
  <c r="AA68" i="120"/>
  <c r="AB68" i="120"/>
  <c r="AD68" i="113"/>
  <c r="AF68" i="113"/>
  <c r="AA18" i="127"/>
  <c r="AB18" i="127"/>
  <c r="AA21" i="119"/>
  <c r="AB21" i="119"/>
  <c r="AA21" i="120"/>
  <c r="AB21" i="120"/>
  <c r="AB62" i="76"/>
  <c r="AA67" i="120"/>
  <c r="AA28" i="119"/>
  <c r="AB28" i="119"/>
  <c r="AA65" i="117"/>
  <c r="AB65" i="117"/>
  <c r="AA17" i="153"/>
  <c r="AA17" i="118"/>
  <c r="AB17" i="118"/>
  <c r="AA17" i="149"/>
  <c r="AB17" i="149"/>
  <c r="AA54" i="118"/>
  <c r="AA46" i="125"/>
  <c r="AA46" i="117"/>
  <c r="AA46" i="120"/>
  <c r="AA30" i="117"/>
  <c r="AB30" i="117"/>
  <c r="AA50" i="144"/>
  <c r="AA50" i="118"/>
  <c r="AB50" i="118"/>
  <c r="AA50" i="152"/>
  <c r="AA50" i="127"/>
  <c r="AB50" i="127"/>
  <c r="AA70" i="152"/>
  <c r="AA70" i="117"/>
  <c r="AB70" i="117"/>
  <c r="AB56" i="76"/>
  <c r="AC56" i="76"/>
  <c r="AA56" i="147"/>
  <c r="AB56" i="147"/>
  <c r="AA16" i="118"/>
  <c r="AA68" i="148"/>
  <c r="AB68" i="148"/>
  <c r="AA68" i="126"/>
  <c r="AB68" i="126"/>
  <c r="AB18" i="76"/>
  <c r="AC18" i="76"/>
  <c r="AD18" i="113"/>
  <c r="AF18" i="113"/>
  <c r="AA66" i="119"/>
  <c r="AB66" i="119"/>
  <c r="AA66" i="127"/>
  <c r="AB66" i="127"/>
  <c r="AA66" i="128"/>
  <c r="AB66" i="128"/>
  <c r="AA34" i="125"/>
  <c r="AB34" i="125"/>
  <c r="AA34" i="120"/>
  <c r="AB34" i="120"/>
  <c r="AA62" i="128"/>
  <c r="AB62" i="128"/>
  <c r="AA62" i="117"/>
  <c r="AB62" i="117"/>
  <c r="AA62" i="119"/>
  <c r="AB62" i="119"/>
  <c r="AA62" i="152"/>
  <c r="AA73" i="146"/>
  <c r="AB73" i="146"/>
  <c r="AA32" i="116"/>
  <c r="AB32" i="116"/>
  <c r="AB36" i="80"/>
  <c r="AC36" i="80"/>
  <c r="AA26" i="116"/>
  <c r="AB26" i="116"/>
  <c r="AA10" i="149"/>
  <c r="AA65" i="145"/>
  <c r="AA65" i="151"/>
  <c r="AB65" i="151"/>
  <c r="AA65" i="128"/>
  <c r="AB65" i="128"/>
  <c r="AA61" i="144"/>
  <c r="AB54" i="146"/>
  <c r="K26" i="100"/>
  <c r="AC29" i="117"/>
  <c r="AN29" i="117"/>
  <c r="AO29" i="117"/>
  <c r="AO26" i="72"/>
  <c r="AD29" i="80"/>
  <c r="AO29" i="80"/>
  <c r="AP29" i="80"/>
  <c r="BI26" i="72"/>
  <c r="AE26" i="100"/>
  <c r="AE29" i="80"/>
  <c r="AG29" i="80"/>
  <c r="AA29" i="153"/>
  <c r="AB29" i="76"/>
  <c r="AC29" i="76"/>
  <c r="AB29" i="148"/>
  <c r="AC29" i="131"/>
  <c r="AN29" i="131"/>
  <c r="AO29" i="131"/>
  <c r="AX26" i="72"/>
  <c r="T26" i="100"/>
  <c r="AA31" i="118"/>
  <c r="AB31" i="118"/>
  <c r="AB31" i="117"/>
  <c r="AB31" i="126"/>
  <c r="AB31" i="80"/>
  <c r="AC31" i="80"/>
  <c r="W19" i="100"/>
  <c r="AC22" i="146"/>
  <c r="AN22" i="146"/>
  <c r="AO22" i="146"/>
  <c r="BA19" i="72"/>
  <c r="AD22" i="146"/>
  <c r="AF22" i="146"/>
  <c r="AC22" i="117"/>
  <c r="AN22" i="117"/>
  <c r="AO22" i="117"/>
  <c r="AO19" i="72"/>
  <c r="AD22" i="117"/>
  <c r="AF22" i="117"/>
  <c r="K19" i="100"/>
  <c r="Q19" i="100"/>
  <c r="AC22" i="127"/>
  <c r="AN22" i="127"/>
  <c r="AO22" i="127"/>
  <c r="AU19" i="72"/>
  <c r="AD22" i="127"/>
  <c r="AF22" i="127"/>
  <c r="Z19" i="100"/>
  <c r="AC22" i="149"/>
  <c r="AN22" i="149"/>
  <c r="AO22" i="149"/>
  <c r="BD19" i="72"/>
  <c r="AC22" i="120"/>
  <c r="AN22" i="120"/>
  <c r="AO22" i="120"/>
  <c r="AR19" i="72"/>
  <c r="N19" i="100"/>
  <c r="I19" i="100"/>
  <c r="AM19" i="72"/>
  <c r="AA22" i="153"/>
  <c r="AB22" i="153"/>
  <c r="O19" i="100"/>
  <c r="AC22" i="125"/>
  <c r="AN22" i="125"/>
  <c r="AO22" i="125"/>
  <c r="AS19" i="72"/>
  <c r="AC64" i="129"/>
  <c r="AN64" i="129"/>
  <c r="AO64" i="129"/>
  <c r="AW61" i="72"/>
  <c r="S61" i="100"/>
  <c r="AC64" i="118"/>
  <c r="AN64" i="118"/>
  <c r="AO64" i="118"/>
  <c r="AP61" i="72"/>
  <c r="L61" i="100"/>
  <c r="AA64" i="152"/>
  <c r="AA64" i="147"/>
  <c r="AB64" i="147"/>
  <c r="AA64" i="119"/>
  <c r="AB64" i="119"/>
  <c r="AA64" i="120"/>
  <c r="AB64" i="120"/>
  <c r="G32" i="100"/>
  <c r="AK32" i="72"/>
  <c r="X35" i="149"/>
  <c r="V35" i="149"/>
  <c r="Z35" i="149"/>
  <c r="V35" i="131"/>
  <c r="Z35" i="131"/>
  <c r="X35" i="131"/>
  <c r="AA35" i="131"/>
  <c r="AB35" i="131"/>
  <c r="V35" i="127"/>
  <c r="Z35" i="127"/>
  <c r="X35" i="127"/>
  <c r="Z35" i="116"/>
  <c r="V35" i="116"/>
  <c r="X35" i="116"/>
  <c r="AA35" i="116"/>
  <c r="AB35" i="116"/>
  <c r="Z35" i="145"/>
  <c r="X35" i="145"/>
  <c r="AA35" i="145"/>
  <c r="V35" i="145"/>
  <c r="AB35" i="145"/>
  <c r="V35" i="144"/>
  <c r="Z35" i="144"/>
  <c r="X35" i="144"/>
  <c r="AA35" i="144"/>
  <c r="Z35" i="120"/>
  <c r="V35" i="120"/>
  <c r="X35" i="120"/>
  <c r="AA35" i="120"/>
  <c r="W35" i="80"/>
  <c r="AA35" i="80"/>
  <c r="Y35" i="80"/>
  <c r="AB35" i="80"/>
  <c r="AC35" i="80"/>
  <c r="X35" i="146"/>
  <c r="V35" i="146"/>
  <c r="Z35" i="146"/>
  <c r="V35" i="148"/>
  <c r="Z35" i="148"/>
  <c r="X35" i="148"/>
  <c r="AA35" i="148"/>
  <c r="W35" i="76"/>
  <c r="AA35" i="76"/>
  <c r="Y35" i="76"/>
  <c r="Z35" i="128"/>
  <c r="V35" i="128"/>
  <c r="X35" i="128"/>
  <c r="AA35" i="128"/>
  <c r="AB35" i="128"/>
  <c r="X35" i="152"/>
  <c r="V35" i="152"/>
  <c r="Z35" i="152"/>
  <c r="AC30" i="144"/>
  <c r="AN30" i="144"/>
  <c r="AO30" i="144"/>
  <c r="AY27" i="72"/>
  <c r="U27" i="100"/>
  <c r="AC30" i="118"/>
  <c r="AN30" i="118"/>
  <c r="AO30" i="118"/>
  <c r="AP27" i="72"/>
  <c r="L27" i="100"/>
  <c r="AD30" i="118"/>
  <c r="AF30" i="118"/>
  <c r="AA27" i="100"/>
  <c r="AC30" i="151"/>
  <c r="AN30" i="151"/>
  <c r="AO30" i="151"/>
  <c r="BE27" i="72"/>
  <c r="AD30" i="151"/>
  <c r="AF30" i="151"/>
  <c r="AD30" i="80"/>
  <c r="AO30" i="80"/>
  <c r="AP30" i="80"/>
  <c r="BI27" i="72"/>
  <c r="AE27" i="100"/>
  <c r="P27" i="100"/>
  <c r="AC30" i="126"/>
  <c r="AN30" i="126"/>
  <c r="AO30" i="126"/>
  <c r="AT27" i="72"/>
  <c r="AD30" i="126"/>
  <c r="AF30" i="126"/>
  <c r="AB30" i="145"/>
  <c r="AC30" i="129"/>
  <c r="AN30" i="129"/>
  <c r="AO30" i="129"/>
  <c r="AW27" i="72"/>
  <c r="S27" i="100"/>
  <c r="AC30" i="128"/>
  <c r="AN30" i="128"/>
  <c r="AO30" i="128"/>
  <c r="AV27" i="72"/>
  <c r="R27" i="100"/>
  <c r="AD30" i="128"/>
  <c r="AF30" i="128"/>
  <c r="AA50" i="120"/>
  <c r="AB50" i="120"/>
  <c r="AA50" i="149"/>
  <c r="AB50" i="149"/>
  <c r="AA50" i="151"/>
  <c r="AA50" i="125"/>
  <c r="AB50" i="125"/>
  <c r="AA50" i="145"/>
  <c r="AB50" i="80"/>
  <c r="AC50" i="80"/>
  <c r="AA50" i="116"/>
  <c r="AB50" i="116"/>
  <c r="AB70" i="147"/>
  <c r="AB70" i="116"/>
  <c r="S67" i="100"/>
  <c r="AC70" i="129"/>
  <c r="AN70" i="129"/>
  <c r="AO70" i="129"/>
  <c r="AW67" i="72"/>
  <c r="AC70" i="128"/>
  <c r="AN70" i="128"/>
  <c r="AO70" i="128"/>
  <c r="AV67" i="72"/>
  <c r="R67" i="100"/>
  <c r="AB70" i="120"/>
  <c r="G67" i="100"/>
  <c r="AK67" i="72"/>
  <c r="AA56" i="152"/>
  <c r="AB56" i="152"/>
  <c r="AA56" i="148"/>
  <c r="AA56" i="146"/>
  <c r="AB56" i="146"/>
  <c r="AC56" i="126"/>
  <c r="AN56" i="126"/>
  <c r="AO56" i="126"/>
  <c r="AT53" i="72"/>
  <c r="P53" i="100"/>
  <c r="AA56" i="151"/>
  <c r="AB56" i="151"/>
  <c r="AB56" i="144"/>
  <c r="AC9" i="120"/>
  <c r="AD9" i="120"/>
  <c r="AF9" i="120"/>
  <c r="AN9" i="120"/>
  <c r="AO9" i="120"/>
  <c r="AR6" i="72"/>
  <c r="N6" i="100"/>
  <c r="AB9" i="145"/>
  <c r="S6" i="100"/>
  <c r="AC9" i="129"/>
  <c r="AN9" i="129"/>
  <c r="AO9" i="129"/>
  <c r="AW6" i="72"/>
  <c r="AD9" i="129"/>
  <c r="AF9" i="129"/>
  <c r="AC9" i="116"/>
  <c r="AN9" i="116"/>
  <c r="AO9" i="116"/>
  <c r="AN6" i="72"/>
  <c r="J6" i="100"/>
  <c r="AC9" i="125"/>
  <c r="AN9" i="125"/>
  <c r="AO9" i="125"/>
  <c r="AS6" i="72"/>
  <c r="O6" i="100"/>
  <c r="AK6" i="72"/>
  <c r="G6" i="100"/>
  <c r="I42" i="100"/>
  <c r="AM42" i="72"/>
  <c r="AA45" i="144"/>
  <c r="AB45" i="144"/>
  <c r="P42" i="100"/>
  <c r="AC45" i="126"/>
  <c r="AN45" i="126"/>
  <c r="AO45" i="126"/>
  <c r="AT42" i="72"/>
  <c r="AD45" i="76"/>
  <c r="AO45" i="76"/>
  <c r="AP45" i="76"/>
  <c r="BH42" i="72"/>
  <c r="AD42" i="100"/>
  <c r="AE45" i="76"/>
  <c r="AG45" i="76"/>
  <c r="AC45" i="145"/>
  <c r="AN45" i="145"/>
  <c r="AO45" i="145"/>
  <c r="AZ42" i="72"/>
  <c r="V42" i="100"/>
  <c r="L42" i="100"/>
  <c r="AC45" i="118"/>
  <c r="AN45" i="118"/>
  <c r="AO45" i="118"/>
  <c r="AP42" i="72"/>
  <c r="AD45" i="118"/>
  <c r="AF45" i="118"/>
  <c r="H50" i="100"/>
  <c r="AL50" i="72"/>
  <c r="AC53" i="128"/>
  <c r="AN53" i="128"/>
  <c r="AO53" i="128"/>
  <c r="AV50" i="72"/>
  <c r="R50" i="100"/>
  <c r="L50" i="100"/>
  <c r="AC53" i="118"/>
  <c r="AN53" i="118"/>
  <c r="AO53" i="118"/>
  <c r="AP50" i="72"/>
  <c r="AA53" i="148"/>
  <c r="AB53" i="148"/>
  <c r="AD53" i="76"/>
  <c r="AO53" i="76"/>
  <c r="AP53" i="76"/>
  <c r="BH50" i="72"/>
  <c r="AD50" i="100"/>
  <c r="AD19" i="76"/>
  <c r="AO19" i="76"/>
  <c r="AP19" i="76"/>
  <c r="BH16" i="72"/>
  <c r="AD16" i="100"/>
  <c r="AA19" i="144"/>
  <c r="AB19" i="144"/>
  <c r="AA19" i="119"/>
  <c r="AB19" i="119"/>
  <c r="AB19" i="128"/>
  <c r="AA19" i="125"/>
  <c r="AB19" i="125"/>
  <c r="AA19" i="131"/>
  <c r="AB19" i="131"/>
  <c r="AA41" i="148"/>
  <c r="AA41" i="119"/>
  <c r="AB41" i="119"/>
  <c r="AA41" i="152"/>
  <c r="AB41" i="152"/>
  <c r="AA41" i="127"/>
  <c r="AB41" i="127"/>
  <c r="O38" i="100"/>
  <c r="AC41" i="125"/>
  <c r="AN41" i="125"/>
  <c r="AO41" i="125"/>
  <c r="AS38" i="72"/>
  <c r="L38" i="100"/>
  <c r="AC41" i="118"/>
  <c r="AN41" i="118"/>
  <c r="AO41" i="118"/>
  <c r="AP38" i="72"/>
  <c r="AB13" i="129"/>
  <c r="AB13" i="119"/>
  <c r="AB13" i="146"/>
  <c r="AB13" i="147"/>
  <c r="AE71" i="100"/>
  <c r="AD74" i="80"/>
  <c r="AO74" i="80"/>
  <c r="AP74" i="80"/>
  <c r="BI71" i="72"/>
  <c r="AB74" i="144"/>
  <c r="AD71" i="100"/>
  <c r="AD74" i="76"/>
  <c r="AO74" i="76"/>
  <c r="AP74" i="76"/>
  <c r="BH71" i="72"/>
  <c r="AL71" i="72"/>
  <c r="H71" i="100"/>
  <c r="AD74" i="114"/>
  <c r="AF74" i="114"/>
  <c r="P71" i="100"/>
  <c r="AC74" i="126"/>
  <c r="AN74" i="126"/>
  <c r="AO74" i="126"/>
  <c r="AT71" i="72"/>
  <c r="AD49" i="80"/>
  <c r="AO49" i="80"/>
  <c r="AP49" i="80"/>
  <c r="BI46" i="72"/>
  <c r="AE46" i="100"/>
  <c r="AC49" i="125"/>
  <c r="AN49" i="125"/>
  <c r="AO49" i="125"/>
  <c r="AS46" i="72"/>
  <c r="O46" i="100"/>
  <c r="AC49" i="129"/>
  <c r="AN49" i="129"/>
  <c r="AO49" i="129"/>
  <c r="AW46" i="72"/>
  <c r="S46" i="100"/>
  <c r="AC49" i="119"/>
  <c r="AN49" i="119"/>
  <c r="AO49" i="119"/>
  <c r="AQ46" i="72"/>
  <c r="M46" i="100"/>
  <c r="AD46" i="100"/>
  <c r="AD49" i="76"/>
  <c r="AO49" i="76"/>
  <c r="AP49" i="76"/>
  <c r="BH46" i="72"/>
  <c r="K46" i="100"/>
  <c r="AC49" i="117"/>
  <c r="AN49" i="117"/>
  <c r="AO49" i="117"/>
  <c r="AO46" i="72"/>
  <c r="AC16" i="148"/>
  <c r="AN16" i="148"/>
  <c r="AO16" i="148"/>
  <c r="BC13" i="72"/>
  <c r="Y13" i="100"/>
  <c r="AD16" i="148"/>
  <c r="AF16" i="148"/>
  <c r="K13" i="100"/>
  <c r="AC16" i="117"/>
  <c r="AN16" i="117"/>
  <c r="AO16" i="117"/>
  <c r="AO13" i="72"/>
  <c r="AB16" i="147"/>
  <c r="AC16" i="125"/>
  <c r="AN16" i="125"/>
  <c r="AO16" i="125"/>
  <c r="AS13" i="72"/>
  <c r="O13" i="100"/>
  <c r="AC16" i="119"/>
  <c r="AN16" i="119"/>
  <c r="AO16" i="119"/>
  <c r="AQ13" i="72"/>
  <c r="M13" i="100"/>
  <c r="AD16" i="119"/>
  <c r="AF16" i="119"/>
  <c r="P13" i="100"/>
  <c r="AC16" i="126"/>
  <c r="AN16" i="126"/>
  <c r="AO16" i="126"/>
  <c r="AT13" i="72"/>
  <c r="AC60" i="125"/>
  <c r="AN60" i="125"/>
  <c r="AO60" i="125"/>
  <c r="AS57" i="72"/>
  <c r="O57" i="100"/>
  <c r="AD60" i="125"/>
  <c r="AF60" i="125"/>
  <c r="AA60" i="144"/>
  <c r="AB60" i="144"/>
  <c r="Q57" i="100"/>
  <c r="AC60" i="127"/>
  <c r="AN60" i="127"/>
  <c r="AO60" i="127"/>
  <c r="AU57" i="72"/>
  <c r="AC60" i="128"/>
  <c r="AN60" i="128"/>
  <c r="AO60" i="128"/>
  <c r="AV57" i="72"/>
  <c r="R57" i="100"/>
  <c r="AD57" i="100"/>
  <c r="AD60" i="76"/>
  <c r="AO60" i="76"/>
  <c r="AP60" i="76"/>
  <c r="BH57" i="72"/>
  <c r="H57" i="100"/>
  <c r="AL57" i="72"/>
  <c r="AA68" i="144"/>
  <c r="AB68" i="144"/>
  <c r="AC68" i="117"/>
  <c r="AN68" i="117"/>
  <c r="AO68" i="117"/>
  <c r="AO65" i="72"/>
  <c r="AD68" i="117"/>
  <c r="AF68" i="117"/>
  <c r="K65" i="100"/>
  <c r="AC68" i="119"/>
  <c r="AN68" i="119"/>
  <c r="AO68" i="119"/>
  <c r="AQ65" i="72"/>
  <c r="M65" i="100"/>
  <c r="S65" i="100"/>
  <c r="AC68" i="129"/>
  <c r="AN68" i="129"/>
  <c r="AO68" i="129"/>
  <c r="AW65" i="72"/>
  <c r="N65" i="100"/>
  <c r="AC68" i="120"/>
  <c r="AN68" i="120"/>
  <c r="AO68" i="120"/>
  <c r="AR65" i="72"/>
  <c r="AH68" i="113"/>
  <c r="AI68" i="113"/>
  <c r="G65" i="72"/>
  <c r="AJ68" i="113"/>
  <c r="P15" i="100"/>
  <c r="AC18" i="126"/>
  <c r="AN18" i="126"/>
  <c r="AO18" i="126"/>
  <c r="AT15" i="72"/>
  <c r="H15" i="100"/>
  <c r="AL15" i="72"/>
  <c r="AD18" i="114"/>
  <c r="AF18" i="114"/>
  <c r="AC18" i="145"/>
  <c r="AN18" i="145"/>
  <c r="AO18" i="145"/>
  <c r="AZ15" i="72"/>
  <c r="AD18" i="145"/>
  <c r="AF18" i="145"/>
  <c r="V15" i="100"/>
  <c r="AC18" i="127"/>
  <c r="AN18" i="127"/>
  <c r="AO18" i="127"/>
  <c r="AU15" i="72"/>
  <c r="Q15" i="100"/>
  <c r="AD18" i="127"/>
  <c r="AF18" i="127"/>
  <c r="AB21" i="146"/>
  <c r="M18" i="100"/>
  <c r="AC21" i="119"/>
  <c r="AN21" i="119"/>
  <c r="AO21" i="119"/>
  <c r="AQ18" i="72"/>
  <c r="AD21" i="119"/>
  <c r="AF21" i="119"/>
  <c r="AB21" i="153"/>
  <c r="AA21" i="151"/>
  <c r="P18" i="100"/>
  <c r="AC21" i="126"/>
  <c r="AN21" i="126"/>
  <c r="AO21" i="126"/>
  <c r="AT18" i="72"/>
  <c r="N18" i="100"/>
  <c r="AC21" i="120"/>
  <c r="AN21" i="120"/>
  <c r="AO21" i="120"/>
  <c r="AR18" i="72"/>
  <c r="AC66" i="120"/>
  <c r="AN66" i="120"/>
  <c r="AO66" i="120"/>
  <c r="AR63" i="72"/>
  <c r="N63" i="100"/>
  <c r="AA63" i="100"/>
  <c r="AC66" i="151"/>
  <c r="AN66" i="151"/>
  <c r="AO66" i="151"/>
  <c r="BE63" i="72"/>
  <c r="P63" i="100"/>
  <c r="AC66" i="126"/>
  <c r="AN66" i="126"/>
  <c r="AO66" i="126"/>
  <c r="AT63" i="72"/>
  <c r="AD66" i="126"/>
  <c r="AF66" i="126"/>
  <c r="AE63" i="100"/>
  <c r="AD66" i="80"/>
  <c r="AO66" i="80"/>
  <c r="AP66" i="80"/>
  <c r="BI63" i="72"/>
  <c r="AA66" i="146"/>
  <c r="AB66" i="146"/>
  <c r="AB66" i="149"/>
  <c r="V44" i="147"/>
  <c r="Z44" i="147"/>
  <c r="X44" i="147"/>
  <c r="Z44" i="118"/>
  <c r="V44" i="118"/>
  <c r="X44" i="118"/>
  <c r="Z44" i="116"/>
  <c r="V44" i="116"/>
  <c r="X44" i="116"/>
  <c r="W44" i="76"/>
  <c r="AA44" i="76"/>
  <c r="Y44" i="76"/>
  <c r="Z44" i="153"/>
  <c r="X44" i="153"/>
  <c r="V44" i="153"/>
  <c r="AA44" i="80"/>
  <c r="W44" i="80"/>
  <c r="Y44" i="80"/>
  <c r="Z44" i="125"/>
  <c r="V44" i="125"/>
  <c r="X44" i="125"/>
  <c r="AA44" i="125"/>
  <c r="V44" i="128"/>
  <c r="Z44" i="128"/>
  <c r="X44" i="128"/>
  <c r="V44" i="146"/>
  <c r="X44" i="146"/>
  <c r="Z44" i="146"/>
  <c r="Z44" i="148"/>
  <c r="X44" i="148"/>
  <c r="V44" i="148"/>
  <c r="X44" i="149"/>
  <c r="V44" i="149"/>
  <c r="Z44" i="149"/>
  <c r="Z44" i="127"/>
  <c r="V44" i="127"/>
  <c r="X44" i="127"/>
  <c r="AA44" i="127"/>
  <c r="AB44" i="127"/>
  <c r="AB34" i="144"/>
  <c r="H31" i="100"/>
  <c r="AL31" i="72"/>
  <c r="AB31" i="100"/>
  <c r="AC34" i="152"/>
  <c r="AN34" i="152"/>
  <c r="AO34" i="152"/>
  <c r="BF31" i="72"/>
  <c r="AD34" i="152"/>
  <c r="AF34" i="152"/>
  <c r="AC34" i="128"/>
  <c r="AN34" i="128"/>
  <c r="AO34" i="128"/>
  <c r="AV31" i="72"/>
  <c r="R31" i="100"/>
  <c r="AD34" i="128"/>
  <c r="AF34" i="128"/>
  <c r="AC34" i="118"/>
  <c r="AN34" i="118"/>
  <c r="AO34" i="118"/>
  <c r="AP31" i="72"/>
  <c r="L31" i="100"/>
  <c r="AD34" i="118"/>
  <c r="AF34" i="118"/>
  <c r="AK31" i="72"/>
  <c r="G31" i="100"/>
  <c r="AD34" i="113"/>
  <c r="AF34" i="113"/>
  <c r="AC62" i="120"/>
  <c r="AN62" i="120"/>
  <c r="AO62" i="120"/>
  <c r="AR59" i="72"/>
  <c r="N59" i="100"/>
  <c r="J59" i="100"/>
  <c r="AC62" i="116"/>
  <c r="AN62" i="116"/>
  <c r="AO62" i="116"/>
  <c r="AN59" i="72"/>
  <c r="AC62" i="118"/>
  <c r="AN62" i="118"/>
  <c r="AO62" i="118"/>
  <c r="AP59" i="72"/>
  <c r="L59" i="100"/>
  <c r="AB62" i="149"/>
  <c r="Q59" i="100"/>
  <c r="AC62" i="127"/>
  <c r="AN62" i="127"/>
  <c r="AO62" i="127"/>
  <c r="AU59" i="72"/>
  <c r="AB24" i="147"/>
  <c r="AC24" i="125"/>
  <c r="AN24" i="125"/>
  <c r="AO24" i="125"/>
  <c r="AS21" i="72"/>
  <c r="O21" i="100"/>
  <c r="AB24" i="149"/>
  <c r="AC21" i="100"/>
  <c r="AC24" i="153"/>
  <c r="AN24" i="153"/>
  <c r="AO24" i="153"/>
  <c r="BG21" i="72"/>
  <c r="AA24" i="148"/>
  <c r="AB24" i="148"/>
  <c r="AD24" i="80"/>
  <c r="AO24" i="80"/>
  <c r="AP24" i="80"/>
  <c r="BI21" i="72"/>
  <c r="AE21" i="100"/>
  <c r="N21" i="100"/>
  <c r="AC24" i="120"/>
  <c r="AN24" i="120"/>
  <c r="AO24" i="120"/>
  <c r="AR21" i="72"/>
  <c r="Q21" i="100"/>
  <c r="AC24" i="127"/>
  <c r="AN24" i="127"/>
  <c r="AO24" i="127"/>
  <c r="AU21" i="72"/>
  <c r="AC39" i="125"/>
  <c r="AN39" i="125"/>
  <c r="AO39" i="125"/>
  <c r="AS36" i="72"/>
  <c r="O36" i="100"/>
  <c r="AD39" i="125"/>
  <c r="AF39" i="125"/>
  <c r="AC39" i="120"/>
  <c r="AN39" i="120"/>
  <c r="AO39" i="120"/>
  <c r="AR36" i="72"/>
  <c r="N36" i="100"/>
  <c r="AD39" i="120"/>
  <c r="AF39" i="120"/>
  <c r="AD39" i="76"/>
  <c r="AO39" i="76"/>
  <c r="AP39" i="76"/>
  <c r="BH36" i="72"/>
  <c r="AD36" i="100"/>
  <c r="H36" i="100"/>
  <c r="AL36" i="72"/>
  <c r="AC39" i="152"/>
  <c r="AN39" i="152"/>
  <c r="AO39" i="152"/>
  <c r="BF36" i="72"/>
  <c r="AB36" i="100"/>
  <c r="AD39" i="152"/>
  <c r="AF39" i="152"/>
  <c r="I70" i="100"/>
  <c r="AM70" i="72"/>
  <c r="AD70" i="100"/>
  <c r="AD73" i="76"/>
  <c r="AO73" i="76"/>
  <c r="AP73" i="76"/>
  <c r="BH70" i="72"/>
  <c r="AC73" i="128"/>
  <c r="AN73" i="128"/>
  <c r="AO73" i="128"/>
  <c r="AV70" i="72"/>
  <c r="R70" i="100"/>
  <c r="AD73" i="128"/>
  <c r="AF73" i="128"/>
  <c r="AA73" i="149"/>
  <c r="AB73" i="149"/>
  <c r="AC73" i="127"/>
  <c r="AN73" i="127"/>
  <c r="AO73" i="127"/>
  <c r="AU70" i="72"/>
  <c r="Q70" i="100"/>
  <c r="AD73" i="127"/>
  <c r="AF73" i="127"/>
  <c r="H70" i="100"/>
  <c r="AL70" i="72"/>
  <c r="K29" i="100"/>
  <c r="AC32" i="117"/>
  <c r="AN32" i="117"/>
  <c r="AO32" i="117"/>
  <c r="AO29" i="72"/>
  <c r="AD29" i="100"/>
  <c r="AD32" i="76"/>
  <c r="AO32" i="76"/>
  <c r="AP32" i="76"/>
  <c r="BH29" i="72"/>
  <c r="AE32" i="76"/>
  <c r="AG32" i="76"/>
  <c r="AC32" i="118"/>
  <c r="AN32" i="118"/>
  <c r="AO32" i="118"/>
  <c r="AP29" i="72"/>
  <c r="L29" i="100"/>
  <c r="I29" i="100"/>
  <c r="AM29" i="72"/>
  <c r="AE29" i="100"/>
  <c r="AD32" i="80"/>
  <c r="AO32" i="80"/>
  <c r="AP32" i="80"/>
  <c r="BI29" i="72"/>
  <c r="AC32" i="126"/>
  <c r="AN32" i="126"/>
  <c r="AO32" i="126"/>
  <c r="AT29" i="72"/>
  <c r="P29" i="100"/>
  <c r="L56" i="100"/>
  <c r="AC59" i="118"/>
  <c r="AN59" i="118"/>
  <c r="AO59" i="118"/>
  <c r="AP56" i="72"/>
  <c r="AC59" i="146"/>
  <c r="AN59" i="146"/>
  <c r="AO59" i="146"/>
  <c r="BA56" i="72"/>
  <c r="W56" i="100"/>
  <c r="T56" i="100"/>
  <c r="AC59" i="131"/>
  <c r="AN59" i="131"/>
  <c r="AO59" i="131"/>
  <c r="AX56" i="72"/>
  <c r="AM56" i="72"/>
  <c r="I56" i="100"/>
  <c r="AD59" i="115"/>
  <c r="AF59" i="115"/>
  <c r="X56" i="100"/>
  <c r="AC59" i="147"/>
  <c r="AN59" i="147"/>
  <c r="AO59" i="147"/>
  <c r="BB56" i="72"/>
  <c r="AC59" i="116"/>
  <c r="AN59" i="116"/>
  <c r="AO59" i="116"/>
  <c r="AN56" i="72"/>
  <c r="J56" i="100"/>
  <c r="AD59" i="116"/>
  <c r="AF59" i="116"/>
  <c r="AC59" i="120"/>
  <c r="AN59" i="120"/>
  <c r="AO59" i="120"/>
  <c r="AR56" i="72"/>
  <c r="N56" i="100"/>
  <c r="AD59" i="120"/>
  <c r="AF59" i="120"/>
  <c r="AC59" i="127"/>
  <c r="AN59" i="127"/>
  <c r="AO59" i="127"/>
  <c r="AU56" i="72"/>
  <c r="Q56" i="100"/>
  <c r="AC67" i="128"/>
  <c r="AN67" i="128"/>
  <c r="AO67" i="128"/>
  <c r="AV64" i="72"/>
  <c r="R64" i="100"/>
  <c r="AD67" i="128"/>
  <c r="AF67" i="128"/>
  <c r="AC67" i="125"/>
  <c r="AN67" i="125"/>
  <c r="AO67" i="125"/>
  <c r="AS64" i="72"/>
  <c r="O64" i="100"/>
  <c r="AC67" i="118"/>
  <c r="AN67" i="118"/>
  <c r="AO67" i="118"/>
  <c r="AP64" i="72"/>
  <c r="L64" i="100"/>
  <c r="S64" i="100"/>
  <c r="AC67" i="129"/>
  <c r="AN67" i="129"/>
  <c r="AO67" i="129"/>
  <c r="AW64" i="72"/>
  <c r="S33" i="100"/>
  <c r="AC36" i="129"/>
  <c r="AN36" i="129"/>
  <c r="AO36" i="129"/>
  <c r="AW33" i="72"/>
  <c r="AD36" i="129"/>
  <c r="AF36" i="129"/>
  <c r="AC36" i="126"/>
  <c r="AN36" i="126"/>
  <c r="AO36" i="126"/>
  <c r="AT33" i="72"/>
  <c r="P33" i="100"/>
  <c r="AA36" i="148"/>
  <c r="AB36" i="148"/>
  <c r="M33" i="100"/>
  <c r="AC36" i="119"/>
  <c r="AN36" i="119"/>
  <c r="AO36" i="119"/>
  <c r="AQ33" i="72"/>
  <c r="K25" i="100"/>
  <c r="AC28" i="117"/>
  <c r="AN28" i="117"/>
  <c r="AO28" i="117"/>
  <c r="AO25" i="72"/>
  <c r="S25" i="100"/>
  <c r="AC28" i="129"/>
  <c r="AN28" i="129"/>
  <c r="AO28" i="129"/>
  <c r="AW25" i="72"/>
  <c r="AD28" i="129"/>
  <c r="AF28" i="129"/>
  <c r="AM25" i="72"/>
  <c r="I25" i="100"/>
  <c r="J25" i="100"/>
  <c r="AC28" i="116"/>
  <c r="AN28" i="116"/>
  <c r="AO28" i="116"/>
  <c r="AN25" i="72"/>
  <c r="AD28" i="116"/>
  <c r="AF28" i="116"/>
  <c r="AC28" i="119"/>
  <c r="AN28" i="119"/>
  <c r="AO28" i="119"/>
  <c r="AQ25" i="72"/>
  <c r="M25" i="100"/>
  <c r="AD28" i="119"/>
  <c r="AF28" i="119"/>
  <c r="AC26" i="151"/>
  <c r="AN26" i="151"/>
  <c r="AO26" i="151"/>
  <c r="BE23" i="72"/>
  <c r="AA23" i="100"/>
  <c r="AD26" i="151"/>
  <c r="AF26" i="151"/>
  <c r="O23" i="100"/>
  <c r="AC26" i="125"/>
  <c r="AD26" i="125"/>
  <c r="AF26" i="125"/>
  <c r="AN26" i="125"/>
  <c r="AO26" i="125"/>
  <c r="AS23" i="72"/>
  <c r="AA26" i="146"/>
  <c r="AB26" i="146"/>
  <c r="AB26" i="149"/>
  <c r="AK23" i="72"/>
  <c r="G23" i="100"/>
  <c r="AM7" i="72"/>
  <c r="AD10" i="115"/>
  <c r="AF10" i="115"/>
  <c r="I7" i="100"/>
  <c r="AC10" i="118"/>
  <c r="AN10" i="118"/>
  <c r="AO10" i="118"/>
  <c r="AP7" i="72"/>
  <c r="L7" i="100"/>
  <c r="AC10" i="125"/>
  <c r="AN10" i="125"/>
  <c r="AO10" i="125"/>
  <c r="AS7" i="72"/>
  <c r="O7" i="100"/>
  <c r="AC10" i="116"/>
  <c r="AN10" i="116"/>
  <c r="AO10" i="116"/>
  <c r="AN7" i="72"/>
  <c r="J7" i="100"/>
  <c r="AD10" i="116"/>
  <c r="AF10" i="116"/>
  <c r="AC10" i="131"/>
  <c r="AN10" i="131"/>
  <c r="AO10" i="131"/>
  <c r="AX7" i="72"/>
  <c r="T7" i="100"/>
  <c r="G39" i="100"/>
  <c r="AK39" i="72"/>
  <c r="V42" i="117"/>
  <c r="Z42" i="117"/>
  <c r="X42" i="117"/>
  <c r="V42" i="120"/>
  <c r="Z42" i="120"/>
  <c r="X42" i="120"/>
  <c r="AA42" i="120"/>
  <c r="AB42" i="120"/>
  <c r="V42" i="125"/>
  <c r="Z42" i="125"/>
  <c r="X42" i="125"/>
  <c r="V42" i="151"/>
  <c r="X42" i="151"/>
  <c r="Z42" i="151"/>
  <c r="W42" i="76"/>
  <c r="AA42" i="76"/>
  <c r="Y42" i="76"/>
  <c r="Z42" i="153"/>
  <c r="X42" i="153"/>
  <c r="V42" i="153"/>
  <c r="Z42" i="148"/>
  <c r="V42" i="148"/>
  <c r="X42" i="148"/>
  <c r="AA42" i="148"/>
  <c r="AB42" i="148"/>
  <c r="Z42" i="131"/>
  <c r="V42" i="131"/>
  <c r="X42" i="131"/>
  <c r="AA42" i="131"/>
  <c r="AB42" i="131"/>
  <c r="X42" i="147"/>
  <c r="Z42" i="147"/>
  <c r="V42" i="147"/>
  <c r="V42" i="145"/>
  <c r="X42" i="145"/>
  <c r="Z42" i="145"/>
  <c r="W42" i="80"/>
  <c r="AA42" i="80"/>
  <c r="Y42" i="80"/>
  <c r="AC65" i="149"/>
  <c r="AN65" i="149"/>
  <c r="AO65" i="149"/>
  <c r="BD62" i="72"/>
  <c r="Z62" i="100"/>
  <c r="AD65" i="149"/>
  <c r="AF65" i="149"/>
  <c r="AB65" i="147"/>
  <c r="AE62" i="100"/>
  <c r="AD65" i="80"/>
  <c r="AO65" i="80"/>
  <c r="AP65" i="80"/>
  <c r="BI62" i="72"/>
  <c r="AE65" i="80"/>
  <c r="AG65" i="80"/>
  <c r="P62" i="100"/>
  <c r="AC65" i="126"/>
  <c r="AN65" i="126"/>
  <c r="AO65" i="126"/>
  <c r="AT62" i="72"/>
  <c r="AA65" i="153"/>
  <c r="AB65" i="153"/>
  <c r="K62" i="100"/>
  <c r="AC65" i="117"/>
  <c r="AN65" i="117"/>
  <c r="AO65" i="117"/>
  <c r="AO62" i="72"/>
  <c r="R14" i="100"/>
  <c r="AC17" i="128"/>
  <c r="AN17" i="128"/>
  <c r="AO17" i="128"/>
  <c r="AV14" i="72"/>
  <c r="AD17" i="128"/>
  <c r="AF17" i="128"/>
  <c r="L14" i="100"/>
  <c r="AC17" i="118"/>
  <c r="AN17" i="118"/>
  <c r="AO17" i="118"/>
  <c r="AP14" i="72"/>
  <c r="AC17" i="149"/>
  <c r="AN17" i="149"/>
  <c r="AO17" i="149"/>
  <c r="BD14" i="72"/>
  <c r="Z14" i="100"/>
  <c r="AC17" i="125"/>
  <c r="AN17" i="125"/>
  <c r="AO17" i="125"/>
  <c r="AS14" i="72"/>
  <c r="O14" i="100"/>
  <c r="AC17" i="145"/>
  <c r="AN17" i="145"/>
  <c r="AO17" i="145"/>
  <c r="AZ14" i="72"/>
  <c r="V14" i="100"/>
  <c r="AD17" i="145"/>
  <c r="AF17" i="145"/>
  <c r="J14" i="100"/>
  <c r="AC17" i="116"/>
  <c r="AN17" i="116"/>
  <c r="AO17" i="116"/>
  <c r="AN14" i="72"/>
  <c r="AD17" i="116"/>
  <c r="AF17" i="116"/>
  <c r="X14" i="100"/>
  <c r="AC17" i="147"/>
  <c r="AN17" i="147"/>
  <c r="AO17" i="147"/>
  <c r="BB14" i="72"/>
  <c r="AC61" i="152"/>
  <c r="AN61" i="152"/>
  <c r="AO61" i="152"/>
  <c r="BF58" i="72"/>
  <c r="AB58" i="100"/>
  <c r="AD61" i="152"/>
  <c r="AF61" i="152"/>
  <c r="AB61" i="147"/>
  <c r="R58" i="100"/>
  <c r="AC61" i="128"/>
  <c r="AN61" i="128"/>
  <c r="AO61" i="128"/>
  <c r="AV58" i="72"/>
  <c r="O58" i="100"/>
  <c r="AC61" i="125"/>
  <c r="AN61" i="125"/>
  <c r="AO61" i="125"/>
  <c r="AS58" i="72"/>
  <c r="AA61" i="151"/>
  <c r="AC61" i="126"/>
  <c r="AN61" i="126"/>
  <c r="AO61" i="126"/>
  <c r="AT58" i="72"/>
  <c r="AD61" i="126"/>
  <c r="AF61" i="126"/>
  <c r="P58" i="100"/>
  <c r="AD27" i="80"/>
  <c r="AO27" i="80"/>
  <c r="AP27" i="80"/>
  <c r="BI24" i="72"/>
  <c r="AE24" i="100"/>
  <c r="N24" i="100"/>
  <c r="AC27" i="120"/>
  <c r="AN27" i="120"/>
  <c r="AO27" i="120"/>
  <c r="AR24" i="72"/>
  <c r="X24" i="100"/>
  <c r="AC27" i="147"/>
  <c r="AN27" i="147"/>
  <c r="AO27" i="147"/>
  <c r="BB24" i="72"/>
  <c r="AL24" i="72"/>
  <c r="H24" i="100"/>
  <c r="J24" i="100"/>
  <c r="AC27" i="116"/>
  <c r="AD27" i="116"/>
  <c r="AF27" i="116"/>
  <c r="AN27" i="116"/>
  <c r="AO27" i="116"/>
  <c r="AN24" i="72"/>
  <c r="AH27" i="113"/>
  <c r="AI27" i="113"/>
  <c r="G24" i="72"/>
  <c r="AJ27" i="113"/>
  <c r="R66" i="100"/>
  <c r="AC69" i="128"/>
  <c r="AN69" i="128"/>
  <c r="AO69" i="128"/>
  <c r="AV66" i="72"/>
  <c r="AD69" i="128"/>
  <c r="AF69" i="128"/>
  <c r="AB69" i="146"/>
  <c r="AC69" i="120"/>
  <c r="AN69" i="120"/>
  <c r="AO69" i="120"/>
  <c r="AR66" i="72"/>
  <c r="N66" i="100"/>
  <c r="AD69" i="120"/>
  <c r="AF69" i="120"/>
  <c r="AD66" i="100"/>
  <c r="AD69" i="76"/>
  <c r="AO69" i="76"/>
  <c r="AP69" i="76"/>
  <c r="BH66" i="72"/>
  <c r="AA69" i="149"/>
  <c r="AB69" i="149"/>
  <c r="AD69" i="80"/>
  <c r="AO69" i="80"/>
  <c r="AP69" i="80"/>
  <c r="BI66" i="72"/>
  <c r="AE66" i="100"/>
  <c r="AE69" i="80"/>
  <c r="AG69" i="80"/>
  <c r="P51" i="100"/>
  <c r="AC54" i="126"/>
  <c r="AN54" i="126"/>
  <c r="AO54" i="126"/>
  <c r="AT51" i="72"/>
  <c r="AC54" i="119"/>
  <c r="AN54" i="119"/>
  <c r="AO54" i="119"/>
  <c r="AQ51" i="72"/>
  <c r="M51" i="100"/>
  <c r="AD54" i="119"/>
  <c r="AF54" i="119"/>
  <c r="AB54" i="148"/>
  <c r="AE51" i="100"/>
  <c r="AD54" i="80"/>
  <c r="AO54" i="80"/>
  <c r="AP54" i="80"/>
  <c r="BI51" i="72"/>
  <c r="AE54" i="80"/>
  <c r="AG54" i="80"/>
  <c r="AA55" i="145"/>
  <c r="AC55" i="118"/>
  <c r="AN55" i="118"/>
  <c r="AO55" i="118"/>
  <c r="AP52" i="72"/>
  <c r="L52" i="100"/>
  <c r="AB55" i="153"/>
  <c r="AC55" i="128"/>
  <c r="AN55" i="128"/>
  <c r="AO55" i="128"/>
  <c r="AV52" i="72"/>
  <c r="R52" i="100"/>
  <c r="AD55" i="128"/>
  <c r="AF55" i="128"/>
  <c r="Q52" i="100"/>
  <c r="AC55" i="127"/>
  <c r="AN55" i="127"/>
  <c r="AO55" i="127"/>
  <c r="AU52" i="72"/>
  <c r="G52" i="100"/>
  <c r="AK52" i="72"/>
  <c r="AM43" i="72"/>
  <c r="I43" i="100"/>
  <c r="AC46" i="144"/>
  <c r="AN46" i="144"/>
  <c r="AO46" i="144"/>
  <c r="AY43" i="72"/>
  <c r="U43" i="100"/>
  <c r="AD46" i="144"/>
  <c r="AF46" i="144"/>
  <c r="AC46" i="129"/>
  <c r="AN46" i="129"/>
  <c r="AO46" i="129"/>
  <c r="AW43" i="72"/>
  <c r="S43" i="100"/>
  <c r="AD46" i="129"/>
  <c r="AF46" i="129"/>
  <c r="AC46" i="131"/>
  <c r="AN46" i="131"/>
  <c r="AO46" i="131"/>
  <c r="AX43" i="72"/>
  <c r="T43" i="100"/>
  <c r="AD46" i="131"/>
  <c r="AF46" i="131"/>
  <c r="AA46" i="152"/>
  <c r="AB46" i="152"/>
  <c r="AD43" i="100"/>
  <c r="AD46" i="76"/>
  <c r="AO46" i="76"/>
  <c r="AP46" i="76"/>
  <c r="BH43" i="72"/>
  <c r="V38" i="147"/>
  <c r="Z38" i="147"/>
  <c r="X38" i="147"/>
  <c r="V38" i="125"/>
  <c r="Z38" i="125"/>
  <c r="X38" i="125"/>
  <c r="Z38" i="152"/>
  <c r="X38" i="152"/>
  <c r="V38" i="152"/>
  <c r="Z38" i="118"/>
  <c r="V38" i="118"/>
  <c r="X38" i="118"/>
  <c r="V38" i="144"/>
  <c r="Z38" i="144"/>
  <c r="X38" i="144"/>
  <c r="V38" i="120"/>
  <c r="Z38" i="120"/>
  <c r="X38" i="120"/>
  <c r="Z38" i="145"/>
  <c r="X38" i="145"/>
  <c r="V38" i="145"/>
  <c r="Z38" i="116"/>
  <c r="V38" i="116"/>
  <c r="X38" i="116"/>
  <c r="AA38" i="116"/>
  <c r="AA38" i="80"/>
  <c r="W38" i="80"/>
  <c r="Y38" i="80"/>
  <c r="X38" i="146"/>
  <c r="V38" i="146"/>
  <c r="Z38" i="146"/>
  <c r="Z38" i="127"/>
  <c r="V38" i="127"/>
  <c r="X38" i="127"/>
  <c r="AA38" i="127"/>
  <c r="AB38" i="127"/>
  <c r="V38" i="117"/>
  <c r="Z38" i="117"/>
  <c r="X38" i="117"/>
  <c r="G20" i="100"/>
  <c r="AK20" i="72"/>
  <c r="AA23" i="76"/>
  <c r="W23" i="76"/>
  <c r="Y23" i="76"/>
  <c r="AB23" i="76"/>
  <c r="V23" i="146"/>
  <c r="Z23" i="146"/>
  <c r="X23" i="146"/>
  <c r="Z23" i="118"/>
  <c r="V23" i="118"/>
  <c r="X23" i="118"/>
  <c r="Z23" i="145"/>
  <c r="X23" i="145"/>
  <c r="V23" i="145"/>
  <c r="V23" i="125"/>
  <c r="Z23" i="125"/>
  <c r="X23" i="125"/>
  <c r="Z23" i="152"/>
  <c r="X23" i="152"/>
  <c r="V23" i="152"/>
  <c r="V23" i="127"/>
  <c r="Z23" i="127"/>
  <c r="X23" i="127"/>
  <c r="Z23" i="117"/>
  <c r="V23" i="117"/>
  <c r="X23" i="117"/>
  <c r="AA23" i="117"/>
  <c r="AB23" i="117"/>
  <c r="V23" i="148"/>
  <c r="Z23" i="148"/>
  <c r="X23" i="148"/>
  <c r="V23" i="131"/>
  <c r="Z23" i="131"/>
  <c r="X23" i="131"/>
  <c r="V23" i="119"/>
  <c r="Z23" i="119"/>
  <c r="X23" i="119"/>
  <c r="Z23" i="151"/>
  <c r="X23" i="151"/>
  <c r="V23" i="151"/>
  <c r="Z23" i="153"/>
  <c r="X23" i="153"/>
  <c r="V23" i="153"/>
  <c r="Z52" i="147"/>
  <c r="X52" i="147"/>
  <c r="V52" i="147"/>
  <c r="Z52" i="127"/>
  <c r="V52" i="127"/>
  <c r="X52" i="127"/>
  <c r="AA52" i="127"/>
  <c r="V52" i="151"/>
  <c r="Z52" i="151"/>
  <c r="X52" i="151"/>
  <c r="Z52" i="117"/>
  <c r="V52" i="117"/>
  <c r="X52" i="117"/>
  <c r="AA52" i="117"/>
  <c r="Z52" i="116"/>
  <c r="V52" i="116"/>
  <c r="X52" i="116"/>
  <c r="Z52" i="125"/>
  <c r="V52" i="125"/>
  <c r="X52" i="125"/>
  <c r="V52" i="149"/>
  <c r="Z52" i="149"/>
  <c r="X52" i="149"/>
  <c r="W52" i="80"/>
  <c r="AA52" i="80"/>
  <c r="Y52" i="80"/>
  <c r="X52" i="148"/>
  <c r="V52" i="148"/>
  <c r="Z52" i="148"/>
  <c r="V52" i="120"/>
  <c r="Z52" i="120"/>
  <c r="X52" i="120"/>
  <c r="Z52" i="118"/>
  <c r="V52" i="118"/>
  <c r="X52" i="118"/>
  <c r="AA52" i="118"/>
  <c r="AB52" i="118"/>
  <c r="U11" i="151"/>
  <c r="U11" i="128"/>
  <c r="U11" i="120"/>
  <c r="U11" i="153"/>
  <c r="U11" i="119"/>
  <c r="U11" i="144"/>
  <c r="U11" i="118"/>
  <c r="U11" i="145"/>
  <c r="V11" i="76"/>
  <c r="U11" i="126"/>
  <c r="U11" i="127"/>
  <c r="U11" i="146"/>
  <c r="U11" i="129"/>
  <c r="U11" i="149"/>
  <c r="U11" i="125"/>
  <c r="U11" i="148"/>
  <c r="V11" i="80"/>
  <c r="U11" i="147"/>
  <c r="U11" i="116"/>
  <c r="U11" i="131"/>
  <c r="U11" i="152"/>
  <c r="U11" i="117"/>
  <c r="AK5" i="72"/>
  <c r="G5" i="100"/>
  <c r="V8" i="120"/>
  <c r="Z8" i="120"/>
  <c r="X8" i="120"/>
  <c r="V8" i="125"/>
  <c r="Z8" i="125"/>
  <c r="X8" i="125"/>
  <c r="AA8" i="125"/>
  <c r="AB8" i="125"/>
  <c r="V8" i="151"/>
  <c r="Z8" i="151"/>
  <c r="X8" i="151"/>
  <c r="V8" i="129"/>
  <c r="Z8" i="129"/>
  <c r="X8" i="129"/>
  <c r="AA8" i="129"/>
  <c r="AB8" i="129"/>
  <c r="Z8" i="119"/>
  <c r="V8" i="119"/>
  <c r="X8" i="119"/>
  <c r="AA8" i="119"/>
  <c r="AB8" i="119"/>
  <c r="V8" i="131"/>
  <c r="Z8" i="131"/>
  <c r="X8" i="131"/>
  <c r="X8" i="152"/>
  <c r="V8" i="152"/>
  <c r="Z8" i="152"/>
  <c r="V8" i="128"/>
  <c r="Z8" i="128"/>
  <c r="X8" i="128"/>
  <c r="V8" i="117"/>
  <c r="Z8" i="117"/>
  <c r="X8" i="117"/>
  <c r="AA8" i="117"/>
  <c r="AB8" i="117"/>
  <c r="V8" i="116"/>
  <c r="Z8" i="116"/>
  <c r="X8" i="116"/>
  <c r="X8" i="146"/>
  <c r="Z8" i="146"/>
  <c r="AA8" i="146"/>
  <c r="V8" i="146"/>
  <c r="G17" i="100"/>
  <c r="AK17" i="72"/>
  <c r="V20" i="119"/>
  <c r="Z20" i="119"/>
  <c r="X20" i="119"/>
  <c r="X20" i="153"/>
  <c r="V20" i="153"/>
  <c r="Z20" i="153"/>
  <c r="Z20" i="127"/>
  <c r="V20" i="127"/>
  <c r="X20" i="127"/>
  <c r="Z20" i="151"/>
  <c r="X20" i="151"/>
  <c r="V20" i="151"/>
  <c r="V20" i="146"/>
  <c r="Z20" i="146"/>
  <c r="X20" i="146"/>
  <c r="V20" i="116"/>
  <c r="Z20" i="116"/>
  <c r="X20" i="116"/>
  <c r="Z20" i="147"/>
  <c r="X20" i="147"/>
  <c r="V20" i="147"/>
  <c r="Z20" i="125"/>
  <c r="V20" i="125"/>
  <c r="X20" i="125"/>
  <c r="AA20" i="125"/>
  <c r="AB20" i="125"/>
  <c r="V20" i="126"/>
  <c r="Z20" i="126"/>
  <c r="X20" i="126"/>
  <c r="AA20" i="80"/>
  <c r="W20" i="80"/>
  <c r="Y20" i="80"/>
  <c r="V20" i="152"/>
  <c r="Z20" i="152"/>
  <c r="X20" i="152"/>
  <c r="V43" i="148"/>
  <c r="X43" i="148"/>
  <c r="Z43" i="148"/>
  <c r="Z43" i="119"/>
  <c r="V43" i="119"/>
  <c r="X43" i="119"/>
  <c r="X43" i="147"/>
  <c r="V43" i="147"/>
  <c r="Z43" i="147"/>
  <c r="Z43" i="125"/>
  <c r="V43" i="125"/>
  <c r="X43" i="125"/>
  <c r="AA43" i="125"/>
  <c r="V43" i="126"/>
  <c r="Z43" i="126"/>
  <c r="X43" i="126"/>
  <c r="V43" i="127"/>
  <c r="Z43" i="127"/>
  <c r="X43" i="127"/>
  <c r="W43" i="76"/>
  <c r="AA43" i="76"/>
  <c r="Y43" i="76"/>
  <c r="V43" i="153"/>
  <c r="Z43" i="153"/>
  <c r="X43" i="153"/>
  <c r="X43" i="152"/>
  <c r="V43" i="152"/>
  <c r="Z43" i="152"/>
  <c r="V43" i="151"/>
  <c r="Z43" i="151"/>
  <c r="X43" i="151"/>
  <c r="V43" i="131"/>
  <c r="Z43" i="131"/>
  <c r="X43" i="131"/>
  <c r="AK9" i="72"/>
  <c r="G9" i="100"/>
  <c r="Z12" i="119"/>
  <c r="V12" i="119"/>
  <c r="X12" i="119"/>
  <c r="AA12" i="119"/>
  <c r="Z12" i="153"/>
  <c r="X12" i="153"/>
  <c r="V12" i="153"/>
  <c r="V12" i="126"/>
  <c r="Z12" i="126"/>
  <c r="X12" i="126"/>
  <c r="Z12" i="151"/>
  <c r="X12" i="151"/>
  <c r="V12" i="151"/>
  <c r="Z12" i="146"/>
  <c r="X12" i="146"/>
  <c r="V12" i="146"/>
  <c r="V12" i="116"/>
  <c r="Z12" i="116"/>
  <c r="X12" i="116"/>
  <c r="V12" i="147"/>
  <c r="Z12" i="147"/>
  <c r="X12" i="147"/>
  <c r="AA12" i="147"/>
  <c r="V12" i="125"/>
  <c r="Z12" i="125"/>
  <c r="X12" i="125"/>
  <c r="Z12" i="120"/>
  <c r="V12" i="120"/>
  <c r="X12" i="120"/>
  <c r="AA12" i="80"/>
  <c r="W12" i="80"/>
  <c r="Y12" i="80"/>
  <c r="Z12" i="152"/>
  <c r="X12" i="152"/>
  <c r="V12" i="152"/>
  <c r="X58" i="145"/>
  <c r="V58" i="145"/>
  <c r="Z58" i="145"/>
  <c r="Z58" i="119"/>
  <c r="V58" i="119"/>
  <c r="X58" i="119"/>
  <c r="X58" i="144"/>
  <c r="V58" i="144"/>
  <c r="Z58" i="144"/>
  <c r="V58" i="127"/>
  <c r="Z58" i="127"/>
  <c r="X58" i="127"/>
  <c r="AA58" i="127"/>
  <c r="AB58" i="127"/>
  <c r="X58" i="151"/>
  <c r="V58" i="151"/>
  <c r="Z58" i="151"/>
  <c r="V58" i="118"/>
  <c r="Z58" i="118"/>
  <c r="X58" i="118"/>
  <c r="AA58" i="118"/>
  <c r="AB58" i="118"/>
  <c r="V58" i="120"/>
  <c r="Z58" i="120"/>
  <c r="X58" i="120"/>
  <c r="Z58" i="128"/>
  <c r="V58" i="128"/>
  <c r="X58" i="128"/>
  <c r="AA58" i="128"/>
  <c r="AB58" i="128"/>
  <c r="Z58" i="146"/>
  <c r="X58" i="146"/>
  <c r="AA58" i="146"/>
  <c r="V58" i="146"/>
  <c r="V58" i="148"/>
  <c r="Z58" i="148"/>
  <c r="X58" i="148"/>
  <c r="AA58" i="148"/>
  <c r="Z58" i="152"/>
  <c r="X58" i="152"/>
  <c r="AA58" i="152"/>
  <c r="V58" i="152"/>
  <c r="V58" i="125"/>
  <c r="Z58" i="125"/>
  <c r="X58" i="125"/>
  <c r="AA58" i="125"/>
  <c r="AB58" i="125"/>
  <c r="AK37" i="72"/>
  <c r="G37" i="100"/>
  <c r="Z40" i="151"/>
  <c r="X40" i="151"/>
  <c r="AA40" i="151"/>
  <c r="V40" i="151"/>
  <c r="Z40" i="128"/>
  <c r="V40" i="128"/>
  <c r="X40" i="128"/>
  <c r="AA40" i="128"/>
  <c r="AB40" i="128"/>
  <c r="X40" i="148"/>
  <c r="V40" i="148"/>
  <c r="Z40" i="148"/>
  <c r="V40" i="117"/>
  <c r="Z40" i="117"/>
  <c r="X40" i="117"/>
  <c r="AA40" i="117"/>
  <c r="AB40" i="117"/>
  <c r="V40" i="147"/>
  <c r="Z40" i="147"/>
  <c r="X40" i="147"/>
  <c r="Z40" i="116"/>
  <c r="V40" i="116"/>
  <c r="X40" i="116"/>
  <c r="AA40" i="116"/>
  <c r="AB40" i="116"/>
  <c r="Z40" i="146"/>
  <c r="X40" i="146"/>
  <c r="AA40" i="146"/>
  <c r="V40" i="146"/>
  <c r="V40" i="126"/>
  <c r="Z40" i="126"/>
  <c r="X40" i="126"/>
  <c r="AA40" i="126"/>
  <c r="AB40" i="126"/>
  <c r="V40" i="120"/>
  <c r="Z40" i="120"/>
  <c r="X40" i="120"/>
  <c r="Z40" i="131"/>
  <c r="V40" i="131"/>
  <c r="X40" i="131"/>
  <c r="AA40" i="131"/>
  <c r="AB40" i="131"/>
  <c r="V40" i="153"/>
  <c r="Z40" i="153"/>
  <c r="X40" i="153"/>
  <c r="Z14" i="148"/>
  <c r="X14" i="148"/>
  <c r="V14" i="148"/>
  <c r="Z14" i="126"/>
  <c r="V14" i="126"/>
  <c r="X14" i="126"/>
  <c r="AA14" i="126"/>
  <c r="V14" i="131"/>
  <c r="Z14" i="131"/>
  <c r="X14" i="131"/>
  <c r="Z14" i="147"/>
  <c r="X14" i="147"/>
  <c r="V14" i="147"/>
  <c r="AA14" i="76"/>
  <c r="W14" i="76"/>
  <c r="Y14" i="76"/>
  <c r="AB14" i="76"/>
  <c r="V14" i="125"/>
  <c r="Z14" i="125"/>
  <c r="X14" i="125"/>
  <c r="AA14" i="125"/>
  <c r="AB14" i="125"/>
  <c r="Z14" i="119"/>
  <c r="V14" i="119"/>
  <c r="X14" i="119"/>
  <c r="AA14" i="119"/>
  <c r="V14" i="149"/>
  <c r="Z14" i="149"/>
  <c r="X14" i="149"/>
  <c r="AA14" i="149"/>
  <c r="AB14" i="149"/>
  <c r="Z14" i="145"/>
  <c r="X14" i="145"/>
  <c r="AA14" i="145"/>
  <c r="V14" i="145"/>
  <c r="AB14" i="145"/>
  <c r="Z14" i="153"/>
  <c r="X14" i="153"/>
  <c r="V14" i="153"/>
  <c r="Z14" i="129"/>
  <c r="V14" i="129"/>
  <c r="X14" i="129"/>
  <c r="AA14" i="129"/>
  <c r="AD47" i="113"/>
  <c r="AF47" i="113"/>
  <c r="AK44" i="72"/>
  <c r="G44" i="100"/>
  <c r="Z47" i="120"/>
  <c r="V47" i="120"/>
  <c r="X47" i="120"/>
  <c r="AA47" i="120"/>
  <c r="V47" i="152"/>
  <c r="Z47" i="152"/>
  <c r="X47" i="152"/>
  <c r="AA47" i="152"/>
  <c r="AB47" i="152"/>
  <c r="V47" i="119"/>
  <c r="Z47" i="119"/>
  <c r="X47" i="119"/>
  <c r="X47" i="148"/>
  <c r="V47" i="148"/>
  <c r="Z47" i="148"/>
  <c r="Z47" i="128"/>
  <c r="V47" i="128"/>
  <c r="X47" i="128"/>
  <c r="AA47" i="128"/>
  <c r="V47" i="153"/>
  <c r="Z47" i="153"/>
  <c r="X47" i="153"/>
  <c r="AA47" i="153"/>
  <c r="AB47" i="153"/>
  <c r="X47" i="149"/>
  <c r="V47" i="149"/>
  <c r="Z47" i="149"/>
  <c r="Z47" i="146"/>
  <c r="X47" i="146"/>
  <c r="V47" i="146"/>
  <c r="Z47" i="118"/>
  <c r="V47" i="118"/>
  <c r="X47" i="118"/>
  <c r="AA47" i="118"/>
  <c r="Z47" i="125"/>
  <c r="V47" i="125"/>
  <c r="X47" i="125"/>
  <c r="AA47" i="125"/>
  <c r="AB47" i="125"/>
  <c r="V47" i="144"/>
  <c r="Z47" i="144"/>
  <c r="X47" i="144"/>
  <c r="AA47" i="144"/>
  <c r="AB47" i="144"/>
  <c r="V63" i="145"/>
  <c r="Z63" i="145"/>
  <c r="X63" i="145"/>
  <c r="Z63" i="126"/>
  <c r="V63" i="126"/>
  <c r="X63" i="126"/>
  <c r="AA63" i="126"/>
  <c r="AB63" i="126"/>
  <c r="V63" i="148"/>
  <c r="Z63" i="148"/>
  <c r="X63" i="148"/>
  <c r="Z63" i="129"/>
  <c r="V63" i="129"/>
  <c r="X63" i="129"/>
  <c r="V63" i="153"/>
  <c r="Z63" i="153"/>
  <c r="X63" i="153"/>
  <c r="Z63" i="118"/>
  <c r="V63" i="118"/>
  <c r="X63" i="118"/>
  <c r="AA63" i="118"/>
  <c r="Z63" i="125"/>
  <c r="V63" i="125"/>
  <c r="X63" i="125"/>
  <c r="X63" i="151"/>
  <c r="V63" i="151"/>
  <c r="Z63" i="151"/>
  <c r="Z63" i="147"/>
  <c r="X63" i="147"/>
  <c r="V63" i="147"/>
  <c r="Z63" i="152"/>
  <c r="X63" i="152"/>
  <c r="AA63" i="152"/>
  <c r="V63" i="152"/>
  <c r="V63" i="127"/>
  <c r="Z63" i="127"/>
  <c r="X63" i="127"/>
  <c r="AA63" i="127"/>
  <c r="AB63" i="127"/>
  <c r="G48" i="100"/>
  <c r="AK48" i="72"/>
  <c r="V51" i="152"/>
  <c r="Z51" i="152"/>
  <c r="X51" i="152"/>
  <c r="Z51" i="119"/>
  <c r="V51" i="119"/>
  <c r="X51" i="119"/>
  <c r="AA51" i="119"/>
  <c r="AB51" i="119"/>
  <c r="Z51" i="147"/>
  <c r="X51" i="147"/>
  <c r="V51" i="147"/>
  <c r="V51" i="116"/>
  <c r="Z51" i="116"/>
  <c r="X51" i="116"/>
  <c r="X51" i="153"/>
  <c r="V51" i="153"/>
  <c r="Z51" i="153"/>
  <c r="X51" i="148"/>
  <c r="V51" i="148"/>
  <c r="Z51" i="148"/>
  <c r="X51" i="149"/>
  <c r="Z51" i="149"/>
  <c r="V51" i="149"/>
  <c r="V51" i="127"/>
  <c r="Z51" i="127"/>
  <c r="X51" i="127"/>
  <c r="V51" i="129"/>
  <c r="Z51" i="129"/>
  <c r="X51" i="129"/>
  <c r="Z51" i="128"/>
  <c r="V51" i="128"/>
  <c r="X51" i="128"/>
  <c r="Z51" i="144"/>
  <c r="X51" i="144"/>
  <c r="V51" i="144"/>
  <c r="U48" i="153"/>
  <c r="U48" i="129"/>
  <c r="U48" i="127"/>
  <c r="U48" i="151"/>
  <c r="U48" i="126"/>
  <c r="U48" i="144"/>
  <c r="U48" i="120"/>
  <c r="U48" i="149"/>
  <c r="V48" i="80"/>
  <c r="U48" i="116"/>
  <c r="U48" i="131"/>
  <c r="U48" i="145"/>
  <c r="U48" i="128"/>
  <c r="U48" i="146"/>
  <c r="U48" i="118"/>
  <c r="V48" i="76"/>
  <c r="U48" i="152"/>
  <c r="U48" i="125"/>
  <c r="U48" i="148"/>
  <c r="U48" i="119"/>
  <c r="U48" i="147"/>
  <c r="U48" i="117"/>
  <c r="V75" i="117"/>
  <c r="Z75" i="117"/>
  <c r="X75" i="117"/>
  <c r="X75" i="148"/>
  <c r="V75" i="148"/>
  <c r="Z75" i="148"/>
  <c r="V75" i="116"/>
  <c r="Z75" i="116"/>
  <c r="X75" i="116"/>
  <c r="V75" i="146"/>
  <c r="Z75" i="146"/>
  <c r="X75" i="146"/>
  <c r="Z75" i="151"/>
  <c r="X75" i="151"/>
  <c r="V75" i="151"/>
  <c r="Z75" i="128"/>
  <c r="V75" i="128"/>
  <c r="X75" i="128"/>
  <c r="AA75" i="128"/>
  <c r="AB75" i="128"/>
  <c r="W75" i="80"/>
  <c r="AA75" i="80"/>
  <c r="Y75" i="80"/>
  <c r="V75" i="129"/>
  <c r="Z75" i="129"/>
  <c r="X75" i="129"/>
  <c r="V75" i="147"/>
  <c r="Z75" i="147"/>
  <c r="X75" i="147"/>
  <c r="Z75" i="119"/>
  <c r="V75" i="119"/>
  <c r="X75" i="119"/>
  <c r="AA75" i="119"/>
  <c r="V75" i="120"/>
  <c r="Z75" i="120"/>
  <c r="X75" i="120"/>
  <c r="AC29" i="120"/>
  <c r="AN29" i="120"/>
  <c r="AO29" i="120"/>
  <c r="AR26" i="72"/>
  <c r="N26" i="100"/>
  <c r="V26" i="100"/>
  <c r="AC29" i="145"/>
  <c r="AN29" i="145"/>
  <c r="AO29" i="145"/>
  <c r="AZ26" i="72"/>
  <c r="H26" i="100"/>
  <c r="AL26" i="72"/>
  <c r="AC29" i="116"/>
  <c r="AN29" i="116"/>
  <c r="AO29" i="116"/>
  <c r="AN26" i="72"/>
  <c r="J26" i="100"/>
  <c r="O26" i="100"/>
  <c r="AC29" i="125"/>
  <c r="AN29" i="125"/>
  <c r="AO29" i="125"/>
  <c r="AS26" i="72"/>
  <c r="AC29" i="129"/>
  <c r="AN29" i="129"/>
  <c r="AO29" i="129"/>
  <c r="AW26" i="72"/>
  <c r="S26" i="100"/>
  <c r="AA31" i="144"/>
  <c r="AB31" i="144"/>
  <c r="AC31" i="125"/>
  <c r="AN31" i="125"/>
  <c r="AO31" i="125"/>
  <c r="AS28" i="72"/>
  <c r="O28" i="100"/>
  <c r="AA31" i="146"/>
  <c r="AB31" i="146"/>
  <c r="V28" i="100"/>
  <c r="AC31" i="145"/>
  <c r="AN31" i="145"/>
  <c r="AO31" i="145"/>
  <c r="AZ28" i="72"/>
  <c r="AH31" i="113"/>
  <c r="AI31" i="113"/>
  <c r="G28" i="72"/>
  <c r="AJ31" i="113"/>
  <c r="AC22" i="144"/>
  <c r="AN22" i="144"/>
  <c r="AO22" i="144"/>
  <c r="AY19" i="72"/>
  <c r="U19" i="100"/>
  <c r="P19" i="100"/>
  <c r="AC22" i="126"/>
  <c r="AN22" i="126"/>
  <c r="AO22" i="126"/>
  <c r="AT19" i="72"/>
  <c r="AC22" i="128"/>
  <c r="AN22" i="128"/>
  <c r="AO22" i="128"/>
  <c r="AV19" i="72"/>
  <c r="R19" i="100"/>
  <c r="AC22" i="129"/>
  <c r="AN22" i="129"/>
  <c r="AO22" i="129"/>
  <c r="AW19" i="72"/>
  <c r="S19" i="100"/>
  <c r="AC22" i="119"/>
  <c r="AN22" i="119"/>
  <c r="AO22" i="119"/>
  <c r="AQ19" i="72"/>
  <c r="M19" i="100"/>
  <c r="AD22" i="119"/>
  <c r="AF22" i="119"/>
  <c r="AC64" i="117"/>
  <c r="AN64" i="117"/>
  <c r="AO64" i="117"/>
  <c r="AO61" i="72"/>
  <c r="K61" i="100"/>
  <c r="AD64" i="76"/>
  <c r="AO64" i="76"/>
  <c r="AP64" i="76"/>
  <c r="BH61" i="72"/>
  <c r="AD61" i="100"/>
  <c r="AC64" i="125"/>
  <c r="AN64" i="125"/>
  <c r="AO64" i="125"/>
  <c r="AS61" i="72"/>
  <c r="AD64" i="125"/>
  <c r="AF64" i="125"/>
  <c r="O61" i="100"/>
  <c r="AH64" i="113"/>
  <c r="AI64" i="113"/>
  <c r="G61" i="72"/>
  <c r="AJ64" i="113"/>
  <c r="AA30" i="153"/>
  <c r="AA30" i="146"/>
  <c r="AB30" i="146"/>
  <c r="AC30" i="127"/>
  <c r="AN30" i="127"/>
  <c r="AO30" i="127"/>
  <c r="AU27" i="72"/>
  <c r="Q27" i="100"/>
  <c r="AD30" i="127"/>
  <c r="AF30" i="127"/>
  <c r="AC30" i="152"/>
  <c r="AN30" i="152"/>
  <c r="AO30" i="152"/>
  <c r="BF27" i="72"/>
  <c r="AB27" i="100"/>
  <c r="K27" i="100"/>
  <c r="AC30" i="117"/>
  <c r="AN30" i="117"/>
  <c r="AO30" i="117"/>
  <c r="AO27" i="72"/>
  <c r="AD30" i="76"/>
  <c r="AO30" i="76"/>
  <c r="AP30" i="76"/>
  <c r="BH27" i="72"/>
  <c r="AD27" i="100"/>
  <c r="AE30" i="76"/>
  <c r="AG30" i="76"/>
  <c r="O27" i="100"/>
  <c r="AC30" i="125"/>
  <c r="AN30" i="125"/>
  <c r="AO30" i="125"/>
  <c r="AS27" i="72"/>
  <c r="V71" i="126"/>
  <c r="Z71" i="126"/>
  <c r="X71" i="126"/>
  <c r="Z71" i="118"/>
  <c r="V71" i="118"/>
  <c r="X71" i="118"/>
  <c r="AA71" i="118"/>
  <c r="AB71" i="118"/>
  <c r="V71" i="128"/>
  <c r="Z71" i="128"/>
  <c r="X71" i="128"/>
  <c r="V71" i="146"/>
  <c r="Z71" i="146"/>
  <c r="X71" i="146"/>
  <c r="AA71" i="146"/>
  <c r="Z71" i="120"/>
  <c r="V71" i="120"/>
  <c r="X71" i="120"/>
  <c r="AA71" i="120"/>
  <c r="AB71" i="120"/>
  <c r="V71" i="116"/>
  <c r="Z71" i="116"/>
  <c r="X71" i="116"/>
  <c r="Z71" i="129"/>
  <c r="V71" i="129"/>
  <c r="X71" i="129"/>
  <c r="X71" i="149"/>
  <c r="V71" i="149"/>
  <c r="Z71" i="149"/>
  <c r="Z71" i="117"/>
  <c r="V71" i="117"/>
  <c r="X71" i="117"/>
  <c r="AA71" i="117"/>
  <c r="AA50" i="153"/>
  <c r="AB50" i="153"/>
  <c r="AB50" i="144"/>
  <c r="M47" i="100"/>
  <c r="AC50" i="119"/>
  <c r="AN50" i="119"/>
  <c r="AO50" i="119"/>
  <c r="AQ47" i="72"/>
  <c r="L47" i="100"/>
  <c r="AC50" i="118"/>
  <c r="AN50" i="118"/>
  <c r="AO50" i="118"/>
  <c r="AP47" i="72"/>
  <c r="AB50" i="146"/>
  <c r="AC50" i="127"/>
  <c r="AN50" i="127"/>
  <c r="AO50" i="127"/>
  <c r="AU47" i="72"/>
  <c r="Q47" i="100"/>
  <c r="AD50" i="127"/>
  <c r="AF50" i="127"/>
  <c r="AH50" i="113"/>
  <c r="AI50" i="113"/>
  <c r="G47" i="72"/>
  <c r="AJ50" i="113"/>
  <c r="AB70" i="152"/>
  <c r="AA70" i="148"/>
  <c r="AB70" i="148"/>
  <c r="AC70" i="117"/>
  <c r="AN70" i="117"/>
  <c r="AO70" i="117"/>
  <c r="AO67" i="72"/>
  <c r="K67" i="100"/>
  <c r="AA70" i="151"/>
  <c r="AB70" i="144"/>
  <c r="H53" i="100"/>
  <c r="AL53" i="72"/>
  <c r="M53" i="100"/>
  <c r="AC56" i="119"/>
  <c r="AN56" i="119"/>
  <c r="AO56" i="119"/>
  <c r="AQ53" i="72"/>
  <c r="AD56" i="76"/>
  <c r="AO56" i="76"/>
  <c r="AP56" i="76"/>
  <c r="BH53" i="72"/>
  <c r="AE56" i="76"/>
  <c r="AG56" i="76"/>
  <c r="AD53" i="100"/>
  <c r="I53" i="100"/>
  <c r="AM53" i="72"/>
  <c r="AD56" i="115"/>
  <c r="AF56" i="115"/>
  <c r="AC56" i="147"/>
  <c r="AN56" i="147"/>
  <c r="AO56" i="147"/>
  <c r="BB53" i="72"/>
  <c r="X53" i="100"/>
  <c r="L53" i="100"/>
  <c r="AC56" i="118"/>
  <c r="AN56" i="118"/>
  <c r="AO56" i="118"/>
  <c r="AP53" i="72"/>
  <c r="AA9" i="151"/>
  <c r="AB9" i="151"/>
  <c r="L6" i="100"/>
  <c r="AC9" i="118"/>
  <c r="AN9" i="118"/>
  <c r="AO9" i="118"/>
  <c r="AP6" i="72"/>
  <c r="AC9" i="126"/>
  <c r="AN9" i="126"/>
  <c r="AO9" i="126"/>
  <c r="AT6" i="72"/>
  <c r="P6" i="100"/>
  <c r="AD9" i="126"/>
  <c r="AF9" i="126"/>
  <c r="Q6" i="100"/>
  <c r="AC9" i="127"/>
  <c r="AN9" i="127"/>
  <c r="AO9" i="127"/>
  <c r="AU6" i="72"/>
  <c r="AC42" i="100"/>
  <c r="AC45" i="153"/>
  <c r="AN45" i="153"/>
  <c r="AO45" i="153"/>
  <c r="BG42" i="72"/>
  <c r="H42" i="100"/>
  <c r="AL42" i="72"/>
  <c r="AD45" i="114"/>
  <c r="AF45" i="114"/>
  <c r="AD45" i="80"/>
  <c r="AO45" i="80"/>
  <c r="AP45" i="80"/>
  <c r="BI42" i="72"/>
  <c r="AE42" i="100"/>
  <c r="AE45" i="80"/>
  <c r="AG45" i="80"/>
  <c r="AC45" i="117"/>
  <c r="AN45" i="117"/>
  <c r="AO45" i="117"/>
  <c r="AO42" i="72"/>
  <c r="K42" i="100"/>
  <c r="AC45" i="148"/>
  <c r="AN45" i="148"/>
  <c r="AO45" i="148"/>
  <c r="BC42" i="72"/>
  <c r="Y42" i="100"/>
  <c r="AD45" i="148"/>
  <c r="AF45" i="148"/>
  <c r="AC45" i="120"/>
  <c r="AN45" i="120"/>
  <c r="AO45" i="120"/>
  <c r="AR42" i="72"/>
  <c r="N42" i="100"/>
  <c r="AD45" i="120"/>
  <c r="AF45" i="120"/>
  <c r="AC45" i="125"/>
  <c r="AN45" i="125"/>
  <c r="AO45" i="125"/>
  <c r="AS42" i="72"/>
  <c r="O42" i="100"/>
  <c r="AD45" i="125"/>
  <c r="AF45" i="125"/>
  <c r="AC45" i="152"/>
  <c r="AN45" i="152"/>
  <c r="AO45" i="152"/>
  <c r="BF42" i="72"/>
  <c r="AB42" i="100"/>
  <c r="S50" i="100"/>
  <c r="AC53" i="129"/>
  <c r="AN53" i="129"/>
  <c r="AO53" i="129"/>
  <c r="AW50" i="72"/>
  <c r="Z50" i="100"/>
  <c r="AC53" i="149"/>
  <c r="AN53" i="149"/>
  <c r="AO53" i="149"/>
  <c r="BD50" i="72"/>
  <c r="AC53" i="116"/>
  <c r="AN53" i="116"/>
  <c r="AO53" i="116"/>
  <c r="AN50" i="72"/>
  <c r="J50" i="100"/>
  <c r="AC53" i="117"/>
  <c r="AN53" i="117"/>
  <c r="AO53" i="117"/>
  <c r="AO50" i="72"/>
  <c r="K50" i="100"/>
  <c r="T50" i="100"/>
  <c r="AC53" i="131"/>
  <c r="AN53" i="131"/>
  <c r="AO53" i="131"/>
  <c r="AX50" i="72"/>
  <c r="U50" i="100"/>
  <c r="AC53" i="144"/>
  <c r="AN53" i="144"/>
  <c r="AO53" i="144"/>
  <c r="AY50" i="72"/>
  <c r="Q16" i="100"/>
  <c r="AC19" i="127"/>
  <c r="AN19" i="127"/>
  <c r="AO19" i="127"/>
  <c r="AU16" i="72"/>
  <c r="AM16" i="72"/>
  <c r="I16" i="100"/>
  <c r="P16" i="100"/>
  <c r="AC19" i="126"/>
  <c r="AN19" i="126"/>
  <c r="AO19" i="126"/>
  <c r="AT16" i="72"/>
  <c r="AE16" i="100"/>
  <c r="AD19" i="80"/>
  <c r="AO19" i="80"/>
  <c r="AP19" i="80"/>
  <c r="BI16" i="72"/>
  <c r="J16" i="100"/>
  <c r="AC19" i="116"/>
  <c r="AN19" i="116"/>
  <c r="AO19" i="116"/>
  <c r="AN16" i="72"/>
  <c r="AH19" i="113"/>
  <c r="AI19" i="113"/>
  <c r="G16" i="72"/>
  <c r="AJ19" i="113"/>
  <c r="X38" i="100"/>
  <c r="AC41" i="147"/>
  <c r="AN41" i="147"/>
  <c r="AO41" i="147"/>
  <c r="BB38" i="72"/>
  <c r="AD41" i="147"/>
  <c r="AF41" i="147"/>
  <c r="AC41" i="131"/>
  <c r="AN41" i="131"/>
  <c r="AO41" i="131"/>
  <c r="AX38" i="72"/>
  <c r="AD41" i="131"/>
  <c r="AF41" i="131"/>
  <c r="T38" i="100"/>
  <c r="I38" i="100"/>
  <c r="AM38" i="72"/>
  <c r="AD41" i="115"/>
  <c r="AF41" i="115"/>
  <c r="S38" i="100"/>
  <c r="AC41" i="129"/>
  <c r="AN41" i="129"/>
  <c r="AO41" i="129"/>
  <c r="AW38" i="72"/>
  <c r="AB41" i="151"/>
  <c r="Z10" i="100"/>
  <c r="AC13" i="149"/>
  <c r="AN13" i="149"/>
  <c r="AO13" i="149"/>
  <c r="BD10" i="72"/>
  <c r="P10" i="100"/>
  <c r="AC13" i="126"/>
  <c r="AN13" i="126"/>
  <c r="AO13" i="126"/>
  <c r="AT10" i="72"/>
  <c r="AD13" i="126"/>
  <c r="AF13" i="126"/>
  <c r="AD13" i="76"/>
  <c r="AO13" i="76"/>
  <c r="AP13" i="76"/>
  <c r="BH10" i="72"/>
  <c r="AD10" i="100"/>
  <c r="AE10" i="100"/>
  <c r="AD13" i="80"/>
  <c r="AO13" i="80"/>
  <c r="AP13" i="80"/>
  <c r="BI10" i="72"/>
  <c r="AE13" i="80"/>
  <c r="AG13" i="80"/>
  <c r="AC13" i="131"/>
  <c r="AN13" i="131"/>
  <c r="AO13" i="131"/>
  <c r="AX10" i="72"/>
  <c r="AD13" i="131"/>
  <c r="AF13" i="131"/>
  <c r="T10" i="100"/>
  <c r="AA13" i="152"/>
  <c r="AB13" i="152"/>
  <c r="AH13" i="113"/>
  <c r="AI13" i="113"/>
  <c r="G10" i="72"/>
  <c r="AJ13" i="113"/>
  <c r="AB71" i="100"/>
  <c r="AC74" i="152"/>
  <c r="AN74" i="152"/>
  <c r="AO74" i="152"/>
  <c r="BF71" i="72"/>
  <c r="AA74" i="149"/>
  <c r="AB74" i="149"/>
  <c r="AC74" i="120"/>
  <c r="AN74" i="120"/>
  <c r="AO74" i="120"/>
  <c r="AR71" i="72"/>
  <c r="N71" i="100"/>
  <c r="AD74" i="120"/>
  <c r="AF74" i="120"/>
  <c r="AM71" i="72"/>
  <c r="I71" i="100"/>
  <c r="AD74" i="115"/>
  <c r="AF74" i="115"/>
  <c r="AC74" i="128"/>
  <c r="AN74" i="128"/>
  <c r="AO74" i="128"/>
  <c r="AV71" i="72"/>
  <c r="R71" i="100"/>
  <c r="AD74" i="128"/>
  <c r="AF74" i="128"/>
  <c r="AA74" i="148"/>
  <c r="AB74" i="148"/>
  <c r="AC74" i="151"/>
  <c r="AN74" i="151"/>
  <c r="AO74" i="151"/>
  <c r="BE71" i="72"/>
  <c r="AA71" i="100"/>
  <c r="T46" i="100"/>
  <c r="AC49" i="131"/>
  <c r="AN49" i="131"/>
  <c r="AO49" i="131"/>
  <c r="AX46" i="72"/>
  <c r="AM46" i="72"/>
  <c r="I46" i="100"/>
  <c r="AD49" i="115"/>
  <c r="AF49" i="115"/>
  <c r="AC49" i="148"/>
  <c r="AN49" i="148"/>
  <c r="AO49" i="148"/>
  <c r="BC46" i="72"/>
  <c r="Y46" i="100"/>
  <c r="Q46" i="100"/>
  <c r="AC49" i="127"/>
  <c r="AN49" i="127"/>
  <c r="AO49" i="127"/>
  <c r="AU46" i="72"/>
  <c r="P46" i="100"/>
  <c r="AC49" i="126"/>
  <c r="AN49" i="126"/>
  <c r="AO49" i="126"/>
  <c r="AT46" i="72"/>
  <c r="AH49" i="113"/>
  <c r="AI49" i="113"/>
  <c r="G46" i="72"/>
  <c r="AJ49" i="113"/>
  <c r="AA16" i="145"/>
  <c r="N13" i="100"/>
  <c r="AC16" i="120"/>
  <c r="AN16" i="120"/>
  <c r="AO16" i="120"/>
  <c r="AR13" i="72"/>
  <c r="AM13" i="72"/>
  <c r="AD16" i="115"/>
  <c r="AF16" i="115"/>
  <c r="I13" i="100"/>
  <c r="AC16" i="152"/>
  <c r="AN16" i="152"/>
  <c r="AO16" i="152"/>
  <c r="BF13" i="72"/>
  <c r="AB13" i="100"/>
  <c r="AE13" i="100"/>
  <c r="AD16" i="80"/>
  <c r="AO16" i="80"/>
  <c r="AP16" i="80"/>
  <c r="BI13" i="72"/>
  <c r="AA16" i="153"/>
  <c r="AB16" i="153"/>
  <c r="AA60" i="151"/>
  <c r="AB60" i="151"/>
  <c r="AC60" i="118"/>
  <c r="AN60" i="118"/>
  <c r="AO60" i="118"/>
  <c r="AP57" i="72"/>
  <c r="L57" i="100"/>
  <c r="I57" i="100"/>
  <c r="AM57" i="72"/>
  <c r="AC60" i="116"/>
  <c r="AN60" i="116"/>
  <c r="AO60" i="116"/>
  <c r="AN57" i="72"/>
  <c r="J57" i="100"/>
  <c r="AC60" i="131"/>
  <c r="AN60" i="131"/>
  <c r="AO60" i="131"/>
  <c r="AX57" i="72"/>
  <c r="T57" i="100"/>
  <c r="AD60" i="131"/>
  <c r="AF60" i="131"/>
  <c r="Y57" i="100"/>
  <c r="AC60" i="148"/>
  <c r="AN60" i="148"/>
  <c r="AO60" i="148"/>
  <c r="BC57" i="72"/>
  <c r="AD60" i="148"/>
  <c r="AF60" i="148"/>
  <c r="AB60" i="147"/>
  <c r="AC68" i="127"/>
  <c r="AN68" i="127"/>
  <c r="AO68" i="127"/>
  <c r="AU65" i="72"/>
  <c r="Q65" i="100"/>
  <c r="AD68" i="127"/>
  <c r="AF68" i="127"/>
  <c r="AC68" i="149"/>
  <c r="AN68" i="149"/>
  <c r="AO68" i="149"/>
  <c r="BD65" i="72"/>
  <c r="Z65" i="100"/>
  <c r="Y65" i="100"/>
  <c r="AC68" i="148"/>
  <c r="AN68" i="148"/>
  <c r="AO68" i="148"/>
  <c r="BC65" i="72"/>
  <c r="X65" i="100"/>
  <c r="AC68" i="147"/>
  <c r="AD68" i="147"/>
  <c r="AF68" i="147"/>
  <c r="AN68" i="147"/>
  <c r="AO68" i="147"/>
  <c r="BB65" i="72"/>
  <c r="R65" i="100"/>
  <c r="AC68" i="128"/>
  <c r="AN68" i="128"/>
  <c r="AO68" i="128"/>
  <c r="AV65" i="72"/>
  <c r="AD68" i="128"/>
  <c r="AF68" i="128"/>
  <c r="AE65" i="100"/>
  <c r="AD68" i="80"/>
  <c r="AO68" i="80"/>
  <c r="AP68" i="80"/>
  <c r="BI65" i="72"/>
  <c r="AA68" i="153"/>
  <c r="AC68" i="126"/>
  <c r="AN68" i="126"/>
  <c r="AO68" i="126"/>
  <c r="AT65" i="72"/>
  <c r="P65" i="100"/>
  <c r="W65" i="100"/>
  <c r="AC68" i="146"/>
  <c r="AN68" i="146"/>
  <c r="AO68" i="146"/>
  <c r="BA65" i="72"/>
  <c r="AD18" i="76"/>
  <c r="AO18" i="76"/>
  <c r="AP18" i="76"/>
  <c r="BH15" i="72"/>
  <c r="AD15" i="100"/>
  <c r="AE18" i="76"/>
  <c r="AG18" i="76"/>
  <c r="AC18" i="117"/>
  <c r="AN18" i="117"/>
  <c r="AO18" i="117"/>
  <c r="AO15" i="72"/>
  <c r="K15" i="100"/>
  <c r="AC18" i="152"/>
  <c r="AN18" i="152"/>
  <c r="AO18" i="152"/>
  <c r="BF15" i="72"/>
  <c r="AB15" i="100"/>
  <c r="AA18" i="151"/>
  <c r="AB18" i="151"/>
  <c r="T15" i="100"/>
  <c r="AC18" i="131"/>
  <c r="AN18" i="131"/>
  <c r="AO18" i="131"/>
  <c r="AX15" i="72"/>
  <c r="AH18" i="113"/>
  <c r="AI18" i="113"/>
  <c r="G15" i="72"/>
  <c r="AJ18" i="113"/>
  <c r="AA21" i="152"/>
  <c r="X18" i="100"/>
  <c r="AC21" i="147"/>
  <c r="AN21" i="147"/>
  <c r="AO21" i="147"/>
  <c r="BB18" i="72"/>
  <c r="AD21" i="147"/>
  <c r="AF21" i="147"/>
  <c r="AE18" i="100"/>
  <c r="AD21" i="80"/>
  <c r="AO21" i="80"/>
  <c r="AP21" i="80"/>
  <c r="BI18" i="72"/>
  <c r="AM18" i="72"/>
  <c r="I18" i="100"/>
  <c r="V18" i="100"/>
  <c r="AC21" i="145"/>
  <c r="AN21" i="145"/>
  <c r="AO21" i="145"/>
  <c r="AZ18" i="72"/>
  <c r="AD21" i="145"/>
  <c r="AF21" i="145"/>
  <c r="Q18" i="100"/>
  <c r="AC21" i="127"/>
  <c r="AN21" i="127"/>
  <c r="AO21" i="127"/>
  <c r="AU18" i="72"/>
  <c r="M63" i="100"/>
  <c r="AC66" i="119"/>
  <c r="AN66" i="119"/>
  <c r="AO66" i="119"/>
  <c r="AQ63" i="72"/>
  <c r="AC66" i="127"/>
  <c r="AN66" i="127"/>
  <c r="AO66" i="127"/>
  <c r="AU63" i="72"/>
  <c r="Q63" i="100"/>
  <c r="AL63" i="72"/>
  <c r="H63" i="100"/>
  <c r="R63" i="100"/>
  <c r="AC66" i="128"/>
  <c r="AN66" i="128"/>
  <c r="AO66" i="128"/>
  <c r="AV63" i="72"/>
  <c r="S31" i="100"/>
  <c r="AC34" i="129"/>
  <c r="AN34" i="129"/>
  <c r="AO34" i="129"/>
  <c r="AW31" i="72"/>
  <c r="AE31" i="100"/>
  <c r="AD34" i="80"/>
  <c r="AO34" i="80"/>
  <c r="AP34" i="80"/>
  <c r="BI31" i="72"/>
  <c r="J31" i="100"/>
  <c r="AC34" i="116"/>
  <c r="AN34" i="116"/>
  <c r="AO34" i="116"/>
  <c r="AN31" i="72"/>
  <c r="AC34" i="149"/>
  <c r="AN34" i="149"/>
  <c r="AO34" i="149"/>
  <c r="BD31" i="72"/>
  <c r="Z31" i="100"/>
  <c r="AD34" i="149"/>
  <c r="AF34" i="149"/>
  <c r="AC34" i="125"/>
  <c r="AN34" i="125"/>
  <c r="AO34" i="125"/>
  <c r="AS31" i="72"/>
  <c r="O31" i="100"/>
  <c r="AC34" i="117"/>
  <c r="AN34" i="117"/>
  <c r="AO34" i="117"/>
  <c r="AO31" i="72"/>
  <c r="K31" i="100"/>
  <c r="X31" i="100"/>
  <c r="AC34" i="147"/>
  <c r="AN34" i="147"/>
  <c r="AO34" i="147"/>
  <c r="BB31" i="72"/>
  <c r="N31" i="100"/>
  <c r="AC34" i="120"/>
  <c r="AN34" i="120"/>
  <c r="AO34" i="120"/>
  <c r="AR31" i="72"/>
  <c r="AM59" i="72"/>
  <c r="I59" i="100"/>
  <c r="R59" i="100"/>
  <c r="AC62" i="128"/>
  <c r="AN62" i="128"/>
  <c r="AO62" i="128"/>
  <c r="AV59" i="72"/>
  <c r="AD62" i="80"/>
  <c r="AO62" i="80"/>
  <c r="AP62" i="80"/>
  <c r="BI59" i="72"/>
  <c r="AE59" i="100"/>
  <c r="K59" i="100"/>
  <c r="AC62" i="117"/>
  <c r="AN62" i="117"/>
  <c r="AO62" i="117"/>
  <c r="AO59" i="72"/>
  <c r="M59" i="100"/>
  <c r="AC62" i="119"/>
  <c r="AN62" i="119"/>
  <c r="AO62" i="119"/>
  <c r="AQ59" i="72"/>
  <c r="U59" i="100"/>
  <c r="AC62" i="144"/>
  <c r="AN62" i="144"/>
  <c r="AO62" i="144"/>
  <c r="AY59" i="72"/>
  <c r="AA24" i="146"/>
  <c r="AB24" i="146"/>
  <c r="AL21" i="72"/>
  <c r="H21" i="100"/>
  <c r="AD24" i="114"/>
  <c r="AF24" i="114"/>
  <c r="T21" i="100"/>
  <c r="AC24" i="131"/>
  <c r="AN24" i="131"/>
  <c r="AO24" i="131"/>
  <c r="AX21" i="72"/>
  <c r="AC24" i="129"/>
  <c r="AN24" i="129"/>
  <c r="AO24" i="129"/>
  <c r="AW21" i="72"/>
  <c r="S21" i="100"/>
  <c r="AA24" i="145"/>
  <c r="AB24" i="145"/>
  <c r="AD21" i="100"/>
  <c r="AD24" i="76"/>
  <c r="AO24" i="76"/>
  <c r="AP24" i="76"/>
  <c r="BH21" i="72"/>
  <c r="AC39" i="117"/>
  <c r="AN39" i="117"/>
  <c r="AO39" i="117"/>
  <c r="AO36" i="72"/>
  <c r="K36" i="100"/>
  <c r="J36" i="100"/>
  <c r="AC39" i="116"/>
  <c r="AN39" i="116"/>
  <c r="AO39" i="116"/>
  <c r="AN36" i="72"/>
  <c r="AD39" i="116"/>
  <c r="AF39" i="116"/>
  <c r="AC39" i="145"/>
  <c r="AN39" i="145"/>
  <c r="AO39" i="145"/>
  <c r="AZ36" i="72"/>
  <c r="V36" i="100"/>
  <c r="AD39" i="145"/>
  <c r="AF39" i="145"/>
  <c r="AC39" i="119"/>
  <c r="AN39" i="119"/>
  <c r="AO39" i="119"/>
  <c r="AQ36" i="72"/>
  <c r="M36" i="100"/>
  <c r="S36" i="100"/>
  <c r="AC39" i="129"/>
  <c r="AN39" i="129"/>
  <c r="AO39" i="129"/>
  <c r="AW36" i="72"/>
  <c r="AC39" i="118"/>
  <c r="AN39" i="118"/>
  <c r="AO39" i="118"/>
  <c r="AP36" i="72"/>
  <c r="L36" i="100"/>
  <c r="AD39" i="118"/>
  <c r="AF39" i="118"/>
  <c r="L70" i="100"/>
  <c r="AC73" i="118"/>
  <c r="AN73" i="118"/>
  <c r="AO73" i="118"/>
  <c r="AP70" i="72"/>
  <c r="W70" i="100"/>
  <c r="AC73" i="146"/>
  <c r="AN73" i="146"/>
  <c r="AO73" i="146"/>
  <c r="BA70" i="72"/>
  <c r="AD73" i="146"/>
  <c r="AF73" i="146"/>
  <c r="M70" i="100"/>
  <c r="AC73" i="119"/>
  <c r="AN73" i="119"/>
  <c r="AO73" i="119"/>
  <c r="AQ70" i="72"/>
  <c r="AC73" i="117"/>
  <c r="AN73" i="117"/>
  <c r="AO73" i="117"/>
  <c r="AO70" i="72"/>
  <c r="K70" i="100"/>
  <c r="AA73" i="148"/>
  <c r="AB73" i="148"/>
  <c r="AA73" i="147"/>
  <c r="AB32" i="149"/>
  <c r="AC32" i="116"/>
  <c r="AN32" i="116"/>
  <c r="AO32" i="116"/>
  <c r="AN29" i="72"/>
  <c r="J29" i="100"/>
  <c r="AD32" i="116"/>
  <c r="AF32" i="116"/>
  <c r="W29" i="100"/>
  <c r="AC32" i="146"/>
  <c r="AN32" i="146"/>
  <c r="AO32" i="146"/>
  <c r="BA29" i="72"/>
  <c r="AH32" i="113"/>
  <c r="AI32" i="113"/>
  <c r="G29" i="72"/>
  <c r="AJ32" i="113"/>
  <c r="AC59" i="126"/>
  <c r="AN59" i="126"/>
  <c r="AO59" i="126"/>
  <c r="AT56" i="72"/>
  <c r="P56" i="100"/>
  <c r="AD59" i="126"/>
  <c r="AF59" i="126"/>
  <c r="AC59" i="119"/>
  <c r="AN59" i="119"/>
  <c r="AO59" i="119"/>
  <c r="AQ56" i="72"/>
  <c r="M56" i="100"/>
  <c r="AE56" i="100"/>
  <c r="AD59" i="80"/>
  <c r="AO59" i="80"/>
  <c r="AP59" i="80"/>
  <c r="BI56" i="72"/>
  <c r="AH59" i="113"/>
  <c r="AI59" i="113"/>
  <c r="G56" i="72"/>
  <c r="AJ59" i="113"/>
  <c r="AA67" i="151"/>
  <c r="AB67" i="151"/>
  <c r="H64" i="100"/>
  <c r="AL64" i="72"/>
  <c r="AD67" i="114"/>
  <c r="AF67" i="114"/>
  <c r="U64" i="100"/>
  <c r="AC67" i="144"/>
  <c r="AN67" i="144"/>
  <c r="AO67" i="144"/>
  <c r="AY64" i="72"/>
  <c r="AA67" i="153"/>
  <c r="AB67" i="153"/>
  <c r="AH67" i="113"/>
  <c r="AI67" i="113"/>
  <c r="G64" i="72"/>
  <c r="AJ67" i="113"/>
  <c r="AC36" i="120"/>
  <c r="AN36" i="120"/>
  <c r="AO36" i="120"/>
  <c r="AR33" i="72"/>
  <c r="N33" i="100"/>
  <c r="AD36" i="120"/>
  <c r="AF36" i="120"/>
  <c r="AE33" i="100"/>
  <c r="AD36" i="80"/>
  <c r="AO36" i="80"/>
  <c r="AP36" i="80"/>
  <c r="BI33" i="72"/>
  <c r="AM33" i="72"/>
  <c r="I33" i="100"/>
  <c r="Z33" i="100"/>
  <c r="AC36" i="149"/>
  <c r="AN36" i="149"/>
  <c r="AO36" i="149"/>
  <c r="BD33" i="72"/>
  <c r="AC36" i="125"/>
  <c r="AN36" i="125"/>
  <c r="AO36" i="125"/>
  <c r="AS33" i="72"/>
  <c r="O33" i="100"/>
  <c r="AD36" i="125"/>
  <c r="AF36" i="125"/>
  <c r="AC36" i="144"/>
  <c r="AN36" i="144"/>
  <c r="AO36" i="144"/>
  <c r="AY33" i="72"/>
  <c r="U33" i="100"/>
  <c r="K33" i="100"/>
  <c r="AC36" i="117"/>
  <c r="AN36" i="117"/>
  <c r="AO36" i="117"/>
  <c r="AO33" i="72"/>
  <c r="AC36" i="127"/>
  <c r="AN36" i="127"/>
  <c r="AO36" i="127"/>
  <c r="AU33" i="72"/>
  <c r="Q33" i="100"/>
  <c r="AD36" i="127"/>
  <c r="AF36" i="127"/>
  <c r="AB25" i="100"/>
  <c r="AC28" i="152"/>
  <c r="AN28" i="152"/>
  <c r="AO28" i="152"/>
  <c r="BF25" i="72"/>
  <c r="AD28" i="80"/>
  <c r="AO28" i="80"/>
  <c r="AP28" i="80"/>
  <c r="BI25" i="72"/>
  <c r="AE25" i="100"/>
  <c r="AE28" i="80"/>
  <c r="AG28" i="80"/>
  <c r="AA28" i="147"/>
  <c r="AB28" i="147"/>
  <c r="R25" i="100"/>
  <c r="AC28" i="128"/>
  <c r="AN28" i="128"/>
  <c r="AO28" i="128"/>
  <c r="AV25" i="72"/>
  <c r="O25" i="100"/>
  <c r="AC28" i="125"/>
  <c r="AN28" i="125"/>
  <c r="AO28" i="125"/>
  <c r="AS25" i="72"/>
  <c r="AC28" i="126"/>
  <c r="AN28" i="126"/>
  <c r="AO28" i="126"/>
  <c r="AT25" i="72"/>
  <c r="P25" i="100"/>
  <c r="AC28" i="118"/>
  <c r="AN28" i="118"/>
  <c r="AO28" i="118"/>
  <c r="AP25" i="72"/>
  <c r="L25" i="100"/>
  <c r="AD28" i="118"/>
  <c r="AF28" i="118"/>
  <c r="AD57" i="113"/>
  <c r="AF57" i="113"/>
  <c r="AK54" i="72"/>
  <c r="G54" i="100"/>
  <c r="X57" i="147"/>
  <c r="V57" i="147"/>
  <c r="Z57" i="147"/>
  <c r="V57" i="119"/>
  <c r="Z57" i="119"/>
  <c r="X57" i="119"/>
  <c r="Z57" i="127"/>
  <c r="V57" i="127"/>
  <c r="X57" i="127"/>
  <c r="AA57" i="127"/>
  <c r="Z57" i="145"/>
  <c r="X57" i="145"/>
  <c r="V57" i="145"/>
  <c r="Z57" i="125"/>
  <c r="V57" i="125"/>
  <c r="X57" i="125"/>
  <c r="AA57" i="80"/>
  <c r="W57" i="80"/>
  <c r="Y57" i="80"/>
  <c r="AB57" i="80"/>
  <c r="AC57" i="80"/>
  <c r="Z57" i="116"/>
  <c r="V57" i="116"/>
  <c r="X57" i="116"/>
  <c r="AA57" i="116"/>
  <c r="Z57" i="152"/>
  <c r="X57" i="152"/>
  <c r="V57" i="152"/>
  <c r="V57" i="129"/>
  <c r="Z57" i="129"/>
  <c r="X57" i="129"/>
  <c r="AA57" i="76"/>
  <c r="W57" i="76"/>
  <c r="Y57" i="76"/>
  <c r="AB57" i="76"/>
  <c r="AC57" i="76"/>
  <c r="V57" i="153"/>
  <c r="Z57" i="153"/>
  <c r="X57" i="153"/>
  <c r="N23" i="100"/>
  <c r="AC26" i="120"/>
  <c r="AN26" i="120"/>
  <c r="AO26" i="120"/>
  <c r="AR23" i="72"/>
  <c r="AD26" i="120"/>
  <c r="AF26" i="120"/>
  <c r="AD26" i="76"/>
  <c r="AO26" i="76"/>
  <c r="AP26" i="76"/>
  <c r="BH23" i="72"/>
  <c r="AD23" i="100"/>
  <c r="I23" i="100"/>
  <c r="AM23" i="72"/>
  <c r="AA26" i="152"/>
  <c r="V23" i="100"/>
  <c r="AC26" i="145"/>
  <c r="AN26" i="145"/>
  <c r="AO26" i="145"/>
  <c r="AZ23" i="72"/>
  <c r="AC26" i="117"/>
  <c r="AN26" i="117"/>
  <c r="AO26" i="117"/>
  <c r="AO23" i="72"/>
  <c r="K23" i="100"/>
  <c r="AD26" i="117"/>
  <c r="AF26" i="117"/>
  <c r="J23" i="100"/>
  <c r="AC26" i="116"/>
  <c r="AN26" i="116"/>
  <c r="AO26" i="116"/>
  <c r="AN23" i="72"/>
  <c r="AD26" i="116"/>
  <c r="AF26" i="116"/>
  <c r="AR7" i="46"/>
  <c r="AS7" i="46"/>
  <c r="AT7" i="46"/>
  <c r="AB10" i="152"/>
  <c r="M7" i="100"/>
  <c r="AC10" i="119"/>
  <c r="AN10" i="119"/>
  <c r="AO10" i="119"/>
  <c r="AQ7" i="72"/>
  <c r="AA10" i="147"/>
  <c r="AB10" i="147"/>
  <c r="Q7" i="100"/>
  <c r="AC10" i="127"/>
  <c r="AN10" i="127"/>
  <c r="AO10" i="127"/>
  <c r="AU7" i="72"/>
  <c r="AL7" i="72"/>
  <c r="H7" i="100"/>
  <c r="AD10" i="114"/>
  <c r="AF10" i="114"/>
  <c r="AC10" i="129"/>
  <c r="AN10" i="129"/>
  <c r="AO10" i="129"/>
  <c r="AW7" i="72"/>
  <c r="S7" i="100"/>
  <c r="AB65" i="145"/>
  <c r="AC65" i="127"/>
  <c r="AN65" i="127"/>
  <c r="AO65" i="127"/>
  <c r="AU62" i="72"/>
  <c r="Q62" i="100"/>
  <c r="AA62" i="100"/>
  <c r="AC65" i="151"/>
  <c r="AN65" i="151"/>
  <c r="AO65" i="151"/>
  <c r="BE62" i="72"/>
  <c r="AC65" i="128"/>
  <c r="AN65" i="128"/>
  <c r="AO65" i="128"/>
  <c r="AV62" i="72"/>
  <c r="R62" i="100"/>
  <c r="AD65" i="128"/>
  <c r="AF65" i="128"/>
  <c r="AC65" i="120"/>
  <c r="AN65" i="120"/>
  <c r="AO65" i="120"/>
  <c r="AR62" i="72"/>
  <c r="N62" i="100"/>
  <c r="Y62" i="100"/>
  <c r="AC65" i="148"/>
  <c r="AN65" i="148"/>
  <c r="AO65" i="148"/>
  <c r="BC62" i="72"/>
  <c r="AH65" i="113"/>
  <c r="AI65" i="113"/>
  <c r="G62" i="72"/>
  <c r="AJ65" i="113"/>
  <c r="AM14" i="72"/>
  <c r="I14" i="100"/>
  <c r="AB17" i="144"/>
  <c r="S14" i="100"/>
  <c r="AC17" i="129"/>
  <c r="AN17" i="129"/>
  <c r="AO17" i="129"/>
  <c r="AW14" i="72"/>
  <c r="N14" i="100"/>
  <c r="AC17" i="120"/>
  <c r="AN17" i="120"/>
  <c r="AO17" i="120"/>
  <c r="AR14" i="72"/>
  <c r="AD14" i="100"/>
  <c r="AD17" i="76"/>
  <c r="AO17" i="76"/>
  <c r="AP17" i="76"/>
  <c r="BH14" i="72"/>
  <c r="AE17" i="76"/>
  <c r="AG17" i="76"/>
  <c r="AA61" i="146"/>
  <c r="AB61" i="146"/>
  <c r="AC61" i="120"/>
  <c r="AN61" i="120"/>
  <c r="AO61" i="120"/>
  <c r="AR58" i="72"/>
  <c r="N58" i="100"/>
  <c r="AC61" i="148"/>
  <c r="AN61" i="148"/>
  <c r="AO61" i="148"/>
  <c r="BC58" i="72"/>
  <c r="Y58" i="100"/>
  <c r="Q58" i="100"/>
  <c r="AC61" i="127"/>
  <c r="AN61" i="127"/>
  <c r="AO61" i="127"/>
  <c r="AU58" i="72"/>
  <c r="AC61" i="131"/>
  <c r="AN61" i="131"/>
  <c r="AO61" i="131"/>
  <c r="AX58" i="72"/>
  <c r="T58" i="100"/>
  <c r="AH61" i="113"/>
  <c r="AI61" i="113"/>
  <c r="G58" i="72"/>
  <c r="AJ61" i="113"/>
  <c r="AC27" i="151"/>
  <c r="AN27" i="151"/>
  <c r="AO27" i="151"/>
  <c r="BE24" i="72"/>
  <c r="AA24" i="100"/>
  <c r="AB27" i="149"/>
  <c r="AC27" i="129"/>
  <c r="AN27" i="129"/>
  <c r="AO27" i="129"/>
  <c r="AW24" i="72"/>
  <c r="S24" i="100"/>
  <c r="AC27" i="125"/>
  <c r="AN27" i="125"/>
  <c r="AO27" i="125"/>
  <c r="AS24" i="72"/>
  <c r="O24" i="100"/>
  <c r="AC27" i="118"/>
  <c r="AN27" i="118"/>
  <c r="AO27" i="118"/>
  <c r="AP24" i="72"/>
  <c r="L24" i="100"/>
  <c r="AD27" i="118"/>
  <c r="AF27" i="118"/>
  <c r="P24" i="100"/>
  <c r="AC27" i="126"/>
  <c r="AN27" i="126"/>
  <c r="AO27" i="126"/>
  <c r="AT24" i="72"/>
  <c r="AD27" i="126"/>
  <c r="AF27" i="126"/>
  <c r="AC27" i="117"/>
  <c r="AN27" i="117"/>
  <c r="AO27" i="117"/>
  <c r="AO24" i="72"/>
  <c r="K24" i="100"/>
  <c r="M66" i="100"/>
  <c r="AC69" i="119"/>
  <c r="AN69" i="119"/>
  <c r="AO69" i="119"/>
  <c r="AQ66" i="72"/>
  <c r="AC69" i="153"/>
  <c r="AN69" i="153"/>
  <c r="AO69" i="153"/>
  <c r="BG66" i="72"/>
  <c r="AC66" i="100"/>
  <c r="AD69" i="153"/>
  <c r="AF69" i="153"/>
  <c r="AC69" i="118"/>
  <c r="AN69" i="118"/>
  <c r="AO69" i="118"/>
  <c r="AP66" i="72"/>
  <c r="L66" i="100"/>
  <c r="AC69" i="127"/>
  <c r="AN69" i="127"/>
  <c r="AO69" i="127"/>
  <c r="AU66" i="72"/>
  <c r="Q66" i="100"/>
  <c r="S66" i="100"/>
  <c r="AC69" i="129"/>
  <c r="AN69" i="129"/>
  <c r="AO69" i="129"/>
  <c r="AW66" i="72"/>
  <c r="AH69" i="113"/>
  <c r="AI69" i="113"/>
  <c r="G66" i="72"/>
  <c r="AJ69" i="113"/>
  <c r="AD51" i="100"/>
  <c r="AD54" i="76"/>
  <c r="AO54" i="76"/>
  <c r="AP54" i="76"/>
  <c r="BH51" i="72"/>
  <c r="AC54" i="125"/>
  <c r="AN54" i="125"/>
  <c r="AO54" i="125"/>
  <c r="AS51" i="72"/>
  <c r="O51" i="100"/>
  <c r="AD54" i="125"/>
  <c r="AF54" i="125"/>
  <c r="AA54" i="145"/>
  <c r="U51" i="100"/>
  <c r="AC54" i="144"/>
  <c r="AN54" i="144"/>
  <c r="AO54" i="144"/>
  <c r="AY51" i="72"/>
  <c r="AC54" i="146"/>
  <c r="AN54" i="146"/>
  <c r="AO54" i="146"/>
  <c r="BA51" i="72"/>
  <c r="W51" i="100"/>
  <c r="R51" i="100"/>
  <c r="AC54" i="128"/>
  <c r="AN54" i="128"/>
  <c r="AO54" i="128"/>
  <c r="AV51" i="72"/>
  <c r="AC54" i="120"/>
  <c r="AN54" i="120"/>
  <c r="AO54" i="120"/>
  <c r="AR51" i="72"/>
  <c r="N51" i="100"/>
  <c r="AD52" i="100"/>
  <c r="AD55" i="76"/>
  <c r="AO55" i="76"/>
  <c r="AP55" i="76"/>
  <c r="BH52" i="72"/>
  <c r="O52" i="100"/>
  <c r="AC55" i="125"/>
  <c r="AN55" i="125"/>
  <c r="AO55" i="125"/>
  <c r="AS52" i="72"/>
  <c r="AD55" i="125"/>
  <c r="AF55" i="125"/>
  <c r="H52" i="100"/>
  <c r="AL52" i="72"/>
  <c r="AC46" i="153"/>
  <c r="AN46" i="153"/>
  <c r="AO46" i="153"/>
  <c r="BG43" i="72"/>
  <c r="AC43" i="100"/>
  <c r="AE43" i="100"/>
  <c r="AD46" i="80"/>
  <c r="AO46" i="80"/>
  <c r="AP46" i="80"/>
  <c r="BI43" i="72"/>
  <c r="AC46" i="127"/>
  <c r="AN46" i="127"/>
  <c r="AO46" i="127"/>
  <c r="AU43" i="72"/>
  <c r="Q43" i="100"/>
  <c r="AD46" i="127"/>
  <c r="AF46" i="127"/>
  <c r="AL43" i="72"/>
  <c r="H43" i="100"/>
  <c r="AD46" i="114"/>
  <c r="AF46" i="114"/>
  <c r="AC46" i="116"/>
  <c r="AN46" i="116"/>
  <c r="AO46" i="116"/>
  <c r="AN43" i="72"/>
  <c r="J43" i="100"/>
  <c r="AH46" i="113"/>
  <c r="AI46" i="113"/>
  <c r="G43" i="72"/>
  <c r="AJ46" i="113"/>
  <c r="AR11" i="46"/>
  <c r="AS11" i="46"/>
  <c r="AT11" i="46"/>
  <c r="AK34" i="72"/>
  <c r="G34" i="100"/>
  <c r="V37" i="146"/>
  <c r="Z37" i="146"/>
  <c r="X37" i="146"/>
  <c r="Z37" i="128"/>
  <c r="V37" i="128"/>
  <c r="X37" i="128"/>
  <c r="AA37" i="128"/>
  <c r="AB37" i="128"/>
  <c r="V37" i="127"/>
  <c r="Z37" i="127"/>
  <c r="X37" i="127"/>
  <c r="V37" i="131"/>
  <c r="Z37" i="131"/>
  <c r="X37" i="131"/>
  <c r="X37" i="144"/>
  <c r="V37" i="144"/>
  <c r="Z37" i="144"/>
  <c r="V37" i="120"/>
  <c r="Z37" i="120"/>
  <c r="X37" i="120"/>
  <c r="Z37" i="116"/>
  <c r="V37" i="116"/>
  <c r="X37" i="116"/>
  <c r="AA37" i="116"/>
  <c r="Z37" i="151"/>
  <c r="X37" i="151"/>
  <c r="V37" i="151"/>
  <c r="Z37" i="148"/>
  <c r="X37" i="148"/>
  <c r="V37" i="148"/>
  <c r="Z37" i="118"/>
  <c r="V37" i="118"/>
  <c r="X37" i="118"/>
  <c r="V37" i="117"/>
  <c r="Z37" i="117"/>
  <c r="X37" i="117"/>
  <c r="Z25" i="128"/>
  <c r="V25" i="128"/>
  <c r="X25" i="128"/>
  <c r="AA25" i="128"/>
  <c r="AB25" i="128"/>
  <c r="X25" i="147"/>
  <c r="V25" i="147"/>
  <c r="Z25" i="147"/>
  <c r="Z25" i="152"/>
  <c r="X25" i="152"/>
  <c r="V25" i="152"/>
  <c r="W25" i="80"/>
  <c r="AA25" i="80"/>
  <c r="Y25" i="80"/>
  <c r="V25" i="127"/>
  <c r="Z25" i="127"/>
  <c r="X25" i="127"/>
  <c r="AA25" i="127"/>
  <c r="AB25" i="127"/>
  <c r="Z25" i="146"/>
  <c r="X25" i="146"/>
  <c r="V25" i="146"/>
  <c r="X25" i="151"/>
  <c r="V25" i="151"/>
  <c r="Z25" i="151"/>
  <c r="Z25" i="118"/>
  <c r="V25" i="118"/>
  <c r="X25" i="118"/>
  <c r="AA25" i="118"/>
  <c r="Z25" i="116"/>
  <c r="V25" i="116"/>
  <c r="X25" i="116"/>
  <c r="AA25" i="116"/>
  <c r="AB25" i="116"/>
  <c r="Z25" i="144"/>
  <c r="X25" i="144"/>
  <c r="V25" i="144"/>
  <c r="V25" i="145"/>
  <c r="Z25" i="145"/>
  <c r="X25" i="145"/>
  <c r="G12" i="100"/>
  <c r="AK12" i="72"/>
  <c r="X15" i="149"/>
  <c r="Z15" i="149"/>
  <c r="AA15" i="149"/>
  <c r="V15" i="149"/>
  <c r="Z15" i="118"/>
  <c r="V15" i="118"/>
  <c r="X15" i="118"/>
  <c r="AA15" i="80"/>
  <c r="W15" i="80"/>
  <c r="Y15" i="80"/>
  <c r="AB15" i="80"/>
  <c r="AC15" i="80"/>
  <c r="V15" i="128"/>
  <c r="Z15" i="128"/>
  <c r="X15" i="128"/>
  <c r="Z15" i="117"/>
  <c r="V15" i="117"/>
  <c r="X15" i="117"/>
  <c r="W15" i="76"/>
  <c r="AA15" i="76"/>
  <c r="Y15" i="76"/>
  <c r="V15" i="148"/>
  <c r="Z15" i="148"/>
  <c r="X15" i="148"/>
  <c r="X15" i="152"/>
  <c r="V15" i="152"/>
  <c r="Z15" i="152"/>
  <c r="V15" i="116"/>
  <c r="Z15" i="116"/>
  <c r="X15" i="116"/>
  <c r="Z15" i="129"/>
  <c r="V15" i="129"/>
  <c r="X15" i="129"/>
  <c r="AA15" i="129"/>
  <c r="V15" i="127"/>
  <c r="Z15" i="127"/>
  <c r="X15" i="127"/>
  <c r="Z72" i="129"/>
  <c r="V72" i="129"/>
  <c r="X72" i="129"/>
  <c r="V72" i="147"/>
  <c r="Z72" i="147"/>
  <c r="X72" i="147"/>
  <c r="X72" i="152"/>
  <c r="V72" i="152"/>
  <c r="Z72" i="152"/>
  <c r="V72" i="131"/>
  <c r="Z72" i="131"/>
  <c r="X72" i="131"/>
  <c r="V72" i="118"/>
  <c r="Z72" i="118"/>
  <c r="X72" i="118"/>
  <c r="Z72" i="119"/>
  <c r="V72" i="119"/>
  <c r="X72" i="119"/>
  <c r="AA72" i="119"/>
  <c r="AB72" i="119"/>
  <c r="Z72" i="146"/>
  <c r="V72" i="146"/>
  <c r="X72" i="146"/>
  <c r="AA72" i="146"/>
  <c r="X72" i="148"/>
  <c r="V72" i="148"/>
  <c r="Z72" i="148"/>
  <c r="V72" i="126"/>
  <c r="Z72" i="126"/>
  <c r="X72" i="126"/>
  <c r="Z72" i="120"/>
  <c r="V72" i="120"/>
  <c r="X72" i="120"/>
  <c r="AA72" i="120"/>
  <c r="AB72" i="120"/>
  <c r="Z72" i="125"/>
  <c r="V72" i="125"/>
  <c r="X72" i="125"/>
  <c r="AA72" i="125"/>
  <c r="V72" i="144"/>
  <c r="Z72" i="144"/>
  <c r="X72" i="144"/>
  <c r="X72" i="149"/>
  <c r="V72" i="149"/>
  <c r="Z72" i="149"/>
  <c r="V33" i="153"/>
  <c r="Z33" i="153"/>
  <c r="X33" i="153"/>
  <c r="W33" i="80"/>
  <c r="AA33" i="80"/>
  <c r="Y33" i="80"/>
  <c r="Z33" i="148"/>
  <c r="X33" i="148"/>
  <c r="V33" i="148"/>
  <c r="V33" i="120"/>
  <c r="Z33" i="120"/>
  <c r="X33" i="120"/>
  <c r="Z33" i="116"/>
  <c r="V33" i="116"/>
  <c r="X33" i="116"/>
  <c r="AA33" i="116"/>
  <c r="AB33" i="116"/>
  <c r="V33" i="129"/>
  <c r="Z33" i="129"/>
  <c r="X33" i="129"/>
  <c r="V33" i="125"/>
  <c r="Z33" i="125"/>
  <c r="X33" i="125"/>
  <c r="V33" i="117"/>
  <c r="Z33" i="117"/>
  <c r="X33" i="117"/>
  <c r="W33" i="76"/>
  <c r="AA33" i="76"/>
  <c r="Y33" i="76"/>
  <c r="X33" i="151"/>
  <c r="V33" i="151"/>
  <c r="Z33" i="151"/>
  <c r="Z33" i="118"/>
  <c r="V33" i="118"/>
  <c r="X33" i="118"/>
  <c r="Z33" i="127"/>
  <c r="V33" i="127"/>
  <c r="X33" i="127"/>
  <c r="W26" i="100"/>
  <c r="AC29" i="146"/>
  <c r="AC29" i="119"/>
  <c r="AN29" i="119"/>
  <c r="AO29" i="119"/>
  <c r="AQ26" i="72"/>
  <c r="M26" i="100"/>
  <c r="AD29" i="119"/>
  <c r="AF29" i="119"/>
  <c r="AB29" i="153"/>
  <c r="AC29" i="127"/>
  <c r="AN29" i="127"/>
  <c r="AO29" i="127"/>
  <c r="AU26" i="72"/>
  <c r="Q26" i="100"/>
  <c r="AD29" i="127"/>
  <c r="AF29" i="127"/>
  <c r="AC29" i="118"/>
  <c r="AN29" i="118"/>
  <c r="AO29" i="118"/>
  <c r="AP26" i="72"/>
  <c r="L26" i="100"/>
  <c r="AC29" i="126"/>
  <c r="AN29" i="126"/>
  <c r="AO29" i="126"/>
  <c r="AT26" i="72"/>
  <c r="AD29" i="126"/>
  <c r="AF29" i="126"/>
  <c r="P26" i="100"/>
  <c r="AD29" i="113"/>
  <c r="AF29" i="113"/>
  <c r="AK26" i="72"/>
  <c r="G26" i="100"/>
  <c r="I28" i="100"/>
  <c r="AM28" i="72"/>
  <c r="AB31" i="147"/>
  <c r="AC31" i="127"/>
  <c r="Q28" i="100"/>
  <c r="Z28" i="100"/>
  <c r="AC31" i="149"/>
  <c r="AD28" i="100"/>
  <c r="AD31" i="76"/>
  <c r="AO31" i="76"/>
  <c r="AP31" i="76"/>
  <c r="BH28" i="72"/>
  <c r="AC31" i="119"/>
  <c r="AN31" i="119"/>
  <c r="AO31" i="119"/>
  <c r="AQ28" i="72"/>
  <c r="M28" i="100"/>
  <c r="AD31" i="119"/>
  <c r="AF31" i="119"/>
  <c r="AB31" i="128"/>
  <c r="AA22" i="116"/>
  <c r="AB22" i="116"/>
  <c r="AC22" i="118"/>
  <c r="AN22" i="118"/>
  <c r="AO22" i="118"/>
  <c r="AP19" i="72"/>
  <c r="L19" i="100"/>
  <c r="AE19" i="100"/>
  <c r="AD22" i="80"/>
  <c r="AO22" i="80"/>
  <c r="AP22" i="80"/>
  <c r="BI19" i="72"/>
  <c r="AA22" i="148"/>
  <c r="AB22" i="148"/>
  <c r="G19" i="100"/>
  <c r="AK19" i="72"/>
  <c r="AB64" i="128"/>
  <c r="AB64" i="152"/>
  <c r="H61" i="100"/>
  <c r="AL61" i="72"/>
  <c r="AD64" i="114"/>
  <c r="AF64" i="114"/>
  <c r="T61" i="100"/>
  <c r="AC64" i="131"/>
  <c r="AN64" i="131"/>
  <c r="AO64" i="131"/>
  <c r="AX61" i="72"/>
  <c r="P61" i="100"/>
  <c r="AC64" i="126"/>
  <c r="AN64" i="126"/>
  <c r="AO64" i="126"/>
  <c r="AT61" i="72"/>
  <c r="AD64" i="126"/>
  <c r="AF64" i="126"/>
  <c r="AC64" i="148"/>
  <c r="AN64" i="148"/>
  <c r="AO64" i="148"/>
  <c r="BC61" i="72"/>
  <c r="Y61" i="100"/>
  <c r="AD64" i="148"/>
  <c r="AF64" i="148"/>
  <c r="AC64" i="116"/>
  <c r="AN64" i="116"/>
  <c r="AO64" i="116"/>
  <c r="AN61" i="72"/>
  <c r="J61" i="100"/>
  <c r="Z35" i="118"/>
  <c r="V35" i="118"/>
  <c r="X35" i="118"/>
  <c r="X35" i="151"/>
  <c r="V35" i="151"/>
  <c r="Z35" i="151"/>
  <c r="Z35" i="125"/>
  <c r="V35" i="125"/>
  <c r="X35" i="125"/>
  <c r="AA35" i="125"/>
  <c r="V35" i="129"/>
  <c r="Z35" i="129"/>
  <c r="X35" i="129"/>
  <c r="AA35" i="129"/>
  <c r="AB35" i="129"/>
  <c r="X35" i="153"/>
  <c r="V35" i="153"/>
  <c r="Z35" i="153"/>
  <c r="Z35" i="147"/>
  <c r="X35" i="147"/>
  <c r="V35" i="147"/>
  <c r="Z35" i="119"/>
  <c r="V35" i="119"/>
  <c r="X35" i="119"/>
  <c r="AA35" i="119"/>
  <c r="V35" i="117"/>
  <c r="Z35" i="117"/>
  <c r="X35" i="117"/>
  <c r="AA35" i="117"/>
  <c r="AB35" i="117"/>
  <c r="Z35" i="126"/>
  <c r="V35" i="126"/>
  <c r="X35" i="126"/>
  <c r="AA35" i="126"/>
  <c r="AA30" i="147"/>
  <c r="AB30" i="147"/>
  <c r="AB30" i="116"/>
  <c r="AM27" i="72"/>
  <c r="I27" i="100"/>
  <c r="G27" i="100"/>
  <c r="AK27" i="72"/>
  <c r="AM47" i="72"/>
  <c r="I47" i="100"/>
  <c r="AD50" i="115"/>
  <c r="AF50" i="115"/>
  <c r="AB50" i="151"/>
  <c r="AB50" i="145"/>
  <c r="Y47" i="100"/>
  <c r="AC50" i="148"/>
  <c r="AN50" i="148"/>
  <c r="AO50" i="148"/>
  <c r="BC47" i="72"/>
  <c r="R47" i="100"/>
  <c r="AC50" i="128"/>
  <c r="AN50" i="128"/>
  <c r="AO50" i="128"/>
  <c r="AV47" i="72"/>
  <c r="AC50" i="129"/>
  <c r="AN50" i="129"/>
  <c r="AO50" i="129"/>
  <c r="AW47" i="72"/>
  <c r="S47" i="100"/>
  <c r="AC50" i="131"/>
  <c r="AN50" i="131"/>
  <c r="AO50" i="131"/>
  <c r="AX47" i="72"/>
  <c r="T47" i="100"/>
  <c r="H67" i="100"/>
  <c r="AL67" i="72"/>
  <c r="AD70" i="114"/>
  <c r="AF70" i="114"/>
  <c r="L67" i="100"/>
  <c r="AC70" i="118"/>
  <c r="AN70" i="118"/>
  <c r="AO70" i="118"/>
  <c r="AP67" i="72"/>
  <c r="AC67" i="100"/>
  <c r="AC70" i="153"/>
  <c r="AN70" i="153"/>
  <c r="AO70" i="153"/>
  <c r="BG67" i="72"/>
  <c r="AD70" i="153"/>
  <c r="AF70" i="153"/>
  <c r="AE67" i="100"/>
  <c r="AD70" i="80"/>
  <c r="AO70" i="80"/>
  <c r="AP70" i="80"/>
  <c r="BI67" i="72"/>
  <c r="AM67" i="72"/>
  <c r="I67" i="100"/>
  <c r="AC70" i="149"/>
  <c r="AN70" i="149"/>
  <c r="AO70" i="149"/>
  <c r="BD67" i="72"/>
  <c r="Z67" i="100"/>
  <c r="AD70" i="149"/>
  <c r="AF70" i="149"/>
  <c r="P67" i="100"/>
  <c r="AC70" i="126"/>
  <c r="AN70" i="126"/>
  <c r="AO70" i="126"/>
  <c r="AT67" i="72"/>
  <c r="AD70" i="126"/>
  <c r="AF70" i="126"/>
  <c r="R53" i="100"/>
  <c r="AC56" i="128"/>
  <c r="AN56" i="128"/>
  <c r="AO56" i="128"/>
  <c r="AV53" i="72"/>
  <c r="AB56" i="148"/>
  <c r="AC56" i="120"/>
  <c r="AN56" i="120"/>
  <c r="AO56" i="120"/>
  <c r="AR53" i="72"/>
  <c r="AD56" i="120"/>
  <c r="AF56" i="120"/>
  <c r="N53" i="100"/>
  <c r="AC56" i="131"/>
  <c r="AN56" i="131"/>
  <c r="AO56" i="131"/>
  <c r="AX53" i="72"/>
  <c r="T53" i="100"/>
  <c r="AD56" i="131"/>
  <c r="AF56" i="131"/>
  <c r="S53" i="100"/>
  <c r="AC56" i="129"/>
  <c r="AN56" i="129"/>
  <c r="AO56" i="129"/>
  <c r="AW53" i="72"/>
  <c r="O53" i="100"/>
  <c r="AC56" i="125"/>
  <c r="AN56" i="125"/>
  <c r="AO56" i="125"/>
  <c r="AS53" i="72"/>
  <c r="AA56" i="145"/>
  <c r="AB56" i="145"/>
  <c r="AC9" i="148"/>
  <c r="AN9" i="148"/>
  <c r="AO9" i="148"/>
  <c r="BC6" i="72"/>
  <c r="Y6" i="100"/>
  <c r="M6" i="100"/>
  <c r="AC9" i="119"/>
  <c r="AN9" i="119"/>
  <c r="AO9" i="119"/>
  <c r="AQ6" i="72"/>
  <c r="AA9" i="144"/>
  <c r="AB9" i="144"/>
  <c r="AC9" i="117"/>
  <c r="AN9" i="117"/>
  <c r="AO9" i="117"/>
  <c r="AO6" i="72"/>
  <c r="K6" i="100"/>
  <c r="AC9" i="131"/>
  <c r="AN9" i="131"/>
  <c r="AO9" i="131"/>
  <c r="AX6" i="72"/>
  <c r="T6" i="100"/>
  <c r="AA9" i="149"/>
  <c r="AB9" i="149"/>
  <c r="AB9" i="80"/>
  <c r="AC9" i="80"/>
  <c r="AM6" i="72"/>
  <c r="I6" i="100"/>
  <c r="AD9" i="115"/>
  <c r="AF9" i="115"/>
  <c r="T42" i="100"/>
  <c r="AC45" i="131"/>
  <c r="AN45" i="131"/>
  <c r="AO45" i="131"/>
  <c r="AX42" i="72"/>
  <c r="AC45" i="151"/>
  <c r="AN45" i="151"/>
  <c r="AO45" i="151"/>
  <c r="BE42" i="72"/>
  <c r="AA42" i="100"/>
  <c r="Q42" i="100"/>
  <c r="AC45" i="127"/>
  <c r="AN45" i="127"/>
  <c r="AO45" i="127"/>
  <c r="AU42" i="72"/>
  <c r="AB45" i="146"/>
  <c r="AA45" i="116"/>
  <c r="AB45" i="116"/>
  <c r="AA45" i="128"/>
  <c r="AB45" i="128"/>
  <c r="AB53" i="146"/>
  <c r="AA53" i="127"/>
  <c r="AB53" i="127"/>
  <c r="AA53" i="153"/>
  <c r="AB53" i="153"/>
  <c r="AC53" i="119"/>
  <c r="AN53" i="119"/>
  <c r="AO53" i="119"/>
  <c r="AQ50" i="72"/>
  <c r="M50" i="100"/>
  <c r="O50" i="100"/>
  <c r="AC53" i="125"/>
  <c r="AN53" i="125"/>
  <c r="AO53" i="125"/>
  <c r="AS50" i="72"/>
  <c r="AC53" i="120"/>
  <c r="AN53" i="120"/>
  <c r="AO53" i="120"/>
  <c r="AR50" i="72"/>
  <c r="N50" i="100"/>
  <c r="G50" i="100"/>
  <c r="AK50" i="72"/>
  <c r="AA19" i="153"/>
  <c r="AB19" i="153"/>
  <c r="AC19" i="118"/>
  <c r="AN19" i="118"/>
  <c r="AO19" i="118"/>
  <c r="AP16" i="72"/>
  <c r="L16" i="100"/>
  <c r="AD19" i="118"/>
  <c r="AF19" i="118"/>
  <c r="AA19" i="146"/>
  <c r="AB19" i="146"/>
  <c r="N16" i="100"/>
  <c r="AC19" i="120"/>
  <c r="AN19" i="120"/>
  <c r="AO19" i="120"/>
  <c r="AR16" i="72"/>
  <c r="X16" i="100"/>
  <c r="AC19" i="147"/>
  <c r="AN19" i="147"/>
  <c r="AO19" i="147"/>
  <c r="BB16" i="72"/>
  <c r="AL16" i="72"/>
  <c r="H16" i="100"/>
  <c r="AB41" i="148"/>
  <c r="AA41" i="144"/>
  <c r="AB41" i="144"/>
  <c r="K38" i="100"/>
  <c r="AC41" i="117"/>
  <c r="AN41" i="117"/>
  <c r="AO41" i="117"/>
  <c r="AO38" i="72"/>
  <c r="AC41" i="116"/>
  <c r="AN41" i="116"/>
  <c r="AO41" i="116"/>
  <c r="AN38" i="72"/>
  <c r="AD41" i="116"/>
  <c r="AF41" i="116"/>
  <c r="J38" i="100"/>
  <c r="AD41" i="80"/>
  <c r="AO41" i="80"/>
  <c r="AP41" i="80"/>
  <c r="BI38" i="72"/>
  <c r="AE38" i="100"/>
  <c r="AC41" i="145"/>
  <c r="AN41" i="145"/>
  <c r="AO41" i="145"/>
  <c r="AZ38" i="72"/>
  <c r="V38" i="100"/>
  <c r="AH41" i="113"/>
  <c r="AI41" i="113"/>
  <c r="G38" i="72"/>
  <c r="AJ41" i="113"/>
  <c r="AA13" i="144"/>
  <c r="AB13" i="144"/>
  <c r="J10" i="100"/>
  <c r="AC13" i="116"/>
  <c r="AN13" i="116"/>
  <c r="AO13" i="116"/>
  <c r="AN10" i="72"/>
  <c r="K10" i="100"/>
  <c r="AC13" i="117"/>
  <c r="AN13" i="117"/>
  <c r="AO13" i="117"/>
  <c r="AO10" i="72"/>
  <c r="AC13" i="125"/>
  <c r="AN13" i="125"/>
  <c r="AO13" i="125"/>
  <c r="AS10" i="72"/>
  <c r="O10" i="100"/>
  <c r="AD13" i="125"/>
  <c r="AF13" i="125"/>
  <c r="L10" i="100"/>
  <c r="AC13" i="118"/>
  <c r="AN13" i="118"/>
  <c r="AO13" i="118"/>
  <c r="AP10" i="72"/>
  <c r="N10" i="100"/>
  <c r="AC13" i="120"/>
  <c r="AN13" i="120"/>
  <c r="AO13" i="120"/>
  <c r="AR10" i="72"/>
  <c r="AL10" i="72"/>
  <c r="H10" i="100"/>
  <c r="AD13" i="114"/>
  <c r="AF13" i="114"/>
  <c r="X71" i="100"/>
  <c r="AC74" i="147"/>
  <c r="AN74" i="147"/>
  <c r="AO74" i="147"/>
  <c r="BB71" i="72"/>
  <c r="AD74" i="147"/>
  <c r="AF74" i="147"/>
  <c r="AB74" i="146"/>
  <c r="J71" i="100"/>
  <c r="AC74" i="116"/>
  <c r="AN74" i="116"/>
  <c r="AO74" i="116"/>
  <c r="AN71" i="72"/>
  <c r="AD74" i="116"/>
  <c r="AF74" i="116"/>
  <c r="AC74" i="118"/>
  <c r="AN74" i="118"/>
  <c r="AO74" i="118"/>
  <c r="AP71" i="72"/>
  <c r="L71" i="100"/>
  <c r="AC74" i="125"/>
  <c r="AN74" i="125"/>
  <c r="AO74" i="125"/>
  <c r="AS71" i="72"/>
  <c r="O71" i="100"/>
  <c r="Q71" i="100"/>
  <c r="AC74" i="127"/>
  <c r="AN74" i="127"/>
  <c r="AO74" i="127"/>
  <c r="AU71" i="72"/>
  <c r="AH74" i="113"/>
  <c r="AI74" i="113"/>
  <c r="G71" i="72"/>
  <c r="AJ74" i="113"/>
  <c r="AA49" i="153"/>
  <c r="AB49" i="153"/>
  <c r="AB49" i="128"/>
  <c r="AA49" i="149"/>
  <c r="AB49" i="149"/>
  <c r="AB49" i="118"/>
  <c r="AA49" i="146"/>
  <c r="AB49" i="146"/>
  <c r="AA49" i="116"/>
  <c r="AB49" i="116"/>
  <c r="AB16" i="144"/>
  <c r="AA16" i="128"/>
  <c r="AB16" i="128"/>
  <c r="AA16" i="116"/>
  <c r="AB16" i="116"/>
  <c r="AA16" i="129"/>
  <c r="AB16" i="129"/>
  <c r="AA16" i="146"/>
  <c r="AB16" i="146"/>
  <c r="AD16" i="113"/>
  <c r="AF16" i="113"/>
  <c r="AB60" i="153"/>
  <c r="AB60" i="126"/>
  <c r="AA60" i="146"/>
  <c r="AB60" i="146"/>
  <c r="AA60" i="117"/>
  <c r="AB60" i="117"/>
  <c r="AB60" i="80"/>
  <c r="AC60" i="80"/>
  <c r="AA68" i="145"/>
  <c r="AB68" i="145"/>
  <c r="AA68" i="131"/>
  <c r="AB68" i="131"/>
  <c r="AA68" i="151"/>
  <c r="AB68" i="151"/>
  <c r="AB68" i="152"/>
  <c r="AA68" i="118"/>
  <c r="AB68" i="118"/>
  <c r="AB18" i="125"/>
  <c r="AA18" i="148"/>
  <c r="AB18" i="148"/>
  <c r="AA18" i="146"/>
  <c r="AB18" i="146"/>
  <c r="AA18" i="129"/>
  <c r="AB18" i="129"/>
  <c r="AA18" i="149"/>
  <c r="AB18" i="149"/>
  <c r="AB18" i="128"/>
  <c r="AB18" i="118"/>
  <c r="AA21" i="125"/>
  <c r="AB21" i="125"/>
  <c r="AB21" i="128"/>
  <c r="AB21" i="151"/>
  <c r="AA21" i="117"/>
  <c r="AB21" i="117"/>
  <c r="AA21" i="148"/>
  <c r="AB21" i="148"/>
  <c r="AD21" i="113"/>
  <c r="AF21" i="113"/>
  <c r="AA66" i="144"/>
  <c r="AB66" i="144"/>
  <c r="AB66" i="125"/>
  <c r="AA66" i="116"/>
  <c r="AB66" i="116"/>
  <c r="AA66" i="147"/>
  <c r="AB66" i="147"/>
  <c r="AB66" i="131"/>
  <c r="AA66" i="129"/>
  <c r="AB66" i="129"/>
  <c r="G41" i="100"/>
  <c r="AK41" i="72"/>
  <c r="AD44" i="113"/>
  <c r="AF44" i="113"/>
  <c r="Z44" i="120"/>
  <c r="V44" i="120"/>
  <c r="X44" i="120"/>
  <c r="AA44" i="120"/>
  <c r="V44" i="126"/>
  <c r="Z44" i="126"/>
  <c r="X44" i="126"/>
  <c r="X44" i="152"/>
  <c r="V44" i="152"/>
  <c r="Z44" i="152"/>
  <c r="Z44" i="129"/>
  <c r="V44" i="129"/>
  <c r="X44" i="129"/>
  <c r="AA44" i="129"/>
  <c r="AB44" i="129"/>
  <c r="V44" i="119"/>
  <c r="Z44" i="119"/>
  <c r="X44" i="119"/>
  <c r="V44" i="151"/>
  <c r="Z44" i="151"/>
  <c r="X44" i="151"/>
  <c r="V44" i="117"/>
  <c r="Z44" i="117"/>
  <c r="X44" i="117"/>
  <c r="AA44" i="117"/>
  <c r="AB44" i="117"/>
  <c r="V44" i="131"/>
  <c r="Z44" i="131"/>
  <c r="X44" i="131"/>
  <c r="Z44" i="144"/>
  <c r="V44" i="144"/>
  <c r="X44" i="144"/>
  <c r="Z44" i="145"/>
  <c r="X44" i="145"/>
  <c r="AA44" i="145"/>
  <c r="V44" i="145"/>
  <c r="AA34" i="146"/>
  <c r="AB34" i="146"/>
  <c r="AA34" i="131"/>
  <c r="AB34" i="131"/>
  <c r="AA34" i="145"/>
  <c r="AB34" i="145"/>
  <c r="AB34" i="126"/>
  <c r="AA34" i="148"/>
  <c r="AB34" i="148"/>
  <c r="AA34" i="119"/>
  <c r="AB34" i="119"/>
  <c r="AB62" i="126"/>
  <c r="AA62" i="147"/>
  <c r="AB62" i="147"/>
  <c r="AC62" i="76"/>
  <c r="AB62" i="131"/>
  <c r="AB62" i="148"/>
  <c r="AA62" i="125"/>
  <c r="AB62" i="125"/>
  <c r="AB24" i="152"/>
  <c r="AA24" i="116"/>
  <c r="AB24" i="116"/>
  <c r="AB24" i="117"/>
  <c r="AA24" i="126"/>
  <c r="AB24" i="126"/>
  <c r="AA24" i="151"/>
  <c r="AB24" i="151"/>
  <c r="AK21" i="72"/>
  <c r="G21" i="100"/>
  <c r="AD24" i="113"/>
  <c r="AF24" i="113"/>
  <c r="AA39" i="147"/>
  <c r="AB39" i="147"/>
  <c r="AB39" i="128"/>
  <c r="AA39" i="149"/>
  <c r="AB39" i="149"/>
  <c r="AC39" i="80"/>
  <c r="AB39" i="126"/>
  <c r="AB39" i="131"/>
  <c r="AB73" i="153"/>
  <c r="AA73" i="120"/>
  <c r="AB73" i="120"/>
  <c r="AA73" i="152"/>
  <c r="AB73" i="152"/>
  <c r="AB73" i="145"/>
  <c r="AB73" i="80"/>
  <c r="AC73" i="80"/>
  <c r="AB73" i="131"/>
  <c r="AB73" i="116"/>
  <c r="G70" i="100"/>
  <c r="AK70" i="72"/>
  <c r="AD73" i="113"/>
  <c r="AF73" i="113"/>
  <c r="AB32" i="152"/>
  <c r="AB32" i="128"/>
  <c r="AA32" i="119"/>
  <c r="AB32" i="119"/>
  <c r="AA32" i="144"/>
  <c r="AB32" i="144"/>
  <c r="AA32" i="131"/>
  <c r="AB32" i="131"/>
  <c r="AB59" i="128"/>
  <c r="AB59" i="149"/>
  <c r="AA59" i="153"/>
  <c r="AB59" i="153"/>
  <c r="AA59" i="151"/>
  <c r="AB59" i="151"/>
  <c r="AB67" i="120"/>
  <c r="AB67" i="152"/>
  <c r="AA67" i="126"/>
  <c r="AB67" i="126"/>
  <c r="AA67" i="147"/>
  <c r="AB67" i="147"/>
  <c r="AA67" i="117"/>
  <c r="AB67" i="117"/>
  <c r="AC67" i="80"/>
  <c r="AA36" i="153"/>
  <c r="AB36" i="153"/>
  <c r="AC36" i="76"/>
  <c r="AA36" i="151"/>
  <c r="AB36" i="151"/>
  <c r="AA36" i="116"/>
  <c r="AB36" i="116"/>
  <c r="AB36" i="128"/>
  <c r="AB36" i="131"/>
  <c r="AB36" i="147"/>
  <c r="AD36" i="113"/>
  <c r="AF36" i="113"/>
  <c r="AA28" i="131"/>
  <c r="AB28" i="131"/>
  <c r="AA28" i="153"/>
  <c r="AB28" i="153"/>
  <c r="AC28" i="76"/>
  <c r="AA28" i="144"/>
  <c r="AB28" i="144"/>
  <c r="AA28" i="127"/>
  <c r="AB28" i="127"/>
  <c r="AA28" i="120"/>
  <c r="AB28" i="120"/>
  <c r="AB26" i="128"/>
  <c r="AA26" i="153"/>
  <c r="AB26" i="153"/>
  <c r="AA26" i="144"/>
  <c r="AB26" i="144"/>
  <c r="AA26" i="119"/>
  <c r="AB26" i="119"/>
  <c r="AA26" i="148"/>
  <c r="AB26" i="148"/>
  <c r="AA26" i="127"/>
  <c r="AB26" i="127"/>
  <c r="AB26" i="80"/>
  <c r="AC26" i="80"/>
  <c r="AA26" i="131"/>
  <c r="AB26" i="131"/>
  <c r="AB10" i="120"/>
  <c r="AA10" i="148"/>
  <c r="AB10" i="148"/>
  <c r="AB10" i="126"/>
  <c r="AC10" i="80"/>
  <c r="AB10" i="145"/>
  <c r="AB10" i="128"/>
  <c r="AA10" i="146"/>
  <c r="AB10" i="146"/>
  <c r="AB10" i="151"/>
  <c r="Z42" i="119"/>
  <c r="V42" i="119"/>
  <c r="X42" i="119"/>
  <c r="V42" i="152"/>
  <c r="Z42" i="152"/>
  <c r="X42" i="152"/>
  <c r="Z42" i="128"/>
  <c r="V42" i="128"/>
  <c r="X42" i="128"/>
  <c r="AA42" i="128"/>
  <c r="Z42" i="118"/>
  <c r="V42" i="118"/>
  <c r="X42" i="118"/>
  <c r="X42" i="146"/>
  <c r="Z42" i="146"/>
  <c r="V42" i="146"/>
  <c r="V42" i="127"/>
  <c r="Z42" i="127"/>
  <c r="X42" i="127"/>
  <c r="Z42" i="149"/>
  <c r="X42" i="149"/>
  <c r="V42" i="149"/>
  <c r="Z42" i="116"/>
  <c r="V42" i="116"/>
  <c r="X42" i="116"/>
  <c r="Z42" i="144"/>
  <c r="X42" i="144"/>
  <c r="V42" i="144"/>
  <c r="V42" i="129"/>
  <c r="Z42" i="129"/>
  <c r="X42" i="129"/>
  <c r="V42" i="126"/>
  <c r="Z42" i="126"/>
  <c r="X42" i="126"/>
  <c r="AA42" i="126"/>
  <c r="AB42" i="126"/>
  <c r="AJ15" i="46"/>
  <c r="E12" i="100"/>
  <c r="AA65" i="129"/>
  <c r="AB65" i="129"/>
  <c r="AA65" i="146"/>
  <c r="AB65" i="146"/>
  <c r="AB65" i="125"/>
  <c r="AB65" i="76"/>
  <c r="AC65" i="76"/>
  <c r="AB17" i="153"/>
  <c r="AA17" i="127"/>
  <c r="AB17" i="127"/>
  <c r="AA17" i="146"/>
  <c r="AB17" i="146"/>
  <c r="AA17" i="126"/>
  <c r="AB17" i="126"/>
  <c r="AD17" i="113"/>
  <c r="AF17" i="113"/>
  <c r="AB61" i="129"/>
  <c r="AB61" i="145"/>
  <c r="AB61" i="76"/>
  <c r="AC61" i="76"/>
  <c r="AA61" i="117"/>
  <c r="AB61" i="117"/>
  <c r="AB61" i="151"/>
  <c r="AB61" i="118"/>
  <c r="AA27" i="144"/>
  <c r="AB27" i="144"/>
  <c r="AA27" i="127"/>
  <c r="AB27" i="127"/>
  <c r="AA27" i="146"/>
  <c r="AB27" i="146"/>
  <c r="AA27" i="145"/>
  <c r="AB27" i="145"/>
  <c r="AC27" i="76"/>
  <c r="AB27" i="148"/>
  <c r="AB69" i="126"/>
  <c r="AA69" i="147"/>
  <c r="AB69" i="147"/>
  <c r="AA69" i="148"/>
  <c r="AB69" i="148"/>
  <c r="AB69" i="117"/>
  <c r="AB54" i="127"/>
  <c r="AA54" i="153"/>
  <c r="AB54" i="153"/>
  <c r="AB54" i="131"/>
  <c r="AB54" i="129"/>
  <c r="AB54" i="147"/>
  <c r="AB54" i="118"/>
  <c r="AB55" i="145"/>
  <c r="AA55" i="149"/>
  <c r="AB55" i="149"/>
  <c r="AA55" i="116"/>
  <c r="AB55" i="116"/>
  <c r="AA55" i="126"/>
  <c r="AB55" i="126"/>
  <c r="AA55" i="152"/>
  <c r="AB55" i="152"/>
  <c r="AA55" i="117"/>
  <c r="AB55" i="117"/>
  <c r="AB55" i="129"/>
  <c r="AB55" i="146"/>
  <c r="AB46" i="125"/>
  <c r="AA46" i="151"/>
  <c r="AB46" i="151"/>
  <c r="AB46" i="117"/>
  <c r="AB46" i="128"/>
  <c r="AB46" i="120"/>
  <c r="AB46" i="146"/>
  <c r="AB46" i="118"/>
  <c r="AJ12" i="46"/>
  <c r="AI12" i="46"/>
  <c r="AI17" i="46"/>
  <c r="AK35" i="72"/>
  <c r="G35" i="100"/>
  <c r="AD38" i="113"/>
  <c r="AF38" i="113"/>
  <c r="Z38" i="148"/>
  <c r="V38" i="148"/>
  <c r="X38" i="148"/>
  <c r="AA38" i="148"/>
  <c r="AA38" i="76"/>
  <c r="W38" i="76"/>
  <c r="Y38" i="76"/>
  <c r="Z38" i="129"/>
  <c r="V38" i="129"/>
  <c r="X38" i="129"/>
  <c r="V38" i="149"/>
  <c r="Z38" i="149"/>
  <c r="X38" i="149"/>
  <c r="AA38" i="149"/>
  <c r="AB38" i="149"/>
  <c r="Z38" i="128"/>
  <c r="V38" i="128"/>
  <c r="X38" i="128"/>
  <c r="AA38" i="128"/>
  <c r="V38" i="126"/>
  <c r="Z38" i="126"/>
  <c r="X38" i="126"/>
  <c r="AA38" i="126"/>
  <c r="AB38" i="126"/>
  <c r="V38" i="151"/>
  <c r="Z38" i="151"/>
  <c r="X38" i="151"/>
  <c r="AA38" i="151"/>
  <c r="AB38" i="151"/>
  <c r="Z38" i="131"/>
  <c r="V38" i="131"/>
  <c r="X38" i="131"/>
  <c r="AA38" i="131"/>
  <c r="Z38" i="119"/>
  <c r="V38" i="119"/>
  <c r="X38" i="119"/>
  <c r="Z38" i="153"/>
  <c r="X38" i="153"/>
  <c r="AA38" i="153"/>
  <c r="V38" i="153"/>
  <c r="AB38" i="153"/>
  <c r="V23" i="116"/>
  <c r="Z23" i="116"/>
  <c r="X23" i="116"/>
  <c r="AA23" i="116"/>
  <c r="AB23" i="116"/>
  <c r="Z23" i="128"/>
  <c r="V23" i="128"/>
  <c r="X23" i="128"/>
  <c r="V23" i="147"/>
  <c r="Z23" i="147"/>
  <c r="X23" i="147"/>
  <c r="V23" i="149"/>
  <c r="X23" i="149"/>
  <c r="Z23" i="149"/>
  <c r="V23" i="126"/>
  <c r="Z23" i="126"/>
  <c r="X23" i="126"/>
  <c r="AA23" i="126"/>
  <c r="AB23" i="126"/>
  <c r="V23" i="129"/>
  <c r="Z23" i="129"/>
  <c r="X23" i="129"/>
  <c r="W23" i="80"/>
  <c r="AA23" i="80"/>
  <c r="Y23" i="80"/>
  <c r="AB23" i="80"/>
  <c r="AC23" i="80"/>
  <c r="Z23" i="144"/>
  <c r="X23" i="144"/>
  <c r="AA23" i="144"/>
  <c r="V23" i="144"/>
  <c r="Z23" i="120"/>
  <c r="V23" i="120"/>
  <c r="X23" i="120"/>
  <c r="G49" i="100"/>
  <c r="AD52" i="113"/>
  <c r="AF52" i="113"/>
  <c r="AK49" i="72"/>
  <c r="Z52" i="152"/>
  <c r="X52" i="152"/>
  <c r="V52" i="152"/>
  <c r="V52" i="119"/>
  <c r="Z52" i="119"/>
  <c r="X52" i="119"/>
  <c r="Z52" i="131"/>
  <c r="V52" i="131"/>
  <c r="X52" i="131"/>
  <c r="Z52" i="146"/>
  <c r="X52" i="146"/>
  <c r="AA52" i="146"/>
  <c r="V52" i="146"/>
  <c r="AB52" i="146"/>
  <c r="V52" i="128"/>
  <c r="Z52" i="128"/>
  <c r="X52" i="128"/>
  <c r="AA52" i="128"/>
  <c r="AB52" i="128"/>
  <c r="V52" i="126"/>
  <c r="Z52" i="126"/>
  <c r="X52" i="126"/>
  <c r="V52" i="144"/>
  <c r="Z52" i="144"/>
  <c r="X52" i="144"/>
  <c r="AA52" i="144"/>
  <c r="AB52" i="144"/>
  <c r="V52" i="153"/>
  <c r="Z52" i="153"/>
  <c r="X52" i="153"/>
  <c r="W52" i="76"/>
  <c r="AA52" i="76"/>
  <c r="Y52" i="76"/>
  <c r="AB52" i="76"/>
  <c r="AC52" i="76"/>
  <c r="V52" i="129"/>
  <c r="Z52" i="129"/>
  <c r="X52" i="129"/>
  <c r="Z52" i="145"/>
  <c r="X52" i="145"/>
  <c r="V52" i="145"/>
  <c r="V8" i="148"/>
  <c r="Z8" i="148"/>
  <c r="X8" i="148"/>
  <c r="Z8" i="118"/>
  <c r="V8" i="118"/>
  <c r="X8" i="118"/>
  <c r="X8" i="144"/>
  <c r="V8" i="144"/>
  <c r="Z8" i="144"/>
  <c r="W8" i="76"/>
  <c r="AA8" i="76"/>
  <c r="Y8" i="76"/>
  <c r="AB8" i="76"/>
  <c r="AC8" i="76"/>
  <c r="Z8" i="147"/>
  <c r="X8" i="147"/>
  <c r="V8" i="147"/>
  <c r="Z8" i="127"/>
  <c r="V8" i="127"/>
  <c r="X8" i="127"/>
  <c r="AA8" i="127"/>
  <c r="V8" i="126"/>
  <c r="Z8" i="126"/>
  <c r="X8" i="126"/>
  <c r="AA8" i="126"/>
  <c r="AB8" i="126"/>
  <c r="X8" i="149"/>
  <c r="V8" i="149"/>
  <c r="Z8" i="149"/>
  <c r="X8" i="145"/>
  <c r="V8" i="145"/>
  <c r="Z8" i="145"/>
  <c r="V8" i="153"/>
  <c r="Z8" i="153"/>
  <c r="X8" i="153"/>
  <c r="W8" i="80"/>
  <c r="AA8" i="80"/>
  <c r="Y8" i="80"/>
  <c r="AB8" i="80"/>
  <c r="AC8" i="80"/>
  <c r="Z20" i="131"/>
  <c r="V20" i="131"/>
  <c r="X20" i="131"/>
  <c r="X20" i="149"/>
  <c r="V20" i="149"/>
  <c r="Z20" i="149"/>
  <c r="Z20" i="117"/>
  <c r="V20" i="117"/>
  <c r="X20" i="117"/>
  <c r="AA20" i="117"/>
  <c r="Z20" i="128"/>
  <c r="V20" i="128"/>
  <c r="X20" i="128"/>
  <c r="AA20" i="128"/>
  <c r="AB20" i="128"/>
  <c r="Z20" i="129"/>
  <c r="V20" i="129"/>
  <c r="X20" i="129"/>
  <c r="X20" i="145"/>
  <c r="Z20" i="145"/>
  <c r="V20" i="145"/>
  <c r="W20" i="76"/>
  <c r="AA20" i="76"/>
  <c r="Y20" i="76"/>
  <c r="V20" i="118"/>
  <c r="Z20" i="118"/>
  <c r="X20" i="118"/>
  <c r="AA20" i="118"/>
  <c r="AB20" i="118"/>
  <c r="Z20" i="144"/>
  <c r="V20" i="144"/>
  <c r="X20" i="144"/>
  <c r="Z20" i="148"/>
  <c r="X20" i="148"/>
  <c r="V20" i="148"/>
  <c r="V20" i="120"/>
  <c r="Z20" i="120"/>
  <c r="X20" i="120"/>
  <c r="AA20" i="120"/>
  <c r="AB20" i="120"/>
  <c r="V43" i="118"/>
  <c r="Z43" i="118"/>
  <c r="X43" i="118"/>
  <c r="AA43" i="118"/>
  <c r="AB43" i="118"/>
  <c r="V43" i="120"/>
  <c r="Z43" i="120"/>
  <c r="X43" i="120"/>
  <c r="V43" i="149"/>
  <c r="Z43" i="149"/>
  <c r="X43" i="149"/>
  <c r="Z43" i="129"/>
  <c r="V43" i="129"/>
  <c r="X43" i="129"/>
  <c r="AA43" i="129"/>
  <c r="W43" i="80"/>
  <c r="AA43" i="80"/>
  <c r="Y43" i="80"/>
  <c r="Z43" i="128"/>
  <c r="V43" i="128"/>
  <c r="X43" i="128"/>
  <c r="X43" i="144"/>
  <c r="V43" i="144"/>
  <c r="Z43" i="144"/>
  <c r="Z43" i="116"/>
  <c r="V43" i="116"/>
  <c r="X43" i="116"/>
  <c r="AA43" i="116"/>
  <c r="AB43" i="116"/>
  <c r="Z43" i="117"/>
  <c r="V43" i="117"/>
  <c r="X43" i="117"/>
  <c r="X43" i="145"/>
  <c r="Z43" i="145"/>
  <c r="V43" i="145"/>
  <c r="Z43" i="146"/>
  <c r="X43" i="146"/>
  <c r="AA43" i="146"/>
  <c r="V43" i="146"/>
  <c r="V12" i="131"/>
  <c r="Z12" i="131"/>
  <c r="X12" i="131"/>
  <c r="AA12" i="131"/>
  <c r="AB12" i="131"/>
  <c r="Z12" i="145"/>
  <c r="X12" i="145"/>
  <c r="V12" i="145"/>
  <c r="V12" i="117"/>
  <c r="Z12" i="117"/>
  <c r="X12" i="117"/>
  <c r="W12" i="76"/>
  <c r="AA12" i="76"/>
  <c r="Y12" i="76"/>
  <c r="V12" i="127"/>
  <c r="Z12" i="127"/>
  <c r="X12" i="127"/>
  <c r="AA12" i="127"/>
  <c r="AB12" i="127"/>
  <c r="X12" i="149"/>
  <c r="V12" i="149"/>
  <c r="Z12" i="149"/>
  <c r="Z12" i="129"/>
  <c r="V12" i="129"/>
  <c r="X12" i="129"/>
  <c r="Z12" i="128"/>
  <c r="V12" i="128"/>
  <c r="X12" i="128"/>
  <c r="AA12" i="128"/>
  <c r="X12" i="144"/>
  <c r="Z12" i="144"/>
  <c r="V12" i="144"/>
  <c r="X12" i="148"/>
  <c r="V12" i="148"/>
  <c r="Z12" i="148"/>
  <c r="Z12" i="118"/>
  <c r="V12" i="118"/>
  <c r="X12" i="118"/>
  <c r="AA12" i="118"/>
  <c r="Z58" i="117"/>
  <c r="V58" i="117"/>
  <c r="X58" i="117"/>
  <c r="AA58" i="117"/>
  <c r="V58" i="126"/>
  <c r="Z58" i="126"/>
  <c r="X58" i="126"/>
  <c r="AA58" i="126"/>
  <c r="AB58" i="126"/>
  <c r="Z58" i="147"/>
  <c r="X58" i="147"/>
  <c r="V58" i="147"/>
  <c r="AA58" i="80"/>
  <c r="W58" i="80"/>
  <c r="Y58" i="80"/>
  <c r="V58" i="131"/>
  <c r="Z58" i="131"/>
  <c r="X58" i="131"/>
  <c r="AA58" i="131"/>
  <c r="AB58" i="131"/>
  <c r="W58" i="76"/>
  <c r="AA58" i="76"/>
  <c r="Y58" i="76"/>
  <c r="V58" i="153"/>
  <c r="Z58" i="153"/>
  <c r="X58" i="153"/>
  <c r="V58" i="116"/>
  <c r="Z58" i="116"/>
  <c r="X58" i="116"/>
  <c r="Z58" i="129"/>
  <c r="V58" i="129"/>
  <c r="X58" i="129"/>
  <c r="AA58" i="129"/>
  <c r="AB58" i="129"/>
  <c r="V58" i="149"/>
  <c r="Z58" i="149"/>
  <c r="X58" i="149"/>
  <c r="V40" i="119"/>
  <c r="Z40" i="119"/>
  <c r="X40" i="119"/>
  <c r="Z40" i="145"/>
  <c r="X40" i="145"/>
  <c r="V40" i="145"/>
  <c r="Z40" i="118"/>
  <c r="V40" i="118"/>
  <c r="X40" i="118"/>
  <c r="W40" i="76"/>
  <c r="AA40" i="76"/>
  <c r="Y40" i="76"/>
  <c r="V40" i="127"/>
  <c r="Z40" i="127"/>
  <c r="X40" i="127"/>
  <c r="V40" i="149"/>
  <c r="X40" i="149"/>
  <c r="Z40" i="149"/>
  <c r="W40" i="80"/>
  <c r="AA40" i="80"/>
  <c r="Y40" i="80"/>
  <c r="V40" i="125"/>
  <c r="Z40" i="125"/>
  <c r="X40" i="125"/>
  <c r="X40" i="144"/>
  <c r="V40" i="144"/>
  <c r="Z40" i="144"/>
  <c r="X40" i="152"/>
  <c r="V40" i="152"/>
  <c r="Z40" i="152"/>
  <c r="Z40" i="129"/>
  <c r="V40" i="129"/>
  <c r="X40" i="129"/>
  <c r="Z14" i="127"/>
  <c r="V14" i="127"/>
  <c r="X14" i="127"/>
  <c r="V14" i="117"/>
  <c r="Z14" i="117"/>
  <c r="X14" i="117"/>
  <c r="X14" i="151"/>
  <c r="V14" i="151"/>
  <c r="Z14" i="151"/>
  <c r="Z14" i="128"/>
  <c r="V14" i="128"/>
  <c r="X14" i="128"/>
  <c r="V14" i="118"/>
  <c r="Z14" i="118"/>
  <c r="X14" i="118"/>
  <c r="W14" i="80"/>
  <c r="AA14" i="80"/>
  <c r="Y14" i="80"/>
  <c r="AB14" i="80"/>
  <c r="AC14" i="80"/>
  <c r="V14" i="152"/>
  <c r="Z14" i="152"/>
  <c r="X14" i="152"/>
  <c r="V14" i="120"/>
  <c r="Z14" i="120"/>
  <c r="X14" i="120"/>
  <c r="Z14" i="116"/>
  <c r="V14" i="116"/>
  <c r="X14" i="116"/>
  <c r="AA14" i="116"/>
  <c r="X14" i="144"/>
  <c r="Z14" i="144"/>
  <c r="AA14" i="144"/>
  <c r="V14" i="144"/>
  <c r="X14" i="146"/>
  <c r="V14" i="146"/>
  <c r="Z14" i="146"/>
  <c r="V47" i="127"/>
  <c r="Z47" i="127"/>
  <c r="X47" i="127"/>
  <c r="V47" i="151"/>
  <c r="Z47" i="151"/>
  <c r="X47" i="151"/>
  <c r="V47" i="116"/>
  <c r="Z47" i="116"/>
  <c r="X47" i="116"/>
  <c r="AA47" i="116"/>
  <c r="AB47" i="116"/>
  <c r="AA47" i="80"/>
  <c r="W47" i="80"/>
  <c r="Y47" i="80"/>
  <c r="W47" i="76"/>
  <c r="AA47" i="76"/>
  <c r="Y47" i="76"/>
  <c r="Z47" i="145"/>
  <c r="X47" i="145"/>
  <c r="AA47" i="145"/>
  <c r="V47" i="145"/>
  <c r="AB47" i="145"/>
  <c r="V47" i="129"/>
  <c r="Z47" i="129"/>
  <c r="X47" i="129"/>
  <c r="AA47" i="129"/>
  <c r="AB47" i="129"/>
  <c r="V47" i="131"/>
  <c r="Z47" i="131"/>
  <c r="X47" i="131"/>
  <c r="X47" i="147"/>
  <c r="V47" i="147"/>
  <c r="Z47" i="147"/>
  <c r="V47" i="117"/>
  <c r="Z47" i="117"/>
  <c r="X47" i="117"/>
  <c r="V47" i="126"/>
  <c r="Z47" i="126"/>
  <c r="X47" i="126"/>
  <c r="Z63" i="116"/>
  <c r="V63" i="116"/>
  <c r="X63" i="116"/>
  <c r="Z63" i="120"/>
  <c r="V63" i="120"/>
  <c r="X63" i="120"/>
  <c r="X63" i="149"/>
  <c r="V63" i="149"/>
  <c r="Z63" i="149"/>
  <c r="W63" i="76"/>
  <c r="AA63" i="76"/>
  <c r="Y63" i="76"/>
  <c r="AB63" i="76"/>
  <c r="AC63" i="76"/>
  <c r="V63" i="128"/>
  <c r="Z63" i="128"/>
  <c r="X63" i="128"/>
  <c r="AA63" i="80"/>
  <c r="W63" i="80"/>
  <c r="Y63" i="80"/>
  <c r="AB63" i="80"/>
  <c r="Z63" i="144"/>
  <c r="X63" i="144"/>
  <c r="V63" i="144"/>
  <c r="V63" i="119"/>
  <c r="Z63" i="119"/>
  <c r="X63" i="119"/>
  <c r="V63" i="131"/>
  <c r="Z63" i="131"/>
  <c r="X63" i="131"/>
  <c r="Z63" i="117"/>
  <c r="V63" i="117"/>
  <c r="X63" i="117"/>
  <c r="AA63" i="117"/>
  <c r="Z63" i="146"/>
  <c r="X63" i="146"/>
  <c r="V63" i="146"/>
  <c r="AA51" i="80"/>
  <c r="W51" i="80"/>
  <c r="Y51" i="80"/>
  <c r="X51" i="151"/>
  <c r="V51" i="151"/>
  <c r="Z51" i="151"/>
  <c r="Z51" i="120"/>
  <c r="V51" i="120"/>
  <c r="X51" i="120"/>
  <c r="AA51" i="120"/>
  <c r="V51" i="125"/>
  <c r="Z51" i="125"/>
  <c r="X51" i="125"/>
  <c r="AA51" i="125"/>
  <c r="AB51" i="125"/>
  <c r="Z51" i="118"/>
  <c r="V51" i="118"/>
  <c r="X51" i="118"/>
  <c r="X51" i="145"/>
  <c r="V51" i="145"/>
  <c r="Z51" i="145"/>
  <c r="Z51" i="131"/>
  <c r="V51" i="131"/>
  <c r="X51" i="131"/>
  <c r="AA51" i="131"/>
  <c r="AA51" i="76"/>
  <c r="W51" i="76"/>
  <c r="Y51" i="76"/>
  <c r="AB51" i="76"/>
  <c r="AC51" i="76"/>
  <c r="Z51" i="146"/>
  <c r="X51" i="146"/>
  <c r="V51" i="146"/>
  <c r="V51" i="117"/>
  <c r="Z51" i="117"/>
  <c r="X51" i="117"/>
  <c r="Z51" i="126"/>
  <c r="V51" i="126"/>
  <c r="X51" i="126"/>
  <c r="AA51" i="126"/>
  <c r="AB51" i="126"/>
  <c r="V75" i="131"/>
  <c r="Z75" i="131"/>
  <c r="X75" i="131"/>
  <c r="V75" i="145"/>
  <c r="Z75" i="145"/>
  <c r="X75" i="145"/>
  <c r="W75" i="76"/>
  <c r="AA75" i="76"/>
  <c r="Y75" i="76"/>
  <c r="AB75" i="76"/>
  <c r="AC75" i="76"/>
  <c r="Z75" i="149"/>
  <c r="V75" i="149"/>
  <c r="X75" i="149"/>
  <c r="V75" i="126"/>
  <c r="Z75" i="126"/>
  <c r="X75" i="126"/>
  <c r="Z75" i="152"/>
  <c r="X75" i="152"/>
  <c r="AA75" i="152"/>
  <c r="V75" i="152"/>
  <c r="V75" i="118"/>
  <c r="Z75" i="118"/>
  <c r="X75" i="118"/>
  <c r="AA75" i="118"/>
  <c r="AB75" i="118"/>
  <c r="X75" i="153"/>
  <c r="V75" i="153"/>
  <c r="Z75" i="153"/>
  <c r="V75" i="125"/>
  <c r="Z75" i="125"/>
  <c r="X75" i="125"/>
  <c r="V75" i="127"/>
  <c r="Z75" i="127"/>
  <c r="X75" i="127"/>
  <c r="AA75" i="127"/>
  <c r="AB75" i="127"/>
  <c r="X75" i="144"/>
  <c r="V75" i="144"/>
  <c r="Z75" i="144"/>
  <c r="AB29" i="151"/>
  <c r="AB29" i="147"/>
  <c r="AB29" i="128"/>
  <c r="AA29" i="152"/>
  <c r="AB29" i="152"/>
  <c r="AA29" i="144"/>
  <c r="AB29" i="144"/>
  <c r="AA29" i="149"/>
  <c r="AB29" i="149"/>
  <c r="AB31" i="116"/>
  <c r="AA31" i="153"/>
  <c r="AB31" i="153"/>
  <c r="AA31" i="131"/>
  <c r="AB31" i="131"/>
  <c r="AA31" i="148"/>
  <c r="AB31" i="148"/>
  <c r="AA31" i="129"/>
  <c r="AB31" i="129"/>
  <c r="AA31" i="151"/>
  <c r="AB31" i="151"/>
  <c r="AB31" i="120"/>
  <c r="AB22" i="76"/>
  <c r="AC22" i="76"/>
  <c r="AA22" i="131"/>
  <c r="AB22" i="131"/>
  <c r="AA22" i="152"/>
  <c r="AB22" i="152"/>
  <c r="AA22" i="145"/>
  <c r="AB22" i="145"/>
  <c r="AA22" i="151"/>
  <c r="AB22" i="151"/>
  <c r="AB22" i="147"/>
  <c r="AA64" i="153"/>
  <c r="AB64" i="153"/>
  <c r="AB64" i="145"/>
  <c r="AA64" i="146"/>
  <c r="AB64" i="146"/>
  <c r="AA64" i="127"/>
  <c r="AB64" i="127"/>
  <c r="AA64" i="149"/>
  <c r="AB64" i="149"/>
  <c r="AA64" i="151"/>
  <c r="AB64" i="151"/>
  <c r="AA64" i="144"/>
  <c r="AB64" i="144"/>
  <c r="AB64" i="80"/>
  <c r="AC64" i="80"/>
  <c r="AA30" i="131"/>
  <c r="AB30" i="131"/>
  <c r="AB30" i="153"/>
  <c r="AA30" i="149"/>
  <c r="AB30" i="149"/>
  <c r="AB30" i="119"/>
  <c r="AB30" i="120"/>
  <c r="AA30" i="148"/>
  <c r="AB30" i="148"/>
  <c r="V71" i="127"/>
  <c r="Z71" i="127"/>
  <c r="X71" i="127"/>
  <c r="Z71" i="144"/>
  <c r="X71" i="144"/>
  <c r="V71" i="144"/>
  <c r="W71" i="76"/>
  <c r="AA71" i="76"/>
  <c r="Y71" i="76"/>
  <c r="Z71" i="153"/>
  <c r="X71" i="153"/>
  <c r="V71" i="153"/>
  <c r="Z71" i="125"/>
  <c r="V71" i="125"/>
  <c r="X71" i="125"/>
  <c r="Z71" i="147"/>
  <c r="X71" i="147"/>
  <c r="V71" i="147"/>
  <c r="AA71" i="80"/>
  <c r="W71" i="80"/>
  <c r="Y71" i="80"/>
  <c r="AB71" i="80"/>
  <c r="X71" i="151"/>
  <c r="Z71" i="151"/>
  <c r="AA71" i="151"/>
  <c r="V71" i="151"/>
  <c r="AB71" i="151"/>
  <c r="X71" i="145"/>
  <c r="V71" i="145"/>
  <c r="Z71" i="145"/>
  <c r="V71" i="131"/>
  <c r="Z71" i="131"/>
  <c r="X71" i="131"/>
  <c r="Z71" i="119"/>
  <c r="V71" i="119"/>
  <c r="X71" i="119"/>
  <c r="AA71" i="119"/>
  <c r="X71" i="148"/>
  <c r="Z71" i="148"/>
  <c r="AA71" i="148"/>
  <c r="V71" i="148"/>
  <c r="X71" i="152"/>
  <c r="V71" i="152"/>
  <c r="Z71" i="152"/>
  <c r="AC50" i="76"/>
  <c r="AB50" i="126"/>
  <c r="AB50" i="117"/>
  <c r="AB50" i="152"/>
  <c r="AA50" i="147"/>
  <c r="AB50" i="147"/>
  <c r="AA70" i="131"/>
  <c r="AB70" i="131"/>
  <c r="AA70" i="146"/>
  <c r="AB70" i="146"/>
  <c r="AA70" i="119"/>
  <c r="AB70" i="119"/>
  <c r="AC70" i="76"/>
  <c r="AB70" i="151"/>
  <c r="AA70" i="125"/>
  <c r="AB70" i="125"/>
  <c r="AB70" i="127"/>
  <c r="AA70" i="145"/>
  <c r="AB70" i="145"/>
  <c r="AA56" i="149"/>
  <c r="AB56" i="149"/>
  <c r="AB56" i="116"/>
  <c r="AA56" i="153"/>
  <c r="AB56" i="153"/>
  <c r="AB56" i="80"/>
  <c r="AC56" i="80"/>
  <c r="AA56" i="127"/>
  <c r="AB56" i="127"/>
  <c r="AA56" i="117"/>
  <c r="AB56" i="117"/>
  <c r="AD56" i="113"/>
  <c r="AF56" i="113"/>
  <c r="AB9" i="76"/>
  <c r="AC9" i="76"/>
  <c r="AB9" i="147"/>
  <c r="AA9" i="146"/>
  <c r="AB9" i="146"/>
  <c r="AA9" i="153"/>
  <c r="AB9" i="153"/>
  <c r="AA9" i="128"/>
  <c r="AB9" i="128"/>
  <c r="AA9" i="152"/>
  <c r="AB9" i="152"/>
  <c r="AA45" i="119"/>
  <c r="AB45" i="119"/>
  <c r="AA45" i="147"/>
  <c r="AB45" i="147"/>
  <c r="AA45" i="149"/>
  <c r="AB45" i="149"/>
  <c r="AA45" i="129"/>
  <c r="AB45" i="129"/>
  <c r="AH45" i="113"/>
  <c r="AI45" i="113"/>
  <c r="G42" i="72"/>
  <c r="AJ45" i="113"/>
  <c r="AB53" i="152"/>
  <c r="AB53" i="147"/>
  <c r="AC53" i="80"/>
  <c r="AA53" i="151"/>
  <c r="AB53" i="151"/>
  <c r="AA53" i="126"/>
  <c r="AB53" i="126"/>
  <c r="AB53" i="145"/>
  <c r="AA19" i="151"/>
  <c r="AB19" i="151"/>
  <c r="AA19" i="117"/>
  <c r="AB19" i="117"/>
  <c r="AB19" i="129"/>
  <c r="AB19" i="149"/>
  <c r="AA19" i="145"/>
  <c r="AB19" i="145"/>
  <c r="AA19" i="152"/>
  <c r="AB19" i="152"/>
  <c r="AA19" i="148"/>
  <c r="AB19" i="148"/>
  <c r="AA41" i="120"/>
  <c r="AB41" i="120"/>
  <c r="AB41" i="146"/>
  <c r="AA41" i="149"/>
  <c r="AB41" i="149"/>
  <c r="AC41" i="76"/>
  <c r="AB41" i="153"/>
  <c r="AA41" i="126"/>
  <c r="AB41" i="126"/>
  <c r="AB41" i="128"/>
  <c r="AB13" i="151"/>
  <c r="AB13" i="128"/>
  <c r="AB13" i="127"/>
  <c r="AA13" i="153"/>
  <c r="AB13" i="153"/>
  <c r="AA13" i="148"/>
  <c r="AB13" i="148"/>
  <c r="AA13" i="145"/>
  <c r="AB13" i="145"/>
  <c r="AB74" i="119"/>
  <c r="AA74" i="153"/>
  <c r="AB74" i="153"/>
  <c r="AA74" i="131"/>
  <c r="AB74" i="131"/>
  <c r="AB74" i="129"/>
  <c r="AB74" i="145"/>
  <c r="AA74" i="117"/>
  <c r="AB74" i="117"/>
  <c r="AA49" i="151"/>
  <c r="AB49" i="151"/>
  <c r="AA49" i="120"/>
  <c r="AB49" i="120"/>
  <c r="AB49" i="145"/>
  <c r="AA49" i="144"/>
  <c r="AB49" i="144"/>
  <c r="AA49" i="152"/>
  <c r="AB49" i="152"/>
  <c r="AA49" i="147"/>
  <c r="AB49" i="147"/>
  <c r="AC16" i="76"/>
  <c r="AA16" i="151"/>
  <c r="AB16" i="151"/>
  <c r="AA16" i="149"/>
  <c r="AB16" i="149"/>
  <c r="AB16" i="145"/>
  <c r="AA16" i="131"/>
  <c r="AB16" i="131"/>
  <c r="AB16" i="118"/>
  <c r="AA16" i="127"/>
  <c r="AB16" i="127"/>
  <c r="AA60" i="119"/>
  <c r="AB60" i="119"/>
  <c r="AB60" i="120"/>
  <c r="AA60" i="145"/>
  <c r="AB60" i="145"/>
  <c r="AB60" i="149"/>
  <c r="AA60" i="152"/>
  <c r="AB60" i="152"/>
  <c r="AA60" i="129"/>
  <c r="AB60" i="129"/>
  <c r="AD60" i="113"/>
  <c r="AF60" i="113"/>
  <c r="AB68" i="125"/>
  <c r="AB68" i="153"/>
  <c r="AB68" i="76"/>
  <c r="AC68" i="76"/>
  <c r="AB68" i="116"/>
  <c r="AB18" i="147"/>
  <c r="AC18" i="80"/>
  <c r="AB18" i="116"/>
  <c r="AA18" i="153"/>
  <c r="AB18" i="153"/>
  <c r="AA18" i="144"/>
  <c r="AB18" i="144"/>
  <c r="AA18" i="119"/>
  <c r="AB18" i="119"/>
  <c r="AA18" i="120"/>
  <c r="AB18" i="120"/>
  <c r="AB21" i="129"/>
  <c r="AB21" i="152"/>
  <c r="AB21" i="149"/>
  <c r="AB21" i="76"/>
  <c r="AC21" i="76"/>
  <c r="AB21" i="116"/>
  <c r="AB21" i="118"/>
  <c r="AA21" i="144"/>
  <c r="AB21" i="144"/>
  <c r="AA21" i="131"/>
  <c r="AB21" i="131"/>
  <c r="AA66" i="153"/>
  <c r="AB66" i="153"/>
  <c r="AC66" i="76"/>
  <c r="AB66" i="117"/>
  <c r="AA66" i="148"/>
  <c r="AB66" i="148"/>
  <c r="AA66" i="118"/>
  <c r="AB66" i="118"/>
  <c r="AA66" i="152"/>
  <c r="AB66" i="152"/>
  <c r="AA66" i="145"/>
  <c r="AB66" i="145"/>
  <c r="AD66" i="113"/>
  <c r="AF66" i="113"/>
  <c r="AB34" i="151"/>
  <c r="AB34" i="127"/>
  <c r="AC34" i="76"/>
  <c r="AA34" i="153"/>
  <c r="AB34" i="153"/>
  <c r="AA62" i="151"/>
  <c r="AB62" i="151"/>
  <c r="AA62" i="129"/>
  <c r="AB62" i="129"/>
  <c r="AA62" i="153"/>
  <c r="AB62" i="153"/>
  <c r="AA62" i="145"/>
  <c r="AB62" i="145"/>
  <c r="AA62" i="146"/>
  <c r="AB62" i="146"/>
  <c r="AB62" i="152"/>
  <c r="AD62" i="113"/>
  <c r="AF62" i="113"/>
  <c r="AB24" i="128"/>
  <c r="AA24" i="119"/>
  <c r="AB24" i="119"/>
  <c r="AB24" i="118"/>
  <c r="AA24" i="144"/>
  <c r="AB24" i="144"/>
  <c r="AB39" i="144"/>
  <c r="AA39" i="127"/>
  <c r="AB39" i="127"/>
  <c r="AB39" i="146"/>
  <c r="AA39" i="153"/>
  <c r="AB39" i="153"/>
  <c r="AB39" i="148"/>
  <c r="AA39" i="151"/>
  <c r="AB39" i="151"/>
  <c r="AD39" i="113"/>
  <c r="AF39" i="113"/>
  <c r="AB73" i="126"/>
  <c r="AA73" i="125"/>
  <c r="AB73" i="125"/>
  <c r="AA73" i="151"/>
  <c r="AB73" i="151"/>
  <c r="AA73" i="144"/>
  <c r="AB73" i="144"/>
  <c r="AA73" i="129"/>
  <c r="AB73" i="129"/>
  <c r="AB73" i="147"/>
  <c r="AA32" i="153"/>
  <c r="AB32" i="153"/>
  <c r="AA32" i="145"/>
  <c r="AB32" i="145"/>
  <c r="AB32" i="127"/>
  <c r="AA32" i="147"/>
  <c r="AB32" i="147"/>
  <c r="AB32" i="129"/>
  <c r="AA32" i="148"/>
  <c r="AB32" i="148"/>
  <c r="AA32" i="125"/>
  <c r="AB32" i="125"/>
  <c r="AA32" i="151"/>
  <c r="AB32" i="151"/>
  <c r="AB32" i="120"/>
  <c r="AB59" i="144"/>
  <c r="AC59" i="76"/>
  <c r="AA59" i="152"/>
  <c r="AB59" i="152"/>
  <c r="AA59" i="117"/>
  <c r="AB59" i="117"/>
  <c r="AB59" i="125"/>
  <c r="AA59" i="145"/>
  <c r="AB59" i="145"/>
  <c r="AB59" i="129"/>
  <c r="AA59" i="148"/>
  <c r="AB59" i="148"/>
  <c r="AB67" i="149"/>
  <c r="AA67" i="131"/>
  <c r="AB67" i="131"/>
  <c r="AB67" i="146"/>
  <c r="AA67" i="148"/>
  <c r="AB67" i="148"/>
  <c r="AA67" i="119"/>
  <c r="AB67" i="119"/>
  <c r="AA67" i="145"/>
  <c r="AB67" i="145"/>
  <c r="AB67" i="76"/>
  <c r="AC67" i="76"/>
  <c r="AB67" i="127"/>
  <c r="AA67" i="116"/>
  <c r="AB67" i="116"/>
  <c r="AB36" i="118"/>
  <c r="AA36" i="145"/>
  <c r="AB36" i="145"/>
  <c r="AB36" i="152"/>
  <c r="AA36" i="146"/>
  <c r="AB36" i="146"/>
  <c r="AB28" i="146"/>
  <c r="AA28" i="149"/>
  <c r="AB28" i="149"/>
  <c r="AB28" i="145"/>
  <c r="AA28" i="151"/>
  <c r="AB28" i="151"/>
  <c r="AB28" i="148"/>
  <c r="AH28" i="113"/>
  <c r="AI28" i="113"/>
  <c r="G25" i="72"/>
  <c r="AJ28" i="113"/>
  <c r="Z57" i="146"/>
  <c r="X57" i="146"/>
  <c r="AA57" i="146"/>
  <c r="V57" i="146"/>
  <c r="AB57" i="146"/>
  <c r="Z57" i="120"/>
  <c r="V57" i="120"/>
  <c r="X57" i="120"/>
  <c r="Z57" i="151"/>
  <c r="X57" i="151"/>
  <c r="V57" i="151"/>
  <c r="V57" i="117"/>
  <c r="Z57" i="117"/>
  <c r="X57" i="117"/>
  <c r="V57" i="144"/>
  <c r="Z57" i="144"/>
  <c r="X57" i="144"/>
  <c r="V57" i="131"/>
  <c r="Z57" i="131"/>
  <c r="X57" i="131"/>
  <c r="AA57" i="131"/>
  <c r="AB57" i="131"/>
  <c r="V57" i="148"/>
  <c r="Z57" i="148"/>
  <c r="X57" i="148"/>
  <c r="Z57" i="126"/>
  <c r="V57" i="126"/>
  <c r="X57" i="126"/>
  <c r="AA57" i="126"/>
  <c r="V57" i="149"/>
  <c r="Z57" i="149"/>
  <c r="X57" i="149"/>
  <c r="Z57" i="128"/>
  <c r="V57" i="128"/>
  <c r="X57" i="128"/>
  <c r="AA57" i="128"/>
  <c r="AB57" i="128"/>
  <c r="Z57" i="118"/>
  <c r="V57" i="118"/>
  <c r="X57" i="118"/>
  <c r="AA57" i="118"/>
  <c r="AA26" i="126"/>
  <c r="AB26" i="126"/>
  <c r="AB26" i="147"/>
  <c r="AB26" i="129"/>
  <c r="AB26" i="152"/>
  <c r="AA26" i="118"/>
  <c r="AB26" i="118"/>
  <c r="AC10" i="76"/>
  <c r="AA10" i="117"/>
  <c r="AB10" i="117"/>
  <c r="AA10" i="144"/>
  <c r="AB10" i="144"/>
  <c r="AA10" i="153"/>
  <c r="AB10" i="153"/>
  <c r="AB10" i="149"/>
  <c r="AD10" i="113"/>
  <c r="AF10" i="113"/>
  <c r="AA65" i="144"/>
  <c r="AB65" i="144"/>
  <c r="AB65" i="118"/>
  <c r="AB65" i="119"/>
  <c r="AA65" i="152"/>
  <c r="AB65" i="152"/>
  <c r="AB65" i="116"/>
  <c r="AB65" i="131"/>
  <c r="AC17" i="80"/>
  <c r="AB17" i="151"/>
  <c r="AB17" i="131"/>
  <c r="AA17" i="117"/>
  <c r="AB17" i="117"/>
  <c r="AA17" i="152"/>
  <c r="AB17" i="152"/>
  <c r="AA17" i="148"/>
  <c r="AB17" i="148"/>
  <c r="AA17" i="119"/>
  <c r="AB17" i="119"/>
  <c r="AA61" i="116"/>
  <c r="AB61" i="116"/>
  <c r="AC61" i="80"/>
  <c r="AA61" i="153"/>
  <c r="AB61" i="153"/>
  <c r="AB61" i="144"/>
  <c r="AB61" i="119"/>
  <c r="AB61" i="149"/>
  <c r="AA27" i="153"/>
  <c r="AB27" i="153"/>
  <c r="AA27" i="119"/>
  <c r="AB27" i="119"/>
  <c r="AA27" i="128"/>
  <c r="AB27" i="128"/>
  <c r="AA27" i="152"/>
  <c r="AB27" i="152"/>
  <c r="AA27" i="131"/>
  <c r="AB27" i="131"/>
  <c r="AA69" i="152"/>
  <c r="AB69" i="152"/>
  <c r="AA69" i="151"/>
  <c r="AB69" i="151"/>
  <c r="AA69" i="131"/>
  <c r="AB69" i="131"/>
  <c r="AB69" i="125"/>
  <c r="AA69" i="144"/>
  <c r="AB69" i="144"/>
  <c r="AA69" i="116"/>
  <c r="AB69" i="116"/>
  <c r="AA69" i="145"/>
  <c r="AB69" i="145"/>
  <c r="AB54" i="151"/>
  <c r="AB54" i="117"/>
  <c r="AB54" i="145"/>
  <c r="AA54" i="149"/>
  <c r="AB54" i="149"/>
  <c r="AA54" i="116"/>
  <c r="AB54" i="116"/>
  <c r="AA54" i="152"/>
  <c r="AB54" i="152"/>
  <c r="AD54" i="113"/>
  <c r="AF54" i="113"/>
  <c r="AB55" i="80"/>
  <c r="AC55" i="80"/>
  <c r="AA55" i="148"/>
  <c r="AB55" i="148"/>
  <c r="AA55" i="151"/>
  <c r="AB55" i="151"/>
  <c r="AA55" i="147"/>
  <c r="AB55" i="147"/>
  <c r="AA55" i="120"/>
  <c r="AB55" i="120"/>
  <c r="AB55" i="119"/>
  <c r="AA55" i="144"/>
  <c r="AB55" i="144"/>
  <c r="AB55" i="131"/>
  <c r="AB46" i="126"/>
  <c r="AA46" i="147"/>
  <c r="AB46" i="147"/>
  <c r="AB46" i="145"/>
  <c r="AA46" i="148"/>
  <c r="AB46" i="148"/>
  <c r="AB46" i="119"/>
  <c r="AA46" i="149"/>
  <c r="AB46" i="149"/>
  <c r="W37" i="76"/>
  <c r="AA37" i="76"/>
  <c r="Y37" i="76"/>
  <c r="Z37" i="149"/>
  <c r="V37" i="149"/>
  <c r="X37" i="149"/>
  <c r="AA37" i="149"/>
  <c r="AB37" i="149"/>
  <c r="Z37" i="126"/>
  <c r="V37" i="126"/>
  <c r="X37" i="126"/>
  <c r="AA37" i="126"/>
  <c r="X37" i="153"/>
  <c r="V37" i="153"/>
  <c r="Z37" i="153"/>
  <c r="W37" i="80"/>
  <c r="AA37" i="80"/>
  <c r="Y37" i="80"/>
  <c r="Z37" i="125"/>
  <c r="V37" i="125"/>
  <c r="X37" i="125"/>
  <c r="AA37" i="125"/>
  <c r="AB37" i="125"/>
  <c r="V37" i="152"/>
  <c r="Z37" i="152"/>
  <c r="X37" i="152"/>
  <c r="V37" i="119"/>
  <c r="Z37" i="119"/>
  <c r="X37" i="119"/>
  <c r="AA37" i="119"/>
  <c r="AB37" i="119"/>
  <c r="Z37" i="129"/>
  <c r="V37" i="129"/>
  <c r="X37" i="129"/>
  <c r="Z37" i="147"/>
  <c r="X37" i="147"/>
  <c r="V37" i="147"/>
  <c r="X37" i="145"/>
  <c r="V37" i="145"/>
  <c r="Z37" i="145"/>
  <c r="V25" i="126"/>
  <c r="Z25" i="126"/>
  <c r="X25" i="126"/>
  <c r="Z25" i="119"/>
  <c r="V25" i="119"/>
  <c r="X25" i="119"/>
  <c r="AA25" i="119"/>
  <c r="AB25" i="119"/>
  <c r="V25" i="129"/>
  <c r="Z25" i="129"/>
  <c r="X25" i="129"/>
  <c r="V25" i="153"/>
  <c r="Z25" i="153"/>
  <c r="X25" i="153"/>
  <c r="Z25" i="117"/>
  <c r="V25" i="117"/>
  <c r="X25" i="117"/>
  <c r="AA25" i="117"/>
  <c r="V25" i="131"/>
  <c r="Z25" i="131"/>
  <c r="X25" i="131"/>
  <c r="W25" i="76"/>
  <c r="AA25" i="76"/>
  <c r="Y25" i="76"/>
  <c r="X25" i="149"/>
  <c r="Z25" i="149"/>
  <c r="V25" i="149"/>
  <c r="Z25" i="148"/>
  <c r="X25" i="148"/>
  <c r="V25" i="148"/>
  <c r="Z25" i="120"/>
  <c r="V25" i="120"/>
  <c r="X25" i="120"/>
  <c r="AA25" i="120"/>
  <c r="AB25" i="120"/>
  <c r="V25" i="125"/>
  <c r="Z25" i="125"/>
  <c r="X25" i="125"/>
  <c r="Z15" i="144"/>
  <c r="V15" i="144"/>
  <c r="X15" i="144"/>
  <c r="Z15" i="119"/>
  <c r="V15" i="119"/>
  <c r="X15" i="119"/>
  <c r="X15" i="153"/>
  <c r="V15" i="153"/>
  <c r="Z15" i="153"/>
  <c r="Z15" i="120"/>
  <c r="V15" i="120"/>
  <c r="X15" i="120"/>
  <c r="AA15" i="120"/>
  <c r="Z15" i="151"/>
  <c r="X15" i="151"/>
  <c r="V15" i="151"/>
  <c r="Z15" i="126"/>
  <c r="V15" i="126"/>
  <c r="X15" i="126"/>
  <c r="Z15" i="147"/>
  <c r="X15" i="147"/>
  <c r="V15" i="147"/>
  <c r="V15" i="131"/>
  <c r="Z15" i="131"/>
  <c r="X15" i="131"/>
  <c r="Z15" i="125"/>
  <c r="V15" i="125"/>
  <c r="X15" i="125"/>
  <c r="AA15" i="125"/>
  <c r="AB15" i="125"/>
  <c r="X15" i="146"/>
  <c r="V15" i="146"/>
  <c r="Z15" i="146"/>
  <c r="V15" i="145"/>
  <c r="Z15" i="145"/>
  <c r="X15" i="145"/>
  <c r="G69" i="100"/>
  <c r="AK69" i="72"/>
  <c r="V72" i="127"/>
  <c r="Z72" i="127"/>
  <c r="X72" i="127"/>
  <c r="AA72" i="127"/>
  <c r="AB72" i="127"/>
  <c r="Z72" i="145"/>
  <c r="X72" i="145"/>
  <c r="AA72" i="145"/>
  <c r="V72" i="145"/>
  <c r="AB72" i="145"/>
  <c r="AA72" i="80"/>
  <c r="W72" i="80"/>
  <c r="Y72" i="80"/>
  <c r="AB72" i="80"/>
  <c r="AC72" i="80"/>
  <c r="X72" i="153"/>
  <c r="V72" i="153"/>
  <c r="Z72" i="153"/>
  <c r="Z72" i="117"/>
  <c r="V72" i="117"/>
  <c r="X72" i="117"/>
  <c r="V72" i="128"/>
  <c r="Z72" i="128"/>
  <c r="X72" i="128"/>
  <c r="W72" i="76"/>
  <c r="AA72" i="76"/>
  <c r="Y72" i="76"/>
  <c r="AB72" i="76"/>
  <c r="AC72" i="76"/>
  <c r="Z72" i="151"/>
  <c r="X72" i="151"/>
  <c r="AA72" i="151"/>
  <c r="V72" i="151"/>
  <c r="V72" i="116"/>
  <c r="Z72" i="116"/>
  <c r="X72" i="116"/>
  <c r="V33" i="144"/>
  <c r="Z33" i="144"/>
  <c r="X33" i="144"/>
  <c r="AA33" i="144"/>
  <c r="Z33" i="131"/>
  <c r="V33" i="131"/>
  <c r="X33" i="131"/>
  <c r="V33" i="152"/>
  <c r="Z33" i="152"/>
  <c r="X33" i="152"/>
  <c r="Z33" i="128"/>
  <c r="V33" i="128"/>
  <c r="X33" i="128"/>
  <c r="AA33" i="128"/>
  <c r="AB33" i="128"/>
  <c r="X33" i="149"/>
  <c r="V33" i="149"/>
  <c r="Z33" i="149"/>
  <c r="Z33" i="145"/>
  <c r="X33" i="145"/>
  <c r="AA33" i="145"/>
  <c r="V33" i="145"/>
  <c r="AB33" i="145"/>
  <c r="Z33" i="126"/>
  <c r="V33" i="126"/>
  <c r="X33" i="126"/>
  <c r="AA33" i="126"/>
  <c r="AB33" i="126"/>
  <c r="Z33" i="119"/>
  <c r="V33" i="119"/>
  <c r="X33" i="119"/>
  <c r="AA33" i="119"/>
  <c r="X33" i="146"/>
  <c r="V33" i="146"/>
  <c r="Z33" i="146"/>
  <c r="Z33" i="147"/>
  <c r="X33" i="147"/>
  <c r="AA33" i="147"/>
  <c r="V33" i="147"/>
  <c r="AM9" i="46"/>
  <c r="AN9" i="46"/>
  <c r="AP9" i="46"/>
  <c r="AT9" i="46"/>
  <c r="AA15" i="145"/>
  <c r="AB15" i="145"/>
  <c r="AA25" i="148"/>
  <c r="AB25" i="76"/>
  <c r="AC25" i="76"/>
  <c r="AA25" i="153"/>
  <c r="AB25" i="153"/>
  <c r="AA57" i="117"/>
  <c r="AB57" i="117"/>
  <c r="AA57" i="151"/>
  <c r="AB57" i="151"/>
  <c r="AA71" i="131"/>
  <c r="AB71" i="131"/>
  <c r="AA75" i="126"/>
  <c r="AB75" i="126"/>
  <c r="AA75" i="131"/>
  <c r="AB75" i="131"/>
  <c r="AN29" i="146"/>
  <c r="AO29" i="146"/>
  <c r="BA26" i="72"/>
  <c r="AD29" i="146"/>
  <c r="AF29" i="146"/>
  <c r="AA43" i="145"/>
  <c r="AB43" i="145"/>
  <c r="AA20" i="145"/>
  <c r="AB20" i="145"/>
  <c r="AA42" i="146"/>
  <c r="AD22" i="118"/>
  <c r="AF22" i="118"/>
  <c r="AN31" i="127"/>
  <c r="AO31" i="127"/>
  <c r="AU28" i="72"/>
  <c r="AD31" i="127"/>
  <c r="AF31" i="127"/>
  <c r="AA15" i="144"/>
  <c r="AA57" i="120"/>
  <c r="AB57" i="120"/>
  <c r="AB71" i="148"/>
  <c r="AA51" i="118"/>
  <c r="AB51" i="80"/>
  <c r="AA63" i="116"/>
  <c r="AB47" i="80"/>
  <c r="AA14" i="128"/>
  <c r="AA40" i="118"/>
  <c r="AA43" i="117"/>
  <c r="AA20" i="144"/>
  <c r="AA20" i="129"/>
  <c r="AA20" i="131"/>
  <c r="AA52" i="131"/>
  <c r="AB52" i="131"/>
  <c r="AA23" i="120"/>
  <c r="AB23" i="120"/>
  <c r="AA23" i="149"/>
  <c r="AB23" i="149"/>
  <c r="AA23" i="128"/>
  <c r="AB23" i="128"/>
  <c r="AA38" i="119"/>
  <c r="AB38" i="119"/>
  <c r="AB38" i="76"/>
  <c r="AC38" i="76"/>
  <c r="AA42" i="116"/>
  <c r="AA42" i="118"/>
  <c r="AA42" i="119"/>
  <c r="AA44" i="144"/>
  <c r="AB44" i="144"/>
  <c r="AA44" i="119"/>
  <c r="AB44" i="119"/>
  <c r="AA44" i="126"/>
  <c r="AB44" i="126"/>
  <c r="AD41" i="117"/>
  <c r="AF41" i="117"/>
  <c r="AD19" i="147"/>
  <c r="AF19" i="147"/>
  <c r="AD53" i="119"/>
  <c r="AF53" i="119"/>
  <c r="AD9" i="131"/>
  <c r="AF9" i="131"/>
  <c r="AD50" i="129"/>
  <c r="AF50" i="129"/>
  <c r="AD64" i="116"/>
  <c r="AF64" i="116"/>
  <c r="AN31" i="149"/>
  <c r="AO31" i="149"/>
  <c r="BD28" i="72"/>
  <c r="AD31" i="149"/>
  <c r="AF31" i="149"/>
  <c r="AA33" i="131"/>
  <c r="AB33" i="131"/>
  <c r="AA72" i="117"/>
  <c r="AB72" i="117"/>
  <c r="AA15" i="126"/>
  <c r="AA15" i="119"/>
  <c r="AA37" i="129"/>
  <c r="AA71" i="125"/>
  <c r="AA75" i="149"/>
  <c r="AA51" i="117"/>
  <c r="AB51" i="117"/>
  <c r="AA51" i="146"/>
  <c r="AB51" i="146"/>
  <c r="AA63" i="131"/>
  <c r="AB63" i="131"/>
  <c r="AA63" i="128"/>
  <c r="AB63" i="128"/>
  <c r="AA63" i="120"/>
  <c r="AB63" i="120"/>
  <c r="AB47" i="76"/>
  <c r="AC47" i="76"/>
  <c r="AA47" i="127"/>
  <c r="AB47" i="127"/>
  <c r="AA14" i="120"/>
  <c r="AB14" i="120"/>
  <c r="AA14" i="127"/>
  <c r="AB14" i="127"/>
  <c r="AA40" i="129"/>
  <c r="AB40" i="129"/>
  <c r="AA40" i="152"/>
  <c r="AB40" i="152"/>
  <c r="AA40" i="125"/>
  <c r="AB40" i="125"/>
  <c r="AB40" i="76"/>
  <c r="AC40" i="76"/>
  <c r="AA58" i="149"/>
  <c r="AA58" i="153"/>
  <c r="AB58" i="80"/>
  <c r="AC58" i="80"/>
  <c r="AA58" i="147"/>
  <c r="AA12" i="144"/>
  <c r="AA12" i="129"/>
  <c r="AB12" i="129"/>
  <c r="AA12" i="117"/>
  <c r="AB12" i="117"/>
  <c r="AA12" i="145"/>
  <c r="AA43" i="128"/>
  <c r="AB43" i="128"/>
  <c r="AA43" i="149"/>
  <c r="AB43" i="149"/>
  <c r="AA8" i="147"/>
  <c r="AB8" i="147"/>
  <c r="AA8" i="118"/>
  <c r="AB8" i="118"/>
  <c r="AA38" i="129"/>
  <c r="AB42" i="146"/>
  <c r="AA42" i="152"/>
  <c r="AD74" i="125"/>
  <c r="AF74" i="125"/>
  <c r="AD74" i="118"/>
  <c r="AF74" i="118"/>
  <c r="AD13" i="120"/>
  <c r="AF13" i="120"/>
  <c r="AD41" i="145"/>
  <c r="AF41" i="145"/>
  <c r="AD19" i="114"/>
  <c r="AF19" i="114"/>
  <c r="AD9" i="148"/>
  <c r="AF9" i="148"/>
  <c r="AD56" i="125"/>
  <c r="AF56" i="125"/>
  <c r="AD70" i="115"/>
  <c r="AF70" i="115"/>
  <c r="AD50" i="148"/>
  <c r="AF50" i="148"/>
  <c r="AD30" i="115"/>
  <c r="AF30" i="115"/>
  <c r="AA35" i="118"/>
  <c r="AB28" i="100"/>
  <c r="AC31" i="152"/>
  <c r="AN31" i="152"/>
  <c r="AO31" i="152"/>
  <c r="BF28" i="72"/>
  <c r="AB33" i="76"/>
  <c r="AC33" i="76"/>
  <c r="AA33" i="153"/>
  <c r="AA72" i="147"/>
  <c r="AB72" i="147"/>
  <c r="AA15" i="116"/>
  <c r="AB15" i="116"/>
  <c r="AB15" i="76"/>
  <c r="AC15" i="76"/>
  <c r="AE54" i="76"/>
  <c r="AG54" i="76"/>
  <c r="AD17" i="120"/>
  <c r="AF17" i="120"/>
  <c r="AD65" i="151"/>
  <c r="AF65" i="151"/>
  <c r="AD65" i="127"/>
  <c r="AF65" i="127"/>
  <c r="AD10" i="127"/>
  <c r="AF10" i="127"/>
  <c r="AD10" i="119"/>
  <c r="AF10" i="119"/>
  <c r="AD26" i="145"/>
  <c r="AF26" i="145"/>
  <c r="AD26" i="115"/>
  <c r="AF26" i="115"/>
  <c r="AE26" i="76"/>
  <c r="AG26" i="76"/>
  <c r="AA57" i="119"/>
  <c r="AB57" i="119"/>
  <c r="AD28" i="128"/>
  <c r="AF28" i="128"/>
  <c r="AE59" i="80"/>
  <c r="AG59" i="80"/>
  <c r="AD73" i="117"/>
  <c r="AF73" i="117"/>
  <c r="AD39" i="117"/>
  <c r="AF39" i="117"/>
  <c r="AD62" i="144"/>
  <c r="AF62" i="144"/>
  <c r="AD34" i="147"/>
  <c r="AF34" i="147"/>
  <c r="AD34" i="117"/>
  <c r="AF34" i="117"/>
  <c r="AD34" i="129"/>
  <c r="AF34" i="129"/>
  <c r="AD66" i="127"/>
  <c r="AF66" i="127"/>
  <c r="AD68" i="146"/>
  <c r="AF68" i="146"/>
  <c r="AD74" i="152"/>
  <c r="AF74" i="152"/>
  <c r="AE13" i="76"/>
  <c r="AG13" i="76"/>
  <c r="AE19" i="80"/>
  <c r="AG19" i="80"/>
  <c r="AD45" i="152"/>
  <c r="AF45" i="152"/>
  <c r="AD45" i="117"/>
  <c r="AF45" i="117"/>
  <c r="AD9" i="118"/>
  <c r="AF9" i="118"/>
  <c r="AD56" i="118"/>
  <c r="AF56" i="118"/>
  <c r="AD56" i="119"/>
  <c r="AF56" i="119"/>
  <c r="AD50" i="119"/>
  <c r="AF50" i="119"/>
  <c r="AD29" i="145"/>
  <c r="AF29" i="145"/>
  <c r="AA75" i="147"/>
  <c r="AA75" i="151"/>
  <c r="AB75" i="151"/>
  <c r="AA51" i="128"/>
  <c r="AB51" i="128"/>
  <c r="AB12" i="80"/>
  <c r="AA43" i="153"/>
  <c r="AA43" i="126"/>
  <c r="AB43" i="126"/>
  <c r="AA20" i="147"/>
  <c r="AB20" i="147"/>
  <c r="AA20" i="151"/>
  <c r="AB20" i="151"/>
  <c r="AA20" i="119"/>
  <c r="AB20" i="119"/>
  <c r="AA52" i="149"/>
  <c r="AA52" i="151"/>
  <c r="AB52" i="151"/>
  <c r="AD23" i="113"/>
  <c r="AF23" i="113"/>
  <c r="AB38" i="80"/>
  <c r="AC38" i="80"/>
  <c r="AA38" i="120"/>
  <c r="AB38" i="120"/>
  <c r="AA38" i="125"/>
  <c r="AB38" i="125"/>
  <c r="AD61" i="128"/>
  <c r="AF61" i="128"/>
  <c r="AD10" i="125"/>
  <c r="AF10" i="125"/>
  <c r="AD39" i="114"/>
  <c r="AF39" i="114"/>
  <c r="AE39" i="76"/>
  <c r="AG39" i="76"/>
  <c r="AD24" i="127"/>
  <c r="AF24" i="127"/>
  <c r="AD24" i="153"/>
  <c r="AF24" i="153"/>
  <c r="AD62" i="127"/>
  <c r="AF62" i="127"/>
  <c r="AD62" i="118"/>
  <c r="AF62" i="118"/>
  <c r="AD34" i="114"/>
  <c r="AF34" i="114"/>
  <c r="AA44" i="128"/>
  <c r="AB44" i="128"/>
  <c r="AA44" i="147"/>
  <c r="AD21" i="120"/>
  <c r="AF21" i="120"/>
  <c r="AD16" i="125"/>
  <c r="AF16" i="125"/>
  <c r="AD16" i="117"/>
  <c r="AF16" i="117"/>
  <c r="AD49" i="125"/>
  <c r="AF49" i="125"/>
  <c r="AE49" i="80"/>
  <c r="AG49" i="80"/>
  <c r="AE74" i="76"/>
  <c r="AG74" i="76"/>
  <c r="AE74" i="80"/>
  <c r="AG74" i="80"/>
  <c r="AD41" i="118"/>
  <c r="AF41" i="118"/>
  <c r="AE53" i="76"/>
  <c r="AG53" i="76"/>
  <c r="AD53" i="128"/>
  <c r="AF53" i="128"/>
  <c r="AD45" i="145"/>
  <c r="AF45" i="145"/>
  <c r="AD9" i="116"/>
  <c r="AF9" i="116"/>
  <c r="AD56" i="126"/>
  <c r="AF56" i="126"/>
  <c r="AE30" i="80"/>
  <c r="AG30" i="80"/>
  <c r="AD64" i="129"/>
  <c r="AF64" i="129"/>
  <c r="AD22" i="125"/>
  <c r="AF22" i="125"/>
  <c r="AA43" i="119"/>
  <c r="AD10" i="131"/>
  <c r="AF10" i="131"/>
  <c r="AD26" i="113"/>
  <c r="AF26" i="113"/>
  <c r="AD62" i="120"/>
  <c r="AF62" i="120"/>
  <c r="AA44" i="118"/>
  <c r="AD49" i="129"/>
  <c r="AF49" i="129"/>
  <c r="AD53" i="118"/>
  <c r="AF53" i="118"/>
  <c r="AD30" i="129"/>
  <c r="AF30" i="129"/>
  <c r="AD30" i="144"/>
  <c r="AF30" i="144"/>
  <c r="AA33" i="118"/>
  <c r="AB33" i="118"/>
  <c r="AA33" i="125"/>
  <c r="AB33" i="125"/>
  <c r="AA72" i="144"/>
  <c r="AB72" i="144"/>
  <c r="AA72" i="131"/>
  <c r="AB72" i="131"/>
  <c r="AA15" i="127"/>
  <c r="AB15" i="127"/>
  <c r="AA15" i="148"/>
  <c r="AA15" i="117"/>
  <c r="AB15" i="117"/>
  <c r="AD54" i="120"/>
  <c r="AF54" i="120"/>
  <c r="AD69" i="118"/>
  <c r="AF69" i="118"/>
  <c r="AD27" i="117"/>
  <c r="AF27" i="117"/>
  <c r="AD27" i="151"/>
  <c r="AF27" i="151"/>
  <c r="AD34" i="125"/>
  <c r="AF34" i="125"/>
  <c r="AD18" i="117"/>
  <c r="AF18" i="117"/>
  <c r="AD49" i="148"/>
  <c r="AF49" i="148"/>
  <c r="AD74" i="151"/>
  <c r="AF74" i="151"/>
  <c r="AD53" i="149"/>
  <c r="AF53" i="149"/>
  <c r="AD9" i="127"/>
  <c r="AF9" i="127"/>
  <c r="AA71" i="129"/>
  <c r="AB71" i="129"/>
  <c r="AD30" i="152"/>
  <c r="AF30" i="152"/>
  <c r="AD64" i="117"/>
  <c r="AF64" i="117"/>
  <c r="AD22" i="128"/>
  <c r="AF22" i="128"/>
  <c r="AA75" i="120"/>
  <c r="AB75" i="120"/>
  <c r="AB75" i="80"/>
  <c r="AC75" i="80"/>
  <c r="AA75" i="146"/>
  <c r="AB75" i="146"/>
  <c r="AA51" i="144"/>
  <c r="AB51" i="144"/>
  <c r="AA51" i="127"/>
  <c r="AB51" i="127"/>
  <c r="AA51" i="116"/>
  <c r="AB51" i="116"/>
  <c r="AA51" i="147"/>
  <c r="AB51" i="147"/>
  <c r="AD40" i="113"/>
  <c r="AF40" i="113"/>
  <c r="AA43" i="151"/>
  <c r="AA43" i="127"/>
  <c r="AB43" i="127"/>
  <c r="AB20" i="80"/>
  <c r="AC20" i="80"/>
  <c r="AA20" i="116"/>
  <c r="AB20" i="116"/>
  <c r="AA20" i="127"/>
  <c r="AB20" i="127"/>
  <c r="AA52" i="116"/>
  <c r="AB52" i="116"/>
  <c r="AA23" i="153"/>
  <c r="AA23" i="131"/>
  <c r="AB23" i="131"/>
  <c r="AA23" i="146"/>
  <c r="AB23" i="146"/>
  <c r="AA38" i="145"/>
  <c r="AA38" i="118"/>
  <c r="AB38" i="118"/>
  <c r="AA38" i="152"/>
  <c r="AB38" i="152"/>
  <c r="AE46" i="76"/>
  <c r="AG46" i="76"/>
  <c r="AE69" i="76"/>
  <c r="AG69" i="76"/>
  <c r="AD17" i="149"/>
  <c r="AF17" i="149"/>
  <c r="AD28" i="115"/>
  <c r="AF28" i="115"/>
  <c r="AD36" i="119"/>
  <c r="AF36" i="119"/>
  <c r="AD36" i="126"/>
  <c r="AF36" i="126"/>
  <c r="AD67" i="125"/>
  <c r="AF67" i="125"/>
  <c r="AD59" i="127"/>
  <c r="AF59" i="127"/>
  <c r="AD59" i="146"/>
  <c r="AF59" i="146"/>
  <c r="AD59" i="118"/>
  <c r="AF59" i="118"/>
  <c r="AD32" i="118"/>
  <c r="AF32" i="118"/>
  <c r="AD73" i="114"/>
  <c r="AF73" i="114"/>
  <c r="AD73" i="115"/>
  <c r="AF73" i="115"/>
  <c r="AD24" i="125"/>
  <c r="AF24" i="125"/>
  <c r="AA44" i="146"/>
  <c r="AB44" i="146"/>
  <c r="AB44" i="80"/>
  <c r="AC44" i="80"/>
  <c r="AA44" i="116"/>
  <c r="AB44" i="116"/>
  <c r="AD66" i="151"/>
  <c r="AF66" i="151"/>
  <c r="AD66" i="120"/>
  <c r="AF66" i="120"/>
  <c r="AD68" i="129"/>
  <c r="AF68" i="129"/>
  <c r="AD68" i="119"/>
  <c r="AF68" i="119"/>
  <c r="AE60" i="76"/>
  <c r="AG60" i="76"/>
  <c r="AD60" i="128"/>
  <c r="AF60" i="128"/>
  <c r="AD16" i="126"/>
  <c r="AF16" i="126"/>
  <c r="AD49" i="117"/>
  <c r="AF49" i="117"/>
  <c r="AD74" i="126"/>
  <c r="AF74" i="126"/>
  <c r="AD9" i="125"/>
  <c r="AF9" i="125"/>
  <c r="AD64" i="118"/>
  <c r="AF64" i="118"/>
  <c r="AD29" i="117"/>
  <c r="AF29" i="117"/>
  <c r="AA33" i="127"/>
  <c r="AA72" i="129"/>
  <c r="AA15" i="118"/>
  <c r="AA25" i="145"/>
  <c r="AB25" i="145"/>
  <c r="AA25" i="144"/>
  <c r="AB25" i="144"/>
  <c r="AA25" i="146"/>
  <c r="AB25" i="146"/>
  <c r="AA37" i="118"/>
  <c r="AB37" i="118"/>
  <c r="AA37" i="148"/>
  <c r="AB37" i="148"/>
  <c r="AA37" i="131"/>
  <c r="AB37" i="131"/>
  <c r="AD46" i="116"/>
  <c r="AF46" i="116"/>
  <c r="AD54" i="146"/>
  <c r="AF54" i="146"/>
  <c r="AD69" i="127"/>
  <c r="AF69" i="127"/>
  <c r="AD27" i="125"/>
  <c r="AF27" i="125"/>
  <c r="AD27" i="129"/>
  <c r="AF27" i="129"/>
  <c r="AD61" i="131"/>
  <c r="AF61" i="131"/>
  <c r="AD17" i="115"/>
  <c r="AF17" i="115"/>
  <c r="AD65" i="148"/>
  <c r="AF65" i="148"/>
  <c r="AD65" i="120"/>
  <c r="AF65" i="120"/>
  <c r="AA57" i="125"/>
  <c r="AD28" i="152"/>
  <c r="AF28" i="152"/>
  <c r="AD36" i="144"/>
  <c r="AF36" i="144"/>
  <c r="AD36" i="115"/>
  <c r="AF36" i="115"/>
  <c r="AE36" i="80"/>
  <c r="AG36" i="80"/>
  <c r="AD67" i="144"/>
  <c r="AF67" i="144"/>
  <c r="AD59" i="119"/>
  <c r="AF59" i="119"/>
  <c r="AD32" i="146"/>
  <c r="AF32" i="146"/>
  <c r="AD39" i="119"/>
  <c r="AF39" i="119"/>
  <c r="AE24" i="76"/>
  <c r="AG24" i="76"/>
  <c r="AD24" i="129"/>
  <c r="AF24" i="129"/>
  <c r="AE62" i="80"/>
  <c r="AG62" i="80"/>
  <c r="AD18" i="131"/>
  <c r="AF18" i="131"/>
  <c r="AD18" i="152"/>
  <c r="AF18" i="152"/>
  <c r="AD68" i="126"/>
  <c r="AF68" i="126"/>
  <c r="AD68" i="148"/>
  <c r="AF68" i="148"/>
  <c r="AD68" i="149"/>
  <c r="AF68" i="149"/>
  <c r="AD60" i="116"/>
  <c r="AF60" i="116"/>
  <c r="AD16" i="120"/>
  <c r="AF16" i="120"/>
  <c r="AD49" i="127"/>
  <c r="AF49" i="127"/>
  <c r="AD53" i="116"/>
  <c r="AF53" i="116"/>
  <c r="AD56" i="147"/>
  <c r="AF56" i="147"/>
  <c r="AD70" i="117"/>
  <c r="AF70" i="117"/>
  <c r="AD30" i="117"/>
  <c r="AF30" i="117"/>
  <c r="AE64" i="76"/>
  <c r="AG64" i="76"/>
  <c r="AD22" i="144"/>
  <c r="AF22" i="144"/>
  <c r="AD31" i="125"/>
  <c r="AF31" i="125"/>
  <c r="AD29" i="116"/>
  <c r="AF29" i="116"/>
  <c r="AD29" i="120"/>
  <c r="AF29" i="120"/>
  <c r="AA63" i="125"/>
  <c r="AB63" i="125"/>
  <c r="AA63" i="129"/>
  <c r="AB63" i="129"/>
  <c r="AA58" i="119"/>
  <c r="AB58" i="119"/>
  <c r="AA12" i="120"/>
  <c r="AB12" i="120"/>
  <c r="AA52" i="125"/>
  <c r="AA23" i="118"/>
  <c r="AD46" i="115"/>
  <c r="AF46" i="115"/>
  <c r="AE27" i="80"/>
  <c r="AG27" i="80"/>
  <c r="AD17" i="125"/>
  <c r="AF17" i="125"/>
  <c r="AC46" i="148"/>
  <c r="AN46" i="148"/>
  <c r="AO46" i="148"/>
  <c r="BC43" i="72"/>
  <c r="Y43" i="100"/>
  <c r="AD46" i="148"/>
  <c r="AF46" i="148"/>
  <c r="AC54" i="152"/>
  <c r="AN54" i="152"/>
  <c r="AO54" i="152"/>
  <c r="BF51" i="72"/>
  <c r="AD54" i="152"/>
  <c r="AF54" i="152"/>
  <c r="AB51" i="100"/>
  <c r="AA66" i="100"/>
  <c r="AC69" i="151"/>
  <c r="AN69" i="151"/>
  <c r="AO69" i="151"/>
  <c r="BE66" i="72"/>
  <c r="AD69" i="151"/>
  <c r="AF69" i="151"/>
  <c r="AC61" i="153"/>
  <c r="AN61" i="153"/>
  <c r="AO61" i="153"/>
  <c r="BG58" i="72"/>
  <c r="AC58" i="100"/>
  <c r="AA25" i="100"/>
  <c r="AC28" i="151"/>
  <c r="AN28" i="151"/>
  <c r="AO28" i="151"/>
  <c r="BE25" i="72"/>
  <c r="AC28" i="149"/>
  <c r="AN28" i="149"/>
  <c r="AO28" i="149"/>
  <c r="BD25" i="72"/>
  <c r="Z25" i="100"/>
  <c r="AC66" i="152"/>
  <c r="AN66" i="152"/>
  <c r="AO66" i="152"/>
  <c r="BF63" i="72"/>
  <c r="AB63" i="100"/>
  <c r="AD66" i="152"/>
  <c r="AF66" i="152"/>
  <c r="AC66" i="148"/>
  <c r="AN66" i="148"/>
  <c r="AO66" i="148"/>
  <c r="BC63" i="72"/>
  <c r="Y63" i="100"/>
  <c r="AD66" i="148"/>
  <c r="AF66" i="148"/>
  <c r="AC15" i="100"/>
  <c r="AC18" i="153"/>
  <c r="AN18" i="153"/>
  <c r="AO18" i="153"/>
  <c r="BG15" i="72"/>
  <c r="U46" i="100"/>
  <c r="AC49" i="144"/>
  <c r="AN49" i="144"/>
  <c r="AO49" i="144"/>
  <c r="AY46" i="72"/>
  <c r="AC49" i="151"/>
  <c r="AN49" i="151"/>
  <c r="AO49" i="151"/>
  <c r="BE46" i="72"/>
  <c r="AA46" i="100"/>
  <c r="AD49" i="151"/>
  <c r="AF49" i="151"/>
  <c r="AC13" i="148"/>
  <c r="AN13" i="148"/>
  <c r="AO13" i="148"/>
  <c r="BC10" i="72"/>
  <c r="Y10" i="100"/>
  <c r="AC53" i="151"/>
  <c r="AN53" i="151"/>
  <c r="AO53" i="151"/>
  <c r="BE50" i="72"/>
  <c r="AA50" i="100"/>
  <c r="AD53" i="151"/>
  <c r="AF53" i="151"/>
  <c r="X42" i="100"/>
  <c r="AC45" i="147"/>
  <c r="AN45" i="147"/>
  <c r="AO45" i="147"/>
  <c r="BB42" i="72"/>
  <c r="AD45" i="147"/>
  <c r="AF45" i="147"/>
  <c r="AC9" i="146"/>
  <c r="AN9" i="146"/>
  <c r="AO9" i="146"/>
  <c r="BA6" i="72"/>
  <c r="W6" i="100"/>
  <c r="V67" i="100"/>
  <c r="AC70" i="145"/>
  <c r="AN70" i="145"/>
  <c r="AO70" i="145"/>
  <c r="AZ67" i="72"/>
  <c r="W67" i="100"/>
  <c r="AC70" i="146"/>
  <c r="AN70" i="146"/>
  <c r="AO70" i="146"/>
  <c r="BA67" i="72"/>
  <c r="AD70" i="146"/>
  <c r="AF70" i="146"/>
  <c r="Y27" i="100"/>
  <c r="AC30" i="148"/>
  <c r="AN30" i="148"/>
  <c r="AO30" i="148"/>
  <c r="BC27" i="72"/>
  <c r="AD30" i="148"/>
  <c r="AF30" i="148"/>
  <c r="AC64" i="151"/>
  <c r="AN64" i="151"/>
  <c r="AO64" i="151"/>
  <c r="BE61" i="72"/>
  <c r="AA61" i="100"/>
  <c r="AC64" i="149"/>
  <c r="AN64" i="149"/>
  <c r="AO64" i="149"/>
  <c r="BD61" i="72"/>
  <c r="Z61" i="100"/>
  <c r="AC61" i="100"/>
  <c r="AC64" i="153"/>
  <c r="AN64" i="153"/>
  <c r="AO64" i="153"/>
  <c r="BG61" i="72"/>
  <c r="Y28" i="100"/>
  <c r="AC31" i="148"/>
  <c r="AN31" i="148"/>
  <c r="AO31" i="148"/>
  <c r="BC28" i="72"/>
  <c r="AD31" i="148"/>
  <c r="AF31" i="148"/>
  <c r="AC28" i="100"/>
  <c r="AC31" i="153"/>
  <c r="AN31" i="153"/>
  <c r="AO31" i="153"/>
  <c r="BG28" i="72"/>
  <c r="AD31" i="153"/>
  <c r="AF31" i="153"/>
  <c r="Y66" i="100"/>
  <c r="AC69" i="148"/>
  <c r="AN69" i="148"/>
  <c r="AO69" i="148"/>
  <c r="BC66" i="72"/>
  <c r="AC27" i="145"/>
  <c r="AN27" i="145"/>
  <c r="AO27" i="145"/>
  <c r="AZ24" i="72"/>
  <c r="V24" i="100"/>
  <c r="AD27" i="145"/>
  <c r="AF27" i="145"/>
  <c r="X64" i="100"/>
  <c r="AC67" i="147"/>
  <c r="AN67" i="147"/>
  <c r="AO67" i="147"/>
  <c r="BB64" i="72"/>
  <c r="AB70" i="100"/>
  <c r="AC73" i="152"/>
  <c r="AN73" i="152"/>
  <c r="AO73" i="152"/>
  <c r="BF70" i="72"/>
  <c r="AC68" i="151"/>
  <c r="AN68" i="151"/>
  <c r="AO68" i="151"/>
  <c r="BE65" i="72"/>
  <c r="AA65" i="100"/>
  <c r="AD68" i="151"/>
  <c r="AF68" i="151"/>
  <c r="AC68" i="145"/>
  <c r="AN68" i="145"/>
  <c r="AO68" i="145"/>
  <c r="AZ65" i="72"/>
  <c r="V65" i="100"/>
  <c r="AD68" i="145"/>
  <c r="AF68" i="145"/>
  <c r="AC16" i="100"/>
  <c r="AC19" i="153"/>
  <c r="AN19" i="153"/>
  <c r="AO19" i="153"/>
  <c r="BG16" i="72"/>
  <c r="AC50" i="100"/>
  <c r="AC53" i="153"/>
  <c r="AN53" i="153"/>
  <c r="AO53" i="153"/>
  <c r="BG50" i="72"/>
  <c r="AD53" i="153"/>
  <c r="AF53" i="153"/>
  <c r="AC9" i="149"/>
  <c r="AN9" i="149"/>
  <c r="AO9" i="149"/>
  <c r="BD6" i="72"/>
  <c r="Z6" i="100"/>
  <c r="AD9" i="149"/>
  <c r="AF9" i="149"/>
  <c r="X52" i="100"/>
  <c r="AC55" i="147"/>
  <c r="AN55" i="147"/>
  <c r="AO55" i="147"/>
  <c r="BB52" i="72"/>
  <c r="AC55" i="148"/>
  <c r="AN55" i="148"/>
  <c r="AO55" i="148"/>
  <c r="BC52" i="72"/>
  <c r="Y52" i="100"/>
  <c r="AD55" i="148"/>
  <c r="AF55" i="148"/>
  <c r="U66" i="100"/>
  <c r="AC69" i="144"/>
  <c r="AN69" i="144"/>
  <c r="AO69" i="144"/>
  <c r="AY66" i="72"/>
  <c r="AB66" i="100"/>
  <c r="AC69" i="152"/>
  <c r="AN69" i="152"/>
  <c r="AO69" i="152"/>
  <c r="BF66" i="72"/>
  <c r="AC24" i="100"/>
  <c r="AC27" i="153"/>
  <c r="AN27" i="153"/>
  <c r="AO27" i="153"/>
  <c r="BG24" i="72"/>
  <c r="AC17" i="152"/>
  <c r="AN17" i="152"/>
  <c r="AO17" i="152"/>
  <c r="BF14" i="72"/>
  <c r="AB14" i="100"/>
  <c r="AC65" i="152"/>
  <c r="AN65" i="152"/>
  <c r="AO65" i="152"/>
  <c r="BF62" i="72"/>
  <c r="AB62" i="100"/>
  <c r="AD65" i="152"/>
  <c r="AF65" i="152"/>
  <c r="AC36" i="146"/>
  <c r="AN36" i="146"/>
  <c r="AO36" i="146"/>
  <c r="BA33" i="72"/>
  <c r="W33" i="100"/>
  <c r="AC67" i="148"/>
  <c r="AN67" i="148"/>
  <c r="AO67" i="148"/>
  <c r="BC64" i="72"/>
  <c r="Y64" i="100"/>
  <c r="AC59" i="152"/>
  <c r="AN59" i="152"/>
  <c r="AO59" i="152"/>
  <c r="BF56" i="72"/>
  <c r="AB56" i="100"/>
  <c r="AA29" i="100"/>
  <c r="AC32" i="151"/>
  <c r="AN32" i="151"/>
  <c r="AO32" i="151"/>
  <c r="BE29" i="72"/>
  <c r="AC32" i="148"/>
  <c r="AN32" i="148"/>
  <c r="AO32" i="148"/>
  <c r="BC29" i="72"/>
  <c r="Y29" i="100"/>
  <c r="AD32" i="148"/>
  <c r="AF32" i="148"/>
  <c r="AC32" i="153"/>
  <c r="AN32" i="153"/>
  <c r="AO32" i="153"/>
  <c r="BG29" i="72"/>
  <c r="AD32" i="153"/>
  <c r="AF32" i="153"/>
  <c r="AC29" i="100"/>
  <c r="AC39" i="151"/>
  <c r="AN39" i="151"/>
  <c r="AO39" i="151"/>
  <c r="BE36" i="72"/>
  <c r="AA36" i="100"/>
  <c r="V59" i="100"/>
  <c r="AC62" i="145"/>
  <c r="AN62" i="145"/>
  <c r="AO62" i="145"/>
  <c r="AZ59" i="72"/>
  <c r="AC63" i="100"/>
  <c r="AC66" i="153"/>
  <c r="AN66" i="153"/>
  <c r="AO66" i="153"/>
  <c r="BG63" i="72"/>
  <c r="AD66" i="153"/>
  <c r="AF66" i="153"/>
  <c r="AC21" i="144"/>
  <c r="AN21" i="144"/>
  <c r="AO21" i="144"/>
  <c r="AY18" i="72"/>
  <c r="U18" i="100"/>
  <c r="AB57" i="100"/>
  <c r="AC60" i="152"/>
  <c r="AN60" i="152"/>
  <c r="AO60" i="152"/>
  <c r="BF57" i="72"/>
  <c r="AC16" i="151"/>
  <c r="AN16" i="151"/>
  <c r="AO16" i="151"/>
  <c r="BE13" i="72"/>
  <c r="AA13" i="100"/>
  <c r="AD16" i="151"/>
  <c r="AF16" i="151"/>
  <c r="AC71" i="100"/>
  <c r="AC74" i="153"/>
  <c r="AN74" i="153"/>
  <c r="AO74" i="153"/>
  <c r="BG71" i="72"/>
  <c r="AD74" i="153"/>
  <c r="AF74" i="153"/>
  <c r="V10" i="100"/>
  <c r="AC13" i="145"/>
  <c r="AN13" i="145"/>
  <c r="AO13" i="145"/>
  <c r="AZ10" i="72"/>
  <c r="AC13" i="153"/>
  <c r="AN13" i="153"/>
  <c r="AO13" i="153"/>
  <c r="BG10" i="72"/>
  <c r="AC10" i="100"/>
  <c r="AD13" i="153"/>
  <c r="AF13" i="153"/>
  <c r="AC19" i="151"/>
  <c r="AN19" i="151"/>
  <c r="AO19" i="151"/>
  <c r="BE16" i="72"/>
  <c r="AD19" i="151"/>
  <c r="AF19" i="151"/>
  <c r="AA16" i="100"/>
  <c r="AB6" i="100"/>
  <c r="AC9" i="152"/>
  <c r="AN9" i="152"/>
  <c r="AO9" i="152"/>
  <c r="BF6" i="72"/>
  <c r="AD9" i="152"/>
  <c r="AF9" i="152"/>
  <c r="AC22" i="145"/>
  <c r="AN22" i="145"/>
  <c r="AO22" i="145"/>
  <c r="AZ19" i="72"/>
  <c r="V19" i="100"/>
  <c r="AC55" i="149"/>
  <c r="AN55" i="149"/>
  <c r="AO55" i="149"/>
  <c r="BD52" i="72"/>
  <c r="Z52" i="100"/>
  <c r="AD55" i="149"/>
  <c r="AF55" i="149"/>
  <c r="W14" i="100"/>
  <c r="AC17" i="146"/>
  <c r="AN17" i="146"/>
  <c r="AO17" i="146"/>
  <c r="BA14" i="72"/>
  <c r="Y23" i="100"/>
  <c r="AC26" i="148"/>
  <c r="AN26" i="148"/>
  <c r="AO26" i="148"/>
  <c r="BC23" i="72"/>
  <c r="AC26" i="144"/>
  <c r="AN26" i="144"/>
  <c r="AO26" i="144"/>
  <c r="AY23" i="72"/>
  <c r="U23" i="100"/>
  <c r="AD26" i="144"/>
  <c r="AF26" i="144"/>
  <c r="AA33" i="100"/>
  <c r="AC36" i="151"/>
  <c r="AN36" i="151"/>
  <c r="AO36" i="151"/>
  <c r="BE33" i="72"/>
  <c r="AC59" i="151"/>
  <c r="AN59" i="151"/>
  <c r="AO59" i="151"/>
  <c r="BE56" i="72"/>
  <c r="AA56" i="100"/>
  <c r="AD59" i="151"/>
  <c r="AF59" i="151"/>
  <c r="AC34" i="145"/>
  <c r="AN34" i="145"/>
  <c r="AO34" i="145"/>
  <c r="AZ31" i="72"/>
  <c r="V31" i="100"/>
  <c r="AC66" i="144"/>
  <c r="AN66" i="144"/>
  <c r="AO66" i="144"/>
  <c r="AY63" i="72"/>
  <c r="U63" i="100"/>
  <c r="Y15" i="100"/>
  <c r="AC18" i="148"/>
  <c r="AN18" i="148"/>
  <c r="AO18" i="148"/>
  <c r="BC15" i="72"/>
  <c r="W57" i="100"/>
  <c r="AC60" i="146"/>
  <c r="AN60" i="146"/>
  <c r="AO60" i="146"/>
  <c r="BA57" i="72"/>
  <c r="Z46" i="100"/>
  <c r="AC49" i="149"/>
  <c r="AN49" i="149"/>
  <c r="AO49" i="149"/>
  <c r="BD46" i="72"/>
  <c r="AD49" i="149"/>
  <c r="AF49" i="149"/>
  <c r="AC56" i="145"/>
  <c r="AN56" i="145"/>
  <c r="AO56" i="145"/>
  <c r="AZ53" i="72"/>
  <c r="V53" i="100"/>
  <c r="AD56" i="145"/>
  <c r="AF56" i="145"/>
  <c r="AA33" i="146"/>
  <c r="AB33" i="146"/>
  <c r="V30" i="100"/>
  <c r="AC33" i="145"/>
  <c r="AN33" i="145"/>
  <c r="AO33" i="145"/>
  <c r="AZ30" i="72"/>
  <c r="AA33" i="149"/>
  <c r="AB33" i="149"/>
  <c r="AB33" i="144"/>
  <c r="AD72" i="76"/>
  <c r="AO72" i="76"/>
  <c r="AP72" i="76"/>
  <c r="BH69" i="72"/>
  <c r="AD69" i="100"/>
  <c r="K69" i="100"/>
  <c r="AC72" i="117"/>
  <c r="AN72" i="117"/>
  <c r="AO72" i="117"/>
  <c r="AO69" i="72"/>
  <c r="AC72" i="145"/>
  <c r="AN72" i="145"/>
  <c r="AO72" i="145"/>
  <c r="AZ69" i="72"/>
  <c r="AD72" i="145"/>
  <c r="AF72" i="145"/>
  <c r="V69" i="100"/>
  <c r="AC25" i="120"/>
  <c r="AN25" i="120"/>
  <c r="AO25" i="120"/>
  <c r="AR22" i="72"/>
  <c r="N22" i="100"/>
  <c r="AM22" i="72"/>
  <c r="I22" i="100"/>
  <c r="AD25" i="76"/>
  <c r="AO25" i="76"/>
  <c r="AP25" i="76"/>
  <c r="BH22" i="72"/>
  <c r="AD22" i="100"/>
  <c r="H22" i="100"/>
  <c r="AL22" i="72"/>
  <c r="AC22" i="100"/>
  <c r="AC25" i="153"/>
  <c r="AN25" i="153"/>
  <c r="AO25" i="153"/>
  <c r="BG22" i="72"/>
  <c r="M22" i="100"/>
  <c r="AC25" i="119"/>
  <c r="AN25" i="119"/>
  <c r="AO25" i="119"/>
  <c r="AQ22" i="72"/>
  <c r="AD25" i="119"/>
  <c r="AF25" i="119"/>
  <c r="G22" i="100"/>
  <c r="AK22" i="72"/>
  <c r="M34" i="100"/>
  <c r="AC37" i="119"/>
  <c r="AN37" i="119"/>
  <c r="AO37" i="119"/>
  <c r="AQ34" i="72"/>
  <c r="AC37" i="125"/>
  <c r="AN37" i="125"/>
  <c r="AO37" i="125"/>
  <c r="AS34" i="72"/>
  <c r="O34" i="100"/>
  <c r="AD37" i="125"/>
  <c r="AF37" i="125"/>
  <c r="AA37" i="153"/>
  <c r="AB37" i="153"/>
  <c r="I39" i="100"/>
  <c r="AM39" i="72"/>
  <c r="M43" i="100"/>
  <c r="AC46" i="119"/>
  <c r="AN46" i="119"/>
  <c r="AO46" i="119"/>
  <c r="AQ43" i="72"/>
  <c r="AC46" i="126"/>
  <c r="AN46" i="126"/>
  <c r="AO46" i="126"/>
  <c r="AT43" i="72"/>
  <c r="P43" i="100"/>
  <c r="AC55" i="119"/>
  <c r="AN55" i="119"/>
  <c r="AO55" i="119"/>
  <c r="AQ52" i="72"/>
  <c r="M52" i="100"/>
  <c r="AH54" i="113"/>
  <c r="AI54" i="113"/>
  <c r="G51" i="72"/>
  <c r="AJ54" i="113"/>
  <c r="AM51" i="72"/>
  <c r="I51" i="100"/>
  <c r="AC54" i="151"/>
  <c r="AN54" i="151"/>
  <c r="AO54" i="151"/>
  <c r="BE51" i="72"/>
  <c r="AA51" i="100"/>
  <c r="AD54" i="151"/>
  <c r="AF54" i="151"/>
  <c r="T66" i="100"/>
  <c r="AC69" i="131"/>
  <c r="AN69" i="131"/>
  <c r="AO69" i="131"/>
  <c r="AX66" i="72"/>
  <c r="AD69" i="131"/>
  <c r="AF69" i="131"/>
  <c r="AC27" i="131"/>
  <c r="AN27" i="131"/>
  <c r="AO27" i="131"/>
  <c r="AX24" i="72"/>
  <c r="T24" i="100"/>
  <c r="AM24" i="72"/>
  <c r="I24" i="100"/>
  <c r="AL58" i="72"/>
  <c r="AD61" i="114"/>
  <c r="AF61" i="114"/>
  <c r="H58" i="100"/>
  <c r="AE58" i="100"/>
  <c r="AD61" i="80"/>
  <c r="AO61" i="80"/>
  <c r="AP61" i="80"/>
  <c r="BI58" i="72"/>
  <c r="AE61" i="80"/>
  <c r="AG61" i="80"/>
  <c r="T62" i="100"/>
  <c r="AC65" i="131"/>
  <c r="AN65" i="131"/>
  <c r="AO65" i="131"/>
  <c r="AX62" i="72"/>
  <c r="Z7" i="100"/>
  <c r="AC10" i="149"/>
  <c r="AN10" i="149"/>
  <c r="AO10" i="149"/>
  <c r="BD7" i="72"/>
  <c r="AD10" i="76"/>
  <c r="AO10" i="76"/>
  <c r="AP10" i="76"/>
  <c r="BH7" i="72"/>
  <c r="AD7" i="100"/>
  <c r="AE10" i="76"/>
  <c r="AG10" i="76"/>
  <c r="AC26" i="129"/>
  <c r="AN26" i="129"/>
  <c r="AO26" i="129"/>
  <c r="AW23" i="72"/>
  <c r="S23" i="100"/>
  <c r="AD26" i="129"/>
  <c r="AF26" i="129"/>
  <c r="R54" i="100"/>
  <c r="AC57" i="128"/>
  <c r="AN57" i="128"/>
  <c r="AO57" i="128"/>
  <c r="AV54" i="72"/>
  <c r="H54" i="100"/>
  <c r="AL54" i="72"/>
  <c r="AM54" i="72"/>
  <c r="I54" i="100"/>
  <c r="AD57" i="115"/>
  <c r="AF57" i="115"/>
  <c r="T54" i="100"/>
  <c r="AC57" i="131"/>
  <c r="AN57" i="131"/>
  <c r="AO57" i="131"/>
  <c r="AX54" i="72"/>
  <c r="AC57" i="117"/>
  <c r="AN57" i="117"/>
  <c r="AO57" i="117"/>
  <c r="AO54" i="72"/>
  <c r="K54" i="100"/>
  <c r="AC57" i="151"/>
  <c r="AN57" i="151"/>
  <c r="AO57" i="151"/>
  <c r="BE54" i="72"/>
  <c r="AA54" i="100"/>
  <c r="AC57" i="146"/>
  <c r="AN57" i="146"/>
  <c r="AO57" i="146"/>
  <c r="BA54" i="72"/>
  <c r="W54" i="100"/>
  <c r="AD57" i="146"/>
  <c r="AF57" i="146"/>
  <c r="AC28" i="148"/>
  <c r="AN28" i="148"/>
  <c r="AO28" i="148"/>
  <c r="BC25" i="72"/>
  <c r="Y25" i="100"/>
  <c r="AC28" i="146"/>
  <c r="AN28" i="146"/>
  <c r="AO28" i="146"/>
  <c r="BA25" i="72"/>
  <c r="W25" i="100"/>
  <c r="AC36" i="118"/>
  <c r="AN36" i="118"/>
  <c r="AO36" i="118"/>
  <c r="AP33" i="72"/>
  <c r="L33" i="100"/>
  <c r="V64" i="100"/>
  <c r="AC67" i="145"/>
  <c r="AN67" i="145"/>
  <c r="AO67" i="145"/>
  <c r="AZ64" i="72"/>
  <c r="S56" i="100"/>
  <c r="AC59" i="129"/>
  <c r="AN59" i="129"/>
  <c r="AO59" i="129"/>
  <c r="AW56" i="72"/>
  <c r="AC32" i="145"/>
  <c r="AN32" i="145"/>
  <c r="AO32" i="145"/>
  <c r="AZ29" i="72"/>
  <c r="V29" i="100"/>
  <c r="S70" i="100"/>
  <c r="AC73" i="129"/>
  <c r="AN73" i="129"/>
  <c r="AO73" i="129"/>
  <c r="AW70" i="72"/>
  <c r="AC36" i="100"/>
  <c r="AC39" i="153"/>
  <c r="AN39" i="153"/>
  <c r="AO39" i="153"/>
  <c r="BG36" i="72"/>
  <c r="AC24" i="144"/>
  <c r="AN24" i="144"/>
  <c r="AO24" i="144"/>
  <c r="AY21" i="72"/>
  <c r="U21" i="100"/>
  <c r="R21" i="100"/>
  <c r="AC24" i="128"/>
  <c r="AN24" i="128"/>
  <c r="AO24" i="128"/>
  <c r="AV21" i="72"/>
  <c r="AC62" i="152"/>
  <c r="AN62" i="152"/>
  <c r="AO62" i="152"/>
  <c r="BF59" i="72"/>
  <c r="AB59" i="100"/>
  <c r="AA59" i="100"/>
  <c r="AC62" i="151"/>
  <c r="AD62" i="151"/>
  <c r="AF62" i="151"/>
  <c r="AN62" i="151"/>
  <c r="AO62" i="151"/>
  <c r="BE59" i="72"/>
  <c r="AD31" i="100"/>
  <c r="AD34" i="76"/>
  <c r="AO34" i="76"/>
  <c r="AP34" i="76"/>
  <c r="BH31" i="72"/>
  <c r="V63" i="100"/>
  <c r="AC66" i="145"/>
  <c r="AN66" i="145"/>
  <c r="AO66" i="145"/>
  <c r="AZ63" i="72"/>
  <c r="AD63" i="100"/>
  <c r="AD66" i="76"/>
  <c r="AO66" i="76"/>
  <c r="AP66" i="76"/>
  <c r="BH63" i="72"/>
  <c r="AE66" i="76"/>
  <c r="AG66" i="76"/>
  <c r="AD21" i="76"/>
  <c r="AO21" i="76"/>
  <c r="AP21" i="76"/>
  <c r="BH18" i="72"/>
  <c r="AD18" i="100"/>
  <c r="AE21" i="76"/>
  <c r="AG21" i="76"/>
  <c r="AC21" i="152"/>
  <c r="AN21" i="152"/>
  <c r="AO21" i="152"/>
  <c r="BF18" i="72"/>
  <c r="AB18" i="100"/>
  <c r="AD21" i="152"/>
  <c r="AF21" i="152"/>
  <c r="AM15" i="72"/>
  <c r="I15" i="100"/>
  <c r="AE15" i="100"/>
  <c r="AD18" i="80"/>
  <c r="AO18" i="80"/>
  <c r="AP18" i="80"/>
  <c r="BI15" i="72"/>
  <c r="AC68" i="153"/>
  <c r="AN68" i="153"/>
  <c r="AO68" i="153"/>
  <c r="BG65" i="72"/>
  <c r="AC65" i="100"/>
  <c r="AD68" i="153"/>
  <c r="AF68" i="153"/>
  <c r="M57" i="100"/>
  <c r="AC60" i="119"/>
  <c r="AN60" i="119"/>
  <c r="AO60" i="119"/>
  <c r="AQ57" i="72"/>
  <c r="AC16" i="131"/>
  <c r="AN16" i="131"/>
  <c r="AO16" i="131"/>
  <c r="AX13" i="72"/>
  <c r="T13" i="100"/>
  <c r="AB46" i="100"/>
  <c r="AC49" i="152"/>
  <c r="AN49" i="152"/>
  <c r="AO49" i="152"/>
  <c r="BF46" i="72"/>
  <c r="H46" i="100"/>
  <c r="AL46" i="72"/>
  <c r="AC74" i="129"/>
  <c r="AN74" i="129"/>
  <c r="AO74" i="129"/>
  <c r="AW71" i="72"/>
  <c r="S71" i="100"/>
  <c r="AC13" i="128"/>
  <c r="AN13" i="128"/>
  <c r="AO13" i="128"/>
  <c r="AV10" i="72"/>
  <c r="AD13" i="128"/>
  <c r="AF13" i="128"/>
  <c r="R10" i="100"/>
  <c r="AC38" i="100"/>
  <c r="AC41" i="153"/>
  <c r="AN41" i="153"/>
  <c r="AO41" i="153"/>
  <c r="BG38" i="72"/>
  <c r="AD41" i="153"/>
  <c r="AF41" i="153"/>
  <c r="AC41" i="146"/>
  <c r="AN41" i="146"/>
  <c r="AO41" i="146"/>
  <c r="BA38" i="72"/>
  <c r="W38" i="100"/>
  <c r="AD41" i="146"/>
  <c r="AF41" i="146"/>
  <c r="AC19" i="145"/>
  <c r="AN19" i="145"/>
  <c r="AO19" i="145"/>
  <c r="AZ16" i="72"/>
  <c r="V16" i="100"/>
  <c r="M42" i="100"/>
  <c r="AC45" i="119"/>
  <c r="AN45" i="119"/>
  <c r="AO45" i="119"/>
  <c r="AQ42" i="72"/>
  <c r="X6" i="100"/>
  <c r="AC9" i="147"/>
  <c r="AN9" i="147"/>
  <c r="AO9" i="147"/>
  <c r="BB6" i="72"/>
  <c r="AH56" i="113"/>
  <c r="AI56" i="113"/>
  <c r="G53" i="72"/>
  <c r="AJ56" i="113"/>
  <c r="AC53" i="100"/>
  <c r="AC56" i="153"/>
  <c r="AN56" i="153"/>
  <c r="AO56" i="153"/>
  <c r="BG53" i="72"/>
  <c r="AC70" i="127"/>
  <c r="AN70" i="127"/>
  <c r="AO70" i="127"/>
  <c r="AU67" i="72"/>
  <c r="Q67" i="100"/>
  <c r="AA67" i="100"/>
  <c r="AC70" i="151"/>
  <c r="AN70" i="151"/>
  <c r="AO70" i="151"/>
  <c r="BE67" i="72"/>
  <c r="X47" i="100"/>
  <c r="AC50" i="147"/>
  <c r="AN50" i="147"/>
  <c r="AO50" i="147"/>
  <c r="BB47" i="72"/>
  <c r="AD47" i="100"/>
  <c r="AD50" i="76"/>
  <c r="AO50" i="76"/>
  <c r="AP50" i="76"/>
  <c r="BH47" i="72"/>
  <c r="Y68" i="100"/>
  <c r="AC71" i="148"/>
  <c r="AN71" i="148"/>
  <c r="AO71" i="148"/>
  <c r="BC68" i="72"/>
  <c r="AD71" i="148"/>
  <c r="AF71" i="148"/>
  <c r="AC71" i="151"/>
  <c r="AN71" i="151"/>
  <c r="AO71" i="151"/>
  <c r="BE68" i="72"/>
  <c r="AA68" i="100"/>
  <c r="AC30" i="119"/>
  <c r="AN30" i="119"/>
  <c r="AO30" i="119"/>
  <c r="AQ27" i="72"/>
  <c r="M27" i="100"/>
  <c r="AE61" i="100"/>
  <c r="AD64" i="80"/>
  <c r="AO64" i="80"/>
  <c r="AP64" i="80"/>
  <c r="BI61" i="72"/>
  <c r="AC22" i="151"/>
  <c r="AN22" i="151"/>
  <c r="AO22" i="151"/>
  <c r="BE19" i="72"/>
  <c r="AA19" i="100"/>
  <c r="AC22" i="131"/>
  <c r="AN22" i="131"/>
  <c r="AO22" i="131"/>
  <c r="AX19" i="72"/>
  <c r="T19" i="100"/>
  <c r="N28" i="100"/>
  <c r="AC31" i="120"/>
  <c r="AN31" i="120"/>
  <c r="AO31" i="120"/>
  <c r="AR28" i="72"/>
  <c r="T28" i="100"/>
  <c r="AC31" i="131"/>
  <c r="AN31" i="131"/>
  <c r="AO31" i="131"/>
  <c r="AX28" i="72"/>
  <c r="AC29" i="149"/>
  <c r="AN29" i="149"/>
  <c r="AO29" i="149"/>
  <c r="BD26" i="72"/>
  <c r="Z26" i="100"/>
  <c r="AC29" i="128"/>
  <c r="AN29" i="128"/>
  <c r="AO29" i="128"/>
  <c r="AV26" i="72"/>
  <c r="R26" i="100"/>
  <c r="AC75" i="127"/>
  <c r="AN75" i="127"/>
  <c r="AO75" i="127"/>
  <c r="AU72" i="72"/>
  <c r="Q72" i="100"/>
  <c r="AA75" i="153"/>
  <c r="AB75" i="153"/>
  <c r="P72" i="100"/>
  <c r="AC75" i="126"/>
  <c r="AN75" i="126"/>
  <c r="AO75" i="126"/>
  <c r="AT72" i="72"/>
  <c r="AD75" i="126"/>
  <c r="AF75" i="126"/>
  <c r="T72" i="100"/>
  <c r="AC75" i="131"/>
  <c r="AN75" i="131"/>
  <c r="AO75" i="131"/>
  <c r="AX72" i="72"/>
  <c r="AC51" i="126"/>
  <c r="AN51" i="126"/>
  <c r="AO51" i="126"/>
  <c r="AT48" i="72"/>
  <c r="P48" i="100"/>
  <c r="K48" i="100"/>
  <c r="AC51" i="117"/>
  <c r="AN51" i="117"/>
  <c r="AO51" i="117"/>
  <c r="AO48" i="72"/>
  <c r="W48" i="100"/>
  <c r="AC51" i="146"/>
  <c r="AN51" i="146"/>
  <c r="AO51" i="146"/>
  <c r="BA48" i="72"/>
  <c r="AD51" i="146"/>
  <c r="AF51" i="146"/>
  <c r="AC51" i="125"/>
  <c r="AN51" i="125"/>
  <c r="AO51" i="125"/>
  <c r="AS48" i="72"/>
  <c r="AD51" i="125"/>
  <c r="AF51" i="125"/>
  <c r="O48" i="100"/>
  <c r="AA51" i="151"/>
  <c r="AB51" i="151"/>
  <c r="AC63" i="120"/>
  <c r="AN63" i="120"/>
  <c r="AO63" i="120"/>
  <c r="AR60" i="72"/>
  <c r="N60" i="100"/>
  <c r="AK60" i="72"/>
  <c r="G60" i="100"/>
  <c r="AD63" i="113"/>
  <c r="AF63" i="113"/>
  <c r="AC47" i="129"/>
  <c r="AN47" i="129"/>
  <c r="AO47" i="129"/>
  <c r="AW44" i="72"/>
  <c r="S44" i="100"/>
  <c r="V44" i="100"/>
  <c r="AC47" i="145"/>
  <c r="AN47" i="145"/>
  <c r="AO47" i="145"/>
  <c r="AZ44" i="72"/>
  <c r="J44" i="100"/>
  <c r="AC47" i="116"/>
  <c r="AN47" i="116"/>
  <c r="AO47" i="116"/>
  <c r="AN44" i="72"/>
  <c r="AD47" i="116"/>
  <c r="AF47" i="116"/>
  <c r="AC47" i="127"/>
  <c r="AN47" i="127"/>
  <c r="AO47" i="127"/>
  <c r="AU44" i="72"/>
  <c r="Q44" i="100"/>
  <c r="AB14" i="144"/>
  <c r="I11" i="100"/>
  <c r="AM11" i="72"/>
  <c r="AD14" i="115"/>
  <c r="AF14" i="115"/>
  <c r="AA14" i="151"/>
  <c r="AB14" i="151"/>
  <c r="Q11" i="100"/>
  <c r="AC14" i="127"/>
  <c r="AN14" i="127"/>
  <c r="AO14" i="127"/>
  <c r="AU11" i="72"/>
  <c r="AB58" i="149"/>
  <c r="AC58" i="131"/>
  <c r="AN58" i="131"/>
  <c r="AO58" i="131"/>
  <c r="AX55" i="72"/>
  <c r="T55" i="100"/>
  <c r="AD58" i="80"/>
  <c r="AO58" i="80"/>
  <c r="AP58" i="80"/>
  <c r="BI55" i="72"/>
  <c r="AE55" i="100"/>
  <c r="AE58" i="80"/>
  <c r="AG58" i="80"/>
  <c r="G55" i="100"/>
  <c r="AK55" i="72"/>
  <c r="AB12" i="144"/>
  <c r="AC12" i="129"/>
  <c r="AN12" i="129"/>
  <c r="AO12" i="129"/>
  <c r="AW9" i="72"/>
  <c r="S9" i="100"/>
  <c r="AC12" i="127"/>
  <c r="AN12" i="127"/>
  <c r="AO12" i="127"/>
  <c r="AU9" i="72"/>
  <c r="Q9" i="100"/>
  <c r="K9" i="100"/>
  <c r="AC12" i="117"/>
  <c r="AN12" i="117"/>
  <c r="AO12" i="117"/>
  <c r="AO9" i="72"/>
  <c r="AC43" i="145"/>
  <c r="AN43" i="145"/>
  <c r="AO43" i="145"/>
  <c r="AZ40" i="72"/>
  <c r="V40" i="100"/>
  <c r="AC20" i="120"/>
  <c r="AN20" i="120"/>
  <c r="AO20" i="120"/>
  <c r="AR17" i="72"/>
  <c r="N17" i="100"/>
  <c r="AC20" i="118"/>
  <c r="AN20" i="118"/>
  <c r="AO20" i="118"/>
  <c r="AP17" i="72"/>
  <c r="L17" i="100"/>
  <c r="AD20" i="118"/>
  <c r="AF20" i="118"/>
  <c r="AC20" i="145"/>
  <c r="AN20" i="145"/>
  <c r="AO20" i="145"/>
  <c r="AZ17" i="72"/>
  <c r="V17" i="100"/>
  <c r="AD20" i="145"/>
  <c r="AF20" i="145"/>
  <c r="AC20" i="128"/>
  <c r="AN20" i="128"/>
  <c r="AO20" i="128"/>
  <c r="AV17" i="72"/>
  <c r="R17" i="100"/>
  <c r="AA20" i="149"/>
  <c r="AB20" i="149"/>
  <c r="AE5" i="100"/>
  <c r="AD8" i="80"/>
  <c r="AO8" i="80"/>
  <c r="AP8" i="80"/>
  <c r="BI5" i="72"/>
  <c r="AA8" i="145"/>
  <c r="AB8" i="145"/>
  <c r="P5" i="100"/>
  <c r="AC8" i="126"/>
  <c r="AN8" i="126"/>
  <c r="AO8" i="126"/>
  <c r="AT5" i="72"/>
  <c r="AL5" i="72"/>
  <c r="H5" i="100"/>
  <c r="X5" i="100"/>
  <c r="AC8" i="147"/>
  <c r="AN8" i="147"/>
  <c r="AO8" i="147"/>
  <c r="BB5" i="72"/>
  <c r="AC8" i="118"/>
  <c r="AN8" i="118"/>
  <c r="AO8" i="118"/>
  <c r="AP5" i="72"/>
  <c r="L5" i="100"/>
  <c r="AD52" i="76"/>
  <c r="AO52" i="76"/>
  <c r="AP52" i="76"/>
  <c r="BH49" i="72"/>
  <c r="AE52" i="76"/>
  <c r="AG52" i="76"/>
  <c r="AD49" i="100"/>
  <c r="AC52" i="144"/>
  <c r="AN52" i="144"/>
  <c r="AO52" i="144"/>
  <c r="AY49" i="72"/>
  <c r="U49" i="100"/>
  <c r="AC52" i="128"/>
  <c r="AN52" i="128"/>
  <c r="AO52" i="128"/>
  <c r="AV49" i="72"/>
  <c r="AD52" i="128"/>
  <c r="AF52" i="128"/>
  <c r="R49" i="100"/>
  <c r="AC52" i="146"/>
  <c r="AN52" i="146"/>
  <c r="AO52" i="146"/>
  <c r="BA49" i="72"/>
  <c r="W49" i="100"/>
  <c r="AD52" i="146"/>
  <c r="AF52" i="146"/>
  <c r="AC52" i="131"/>
  <c r="AN52" i="131"/>
  <c r="AO52" i="131"/>
  <c r="AX49" i="72"/>
  <c r="T49" i="100"/>
  <c r="AH52" i="113"/>
  <c r="AI52" i="113"/>
  <c r="G49" i="72"/>
  <c r="AJ52" i="113"/>
  <c r="AC23" i="120"/>
  <c r="AN23" i="120"/>
  <c r="AO23" i="120"/>
  <c r="AR20" i="72"/>
  <c r="N20" i="100"/>
  <c r="AD23" i="120"/>
  <c r="AF23" i="120"/>
  <c r="AE20" i="100"/>
  <c r="AD23" i="80"/>
  <c r="AO23" i="80"/>
  <c r="AP23" i="80"/>
  <c r="BI20" i="72"/>
  <c r="AC23" i="126"/>
  <c r="AN23" i="126"/>
  <c r="AO23" i="126"/>
  <c r="AT20" i="72"/>
  <c r="P20" i="100"/>
  <c r="Z20" i="100"/>
  <c r="AC23" i="149"/>
  <c r="AN23" i="149"/>
  <c r="AO23" i="149"/>
  <c r="BD20" i="72"/>
  <c r="I20" i="100"/>
  <c r="AM20" i="72"/>
  <c r="R20" i="100"/>
  <c r="AC23" i="128"/>
  <c r="AN23" i="128"/>
  <c r="AO23" i="128"/>
  <c r="AV20" i="72"/>
  <c r="J20" i="100"/>
  <c r="AC23" i="116"/>
  <c r="AN23" i="116"/>
  <c r="AO23" i="116"/>
  <c r="AN20" i="72"/>
  <c r="AD23" i="116"/>
  <c r="AF23" i="116"/>
  <c r="AC38" i="153"/>
  <c r="AN38" i="153"/>
  <c r="AO38" i="153"/>
  <c r="BG35" i="72"/>
  <c r="AC35" i="100"/>
  <c r="AD38" i="153"/>
  <c r="AF38" i="153"/>
  <c r="M35" i="100"/>
  <c r="AC38" i="119"/>
  <c r="AN38" i="119"/>
  <c r="AO38" i="119"/>
  <c r="AQ35" i="72"/>
  <c r="AC38" i="151"/>
  <c r="AN38" i="151"/>
  <c r="AO38" i="151"/>
  <c r="BE35" i="72"/>
  <c r="AA35" i="100"/>
  <c r="AC38" i="126"/>
  <c r="AN38" i="126"/>
  <c r="AO38" i="126"/>
  <c r="AT35" i="72"/>
  <c r="P35" i="100"/>
  <c r="AD38" i="126"/>
  <c r="AF38" i="126"/>
  <c r="AC38" i="149"/>
  <c r="AN38" i="149"/>
  <c r="AO38" i="149"/>
  <c r="BD35" i="72"/>
  <c r="Z35" i="100"/>
  <c r="AD38" i="76"/>
  <c r="AO38" i="76"/>
  <c r="AP38" i="76"/>
  <c r="BH35" i="72"/>
  <c r="AD35" i="100"/>
  <c r="AH38" i="113"/>
  <c r="AI38" i="113"/>
  <c r="G35" i="72"/>
  <c r="AJ38" i="113"/>
  <c r="E20" i="100"/>
  <c r="AJ17" i="46"/>
  <c r="AM6" i="46"/>
  <c r="AC46" i="118"/>
  <c r="AN46" i="118"/>
  <c r="AO46" i="118"/>
  <c r="AP43" i="72"/>
  <c r="L43" i="100"/>
  <c r="N43" i="100"/>
  <c r="AC46" i="120"/>
  <c r="AN46" i="120"/>
  <c r="AO46" i="120"/>
  <c r="AR43" i="72"/>
  <c r="K43" i="100"/>
  <c r="AC46" i="117"/>
  <c r="AN46" i="117"/>
  <c r="AO46" i="117"/>
  <c r="AO43" i="72"/>
  <c r="AC46" i="125"/>
  <c r="AN46" i="125"/>
  <c r="AO46" i="125"/>
  <c r="AS43" i="72"/>
  <c r="O43" i="100"/>
  <c r="S52" i="100"/>
  <c r="AC55" i="129"/>
  <c r="AN55" i="129"/>
  <c r="AO55" i="129"/>
  <c r="AW52" i="72"/>
  <c r="AC55" i="152"/>
  <c r="AN55" i="152"/>
  <c r="AO55" i="152"/>
  <c r="BF52" i="72"/>
  <c r="AB52" i="100"/>
  <c r="AD55" i="152"/>
  <c r="AF55" i="152"/>
  <c r="J52" i="100"/>
  <c r="AC55" i="116"/>
  <c r="AN55" i="116"/>
  <c r="AO55" i="116"/>
  <c r="AN52" i="72"/>
  <c r="L51" i="100"/>
  <c r="AC54" i="118"/>
  <c r="AN54" i="118"/>
  <c r="AO54" i="118"/>
  <c r="AP51" i="72"/>
  <c r="AD54" i="118"/>
  <c r="AF54" i="118"/>
  <c r="S51" i="100"/>
  <c r="AC54" i="129"/>
  <c r="AN54" i="129"/>
  <c r="AO54" i="129"/>
  <c r="AW51" i="72"/>
  <c r="H51" i="100"/>
  <c r="AL51" i="72"/>
  <c r="AC54" i="127"/>
  <c r="AN54" i="127"/>
  <c r="AO54" i="127"/>
  <c r="AU51" i="72"/>
  <c r="AD54" i="127"/>
  <c r="AF54" i="127"/>
  <c r="Q51" i="100"/>
  <c r="AM66" i="72"/>
  <c r="I66" i="100"/>
  <c r="AD69" i="115"/>
  <c r="AF69" i="115"/>
  <c r="AL66" i="72"/>
  <c r="H66" i="100"/>
  <c r="AC69" i="126"/>
  <c r="AN69" i="126"/>
  <c r="AO69" i="126"/>
  <c r="AT66" i="72"/>
  <c r="P66" i="100"/>
  <c r="AD27" i="76"/>
  <c r="AO27" i="76"/>
  <c r="AP27" i="76"/>
  <c r="BH24" i="72"/>
  <c r="AE27" i="76"/>
  <c r="AG27" i="76"/>
  <c r="AD24" i="100"/>
  <c r="W24" i="100"/>
  <c r="AC27" i="146"/>
  <c r="AN27" i="146"/>
  <c r="AO27" i="146"/>
  <c r="BA24" i="72"/>
  <c r="AD27" i="146"/>
  <c r="AF27" i="146"/>
  <c r="AC27" i="144"/>
  <c r="AN27" i="144"/>
  <c r="AO27" i="144"/>
  <c r="AY24" i="72"/>
  <c r="U24" i="100"/>
  <c r="AA58" i="100"/>
  <c r="AC61" i="151"/>
  <c r="AN61" i="151"/>
  <c r="AO61" i="151"/>
  <c r="BE58" i="72"/>
  <c r="K58" i="100"/>
  <c r="AC61" i="117"/>
  <c r="AN61" i="117"/>
  <c r="AO61" i="117"/>
  <c r="AO58" i="72"/>
  <c r="AD61" i="117"/>
  <c r="AF61" i="117"/>
  <c r="V58" i="100"/>
  <c r="AC61" i="145"/>
  <c r="AN61" i="145"/>
  <c r="AO61" i="145"/>
  <c r="AZ58" i="72"/>
  <c r="AH17" i="113"/>
  <c r="AI17" i="113"/>
  <c r="G14" i="72"/>
  <c r="AJ17" i="113"/>
  <c r="AC17" i="153"/>
  <c r="AN17" i="153"/>
  <c r="AO17" i="153"/>
  <c r="BG14" i="72"/>
  <c r="AC14" i="100"/>
  <c r="AD17" i="153"/>
  <c r="AF17" i="153"/>
  <c r="I62" i="100"/>
  <c r="AM62" i="72"/>
  <c r="H62" i="100"/>
  <c r="AL62" i="72"/>
  <c r="AD65" i="114"/>
  <c r="AF65" i="114"/>
  <c r="AC65" i="129"/>
  <c r="AN65" i="129"/>
  <c r="AO65" i="129"/>
  <c r="AW62" i="72"/>
  <c r="S62" i="100"/>
  <c r="AM14" i="46"/>
  <c r="AC42" i="126"/>
  <c r="AN42" i="126"/>
  <c r="AO42" i="126"/>
  <c r="AT39" i="72"/>
  <c r="P39" i="100"/>
  <c r="AC42" i="146"/>
  <c r="AN42" i="146"/>
  <c r="AO42" i="146"/>
  <c r="BA39" i="72"/>
  <c r="W39" i="100"/>
  <c r="H39" i="100"/>
  <c r="AL39" i="72"/>
  <c r="AB42" i="152"/>
  <c r="AC10" i="151"/>
  <c r="AN10" i="151"/>
  <c r="AO10" i="151"/>
  <c r="BE7" i="72"/>
  <c r="AA7" i="100"/>
  <c r="AD10" i="151"/>
  <c r="AF10" i="151"/>
  <c r="R7" i="100"/>
  <c r="AC10" i="128"/>
  <c r="AN10" i="128"/>
  <c r="AO10" i="128"/>
  <c r="AV7" i="72"/>
  <c r="AD10" i="128"/>
  <c r="AF10" i="128"/>
  <c r="AE7" i="100"/>
  <c r="AD10" i="80"/>
  <c r="AO10" i="80"/>
  <c r="AP10" i="80"/>
  <c r="BI7" i="72"/>
  <c r="AC10" i="148"/>
  <c r="AN10" i="148"/>
  <c r="AO10" i="148"/>
  <c r="BC7" i="72"/>
  <c r="Y7" i="100"/>
  <c r="T23" i="100"/>
  <c r="AC26" i="131"/>
  <c r="AN26" i="131"/>
  <c r="AO26" i="131"/>
  <c r="AX23" i="72"/>
  <c r="AC26" i="127"/>
  <c r="AN26" i="127"/>
  <c r="AO26" i="127"/>
  <c r="AU23" i="72"/>
  <c r="Q23" i="100"/>
  <c r="AC26" i="119"/>
  <c r="AN26" i="119"/>
  <c r="AO26" i="119"/>
  <c r="AQ23" i="72"/>
  <c r="M23" i="100"/>
  <c r="AD26" i="119"/>
  <c r="AF26" i="119"/>
  <c r="AC26" i="153"/>
  <c r="AN26" i="153"/>
  <c r="AO26" i="153"/>
  <c r="BG23" i="72"/>
  <c r="AC23" i="100"/>
  <c r="AD26" i="153"/>
  <c r="AF26" i="153"/>
  <c r="AC28" i="120"/>
  <c r="AN28" i="120"/>
  <c r="AO28" i="120"/>
  <c r="AR25" i="72"/>
  <c r="N25" i="100"/>
  <c r="AC28" i="144"/>
  <c r="AN28" i="144"/>
  <c r="AO28" i="144"/>
  <c r="AY25" i="72"/>
  <c r="U25" i="100"/>
  <c r="AC25" i="100"/>
  <c r="AC28" i="153"/>
  <c r="AN28" i="153"/>
  <c r="AO28" i="153"/>
  <c r="BG25" i="72"/>
  <c r="AH36" i="113"/>
  <c r="AI36" i="113"/>
  <c r="G33" i="72"/>
  <c r="AJ36" i="113"/>
  <c r="T33" i="100"/>
  <c r="AC36" i="131"/>
  <c r="AN36" i="131"/>
  <c r="AO36" i="131"/>
  <c r="AX33" i="72"/>
  <c r="AD36" i="131"/>
  <c r="AF36" i="131"/>
  <c r="AC36" i="116"/>
  <c r="AN36" i="116"/>
  <c r="AO36" i="116"/>
  <c r="AN33" i="72"/>
  <c r="J33" i="100"/>
  <c r="AD36" i="116"/>
  <c r="AF36" i="116"/>
  <c r="AD33" i="100"/>
  <c r="AD36" i="76"/>
  <c r="AO36" i="76"/>
  <c r="AP36" i="76"/>
  <c r="BH33" i="72"/>
  <c r="AD67" i="80"/>
  <c r="AO67" i="80"/>
  <c r="AP67" i="80"/>
  <c r="BI64" i="72"/>
  <c r="AE64" i="100"/>
  <c r="P64" i="100"/>
  <c r="AC67" i="126"/>
  <c r="AN67" i="126"/>
  <c r="AO67" i="126"/>
  <c r="AT64" i="72"/>
  <c r="AC67" i="120"/>
  <c r="AN67" i="120"/>
  <c r="AO67" i="120"/>
  <c r="AR64" i="72"/>
  <c r="N64" i="100"/>
  <c r="AC59" i="149"/>
  <c r="AN59" i="149"/>
  <c r="AO59" i="149"/>
  <c r="BD56" i="72"/>
  <c r="Z56" i="100"/>
  <c r="AL56" i="72"/>
  <c r="H56" i="100"/>
  <c r="AD59" i="114"/>
  <c r="AF59" i="114"/>
  <c r="AC32" i="144"/>
  <c r="AN32" i="144"/>
  <c r="AO32" i="144"/>
  <c r="AY29" i="72"/>
  <c r="U29" i="100"/>
  <c r="AC32" i="128"/>
  <c r="AN32" i="128"/>
  <c r="AO32" i="128"/>
  <c r="AV29" i="72"/>
  <c r="R29" i="100"/>
  <c r="AH73" i="113"/>
  <c r="AI73" i="113"/>
  <c r="G70" i="72"/>
  <c r="AJ73" i="113"/>
  <c r="T70" i="100"/>
  <c r="AC73" i="131"/>
  <c r="AN73" i="131"/>
  <c r="AO73" i="131"/>
  <c r="AX70" i="72"/>
  <c r="AC73" i="145"/>
  <c r="AN73" i="145"/>
  <c r="AO73" i="145"/>
  <c r="AZ70" i="72"/>
  <c r="V70" i="100"/>
  <c r="N70" i="100"/>
  <c r="AC73" i="120"/>
  <c r="AN73" i="120"/>
  <c r="AO73" i="120"/>
  <c r="AR70" i="72"/>
  <c r="T36" i="100"/>
  <c r="AC39" i="131"/>
  <c r="AN39" i="131"/>
  <c r="AO39" i="131"/>
  <c r="AX36" i="72"/>
  <c r="AE36" i="100"/>
  <c r="AD39" i="80"/>
  <c r="AO39" i="80"/>
  <c r="AP39" i="80"/>
  <c r="BI36" i="72"/>
  <c r="AC39" i="128"/>
  <c r="AN39" i="128"/>
  <c r="AO39" i="128"/>
  <c r="AV36" i="72"/>
  <c r="R36" i="100"/>
  <c r="AD39" i="128"/>
  <c r="AF39" i="128"/>
  <c r="I36" i="100"/>
  <c r="AM36" i="72"/>
  <c r="AC24" i="151"/>
  <c r="AN24" i="151"/>
  <c r="AO24" i="151"/>
  <c r="BE21" i="72"/>
  <c r="AA21" i="100"/>
  <c r="AC24" i="126"/>
  <c r="AN24" i="126"/>
  <c r="AO24" i="126"/>
  <c r="AT21" i="72"/>
  <c r="P21" i="100"/>
  <c r="J21" i="100"/>
  <c r="AC24" i="116"/>
  <c r="AN24" i="116"/>
  <c r="AO24" i="116"/>
  <c r="AN21" i="72"/>
  <c r="O59" i="100"/>
  <c r="AC62" i="125"/>
  <c r="AN62" i="125"/>
  <c r="AO62" i="125"/>
  <c r="AS59" i="72"/>
  <c r="AC62" i="131"/>
  <c r="AN62" i="131"/>
  <c r="AO62" i="131"/>
  <c r="AX59" i="72"/>
  <c r="T59" i="100"/>
  <c r="AC62" i="147"/>
  <c r="AN62" i="147"/>
  <c r="AO62" i="147"/>
  <c r="BB59" i="72"/>
  <c r="X59" i="100"/>
  <c r="AD62" i="147"/>
  <c r="AF62" i="147"/>
  <c r="AM31" i="72"/>
  <c r="I31" i="100"/>
  <c r="Y31" i="100"/>
  <c r="AC34" i="148"/>
  <c r="AN34" i="148"/>
  <c r="AO34" i="148"/>
  <c r="BC31" i="72"/>
  <c r="AC34" i="146"/>
  <c r="AN34" i="146"/>
  <c r="AO34" i="146"/>
  <c r="BA31" i="72"/>
  <c r="W31" i="100"/>
  <c r="AC44" i="144"/>
  <c r="AN44" i="144"/>
  <c r="AO44" i="144"/>
  <c r="AY41" i="72"/>
  <c r="U41" i="100"/>
  <c r="K41" i="100"/>
  <c r="AC44" i="117"/>
  <c r="AN44" i="117"/>
  <c r="AO44" i="117"/>
  <c r="AO41" i="72"/>
  <c r="AC44" i="119"/>
  <c r="AN44" i="119"/>
  <c r="AO44" i="119"/>
  <c r="AQ41" i="72"/>
  <c r="M41" i="100"/>
  <c r="S41" i="100"/>
  <c r="AC44" i="129"/>
  <c r="AN44" i="129"/>
  <c r="AO44" i="129"/>
  <c r="AW41" i="72"/>
  <c r="AC44" i="126"/>
  <c r="AN44" i="126"/>
  <c r="AO44" i="126"/>
  <c r="AT41" i="72"/>
  <c r="P41" i="100"/>
  <c r="AD44" i="126"/>
  <c r="AF44" i="126"/>
  <c r="AH44" i="113"/>
  <c r="AI44" i="113"/>
  <c r="G41" i="72"/>
  <c r="AJ44" i="113"/>
  <c r="AC66" i="131"/>
  <c r="AN66" i="131"/>
  <c r="AO66" i="131"/>
  <c r="AX63" i="72"/>
  <c r="T63" i="100"/>
  <c r="AC66" i="116"/>
  <c r="AN66" i="116"/>
  <c r="AO66" i="116"/>
  <c r="AN63" i="72"/>
  <c r="AD66" i="116"/>
  <c r="AF66" i="116"/>
  <c r="J63" i="100"/>
  <c r="AH21" i="113"/>
  <c r="AI21" i="113"/>
  <c r="G18" i="72"/>
  <c r="AJ21" i="113"/>
  <c r="AC21" i="117"/>
  <c r="AN21" i="117"/>
  <c r="AO21" i="117"/>
  <c r="AO18" i="72"/>
  <c r="K18" i="100"/>
  <c r="AL18" i="72"/>
  <c r="AD21" i="114"/>
  <c r="AF21" i="114"/>
  <c r="H18" i="100"/>
  <c r="O18" i="100"/>
  <c r="AC21" i="125"/>
  <c r="AN21" i="125"/>
  <c r="AO21" i="125"/>
  <c r="AS18" i="72"/>
  <c r="AD21" i="125"/>
  <c r="AF21" i="125"/>
  <c r="R15" i="100"/>
  <c r="AC18" i="128"/>
  <c r="AN18" i="128"/>
  <c r="AO18" i="128"/>
  <c r="AV15" i="72"/>
  <c r="S15" i="100"/>
  <c r="AC18" i="129"/>
  <c r="AN18" i="129"/>
  <c r="AO18" i="129"/>
  <c r="AW15" i="72"/>
  <c r="L65" i="100"/>
  <c r="AC68" i="118"/>
  <c r="AN68" i="118"/>
  <c r="AO68" i="118"/>
  <c r="AP65" i="72"/>
  <c r="AL65" i="72"/>
  <c r="H65" i="100"/>
  <c r="AD68" i="114"/>
  <c r="AF68" i="114"/>
  <c r="T65" i="100"/>
  <c r="AC68" i="131"/>
  <c r="AN68" i="131"/>
  <c r="AO68" i="131"/>
  <c r="AX65" i="72"/>
  <c r="K57" i="100"/>
  <c r="AC60" i="117"/>
  <c r="AN60" i="117"/>
  <c r="AO60" i="117"/>
  <c r="AO57" i="72"/>
  <c r="AC60" i="126"/>
  <c r="AN60" i="126"/>
  <c r="AO60" i="126"/>
  <c r="AT57" i="72"/>
  <c r="P57" i="100"/>
  <c r="AH16" i="113"/>
  <c r="AI16" i="113"/>
  <c r="G13" i="72"/>
  <c r="AJ16" i="113"/>
  <c r="S13" i="100"/>
  <c r="AC16" i="129"/>
  <c r="AN16" i="129"/>
  <c r="AO16" i="129"/>
  <c r="AW13" i="72"/>
  <c r="AD16" i="129"/>
  <c r="AF16" i="129"/>
  <c r="R13" i="100"/>
  <c r="AC16" i="128"/>
  <c r="AN16" i="128"/>
  <c r="AO16" i="128"/>
  <c r="AV13" i="72"/>
  <c r="AC49" i="116"/>
  <c r="AN49" i="116"/>
  <c r="AO49" i="116"/>
  <c r="AN46" i="72"/>
  <c r="J46" i="100"/>
  <c r="L46" i="100"/>
  <c r="AC49" i="118"/>
  <c r="AN49" i="118"/>
  <c r="AO49" i="118"/>
  <c r="AP46" i="72"/>
  <c r="AC46" i="100"/>
  <c r="AC49" i="153"/>
  <c r="AN49" i="153"/>
  <c r="AO49" i="153"/>
  <c r="BG46" i="72"/>
  <c r="AH74" i="125"/>
  <c r="AI74" i="125"/>
  <c r="O71" i="72"/>
  <c r="AJ74" i="125"/>
  <c r="AH74" i="118"/>
  <c r="AI74" i="118"/>
  <c r="L71" i="72"/>
  <c r="AJ74" i="118"/>
  <c r="AH74" i="116"/>
  <c r="AI74" i="116"/>
  <c r="J71" i="72"/>
  <c r="AJ74" i="116"/>
  <c r="AH74" i="147"/>
  <c r="AI74" i="147"/>
  <c r="X71" i="72"/>
  <c r="AJ74" i="147"/>
  <c r="AH13" i="120"/>
  <c r="AI13" i="120"/>
  <c r="N10" i="72"/>
  <c r="AJ13" i="120"/>
  <c r="AH13" i="125"/>
  <c r="AI13" i="125"/>
  <c r="O10" i="72"/>
  <c r="AJ13" i="125"/>
  <c r="AD13" i="116"/>
  <c r="AF13" i="116"/>
  <c r="AH41" i="145"/>
  <c r="AI41" i="145"/>
  <c r="V38" i="72"/>
  <c r="AJ41" i="145"/>
  <c r="AH41" i="116"/>
  <c r="AI41" i="116"/>
  <c r="J38" i="72"/>
  <c r="AJ41" i="116"/>
  <c r="AH41" i="117"/>
  <c r="AI41" i="117"/>
  <c r="K38" i="72"/>
  <c r="AJ41" i="117"/>
  <c r="Y38" i="100"/>
  <c r="AC41" i="148"/>
  <c r="AN41" i="148"/>
  <c r="AO41" i="148"/>
  <c r="BC38" i="72"/>
  <c r="AH19" i="147"/>
  <c r="AI19" i="147"/>
  <c r="X16" i="72"/>
  <c r="AJ19" i="147"/>
  <c r="W16" i="100"/>
  <c r="AC19" i="146"/>
  <c r="AN19" i="146"/>
  <c r="AO19" i="146"/>
  <c r="BA16" i="72"/>
  <c r="AD19" i="146"/>
  <c r="AF19" i="146"/>
  <c r="AH53" i="119"/>
  <c r="AI53" i="119"/>
  <c r="M50" i="72"/>
  <c r="AJ53" i="119"/>
  <c r="Q50" i="100"/>
  <c r="AC53" i="127"/>
  <c r="AN53" i="127"/>
  <c r="AO53" i="127"/>
  <c r="AU50" i="72"/>
  <c r="AC45" i="128"/>
  <c r="AN45" i="128"/>
  <c r="AO45" i="128"/>
  <c r="AV42" i="72"/>
  <c r="R42" i="100"/>
  <c r="AD45" i="128"/>
  <c r="AF45" i="128"/>
  <c r="W42" i="100"/>
  <c r="AC45" i="146"/>
  <c r="AN45" i="146"/>
  <c r="AO45" i="146"/>
  <c r="BA42" i="72"/>
  <c r="AH9" i="115"/>
  <c r="AI9" i="115"/>
  <c r="I6" i="72"/>
  <c r="AJ9" i="115"/>
  <c r="AC9" i="144"/>
  <c r="AN9" i="144"/>
  <c r="AO9" i="144"/>
  <c r="AY6" i="72"/>
  <c r="U6" i="100"/>
  <c r="AH9" i="148"/>
  <c r="AI9" i="148"/>
  <c r="Y6" i="72"/>
  <c r="AJ9" i="148"/>
  <c r="AH56" i="125"/>
  <c r="AI56" i="125"/>
  <c r="O53" i="72"/>
  <c r="AJ56" i="125"/>
  <c r="AH56" i="131"/>
  <c r="AI56" i="131"/>
  <c r="T53" i="72"/>
  <c r="AJ56" i="131"/>
  <c r="AH56" i="120"/>
  <c r="AI56" i="120"/>
  <c r="N53" i="72"/>
  <c r="AJ56" i="120"/>
  <c r="Y53" i="100"/>
  <c r="AC56" i="148"/>
  <c r="AN56" i="148"/>
  <c r="AO56" i="148"/>
  <c r="BC53" i="72"/>
  <c r="AH70" i="126"/>
  <c r="AI70" i="126"/>
  <c r="P67" i="72"/>
  <c r="AJ70" i="126"/>
  <c r="AH70" i="115"/>
  <c r="AI70" i="115"/>
  <c r="I67" i="72"/>
  <c r="AJ70" i="115"/>
  <c r="AH70" i="153"/>
  <c r="AI70" i="153"/>
  <c r="AC67" i="72"/>
  <c r="AJ70" i="153"/>
  <c r="AH70" i="114"/>
  <c r="AI70" i="114"/>
  <c r="H67" i="72"/>
  <c r="AJ70" i="114"/>
  <c r="AH50" i="129"/>
  <c r="AI50" i="129"/>
  <c r="S47" i="72"/>
  <c r="AJ50" i="129"/>
  <c r="AH50" i="148"/>
  <c r="AI50" i="148"/>
  <c r="Y47" i="72"/>
  <c r="AJ50" i="148"/>
  <c r="AC50" i="151"/>
  <c r="AN50" i="151"/>
  <c r="AO50" i="151"/>
  <c r="BE47" i="72"/>
  <c r="AA47" i="100"/>
  <c r="AL27" i="72"/>
  <c r="H27" i="100"/>
  <c r="AC30" i="147"/>
  <c r="AN30" i="147"/>
  <c r="AO30" i="147"/>
  <c r="BB27" i="72"/>
  <c r="X27" i="100"/>
  <c r="AD30" i="147"/>
  <c r="AF30" i="147"/>
  <c r="AC35" i="117"/>
  <c r="AN35" i="117"/>
  <c r="AO35" i="117"/>
  <c r="AO32" i="72"/>
  <c r="K32" i="100"/>
  <c r="AD35" i="117"/>
  <c r="AF35" i="117"/>
  <c r="S32" i="100"/>
  <c r="AC35" i="129"/>
  <c r="AN35" i="129"/>
  <c r="AO35" i="129"/>
  <c r="AW32" i="72"/>
  <c r="AM32" i="72"/>
  <c r="I32" i="100"/>
  <c r="AD35" i="115"/>
  <c r="AF35" i="115"/>
  <c r="AA35" i="151"/>
  <c r="AB35" i="151"/>
  <c r="AH64" i="116"/>
  <c r="AI64" i="116"/>
  <c r="J61" i="72"/>
  <c r="AJ64" i="116"/>
  <c r="AH64" i="126"/>
  <c r="AI64" i="126"/>
  <c r="P61" i="72"/>
  <c r="AJ64" i="126"/>
  <c r="AH64" i="114"/>
  <c r="AI64" i="114"/>
  <c r="H61" i="72"/>
  <c r="AJ64" i="114"/>
  <c r="AC64" i="128"/>
  <c r="AN64" i="128"/>
  <c r="AO64" i="128"/>
  <c r="AV61" i="72"/>
  <c r="R61" i="100"/>
  <c r="Y19" i="100"/>
  <c r="AC22" i="148"/>
  <c r="AN22" i="148"/>
  <c r="AO22" i="148"/>
  <c r="BC19" i="72"/>
  <c r="AH22" i="118"/>
  <c r="AI22" i="118"/>
  <c r="L19" i="72"/>
  <c r="AJ22" i="118"/>
  <c r="AL19" i="72"/>
  <c r="H19" i="100"/>
  <c r="AH31" i="119"/>
  <c r="AI31" i="119"/>
  <c r="M28" i="72"/>
  <c r="AJ31" i="119"/>
  <c r="AH31" i="149"/>
  <c r="AI31" i="149"/>
  <c r="Z28" i="72"/>
  <c r="AJ31" i="149"/>
  <c r="AH31" i="127"/>
  <c r="AI31" i="127"/>
  <c r="Q28" i="72"/>
  <c r="AJ31" i="127"/>
  <c r="AC31" i="147"/>
  <c r="AN31" i="147"/>
  <c r="AO31" i="147"/>
  <c r="BB28" i="72"/>
  <c r="X28" i="100"/>
  <c r="AD31" i="147"/>
  <c r="AF31" i="147"/>
  <c r="AH29" i="113"/>
  <c r="AI29" i="113"/>
  <c r="G26" i="72"/>
  <c r="AJ29" i="113"/>
  <c r="AH29" i="126"/>
  <c r="AI29" i="126"/>
  <c r="P26" i="72"/>
  <c r="AJ29" i="126"/>
  <c r="AC29" i="153"/>
  <c r="AN29" i="153"/>
  <c r="AO29" i="153"/>
  <c r="BG26" i="72"/>
  <c r="AC26" i="100"/>
  <c r="AD29" i="153"/>
  <c r="AF29" i="153"/>
  <c r="AH29" i="146"/>
  <c r="AI29" i="146"/>
  <c r="W26" i="72"/>
  <c r="AJ29" i="146"/>
  <c r="L30" i="100"/>
  <c r="AC33" i="118"/>
  <c r="AN33" i="118"/>
  <c r="AO33" i="118"/>
  <c r="AP30" i="72"/>
  <c r="AD30" i="100"/>
  <c r="AD33" i="76"/>
  <c r="AO33" i="76"/>
  <c r="AP33" i="76"/>
  <c r="BH30" i="72"/>
  <c r="O30" i="100"/>
  <c r="AC33" i="125"/>
  <c r="AN33" i="125"/>
  <c r="AO33" i="125"/>
  <c r="AS30" i="72"/>
  <c r="AD33" i="125"/>
  <c r="AF33" i="125"/>
  <c r="J30" i="100"/>
  <c r="AC33" i="116"/>
  <c r="AN33" i="116"/>
  <c r="AO33" i="116"/>
  <c r="AN30" i="72"/>
  <c r="AB33" i="153"/>
  <c r="AC72" i="144"/>
  <c r="AN72" i="144"/>
  <c r="AO72" i="144"/>
  <c r="AY69" i="72"/>
  <c r="U69" i="100"/>
  <c r="N69" i="100"/>
  <c r="AC72" i="120"/>
  <c r="AN72" i="120"/>
  <c r="AO72" i="120"/>
  <c r="AR69" i="72"/>
  <c r="AA72" i="148"/>
  <c r="AC72" i="119"/>
  <c r="AN72" i="119"/>
  <c r="AO72" i="119"/>
  <c r="AQ69" i="72"/>
  <c r="M69" i="100"/>
  <c r="AD72" i="119"/>
  <c r="AF72" i="119"/>
  <c r="AC72" i="131"/>
  <c r="AN72" i="131"/>
  <c r="AO72" i="131"/>
  <c r="AX69" i="72"/>
  <c r="T69" i="100"/>
  <c r="AC72" i="147"/>
  <c r="AN72" i="147"/>
  <c r="AO72" i="147"/>
  <c r="BB69" i="72"/>
  <c r="X69" i="100"/>
  <c r="Q12" i="100"/>
  <c r="AC15" i="127"/>
  <c r="AN15" i="127"/>
  <c r="AO15" i="127"/>
  <c r="AU12" i="72"/>
  <c r="J12" i="100"/>
  <c r="AC15" i="116"/>
  <c r="AN15" i="116"/>
  <c r="AO15" i="116"/>
  <c r="AN12" i="72"/>
  <c r="AD15" i="116"/>
  <c r="AF15" i="116"/>
  <c r="AB15" i="148"/>
  <c r="AD12" i="100"/>
  <c r="AD15" i="76"/>
  <c r="AO15" i="76"/>
  <c r="AP15" i="76"/>
  <c r="BH12" i="72"/>
  <c r="K12" i="100"/>
  <c r="AC15" i="117"/>
  <c r="AN15" i="117"/>
  <c r="AO15" i="117"/>
  <c r="AO12" i="72"/>
  <c r="AE12" i="100"/>
  <c r="AD15" i="80"/>
  <c r="AO15" i="80"/>
  <c r="AP15" i="80"/>
  <c r="BI12" i="72"/>
  <c r="AE15" i="80"/>
  <c r="AG15" i="80"/>
  <c r="AB15" i="149"/>
  <c r="AC25" i="145"/>
  <c r="AN25" i="145"/>
  <c r="AO25" i="145"/>
  <c r="AZ22" i="72"/>
  <c r="V22" i="100"/>
  <c r="AD25" i="145"/>
  <c r="AF25" i="145"/>
  <c r="U22" i="100"/>
  <c r="AC25" i="144"/>
  <c r="AN25" i="144"/>
  <c r="AO25" i="144"/>
  <c r="AY22" i="72"/>
  <c r="AD25" i="144"/>
  <c r="AF25" i="144"/>
  <c r="AC25" i="116"/>
  <c r="AN25" i="116"/>
  <c r="AO25" i="116"/>
  <c r="AN22" i="72"/>
  <c r="J22" i="100"/>
  <c r="AA25" i="151"/>
  <c r="AC25" i="146"/>
  <c r="AN25" i="146"/>
  <c r="AO25" i="146"/>
  <c r="BA22" i="72"/>
  <c r="W22" i="100"/>
  <c r="AD25" i="146"/>
  <c r="AF25" i="146"/>
  <c r="AC25" i="127"/>
  <c r="AN25" i="127"/>
  <c r="AO25" i="127"/>
  <c r="AU22" i="72"/>
  <c r="Q22" i="100"/>
  <c r="AD25" i="127"/>
  <c r="AF25" i="127"/>
  <c r="AC25" i="128"/>
  <c r="AN25" i="128"/>
  <c r="AO25" i="128"/>
  <c r="AV22" i="72"/>
  <c r="R22" i="100"/>
  <c r="AC37" i="118"/>
  <c r="AN37" i="118"/>
  <c r="AO37" i="118"/>
  <c r="AP34" i="72"/>
  <c r="L34" i="100"/>
  <c r="AC37" i="148"/>
  <c r="AN37" i="148"/>
  <c r="AO37" i="148"/>
  <c r="BC34" i="72"/>
  <c r="Y34" i="100"/>
  <c r="AD37" i="148"/>
  <c r="AF37" i="148"/>
  <c r="H34" i="100"/>
  <c r="AL34" i="72"/>
  <c r="AM34" i="72"/>
  <c r="I34" i="100"/>
  <c r="T34" i="100"/>
  <c r="AC37" i="131"/>
  <c r="AN37" i="131"/>
  <c r="AO37" i="131"/>
  <c r="AX34" i="72"/>
  <c r="AC37" i="128"/>
  <c r="AN37" i="128"/>
  <c r="AO37" i="128"/>
  <c r="AV34" i="72"/>
  <c r="R34" i="100"/>
  <c r="AH46" i="116"/>
  <c r="AI46" i="116"/>
  <c r="J43" i="72"/>
  <c r="AJ46" i="116"/>
  <c r="AH46" i="127"/>
  <c r="AI46" i="127"/>
  <c r="Q43" i="72"/>
  <c r="AJ46" i="127"/>
  <c r="AH55" i="125"/>
  <c r="AI55" i="125"/>
  <c r="O52" i="72"/>
  <c r="AJ55" i="125"/>
  <c r="AH54" i="120"/>
  <c r="AI54" i="120"/>
  <c r="N51" i="72"/>
  <c r="AJ54" i="120"/>
  <c r="AH54" i="146"/>
  <c r="AI54" i="146"/>
  <c r="W51" i="72"/>
  <c r="AJ54" i="146"/>
  <c r="AI54" i="76"/>
  <c r="AJ54" i="76"/>
  <c r="AD51" i="72"/>
  <c r="AK54" i="76"/>
  <c r="AH69" i="127"/>
  <c r="AI69" i="127"/>
  <c r="Q66" i="72"/>
  <c r="AJ69" i="127"/>
  <c r="AH69" i="153"/>
  <c r="AI69" i="153"/>
  <c r="AC66" i="72"/>
  <c r="AJ69" i="153"/>
  <c r="AH27" i="126"/>
  <c r="AI27" i="126"/>
  <c r="P24" i="72"/>
  <c r="AJ27" i="126"/>
  <c r="AH27" i="125"/>
  <c r="AI27" i="125"/>
  <c r="O24" i="72"/>
  <c r="AJ27" i="125"/>
  <c r="AH27" i="129"/>
  <c r="AI27" i="129"/>
  <c r="S24" i="72"/>
  <c r="AJ27" i="129"/>
  <c r="AC27" i="149"/>
  <c r="AN27" i="149"/>
  <c r="AO27" i="149"/>
  <c r="BD24" i="72"/>
  <c r="Z24" i="100"/>
  <c r="AD27" i="149"/>
  <c r="AF27" i="149"/>
  <c r="AH61" i="131"/>
  <c r="AI61" i="131"/>
  <c r="T58" i="72"/>
  <c r="AJ61" i="131"/>
  <c r="AI17" i="76"/>
  <c r="AJ17" i="76"/>
  <c r="AD14" i="72"/>
  <c r="AK17" i="76"/>
  <c r="AH17" i="120"/>
  <c r="AI17" i="120"/>
  <c r="N14" i="72"/>
  <c r="AJ17" i="120"/>
  <c r="U14" i="100"/>
  <c r="AC17" i="144"/>
  <c r="AN17" i="144"/>
  <c r="AO17" i="144"/>
  <c r="AY14" i="72"/>
  <c r="AH17" i="115"/>
  <c r="AI17" i="115"/>
  <c r="I14" i="72"/>
  <c r="AJ17" i="115"/>
  <c r="AH65" i="148"/>
  <c r="AI65" i="148"/>
  <c r="Y62" i="72"/>
  <c r="AJ65" i="148"/>
  <c r="AH65" i="120"/>
  <c r="AI65" i="120"/>
  <c r="N62" i="72"/>
  <c r="AJ65" i="120"/>
  <c r="AH65" i="128"/>
  <c r="AI65" i="128"/>
  <c r="R62" i="72"/>
  <c r="AJ65" i="128"/>
  <c r="AH65" i="151"/>
  <c r="AI65" i="151"/>
  <c r="AA62" i="72"/>
  <c r="AJ65" i="151"/>
  <c r="AH65" i="127"/>
  <c r="AI65" i="127"/>
  <c r="Q62" i="72"/>
  <c r="AJ65" i="127"/>
  <c r="V62" i="100"/>
  <c r="AC65" i="145"/>
  <c r="AN65" i="145"/>
  <c r="AO65" i="145"/>
  <c r="AZ62" i="72"/>
  <c r="AD65" i="145"/>
  <c r="AF65" i="145"/>
  <c r="AH10" i="127"/>
  <c r="AI10" i="127"/>
  <c r="Q7" i="72"/>
  <c r="AJ10" i="127"/>
  <c r="AH10" i="119"/>
  <c r="AI10" i="119"/>
  <c r="M7" i="72"/>
  <c r="AJ10" i="119"/>
  <c r="AH26" i="116"/>
  <c r="AI26" i="116"/>
  <c r="J23" i="72"/>
  <c r="AJ26" i="116"/>
  <c r="AH26" i="145"/>
  <c r="AI26" i="145"/>
  <c r="V23" i="72"/>
  <c r="AJ26" i="145"/>
  <c r="AH26" i="115"/>
  <c r="AI26" i="115"/>
  <c r="I23" i="72"/>
  <c r="AJ26" i="115"/>
  <c r="AI26" i="76"/>
  <c r="AJ26" i="76"/>
  <c r="AD23" i="72"/>
  <c r="AK26" i="76"/>
  <c r="AH26" i="120"/>
  <c r="AI26" i="120"/>
  <c r="N23" i="72"/>
  <c r="AJ26" i="120"/>
  <c r="AD54" i="100"/>
  <c r="AD57" i="76"/>
  <c r="AO57" i="76"/>
  <c r="AP57" i="76"/>
  <c r="BH54" i="72"/>
  <c r="AE57" i="76"/>
  <c r="AG57" i="76"/>
  <c r="AD57" i="80"/>
  <c r="AO57" i="80"/>
  <c r="AP57" i="80"/>
  <c r="BI54" i="72"/>
  <c r="AE54" i="100"/>
  <c r="M54" i="100"/>
  <c r="AC57" i="119"/>
  <c r="AN57" i="119"/>
  <c r="AO57" i="119"/>
  <c r="AQ54" i="72"/>
  <c r="AH57" i="113"/>
  <c r="AI57" i="113"/>
  <c r="G54" i="72"/>
  <c r="AJ57" i="113"/>
  <c r="AH28" i="128"/>
  <c r="AI28" i="128"/>
  <c r="R25" i="72"/>
  <c r="AJ28" i="128"/>
  <c r="AC28" i="147"/>
  <c r="AN28" i="147"/>
  <c r="AO28" i="147"/>
  <c r="BB25" i="72"/>
  <c r="X25" i="100"/>
  <c r="AD28" i="147"/>
  <c r="AF28" i="147"/>
  <c r="AH28" i="152"/>
  <c r="AI28" i="152"/>
  <c r="AB25" i="72"/>
  <c r="AJ28" i="152"/>
  <c r="AH36" i="125"/>
  <c r="AI36" i="125"/>
  <c r="O33" i="72"/>
  <c r="AJ36" i="125"/>
  <c r="AH36" i="115"/>
  <c r="AI36" i="115"/>
  <c r="I33" i="72"/>
  <c r="AJ36" i="115"/>
  <c r="AI36" i="80"/>
  <c r="AJ36" i="80"/>
  <c r="AE33" i="72"/>
  <c r="AK36" i="80"/>
  <c r="AH36" i="120"/>
  <c r="AI36" i="120"/>
  <c r="N33" i="72"/>
  <c r="AJ36" i="120"/>
  <c r="AH67" i="144"/>
  <c r="AI67" i="144"/>
  <c r="U64" i="72"/>
  <c r="AJ67" i="144"/>
  <c r="AH67" i="114"/>
  <c r="AI67" i="114"/>
  <c r="H64" i="72"/>
  <c r="AJ67" i="114"/>
  <c r="AI59" i="80"/>
  <c r="AJ59" i="80"/>
  <c r="AE56" i="72"/>
  <c r="AK59" i="80"/>
  <c r="AH32" i="146"/>
  <c r="AI32" i="146"/>
  <c r="W29" i="72"/>
  <c r="AJ32" i="146"/>
  <c r="Z29" i="100"/>
  <c r="AC32" i="149"/>
  <c r="AN32" i="149"/>
  <c r="AO32" i="149"/>
  <c r="BD29" i="72"/>
  <c r="AH73" i="117"/>
  <c r="AI73" i="117"/>
  <c r="K70" i="72"/>
  <c r="AJ73" i="117"/>
  <c r="AH73" i="146"/>
  <c r="AI73" i="146"/>
  <c r="W70" i="72"/>
  <c r="AJ73" i="146"/>
  <c r="AH39" i="118"/>
  <c r="AI39" i="118"/>
  <c r="L36" i="72"/>
  <c r="AJ39" i="118"/>
  <c r="AH39" i="119"/>
  <c r="AI39" i="119"/>
  <c r="M36" i="72"/>
  <c r="AJ39" i="119"/>
  <c r="AH39" i="116"/>
  <c r="AI39" i="116"/>
  <c r="J36" i="72"/>
  <c r="AJ39" i="116"/>
  <c r="AI24" i="76"/>
  <c r="AJ24" i="76"/>
  <c r="AD21" i="72"/>
  <c r="AK24" i="76"/>
  <c r="AH24" i="129"/>
  <c r="AI24" i="129"/>
  <c r="S21" i="72"/>
  <c r="AJ24" i="129"/>
  <c r="AH24" i="114"/>
  <c r="AI24" i="114"/>
  <c r="H21" i="72"/>
  <c r="AJ24" i="114"/>
  <c r="AH62" i="144"/>
  <c r="AI62" i="144"/>
  <c r="U59" i="72"/>
  <c r="AJ62" i="144"/>
  <c r="AI62" i="80"/>
  <c r="AJ62" i="80"/>
  <c r="AE59" i="72"/>
  <c r="AK62" i="80"/>
  <c r="AH34" i="147"/>
  <c r="AI34" i="147"/>
  <c r="X31" i="72"/>
  <c r="AJ34" i="147"/>
  <c r="AH34" i="117"/>
  <c r="AI34" i="117"/>
  <c r="K31" i="72"/>
  <c r="AJ34" i="117"/>
  <c r="AH34" i="125"/>
  <c r="AI34" i="125"/>
  <c r="O31" i="72"/>
  <c r="AJ34" i="125"/>
  <c r="AH34" i="129"/>
  <c r="AI34" i="129"/>
  <c r="S31" i="72"/>
  <c r="AJ34" i="129"/>
  <c r="AH66" i="127"/>
  <c r="AI66" i="127"/>
  <c r="Q63" i="72"/>
  <c r="AJ66" i="127"/>
  <c r="AH21" i="145"/>
  <c r="AI21" i="145"/>
  <c r="V18" i="72"/>
  <c r="AJ21" i="145"/>
  <c r="AH21" i="147"/>
  <c r="AI21" i="147"/>
  <c r="X18" i="72"/>
  <c r="AJ21" i="147"/>
  <c r="AH18" i="131"/>
  <c r="AI18" i="131"/>
  <c r="T15" i="72"/>
  <c r="AJ18" i="131"/>
  <c r="AH18" i="152"/>
  <c r="AI18" i="152"/>
  <c r="AB15" i="72"/>
  <c r="AJ18" i="152"/>
  <c r="AH18" i="117"/>
  <c r="AI18" i="117"/>
  <c r="K15" i="72"/>
  <c r="AJ18" i="117"/>
  <c r="AH68" i="146"/>
  <c r="AI68" i="146"/>
  <c r="W65" i="72"/>
  <c r="AJ68" i="146"/>
  <c r="AH68" i="128"/>
  <c r="AI68" i="128"/>
  <c r="R65" i="72"/>
  <c r="AJ68" i="128"/>
  <c r="AH68" i="147"/>
  <c r="AI68" i="147"/>
  <c r="X65" i="72"/>
  <c r="AJ68" i="147"/>
  <c r="AH68" i="148"/>
  <c r="AI68" i="148"/>
  <c r="Y65" i="72"/>
  <c r="AJ68" i="148"/>
  <c r="AH68" i="149"/>
  <c r="AI68" i="149"/>
  <c r="Z65" i="72"/>
  <c r="AJ68" i="149"/>
  <c r="AH68" i="127"/>
  <c r="AI68" i="127"/>
  <c r="Q65" i="72"/>
  <c r="AJ68" i="127"/>
  <c r="AH60" i="148"/>
  <c r="AI60" i="148"/>
  <c r="Y57" i="72"/>
  <c r="AJ60" i="148"/>
  <c r="AH60" i="116"/>
  <c r="AI60" i="116"/>
  <c r="J57" i="72"/>
  <c r="AJ60" i="116"/>
  <c r="AC13" i="100"/>
  <c r="AC16" i="153"/>
  <c r="AN16" i="153"/>
  <c r="AO16" i="153"/>
  <c r="BG13" i="72"/>
  <c r="AH16" i="115"/>
  <c r="AI16" i="115"/>
  <c r="I13" i="72"/>
  <c r="AJ16" i="115"/>
  <c r="AH16" i="120"/>
  <c r="AI16" i="120"/>
  <c r="N13" i="72"/>
  <c r="AJ16" i="120"/>
  <c r="AH49" i="127"/>
  <c r="AI49" i="127"/>
  <c r="Q46" i="72"/>
  <c r="AJ49" i="127"/>
  <c r="AH74" i="151"/>
  <c r="AI74" i="151"/>
  <c r="AA71" i="72"/>
  <c r="AJ74" i="151"/>
  <c r="AH74" i="128"/>
  <c r="AI74" i="128"/>
  <c r="R71" i="72"/>
  <c r="AJ74" i="128"/>
  <c r="AH74" i="120"/>
  <c r="AI74" i="120"/>
  <c r="N71" i="72"/>
  <c r="AJ74" i="120"/>
  <c r="AH74" i="152"/>
  <c r="AI74" i="152"/>
  <c r="AB71" i="72"/>
  <c r="AJ74" i="152"/>
  <c r="AH13" i="131"/>
  <c r="AI13" i="131"/>
  <c r="T10" i="72"/>
  <c r="AJ13" i="131"/>
  <c r="AI13" i="80"/>
  <c r="AJ13" i="80"/>
  <c r="AE10" i="72"/>
  <c r="AK13" i="80"/>
  <c r="AH13" i="126"/>
  <c r="AI13" i="126"/>
  <c r="P10" i="72"/>
  <c r="AJ13" i="126"/>
  <c r="AA38" i="100"/>
  <c r="AC41" i="151"/>
  <c r="AN41" i="151"/>
  <c r="AO41" i="151"/>
  <c r="BE38" i="72"/>
  <c r="AD41" i="151"/>
  <c r="AF41" i="151"/>
  <c r="AH41" i="115"/>
  <c r="AI41" i="115"/>
  <c r="I38" i="72"/>
  <c r="AJ41" i="115"/>
  <c r="AH41" i="131"/>
  <c r="AI41" i="131"/>
  <c r="T38" i="72"/>
  <c r="AJ41" i="131"/>
  <c r="AH41" i="147"/>
  <c r="AI41" i="147"/>
  <c r="X38" i="72"/>
  <c r="AJ41" i="147"/>
  <c r="AI19" i="80"/>
  <c r="AJ19" i="80"/>
  <c r="AE16" i="72"/>
  <c r="AK19" i="80"/>
  <c r="AH53" i="149"/>
  <c r="AI53" i="149"/>
  <c r="Z50" i="72"/>
  <c r="AJ53" i="149"/>
  <c r="AH45" i="152"/>
  <c r="AI45" i="152"/>
  <c r="AB42" i="72"/>
  <c r="AJ45" i="152"/>
  <c r="AH45" i="125"/>
  <c r="AI45" i="125"/>
  <c r="O42" i="72"/>
  <c r="AJ45" i="125"/>
  <c r="AH45" i="148"/>
  <c r="AI45" i="148"/>
  <c r="Y42" i="72"/>
  <c r="AJ45" i="148"/>
  <c r="AH45" i="117"/>
  <c r="AI45" i="117"/>
  <c r="K42" i="72"/>
  <c r="AJ45" i="117"/>
  <c r="AH45" i="114"/>
  <c r="AI45" i="114"/>
  <c r="H42" i="72"/>
  <c r="AJ45" i="114"/>
  <c r="AH9" i="127"/>
  <c r="AI9" i="127"/>
  <c r="Q6" i="72"/>
  <c r="AJ9" i="127"/>
  <c r="AH9" i="126"/>
  <c r="AI9" i="126"/>
  <c r="P6" i="72"/>
  <c r="AJ9" i="126"/>
  <c r="AH9" i="118"/>
  <c r="AI9" i="118"/>
  <c r="L6" i="72"/>
  <c r="AJ9" i="118"/>
  <c r="AH56" i="118"/>
  <c r="AI56" i="118"/>
  <c r="L53" i="72"/>
  <c r="AJ56" i="118"/>
  <c r="AH56" i="115"/>
  <c r="AI56" i="115"/>
  <c r="I53" i="72"/>
  <c r="AJ56" i="115"/>
  <c r="AI56" i="76"/>
  <c r="AJ56" i="76"/>
  <c r="AD53" i="72"/>
  <c r="AK56" i="76"/>
  <c r="AH56" i="119"/>
  <c r="AI56" i="119"/>
  <c r="M53" i="72"/>
  <c r="AJ56" i="119"/>
  <c r="Y67" i="100"/>
  <c r="AC70" i="148"/>
  <c r="AN70" i="148"/>
  <c r="AO70" i="148"/>
  <c r="BC67" i="72"/>
  <c r="AD70" i="148"/>
  <c r="AF70" i="148"/>
  <c r="AB67" i="100"/>
  <c r="AC70" i="152"/>
  <c r="AN70" i="152"/>
  <c r="AO70" i="152"/>
  <c r="BF67" i="72"/>
  <c r="W47" i="100"/>
  <c r="AC50" i="146"/>
  <c r="AN50" i="146"/>
  <c r="AO50" i="146"/>
  <c r="BA47" i="72"/>
  <c r="AD50" i="146"/>
  <c r="AF50" i="146"/>
  <c r="AH50" i="119"/>
  <c r="AI50" i="119"/>
  <c r="M47" i="72"/>
  <c r="AJ50" i="119"/>
  <c r="AC47" i="100"/>
  <c r="AC50" i="153"/>
  <c r="AN50" i="153"/>
  <c r="AO50" i="153"/>
  <c r="BG47" i="72"/>
  <c r="AA71" i="149"/>
  <c r="AB71" i="149"/>
  <c r="AC71" i="129"/>
  <c r="AN71" i="129"/>
  <c r="AO71" i="129"/>
  <c r="AW68" i="72"/>
  <c r="AD71" i="129"/>
  <c r="AF71" i="129"/>
  <c r="S68" i="100"/>
  <c r="AC71" i="120"/>
  <c r="AN71" i="120"/>
  <c r="AO71" i="120"/>
  <c r="AR68" i="72"/>
  <c r="N68" i="100"/>
  <c r="AB71" i="146"/>
  <c r="AC71" i="118"/>
  <c r="AN71" i="118"/>
  <c r="AO71" i="118"/>
  <c r="AP68" i="72"/>
  <c r="L68" i="100"/>
  <c r="AH30" i="117"/>
  <c r="AI30" i="117"/>
  <c r="K27" i="72"/>
  <c r="AJ30" i="117"/>
  <c r="AH30" i="127"/>
  <c r="AI30" i="127"/>
  <c r="Q27" i="72"/>
  <c r="AJ30" i="127"/>
  <c r="AH64" i="125"/>
  <c r="AI64" i="125"/>
  <c r="O61" i="72"/>
  <c r="AJ64" i="125"/>
  <c r="AH31" i="125"/>
  <c r="AI31" i="125"/>
  <c r="O28" i="72"/>
  <c r="AJ31" i="125"/>
  <c r="AH29" i="116"/>
  <c r="AI29" i="116"/>
  <c r="J26" i="72"/>
  <c r="AJ29" i="116"/>
  <c r="AH29" i="145"/>
  <c r="AI29" i="145"/>
  <c r="V26" i="72"/>
  <c r="AJ29" i="145"/>
  <c r="AC75" i="120"/>
  <c r="AN75" i="120"/>
  <c r="AO75" i="120"/>
  <c r="AR72" i="72"/>
  <c r="N72" i="100"/>
  <c r="AB75" i="147"/>
  <c r="AD75" i="80"/>
  <c r="AO75" i="80"/>
  <c r="AP75" i="80"/>
  <c r="BI72" i="72"/>
  <c r="AE72" i="100"/>
  <c r="AE75" i="80"/>
  <c r="AG75" i="80"/>
  <c r="AC75" i="128"/>
  <c r="AN75" i="128"/>
  <c r="AO75" i="128"/>
  <c r="AV72" i="72"/>
  <c r="R72" i="100"/>
  <c r="AC75" i="151"/>
  <c r="AN75" i="151"/>
  <c r="AO75" i="151"/>
  <c r="BE72" i="72"/>
  <c r="AA72" i="100"/>
  <c r="W72" i="100"/>
  <c r="AC75" i="146"/>
  <c r="AN75" i="146"/>
  <c r="AO75" i="146"/>
  <c r="BA72" i="72"/>
  <c r="AA75" i="148"/>
  <c r="AB75" i="148"/>
  <c r="G45" i="100"/>
  <c r="AK45" i="72"/>
  <c r="Z48" i="147"/>
  <c r="X48" i="147"/>
  <c r="V48" i="147"/>
  <c r="Z48" i="125"/>
  <c r="V48" i="125"/>
  <c r="X48" i="125"/>
  <c r="AA48" i="76"/>
  <c r="W48" i="76"/>
  <c r="Y48" i="76"/>
  <c r="AB48" i="76"/>
  <c r="AC48" i="76"/>
  <c r="V48" i="146"/>
  <c r="Z48" i="146"/>
  <c r="X48" i="146"/>
  <c r="X48" i="145"/>
  <c r="V48" i="145"/>
  <c r="Z48" i="145"/>
  <c r="Z48" i="116"/>
  <c r="V48" i="116"/>
  <c r="X48" i="116"/>
  <c r="Z48" i="149"/>
  <c r="X48" i="149"/>
  <c r="V48" i="149"/>
  <c r="V48" i="126"/>
  <c r="Z48" i="126"/>
  <c r="X48" i="126"/>
  <c r="AA48" i="126"/>
  <c r="AB48" i="126"/>
  <c r="V48" i="127"/>
  <c r="Z48" i="127"/>
  <c r="X48" i="127"/>
  <c r="V48" i="153"/>
  <c r="Z48" i="153"/>
  <c r="X48" i="153"/>
  <c r="AA48" i="153"/>
  <c r="U48" i="100"/>
  <c r="AC51" i="144"/>
  <c r="AN51" i="144"/>
  <c r="AO51" i="144"/>
  <c r="AY48" i="72"/>
  <c r="AC51" i="128"/>
  <c r="AN51" i="128"/>
  <c r="AO51" i="128"/>
  <c r="AV48" i="72"/>
  <c r="R48" i="100"/>
  <c r="AC51" i="127"/>
  <c r="AN51" i="127"/>
  <c r="AO51" i="127"/>
  <c r="AU48" i="72"/>
  <c r="AD51" i="127"/>
  <c r="AF51" i="127"/>
  <c r="Q48" i="100"/>
  <c r="AA51" i="148"/>
  <c r="J48" i="100"/>
  <c r="AC51" i="116"/>
  <c r="AN51" i="116"/>
  <c r="AO51" i="116"/>
  <c r="AN48" i="72"/>
  <c r="X48" i="100"/>
  <c r="AC51" i="147"/>
  <c r="AN51" i="147"/>
  <c r="AO51" i="147"/>
  <c r="BB48" i="72"/>
  <c r="AD51" i="147"/>
  <c r="AF51" i="147"/>
  <c r="M48" i="100"/>
  <c r="AC51" i="119"/>
  <c r="AN51" i="119"/>
  <c r="AO51" i="119"/>
  <c r="AQ48" i="72"/>
  <c r="AL48" i="72"/>
  <c r="H48" i="100"/>
  <c r="AD51" i="114"/>
  <c r="AF51" i="114"/>
  <c r="AC63" i="127"/>
  <c r="AN63" i="127"/>
  <c r="AO63" i="127"/>
  <c r="AU60" i="72"/>
  <c r="Q60" i="100"/>
  <c r="AD63" i="127"/>
  <c r="AF63" i="127"/>
  <c r="AC63" i="125"/>
  <c r="AN63" i="125"/>
  <c r="AO63" i="125"/>
  <c r="AS60" i="72"/>
  <c r="O60" i="100"/>
  <c r="H60" i="100"/>
  <c r="AL60" i="72"/>
  <c r="AC63" i="129"/>
  <c r="AN63" i="129"/>
  <c r="AO63" i="129"/>
  <c r="AW60" i="72"/>
  <c r="S60" i="100"/>
  <c r="P60" i="100"/>
  <c r="AC63" i="126"/>
  <c r="AN63" i="126"/>
  <c r="AO63" i="126"/>
  <c r="AT60" i="72"/>
  <c r="AC47" i="144"/>
  <c r="AN47" i="144"/>
  <c r="AO47" i="144"/>
  <c r="AY44" i="72"/>
  <c r="U44" i="100"/>
  <c r="AD47" i="144"/>
  <c r="AF47" i="144"/>
  <c r="AC47" i="125"/>
  <c r="AN47" i="125"/>
  <c r="AO47" i="125"/>
  <c r="AS44" i="72"/>
  <c r="O44" i="100"/>
  <c r="AC44" i="100"/>
  <c r="AC47" i="153"/>
  <c r="AN47" i="153"/>
  <c r="AO47" i="153"/>
  <c r="BG44" i="72"/>
  <c r="AA47" i="148"/>
  <c r="AB47" i="148"/>
  <c r="AB44" i="100"/>
  <c r="AC47" i="152"/>
  <c r="AN47" i="152"/>
  <c r="AO47" i="152"/>
  <c r="BF44" i="72"/>
  <c r="AH47" i="113"/>
  <c r="AI47" i="113"/>
  <c r="G44" i="72"/>
  <c r="AJ47" i="113"/>
  <c r="V11" i="100"/>
  <c r="AC14" i="145"/>
  <c r="AN14" i="145"/>
  <c r="AO14" i="145"/>
  <c r="AZ11" i="72"/>
  <c r="Z11" i="100"/>
  <c r="AC14" i="149"/>
  <c r="AN14" i="149"/>
  <c r="AO14" i="149"/>
  <c r="BD11" i="72"/>
  <c r="O11" i="100"/>
  <c r="AC14" i="125"/>
  <c r="AN14" i="125"/>
  <c r="AO14" i="125"/>
  <c r="AS11" i="72"/>
  <c r="AL11" i="72"/>
  <c r="H11" i="100"/>
  <c r="T37" i="100"/>
  <c r="AC40" i="131"/>
  <c r="AN40" i="131"/>
  <c r="AO40" i="131"/>
  <c r="AX37" i="72"/>
  <c r="P37" i="100"/>
  <c r="AC40" i="126"/>
  <c r="AN40" i="126"/>
  <c r="AO40" i="126"/>
  <c r="AT37" i="72"/>
  <c r="J37" i="100"/>
  <c r="AC40" i="116"/>
  <c r="AN40" i="116"/>
  <c r="AO40" i="116"/>
  <c r="AN37" i="72"/>
  <c r="K37" i="100"/>
  <c r="AC40" i="117"/>
  <c r="AN40" i="117"/>
  <c r="AO40" i="117"/>
  <c r="AO37" i="72"/>
  <c r="AD40" i="117"/>
  <c r="AF40" i="117"/>
  <c r="R37" i="100"/>
  <c r="AC40" i="128"/>
  <c r="AN40" i="128"/>
  <c r="AO40" i="128"/>
  <c r="AV37" i="72"/>
  <c r="AD40" i="128"/>
  <c r="AF40" i="128"/>
  <c r="H37" i="100"/>
  <c r="AL37" i="72"/>
  <c r="O55" i="100"/>
  <c r="AC58" i="125"/>
  <c r="AN58" i="125"/>
  <c r="AO58" i="125"/>
  <c r="AS55" i="72"/>
  <c r="AB58" i="148"/>
  <c r="R55" i="100"/>
  <c r="AC58" i="128"/>
  <c r="AN58" i="128"/>
  <c r="AO58" i="128"/>
  <c r="AV55" i="72"/>
  <c r="L55" i="100"/>
  <c r="AC58" i="118"/>
  <c r="AN58" i="118"/>
  <c r="AO58" i="118"/>
  <c r="AP55" i="72"/>
  <c r="AD58" i="118"/>
  <c r="AF58" i="118"/>
  <c r="Q55" i="100"/>
  <c r="AC58" i="127"/>
  <c r="AN58" i="127"/>
  <c r="AO58" i="127"/>
  <c r="AU55" i="72"/>
  <c r="AC58" i="119"/>
  <c r="AN58" i="119"/>
  <c r="AO58" i="119"/>
  <c r="AQ55" i="72"/>
  <c r="AD58" i="119"/>
  <c r="AF58" i="119"/>
  <c r="M55" i="100"/>
  <c r="AC12" i="120"/>
  <c r="AN12" i="120"/>
  <c r="AO12" i="120"/>
  <c r="AR9" i="72"/>
  <c r="N9" i="100"/>
  <c r="AB12" i="147"/>
  <c r="AB43" i="151"/>
  <c r="AB43" i="153"/>
  <c r="AC43" i="127"/>
  <c r="AN43" i="127"/>
  <c r="AO43" i="127"/>
  <c r="AU40" i="72"/>
  <c r="Q40" i="100"/>
  <c r="AC43" i="126"/>
  <c r="AN43" i="126"/>
  <c r="AO43" i="126"/>
  <c r="AT40" i="72"/>
  <c r="P40" i="100"/>
  <c r="AD43" i="126"/>
  <c r="AF43" i="126"/>
  <c r="AA43" i="147"/>
  <c r="AB43" i="147"/>
  <c r="AE17" i="100"/>
  <c r="AD20" i="80"/>
  <c r="AO20" i="80"/>
  <c r="AP20" i="80"/>
  <c r="BI17" i="72"/>
  <c r="O17" i="100"/>
  <c r="AC20" i="125"/>
  <c r="AN20" i="125"/>
  <c r="AO20" i="125"/>
  <c r="AS17" i="72"/>
  <c r="AD20" i="125"/>
  <c r="AF20" i="125"/>
  <c r="AC20" i="147"/>
  <c r="AN20" i="147"/>
  <c r="AO20" i="147"/>
  <c r="BB17" i="72"/>
  <c r="X17" i="100"/>
  <c r="AC20" i="116"/>
  <c r="AN20" i="116"/>
  <c r="AO20" i="116"/>
  <c r="AN17" i="72"/>
  <c r="AD20" i="116"/>
  <c r="AF20" i="116"/>
  <c r="J17" i="100"/>
  <c r="AL17" i="72"/>
  <c r="H17" i="100"/>
  <c r="AD20" i="114"/>
  <c r="AF20" i="114"/>
  <c r="AA17" i="100"/>
  <c r="AC20" i="151"/>
  <c r="AN20" i="151"/>
  <c r="AO20" i="151"/>
  <c r="BE17" i="72"/>
  <c r="Q17" i="100"/>
  <c r="AC20" i="127"/>
  <c r="AN20" i="127"/>
  <c r="AO20" i="127"/>
  <c r="AU17" i="72"/>
  <c r="AD20" i="127"/>
  <c r="AF20" i="127"/>
  <c r="AC20" i="119"/>
  <c r="AN20" i="119"/>
  <c r="AO20" i="119"/>
  <c r="AQ17" i="72"/>
  <c r="M17" i="100"/>
  <c r="AD20" i="119"/>
  <c r="AF20" i="119"/>
  <c r="AB8" i="146"/>
  <c r="K5" i="100"/>
  <c r="AC8" i="117"/>
  <c r="AN8" i="117"/>
  <c r="AO8" i="117"/>
  <c r="AO5" i="72"/>
  <c r="AD8" i="117"/>
  <c r="AF8" i="117"/>
  <c r="AA8" i="152"/>
  <c r="AB8" i="152"/>
  <c r="M5" i="100"/>
  <c r="AC8" i="119"/>
  <c r="AN8" i="119"/>
  <c r="AO8" i="119"/>
  <c r="AQ5" i="72"/>
  <c r="AC8" i="129"/>
  <c r="AN8" i="129"/>
  <c r="AO8" i="129"/>
  <c r="AW5" i="72"/>
  <c r="S5" i="100"/>
  <c r="O5" i="100"/>
  <c r="AC8" i="125"/>
  <c r="AN8" i="125"/>
  <c r="AO8" i="125"/>
  <c r="AS5" i="72"/>
  <c r="V11" i="117"/>
  <c r="Z11" i="117"/>
  <c r="X11" i="117"/>
  <c r="AA11" i="117"/>
  <c r="AB11" i="117"/>
  <c r="Z11" i="131"/>
  <c r="V11" i="131"/>
  <c r="X11" i="131"/>
  <c r="V11" i="147"/>
  <c r="Z11" i="147"/>
  <c r="X11" i="147"/>
  <c r="V11" i="148"/>
  <c r="Z11" i="148"/>
  <c r="X11" i="148"/>
  <c r="V11" i="129"/>
  <c r="Z11" i="129"/>
  <c r="X11" i="129"/>
  <c r="AA11" i="129"/>
  <c r="AB11" i="129"/>
  <c r="V11" i="127"/>
  <c r="Z11" i="127"/>
  <c r="X11" i="127"/>
  <c r="W11" i="76"/>
  <c r="AA11" i="76"/>
  <c r="Y11" i="76"/>
  <c r="AB11" i="76"/>
  <c r="AC11" i="76"/>
  <c r="V11" i="118"/>
  <c r="Z11" i="118"/>
  <c r="X11" i="118"/>
  <c r="Z11" i="144"/>
  <c r="V11" i="144"/>
  <c r="X11" i="144"/>
  <c r="V11" i="153"/>
  <c r="Z11" i="153"/>
  <c r="X11" i="153"/>
  <c r="V11" i="128"/>
  <c r="Z11" i="128"/>
  <c r="X11" i="128"/>
  <c r="AA11" i="128"/>
  <c r="AB11" i="128"/>
  <c r="L49" i="100"/>
  <c r="AC52" i="118"/>
  <c r="AN52" i="118"/>
  <c r="AO52" i="118"/>
  <c r="AP49" i="72"/>
  <c r="AA52" i="148"/>
  <c r="H49" i="100"/>
  <c r="AL49" i="72"/>
  <c r="AB52" i="149"/>
  <c r="AC52" i="116"/>
  <c r="AN52" i="116"/>
  <c r="AO52" i="116"/>
  <c r="AN49" i="72"/>
  <c r="AD52" i="116"/>
  <c r="AF52" i="116"/>
  <c r="J49" i="100"/>
  <c r="AC52" i="151"/>
  <c r="AN52" i="151"/>
  <c r="AO52" i="151"/>
  <c r="BE49" i="72"/>
  <c r="AA49" i="100"/>
  <c r="AD52" i="151"/>
  <c r="AF52" i="151"/>
  <c r="AC23" i="131"/>
  <c r="AN23" i="131"/>
  <c r="AO23" i="131"/>
  <c r="AX20" i="72"/>
  <c r="T20" i="100"/>
  <c r="AD23" i="131"/>
  <c r="AF23" i="131"/>
  <c r="K20" i="100"/>
  <c r="AC23" i="117"/>
  <c r="AN23" i="117"/>
  <c r="AO23" i="117"/>
  <c r="AO20" i="72"/>
  <c r="W20" i="100"/>
  <c r="AC23" i="146"/>
  <c r="AN23" i="146"/>
  <c r="AO23" i="146"/>
  <c r="BA20" i="72"/>
  <c r="AH23" i="113"/>
  <c r="AI23" i="113"/>
  <c r="G20" i="72"/>
  <c r="AJ23" i="113"/>
  <c r="Q35" i="100"/>
  <c r="AC38" i="127"/>
  <c r="AN38" i="127"/>
  <c r="AO38" i="127"/>
  <c r="AU35" i="72"/>
  <c r="AD38" i="127"/>
  <c r="AF38" i="127"/>
  <c r="AD38" i="80"/>
  <c r="AE38" i="80"/>
  <c r="AG38" i="80"/>
  <c r="AO38" i="80"/>
  <c r="AP38" i="80"/>
  <c r="BI35" i="72"/>
  <c r="AE35" i="100"/>
  <c r="I35" i="100"/>
  <c r="AM35" i="72"/>
  <c r="AC38" i="120"/>
  <c r="AN38" i="120"/>
  <c r="AO38" i="120"/>
  <c r="AR35" i="72"/>
  <c r="N35" i="100"/>
  <c r="AD38" i="120"/>
  <c r="AF38" i="120"/>
  <c r="L35" i="100"/>
  <c r="AC38" i="118"/>
  <c r="AN38" i="118"/>
  <c r="AO38" i="118"/>
  <c r="AP35" i="72"/>
  <c r="AB35" i="100"/>
  <c r="AC38" i="152"/>
  <c r="AN38" i="152"/>
  <c r="AO38" i="152"/>
  <c r="BF35" i="72"/>
  <c r="O35" i="100"/>
  <c r="AC38" i="125"/>
  <c r="AN38" i="125"/>
  <c r="AO38" i="125"/>
  <c r="AS35" i="72"/>
  <c r="AI46" i="76"/>
  <c r="AJ46" i="76"/>
  <c r="AD43" i="72"/>
  <c r="AK46" i="76"/>
  <c r="AH46" i="131"/>
  <c r="AI46" i="131"/>
  <c r="T43" i="72"/>
  <c r="AJ46" i="131"/>
  <c r="AH46" i="144"/>
  <c r="AI46" i="144"/>
  <c r="U43" i="72"/>
  <c r="AJ46" i="144"/>
  <c r="AH55" i="128"/>
  <c r="AI55" i="128"/>
  <c r="R52" i="72"/>
  <c r="AJ55" i="128"/>
  <c r="AI54" i="80"/>
  <c r="AJ54" i="80"/>
  <c r="AE51" i="72"/>
  <c r="AK54" i="80"/>
  <c r="AH54" i="119"/>
  <c r="AI54" i="119"/>
  <c r="M51" i="72"/>
  <c r="AJ54" i="119"/>
  <c r="AI69" i="80"/>
  <c r="AJ69" i="80"/>
  <c r="AE66" i="72"/>
  <c r="AK69" i="80"/>
  <c r="AI69" i="76"/>
  <c r="AJ69" i="76"/>
  <c r="AD66" i="72"/>
  <c r="AK69" i="76"/>
  <c r="AH69" i="120"/>
  <c r="AI69" i="120"/>
  <c r="N66" i="72"/>
  <c r="AJ69" i="120"/>
  <c r="AH69" i="128"/>
  <c r="AI69" i="128"/>
  <c r="R66" i="72"/>
  <c r="AJ69" i="128"/>
  <c r="AH27" i="116"/>
  <c r="AI27" i="116"/>
  <c r="J24" i="72"/>
  <c r="AJ27" i="116"/>
  <c r="AI27" i="80"/>
  <c r="AJ27" i="80"/>
  <c r="AE24" i="72"/>
  <c r="AK27" i="80"/>
  <c r="AH61" i="126"/>
  <c r="AI61" i="126"/>
  <c r="P58" i="72"/>
  <c r="AJ61" i="126"/>
  <c r="AH61" i="128"/>
  <c r="AI61" i="128"/>
  <c r="R58" i="72"/>
  <c r="AJ61" i="128"/>
  <c r="AH61" i="152"/>
  <c r="AI61" i="152"/>
  <c r="AB58" i="72"/>
  <c r="AJ61" i="152"/>
  <c r="AH17" i="116"/>
  <c r="AI17" i="116"/>
  <c r="J14" i="72"/>
  <c r="AJ17" i="116"/>
  <c r="AH17" i="145"/>
  <c r="AI17" i="145"/>
  <c r="V14" i="72"/>
  <c r="AJ17" i="145"/>
  <c r="AH17" i="149"/>
  <c r="AI17" i="149"/>
  <c r="Z14" i="72"/>
  <c r="AJ17" i="149"/>
  <c r="AH17" i="128"/>
  <c r="AI17" i="128"/>
  <c r="R14" i="72"/>
  <c r="AJ17" i="128"/>
  <c r="AC62" i="100"/>
  <c r="AC65" i="153"/>
  <c r="AN65" i="153"/>
  <c r="AO65" i="153"/>
  <c r="BG62" i="72"/>
  <c r="AI65" i="80"/>
  <c r="AJ65" i="80"/>
  <c r="AE62" i="72"/>
  <c r="AK65" i="80"/>
  <c r="AH65" i="149"/>
  <c r="AI65" i="149"/>
  <c r="Z62" i="72"/>
  <c r="AJ65" i="149"/>
  <c r="AF73" i="31"/>
  <c r="AF74" i="31"/>
  <c r="T39" i="100"/>
  <c r="AC42" i="131"/>
  <c r="AN42" i="131"/>
  <c r="AO42" i="131"/>
  <c r="AX39" i="72"/>
  <c r="AD42" i="131"/>
  <c r="AF42" i="131"/>
  <c r="Y39" i="100"/>
  <c r="AC42" i="148"/>
  <c r="AN42" i="148"/>
  <c r="AO42" i="148"/>
  <c r="BC39" i="72"/>
  <c r="AC42" i="120"/>
  <c r="AN42" i="120"/>
  <c r="AO42" i="120"/>
  <c r="AR39" i="72"/>
  <c r="N39" i="100"/>
  <c r="AH10" i="116"/>
  <c r="AI10" i="116"/>
  <c r="J7" i="72"/>
  <c r="AJ10" i="116"/>
  <c r="AH10" i="125"/>
  <c r="AI10" i="125"/>
  <c r="O7" i="72"/>
  <c r="AJ10" i="125"/>
  <c r="AH10" i="115"/>
  <c r="AI10" i="115"/>
  <c r="I7" i="72"/>
  <c r="AJ10" i="115"/>
  <c r="AH26" i="113"/>
  <c r="AI26" i="113"/>
  <c r="G23" i="72"/>
  <c r="AJ26" i="113"/>
  <c r="AC26" i="146"/>
  <c r="AN26" i="146"/>
  <c r="AO26" i="146"/>
  <c r="BA23" i="72"/>
  <c r="W23" i="100"/>
  <c r="AH26" i="125"/>
  <c r="AI26" i="125"/>
  <c r="O23" i="72"/>
  <c r="AJ26" i="125"/>
  <c r="AH26" i="151"/>
  <c r="AI26" i="151"/>
  <c r="AA23" i="72"/>
  <c r="AJ26" i="151"/>
  <c r="AH28" i="116"/>
  <c r="AI28" i="116"/>
  <c r="J25" i="72"/>
  <c r="AJ28" i="116"/>
  <c r="AH28" i="129"/>
  <c r="AI28" i="129"/>
  <c r="S25" i="72"/>
  <c r="AJ28" i="129"/>
  <c r="AH36" i="119"/>
  <c r="AI36" i="119"/>
  <c r="M33" i="72"/>
  <c r="AJ36" i="119"/>
  <c r="AH36" i="126"/>
  <c r="AI36" i="126"/>
  <c r="P33" i="72"/>
  <c r="AJ36" i="126"/>
  <c r="AH36" i="129"/>
  <c r="AI36" i="129"/>
  <c r="S33" i="72"/>
  <c r="AJ36" i="129"/>
  <c r="AH67" i="125"/>
  <c r="AI67" i="125"/>
  <c r="O64" i="72"/>
  <c r="AJ67" i="125"/>
  <c r="AH59" i="127"/>
  <c r="AI59" i="127"/>
  <c r="Q56" i="72"/>
  <c r="AJ59" i="127"/>
  <c r="AH59" i="116"/>
  <c r="AI59" i="116"/>
  <c r="J56" i="72"/>
  <c r="AJ59" i="116"/>
  <c r="AH59" i="115"/>
  <c r="AI59" i="115"/>
  <c r="I56" i="72"/>
  <c r="AJ59" i="115"/>
  <c r="AH59" i="146"/>
  <c r="AI59" i="146"/>
  <c r="W56" i="72"/>
  <c r="AJ59" i="146"/>
  <c r="AH59" i="118"/>
  <c r="AI59" i="118"/>
  <c r="L56" i="72"/>
  <c r="AJ59" i="118"/>
  <c r="AI32" i="76"/>
  <c r="AJ32" i="76"/>
  <c r="AD29" i="72"/>
  <c r="AK32" i="76"/>
  <c r="AH73" i="114"/>
  <c r="AI73" i="114"/>
  <c r="H70" i="72"/>
  <c r="AJ73" i="114"/>
  <c r="Z70" i="100"/>
  <c r="AC73" i="149"/>
  <c r="AN73" i="149"/>
  <c r="AO73" i="149"/>
  <c r="BD70" i="72"/>
  <c r="AD73" i="149"/>
  <c r="AF73" i="149"/>
  <c r="AH73" i="115"/>
  <c r="AI73" i="115"/>
  <c r="I70" i="72"/>
  <c r="AJ73" i="115"/>
  <c r="AH39" i="114"/>
  <c r="AI39" i="114"/>
  <c r="H36" i="72"/>
  <c r="AJ39" i="114"/>
  <c r="AI39" i="76"/>
  <c r="AJ39" i="76"/>
  <c r="AD36" i="72"/>
  <c r="AK39" i="76"/>
  <c r="AH39" i="120"/>
  <c r="AI39" i="120"/>
  <c r="N36" i="72"/>
  <c r="AJ39" i="120"/>
  <c r="AH24" i="127"/>
  <c r="AI24" i="127"/>
  <c r="Q21" i="72"/>
  <c r="AJ24" i="127"/>
  <c r="AH24" i="153"/>
  <c r="AI24" i="153"/>
  <c r="AC21" i="72"/>
  <c r="AJ24" i="153"/>
  <c r="AH24" i="125"/>
  <c r="AI24" i="125"/>
  <c r="O21" i="72"/>
  <c r="AJ24" i="125"/>
  <c r="AH62" i="127"/>
  <c r="AI62" i="127"/>
  <c r="Q59" i="72"/>
  <c r="AJ62" i="127"/>
  <c r="AH62" i="118"/>
  <c r="AI62" i="118"/>
  <c r="L59" i="72"/>
  <c r="AJ62" i="118"/>
  <c r="AH62" i="120"/>
  <c r="AI62" i="120"/>
  <c r="N59" i="72"/>
  <c r="AJ62" i="120"/>
  <c r="AH34" i="118"/>
  <c r="AI34" i="118"/>
  <c r="L31" i="72"/>
  <c r="AJ34" i="118"/>
  <c r="AH34" i="152"/>
  <c r="AI34" i="152"/>
  <c r="AB31" i="72"/>
  <c r="AJ34" i="152"/>
  <c r="AH34" i="114"/>
  <c r="AI34" i="114"/>
  <c r="H31" i="72"/>
  <c r="AJ34" i="114"/>
  <c r="AC44" i="127"/>
  <c r="AN44" i="127"/>
  <c r="AO44" i="127"/>
  <c r="AU41" i="72"/>
  <c r="Q41" i="100"/>
  <c r="AD44" i="127"/>
  <c r="AF44" i="127"/>
  <c r="AC44" i="146"/>
  <c r="AN44" i="146"/>
  <c r="AO44" i="146"/>
  <c r="BA41" i="72"/>
  <c r="W41" i="100"/>
  <c r="AC44" i="128"/>
  <c r="AN44" i="128"/>
  <c r="AO44" i="128"/>
  <c r="AV41" i="72"/>
  <c r="R41" i="100"/>
  <c r="AD44" i="80"/>
  <c r="AO44" i="80"/>
  <c r="AP44" i="80"/>
  <c r="BI41" i="72"/>
  <c r="AE44" i="80"/>
  <c r="AG44" i="80"/>
  <c r="AE41" i="100"/>
  <c r="AC44" i="116"/>
  <c r="AN44" i="116"/>
  <c r="AO44" i="116"/>
  <c r="AN41" i="72"/>
  <c r="J41" i="100"/>
  <c r="AB44" i="147"/>
  <c r="W63" i="100"/>
  <c r="AC66" i="146"/>
  <c r="AN66" i="146"/>
  <c r="AO66" i="146"/>
  <c r="BA63" i="72"/>
  <c r="AH66" i="126"/>
  <c r="AI66" i="126"/>
  <c r="P63" i="72"/>
  <c r="AJ66" i="126"/>
  <c r="AH66" i="151"/>
  <c r="AI66" i="151"/>
  <c r="AA63" i="72"/>
  <c r="AJ66" i="151"/>
  <c r="AH66" i="120"/>
  <c r="AI66" i="120"/>
  <c r="N63" i="72"/>
  <c r="AJ66" i="120"/>
  <c r="AH21" i="120"/>
  <c r="AI21" i="120"/>
  <c r="N18" i="72"/>
  <c r="AJ21" i="120"/>
  <c r="AH21" i="119"/>
  <c r="AI21" i="119"/>
  <c r="M18" i="72"/>
  <c r="AJ21" i="119"/>
  <c r="AH18" i="127"/>
  <c r="AI18" i="127"/>
  <c r="Q15" i="72"/>
  <c r="AJ18" i="127"/>
  <c r="AH18" i="145"/>
  <c r="AI18" i="145"/>
  <c r="V15" i="72"/>
  <c r="AJ18" i="145"/>
  <c r="AH18" i="114"/>
  <c r="AI18" i="114"/>
  <c r="H15" i="72"/>
  <c r="AJ18" i="114"/>
  <c r="AH68" i="129"/>
  <c r="AI68" i="129"/>
  <c r="S65" i="72"/>
  <c r="AJ68" i="129"/>
  <c r="AH68" i="119"/>
  <c r="AI68" i="119"/>
  <c r="M65" i="72"/>
  <c r="AJ68" i="119"/>
  <c r="AH68" i="117"/>
  <c r="AI68" i="117"/>
  <c r="K65" i="72"/>
  <c r="AJ68" i="117"/>
  <c r="AC68" i="144"/>
  <c r="AN68" i="144"/>
  <c r="AO68" i="144"/>
  <c r="AY65" i="72"/>
  <c r="U65" i="100"/>
  <c r="AI60" i="76"/>
  <c r="AJ60" i="76"/>
  <c r="AD57" i="72"/>
  <c r="AK60" i="76"/>
  <c r="AH60" i="128"/>
  <c r="AI60" i="128"/>
  <c r="R57" i="72"/>
  <c r="AJ60" i="128"/>
  <c r="U57" i="100"/>
  <c r="AC60" i="144"/>
  <c r="AN60" i="144"/>
  <c r="AO60" i="144"/>
  <c r="AY57" i="72"/>
  <c r="AH16" i="126"/>
  <c r="AI16" i="126"/>
  <c r="P13" i="72"/>
  <c r="AJ16" i="126"/>
  <c r="AH16" i="125"/>
  <c r="AI16" i="125"/>
  <c r="O13" i="72"/>
  <c r="AJ16" i="125"/>
  <c r="AH16" i="117"/>
  <c r="AI16" i="117"/>
  <c r="K13" i="72"/>
  <c r="AJ16" i="117"/>
  <c r="AH49" i="117"/>
  <c r="AI49" i="117"/>
  <c r="K46" i="72"/>
  <c r="AJ49" i="117"/>
  <c r="AH49" i="125"/>
  <c r="AI49" i="125"/>
  <c r="O46" i="72"/>
  <c r="AJ49" i="125"/>
  <c r="AI49" i="80"/>
  <c r="AJ49" i="80"/>
  <c r="AE46" i="72"/>
  <c r="AK49" i="80"/>
  <c r="AH74" i="126"/>
  <c r="AI74" i="126"/>
  <c r="P71" i="72"/>
  <c r="AJ74" i="126"/>
  <c r="AI74" i="76"/>
  <c r="AJ74" i="76"/>
  <c r="AD71" i="72"/>
  <c r="AK74" i="76"/>
  <c r="AI74" i="80"/>
  <c r="AJ74" i="80"/>
  <c r="AE71" i="72"/>
  <c r="AK74" i="80"/>
  <c r="AC13" i="146"/>
  <c r="AN13" i="146"/>
  <c r="AO13" i="146"/>
  <c r="BA10" i="72"/>
  <c r="W10" i="100"/>
  <c r="AM10" i="72"/>
  <c r="I10" i="100"/>
  <c r="AD13" i="115"/>
  <c r="AF13" i="115"/>
  <c r="AH41" i="118"/>
  <c r="AI41" i="118"/>
  <c r="L38" i="72"/>
  <c r="AJ41" i="118"/>
  <c r="AC41" i="127"/>
  <c r="AN41" i="127"/>
  <c r="AO41" i="127"/>
  <c r="AU38" i="72"/>
  <c r="Q38" i="100"/>
  <c r="AC41" i="119"/>
  <c r="AN41" i="119"/>
  <c r="AO41" i="119"/>
  <c r="AQ38" i="72"/>
  <c r="M38" i="100"/>
  <c r="AD41" i="119"/>
  <c r="AF41" i="119"/>
  <c r="T16" i="100"/>
  <c r="AC19" i="131"/>
  <c r="AN19" i="131"/>
  <c r="AO19" i="131"/>
  <c r="AX16" i="72"/>
  <c r="AD19" i="131"/>
  <c r="AF19" i="131"/>
  <c r="AC19" i="128"/>
  <c r="AN19" i="128"/>
  <c r="AO19" i="128"/>
  <c r="AV16" i="72"/>
  <c r="AD19" i="128"/>
  <c r="AF19" i="128"/>
  <c r="R16" i="100"/>
  <c r="U16" i="100"/>
  <c r="AC19" i="144"/>
  <c r="AN19" i="144"/>
  <c r="AO19" i="144"/>
  <c r="AY16" i="72"/>
  <c r="AD19" i="144"/>
  <c r="AF19" i="144"/>
  <c r="Y50" i="100"/>
  <c r="AC53" i="148"/>
  <c r="AN53" i="148"/>
  <c r="AO53" i="148"/>
  <c r="BC50" i="72"/>
  <c r="AD53" i="148"/>
  <c r="AF53" i="148"/>
  <c r="AH53" i="118"/>
  <c r="AI53" i="118"/>
  <c r="L50" i="72"/>
  <c r="AJ53" i="118"/>
  <c r="AH53" i="128"/>
  <c r="AI53" i="128"/>
  <c r="R50" i="72"/>
  <c r="AJ53" i="128"/>
  <c r="AH45" i="118"/>
  <c r="AI45" i="118"/>
  <c r="L42" i="72"/>
  <c r="AJ45" i="118"/>
  <c r="AI45" i="76"/>
  <c r="AJ45" i="76"/>
  <c r="AD42" i="72"/>
  <c r="AK45" i="76"/>
  <c r="U42" i="100"/>
  <c r="AC45" i="144"/>
  <c r="AN45" i="144"/>
  <c r="AO45" i="144"/>
  <c r="AY42" i="72"/>
  <c r="AD45" i="144"/>
  <c r="AF45" i="144"/>
  <c r="AH9" i="125"/>
  <c r="AI9" i="125"/>
  <c r="O6" i="72"/>
  <c r="AJ9" i="125"/>
  <c r="AH9" i="129"/>
  <c r="AI9" i="129"/>
  <c r="S6" i="72"/>
  <c r="AJ9" i="129"/>
  <c r="AH9" i="120"/>
  <c r="AI9" i="120"/>
  <c r="N6" i="72"/>
  <c r="AJ9" i="120"/>
  <c r="AC56" i="144"/>
  <c r="AN56" i="144"/>
  <c r="AO56" i="144"/>
  <c r="AY53" i="72"/>
  <c r="U53" i="100"/>
  <c r="AD56" i="144"/>
  <c r="AF56" i="144"/>
  <c r="AH56" i="126"/>
  <c r="AI56" i="126"/>
  <c r="P53" i="72"/>
  <c r="AJ56" i="126"/>
  <c r="J67" i="100"/>
  <c r="AC70" i="116"/>
  <c r="AN70" i="116"/>
  <c r="AO70" i="116"/>
  <c r="AN67" i="72"/>
  <c r="J47" i="100"/>
  <c r="AC50" i="116"/>
  <c r="AN50" i="116"/>
  <c r="AO50" i="116"/>
  <c r="AN47" i="72"/>
  <c r="AC50" i="120"/>
  <c r="AN50" i="120"/>
  <c r="AO50" i="120"/>
  <c r="AR47" i="72"/>
  <c r="N47" i="100"/>
  <c r="AD50" i="120"/>
  <c r="AF50" i="120"/>
  <c r="AH30" i="129"/>
  <c r="AI30" i="129"/>
  <c r="S27" i="72"/>
  <c r="AJ30" i="129"/>
  <c r="AH30" i="126"/>
  <c r="AI30" i="126"/>
  <c r="P27" i="72"/>
  <c r="AJ30" i="126"/>
  <c r="AH30" i="151"/>
  <c r="AI30" i="151"/>
  <c r="AA27" i="72"/>
  <c r="AJ30" i="151"/>
  <c r="AH30" i="144"/>
  <c r="AI30" i="144"/>
  <c r="U27" i="72"/>
  <c r="AJ30" i="144"/>
  <c r="AC35" i="128"/>
  <c r="AN35" i="128"/>
  <c r="AO35" i="128"/>
  <c r="AV32" i="72"/>
  <c r="R32" i="100"/>
  <c r="AD35" i="128"/>
  <c r="AF35" i="128"/>
  <c r="AB35" i="148"/>
  <c r="AD35" i="80"/>
  <c r="AO35" i="80"/>
  <c r="AP35" i="80"/>
  <c r="BI32" i="72"/>
  <c r="AE32" i="100"/>
  <c r="AE35" i="80"/>
  <c r="AG35" i="80"/>
  <c r="AB35" i="144"/>
  <c r="V32" i="100"/>
  <c r="AC35" i="145"/>
  <c r="AN35" i="145"/>
  <c r="AO35" i="145"/>
  <c r="AZ32" i="72"/>
  <c r="J32" i="100"/>
  <c r="AC35" i="116"/>
  <c r="AN35" i="116"/>
  <c r="AO35" i="116"/>
  <c r="AN32" i="72"/>
  <c r="T32" i="100"/>
  <c r="AC35" i="131"/>
  <c r="AN35" i="131"/>
  <c r="AO35" i="131"/>
  <c r="AX32" i="72"/>
  <c r="AC64" i="119"/>
  <c r="AN64" i="119"/>
  <c r="AO64" i="119"/>
  <c r="AQ61" i="72"/>
  <c r="M61" i="100"/>
  <c r="AH64" i="118"/>
  <c r="AI64" i="118"/>
  <c r="L61" i="72"/>
  <c r="AJ64" i="118"/>
  <c r="AH64" i="129"/>
  <c r="AI64" i="129"/>
  <c r="S61" i="72"/>
  <c r="AJ64" i="129"/>
  <c r="AH22" i="125"/>
  <c r="AI22" i="125"/>
  <c r="O19" i="72"/>
  <c r="AJ22" i="125"/>
  <c r="AC19" i="100"/>
  <c r="AC22" i="153"/>
  <c r="AN22" i="153"/>
  <c r="AO22" i="153"/>
  <c r="BG19" i="72"/>
  <c r="AD22" i="153"/>
  <c r="AF22" i="153"/>
  <c r="AH22" i="127"/>
  <c r="AI22" i="127"/>
  <c r="Q19" i="72"/>
  <c r="AJ22" i="127"/>
  <c r="AH22" i="117"/>
  <c r="AI22" i="117"/>
  <c r="K19" i="72"/>
  <c r="AJ22" i="117"/>
  <c r="AH22" i="146"/>
  <c r="AI22" i="146"/>
  <c r="W19" i="72"/>
  <c r="AJ22" i="146"/>
  <c r="AE28" i="100"/>
  <c r="AD31" i="80"/>
  <c r="AO31" i="80"/>
  <c r="AP31" i="80"/>
  <c r="BI28" i="72"/>
  <c r="AE31" i="80"/>
  <c r="AG31" i="80"/>
  <c r="AC31" i="117"/>
  <c r="AN31" i="117"/>
  <c r="AO31" i="117"/>
  <c r="AO28" i="72"/>
  <c r="K28" i="100"/>
  <c r="AM26" i="72"/>
  <c r="I26" i="100"/>
  <c r="AD29" i="115"/>
  <c r="AF29" i="115"/>
  <c r="AH29" i="117"/>
  <c r="AI29" i="117"/>
  <c r="K26" i="72"/>
  <c r="AJ29" i="117"/>
  <c r="P30" i="100"/>
  <c r="AC33" i="126"/>
  <c r="AN33" i="126"/>
  <c r="AO33" i="126"/>
  <c r="AT30" i="72"/>
  <c r="R30" i="100"/>
  <c r="AC33" i="128"/>
  <c r="AN33" i="128"/>
  <c r="AO33" i="128"/>
  <c r="AV30" i="72"/>
  <c r="AD33" i="128"/>
  <c r="AF33" i="128"/>
  <c r="T30" i="100"/>
  <c r="AC33" i="131"/>
  <c r="AN33" i="131"/>
  <c r="AO33" i="131"/>
  <c r="AX30" i="72"/>
  <c r="AL69" i="72"/>
  <c r="AD72" i="114"/>
  <c r="AF72" i="114"/>
  <c r="H69" i="100"/>
  <c r="AM69" i="72"/>
  <c r="I69" i="100"/>
  <c r="AD72" i="115"/>
  <c r="AF72" i="115"/>
  <c r="AE69" i="100"/>
  <c r="AD72" i="80"/>
  <c r="AO72" i="80"/>
  <c r="AP72" i="80"/>
  <c r="BI69" i="72"/>
  <c r="AC72" i="127"/>
  <c r="AN72" i="127"/>
  <c r="AO72" i="127"/>
  <c r="AU69" i="72"/>
  <c r="Q69" i="100"/>
  <c r="AC15" i="145"/>
  <c r="AN15" i="145"/>
  <c r="AO15" i="145"/>
  <c r="AZ12" i="72"/>
  <c r="V12" i="100"/>
  <c r="AD15" i="145"/>
  <c r="AF15" i="145"/>
  <c r="AC15" i="125"/>
  <c r="AN15" i="125"/>
  <c r="AO15" i="125"/>
  <c r="AS12" i="72"/>
  <c r="O12" i="100"/>
  <c r="AD15" i="125"/>
  <c r="AF15" i="125"/>
  <c r="AA15" i="153"/>
  <c r="AB15" i="153"/>
  <c r="Z34" i="100"/>
  <c r="AC37" i="149"/>
  <c r="AN37" i="149"/>
  <c r="AO37" i="149"/>
  <c r="BD34" i="72"/>
  <c r="AC46" i="145"/>
  <c r="AN46" i="145"/>
  <c r="AO46" i="145"/>
  <c r="AZ43" i="72"/>
  <c r="V43" i="100"/>
  <c r="AD46" i="145"/>
  <c r="AF46" i="145"/>
  <c r="U52" i="100"/>
  <c r="AC55" i="144"/>
  <c r="AN55" i="144"/>
  <c r="AO55" i="144"/>
  <c r="AY52" i="72"/>
  <c r="AC54" i="149"/>
  <c r="AN54" i="149"/>
  <c r="AO54" i="149"/>
  <c r="BD51" i="72"/>
  <c r="Z51" i="100"/>
  <c r="J66" i="100"/>
  <c r="AC69" i="116"/>
  <c r="AN69" i="116"/>
  <c r="AO69" i="116"/>
  <c r="AN66" i="72"/>
  <c r="AC27" i="119"/>
  <c r="AN27" i="119"/>
  <c r="AO27" i="119"/>
  <c r="AQ24" i="72"/>
  <c r="M24" i="100"/>
  <c r="AC61" i="119"/>
  <c r="AN61" i="119"/>
  <c r="AO61" i="119"/>
  <c r="AQ58" i="72"/>
  <c r="AD61" i="119"/>
  <c r="AF61" i="119"/>
  <c r="M58" i="100"/>
  <c r="AC17" i="119"/>
  <c r="AN17" i="119"/>
  <c r="AO17" i="119"/>
  <c r="AQ14" i="72"/>
  <c r="M14" i="100"/>
  <c r="AC17" i="131"/>
  <c r="AN17" i="131"/>
  <c r="AO17" i="131"/>
  <c r="AX14" i="72"/>
  <c r="T14" i="100"/>
  <c r="AD17" i="131"/>
  <c r="AF17" i="131"/>
  <c r="AA14" i="100"/>
  <c r="AC17" i="151"/>
  <c r="AN17" i="151"/>
  <c r="AO17" i="151"/>
  <c r="BE14" i="72"/>
  <c r="AD17" i="151"/>
  <c r="AF17" i="151"/>
  <c r="L62" i="100"/>
  <c r="AC65" i="118"/>
  <c r="AN65" i="118"/>
  <c r="AO65" i="118"/>
  <c r="AP62" i="72"/>
  <c r="AC10" i="144"/>
  <c r="AN10" i="144"/>
  <c r="AO10" i="144"/>
  <c r="AY7" i="72"/>
  <c r="U7" i="100"/>
  <c r="AC26" i="152"/>
  <c r="AN26" i="152"/>
  <c r="AO26" i="152"/>
  <c r="BF23" i="72"/>
  <c r="AB23" i="100"/>
  <c r="AD26" i="152"/>
  <c r="AF26" i="152"/>
  <c r="P23" i="100"/>
  <c r="AC26" i="126"/>
  <c r="AN26" i="126"/>
  <c r="AO26" i="126"/>
  <c r="AT23" i="72"/>
  <c r="N54" i="100"/>
  <c r="AC57" i="120"/>
  <c r="AN57" i="120"/>
  <c r="AO57" i="120"/>
  <c r="AR54" i="72"/>
  <c r="H33" i="100"/>
  <c r="AL33" i="72"/>
  <c r="AD36" i="114"/>
  <c r="AF36" i="114"/>
  <c r="Q64" i="100"/>
  <c r="AC67" i="127"/>
  <c r="AN67" i="127"/>
  <c r="AO67" i="127"/>
  <c r="AU64" i="72"/>
  <c r="AC67" i="131"/>
  <c r="AN67" i="131"/>
  <c r="AO67" i="131"/>
  <c r="AX64" i="72"/>
  <c r="T64" i="100"/>
  <c r="Y56" i="100"/>
  <c r="AC59" i="148"/>
  <c r="AN59" i="148"/>
  <c r="AO59" i="148"/>
  <c r="BC56" i="72"/>
  <c r="O56" i="100"/>
  <c r="AC59" i="125"/>
  <c r="AN59" i="125"/>
  <c r="AO59" i="125"/>
  <c r="AS56" i="72"/>
  <c r="U56" i="100"/>
  <c r="AC59" i="144"/>
  <c r="AN59" i="144"/>
  <c r="AO59" i="144"/>
  <c r="AY56" i="72"/>
  <c r="X29" i="100"/>
  <c r="AC32" i="147"/>
  <c r="AN32" i="147"/>
  <c r="AO32" i="147"/>
  <c r="BB29" i="72"/>
  <c r="AD32" i="147"/>
  <c r="AF32" i="147"/>
  <c r="AA70" i="100"/>
  <c r="AC73" i="151"/>
  <c r="AN73" i="151"/>
  <c r="AO73" i="151"/>
  <c r="BE70" i="72"/>
  <c r="AC73" i="126"/>
  <c r="AN73" i="126"/>
  <c r="AO73" i="126"/>
  <c r="AT70" i="72"/>
  <c r="P70" i="100"/>
  <c r="AD73" i="126"/>
  <c r="AF73" i="126"/>
  <c r="Q36" i="100"/>
  <c r="AC39" i="127"/>
  <c r="AN39" i="127"/>
  <c r="AO39" i="127"/>
  <c r="AU36" i="72"/>
  <c r="I21" i="100"/>
  <c r="AM21" i="72"/>
  <c r="AD24" i="115"/>
  <c r="AF24" i="115"/>
  <c r="AC62" i="129"/>
  <c r="AN62" i="129"/>
  <c r="AO62" i="129"/>
  <c r="AW59" i="72"/>
  <c r="S59" i="100"/>
  <c r="AD62" i="129"/>
  <c r="AF62" i="129"/>
  <c r="AC34" i="151"/>
  <c r="AN34" i="151"/>
  <c r="AO34" i="151"/>
  <c r="BE31" i="72"/>
  <c r="AA31" i="100"/>
  <c r="T18" i="100"/>
  <c r="AC21" i="131"/>
  <c r="AN21" i="131"/>
  <c r="AO21" i="131"/>
  <c r="AX18" i="72"/>
  <c r="L18" i="100"/>
  <c r="AC21" i="118"/>
  <c r="AN21" i="118"/>
  <c r="AO21" i="118"/>
  <c r="AP18" i="72"/>
  <c r="AD21" i="118"/>
  <c r="AF21" i="118"/>
  <c r="M15" i="100"/>
  <c r="AC18" i="119"/>
  <c r="AN18" i="119"/>
  <c r="AO18" i="119"/>
  <c r="AQ15" i="72"/>
  <c r="AC68" i="116"/>
  <c r="AN68" i="116"/>
  <c r="AO68" i="116"/>
  <c r="AN65" i="72"/>
  <c r="J65" i="100"/>
  <c r="AD68" i="116"/>
  <c r="AF68" i="116"/>
  <c r="O65" i="100"/>
  <c r="AC68" i="125"/>
  <c r="AN68" i="125"/>
  <c r="AO68" i="125"/>
  <c r="AS65" i="72"/>
  <c r="AC60" i="129"/>
  <c r="AN60" i="129"/>
  <c r="AO60" i="129"/>
  <c r="AW57" i="72"/>
  <c r="S57" i="100"/>
  <c r="V57" i="100"/>
  <c r="AC60" i="145"/>
  <c r="AN60" i="145"/>
  <c r="AO60" i="145"/>
  <c r="AZ57" i="72"/>
  <c r="AC16" i="118"/>
  <c r="AN16" i="118"/>
  <c r="AO16" i="118"/>
  <c r="AP13" i="72"/>
  <c r="L13" i="100"/>
  <c r="Z13" i="100"/>
  <c r="AC16" i="149"/>
  <c r="AN16" i="149"/>
  <c r="AO16" i="149"/>
  <c r="BD13" i="72"/>
  <c r="AC49" i="147"/>
  <c r="AN49" i="147"/>
  <c r="AO49" i="147"/>
  <c r="BB46" i="72"/>
  <c r="X46" i="100"/>
  <c r="AC49" i="145"/>
  <c r="AN49" i="145"/>
  <c r="AO49" i="145"/>
  <c r="AZ46" i="72"/>
  <c r="V46" i="100"/>
  <c r="AD49" i="145"/>
  <c r="AF49" i="145"/>
  <c r="AC74" i="117"/>
  <c r="AN74" i="117"/>
  <c r="AO74" i="117"/>
  <c r="AO71" i="72"/>
  <c r="K71" i="100"/>
  <c r="AC41" i="128"/>
  <c r="AN41" i="128"/>
  <c r="AO41" i="128"/>
  <c r="AV38" i="72"/>
  <c r="AD41" i="128"/>
  <c r="AF41" i="128"/>
  <c r="R38" i="100"/>
  <c r="AD41" i="76"/>
  <c r="AO41" i="76"/>
  <c r="AP41" i="76"/>
  <c r="BH38" i="72"/>
  <c r="AD38" i="100"/>
  <c r="AE41" i="76"/>
  <c r="AG41" i="76"/>
  <c r="AC19" i="148"/>
  <c r="AN19" i="148"/>
  <c r="AO19" i="148"/>
  <c r="BC16" i="72"/>
  <c r="Y16" i="100"/>
  <c r="AD19" i="148"/>
  <c r="AF19" i="148"/>
  <c r="AC19" i="129"/>
  <c r="AN19" i="129"/>
  <c r="AO19" i="129"/>
  <c r="AW16" i="72"/>
  <c r="S16" i="100"/>
  <c r="P50" i="100"/>
  <c r="AC53" i="126"/>
  <c r="AN53" i="126"/>
  <c r="AO53" i="126"/>
  <c r="AT50" i="72"/>
  <c r="AD53" i="80"/>
  <c r="AO53" i="80"/>
  <c r="AP53" i="80"/>
  <c r="BI50" i="72"/>
  <c r="AE50" i="100"/>
  <c r="AE53" i="80"/>
  <c r="AG53" i="80"/>
  <c r="AC53" i="152"/>
  <c r="AN53" i="152"/>
  <c r="AO53" i="152"/>
  <c r="BF50" i="72"/>
  <c r="AB50" i="100"/>
  <c r="Z42" i="100"/>
  <c r="AC45" i="149"/>
  <c r="AN45" i="149"/>
  <c r="AO45" i="149"/>
  <c r="BD42" i="72"/>
  <c r="AC6" i="100"/>
  <c r="AC9" i="153"/>
  <c r="AN9" i="153"/>
  <c r="AO9" i="153"/>
  <c r="BG6" i="72"/>
  <c r="AC56" i="127"/>
  <c r="AN56" i="127"/>
  <c r="AO56" i="127"/>
  <c r="AU53" i="72"/>
  <c r="Q53" i="100"/>
  <c r="Z53" i="100"/>
  <c r="AC56" i="149"/>
  <c r="AN56" i="149"/>
  <c r="AO56" i="149"/>
  <c r="BD53" i="72"/>
  <c r="AC70" i="119"/>
  <c r="AN70" i="119"/>
  <c r="AO70" i="119"/>
  <c r="AQ67" i="72"/>
  <c r="M67" i="100"/>
  <c r="AD70" i="119"/>
  <c r="AF70" i="119"/>
  <c r="AC70" i="131"/>
  <c r="AN70" i="131"/>
  <c r="AO70" i="131"/>
  <c r="AX67" i="72"/>
  <c r="T67" i="100"/>
  <c r="AC50" i="117"/>
  <c r="AN50" i="117"/>
  <c r="AO50" i="117"/>
  <c r="AO47" i="72"/>
  <c r="K47" i="100"/>
  <c r="T68" i="100"/>
  <c r="AC71" i="131"/>
  <c r="AN71" i="131"/>
  <c r="AO71" i="131"/>
  <c r="AX68" i="72"/>
  <c r="G68" i="100"/>
  <c r="AK68" i="72"/>
  <c r="AC30" i="153"/>
  <c r="AN30" i="153"/>
  <c r="AO30" i="153"/>
  <c r="BG27" i="72"/>
  <c r="AC27" i="100"/>
  <c r="AD30" i="153"/>
  <c r="AF30" i="153"/>
  <c r="AC64" i="146"/>
  <c r="AN64" i="146"/>
  <c r="AO64" i="146"/>
  <c r="BA61" i="72"/>
  <c r="W61" i="100"/>
  <c r="AC31" i="129"/>
  <c r="AN31" i="129"/>
  <c r="AO31" i="129"/>
  <c r="AW28" i="72"/>
  <c r="S28" i="100"/>
  <c r="J28" i="100"/>
  <c r="AC31" i="116"/>
  <c r="AN31" i="116"/>
  <c r="AO31" i="116"/>
  <c r="AN28" i="72"/>
  <c r="AD31" i="116"/>
  <c r="AF31" i="116"/>
  <c r="U26" i="100"/>
  <c r="AC29" i="144"/>
  <c r="AN29" i="144"/>
  <c r="AO29" i="144"/>
  <c r="AY26" i="72"/>
  <c r="AA26" i="100"/>
  <c r="AC29" i="151"/>
  <c r="AN29" i="151"/>
  <c r="AO29" i="151"/>
  <c r="BE26" i="72"/>
  <c r="L72" i="100"/>
  <c r="AC75" i="118"/>
  <c r="AN75" i="118"/>
  <c r="AO75" i="118"/>
  <c r="AP72" i="72"/>
  <c r="AD75" i="76"/>
  <c r="AO75" i="76"/>
  <c r="AP75" i="76"/>
  <c r="BH72" i="72"/>
  <c r="AD72" i="100"/>
  <c r="AD51" i="76"/>
  <c r="AO51" i="76"/>
  <c r="AP51" i="76"/>
  <c r="BH48" i="72"/>
  <c r="AE51" i="76"/>
  <c r="AG51" i="76"/>
  <c r="AD48" i="100"/>
  <c r="AA51" i="145"/>
  <c r="AB51" i="145"/>
  <c r="AC63" i="131"/>
  <c r="AN63" i="131"/>
  <c r="AO63" i="131"/>
  <c r="AX60" i="72"/>
  <c r="T60" i="100"/>
  <c r="R60" i="100"/>
  <c r="AC63" i="128"/>
  <c r="AN63" i="128"/>
  <c r="AO63" i="128"/>
  <c r="AV60" i="72"/>
  <c r="AD63" i="128"/>
  <c r="AF63" i="128"/>
  <c r="AD63" i="76"/>
  <c r="AO63" i="76"/>
  <c r="AP63" i="76"/>
  <c r="BH60" i="72"/>
  <c r="AD60" i="100"/>
  <c r="AE63" i="76"/>
  <c r="AG63" i="76"/>
  <c r="AM44" i="72"/>
  <c r="I44" i="100"/>
  <c r="AA47" i="147"/>
  <c r="AB47" i="147"/>
  <c r="AD47" i="76"/>
  <c r="AO47" i="76"/>
  <c r="AP47" i="76"/>
  <c r="BH44" i="72"/>
  <c r="AD44" i="100"/>
  <c r="N11" i="100"/>
  <c r="AC14" i="120"/>
  <c r="AN14" i="120"/>
  <c r="AO14" i="120"/>
  <c r="AR11" i="72"/>
  <c r="AE11" i="100"/>
  <c r="AD14" i="80"/>
  <c r="AO14" i="80"/>
  <c r="AP14" i="80"/>
  <c r="BI11" i="72"/>
  <c r="AE14" i="80"/>
  <c r="AG14" i="80"/>
  <c r="AC40" i="129"/>
  <c r="AN40" i="129"/>
  <c r="AO40" i="129"/>
  <c r="AW37" i="72"/>
  <c r="S37" i="100"/>
  <c r="AB37" i="100"/>
  <c r="AC40" i="152"/>
  <c r="AN40" i="152"/>
  <c r="AO40" i="152"/>
  <c r="BF37" i="72"/>
  <c r="O37" i="100"/>
  <c r="AC40" i="125"/>
  <c r="AN40" i="125"/>
  <c r="AO40" i="125"/>
  <c r="AS37" i="72"/>
  <c r="AD40" i="125"/>
  <c r="AF40" i="125"/>
  <c r="AD37" i="100"/>
  <c r="AD40" i="76"/>
  <c r="AO40" i="76"/>
  <c r="AP40" i="76"/>
  <c r="BH37" i="72"/>
  <c r="AE40" i="76"/>
  <c r="AG40" i="76"/>
  <c r="AC58" i="129"/>
  <c r="AN58" i="129"/>
  <c r="AO58" i="129"/>
  <c r="AW55" i="72"/>
  <c r="S55" i="100"/>
  <c r="AB58" i="153"/>
  <c r="P55" i="100"/>
  <c r="AC58" i="126"/>
  <c r="I9" i="100"/>
  <c r="AM9" i="72"/>
  <c r="AD12" i="115"/>
  <c r="AF12" i="115"/>
  <c r="AC12" i="131"/>
  <c r="AN12" i="131"/>
  <c r="AO12" i="131"/>
  <c r="AX9" i="72"/>
  <c r="T9" i="100"/>
  <c r="AD12" i="131"/>
  <c r="AF12" i="131"/>
  <c r="AC43" i="116"/>
  <c r="J40" i="100"/>
  <c r="R40" i="100"/>
  <c r="AC43" i="128"/>
  <c r="AN43" i="128"/>
  <c r="AO43" i="128"/>
  <c r="AV40" i="72"/>
  <c r="AM40" i="72"/>
  <c r="I40" i="100"/>
  <c r="AD43" i="115"/>
  <c r="AF43" i="115"/>
  <c r="AC43" i="149"/>
  <c r="Z40" i="100"/>
  <c r="AC43" i="118"/>
  <c r="AN43" i="118"/>
  <c r="AO43" i="118"/>
  <c r="AP40" i="72"/>
  <c r="L40" i="100"/>
  <c r="AD8" i="76"/>
  <c r="AO8" i="76"/>
  <c r="AP8" i="76"/>
  <c r="BH5" i="72"/>
  <c r="AE8" i="76"/>
  <c r="AG8" i="76"/>
  <c r="AD5" i="100"/>
  <c r="AB33" i="147"/>
  <c r="AB33" i="119"/>
  <c r="AA33" i="152"/>
  <c r="AB33" i="152"/>
  <c r="AK30" i="72"/>
  <c r="G30" i="100"/>
  <c r="AD33" i="113"/>
  <c r="AF33" i="113"/>
  <c r="AA72" i="116"/>
  <c r="AB72" i="116"/>
  <c r="AB72" i="151"/>
  <c r="AA72" i="128"/>
  <c r="AB72" i="128"/>
  <c r="AA72" i="153"/>
  <c r="AB72" i="153"/>
  <c r="AD72" i="113"/>
  <c r="AF72" i="113"/>
  <c r="AA15" i="146"/>
  <c r="AB15" i="146"/>
  <c r="AA15" i="131"/>
  <c r="AB15" i="131"/>
  <c r="AA15" i="147"/>
  <c r="AB15" i="147"/>
  <c r="AB15" i="126"/>
  <c r="AA15" i="151"/>
  <c r="AB15" i="151"/>
  <c r="AB15" i="120"/>
  <c r="AB15" i="119"/>
  <c r="AB15" i="144"/>
  <c r="AA25" i="125"/>
  <c r="AB25" i="125"/>
  <c r="AB25" i="148"/>
  <c r="AA25" i="149"/>
  <c r="AB25" i="149"/>
  <c r="AA25" i="131"/>
  <c r="AB25" i="131"/>
  <c r="AB25" i="117"/>
  <c r="AA25" i="129"/>
  <c r="AB25" i="129"/>
  <c r="AA25" i="126"/>
  <c r="AB25" i="126"/>
  <c r="AA37" i="145"/>
  <c r="AB37" i="145"/>
  <c r="AA37" i="147"/>
  <c r="AB37" i="147"/>
  <c r="AB37" i="129"/>
  <c r="AA37" i="152"/>
  <c r="AB37" i="152"/>
  <c r="AB37" i="80"/>
  <c r="AC37" i="80"/>
  <c r="AB37" i="126"/>
  <c r="AB37" i="76"/>
  <c r="AC37" i="76"/>
  <c r="Z43" i="100"/>
  <c r="AC46" i="149"/>
  <c r="AN46" i="149"/>
  <c r="AO46" i="149"/>
  <c r="BD43" i="72"/>
  <c r="X43" i="100"/>
  <c r="AC46" i="147"/>
  <c r="AC55" i="131"/>
  <c r="AN55" i="131"/>
  <c r="AO55" i="131"/>
  <c r="AX52" i="72"/>
  <c r="T52" i="100"/>
  <c r="AD55" i="131"/>
  <c r="AF55" i="131"/>
  <c r="AM52" i="72"/>
  <c r="I52" i="100"/>
  <c r="AC55" i="120"/>
  <c r="AN55" i="120"/>
  <c r="AO55" i="120"/>
  <c r="AR52" i="72"/>
  <c r="N52" i="100"/>
  <c r="AA52" i="100"/>
  <c r="AC55" i="151"/>
  <c r="AN55" i="151"/>
  <c r="AO55" i="151"/>
  <c r="BE52" i="72"/>
  <c r="AD55" i="151"/>
  <c r="AF55" i="151"/>
  <c r="AD55" i="80"/>
  <c r="AO55" i="80"/>
  <c r="AP55" i="80"/>
  <c r="BI52" i="72"/>
  <c r="AE52" i="100"/>
  <c r="J51" i="100"/>
  <c r="AC54" i="116"/>
  <c r="AN54" i="116"/>
  <c r="AO54" i="116"/>
  <c r="AN51" i="72"/>
  <c r="V51" i="100"/>
  <c r="AC54" i="145"/>
  <c r="AN54" i="145"/>
  <c r="AO54" i="145"/>
  <c r="AZ51" i="72"/>
  <c r="AD54" i="145"/>
  <c r="AF54" i="145"/>
  <c r="AC54" i="117"/>
  <c r="AN54" i="117"/>
  <c r="AO54" i="117"/>
  <c r="AO51" i="72"/>
  <c r="K51" i="100"/>
  <c r="AC69" i="145"/>
  <c r="AN69" i="145"/>
  <c r="AO69" i="145"/>
  <c r="AZ66" i="72"/>
  <c r="V66" i="100"/>
  <c r="AC69" i="125"/>
  <c r="AN69" i="125"/>
  <c r="AO69" i="125"/>
  <c r="AS66" i="72"/>
  <c r="O66" i="100"/>
  <c r="AD69" i="125"/>
  <c r="AF69" i="125"/>
  <c r="AB24" i="100"/>
  <c r="AC27" i="152"/>
  <c r="AN27" i="152"/>
  <c r="AO27" i="152"/>
  <c r="BF24" i="72"/>
  <c r="AC27" i="128"/>
  <c r="AN27" i="128"/>
  <c r="AO27" i="128"/>
  <c r="AV24" i="72"/>
  <c r="R24" i="100"/>
  <c r="Z58" i="100"/>
  <c r="AC61" i="149"/>
  <c r="AN61" i="149"/>
  <c r="AO61" i="149"/>
  <c r="BD58" i="72"/>
  <c r="U58" i="100"/>
  <c r="AC61" i="144"/>
  <c r="AN61" i="144"/>
  <c r="AO61" i="144"/>
  <c r="AY58" i="72"/>
  <c r="AC61" i="116"/>
  <c r="AN61" i="116"/>
  <c r="AO61" i="116"/>
  <c r="AN58" i="72"/>
  <c r="AD61" i="116"/>
  <c r="AF61" i="116"/>
  <c r="J58" i="100"/>
  <c r="Y14" i="100"/>
  <c r="AC17" i="148"/>
  <c r="AN17" i="148"/>
  <c r="AO17" i="148"/>
  <c r="BC14" i="72"/>
  <c r="AD17" i="148"/>
  <c r="AF17" i="148"/>
  <c r="AC17" i="117"/>
  <c r="AN17" i="117"/>
  <c r="AO17" i="117"/>
  <c r="AO14" i="72"/>
  <c r="K14" i="100"/>
  <c r="AD17" i="117"/>
  <c r="AF17" i="117"/>
  <c r="AL14" i="72"/>
  <c r="H14" i="100"/>
  <c r="AD17" i="80"/>
  <c r="AO17" i="80"/>
  <c r="AP17" i="80"/>
  <c r="BI14" i="72"/>
  <c r="AE14" i="100"/>
  <c r="AC65" i="116"/>
  <c r="AN65" i="116"/>
  <c r="AO65" i="116"/>
  <c r="AN62" i="72"/>
  <c r="J62" i="100"/>
  <c r="AD65" i="116"/>
  <c r="AF65" i="116"/>
  <c r="M62" i="100"/>
  <c r="AC65" i="119"/>
  <c r="AN65" i="119"/>
  <c r="AO65" i="119"/>
  <c r="AQ62" i="72"/>
  <c r="AC65" i="144"/>
  <c r="AN65" i="144"/>
  <c r="AO65" i="144"/>
  <c r="AY62" i="72"/>
  <c r="U62" i="100"/>
  <c r="AH10" i="113"/>
  <c r="AI10" i="113"/>
  <c r="G7" i="72"/>
  <c r="AJ10" i="113"/>
  <c r="AC10" i="153"/>
  <c r="AN10" i="153"/>
  <c r="AO10" i="153"/>
  <c r="BG7" i="72"/>
  <c r="AD10" i="153"/>
  <c r="AF10" i="153"/>
  <c r="AC7" i="100"/>
  <c r="K7" i="100"/>
  <c r="AC10" i="117"/>
  <c r="AN10" i="117"/>
  <c r="AO10" i="117"/>
  <c r="AO7" i="72"/>
  <c r="AD10" i="117"/>
  <c r="AF10" i="117"/>
  <c r="AC26" i="118"/>
  <c r="AN26" i="118"/>
  <c r="AO26" i="118"/>
  <c r="AP23" i="72"/>
  <c r="L23" i="100"/>
  <c r="AL23" i="72"/>
  <c r="H23" i="100"/>
  <c r="X23" i="100"/>
  <c r="AC26" i="147"/>
  <c r="AN26" i="147"/>
  <c r="AO26" i="147"/>
  <c r="BB23" i="72"/>
  <c r="AB57" i="118"/>
  <c r="AA57" i="149"/>
  <c r="AB57" i="149"/>
  <c r="AB57" i="126"/>
  <c r="AA57" i="148"/>
  <c r="AB57" i="148"/>
  <c r="AA57" i="144"/>
  <c r="AB57" i="144"/>
  <c r="AC28" i="145"/>
  <c r="AN28" i="145"/>
  <c r="AO28" i="145"/>
  <c r="AZ25" i="72"/>
  <c r="V25" i="100"/>
  <c r="H25" i="100"/>
  <c r="AL25" i="72"/>
  <c r="AB33" i="100"/>
  <c r="AC36" i="152"/>
  <c r="AN36" i="152"/>
  <c r="AO36" i="152"/>
  <c r="BF33" i="72"/>
  <c r="AC36" i="145"/>
  <c r="AN36" i="145"/>
  <c r="AO36" i="145"/>
  <c r="AZ33" i="72"/>
  <c r="V33" i="100"/>
  <c r="AC67" i="116"/>
  <c r="AN67" i="116"/>
  <c r="AO67" i="116"/>
  <c r="AN64" i="72"/>
  <c r="J64" i="100"/>
  <c r="AD67" i="116"/>
  <c r="AF67" i="116"/>
  <c r="AD64" i="100"/>
  <c r="AD67" i="76"/>
  <c r="AO67" i="76"/>
  <c r="AP67" i="76"/>
  <c r="BH64" i="72"/>
  <c r="AE67" i="76"/>
  <c r="AG67" i="76"/>
  <c r="AC67" i="119"/>
  <c r="AN67" i="119"/>
  <c r="AO67" i="119"/>
  <c r="AQ64" i="72"/>
  <c r="M64" i="100"/>
  <c r="W64" i="100"/>
  <c r="AC67" i="146"/>
  <c r="AN67" i="146"/>
  <c r="AO67" i="146"/>
  <c r="BA64" i="72"/>
  <c r="AC67" i="149"/>
  <c r="AN67" i="149"/>
  <c r="AO67" i="149"/>
  <c r="BD64" i="72"/>
  <c r="Z64" i="100"/>
  <c r="AD67" i="149"/>
  <c r="AF67" i="149"/>
  <c r="AC59" i="145"/>
  <c r="AN59" i="145"/>
  <c r="AO59" i="145"/>
  <c r="AZ56" i="72"/>
  <c r="V56" i="100"/>
  <c r="AC59" i="117"/>
  <c r="AN59" i="117"/>
  <c r="AO59" i="117"/>
  <c r="AO56" i="72"/>
  <c r="K56" i="100"/>
  <c r="AD56" i="100"/>
  <c r="AD59" i="76"/>
  <c r="AO59" i="76"/>
  <c r="AP59" i="76"/>
  <c r="BH56" i="72"/>
  <c r="N29" i="100"/>
  <c r="AC32" i="120"/>
  <c r="AN32" i="120"/>
  <c r="AO32" i="120"/>
  <c r="AR29" i="72"/>
  <c r="AC32" i="125"/>
  <c r="AN32" i="125"/>
  <c r="AO32" i="125"/>
  <c r="AS29" i="72"/>
  <c r="O29" i="100"/>
  <c r="AC32" i="129"/>
  <c r="AN32" i="129"/>
  <c r="AO32" i="129"/>
  <c r="AW29" i="72"/>
  <c r="S29" i="100"/>
  <c r="AD32" i="129"/>
  <c r="AF32" i="129"/>
  <c r="AC32" i="127"/>
  <c r="AN32" i="127"/>
  <c r="AO32" i="127"/>
  <c r="AU29" i="72"/>
  <c r="Q29" i="100"/>
  <c r="AD32" i="127"/>
  <c r="AF32" i="127"/>
  <c r="AL29" i="72"/>
  <c r="H29" i="100"/>
  <c r="X70" i="100"/>
  <c r="AC73" i="147"/>
  <c r="AN73" i="147"/>
  <c r="AO73" i="147"/>
  <c r="BB70" i="72"/>
  <c r="AC73" i="144"/>
  <c r="AN73" i="144"/>
  <c r="AO73" i="144"/>
  <c r="AY70" i="72"/>
  <c r="U70" i="100"/>
  <c r="AD73" i="144"/>
  <c r="AF73" i="144"/>
  <c r="AC73" i="125"/>
  <c r="AN73" i="125"/>
  <c r="AO73" i="125"/>
  <c r="AS70" i="72"/>
  <c r="O70" i="100"/>
  <c r="AH39" i="113"/>
  <c r="AI39" i="113"/>
  <c r="G36" i="72"/>
  <c r="AJ39" i="113"/>
  <c r="AC39" i="148"/>
  <c r="AN39" i="148"/>
  <c r="AO39" i="148"/>
  <c r="BC36" i="72"/>
  <c r="Y36" i="100"/>
  <c r="AD39" i="148"/>
  <c r="AF39" i="148"/>
  <c r="W36" i="100"/>
  <c r="AC39" i="146"/>
  <c r="AN39" i="146"/>
  <c r="AO39" i="146"/>
  <c r="BA36" i="72"/>
  <c r="AC39" i="144"/>
  <c r="AN39" i="144"/>
  <c r="AO39" i="144"/>
  <c r="AY36" i="72"/>
  <c r="U36" i="100"/>
  <c r="AD39" i="144"/>
  <c r="AF39" i="144"/>
  <c r="L21" i="100"/>
  <c r="AC24" i="118"/>
  <c r="AN24" i="118"/>
  <c r="AO24" i="118"/>
  <c r="AP21" i="72"/>
  <c r="M21" i="100"/>
  <c r="AC24" i="119"/>
  <c r="AN24" i="119"/>
  <c r="AO24" i="119"/>
  <c r="AQ21" i="72"/>
  <c r="AH62" i="113"/>
  <c r="AI62" i="113"/>
  <c r="G59" i="72"/>
  <c r="AJ62" i="113"/>
  <c r="W59" i="100"/>
  <c r="AC62" i="146"/>
  <c r="AN62" i="146"/>
  <c r="AO62" i="146"/>
  <c r="BA59" i="72"/>
  <c r="AC62" i="153"/>
  <c r="AN62" i="153"/>
  <c r="AO62" i="153"/>
  <c r="BG59" i="72"/>
  <c r="AD62" i="153"/>
  <c r="AF62" i="153"/>
  <c r="AC59" i="100"/>
  <c r="H59" i="100"/>
  <c r="AL59" i="72"/>
  <c r="AC31" i="100"/>
  <c r="AC34" i="153"/>
  <c r="AN34" i="153"/>
  <c r="AO34" i="153"/>
  <c r="BG31" i="72"/>
  <c r="AC34" i="127"/>
  <c r="AN34" i="127"/>
  <c r="AO34" i="127"/>
  <c r="AU31" i="72"/>
  <c r="Q31" i="100"/>
  <c r="AH66" i="113"/>
  <c r="AI66" i="113"/>
  <c r="G63" i="72"/>
  <c r="AJ66" i="113"/>
  <c r="AC66" i="118"/>
  <c r="AN66" i="118"/>
  <c r="AO66" i="118"/>
  <c r="AP63" i="72"/>
  <c r="L63" i="100"/>
  <c r="K63" i="100"/>
  <c r="AC66" i="117"/>
  <c r="AN66" i="117"/>
  <c r="AO66" i="117"/>
  <c r="AO63" i="72"/>
  <c r="AC21" i="116"/>
  <c r="AN21" i="116"/>
  <c r="AO21" i="116"/>
  <c r="AN18" i="72"/>
  <c r="J18" i="100"/>
  <c r="AD21" i="116"/>
  <c r="AF21" i="116"/>
  <c r="AC21" i="149"/>
  <c r="AN21" i="149"/>
  <c r="AO21" i="149"/>
  <c r="BD18" i="72"/>
  <c r="Z18" i="100"/>
  <c r="S18" i="100"/>
  <c r="AC21" i="129"/>
  <c r="AN21" i="129"/>
  <c r="AO21" i="129"/>
  <c r="AW18" i="72"/>
  <c r="N15" i="100"/>
  <c r="AC18" i="120"/>
  <c r="AN18" i="120"/>
  <c r="AO18" i="120"/>
  <c r="AR15" i="72"/>
  <c r="AD18" i="120"/>
  <c r="AF18" i="120"/>
  <c r="U15" i="100"/>
  <c r="AC18" i="144"/>
  <c r="AN18" i="144"/>
  <c r="AO18" i="144"/>
  <c r="AY15" i="72"/>
  <c r="AD18" i="144"/>
  <c r="AF18" i="144"/>
  <c r="J15" i="100"/>
  <c r="AC18" i="116"/>
  <c r="AN18" i="116"/>
  <c r="AO18" i="116"/>
  <c r="AN15" i="72"/>
  <c r="X15" i="100"/>
  <c r="AC18" i="147"/>
  <c r="AN18" i="147"/>
  <c r="AO18" i="147"/>
  <c r="BB15" i="72"/>
  <c r="AD68" i="76"/>
  <c r="AO68" i="76"/>
  <c r="AP68" i="76"/>
  <c r="BH65" i="72"/>
  <c r="AD65" i="100"/>
  <c r="AM65" i="72"/>
  <c r="I65" i="100"/>
  <c r="AH60" i="113"/>
  <c r="AI60" i="113"/>
  <c r="G57" i="72"/>
  <c r="AJ60" i="113"/>
  <c r="AC60" i="149"/>
  <c r="AN60" i="149"/>
  <c r="AO60" i="149"/>
  <c r="BD57" i="72"/>
  <c r="Z57" i="100"/>
  <c r="N57" i="100"/>
  <c r="AC60" i="120"/>
  <c r="AN60" i="120"/>
  <c r="AO60" i="120"/>
  <c r="AR57" i="72"/>
  <c r="AC16" i="127"/>
  <c r="AN16" i="127"/>
  <c r="AO16" i="127"/>
  <c r="AU13" i="72"/>
  <c r="Q13" i="100"/>
  <c r="AL13" i="72"/>
  <c r="H13" i="100"/>
  <c r="AC16" i="145"/>
  <c r="AN16" i="145"/>
  <c r="AO16" i="145"/>
  <c r="AZ13" i="72"/>
  <c r="V13" i="100"/>
  <c r="AD16" i="145"/>
  <c r="AF16" i="145"/>
  <c r="AD16" i="76"/>
  <c r="AO16" i="76"/>
  <c r="AP16" i="76"/>
  <c r="BH13" i="72"/>
  <c r="AD13" i="100"/>
  <c r="AE16" i="76"/>
  <c r="AG16" i="76"/>
  <c r="AC49" i="120"/>
  <c r="AN49" i="120"/>
  <c r="AO49" i="120"/>
  <c r="AR46" i="72"/>
  <c r="N46" i="100"/>
  <c r="AC74" i="145"/>
  <c r="AN74" i="145"/>
  <c r="AO74" i="145"/>
  <c r="AZ71" i="72"/>
  <c r="AD74" i="145"/>
  <c r="AF74" i="145"/>
  <c r="V71" i="100"/>
  <c r="AC74" i="131"/>
  <c r="AN74" i="131"/>
  <c r="AO74" i="131"/>
  <c r="AX71" i="72"/>
  <c r="T71" i="100"/>
  <c r="AD74" i="131"/>
  <c r="AF74" i="131"/>
  <c r="AC74" i="119"/>
  <c r="AN74" i="119"/>
  <c r="AO74" i="119"/>
  <c r="AQ71" i="72"/>
  <c r="M71" i="100"/>
  <c r="AC13" i="127"/>
  <c r="AN13" i="127"/>
  <c r="AO13" i="127"/>
  <c r="AU10" i="72"/>
  <c r="Q10" i="100"/>
  <c r="AA10" i="100"/>
  <c r="AC13" i="151"/>
  <c r="AN13" i="151"/>
  <c r="AO13" i="151"/>
  <c r="BE10" i="72"/>
  <c r="P38" i="100"/>
  <c r="AC41" i="126"/>
  <c r="AN41" i="126"/>
  <c r="AO41" i="126"/>
  <c r="AT38" i="72"/>
  <c r="AL38" i="72"/>
  <c r="H38" i="100"/>
  <c r="AC41" i="149"/>
  <c r="AN41" i="149"/>
  <c r="AO41" i="149"/>
  <c r="BD38" i="72"/>
  <c r="Z38" i="100"/>
  <c r="AC41" i="120"/>
  <c r="AN41" i="120"/>
  <c r="AO41" i="120"/>
  <c r="AR38" i="72"/>
  <c r="N38" i="100"/>
  <c r="AC19" i="152"/>
  <c r="AN19" i="152"/>
  <c r="AO19" i="152"/>
  <c r="BF16" i="72"/>
  <c r="AB16" i="100"/>
  <c r="AC19" i="149"/>
  <c r="AN19" i="149"/>
  <c r="AO19" i="149"/>
  <c r="BD16" i="72"/>
  <c r="Z16" i="100"/>
  <c r="AD19" i="149"/>
  <c r="AF19" i="149"/>
  <c r="AC19" i="117"/>
  <c r="AN19" i="117"/>
  <c r="AO19" i="117"/>
  <c r="AO16" i="72"/>
  <c r="K16" i="100"/>
  <c r="AD19" i="117"/>
  <c r="AF19" i="117"/>
  <c r="V50" i="100"/>
  <c r="AC53" i="145"/>
  <c r="AN53" i="145"/>
  <c r="AO53" i="145"/>
  <c r="AZ50" i="72"/>
  <c r="AC53" i="147"/>
  <c r="AN53" i="147"/>
  <c r="AO53" i="147"/>
  <c r="BB50" i="72"/>
  <c r="X50" i="100"/>
  <c r="AD53" i="147"/>
  <c r="AF53" i="147"/>
  <c r="AC45" i="129"/>
  <c r="AN45" i="129"/>
  <c r="AO45" i="129"/>
  <c r="AW42" i="72"/>
  <c r="S42" i="100"/>
  <c r="AD45" i="129"/>
  <c r="AF45" i="129"/>
  <c r="H6" i="100"/>
  <c r="AL6" i="72"/>
  <c r="R6" i="100"/>
  <c r="AC9" i="128"/>
  <c r="AN9" i="128"/>
  <c r="AO9" i="128"/>
  <c r="AV6" i="72"/>
  <c r="AD9" i="76"/>
  <c r="AO9" i="76"/>
  <c r="AP9" i="76"/>
  <c r="BH6" i="72"/>
  <c r="AD6" i="100"/>
  <c r="AE9" i="76"/>
  <c r="AG9" i="76"/>
  <c r="AC56" i="117"/>
  <c r="AN56" i="117"/>
  <c r="AO56" i="117"/>
  <c r="AO53" i="72"/>
  <c r="K53" i="100"/>
  <c r="AD56" i="117"/>
  <c r="AF56" i="117"/>
  <c r="AD56" i="80"/>
  <c r="AO56" i="80"/>
  <c r="AP56" i="80"/>
  <c r="BI53" i="72"/>
  <c r="AE53" i="100"/>
  <c r="AC56" i="116"/>
  <c r="AN56" i="116"/>
  <c r="AO56" i="116"/>
  <c r="AN53" i="72"/>
  <c r="AD56" i="116"/>
  <c r="AF56" i="116"/>
  <c r="J53" i="100"/>
  <c r="O67" i="100"/>
  <c r="AC70" i="125"/>
  <c r="AN70" i="125"/>
  <c r="AO70" i="125"/>
  <c r="AS67" i="72"/>
  <c r="AD67" i="100"/>
  <c r="AD70" i="76"/>
  <c r="AO70" i="76"/>
  <c r="AP70" i="76"/>
  <c r="BH67" i="72"/>
  <c r="AL47" i="72"/>
  <c r="H47" i="100"/>
  <c r="AD50" i="114"/>
  <c r="AF50" i="114"/>
  <c r="AB47" i="100"/>
  <c r="AC50" i="152"/>
  <c r="AN50" i="152"/>
  <c r="AO50" i="152"/>
  <c r="BF47" i="72"/>
  <c r="AC50" i="126"/>
  <c r="AN50" i="126"/>
  <c r="AO50" i="126"/>
  <c r="AT47" i="72"/>
  <c r="P47" i="100"/>
  <c r="AA71" i="152"/>
  <c r="AB71" i="152"/>
  <c r="AB71" i="119"/>
  <c r="AA71" i="145"/>
  <c r="AB71" i="145"/>
  <c r="AC71" i="80"/>
  <c r="AA71" i="147"/>
  <c r="AB71" i="147"/>
  <c r="AB71" i="125"/>
  <c r="AA71" i="153"/>
  <c r="AB71" i="153"/>
  <c r="AB71" i="76"/>
  <c r="AC71" i="76"/>
  <c r="AA71" i="144"/>
  <c r="AB71" i="144"/>
  <c r="AA71" i="127"/>
  <c r="AB71" i="127"/>
  <c r="N27" i="100"/>
  <c r="AC30" i="120"/>
  <c r="AN30" i="120"/>
  <c r="AO30" i="120"/>
  <c r="AR27" i="72"/>
  <c r="AC30" i="149"/>
  <c r="AN30" i="149"/>
  <c r="AO30" i="149"/>
  <c r="BD27" i="72"/>
  <c r="Z27" i="100"/>
  <c r="AD30" i="149"/>
  <c r="AF30" i="149"/>
  <c r="AC30" i="131"/>
  <c r="AN30" i="131"/>
  <c r="AO30" i="131"/>
  <c r="AX27" i="72"/>
  <c r="T27" i="100"/>
  <c r="AC64" i="144"/>
  <c r="AN64" i="144"/>
  <c r="AO64" i="144"/>
  <c r="AY61" i="72"/>
  <c r="U61" i="100"/>
  <c r="I61" i="100"/>
  <c r="AM61" i="72"/>
  <c r="AC64" i="127"/>
  <c r="AN64" i="127"/>
  <c r="AO64" i="127"/>
  <c r="AU61" i="72"/>
  <c r="Q61" i="100"/>
  <c r="V61" i="100"/>
  <c r="AC64" i="145"/>
  <c r="AD64" i="145"/>
  <c r="AF64" i="145"/>
  <c r="AN64" i="145"/>
  <c r="AO64" i="145"/>
  <c r="AZ61" i="72"/>
  <c r="AC22" i="147"/>
  <c r="AN22" i="147"/>
  <c r="AO22" i="147"/>
  <c r="BB19" i="72"/>
  <c r="X19" i="100"/>
  <c r="AB19" i="100"/>
  <c r="AC22" i="152"/>
  <c r="AN22" i="152"/>
  <c r="AO22" i="152"/>
  <c r="BF19" i="72"/>
  <c r="AD22" i="76"/>
  <c r="AO22" i="76"/>
  <c r="AP22" i="76"/>
  <c r="BH19" i="72"/>
  <c r="AD19" i="100"/>
  <c r="AE22" i="76"/>
  <c r="AG22" i="76"/>
  <c r="AA28" i="100"/>
  <c r="AC31" i="151"/>
  <c r="AN31" i="151"/>
  <c r="AO31" i="151"/>
  <c r="BE28" i="72"/>
  <c r="AL28" i="72"/>
  <c r="H28" i="100"/>
  <c r="AC29" i="152"/>
  <c r="AN29" i="152"/>
  <c r="AO29" i="152"/>
  <c r="BF26" i="72"/>
  <c r="AB26" i="100"/>
  <c r="AD29" i="152"/>
  <c r="AF29" i="152"/>
  <c r="X26" i="100"/>
  <c r="AC29" i="147"/>
  <c r="AN29" i="147"/>
  <c r="AO29" i="147"/>
  <c r="BB26" i="72"/>
  <c r="AA75" i="144"/>
  <c r="AB75" i="144"/>
  <c r="AA75" i="125"/>
  <c r="AB75" i="125"/>
  <c r="AB75" i="152"/>
  <c r="AB75" i="149"/>
  <c r="AA75" i="145"/>
  <c r="AB75" i="145"/>
  <c r="G72" i="100"/>
  <c r="AK72" i="72"/>
  <c r="AD75" i="113"/>
  <c r="AF75" i="113"/>
  <c r="AB51" i="131"/>
  <c r="AB51" i="118"/>
  <c r="AB51" i="120"/>
  <c r="AC51" i="80"/>
  <c r="AA63" i="146"/>
  <c r="AB63" i="146"/>
  <c r="AB63" i="117"/>
  <c r="AA63" i="119"/>
  <c r="AB63" i="119"/>
  <c r="AA63" i="144"/>
  <c r="AB63" i="144"/>
  <c r="AC63" i="80"/>
  <c r="AA63" i="149"/>
  <c r="AB63" i="149"/>
  <c r="AB63" i="116"/>
  <c r="AA47" i="126"/>
  <c r="AB47" i="126"/>
  <c r="AA47" i="117"/>
  <c r="AB47" i="117"/>
  <c r="AA47" i="131"/>
  <c r="AB47" i="131"/>
  <c r="AC47" i="80"/>
  <c r="AA47" i="151"/>
  <c r="AB47" i="151"/>
  <c r="AA14" i="146"/>
  <c r="AB14" i="146"/>
  <c r="AB14" i="116"/>
  <c r="AA14" i="152"/>
  <c r="AB14" i="152"/>
  <c r="AA14" i="118"/>
  <c r="AB14" i="118"/>
  <c r="AB14" i="128"/>
  <c r="AA14" i="117"/>
  <c r="AB14" i="117"/>
  <c r="G11" i="100"/>
  <c r="AK11" i="72"/>
  <c r="AA40" i="144"/>
  <c r="AB40" i="144"/>
  <c r="AB40" i="80"/>
  <c r="AC40" i="80"/>
  <c r="AA40" i="149"/>
  <c r="AB40" i="149"/>
  <c r="AA40" i="127"/>
  <c r="AB40" i="127"/>
  <c r="AB40" i="118"/>
  <c r="AA40" i="145"/>
  <c r="AB40" i="145"/>
  <c r="AA40" i="119"/>
  <c r="AB40" i="119"/>
  <c r="AA58" i="116"/>
  <c r="AB58" i="116"/>
  <c r="AB58" i="76"/>
  <c r="AC58" i="76"/>
  <c r="AB58" i="147"/>
  <c r="AB58" i="117"/>
  <c r="AB12" i="118"/>
  <c r="AA12" i="148"/>
  <c r="AB12" i="148"/>
  <c r="AB12" i="128"/>
  <c r="AA12" i="149"/>
  <c r="AB12" i="149"/>
  <c r="AB12" i="76"/>
  <c r="AC12" i="76"/>
  <c r="AB12" i="145"/>
  <c r="AB43" i="146"/>
  <c r="AB43" i="117"/>
  <c r="AA43" i="144"/>
  <c r="AB43" i="144"/>
  <c r="AB43" i="80"/>
  <c r="AC43" i="80"/>
  <c r="AB43" i="129"/>
  <c r="AA43" i="120"/>
  <c r="AB43" i="120"/>
  <c r="G40" i="100"/>
  <c r="AK40" i="72"/>
  <c r="AA20" i="148"/>
  <c r="AB20" i="148"/>
  <c r="AB20" i="144"/>
  <c r="AB20" i="76"/>
  <c r="AC20" i="76"/>
  <c r="AB20" i="129"/>
  <c r="AB20" i="117"/>
  <c r="AB20" i="131"/>
  <c r="AA8" i="153"/>
  <c r="AB8" i="153"/>
  <c r="AA8" i="149"/>
  <c r="AB8" i="149"/>
  <c r="AB8" i="127"/>
  <c r="AA8" i="144"/>
  <c r="AB8" i="144"/>
  <c r="AA8" i="148"/>
  <c r="AB8" i="148"/>
  <c r="AA52" i="145"/>
  <c r="AB52" i="145"/>
  <c r="AA52" i="129"/>
  <c r="AB52" i="129"/>
  <c r="AA52" i="153"/>
  <c r="AB52" i="153"/>
  <c r="AA52" i="126"/>
  <c r="AB52" i="126"/>
  <c r="AA52" i="119"/>
  <c r="AB52" i="119"/>
  <c r="AA52" i="152"/>
  <c r="AB52" i="152"/>
  <c r="AB23" i="144"/>
  <c r="AA23" i="129"/>
  <c r="AB23" i="129"/>
  <c r="AA23" i="147"/>
  <c r="AB23" i="147"/>
  <c r="AB38" i="131"/>
  <c r="AB38" i="128"/>
  <c r="AB38" i="129"/>
  <c r="AB38" i="148"/>
  <c r="AM10" i="46"/>
  <c r="AN10" i="46"/>
  <c r="AP10" i="46"/>
  <c r="W43" i="100"/>
  <c r="AC46" i="146"/>
  <c r="AN46" i="146"/>
  <c r="AO46" i="146"/>
  <c r="BA43" i="72"/>
  <c r="AC46" i="128"/>
  <c r="AN46" i="128"/>
  <c r="AO46" i="128"/>
  <c r="AV43" i="72"/>
  <c r="R43" i="100"/>
  <c r="AA43" i="100"/>
  <c r="AC46" i="151"/>
  <c r="AN46" i="151"/>
  <c r="AO46" i="151"/>
  <c r="BE43" i="72"/>
  <c r="AC55" i="146"/>
  <c r="AN55" i="146"/>
  <c r="AO55" i="146"/>
  <c r="BA52" i="72"/>
  <c r="W52" i="100"/>
  <c r="AC55" i="117"/>
  <c r="AN55" i="117"/>
  <c r="AO55" i="117"/>
  <c r="AO52" i="72"/>
  <c r="K52" i="100"/>
  <c r="AD55" i="117"/>
  <c r="AF55" i="117"/>
  <c r="P52" i="100"/>
  <c r="AC55" i="126"/>
  <c r="AN55" i="126"/>
  <c r="AO55" i="126"/>
  <c r="AT52" i="72"/>
  <c r="AD55" i="126"/>
  <c r="AF55" i="126"/>
  <c r="AC55" i="145"/>
  <c r="AN55" i="145"/>
  <c r="AO55" i="145"/>
  <c r="AZ52" i="72"/>
  <c r="V52" i="100"/>
  <c r="X51" i="100"/>
  <c r="AC54" i="147"/>
  <c r="AN54" i="147"/>
  <c r="AO54" i="147"/>
  <c r="BB51" i="72"/>
  <c r="AC54" i="131"/>
  <c r="AN54" i="131"/>
  <c r="AO54" i="131"/>
  <c r="AX51" i="72"/>
  <c r="T51" i="100"/>
  <c r="AD54" i="131"/>
  <c r="AF54" i="131"/>
  <c r="AC54" i="153"/>
  <c r="AN54" i="153"/>
  <c r="AO54" i="153"/>
  <c r="BG51" i="72"/>
  <c r="AC51" i="100"/>
  <c r="AC69" i="117"/>
  <c r="AN69" i="117"/>
  <c r="AO69" i="117"/>
  <c r="AO66" i="72"/>
  <c r="K66" i="100"/>
  <c r="AC69" i="147"/>
  <c r="AN69" i="147"/>
  <c r="AO69" i="147"/>
  <c r="BB66" i="72"/>
  <c r="X66" i="100"/>
  <c r="AD69" i="147"/>
  <c r="AF69" i="147"/>
  <c r="AC27" i="148"/>
  <c r="AN27" i="148"/>
  <c r="AO27" i="148"/>
  <c r="BC24" i="72"/>
  <c r="Y24" i="100"/>
  <c r="AD27" i="148"/>
  <c r="AF27" i="148"/>
  <c r="Q24" i="100"/>
  <c r="AC27" i="127"/>
  <c r="AN27" i="127"/>
  <c r="AO27" i="127"/>
  <c r="AU24" i="72"/>
  <c r="AD27" i="127"/>
  <c r="AF27" i="127"/>
  <c r="AC61" i="118"/>
  <c r="AN61" i="118"/>
  <c r="AO61" i="118"/>
  <c r="AP58" i="72"/>
  <c r="AD61" i="118"/>
  <c r="AF61" i="118"/>
  <c r="L58" i="100"/>
  <c r="I58" i="100"/>
  <c r="AM58" i="72"/>
  <c r="AD61" i="115"/>
  <c r="AF61" i="115"/>
  <c r="AD61" i="76"/>
  <c r="AO61" i="76"/>
  <c r="AP61" i="76"/>
  <c r="BH58" i="72"/>
  <c r="AE61" i="76"/>
  <c r="AG61" i="76"/>
  <c r="AD58" i="100"/>
  <c r="AC61" i="129"/>
  <c r="AN61" i="129"/>
  <c r="AO61" i="129"/>
  <c r="AW58" i="72"/>
  <c r="S58" i="100"/>
  <c r="AC17" i="126"/>
  <c r="AN17" i="126"/>
  <c r="AO17" i="126"/>
  <c r="AT14" i="72"/>
  <c r="P14" i="100"/>
  <c r="AC17" i="127"/>
  <c r="AN17" i="127"/>
  <c r="AO17" i="127"/>
  <c r="AU14" i="72"/>
  <c r="Q14" i="100"/>
  <c r="AD17" i="127"/>
  <c r="AF17" i="127"/>
  <c r="AD65" i="76"/>
  <c r="AO65" i="76"/>
  <c r="AP65" i="76"/>
  <c r="BH62" i="72"/>
  <c r="AD62" i="100"/>
  <c r="AE65" i="76"/>
  <c r="AG65" i="76"/>
  <c r="AC65" i="125"/>
  <c r="AN65" i="125"/>
  <c r="AO65" i="125"/>
  <c r="AS62" i="72"/>
  <c r="O62" i="100"/>
  <c r="W62" i="100"/>
  <c r="AC65" i="146"/>
  <c r="AN65" i="146"/>
  <c r="AO65" i="146"/>
  <c r="BA62" i="72"/>
  <c r="AA42" i="129"/>
  <c r="AB42" i="129"/>
  <c r="AA42" i="144"/>
  <c r="AB42" i="144"/>
  <c r="AB42" i="116"/>
  <c r="AA42" i="149"/>
  <c r="AB42" i="149"/>
  <c r="AA42" i="127"/>
  <c r="AB42" i="127"/>
  <c r="AB42" i="118"/>
  <c r="AB42" i="128"/>
  <c r="AB42" i="119"/>
  <c r="W7" i="100"/>
  <c r="AC10" i="146"/>
  <c r="AN10" i="146"/>
  <c r="AO10" i="146"/>
  <c r="BA7" i="72"/>
  <c r="AC10" i="145"/>
  <c r="AN10" i="145"/>
  <c r="AO10" i="145"/>
  <c r="AZ7" i="72"/>
  <c r="V7" i="100"/>
  <c r="AC10" i="126"/>
  <c r="AN10" i="126"/>
  <c r="AO10" i="126"/>
  <c r="AT7" i="72"/>
  <c r="P7" i="100"/>
  <c r="AC10" i="120"/>
  <c r="AN10" i="120"/>
  <c r="AO10" i="120"/>
  <c r="AR7" i="72"/>
  <c r="N7" i="100"/>
  <c r="AD26" i="80"/>
  <c r="AO26" i="80"/>
  <c r="AP26" i="80"/>
  <c r="BI23" i="72"/>
  <c r="AE23" i="100"/>
  <c r="R23" i="100"/>
  <c r="AC26" i="128"/>
  <c r="AN26" i="128"/>
  <c r="AO26" i="128"/>
  <c r="AV23" i="72"/>
  <c r="Q25" i="100"/>
  <c r="AC28" i="127"/>
  <c r="AN28" i="127"/>
  <c r="AO28" i="127"/>
  <c r="AU25" i="72"/>
  <c r="AD28" i="127"/>
  <c r="AF28" i="127"/>
  <c r="AD28" i="76"/>
  <c r="AO28" i="76"/>
  <c r="AP28" i="76"/>
  <c r="BH25" i="72"/>
  <c r="AD25" i="100"/>
  <c r="T25" i="100"/>
  <c r="AC28" i="131"/>
  <c r="AN28" i="131"/>
  <c r="AO28" i="131"/>
  <c r="AX25" i="72"/>
  <c r="X33" i="100"/>
  <c r="AC36" i="147"/>
  <c r="AN36" i="147"/>
  <c r="AO36" i="147"/>
  <c r="BB33" i="72"/>
  <c r="AD36" i="147"/>
  <c r="AF36" i="147"/>
  <c r="R33" i="100"/>
  <c r="AC36" i="128"/>
  <c r="AN36" i="128"/>
  <c r="AO36" i="128"/>
  <c r="AV33" i="72"/>
  <c r="AC33" i="100"/>
  <c r="AC36" i="153"/>
  <c r="AN36" i="153"/>
  <c r="AO36" i="153"/>
  <c r="BG33" i="72"/>
  <c r="AD36" i="153"/>
  <c r="AF36" i="153"/>
  <c r="AC67" i="117"/>
  <c r="AN67" i="117"/>
  <c r="AO67" i="117"/>
  <c r="AO64" i="72"/>
  <c r="K64" i="100"/>
  <c r="I64" i="100"/>
  <c r="AM64" i="72"/>
  <c r="AB64" i="100"/>
  <c r="AC67" i="152"/>
  <c r="AN67" i="152"/>
  <c r="AO67" i="152"/>
  <c r="BF64" i="72"/>
  <c r="AD67" i="152"/>
  <c r="AF67" i="152"/>
  <c r="AC56" i="100"/>
  <c r="AC59" i="153"/>
  <c r="AN59" i="153"/>
  <c r="AO59" i="153"/>
  <c r="BG56" i="72"/>
  <c r="AD59" i="153"/>
  <c r="AF59" i="153"/>
  <c r="R56" i="100"/>
  <c r="AC59" i="128"/>
  <c r="AN59" i="128"/>
  <c r="AO59" i="128"/>
  <c r="AV56" i="72"/>
  <c r="T29" i="100"/>
  <c r="AC32" i="131"/>
  <c r="AN32" i="131"/>
  <c r="AO32" i="131"/>
  <c r="AX29" i="72"/>
  <c r="AD32" i="131"/>
  <c r="AF32" i="131"/>
  <c r="M29" i="100"/>
  <c r="AC32" i="119"/>
  <c r="AN32" i="119"/>
  <c r="AO32" i="119"/>
  <c r="AQ29" i="72"/>
  <c r="AD32" i="119"/>
  <c r="AF32" i="119"/>
  <c r="AC32" i="152"/>
  <c r="AN32" i="152"/>
  <c r="AO32" i="152"/>
  <c r="BF29" i="72"/>
  <c r="AB29" i="100"/>
  <c r="AC73" i="116"/>
  <c r="AN73" i="116"/>
  <c r="AO73" i="116"/>
  <c r="AN70" i="72"/>
  <c r="J70" i="100"/>
  <c r="AE70" i="100"/>
  <c r="AD73" i="80"/>
  <c r="AO73" i="80"/>
  <c r="AP73" i="80"/>
  <c r="BI70" i="72"/>
  <c r="AC73" i="153"/>
  <c r="AN73" i="153"/>
  <c r="AO73" i="153"/>
  <c r="BG70" i="72"/>
  <c r="AC70" i="100"/>
  <c r="AC39" i="126"/>
  <c r="AN39" i="126"/>
  <c r="AO39" i="126"/>
  <c r="AT36" i="72"/>
  <c r="AD39" i="126"/>
  <c r="AF39" i="126"/>
  <c r="P36" i="100"/>
  <c r="Z36" i="100"/>
  <c r="AC39" i="149"/>
  <c r="AN39" i="149"/>
  <c r="AO39" i="149"/>
  <c r="BD36" i="72"/>
  <c r="AD39" i="149"/>
  <c r="AF39" i="149"/>
  <c r="X36" i="100"/>
  <c r="AC39" i="147"/>
  <c r="AN39" i="147"/>
  <c r="AO39" i="147"/>
  <c r="BB36" i="72"/>
  <c r="AD39" i="147"/>
  <c r="AF39" i="147"/>
  <c r="AH24" i="113"/>
  <c r="AI24" i="113"/>
  <c r="G21" i="72"/>
  <c r="AJ24" i="113"/>
  <c r="AC24" i="117"/>
  <c r="AN24" i="117"/>
  <c r="AO24" i="117"/>
  <c r="AO21" i="72"/>
  <c r="K21" i="100"/>
  <c r="AB21" i="100"/>
  <c r="AC24" i="152"/>
  <c r="AN24" i="152"/>
  <c r="AO24" i="152"/>
  <c r="BF21" i="72"/>
  <c r="AC62" i="148"/>
  <c r="AN62" i="148"/>
  <c r="AO62" i="148"/>
  <c r="BC59" i="72"/>
  <c r="Y59" i="100"/>
  <c r="AD62" i="76"/>
  <c r="AO62" i="76"/>
  <c r="AP62" i="76"/>
  <c r="BH59" i="72"/>
  <c r="AD59" i="100"/>
  <c r="AC62" i="126"/>
  <c r="AN62" i="126"/>
  <c r="AO62" i="126"/>
  <c r="AT59" i="72"/>
  <c r="P59" i="100"/>
  <c r="M31" i="100"/>
  <c r="AC34" i="119"/>
  <c r="AN34" i="119"/>
  <c r="AO34" i="119"/>
  <c r="AQ31" i="72"/>
  <c r="AC34" i="126"/>
  <c r="AN34" i="126"/>
  <c r="AO34" i="126"/>
  <c r="AT31" i="72"/>
  <c r="P31" i="100"/>
  <c r="AC34" i="131"/>
  <c r="AN34" i="131"/>
  <c r="AO34" i="131"/>
  <c r="AX31" i="72"/>
  <c r="T31" i="100"/>
  <c r="AD34" i="131"/>
  <c r="AF34" i="131"/>
  <c r="AB44" i="145"/>
  <c r="AA44" i="131"/>
  <c r="AB44" i="131"/>
  <c r="AA44" i="151"/>
  <c r="AB44" i="151"/>
  <c r="AA44" i="152"/>
  <c r="AB44" i="152"/>
  <c r="AB44" i="120"/>
  <c r="AC66" i="129"/>
  <c r="AN66" i="129"/>
  <c r="AO66" i="129"/>
  <c r="AW63" i="72"/>
  <c r="S63" i="100"/>
  <c r="AC66" i="147"/>
  <c r="AN66" i="147"/>
  <c r="AO66" i="147"/>
  <c r="BB63" i="72"/>
  <c r="X63" i="100"/>
  <c r="AD66" i="147"/>
  <c r="AF66" i="147"/>
  <c r="O63" i="100"/>
  <c r="AC66" i="125"/>
  <c r="AN66" i="125"/>
  <c r="AO66" i="125"/>
  <c r="AS63" i="72"/>
  <c r="AM63" i="72"/>
  <c r="I63" i="100"/>
  <c r="Y18" i="100"/>
  <c r="AC21" i="148"/>
  <c r="AN21" i="148"/>
  <c r="AO21" i="148"/>
  <c r="BC18" i="72"/>
  <c r="AA18" i="100"/>
  <c r="AC21" i="151"/>
  <c r="AN21" i="151"/>
  <c r="AO21" i="151"/>
  <c r="BE18" i="72"/>
  <c r="AD21" i="151"/>
  <c r="AF21" i="151"/>
  <c r="R18" i="100"/>
  <c r="AC21" i="128"/>
  <c r="AD21" i="128"/>
  <c r="AF21" i="128"/>
  <c r="AN21" i="128"/>
  <c r="AO21" i="128"/>
  <c r="AV18" i="72"/>
  <c r="L15" i="100"/>
  <c r="AC18" i="118"/>
  <c r="AN18" i="118"/>
  <c r="AO18" i="118"/>
  <c r="AP15" i="72"/>
  <c r="AC18" i="149"/>
  <c r="AN18" i="149"/>
  <c r="AO18" i="149"/>
  <c r="BD15" i="72"/>
  <c r="AD18" i="149"/>
  <c r="AF18" i="149"/>
  <c r="Z15" i="100"/>
  <c r="AC18" i="146"/>
  <c r="AN18" i="146"/>
  <c r="AO18" i="146"/>
  <c r="BA15" i="72"/>
  <c r="W15" i="100"/>
  <c r="O15" i="100"/>
  <c r="AC18" i="125"/>
  <c r="AN18" i="125"/>
  <c r="AO18" i="125"/>
  <c r="AS15" i="72"/>
  <c r="AB65" i="100"/>
  <c r="AC68" i="152"/>
  <c r="AN68" i="152"/>
  <c r="AO68" i="152"/>
  <c r="BF65" i="72"/>
  <c r="AD68" i="152"/>
  <c r="AF68" i="152"/>
  <c r="AE57" i="100"/>
  <c r="AD60" i="80"/>
  <c r="AO60" i="80"/>
  <c r="AP60" i="80"/>
  <c r="BI57" i="72"/>
  <c r="AE60" i="80"/>
  <c r="AG60" i="80"/>
  <c r="AC60" i="153"/>
  <c r="AN60" i="153"/>
  <c r="AO60" i="153"/>
  <c r="BG57" i="72"/>
  <c r="AC57" i="100"/>
  <c r="W13" i="100"/>
  <c r="AC16" i="146"/>
  <c r="AN16" i="146"/>
  <c r="AO16" i="146"/>
  <c r="BA13" i="72"/>
  <c r="J13" i="100"/>
  <c r="AC16" i="116"/>
  <c r="AN16" i="116"/>
  <c r="AO16" i="116"/>
  <c r="AN13" i="72"/>
  <c r="AD16" i="116"/>
  <c r="AF16" i="116"/>
  <c r="U13" i="100"/>
  <c r="AC16" i="144"/>
  <c r="AN16" i="144"/>
  <c r="AO16" i="144"/>
  <c r="AY13" i="72"/>
  <c r="AC49" i="146"/>
  <c r="AN49" i="146"/>
  <c r="AO49" i="146"/>
  <c r="BA46" i="72"/>
  <c r="W46" i="100"/>
  <c r="AD49" i="146"/>
  <c r="AF49" i="146"/>
  <c r="R46" i="100"/>
  <c r="AC49" i="128"/>
  <c r="AN49" i="128"/>
  <c r="AO49" i="128"/>
  <c r="AV46" i="72"/>
  <c r="AD74" i="127"/>
  <c r="AF74" i="127"/>
  <c r="AC74" i="146"/>
  <c r="AN74" i="146"/>
  <c r="AO74" i="146"/>
  <c r="BA71" i="72"/>
  <c r="W71" i="100"/>
  <c r="AH13" i="114"/>
  <c r="AI13" i="114"/>
  <c r="H10" i="72"/>
  <c r="AJ13" i="114"/>
  <c r="AD13" i="118"/>
  <c r="AF13" i="118"/>
  <c r="AD13" i="117"/>
  <c r="AF13" i="117"/>
  <c r="AC13" i="144"/>
  <c r="AN13" i="144"/>
  <c r="AO13" i="144"/>
  <c r="AY10" i="72"/>
  <c r="U10" i="100"/>
  <c r="AE41" i="80"/>
  <c r="AG41" i="80"/>
  <c r="AC41" i="144"/>
  <c r="AN41" i="144"/>
  <c r="AO41" i="144"/>
  <c r="AY38" i="72"/>
  <c r="U38" i="100"/>
  <c r="AD41" i="144"/>
  <c r="AF41" i="144"/>
  <c r="AH19" i="114"/>
  <c r="AI19" i="114"/>
  <c r="H16" i="72"/>
  <c r="AJ19" i="114"/>
  <c r="AD19" i="120"/>
  <c r="AF19" i="120"/>
  <c r="AH19" i="118"/>
  <c r="AI19" i="118"/>
  <c r="L16" i="72"/>
  <c r="AJ19" i="118"/>
  <c r="AD53" i="113"/>
  <c r="AF53" i="113"/>
  <c r="AD53" i="120"/>
  <c r="AF53" i="120"/>
  <c r="AD53" i="125"/>
  <c r="AF53" i="125"/>
  <c r="W50" i="100"/>
  <c r="AC53" i="146"/>
  <c r="AN53" i="146"/>
  <c r="AO53" i="146"/>
  <c r="BA50" i="72"/>
  <c r="AD53" i="146"/>
  <c r="AF53" i="146"/>
  <c r="AC45" i="116"/>
  <c r="AN45" i="116"/>
  <c r="AO45" i="116"/>
  <c r="AN42" i="72"/>
  <c r="J42" i="100"/>
  <c r="AG42" i="100"/>
  <c r="AD45" i="127"/>
  <c r="AF45" i="127"/>
  <c r="AD45" i="151"/>
  <c r="AF45" i="151"/>
  <c r="AD45" i="131"/>
  <c r="AF45" i="131"/>
  <c r="AD9" i="80"/>
  <c r="AO9" i="80"/>
  <c r="AP9" i="80"/>
  <c r="BI6" i="72"/>
  <c r="AE6" i="100"/>
  <c r="AE9" i="80"/>
  <c r="AG9" i="80"/>
  <c r="AH9" i="131"/>
  <c r="AI9" i="131"/>
  <c r="T6" i="72"/>
  <c r="AJ9" i="131"/>
  <c r="AD9" i="117"/>
  <c r="AF9" i="117"/>
  <c r="AD9" i="119"/>
  <c r="AF9" i="119"/>
  <c r="AD56" i="129"/>
  <c r="AF56" i="129"/>
  <c r="AD56" i="128"/>
  <c r="AF56" i="128"/>
  <c r="AH70" i="149"/>
  <c r="AI70" i="149"/>
  <c r="Z67" i="72"/>
  <c r="AJ70" i="149"/>
  <c r="AE70" i="80"/>
  <c r="AG70" i="80"/>
  <c r="AD70" i="118"/>
  <c r="AF70" i="118"/>
  <c r="AD50" i="131"/>
  <c r="AF50" i="131"/>
  <c r="AD50" i="128"/>
  <c r="AF50" i="128"/>
  <c r="AC50" i="145"/>
  <c r="AN50" i="145"/>
  <c r="AO50" i="145"/>
  <c r="AZ47" i="72"/>
  <c r="V47" i="100"/>
  <c r="AH50" i="115"/>
  <c r="AI50" i="115"/>
  <c r="I47" i="72"/>
  <c r="AJ50" i="115"/>
  <c r="AD30" i="113"/>
  <c r="AF30" i="113"/>
  <c r="AH30" i="115"/>
  <c r="AI30" i="115"/>
  <c r="I27" i="72"/>
  <c r="AJ30" i="115"/>
  <c r="J27" i="100"/>
  <c r="AC30" i="116"/>
  <c r="AN30" i="116"/>
  <c r="AO30" i="116"/>
  <c r="AN27" i="72"/>
  <c r="AD30" i="116"/>
  <c r="AF30" i="116"/>
  <c r="AB35" i="126"/>
  <c r="AB35" i="119"/>
  <c r="AA35" i="147"/>
  <c r="AB35" i="147"/>
  <c r="AA35" i="153"/>
  <c r="AB35" i="153"/>
  <c r="AB35" i="125"/>
  <c r="AB35" i="118"/>
  <c r="AH64" i="148"/>
  <c r="AI64" i="148"/>
  <c r="Y61" i="72"/>
  <c r="AJ64" i="148"/>
  <c r="AD64" i="131"/>
  <c r="AF64" i="131"/>
  <c r="AC64" i="152"/>
  <c r="AN64" i="152"/>
  <c r="AO64" i="152"/>
  <c r="BF61" i="72"/>
  <c r="AB61" i="100"/>
  <c r="AD64" i="152"/>
  <c r="AF64" i="152"/>
  <c r="AD22" i="113"/>
  <c r="AF22" i="113"/>
  <c r="AE22" i="80"/>
  <c r="AG22" i="80"/>
  <c r="AC22" i="116"/>
  <c r="AN22" i="116"/>
  <c r="AO22" i="116"/>
  <c r="AN19" i="72"/>
  <c r="J19" i="100"/>
  <c r="AF19" i="100"/>
  <c r="AC31" i="128"/>
  <c r="AN31" i="128"/>
  <c r="AO31" i="128"/>
  <c r="AV28" i="72"/>
  <c r="R28" i="100"/>
  <c r="AD31" i="128"/>
  <c r="AF31" i="128"/>
  <c r="AE31" i="76"/>
  <c r="AG31" i="76"/>
  <c r="AD31" i="115"/>
  <c r="AF31" i="115"/>
  <c r="AD29" i="118"/>
  <c r="AF29" i="118"/>
  <c r="AH29" i="127"/>
  <c r="AI29" i="127"/>
  <c r="Q26" i="72"/>
  <c r="AJ29" i="127"/>
  <c r="AH29" i="119"/>
  <c r="AI29" i="119"/>
  <c r="M26" i="72"/>
  <c r="AJ29" i="119"/>
  <c r="AB33" i="127"/>
  <c r="AA33" i="151"/>
  <c r="AB33" i="151"/>
  <c r="AA33" i="117"/>
  <c r="AB33" i="117"/>
  <c r="AA33" i="129"/>
  <c r="AB33" i="129"/>
  <c r="AA33" i="120"/>
  <c r="AB33" i="120"/>
  <c r="AA33" i="148"/>
  <c r="AB33" i="148"/>
  <c r="AB33" i="80"/>
  <c r="AC33" i="80"/>
  <c r="AA72" i="149"/>
  <c r="AB72" i="149"/>
  <c r="AB72" i="125"/>
  <c r="AA72" i="126"/>
  <c r="AB72" i="126"/>
  <c r="AB72" i="148"/>
  <c r="AB72" i="146"/>
  <c r="AA72" i="118"/>
  <c r="AB72" i="118"/>
  <c r="AA72" i="152"/>
  <c r="AB72" i="152"/>
  <c r="AB72" i="129"/>
  <c r="AB15" i="129"/>
  <c r="AA15" i="152"/>
  <c r="AB15" i="152"/>
  <c r="AA15" i="128"/>
  <c r="AB15" i="128"/>
  <c r="AB15" i="118"/>
  <c r="AD15" i="113"/>
  <c r="AF15" i="113"/>
  <c r="AB25" i="118"/>
  <c r="AB25" i="151"/>
  <c r="AB25" i="80"/>
  <c r="AC25" i="80"/>
  <c r="AA25" i="152"/>
  <c r="AB25" i="152"/>
  <c r="AA25" i="147"/>
  <c r="AB25" i="147"/>
  <c r="AA37" i="117"/>
  <c r="AB37" i="117"/>
  <c r="AA37" i="151"/>
  <c r="AB37" i="151"/>
  <c r="AB37" i="116"/>
  <c r="AA37" i="120"/>
  <c r="AB37" i="120"/>
  <c r="AA37" i="144"/>
  <c r="AB37" i="144"/>
  <c r="AA37" i="127"/>
  <c r="AB37" i="127"/>
  <c r="AA37" i="146"/>
  <c r="AB37" i="146"/>
  <c r="AD37" i="113"/>
  <c r="AF37" i="113"/>
  <c r="AH46" i="114"/>
  <c r="AI46" i="114"/>
  <c r="H43" i="72"/>
  <c r="AJ46" i="114"/>
  <c r="AE46" i="80"/>
  <c r="AG46" i="80"/>
  <c r="AD46" i="153"/>
  <c r="AF46" i="153"/>
  <c r="AD55" i="114"/>
  <c r="AF55" i="114"/>
  <c r="AE55" i="76"/>
  <c r="AG55" i="76"/>
  <c r="AD54" i="128"/>
  <c r="AF54" i="128"/>
  <c r="AD54" i="144"/>
  <c r="AF54" i="144"/>
  <c r="AH54" i="125"/>
  <c r="AI54" i="125"/>
  <c r="O51" i="72"/>
  <c r="AJ54" i="125"/>
  <c r="AD69" i="129"/>
  <c r="AF69" i="129"/>
  <c r="AH69" i="118"/>
  <c r="AI69" i="118"/>
  <c r="L66" i="72"/>
  <c r="AJ69" i="118"/>
  <c r="AD69" i="119"/>
  <c r="AF69" i="119"/>
  <c r="AH27" i="117"/>
  <c r="AI27" i="117"/>
  <c r="K24" i="72"/>
  <c r="AJ27" i="117"/>
  <c r="AH27" i="118"/>
  <c r="AI27" i="118"/>
  <c r="L24" i="72"/>
  <c r="AJ27" i="118"/>
  <c r="AH27" i="151"/>
  <c r="AI27" i="151"/>
  <c r="AA24" i="72"/>
  <c r="AJ27" i="151"/>
  <c r="AD61" i="127"/>
  <c r="AF61" i="127"/>
  <c r="AD61" i="148"/>
  <c r="AF61" i="148"/>
  <c r="AD61" i="120"/>
  <c r="AF61" i="120"/>
  <c r="AC61" i="146"/>
  <c r="AN61" i="146"/>
  <c r="AO61" i="146"/>
  <c r="BA58" i="72"/>
  <c r="AD61" i="146"/>
  <c r="AF61" i="146"/>
  <c r="W58" i="100"/>
  <c r="AD17" i="129"/>
  <c r="AF17" i="129"/>
  <c r="AD10" i="129"/>
  <c r="AF10" i="129"/>
  <c r="AH10" i="114"/>
  <c r="AI10" i="114"/>
  <c r="H7" i="72"/>
  <c r="AJ10" i="114"/>
  <c r="AC10" i="147"/>
  <c r="AN10" i="147"/>
  <c r="AO10" i="147"/>
  <c r="BB7" i="72"/>
  <c r="X7" i="100"/>
  <c r="AC10" i="152"/>
  <c r="AN10" i="152"/>
  <c r="AO10" i="152"/>
  <c r="BF7" i="72"/>
  <c r="AB7" i="100"/>
  <c r="AH26" i="117"/>
  <c r="AI26" i="117"/>
  <c r="K23" i="72"/>
  <c r="AJ26" i="117"/>
  <c r="AA57" i="153"/>
  <c r="AB57" i="153"/>
  <c r="AA57" i="129"/>
  <c r="AB57" i="129"/>
  <c r="AA57" i="152"/>
  <c r="AB57" i="152"/>
  <c r="AB57" i="116"/>
  <c r="AB57" i="125"/>
  <c r="AA57" i="145"/>
  <c r="AB57" i="145"/>
  <c r="AB57" i="127"/>
  <c r="AA57" i="147"/>
  <c r="AB57" i="147"/>
  <c r="AH28" i="118"/>
  <c r="AI28" i="118"/>
  <c r="L25" i="72"/>
  <c r="AJ28" i="118"/>
  <c r="AD28" i="126"/>
  <c r="AF28" i="126"/>
  <c r="AD28" i="125"/>
  <c r="AF28" i="125"/>
  <c r="AI28" i="80"/>
  <c r="AJ28" i="80"/>
  <c r="AE25" i="72"/>
  <c r="AK28" i="80"/>
  <c r="AH36" i="127"/>
  <c r="AI36" i="127"/>
  <c r="Q33" i="72"/>
  <c r="AJ36" i="127"/>
  <c r="AD36" i="117"/>
  <c r="AF36" i="117"/>
  <c r="AH36" i="144"/>
  <c r="AI36" i="144"/>
  <c r="U33" i="72"/>
  <c r="AJ36" i="144"/>
  <c r="AD36" i="149"/>
  <c r="AF36" i="149"/>
  <c r="AC64" i="100"/>
  <c r="AC67" i="153"/>
  <c r="AN67" i="153"/>
  <c r="AO67" i="153"/>
  <c r="BG64" i="72"/>
  <c r="AD67" i="153"/>
  <c r="AF67" i="153"/>
  <c r="AC67" i="151"/>
  <c r="AN67" i="151"/>
  <c r="AO67" i="151"/>
  <c r="BE64" i="72"/>
  <c r="AA64" i="100"/>
  <c r="AH59" i="119"/>
  <c r="AI59" i="119"/>
  <c r="M56" i="72"/>
  <c r="AJ59" i="119"/>
  <c r="AH59" i="126"/>
  <c r="AI59" i="126"/>
  <c r="P56" i="72"/>
  <c r="AJ59" i="126"/>
  <c r="AH32" i="116"/>
  <c r="AI32" i="116"/>
  <c r="J29" i="72"/>
  <c r="AJ32" i="116"/>
  <c r="AC73" i="148"/>
  <c r="AN73" i="148"/>
  <c r="AO73" i="148"/>
  <c r="BC70" i="72"/>
  <c r="Y70" i="100"/>
  <c r="AD73" i="119"/>
  <c r="AF73" i="119"/>
  <c r="AD73" i="118"/>
  <c r="AF73" i="118"/>
  <c r="AD39" i="129"/>
  <c r="AF39" i="129"/>
  <c r="AH39" i="145"/>
  <c r="AI39" i="145"/>
  <c r="V36" i="72"/>
  <c r="AJ39" i="145"/>
  <c r="AH39" i="117"/>
  <c r="AI39" i="117"/>
  <c r="K36" i="72"/>
  <c r="AJ39" i="117"/>
  <c r="V21" i="100"/>
  <c r="AC24" i="145"/>
  <c r="AN24" i="145"/>
  <c r="AO24" i="145"/>
  <c r="AZ21" i="72"/>
  <c r="AD24" i="145"/>
  <c r="AF24" i="145"/>
  <c r="AD24" i="131"/>
  <c r="AF24" i="131"/>
  <c r="AC24" i="146"/>
  <c r="AN24" i="146"/>
  <c r="AO24" i="146"/>
  <c r="BA21" i="72"/>
  <c r="W21" i="100"/>
  <c r="AD62" i="119"/>
  <c r="AF62" i="119"/>
  <c r="AD62" i="117"/>
  <c r="AF62" i="117"/>
  <c r="AD62" i="128"/>
  <c r="AF62" i="128"/>
  <c r="AD62" i="115"/>
  <c r="AF62" i="115"/>
  <c r="AD34" i="120"/>
  <c r="AF34" i="120"/>
  <c r="AH34" i="149"/>
  <c r="AI34" i="149"/>
  <c r="Z31" i="72"/>
  <c r="AJ34" i="149"/>
  <c r="AD34" i="116"/>
  <c r="AF34" i="116"/>
  <c r="AE34" i="80"/>
  <c r="AG34" i="80"/>
  <c r="AD66" i="128"/>
  <c r="AF66" i="128"/>
  <c r="AD66" i="114"/>
  <c r="AF66" i="114"/>
  <c r="AD66" i="119"/>
  <c r="AF66" i="119"/>
  <c r="AD21" i="127"/>
  <c r="AF21" i="127"/>
  <c r="AD21" i="115"/>
  <c r="AF21" i="115"/>
  <c r="AE21" i="80"/>
  <c r="AG21" i="80"/>
  <c r="AA15" i="100"/>
  <c r="AC18" i="151"/>
  <c r="AN18" i="151"/>
  <c r="AO18" i="151"/>
  <c r="BE15" i="72"/>
  <c r="AI18" i="76"/>
  <c r="AJ18" i="76"/>
  <c r="AD15" i="72"/>
  <c r="AK18" i="76"/>
  <c r="AH68" i="126"/>
  <c r="AI68" i="126"/>
  <c r="P65" i="72"/>
  <c r="AJ68" i="126"/>
  <c r="AE68" i="80"/>
  <c r="AG68" i="80"/>
  <c r="AC60" i="147"/>
  <c r="AN60" i="147"/>
  <c r="AO60" i="147"/>
  <c r="BB57" i="72"/>
  <c r="X57" i="100"/>
  <c r="AD60" i="147"/>
  <c r="AF60" i="147"/>
  <c r="AH60" i="131"/>
  <c r="AI60" i="131"/>
  <c r="T57" i="72"/>
  <c r="AJ60" i="131"/>
  <c r="AD60" i="115"/>
  <c r="AF60" i="115"/>
  <c r="AD60" i="118"/>
  <c r="AF60" i="118"/>
  <c r="AC60" i="151"/>
  <c r="AN60" i="151"/>
  <c r="AO60" i="151"/>
  <c r="BE57" i="72"/>
  <c r="AA57" i="100"/>
  <c r="AD60" i="151"/>
  <c r="AF60" i="151"/>
  <c r="AE16" i="80"/>
  <c r="AG16" i="80"/>
  <c r="AD16" i="152"/>
  <c r="AF16" i="152"/>
  <c r="AD49" i="126"/>
  <c r="AF49" i="126"/>
  <c r="AH49" i="148"/>
  <c r="AI49" i="148"/>
  <c r="Y46" i="72"/>
  <c r="AJ49" i="148"/>
  <c r="AH49" i="115"/>
  <c r="AI49" i="115"/>
  <c r="I46" i="72"/>
  <c r="AJ49" i="115"/>
  <c r="AD49" i="131"/>
  <c r="AF49" i="131"/>
  <c r="AC74" i="148"/>
  <c r="AN74" i="148"/>
  <c r="AO74" i="148"/>
  <c r="BC71" i="72"/>
  <c r="Y71" i="100"/>
  <c r="AH74" i="115"/>
  <c r="AI74" i="115"/>
  <c r="I71" i="72"/>
  <c r="AJ74" i="115"/>
  <c r="AC74" i="149"/>
  <c r="AN74" i="149"/>
  <c r="AO74" i="149"/>
  <c r="BD71" i="72"/>
  <c r="Z71" i="100"/>
  <c r="AD74" i="149"/>
  <c r="AF74" i="149"/>
  <c r="AC13" i="152"/>
  <c r="AN13" i="152"/>
  <c r="AO13" i="152"/>
  <c r="BF10" i="72"/>
  <c r="AB10" i="100"/>
  <c r="AI13" i="76"/>
  <c r="AJ13" i="76"/>
  <c r="AD10" i="72"/>
  <c r="AK13" i="76"/>
  <c r="AD13" i="149"/>
  <c r="AF13" i="149"/>
  <c r="AD41" i="129"/>
  <c r="AF41" i="129"/>
  <c r="AD19" i="116"/>
  <c r="AF19" i="116"/>
  <c r="AD19" i="126"/>
  <c r="AF19" i="126"/>
  <c r="AD19" i="115"/>
  <c r="AF19" i="115"/>
  <c r="AD19" i="127"/>
  <c r="AF19" i="127"/>
  <c r="AD53" i="144"/>
  <c r="AF53" i="144"/>
  <c r="AD53" i="131"/>
  <c r="AF53" i="131"/>
  <c r="AD53" i="117"/>
  <c r="AF53" i="117"/>
  <c r="AH53" i="116"/>
  <c r="AI53" i="116"/>
  <c r="J50" i="72"/>
  <c r="AJ53" i="116"/>
  <c r="AD53" i="129"/>
  <c r="AF53" i="129"/>
  <c r="AH45" i="120"/>
  <c r="AI45" i="120"/>
  <c r="N42" i="72"/>
  <c r="AJ45" i="120"/>
  <c r="AI45" i="80"/>
  <c r="AJ45" i="80"/>
  <c r="AE42" i="72"/>
  <c r="AK45" i="80"/>
  <c r="AD45" i="153"/>
  <c r="AF45" i="153"/>
  <c r="AA6" i="100"/>
  <c r="AC9" i="151"/>
  <c r="AN9" i="151"/>
  <c r="AO9" i="151"/>
  <c r="BE6" i="72"/>
  <c r="AH56" i="147"/>
  <c r="AI56" i="147"/>
  <c r="X53" i="72"/>
  <c r="AJ56" i="147"/>
  <c r="AD56" i="114"/>
  <c r="AF56" i="114"/>
  <c r="AC70" i="144"/>
  <c r="AN70" i="144"/>
  <c r="AO70" i="144"/>
  <c r="AY67" i="72"/>
  <c r="U67" i="100"/>
  <c r="AH70" i="117"/>
  <c r="AI70" i="117"/>
  <c r="K67" i="72"/>
  <c r="AJ70" i="117"/>
  <c r="AH50" i="127"/>
  <c r="AI50" i="127"/>
  <c r="Q47" i="72"/>
  <c r="AJ50" i="127"/>
  <c r="AD50" i="118"/>
  <c r="AF50" i="118"/>
  <c r="U47" i="100"/>
  <c r="AC50" i="144"/>
  <c r="AN50" i="144"/>
  <c r="AO50" i="144"/>
  <c r="AY47" i="72"/>
  <c r="AB71" i="117"/>
  <c r="AA71" i="116"/>
  <c r="AB71" i="116"/>
  <c r="AA71" i="128"/>
  <c r="AB71" i="128"/>
  <c r="AA71" i="126"/>
  <c r="AB71" i="126"/>
  <c r="AD30" i="125"/>
  <c r="AF30" i="125"/>
  <c r="AI30" i="76"/>
  <c r="AJ30" i="76"/>
  <c r="AD27" i="72"/>
  <c r="AK30" i="76"/>
  <c r="AH30" i="152"/>
  <c r="AI30" i="152"/>
  <c r="AB27" i="72"/>
  <c r="AJ30" i="152"/>
  <c r="AC30" i="146"/>
  <c r="AN30" i="146"/>
  <c r="AO30" i="146"/>
  <c r="BA27" i="72"/>
  <c r="W27" i="100"/>
  <c r="AI64" i="76"/>
  <c r="AJ64" i="76"/>
  <c r="AD61" i="72"/>
  <c r="AK64" i="76"/>
  <c r="AH64" i="117"/>
  <c r="AI64" i="117"/>
  <c r="K61" i="72"/>
  <c r="AJ64" i="117"/>
  <c r="AH22" i="119"/>
  <c r="AI22" i="119"/>
  <c r="M19" i="72"/>
  <c r="AJ22" i="119"/>
  <c r="AD22" i="129"/>
  <c r="AF22" i="129"/>
  <c r="AH22" i="128"/>
  <c r="AI22" i="128"/>
  <c r="R19" i="72"/>
  <c r="AJ22" i="128"/>
  <c r="AD22" i="126"/>
  <c r="AF22" i="126"/>
  <c r="AH22" i="144"/>
  <c r="AI22" i="144"/>
  <c r="U19" i="72"/>
  <c r="AJ22" i="144"/>
  <c r="AD31" i="145"/>
  <c r="AF31" i="145"/>
  <c r="AC31" i="146"/>
  <c r="AN31" i="146"/>
  <c r="AO31" i="146"/>
  <c r="BA28" i="72"/>
  <c r="W28" i="100"/>
  <c r="U28" i="100"/>
  <c r="AC31" i="144"/>
  <c r="AN31" i="144"/>
  <c r="AO31" i="144"/>
  <c r="AY28" i="72"/>
  <c r="AD29" i="129"/>
  <c r="AF29" i="129"/>
  <c r="AD29" i="125"/>
  <c r="AF29" i="125"/>
  <c r="AD29" i="114"/>
  <c r="AF29" i="114"/>
  <c r="AH29" i="120"/>
  <c r="AI29" i="120"/>
  <c r="N26" i="72"/>
  <c r="AJ29" i="120"/>
  <c r="AB75" i="119"/>
  <c r="AA75" i="129"/>
  <c r="AB75" i="129"/>
  <c r="AA75" i="116"/>
  <c r="AB75" i="116"/>
  <c r="AA75" i="117"/>
  <c r="AB75" i="117"/>
  <c r="V48" i="117"/>
  <c r="Z48" i="117"/>
  <c r="X48" i="117"/>
  <c r="Z48" i="119"/>
  <c r="V48" i="119"/>
  <c r="X48" i="119"/>
  <c r="X48" i="148"/>
  <c r="V48" i="148"/>
  <c r="Z48" i="148"/>
  <c r="Z48" i="152"/>
  <c r="X48" i="152"/>
  <c r="V48" i="152"/>
  <c r="Z48" i="118"/>
  <c r="V48" i="118"/>
  <c r="X48" i="118"/>
  <c r="V48" i="128"/>
  <c r="Z48" i="128"/>
  <c r="X48" i="128"/>
  <c r="V48" i="131"/>
  <c r="Z48" i="131"/>
  <c r="X48" i="131"/>
  <c r="AA48" i="131"/>
  <c r="AB48" i="131"/>
  <c r="AA48" i="80"/>
  <c r="W48" i="80"/>
  <c r="Y48" i="80"/>
  <c r="AB48" i="80"/>
  <c r="AC48" i="80"/>
  <c r="V48" i="120"/>
  <c r="Z48" i="120"/>
  <c r="X48" i="120"/>
  <c r="X48" i="144"/>
  <c r="V48" i="144"/>
  <c r="Z48" i="144"/>
  <c r="V48" i="151"/>
  <c r="Z48" i="151"/>
  <c r="X48" i="151"/>
  <c r="AA48" i="151"/>
  <c r="AB48" i="151"/>
  <c r="Z48" i="129"/>
  <c r="V48" i="129"/>
  <c r="X48" i="129"/>
  <c r="AA51" i="129"/>
  <c r="AB51" i="129"/>
  <c r="AA51" i="149"/>
  <c r="AB51" i="149"/>
  <c r="AB51" i="148"/>
  <c r="AA51" i="153"/>
  <c r="AB51" i="153"/>
  <c r="AA51" i="152"/>
  <c r="AB51" i="152"/>
  <c r="AD51" i="113"/>
  <c r="AF51" i="113"/>
  <c r="AB63" i="152"/>
  <c r="AA63" i="147"/>
  <c r="AB63" i="147"/>
  <c r="AA63" i="151"/>
  <c r="AB63" i="151"/>
  <c r="AB63" i="118"/>
  <c r="AA63" i="153"/>
  <c r="AB63" i="153"/>
  <c r="AA63" i="148"/>
  <c r="AB63" i="148"/>
  <c r="AA63" i="145"/>
  <c r="AB63" i="145"/>
  <c r="AB47" i="118"/>
  <c r="AA47" i="146"/>
  <c r="AB47" i="146"/>
  <c r="AA47" i="149"/>
  <c r="AB47" i="149"/>
  <c r="AB47" i="128"/>
  <c r="AA47" i="119"/>
  <c r="AB47" i="119"/>
  <c r="AB47" i="120"/>
  <c r="AB14" i="129"/>
  <c r="AA14" i="153"/>
  <c r="AB14" i="153"/>
  <c r="AB14" i="119"/>
  <c r="AC14" i="76"/>
  <c r="AA14" i="147"/>
  <c r="AB14" i="147"/>
  <c r="AA14" i="131"/>
  <c r="AB14" i="131"/>
  <c r="AB14" i="126"/>
  <c r="AA14" i="148"/>
  <c r="AB14" i="148"/>
  <c r="AA40" i="153"/>
  <c r="AB40" i="153"/>
  <c r="AA40" i="120"/>
  <c r="AB40" i="120"/>
  <c r="AB40" i="146"/>
  <c r="AA40" i="147"/>
  <c r="AB40" i="147"/>
  <c r="AA40" i="148"/>
  <c r="AB40" i="148"/>
  <c r="AB40" i="151"/>
  <c r="AH40" i="113"/>
  <c r="AI40" i="113"/>
  <c r="G37" i="72"/>
  <c r="AJ40" i="113"/>
  <c r="AB58" i="152"/>
  <c r="AB58" i="146"/>
  <c r="AA58" i="120"/>
  <c r="AB58" i="120"/>
  <c r="AA58" i="151"/>
  <c r="AB58" i="151"/>
  <c r="AA58" i="144"/>
  <c r="AB58" i="144"/>
  <c r="AA58" i="145"/>
  <c r="AB58" i="145"/>
  <c r="AA12" i="152"/>
  <c r="AB12" i="152"/>
  <c r="AC12" i="80"/>
  <c r="AA12" i="125"/>
  <c r="AB12" i="125"/>
  <c r="AA12" i="116"/>
  <c r="AB12" i="116"/>
  <c r="AA12" i="146"/>
  <c r="AB12" i="146"/>
  <c r="AA12" i="151"/>
  <c r="AB12" i="151"/>
  <c r="AA12" i="126"/>
  <c r="AB12" i="126"/>
  <c r="AA12" i="153"/>
  <c r="AB12" i="153"/>
  <c r="AB12" i="119"/>
  <c r="AD12" i="113"/>
  <c r="AF12" i="113"/>
  <c r="AA43" i="131"/>
  <c r="AB43" i="131"/>
  <c r="AA43" i="152"/>
  <c r="AB43" i="152"/>
  <c r="AB43" i="76"/>
  <c r="AC43" i="76"/>
  <c r="AB43" i="125"/>
  <c r="AB43" i="119"/>
  <c r="AA43" i="148"/>
  <c r="AB43" i="148"/>
  <c r="AA20" i="152"/>
  <c r="AB20" i="152"/>
  <c r="AA20" i="126"/>
  <c r="AB20" i="126"/>
  <c r="AA20" i="146"/>
  <c r="AB20" i="146"/>
  <c r="AA20" i="153"/>
  <c r="AB20" i="153"/>
  <c r="AD20" i="113"/>
  <c r="AF20" i="113"/>
  <c r="AA8" i="116"/>
  <c r="AB8" i="116"/>
  <c r="AA8" i="128"/>
  <c r="AB8" i="128"/>
  <c r="AA8" i="131"/>
  <c r="AB8" i="131"/>
  <c r="AA8" i="151"/>
  <c r="AB8" i="151"/>
  <c r="AA8" i="120"/>
  <c r="AB8" i="120"/>
  <c r="AD8" i="113"/>
  <c r="AF8" i="113"/>
  <c r="Z11" i="152"/>
  <c r="X11" i="152"/>
  <c r="V11" i="152"/>
  <c r="V11" i="116"/>
  <c r="Z11" i="116"/>
  <c r="X11" i="116"/>
  <c r="W11" i="80"/>
  <c r="AA11" i="80"/>
  <c r="Y11" i="80"/>
  <c r="V11" i="125"/>
  <c r="Z11" i="125"/>
  <c r="X11" i="125"/>
  <c r="AA11" i="125"/>
  <c r="AB11" i="125"/>
  <c r="Z11" i="149"/>
  <c r="V11" i="149"/>
  <c r="X11" i="149"/>
  <c r="V11" i="146"/>
  <c r="Z11" i="146"/>
  <c r="X11" i="146"/>
  <c r="V11" i="126"/>
  <c r="Z11" i="126"/>
  <c r="X11" i="126"/>
  <c r="AA11" i="126"/>
  <c r="AB11" i="126"/>
  <c r="V11" i="145"/>
  <c r="Z11" i="145"/>
  <c r="X11" i="145"/>
  <c r="AA11" i="145"/>
  <c r="Z11" i="119"/>
  <c r="V11" i="119"/>
  <c r="X11" i="119"/>
  <c r="V11" i="120"/>
  <c r="Z11" i="120"/>
  <c r="X11" i="120"/>
  <c r="AA11" i="120"/>
  <c r="AB11" i="120"/>
  <c r="V11" i="151"/>
  <c r="Z11" i="151"/>
  <c r="X11" i="151"/>
  <c r="AA52" i="120"/>
  <c r="AB52" i="120"/>
  <c r="AB52" i="148"/>
  <c r="AB52" i="80"/>
  <c r="AC52" i="80"/>
  <c r="AB52" i="125"/>
  <c r="AB52" i="117"/>
  <c r="AB52" i="127"/>
  <c r="AA52" i="147"/>
  <c r="AB52" i="147"/>
  <c r="AB23" i="153"/>
  <c r="AA23" i="151"/>
  <c r="AB23" i="151"/>
  <c r="AA23" i="119"/>
  <c r="AB23" i="119"/>
  <c r="AA23" i="148"/>
  <c r="AB23" i="148"/>
  <c r="AA23" i="127"/>
  <c r="AB23" i="127"/>
  <c r="AA23" i="152"/>
  <c r="AB23" i="152"/>
  <c r="AA23" i="125"/>
  <c r="AB23" i="125"/>
  <c r="AA23" i="145"/>
  <c r="AB23" i="145"/>
  <c r="AB23" i="118"/>
  <c r="AC23" i="76"/>
  <c r="AA38" i="117"/>
  <c r="AB38" i="117"/>
  <c r="AA38" i="146"/>
  <c r="AB38" i="146"/>
  <c r="AB38" i="116"/>
  <c r="AB38" i="145"/>
  <c r="AA38" i="144"/>
  <c r="AB38" i="144"/>
  <c r="AA38" i="147"/>
  <c r="AB38" i="147"/>
  <c r="AC46" i="152"/>
  <c r="AN46" i="152"/>
  <c r="AO46" i="152"/>
  <c r="BF43" i="72"/>
  <c r="AB43" i="100"/>
  <c r="AH46" i="129"/>
  <c r="AI46" i="129"/>
  <c r="S43" i="72"/>
  <c r="AJ46" i="129"/>
  <c r="AH46" i="115"/>
  <c r="AI46" i="115"/>
  <c r="I43" i="72"/>
  <c r="AJ46" i="115"/>
  <c r="AD55" i="113"/>
  <c r="AF55" i="113"/>
  <c r="AD55" i="127"/>
  <c r="AF55" i="127"/>
  <c r="AC52" i="100"/>
  <c r="AC55" i="153"/>
  <c r="AN55" i="153"/>
  <c r="AO55" i="153"/>
  <c r="BG52" i="72"/>
  <c r="AD55" i="153"/>
  <c r="AF55" i="153"/>
  <c r="AD55" i="118"/>
  <c r="AF55" i="118"/>
  <c r="AC54" i="148"/>
  <c r="AN54" i="148"/>
  <c r="AO54" i="148"/>
  <c r="BC51" i="72"/>
  <c r="Y51" i="100"/>
  <c r="AD54" i="126"/>
  <c r="AF54" i="126"/>
  <c r="AC69" i="149"/>
  <c r="AN69" i="149"/>
  <c r="AO69" i="149"/>
  <c r="BD66" i="72"/>
  <c r="Z66" i="100"/>
  <c r="AC69" i="146"/>
  <c r="AN69" i="146"/>
  <c r="AO69" i="146"/>
  <c r="BA66" i="72"/>
  <c r="AD69" i="146"/>
  <c r="AF69" i="146"/>
  <c r="W66" i="100"/>
  <c r="AD27" i="114"/>
  <c r="AF27" i="114"/>
  <c r="AD27" i="147"/>
  <c r="AF27" i="147"/>
  <c r="AD27" i="120"/>
  <c r="AF27" i="120"/>
  <c r="AD61" i="125"/>
  <c r="AF61" i="125"/>
  <c r="AC61" i="147"/>
  <c r="AN61" i="147"/>
  <c r="AO61" i="147"/>
  <c r="BB58" i="72"/>
  <c r="X58" i="100"/>
  <c r="AD61" i="147"/>
  <c r="AF61" i="147"/>
  <c r="AD17" i="147"/>
  <c r="AF17" i="147"/>
  <c r="AH17" i="125"/>
  <c r="AI17" i="125"/>
  <c r="O14" i="72"/>
  <c r="AJ17" i="125"/>
  <c r="AD17" i="118"/>
  <c r="AF17" i="118"/>
  <c r="AD65" i="117"/>
  <c r="AF65" i="117"/>
  <c r="AD65" i="126"/>
  <c r="AF65" i="126"/>
  <c r="X62" i="100"/>
  <c r="AC65" i="147"/>
  <c r="AN65" i="147"/>
  <c r="AO65" i="147"/>
  <c r="BB62" i="72"/>
  <c r="AG73" i="31"/>
  <c r="AG74" i="31"/>
  <c r="AB42" i="80"/>
  <c r="AC42" i="80"/>
  <c r="AA42" i="145"/>
  <c r="AB42" i="145"/>
  <c r="AA42" i="147"/>
  <c r="AB42" i="147"/>
  <c r="AA42" i="153"/>
  <c r="AB42" i="153"/>
  <c r="AB42" i="76"/>
  <c r="AC42" i="76"/>
  <c r="AA42" i="151"/>
  <c r="AB42" i="151"/>
  <c r="AA42" i="125"/>
  <c r="AB42" i="125"/>
  <c r="AA42" i="117"/>
  <c r="AB42" i="117"/>
  <c r="AD42" i="113"/>
  <c r="AF42" i="113"/>
  <c r="AH10" i="131"/>
  <c r="AI10" i="131"/>
  <c r="T7" i="72"/>
  <c r="AJ10" i="131"/>
  <c r="AD10" i="118"/>
  <c r="AF10" i="118"/>
  <c r="AC26" i="149"/>
  <c r="AN26" i="149"/>
  <c r="AO26" i="149"/>
  <c r="BD23" i="72"/>
  <c r="Z23" i="100"/>
  <c r="AG23" i="100"/>
  <c r="AH28" i="119"/>
  <c r="AI28" i="119"/>
  <c r="M25" i="72"/>
  <c r="AJ28" i="119"/>
  <c r="AH28" i="115"/>
  <c r="AI28" i="115"/>
  <c r="I25" i="72"/>
  <c r="AJ28" i="115"/>
  <c r="AD28" i="117"/>
  <c r="AF28" i="117"/>
  <c r="Y33" i="100"/>
  <c r="AC36" i="148"/>
  <c r="AN36" i="148"/>
  <c r="AO36" i="148"/>
  <c r="BC33" i="72"/>
  <c r="AD67" i="129"/>
  <c r="AF67" i="129"/>
  <c r="AD67" i="118"/>
  <c r="AF67" i="118"/>
  <c r="AH67" i="128"/>
  <c r="AI67" i="128"/>
  <c r="R64" i="72"/>
  <c r="AJ67" i="128"/>
  <c r="AH59" i="120"/>
  <c r="AI59" i="120"/>
  <c r="N56" i="72"/>
  <c r="AJ59" i="120"/>
  <c r="AD59" i="147"/>
  <c r="AF59" i="147"/>
  <c r="AD59" i="131"/>
  <c r="AF59" i="131"/>
  <c r="AD32" i="126"/>
  <c r="AF32" i="126"/>
  <c r="AE32" i="80"/>
  <c r="AG32" i="80"/>
  <c r="AD32" i="115"/>
  <c r="AF32" i="115"/>
  <c r="AH32" i="118"/>
  <c r="AI32" i="118"/>
  <c r="L29" i="72"/>
  <c r="AJ32" i="118"/>
  <c r="AD32" i="117"/>
  <c r="AF32" i="117"/>
  <c r="AH73" i="127"/>
  <c r="AI73" i="127"/>
  <c r="Q70" i="72"/>
  <c r="AJ73" i="127"/>
  <c r="AH73" i="128"/>
  <c r="AI73" i="128"/>
  <c r="R70" i="72"/>
  <c r="AJ73" i="128"/>
  <c r="AE73" i="76"/>
  <c r="AG73" i="76"/>
  <c r="AH39" i="152"/>
  <c r="AI39" i="152"/>
  <c r="AB36" i="72"/>
  <c r="AJ39" i="152"/>
  <c r="AH39" i="125"/>
  <c r="AI39" i="125"/>
  <c r="O36" i="72"/>
  <c r="AJ39" i="125"/>
  <c r="AD24" i="120"/>
  <c r="AF24" i="120"/>
  <c r="AE24" i="80"/>
  <c r="AG24" i="80"/>
  <c r="AC24" i="148"/>
  <c r="AN24" i="148"/>
  <c r="AO24" i="148"/>
  <c r="BC21" i="72"/>
  <c r="Y21" i="100"/>
  <c r="AC24" i="149"/>
  <c r="AN24" i="149"/>
  <c r="AO24" i="149"/>
  <c r="BD21" i="72"/>
  <c r="Z21" i="100"/>
  <c r="AD24" i="149"/>
  <c r="AF24" i="149"/>
  <c r="X21" i="100"/>
  <c r="AC24" i="147"/>
  <c r="AN24" i="147"/>
  <c r="AO24" i="147"/>
  <c r="BB21" i="72"/>
  <c r="AC62" i="149"/>
  <c r="AN62" i="149"/>
  <c r="AO62" i="149"/>
  <c r="BD59" i="72"/>
  <c r="Z59" i="100"/>
  <c r="AD62" i="116"/>
  <c r="AF62" i="116"/>
  <c r="AH34" i="113"/>
  <c r="AI34" i="113"/>
  <c r="G31" i="72"/>
  <c r="AJ34" i="113"/>
  <c r="AH34" i="128"/>
  <c r="AI34" i="128"/>
  <c r="R31" i="72"/>
  <c r="AJ34" i="128"/>
  <c r="U31" i="100"/>
  <c r="AC34" i="144"/>
  <c r="AN34" i="144"/>
  <c r="AO34" i="144"/>
  <c r="AY31" i="72"/>
  <c r="AA44" i="149"/>
  <c r="AB44" i="149"/>
  <c r="AA44" i="148"/>
  <c r="AB44" i="148"/>
  <c r="AB44" i="125"/>
  <c r="AA44" i="153"/>
  <c r="AB44" i="153"/>
  <c r="AB44" i="76"/>
  <c r="AC44" i="76"/>
  <c r="AB44" i="118"/>
  <c r="AC66" i="149"/>
  <c r="AN66" i="149"/>
  <c r="AO66" i="149"/>
  <c r="BD63" i="72"/>
  <c r="Z63" i="100"/>
  <c r="AD66" i="149"/>
  <c r="AF66" i="149"/>
  <c r="AE66" i="80"/>
  <c r="AG66" i="80"/>
  <c r="AD21" i="126"/>
  <c r="AF21" i="126"/>
  <c r="AC18" i="100"/>
  <c r="AC21" i="153"/>
  <c r="AN21" i="153"/>
  <c r="AO21" i="153"/>
  <c r="BG18" i="72"/>
  <c r="AC21" i="146"/>
  <c r="AN21" i="146"/>
  <c r="AO21" i="146"/>
  <c r="BA18" i="72"/>
  <c r="W18" i="100"/>
  <c r="AD18" i="126"/>
  <c r="AF18" i="126"/>
  <c r="AD68" i="120"/>
  <c r="AF68" i="120"/>
  <c r="AD60" i="114"/>
  <c r="AF60" i="114"/>
  <c r="AD60" i="127"/>
  <c r="AF60" i="127"/>
  <c r="AH60" i="125"/>
  <c r="AI60" i="125"/>
  <c r="O57" i="72"/>
  <c r="AJ60" i="125"/>
  <c r="AH16" i="119"/>
  <c r="AI16" i="119"/>
  <c r="M13" i="72"/>
  <c r="AJ16" i="119"/>
  <c r="AC16" i="147"/>
  <c r="AN16" i="147"/>
  <c r="AO16" i="147"/>
  <c r="BB13" i="72"/>
  <c r="X13" i="100"/>
  <c r="AH16" i="148"/>
  <c r="AI16" i="148"/>
  <c r="Y13" i="72"/>
  <c r="AJ16" i="148"/>
  <c r="AE49" i="76"/>
  <c r="AG49" i="76"/>
  <c r="AD49" i="119"/>
  <c r="AF49" i="119"/>
  <c r="AH49" i="129"/>
  <c r="AI49" i="129"/>
  <c r="S46" i="72"/>
  <c r="AJ49" i="129"/>
  <c r="AH74" i="114"/>
  <c r="AI74" i="114"/>
  <c r="H71" i="72"/>
  <c r="AJ74" i="114"/>
  <c r="AC74" i="144"/>
  <c r="AN74" i="144"/>
  <c r="AO74" i="144"/>
  <c r="AY71" i="72"/>
  <c r="U71" i="100"/>
  <c r="X10" i="100"/>
  <c r="AC13" i="147"/>
  <c r="AN13" i="147"/>
  <c r="AO13" i="147"/>
  <c r="BB10" i="72"/>
  <c r="AC13" i="119"/>
  <c r="AN13" i="119"/>
  <c r="AO13" i="119"/>
  <c r="AQ10" i="72"/>
  <c r="M10" i="100"/>
  <c r="S10" i="100"/>
  <c r="AC13" i="129"/>
  <c r="AN13" i="129"/>
  <c r="AO13" i="129"/>
  <c r="AW10" i="72"/>
  <c r="AD41" i="125"/>
  <c r="AF41" i="125"/>
  <c r="AB38" i="100"/>
  <c r="AC41" i="152"/>
  <c r="AN41" i="152"/>
  <c r="AO41" i="152"/>
  <c r="BF38" i="72"/>
  <c r="AC19" i="125"/>
  <c r="AN19" i="125"/>
  <c r="AO19" i="125"/>
  <c r="AS16" i="72"/>
  <c r="O16" i="100"/>
  <c r="AC19" i="119"/>
  <c r="AN19" i="119"/>
  <c r="AO19" i="119"/>
  <c r="AQ16" i="72"/>
  <c r="AD19" i="119"/>
  <c r="AF19" i="119"/>
  <c r="M16" i="100"/>
  <c r="AE19" i="76"/>
  <c r="AG19" i="76"/>
  <c r="AI53" i="76"/>
  <c r="AJ53" i="76"/>
  <c r="AD50" i="72"/>
  <c r="AK53" i="76"/>
  <c r="I50" i="100"/>
  <c r="AG50" i="100"/>
  <c r="AM50" i="72"/>
  <c r="AD53" i="114"/>
  <c r="AF53" i="114"/>
  <c r="AH45" i="145"/>
  <c r="AI45" i="145"/>
  <c r="V42" i="72"/>
  <c r="AJ45" i="145"/>
  <c r="AD45" i="126"/>
  <c r="AF45" i="126"/>
  <c r="AD45" i="115"/>
  <c r="AF45" i="115"/>
  <c r="AF42" i="100"/>
  <c r="AD9" i="113"/>
  <c r="AF9" i="113"/>
  <c r="AH9" i="116"/>
  <c r="AI9" i="116"/>
  <c r="J6" i="72"/>
  <c r="AJ9" i="116"/>
  <c r="V6" i="100"/>
  <c r="AC9" i="145"/>
  <c r="AN9" i="145"/>
  <c r="AO9" i="145"/>
  <c r="AZ6" i="72"/>
  <c r="AC56" i="151"/>
  <c r="AN56" i="151"/>
  <c r="AO56" i="151"/>
  <c r="BE53" i="72"/>
  <c r="AA53" i="100"/>
  <c r="AC56" i="146"/>
  <c r="AN56" i="146"/>
  <c r="AO56" i="146"/>
  <c r="BA53" i="72"/>
  <c r="W53" i="100"/>
  <c r="AB53" i="100"/>
  <c r="AC56" i="152"/>
  <c r="AN56" i="152"/>
  <c r="AO56" i="152"/>
  <c r="BF53" i="72"/>
  <c r="AD56" i="152"/>
  <c r="AF56" i="152"/>
  <c r="AD70" i="113"/>
  <c r="AF70" i="113"/>
  <c r="AC70" i="120"/>
  <c r="AN70" i="120"/>
  <c r="AO70" i="120"/>
  <c r="AR67" i="72"/>
  <c r="N67" i="100"/>
  <c r="AD70" i="128"/>
  <c r="AF70" i="128"/>
  <c r="AD70" i="129"/>
  <c r="AF70" i="129"/>
  <c r="X67" i="100"/>
  <c r="AC70" i="147"/>
  <c r="AN70" i="147"/>
  <c r="AO70" i="147"/>
  <c r="BB67" i="72"/>
  <c r="AD50" i="80"/>
  <c r="AO50" i="80"/>
  <c r="AP50" i="80"/>
  <c r="BI47" i="72"/>
  <c r="AE47" i="100"/>
  <c r="AC50" i="125"/>
  <c r="AN50" i="125"/>
  <c r="AO50" i="125"/>
  <c r="AS47" i="72"/>
  <c r="O47" i="100"/>
  <c r="AC50" i="149"/>
  <c r="AN50" i="149"/>
  <c r="AO50" i="149"/>
  <c r="BD47" i="72"/>
  <c r="Z47" i="100"/>
  <c r="AH30" i="128"/>
  <c r="AI30" i="128"/>
  <c r="R27" i="72"/>
  <c r="AJ30" i="128"/>
  <c r="AC30" i="145"/>
  <c r="AN30" i="145"/>
  <c r="AO30" i="145"/>
  <c r="AZ27" i="72"/>
  <c r="AD30" i="145"/>
  <c r="AF30" i="145"/>
  <c r="V27" i="100"/>
  <c r="AI30" i="80"/>
  <c r="AJ30" i="80"/>
  <c r="AE27" i="72"/>
  <c r="AK30" i="80"/>
  <c r="AH30" i="118"/>
  <c r="AI30" i="118"/>
  <c r="L27" i="72"/>
  <c r="AJ30" i="118"/>
  <c r="AA35" i="152"/>
  <c r="AB35" i="152"/>
  <c r="AB35" i="76"/>
  <c r="AC35" i="76"/>
  <c r="AA35" i="146"/>
  <c r="AB35" i="146"/>
  <c r="AB35" i="120"/>
  <c r="AA35" i="127"/>
  <c r="AB35" i="127"/>
  <c r="AA35" i="149"/>
  <c r="AB35" i="149"/>
  <c r="AD35" i="113"/>
  <c r="AF35" i="113"/>
  <c r="AC64" i="120"/>
  <c r="AN64" i="120"/>
  <c r="AO64" i="120"/>
  <c r="AR61" i="72"/>
  <c r="N61" i="100"/>
  <c r="AC64" i="147"/>
  <c r="AN64" i="147"/>
  <c r="AO64" i="147"/>
  <c r="BB61" i="72"/>
  <c r="X61" i="100"/>
  <c r="AD22" i="115"/>
  <c r="AF22" i="115"/>
  <c r="AD22" i="120"/>
  <c r="AF22" i="120"/>
  <c r="AD22" i="149"/>
  <c r="AF22" i="149"/>
  <c r="P28" i="100"/>
  <c r="AC31" i="126"/>
  <c r="AN31" i="126"/>
  <c r="AO31" i="126"/>
  <c r="AT28" i="72"/>
  <c r="AC31" i="118"/>
  <c r="AN31" i="118"/>
  <c r="AO31" i="118"/>
  <c r="AP28" i="72"/>
  <c r="L28" i="100"/>
  <c r="AD31" i="118"/>
  <c r="AF31" i="118"/>
  <c r="AD29" i="131"/>
  <c r="AF29" i="131"/>
  <c r="AC29" i="148"/>
  <c r="AN29" i="148"/>
  <c r="AO29" i="148"/>
  <c r="BC26" i="72"/>
  <c r="Y26" i="100"/>
  <c r="AD26" i="100"/>
  <c r="AD29" i="76"/>
  <c r="AO29" i="76"/>
  <c r="AP29" i="76"/>
  <c r="BH26" i="72"/>
  <c r="AI29" i="80"/>
  <c r="AJ29" i="80"/>
  <c r="AE26" i="72"/>
  <c r="AK29" i="80"/>
  <c r="AM8" i="46"/>
  <c r="AN8" i="46"/>
  <c r="AP8" i="46"/>
  <c r="AR9" i="46"/>
  <c r="AS9" i="46"/>
  <c r="AD64" i="120"/>
  <c r="AF64" i="120"/>
  <c r="AE50" i="80"/>
  <c r="AG50" i="80"/>
  <c r="AD74" i="144"/>
  <c r="AF74" i="144"/>
  <c r="AD26" i="149"/>
  <c r="AF26" i="149"/>
  <c r="AD54" i="148"/>
  <c r="AF54" i="148"/>
  <c r="AA11" i="151"/>
  <c r="AB11" i="151"/>
  <c r="AA11" i="149"/>
  <c r="AA48" i="129"/>
  <c r="AB48" i="129"/>
  <c r="AA48" i="120"/>
  <c r="AB48" i="120"/>
  <c r="AA48" i="118"/>
  <c r="AB48" i="118"/>
  <c r="AA48" i="152"/>
  <c r="AD31" i="146"/>
  <c r="AF31" i="146"/>
  <c r="AD13" i="152"/>
  <c r="AF13" i="152"/>
  <c r="AD74" i="148"/>
  <c r="AF74" i="148"/>
  <c r="AD73" i="148"/>
  <c r="AF73" i="148"/>
  <c r="AD10" i="147"/>
  <c r="AF10" i="147"/>
  <c r="AF38" i="100"/>
  <c r="AD18" i="146"/>
  <c r="AF18" i="146"/>
  <c r="AD67" i="117"/>
  <c r="AF67" i="117"/>
  <c r="AD10" i="120"/>
  <c r="AF10" i="120"/>
  <c r="AD61" i="129"/>
  <c r="AF61" i="129"/>
  <c r="AD43" i="113"/>
  <c r="AF43" i="113"/>
  <c r="AD29" i="147"/>
  <c r="AF29" i="147"/>
  <c r="AD64" i="127"/>
  <c r="AF64" i="127"/>
  <c r="AG61" i="100"/>
  <c r="AD9" i="114"/>
  <c r="AF9" i="114"/>
  <c r="AG16" i="100"/>
  <c r="AD41" i="126"/>
  <c r="AF41" i="126"/>
  <c r="AD74" i="119"/>
  <c r="AF74" i="119"/>
  <c r="AD60" i="149"/>
  <c r="AF60" i="149"/>
  <c r="AE68" i="76"/>
  <c r="AG68" i="76"/>
  <c r="AD21" i="149"/>
  <c r="AF21" i="149"/>
  <c r="AD34" i="153"/>
  <c r="AF34" i="153"/>
  <c r="AD62" i="146"/>
  <c r="AF62" i="146"/>
  <c r="AD73" i="125"/>
  <c r="AF73" i="125"/>
  <c r="AD32" i="114"/>
  <c r="AF32" i="114"/>
  <c r="AD32" i="120"/>
  <c r="AF32" i="120"/>
  <c r="AD59" i="145"/>
  <c r="AF59" i="145"/>
  <c r="AD67" i="119"/>
  <c r="AF67" i="119"/>
  <c r="AD36" i="152"/>
  <c r="AF36" i="152"/>
  <c r="AD17" i="114"/>
  <c r="AF17" i="114"/>
  <c r="AD61" i="144"/>
  <c r="AF61" i="144"/>
  <c r="AD55" i="115"/>
  <c r="AF55" i="115"/>
  <c r="AD31" i="126"/>
  <c r="AF31" i="126"/>
  <c r="AD64" i="147"/>
  <c r="AF64" i="147"/>
  <c r="AD50" i="125"/>
  <c r="AF50" i="125"/>
  <c r="AD56" i="146"/>
  <c r="AF56" i="146"/>
  <c r="AD34" i="144"/>
  <c r="AF34" i="144"/>
  <c r="AD62" i="149"/>
  <c r="AF62" i="149"/>
  <c r="AD24" i="148"/>
  <c r="AF24" i="148"/>
  <c r="AD69" i="149"/>
  <c r="AF69" i="149"/>
  <c r="AA11" i="119"/>
  <c r="AB11" i="119"/>
  <c r="AA11" i="146"/>
  <c r="AA11" i="116"/>
  <c r="AB11" i="116"/>
  <c r="AA11" i="152"/>
  <c r="AA48" i="128"/>
  <c r="AB48" i="128"/>
  <c r="AA48" i="119"/>
  <c r="AB48" i="119"/>
  <c r="AD31" i="144"/>
  <c r="AF31" i="144"/>
  <c r="AD30" i="146"/>
  <c r="AF30" i="146"/>
  <c r="AD70" i="144"/>
  <c r="AF70" i="144"/>
  <c r="AD67" i="151"/>
  <c r="AF67" i="151"/>
  <c r="AD10" i="152"/>
  <c r="AF10" i="152"/>
  <c r="AD22" i="116"/>
  <c r="AF22" i="116"/>
  <c r="AD45" i="116"/>
  <c r="AF45" i="116"/>
  <c r="AD74" i="146"/>
  <c r="AF74" i="146"/>
  <c r="AD60" i="153"/>
  <c r="AF60" i="153"/>
  <c r="AD66" i="115"/>
  <c r="AF66" i="115"/>
  <c r="AD66" i="129"/>
  <c r="AF66" i="129"/>
  <c r="AD34" i="126"/>
  <c r="AF34" i="126"/>
  <c r="AG31" i="100"/>
  <c r="AE62" i="76"/>
  <c r="AG62" i="76"/>
  <c r="AD73" i="116"/>
  <c r="AF73" i="116"/>
  <c r="AD32" i="152"/>
  <c r="AF32" i="152"/>
  <c r="AD59" i="128"/>
  <c r="AF59" i="128"/>
  <c r="AE28" i="76"/>
  <c r="AG28" i="76"/>
  <c r="AE26" i="80"/>
  <c r="AG26" i="80"/>
  <c r="AD10" i="145"/>
  <c r="AF10" i="145"/>
  <c r="AD17" i="126"/>
  <c r="AF17" i="126"/>
  <c r="AD69" i="117"/>
  <c r="AF69" i="117"/>
  <c r="AD54" i="147"/>
  <c r="AF54" i="147"/>
  <c r="AD55" i="145"/>
  <c r="AF55" i="145"/>
  <c r="AD55" i="146"/>
  <c r="AF55" i="146"/>
  <c r="AD64" i="144"/>
  <c r="AF64" i="144"/>
  <c r="AD50" i="126"/>
  <c r="AF50" i="126"/>
  <c r="AE56" i="80"/>
  <c r="AG56" i="80"/>
  <c r="AD9" i="128"/>
  <c r="AF9" i="128"/>
  <c r="AD19" i="152"/>
  <c r="AF19" i="152"/>
  <c r="AD41" i="120"/>
  <c r="AF41" i="120"/>
  <c r="AD41" i="114"/>
  <c r="AF41" i="114"/>
  <c r="AD13" i="127"/>
  <c r="AF13" i="127"/>
  <c r="AD16" i="114"/>
  <c r="AF16" i="114"/>
  <c r="AD68" i="115"/>
  <c r="AF68" i="115"/>
  <c r="AD21" i="129"/>
  <c r="AF21" i="129"/>
  <c r="AD66" i="118"/>
  <c r="AF66" i="118"/>
  <c r="AD34" i="127"/>
  <c r="AF34" i="127"/>
  <c r="AD24" i="119"/>
  <c r="AF24" i="119"/>
  <c r="AD32" i="125"/>
  <c r="AF32" i="125"/>
  <c r="AD59" i="117"/>
  <c r="AF59" i="117"/>
  <c r="AD26" i="114"/>
  <c r="AF26" i="114"/>
  <c r="AE17" i="80"/>
  <c r="AG17" i="80"/>
  <c r="AD27" i="128"/>
  <c r="AF27" i="128"/>
  <c r="AD69" i="145"/>
  <c r="AF69" i="145"/>
  <c r="AD54" i="117"/>
  <c r="AF54" i="117"/>
  <c r="AD55" i="120"/>
  <c r="AF55" i="120"/>
  <c r="AG52" i="100"/>
  <c r="AN58" i="126"/>
  <c r="AO58" i="126"/>
  <c r="AT55" i="72"/>
  <c r="AD58" i="126"/>
  <c r="AF58" i="126"/>
  <c r="AD46" i="152"/>
  <c r="AF46" i="152"/>
  <c r="AD18" i="118"/>
  <c r="AF18" i="118"/>
  <c r="AF70" i="100"/>
  <c r="AG6" i="100"/>
  <c r="AD36" i="145"/>
  <c r="AF36" i="145"/>
  <c r="AD26" i="147"/>
  <c r="AF26" i="147"/>
  <c r="AN46" i="147"/>
  <c r="AO46" i="147"/>
  <c r="BB43" i="72"/>
  <c r="AD46" i="147"/>
  <c r="AF46" i="147"/>
  <c r="AN43" i="116"/>
  <c r="AO43" i="116"/>
  <c r="AN40" i="72"/>
  <c r="AD43" i="116"/>
  <c r="AF43" i="116"/>
  <c r="AB48" i="152"/>
  <c r="AE73" i="80"/>
  <c r="AG73" i="80"/>
  <c r="AG64" i="100"/>
  <c r="AN43" i="149"/>
  <c r="AO43" i="149"/>
  <c r="BD40" i="72"/>
  <c r="AD43" i="149"/>
  <c r="AF43" i="149"/>
  <c r="AE47" i="76"/>
  <c r="AG47" i="76"/>
  <c r="AD47" i="115"/>
  <c r="AF47" i="115"/>
  <c r="AE75" i="76"/>
  <c r="AG75" i="76"/>
  <c r="AG67" i="100"/>
  <c r="AD56" i="127"/>
  <c r="AF56" i="127"/>
  <c r="AD53" i="152"/>
  <c r="AF53" i="152"/>
  <c r="AG71" i="100"/>
  <c r="AD34" i="151"/>
  <c r="AF34" i="151"/>
  <c r="AG21" i="100"/>
  <c r="AD17" i="119"/>
  <c r="AF17" i="119"/>
  <c r="AF67" i="100"/>
  <c r="AD68" i="144"/>
  <c r="AF68" i="144"/>
  <c r="AD44" i="116"/>
  <c r="AF44" i="116"/>
  <c r="AD44" i="146"/>
  <c r="AF44" i="146"/>
  <c r="AA11" i="144"/>
  <c r="AB11" i="144"/>
  <c r="AD58" i="127"/>
  <c r="AF58" i="127"/>
  <c r="AD40" i="114"/>
  <c r="AF40" i="114"/>
  <c r="AD40" i="126"/>
  <c r="AF40" i="126"/>
  <c r="AD14" i="145"/>
  <c r="AF14" i="145"/>
  <c r="AD63" i="125"/>
  <c r="AF63" i="125"/>
  <c r="AA48" i="127"/>
  <c r="AB48" i="127"/>
  <c r="AD75" i="151"/>
  <c r="AF75" i="151"/>
  <c r="AD75" i="128"/>
  <c r="AF75" i="128"/>
  <c r="AD71" i="118"/>
  <c r="AF71" i="118"/>
  <c r="AE57" i="80"/>
  <c r="AG57" i="80"/>
  <c r="AD25" i="128"/>
  <c r="AF25" i="128"/>
  <c r="AD72" i="144"/>
  <c r="AF72" i="144"/>
  <c r="AD9" i="144"/>
  <c r="AF9" i="144"/>
  <c r="AD16" i="128"/>
  <c r="AF16" i="128"/>
  <c r="AD18" i="128"/>
  <c r="AF18" i="128"/>
  <c r="AD24" i="126"/>
  <c r="AF24" i="126"/>
  <c r="AD32" i="128"/>
  <c r="AF32" i="128"/>
  <c r="AD32" i="144"/>
  <c r="AF32" i="144"/>
  <c r="AD67" i="120"/>
  <c r="AF67" i="120"/>
  <c r="AD67" i="126"/>
  <c r="AF67" i="126"/>
  <c r="AE36" i="76"/>
  <c r="AG36" i="76"/>
  <c r="AD28" i="120"/>
  <c r="AF28" i="120"/>
  <c r="AE10" i="80"/>
  <c r="AG10" i="80"/>
  <c r="AD42" i="146"/>
  <c r="AF42" i="146"/>
  <c r="AD65" i="129"/>
  <c r="AF65" i="129"/>
  <c r="AD61" i="145"/>
  <c r="AF61" i="145"/>
  <c r="AD27" i="144"/>
  <c r="AF27" i="144"/>
  <c r="AD69" i="114"/>
  <c r="AF69" i="114"/>
  <c r="AD46" i="125"/>
  <c r="AF46" i="125"/>
  <c r="AD46" i="118"/>
  <c r="AF46" i="118"/>
  <c r="AD38" i="149"/>
  <c r="AF38" i="149"/>
  <c r="AD38" i="151"/>
  <c r="AF38" i="151"/>
  <c r="AD23" i="115"/>
  <c r="AF23" i="115"/>
  <c r="AE23" i="80"/>
  <c r="AG23" i="80"/>
  <c r="AD43" i="145"/>
  <c r="AF43" i="145"/>
  <c r="AD12" i="129"/>
  <c r="AF12" i="129"/>
  <c r="AD9" i="147"/>
  <c r="AF9" i="147"/>
  <c r="AD74" i="129"/>
  <c r="AF74" i="129"/>
  <c r="AD16" i="131"/>
  <c r="AF16" i="131"/>
  <c r="AD24" i="144"/>
  <c r="AF24" i="144"/>
  <c r="AD57" i="117"/>
  <c r="AF57" i="117"/>
  <c r="AD10" i="149"/>
  <c r="AF10" i="149"/>
  <c r="AD27" i="115"/>
  <c r="AF27" i="115"/>
  <c r="AD27" i="131"/>
  <c r="AF27" i="131"/>
  <c r="AD55" i="119"/>
  <c r="AF55" i="119"/>
  <c r="AE25" i="76"/>
  <c r="AG25" i="76"/>
  <c r="AD66" i="144"/>
  <c r="AF66" i="144"/>
  <c r="AD67" i="148"/>
  <c r="AF67" i="148"/>
  <c r="AD64" i="153"/>
  <c r="AF64" i="153"/>
  <c r="AD49" i="144"/>
  <c r="AF49" i="144"/>
  <c r="AD61" i="153"/>
  <c r="AF61" i="153"/>
  <c r="AD43" i="118"/>
  <c r="AF43" i="118"/>
  <c r="AD40" i="152"/>
  <c r="AF40" i="152"/>
  <c r="AD40" i="129"/>
  <c r="AF40" i="129"/>
  <c r="AD63" i="131"/>
  <c r="AF63" i="131"/>
  <c r="AD29" i="151"/>
  <c r="AF29" i="151"/>
  <c r="AD31" i="129"/>
  <c r="AF31" i="129"/>
  <c r="AD50" i="117"/>
  <c r="AF50" i="117"/>
  <c r="AD70" i="131"/>
  <c r="AF70" i="131"/>
  <c r="AD45" i="149"/>
  <c r="AF45" i="149"/>
  <c r="AD16" i="118"/>
  <c r="AF16" i="118"/>
  <c r="AD59" i="125"/>
  <c r="AF59" i="125"/>
  <c r="AD10" i="144"/>
  <c r="AF10" i="144"/>
  <c r="AD69" i="116"/>
  <c r="AF69" i="116"/>
  <c r="AD72" i="127"/>
  <c r="AF72" i="127"/>
  <c r="AD35" i="116"/>
  <c r="AF35" i="116"/>
  <c r="AD13" i="146"/>
  <c r="AF13" i="146"/>
  <c r="AD42" i="120"/>
  <c r="AF42" i="120"/>
  <c r="AD42" i="148"/>
  <c r="AF42" i="148"/>
  <c r="AD38" i="152"/>
  <c r="AF38" i="152"/>
  <c r="AA11" i="131"/>
  <c r="AD8" i="129"/>
  <c r="AF8" i="129"/>
  <c r="AD20" i="147"/>
  <c r="AF20" i="147"/>
  <c r="AD43" i="127"/>
  <c r="AF43" i="127"/>
  <c r="AD58" i="125"/>
  <c r="AF58" i="125"/>
  <c r="AD40" i="116"/>
  <c r="AF40" i="116"/>
  <c r="AD14" i="149"/>
  <c r="AF14" i="149"/>
  <c r="AD47" i="152"/>
  <c r="AF47" i="152"/>
  <c r="AD47" i="153"/>
  <c r="AF47" i="153"/>
  <c r="AD47" i="125"/>
  <c r="AF47" i="125"/>
  <c r="AD51" i="119"/>
  <c r="AF51" i="119"/>
  <c r="AD51" i="128"/>
  <c r="AF51" i="128"/>
  <c r="AA48" i="116"/>
  <c r="AA48" i="125"/>
  <c r="AD32" i="149"/>
  <c r="AF32" i="149"/>
  <c r="AD57" i="119"/>
  <c r="AF57" i="119"/>
  <c r="AD37" i="115"/>
  <c r="AF37" i="115"/>
  <c r="AD37" i="118"/>
  <c r="AF37" i="118"/>
  <c r="AD72" i="147"/>
  <c r="AF72" i="147"/>
  <c r="AD30" i="114"/>
  <c r="AF30" i="114"/>
  <c r="AD56" i="148"/>
  <c r="AF56" i="148"/>
  <c r="AD49" i="116"/>
  <c r="AF49" i="116"/>
  <c r="AD18" i="129"/>
  <c r="AF18" i="129"/>
  <c r="AD21" i="117"/>
  <c r="AF21" i="117"/>
  <c r="AD66" i="131"/>
  <c r="AF66" i="131"/>
  <c r="AD44" i="129"/>
  <c r="AF44" i="129"/>
  <c r="AD44" i="119"/>
  <c r="AF44" i="119"/>
  <c r="AD62" i="131"/>
  <c r="AF62" i="131"/>
  <c r="AD73" i="145"/>
  <c r="AF73" i="145"/>
  <c r="AD59" i="149"/>
  <c r="AF59" i="149"/>
  <c r="AD28" i="144"/>
  <c r="AF28" i="144"/>
  <c r="AD10" i="148"/>
  <c r="AF10" i="148"/>
  <c r="AD69" i="126"/>
  <c r="AF69" i="126"/>
  <c r="AD54" i="114"/>
  <c r="AF54" i="114"/>
  <c r="AD46" i="120"/>
  <c r="AF46" i="120"/>
  <c r="AE38" i="76"/>
  <c r="AG38" i="76"/>
  <c r="AD23" i="128"/>
  <c r="AF23" i="128"/>
  <c r="AD23" i="126"/>
  <c r="AF23" i="126"/>
  <c r="AD20" i="120"/>
  <c r="AF20" i="120"/>
  <c r="AD12" i="127"/>
  <c r="AF12" i="127"/>
  <c r="AD58" i="131"/>
  <c r="AF58" i="131"/>
  <c r="AD47" i="127"/>
  <c r="AF47" i="127"/>
  <c r="AD63" i="120"/>
  <c r="AF63" i="120"/>
  <c r="AD29" i="128"/>
  <c r="AF29" i="128"/>
  <c r="AD29" i="149"/>
  <c r="AF29" i="149"/>
  <c r="AD31" i="120"/>
  <c r="AF31" i="120"/>
  <c r="AD22" i="131"/>
  <c r="AF22" i="131"/>
  <c r="AD71" i="151"/>
  <c r="AF71" i="151"/>
  <c r="AD50" i="147"/>
  <c r="AF50" i="147"/>
  <c r="AD49" i="152"/>
  <c r="AF49" i="152"/>
  <c r="AE34" i="76"/>
  <c r="AG34" i="76"/>
  <c r="AD73" i="129"/>
  <c r="AF73" i="129"/>
  <c r="AD32" i="145"/>
  <c r="AF32" i="145"/>
  <c r="AD57" i="114"/>
  <c r="AF57" i="114"/>
  <c r="AD25" i="114"/>
  <c r="AF25" i="114"/>
  <c r="AD18" i="148"/>
  <c r="AF18" i="148"/>
  <c r="AD36" i="151"/>
  <c r="AF36" i="151"/>
  <c r="AD31" i="152"/>
  <c r="AF31" i="152"/>
  <c r="AA11" i="147"/>
  <c r="AB11" i="147"/>
  <c r="AF27" i="100"/>
  <c r="AD53" i="127"/>
  <c r="AF53" i="127"/>
  <c r="AD60" i="117"/>
  <c r="AF60" i="117"/>
  <c r="AD68" i="118"/>
  <c r="AF68" i="118"/>
  <c r="AD44" i="144"/>
  <c r="AF44" i="144"/>
  <c r="AD73" i="120"/>
  <c r="AF73" i="120"/>
  <c r="AD39" i="151"/>
  <c r="AF39" i="151"/>
  <c r="AD64" i="151"/>
  <c r="AF64" i="151"/>
  <c r="AD53" i="126"/>
  <c r="AF53" i="126"/>
  <c r="AD26" i="126"/>
  <c r="AF26" i="126"/>
  <c r="AD37" i="131"/>
  <c r="AF37" i="131"/>
  <c r="AD15" i="117"/>
  <c r="AF15" i="117"/>
  <c r="AD51" i="126"/>
  <c r="AF51" i="126"/>
  <c r="AD31" i="131"/>
  <c r="AF31" i="131"/>
  <c r="AD60" i="119"/>
  <c r="AF60" i="119"/>
  <c r="AD18" i="115"/>
  <c r="AF18" i="115"/>
  <c r="AD62" i="152"/>
  <c r="AF62" i="152"/>
  <c r="AD59" i="129"/>
  <c r="AF59" i="129"/>
  <c r="AD28" i="146"/>
  <c r="AF28" i="146"/>
  <c r="AD57" i="131"/>
  <c r="AF57" i="131"/>
  <c r="AD46" i="126"/>
  <c r="AF46" i="126"/>
  <c r="AD25" i="115"/>
  <c r="AF25" i="115"/>
  <c r="AD25" i="120"/>
  <c r="AF25" i="120"/>
  <c r="AD34" i="145"/>
  <c r="AF34" i="145"/>
  <c r="AD26" i="148"/>
  <c r="AF26" i="148"/>
  <c r="AD22" i="145"/>
  <c r="AF22" i="145"/>
  <c r="AD60" i="152"/>
  <c r="AF60" i="152"/>
  <c r="AD21" i="144"/>
  <c r="AF21" i="144"/>
  <c r="AD17" i="152"/>
  <c r="AF17" i="152"/>
  <c r="AD73" i="152"/>
  <c r="AF73" i="152"/>
  <c r="AD69" i="148"/>
  <c r="AF69" i="148"/>
  <c r="AD64" i="149"/>
  <c r="AF64" i="149"/>
  <c r="AD70" i="145"/>
  <c r="AF70" i="145"/>
  <c r="AD9" i="146"/>
  <c r="AF9" i="146"/>
  <c r="AC38" i="144"/>
  <c r="AN38" i="144"/>
  <c r="AO38" i="144"/>
  <c r="AY35" i="72"/>
  <c r="U35" i="100"/>
  <c r="AD38" i="144"/>
  <c r="AF38" i="144"/>
  <c r="AC23" i="151"/>
  <c r="AN23" i="151"/>
  <c r="AO23" i="151"/>
  <c r="BE20" i="72"/>
  <c r="AA20" i="100"/>
  <c r="AC11" i="100"/>
  <c r="AC14" i="153"/>
  <c r="AN14" i="153"/>
  <c r="AO14" i="153"/>
  <c r="BG11" i="72"/>
  <c r="Y60" i="100"/>
  <c r="AC63" i="148"/>
  <c r="AN63" i="148"/>
  <c r="AO63" i="148"/>
  <c r="BC60" i="72"/>
  <c r="AD63" i="148"/>
  <c r="AF63" i="148"/>
  <c r="Z39" i="100"/>
  <c r="AC42" i="149"/>
  <c r="AN42" i="149"/>
  <c r="AO42" i="149"/>
  <c r="BD39" i="72"/>
  <c r="U39" i="100"/>
  <c r="AC42" i="144"/>
  <c r="AN42" i="144"/>
  <c r="AO42" i="144"/>
  <c r="AY39" i="72"/>
  <c r="AC49" i="100"/>
  <c r="AC52" i="153"/>
  <c r="AN52" i="153"/>
  <c r="AO52" i="153"/>
  <c r="BG49" i="72"/>
  <c r="U37" i="100"/>
  <c r="AC40" i="144"/>
  <c r="AN40" i="144"/>
  <c r="AO40" i="144"/>
  <c r="AY37" i="72"/>
  <c r="V72" i="100"/>
  <c r="AC75" i="145"/>
  <c r="AN75" i="145"/>
  <c r="AO75" i="145"/>
  <c r="AZ72" i="72"/>
  <c r="AC71" i="144"/>
  <c r="AN71" i="144"/>
  <c r="AO71" i="144"/>
  <c r="AY68" i="72"/>
  <c r="U68" i="100"/>
  <c r="AC71" i="153"/>
  <c r="AN71" i="153"/>
  <c r="AO71" i="153"/>
  <c r="BG68" i="72"/>
  <c r="AC68" i="100"/>
  <c r="AC71" i="147"/>
  <c r="AN71" i="147"/>
  <c r="AO71" i="147"/>
  <c r="BB68" i="72"/>
  <c r="X68" i="100"/>
  <c r="AD71" i="147"/>
  <c r="AF71" i="147"/>
  <c r="AC71" i="145"/>
  <c r="AN71" i="145"/>
  <c r="AO71" i="145"/>
  <c r="AZ68" i="72"/>
  <c r="AD71" i="145"/>
  <c r="AF71" i="145"/>
  <c r="V68" i="100"/>
  <c r="AC35" i="146"/>
  <c r="AN35" i="146"/>
  <c r="AO35" i="146"/>
  <c r="BA32" i="72"/>
  <c r="W32" i="100"/>
  <c r="AA39" i="100"/>
  <c r="AC42" i="151"/>
  <c r="AN42" i="151"/>
  <c r="AO42" i="151"/>
  <c r="BE39" i="72"/>
  <c r="AC39" i="100"/>
  <c r="AC42" i="153"/>
  <c r="AN42" i="153"/>
  <c r="AO42" i="153"/>
  <c r="BG39" i="72"/>
  <c r="AD42" i="153"/>
  <c r="AF42" i="153"/>
  <c r="V39" i="100"/>
  <c r="AC42" i="145"/>
  <c r="AN42" i="145"/>
  <c r="AO42" i="145"/>
  <c r="AZ39" i="72"/>
  <c r="AC38" i="146"/>
  <c r="AN38" i="146"/>
  <c r="AO38" i="146"/>
  <c r="BA35" i="72"/>
  <c r="W35" i="100"/>
  <c r="AC23" i="152"/>
  <c r="AN23" i="152"/>
  <c r="AO23" i="152"/>
  <c r="BF20" i="72"/>
  <c r="AB20" i="100"/>
  <c r="AC9" i="100"/>
  <c r="AC12" i="153"/>
  <c r="AN12" i="153"/>
  <c r="AO12" i="153"/>
  <c r="BG9" i="72"/>
  <c r="AC12" i="151"/>
  <c r="AN12" i="151"/>
  <c r="AO12" i="151"/>
  <c r="BE9" i="72"/>
  <c r="AD12" i="151"/>
  <c r="AF12" i="151"/>
  <c r="AA9" i="100"/>
  <c r="AB9" i="100"/>
  <c r="AC12" i="152"/>
  <c r="AN12" i="152"/>
  <c r="AO12" i="152"/>
  <c r="BF9" i="72"/>
  <c r="AD12" i="152"/>
  <c r="AF12" i="152"/>
  <c r="U55" i="100"/>
  <c r="AC58" i="144"/>
  <c r="AN58" i="144"/>
  <c r="AO58" i="144"/>
  <c r="AY55" i="72"/>
  <c r="AC14" i="147"/>
  <c r="AN14" i="147"/>
  <c r="AO14" i="147"/>
  <c r="BB11" i="72"/>
  <c r="X11" i="100"/>
  <c r="AD14" i="147"/>
  <c r="AF14" i="147"/>
  <c r="AC57" i="145"/>
  <c r="AN57" i="145"/>
  <c r="AO57" i="145"/>
  <c r="AZ54" i="72"/>
  <c r="V54" i="100"/>
  <c r="Z69" i="100"/>
  <c r="AC72" i="149"/>
  <c r="AN72" i="149"/>
  <c r="AO72" i="149"/>
  <c r="BD69" i="72"/>
  <c r="Y30" i="100"/>
  <c r="AC33" i="148"/>
  <c r="AN33" i="148"/>
  <c r="AO33" i="148"/>
  <c r="BC30" i="72"/>
  <c r="AA41" i="100"/>
  <c r="AC44" i="151"/>
  <c r="AN44" i="151"/>
  <c r="AO44" i="151"/>
  <c r="BE41" i="72"/>
  <c r="AD44" i="151"/>
  <c r="AF44" i="151"/>
  <c r="AC52" i="152"/>
  <c r="AN52" i="152"/>
  <c r="AO52" i="152"/>
  <c r="BF49" i="72"/>
  <c r="AB49" i="100"/>
  <c r="AC8" i="153"/>
  <c r="AN8" i="153"/>
  <c r="AO8" i="153"/>
  <c r="BG5" i="72"/>
  <c r="AC5" i="100"/>
  <c r="AD8" i="153"/>
  <c r="AF8" i="153"/>
  <c r="Y17" i="100"/>
  <c r="AC20" i="148"/>
  <c r="AN20" i="148"/>
  <c r="AO20" i="148"/>
  <c r="BC17" i="72"/>
  <c r="W60" i="100"/>
  <c r="AC63" i="146"/>
  <c r="AN63" i="146"/>
  <c r="AO63" i="146"/>
  <c r="BA60" i="72"/>
  <c r="AC57" i="148"/>
  <c r="AN57" i="148"/>
  <c r="AO57" i="148"/>
  <c r="BC54" i="72"/>
  <c r="AD57" i="148"/>
  <c r="AF57" i="148"/>
  <c r="Y54" i="100"/>
  <c r="AC37" i="147"/>
  <c r="AN37" i="147"/>
  <c r="AO37" i="147"/>
  <c r="BB34" i="72"/>
  <c r="X34" i="100"/>
  <c r="AA12" i="100"/>
  <c r="AC15" i="151"/>
  <c r="AN15" i="151"/>
  <c r="AO15" i="151"/>
  <c r="BE12" i="72"/>
  <c r="X12" i="100"/>
  <c r="AC15" i="147"/>
  <c r="AN15" i="147"/>
  <c r="AO15" i="147"/>
  <c r="BB12" i="72"/>
  <c r="AD15" i="147"/>
  <c r="AF15" i="147"/>
  <c r="AC69" i="100"/>
  <c r="AC72" i="153"/>
  <c r="AN72" i="153"/>
  <c r="AO72" i="153"/>
  <c r="BG69" i="72"/>
  <c r="U7" i="118"/>
  <c r="U7" i="120"/>
  <c r="U7" i="149"/>
  <c r="U7" i="128"/>
  <c r="U7" i="148"/>
  <c r="U7" i="153"/>
  <c r="U7" i="116"/>
  <c r="U7" i="131"/>
  <c r="Z76" i="113"/>
  <c r="U7" i="119"/>
  <c r="U7" i="145"/>
  <c r="U7" i="125"/>
  <c r="U7" i="152"/>
  <c r="V7" i="80"/>
  <c r="U7" i="151"/>
  <c r="U7" i="126"/>
  <c r="U7" i="127"/>
  <c r="U7" i="144"/>
  <c r="U7" i="117"/>
  <c r="V7" i="76"/>
  <c r="U7" i="147"/>
  <c r="U7" i="146"/>
  <c r="V76" i="113"/>
  <c r="U7" i="129"/>
  <c r="AR8" i="46"/>
  <c r="AS8" i="46"/>
  <c r="AT8" i="46"/>
  <c r="AH31" i="118"/>
  <c r="AI31" i="118"/>
  <c r="L28" i="72"/>
  <c r="AJ31" i="118"/>
  <c r="AH22" i="149"/>
  <c r="AI22" i="149"/>
  <c r="Z19" i="72"/>
  <c r="AJ22" i="149"/>
  <c r="AH22" i="115"/>
  <c r="AI22" i="115"/>
  <c r="I19" i="72"/>
  <c r="AJ22" i="115"/>
  <c r="AH64" i="120"/>
  <c r="AI64" i="120"/>
  <c r="N61" i="72"/>
  <c r="AJ64" i="120"/>
  <c r="AC35" i="149"/>
  <c r="AN35" i="149"/>
  <c r="AO35" i="149"/>
  <c r="BD32" i="72"/>
  <c r="Z32" i="100"/>
  <c r="AC35" i="120"/>
  <c r="AN35" i="120"/>
  <c r="AO35" i="120"/>
  <c r="AR32" i="72"/>
  <c r="N32" i="100"/>
  <c r="AD35" i="76"/>
  <c r="AO35" i="76"/>
  <c r="AP35" i="76"/>
  <c r="BH32" i="72"/>
  <c r="AD32" i="100"/>
  <c r="AD50" i="149"/>
  <c r="AF50" i="149"/>
  <c r="AH50" i="125"/>
  <c r="AI50" i="125"/>
  <c r="O47" i="72"/>
  <c r="AJ50" i="125"/>
  <c r="AD70" i="147"/>
  <c r="AF70" i="147"/>
  <c r="AH70" i="128"/>
  <c r="AI70" i="128"/>
  <c r="R67" i="72"/>
  <c r="AJ70" i="128"/>
  <c r="AD70" i="120"/>
  <c r="AF70" i="120"/>
  <c r="AH70" i="113"/>
  <c r="AI70" i="113"/>
  <c r="G67" i="72"/>
  <c r="AJ70" i="113"/>
  <c r="AH56" i="146"/>
  <c r="AI56" i="146"/>
  <c r="W53" i="72"/>
  <c r="AJ56" i="146"/>
  <c r="AD56" i="151"/>
  <c r="AF56" i="151"/>
  <c r="AD9" i="145"/>
  <c r="AF9" i="145"/>
  <c r="AH45" i="126"/>
  <c r="AI45" i="126"/>
  <c r="P42" i="72"/>
  <c r="AJ45" i="126"/>
  <c r="AD53" i="115"/>
  <c r="AF53" i="115"/>
  <c r="AD19" i="125"/>
  <c r="AF19" i="125"/>
  <c r="AD41" i="152"/>
  <c r="AF41" i="152"/>
  <c r="AD13" i="129"/>
  <c r="AF13" i="129"/>
  <c r="AD13" i="119"/>
  <c r="AF13" i="119"/>
  <c r="AD13" i="147"/>
  <c r="AF13" i="147"/>
  <c r="AH49" i="119"/>
  <c r="AI49" i="119"/>
  <c r="M46" i="72"/>
  <c r="AJ49" i="119"/>
  <c r="AH60" i="114"/>
  <c r="AI60" i="114"/>
  <c r="H57" i="72"/>
  <c r="AJ60" i="114"/>
  <c r="AH18" i="126"/>
  <c r="AI18" i="126"/>
  <c r="P15" i="72"/>
  <c r="AJ18" i="126"/>
  <c r="AD21" i="146"/>
  <c r="AF21" i="146"/>
  <c r="AD21" i="153"/>
  <c r="AF21" i="153"/>
  <c r="AI66" i="80"/>
  <c r="AJ66" i="80"/>
  <c r="AE63" i="72"/>
  <c r="AK66" i="80"/>
  <c r="AC44" i="118"/>
  <c r="AN44" i="118"/>
  <c r="AO44" i="118"/>
  <c r="AP41" i="72"/>
  <c r="L41" i="100"/>
  <c r="AD44" i="118"/>
  <c r="AF44" i="118"/>
  <c r="AC44" i="153"/>
  <c r="AN44" i="153"/>
  <c r="AO44" i="153"/>
  <c r="BG41" i="72"/>
  <c r="AC41" i="100"/>
  <c r="AC44" i="125"/>
  <c r="AN44" i="125"/>
  <c r="AO44" i="125"/>
  <c r="AS41" i="72"/>
  <c r="O41" i="100"/>
  <c r="Z41" i="100"/>
  <c r="AC44" i="149"/>
  <c r="AN44" i="149"/>
  <c r="AO44" i="149"/>
  <c r="BD41" i="72"/>
  <c r="AH62" i="116"/>
  <c r="AI62" i="116"/>
  <c r="J59" i="72"/>
  <c r="AJ62" i="116"/>
  <c r="AD24" i="147"/>
  <c r="AF24" i="147"/>
  <c r="AH24" i="148"/>
  <c r="AI24" i="148"/>
  <c r="Y21" i="72"/>
  <c r="AJ24" i="148"/>
  <c r="AH24" i="120"/>
  <c r="AI24" i="120"/>
  <c r="N21" i="72"/>
  <c r="AJ24" i="120"/>
  <c r="AH32" i="117"/>
  <c r="AI32" i="117"/>
  <c r="K29" i="72"/>
  <c r="AJ32" i="117"/>
  <c r="AI32" i="80"/>
  <c r="AJ32" i="80"/>
  <c r="AE29" i="72"/>
  <c r="AK32" i="80"/>
  <c r="AH59" i="131"/>
  <c r="AI59" i="131"/>
  <c r="T56" i="72"/>
  <c r="AJ59" i="131"/>
  <c r="AH67" i="118"/>
  <c r="AI67" i="118"/>
  <c r="L64" i="72"/>
  <c r="AJ67" i="118"/>
  <c r="AD36" i="148"/>
  <c r="AF36" i="148"/>
  <c r="AH26" i="149"/>
  <c r="AI26" i="149"/>
  <c r="Z23" i="72"/>
  <c r="AJ26" i="149"/>
  <c r="AF23" i="100"/>
  <c r="AH42" i="113"/>
  <c r="AI42" i="113"/>
  <c r="G39" i="72"/>
  <c r="AJ42" i="113"/>
  <c r="AC42" i="125"/>
  <c r="AN42" i="125"/>
  <c r="AO42" i="125"/>
  <c r="AS39" i="72"/>
  <c r="O39" i="100"/>
  <c r="AD42" i="76"/>
  <c r="AO42" i="76"/>
  <c r="AP42" i="76"/>
  <c r="BH39" i="72"/>
  <c r="AD39" i="100"/>
  <c r="AE42" i="76"/>
  <c r="AG42" i="76"/>
  <c r="AC42" i="147"/>
  <c r="AN42" i="147"/>
  <c r="AO42" i="147"/>
  <c r="BB39" i="72"/>
  <c r="X39" i="100"/>
  <c r="AE39" i="100"/>
  <c r="AD42" i="80"/>
  <c r="AO42" i="80"/>
  <c r="AP42" i="80"/>
  <c r="BI39" i="72"/>
  <c r="AB73" i="31"/>
  <c r="AB74" i="31"/>
  <c r="AD73" i="31"/>
  <c r="AD74" i="31"/>
  <c r="AD65" i="147"/>
  <c r="AF65" i="147"/>
  <c r="AH65" i="117"/>
  <c r="AI65" i="117"/>
  <c r="K62" i="72"/>
  <c r="AJ65" i="117"/>
  <c r="AH17" i="147"/>
  <c r="AI17" i="147"/>
  <c r="X14" i="72"/>
  <c r="AJ17" i="147"/>
  <c r="AH61" i="125"/>
  <c r="AI61" i="125"/>
  <c r="O58" i="72"/>
  <c r="AJ61" i="125"/>
  <c r="AH27" i="147"/>
  <c r="AI27" i="147"/>
  <c r="X24" i="72"/>
  <c r="AJ27" i="147"/>
  <c r="AH69" i="149"/>
  <c r="AI69" i="149"/>
  <c r="Z66" i="72"/>
  <c r="AJ69" i="149"/>
  <c r="AH54" i="126"/>
  <c r="AI54" i="126"/>
  <c r="P51" i="72"/>
  <c r="AJ54" i="126"/>
  <c r="AH55" i="118"/>
  <c r="AI55" i="118"/>
  <c r="L52" i="72"/>
  <c r="AJ55" i="118"/>
  <c r="AH55" i="127"/>
  <c r="AI55" i="127"/>
  <c r="Q52" i="72"/>
  <c r="AJ55" i="127"/>
  <c r="J35" i="100"/>
  <c r="AC38" i="116"/>
  <c r="AN38" i="116"/>
  <c r="AO38" i="116"/>
  <c r="AN35" i="72"/>
  <c r="K35" i="100"/>
  <c r="AC38" i="117"/>
  <c r="AN38" i="117"/>
  <c r="AO38" i="117"/>
  <c r="AO35" i="72"/>
  <c r="AD38" i="117"/>
  <c r="AF38" i="117"/>
  <c r="L20" i="100"/>
  <c r="AC23" i="118"/>
  <c r="AN23" i="118"/>
  <c r="AO23" i="118"/>
  <c r="AP20" i="72"/>
  <c r="AC23" i="125"/>
  <c r="AN23" i="125"/>
  <c r="AO23" i="125"/>
  <c r="AS20" i="72"/>
  <c r="O20" i="100"/>
  <c r="Q20" i="100"/>
  <c r="AC23" i="127"/>
  <c r="AN23" i="127"/>
  <c r="AO23" i="127"/>
  <c r="AU20" i="72"/>
  <c r="X49" i="100"/>
  <c r="AC52" i="147"/>
  <c r="AN52" i="147"/>
  <c r="AO52" i="147"/>
  <c r="BB49" i="72"/>
  <c r="AC52" i="117"/>
  <c r="AN52" i="117"/>
  <c r="AO52" i="117"/>
  <c r="AO49" i="72"/>
  <c r="AD52" i="117"/>
  <c r="AF52" i="117"/>
  <c r="K49" i="100"/>
  <c r="AM49" i="72"/>
  <c r="I49" i="100"/>
  <c r="AD52" i="115"/>
  <c r="AF52" i="115"/>
  <c r="Y49" i="100"/>
  <c r="AC52" i="148"/>
  <c r="AN52" i="148"/>
  <c r="AO52" i="148"/>
  <c r="BC49" i="72"/>
  <c r="AA8" i="100"/>
  <c r="AC11" i="151"/>
  <c r="AN11" i="151"/>
  <c r="AO11" i="151"/>
  <c r="BE8" i="72"/>
  <c r="N8" i="100"/>
  <c r="AC11" i="120"/>
  <c r="AN11" i="120"/>
  <c r="AO11" i="120"/>
  <c r="AR8" i="72"/>
  <c r="I8" i="100"/>
  <c r="AM8" i="72"/>
  <c r="AD11" i="115"/>
  <c r="AF11" i="115"/>
  <c r="AC11" i="126"/>
  <c r="AN11" i="126"/>
  <c r="AO11" i="126"/>
  <c r="AT8" i="72"/>
  <c r="P8" i="100"/>
  <c r="AB11" i="149"/>
  <c r="AB11" i="80"/>
  <c r="AC11" i="80"/>
  <c r="AB11" i="152"/>
  <c r="AH8" i="113"/>
  <c r="AI8" i="113"/>
  <c r="G5" i="72"/>
  <c r="AJ8" i="113"/>
  <c r="AC8" i="151"/>
  <c r="AN8" i="151"/>
  <c r="AO8" i="151"/>
  <c r="BE5" i="72"/>
  <c r="AA5" i="100"/>
  <c r="I5" i="100"/>
  <c r="AM5" i="72"/>
  <c r="AC8" i="128"/>
  <c r="AN8" i="128"/>
  <c r="AO8" i="128"/>
  <c r="AV5" i="72"/>
  <c r="R5" i="100"/>
  <c r="AD8" i="128"/>
  <c r="AF8" i="128"/>
  <c r="AH20" i="113"/>
  <c r="AI20" i="113"/>
  <c r="G17" i="72"/>
  <c r="AJ20" i="113"/>
  <c r="W17" i="100"/>
  <c r="AC20" i="146"/>
  <c r="AN20" i="146"/>
  <c r="AO20" i="146"/>
  <c r="BA17" i="72"/>
  <c r="AB17" i="100"/>
  <c r="AC20" i="152"/>
  <c r="AN20" i="152"/>
  <c r="AO20" i="152"/>
  <c r="BF17" i="72"/>
  <c r="AC43" i="148"/>
  <c r="AN43" i="148"/>
  <c r="AO43" i="148"/>
  <c r="BC40" i="72"/>
  <c r="Y40" i="100"/>
  <c r="O40" i="100"/>
  <c r="AC43" i="125"/>
  <c r="AN43" i="125"/>
  <c r="AO43" i="125"/>
  <c r="AS40" i="72"/>
  <c r="AD43" i="76"/>
  <c r="AO43" i="76"/>
  <c r="AP43" i="76"/>
  <c r="BH40" i="72"/>
  <c r="AD40" i="100"/>
  <c r="AE43" i="76"/>
  <c r="AG43" i="76"/>
  <c r="AC43" i="131"/>
  <c r="AN43" i="131"/>
  <c r="AO43" i="131"/>
  <c r="AX40" i="72"/>
  <c r="T40" i="100"/>
  <c r="AC12" i="119"/>
  <c r="AN12" i="119"/>
  <c r="AO12" i="119"/>
  <c r="AQ9" i="72"/>
  <c r="M9" i="100"/>
  <c r="P9" i="100"/>
  <c r="AC12" i="126"/>
  <c r="AN12" i="126"/>
  <c r="AO12" i="126"/>
  <c r="AT9" i="72"/>
  <c r="AL9" i="72"/>
  <c r="H9" i="100"/>
  <c r="AC12" i="116"/>
  <c r="AN12" i="116"/>
  <c r="AO12" i="116"/>
  <c r="AN9" i="72"/>
  <c r="J9" i="100"/>
  <c r="AD12" i="116"/>
  <c r="AF12" i="116"/>
  <c r="AD12" i="80"/>
  <c r="AO12" i="80"/>
  <c r="AP12" i="80"/>
  <c r="BI9" i="72"/>
  <c r="AE9" i="100"/>
  <c r="AE12" i="80"/>
  <c r="AG12" i="80"/>
  <c r="V55" i="100"/>
  <c r="AC58" i="145"/>
  <c r="AN58" i="145"/>
  <c r="AO58" i="145"/>
  <c r="AZ55" i="72"/>
  <c r="AA55" i="100"/>
  <c r="AC58" i="151"/>
  <c r="AN58" i="151"/>
  <c r="AO58" i="151"/>
  <c r="BE55" i="72"/>
  <c r="AC58" i="146"/>
  <c r="AN58" i="146"/>
  <c r="AO58" i="146"/>
  <c r="BA55" i="72"/>
  <c r="W55" i="100"/>
  <c r="AC40" i="151"/>
  <c r="AN40" i="151"/>
  <c r="AO40" i="151"/>
  <c r="BE37" i="72"/>
  <c r="AA37" i="100"/>
  <c r="AC40" i="147"/>
  <c r="AN40" i="147"/>
  <c r="AO40" i="147"/>
  <c r="BB37" i="72"/>
  <c r="X37" i="100"/>
  <c r="AD40" i="147"/>
  <c r="AF40" i="147"/>
  <c r="N37" i="100"/>
  <c r="AC40" i="120"/>
  <c r="AN40" i="120"/>
  <c r="AO40" i="120"/>
  <c r="AR37" i="72"/>
  <c r="Y11" i="100"/>
  <c r="AC14" i="148"/>
  <c r="AN14" i="148"/>
  <c r="AO14" i="148"/>
  <c r="BC11" i="72"/>
  <c r="T11" i="100"/>
  <c r="AC14" i="131"/>
  <c r="AN14" i="131"/>
  <c r="AO14" i="131"/>
  <c r="AX11" i="72"/>
  <c r="AD14" i="131"/>
  <c r="AF14" i="131"/>
  <c r="AD14" i="76"/>
  <c r="AO14" i="76"/>
  <c r="AP14" i="76"/>
  <c r="BH11" i="72"/>
  <c r="AD11" i="100"/>
  <c r="N44" i="100"/>
  <c r="AC47" i="120"/>
  <c r="AN47" i="120"/>
  <c r="AO47" i="120"/>
  <c r="AR44" i="72"/>
  <c r="R44" i="100"/>
  <c r="AC47" i="128"/>
  <c r="AN47" i="128"/>
  <c r="AO47" i="128"/>
  <c r="AV44" i="72"/>
  <c r="AC47" i="146"/>
  <c r="AN47" i="146"/>
  <c r="AO47" i="146"/>
  <c r="BA44" i="72"/>
  <c r="W44" i="100"/>
  <c r="H44" i="100"/>
  <c r="AL44" i="72"/>
  <c r="AC60" i="100"/>
  <c r="AC63" i="153"/>
  <c r="AN63" i="153"/>
  <c r="AO63" i="153"/>
  <c r="BG60" i="72"/>
  <c r="AD63" i="153"/>
  <c r="AF63" i="153"/>
  <c r="AC63" i="118"/>
  <c r="AN63" i="118"/>
  <c r="AO63" i="118"/>
  <c r="AP60" i="72"/>
  <c r="L60" i="100"/>
  <c r="AC63" i="147"/>
  <c r="AN63" i="147"/>
  <c r="AO63" i="147"/>
  <c r="BB60" i="72"/>
  <c r="X60" i="100"/>
  <c r="AD63" i="147"/>
  <c r="AF63" i="147"/>
  <c r="AB48" i="100"/>
  <c r="AC51" i="152"/>
  <c r="AN51" i="152"/>
  <c r="AO51" i="152"/>
  <c r="BF48" i="72"/>
  <c r="AC48" i="100"/>
  <c r="AC51" i="153"/>
  <c r="AN51" i="153"/>
  <c r="AO51" i="153"/>
  <c r="BG48" i="72"/>
  <c r="AC51" i="149"/>
  <c r="AN51" i="149"/>
  <c r="AO51" i="149"/>
  <c r="BD48" i="72"/>
  <c r="Z48" i="100"/>
  <c r="AD51" i="149"/>
  <c r="AF51" i="149"/>
  <c r="AC48" i="129"/>
  <c r="AN48" i="129"/>
  <c r="AO48" i="129"/>
  <c r="AW45" i="72"/>
  <c r="S45" i="100"/>
  <c r="AA45" i="100"/>
  <c r="AC48" i="151"/>
  <c r="AN48" i="151"/>
  <c r="AO48" i="151"/>
  <c r="BE45" i="72"/>
  <c r="N45" i="100"/>
  <c r="AC48" i="120"/>
  <c r="AN48" i="120"/>
  <c r="AO48" i="120"/>
  <c r="AR45" i="72"/>
  <c r="AD48" i="120"/>
  <c r="AF48" i="120"/>
  <c r="T45" i="100"/>
  <c r="AC48" i="131"/>
  <c r="AN48" i="131"/>
  <c r="AO48" i="131"/>
  <c r="AX45" i="72"/>
  <c r="L45" i="100"/>
  <c r="AC48" i="118"/>
  <c r="AN48" i="118"/>
  <c r="AO48" i="118"/>
  <c r="AP45" i="72"/>
  <c r="AA48" i="148"/>
  <c r="AB48" i="148"/>
  <c r="AA48" i="117"/>
  <c r="AB48" i="117"/>
  <c r="J72" i="100"/>
  <c r="AC75" i="116"/>
  <c r="AN75" i="116"/>
  <c r="AO75" i="116"/>
  <c r="AN72" i="72"/>
  <c r="S72" i="100"/>
  <c r="AC75" i="129"/>
  <c r="AN75" i="129"/>
  <c r="AO75" i="129"/>
  <c r="AW72" i="72"/>
  <c r="AD75" i="129"/>
  <c r="AF75" i="129"/>
  <c r="AH29" i="114"/>
  <c r="AI29" i="114"/>
  <c r="H26" i="72"/>
  <c r="AJ29" i="114"/>
  <c r="AH29" i="129"/>
  <c r="AI29" i="129"/>
  <c r="S26" i="72"/>
  <c r="AJ29" i="129"/>
  <c r="AH31" i="146"/>
  <c r="AI31" i="146"/>
  <c r="W28" i="72"/>
  <c r="AJ31" i="146"/>
  <c r="AH22" i="126"/>
  <c r="AI22" i="126"/>
  <c r="P19" i="72"/>
  <c r="AJ22" i="126"/>
  <c r="AC71" i="126"/>
  <c r="AN71" i="126"/>
  <c r="AO71" i="126"/>
  <c r="AT68" i="72"/>
  <c r="AD71" i="126"/>
  <c r="AF71" i="126"/>
  <c r="P68" i="100"/>
  <c r="I68" i="100"/>
  <c r="AM68" i="72"/>
  <c r="AD71" i="115"/>
  <c r="AF71" i="115"/>
  <c r="AL68" i="72"/>
  <c r="H68" i="100"/>
  <c r="AD71" i="114"/>
  <c r="AF71" i="114"/>
  <c r="AD50" i="144"/>
  <c r="AF50" i="144"/>
  <c r="AH70" i="144"/>
  <c r="AI70" i="144"/>
  <c r="U67" i="72"/>
  <c r="AJ70" i="144"/>
  <c r="AD9" i="151"/>
  <c r="AF9" i="151"/>
  <c r="AH53" i="129"/>
  <c r="AI53" i="129"/>
  <c r="S50" i="72"/>
  <c r="AJ53" i="129"/>
  <c r="AH53" i="131"/>
  <c r="AI53" i="131"/>
  <c r="T50" i="72"/>
  <c r="AJ53" i="131"/>
  <c r="AH19" i="127"/>
  <c r="AI19" i="127"/>
  <c r="Q16" i="72"/>
  <c r="AJ19" i="127"/>
  <c r="AH19" i="126"/>
  <c r="AI19" i="126"/>
  <c r="P16" i="72"/>
  <c r="AJ19" i="126"/>
  <c r="AH41" i="129"/>
  <c r="AI41" i="129"/>
  <c r="S38" i="72"/>
  <c r="AJ41" i="129"/>
  <c r="AH13" i="152"/>
  <c r="AI13" i="152"/>
  <c r="AB10" i="72"/>
  <c r="AJ13" i="152"/>
  <c r="AH74" i="148"/>
  <c r="AI74" i="148"/>
  <c r="Y71" i="72"/>
  <c r="AJ74" i="148"/>
  <c r="AH49" i="126"/>
  <c r="AI49" i="126"/>
  <c r="P46" i="72"/>
  <c r="AJ49" i="126"/>
  <c r="AI16" i="80"/>
  <c r="AJ16" i="80"/>
  <c r="AE13" i="72"/>
  <c r="AK16" i="80"/>
  <c r="AH60" i="118"/>
  <c r="AI60" i="118"/>
  <c r="L57" i="72"/>
  <c r="AJ60" i="118"/>
  <c r="AH60" i="147"/>
  <c r="AI60" i="147"/>
  <c r="X57" i="72"/>
  <c r="AJ60" i="147"/>
  <c r="AD18" i="151"/>
  <c r="AF18" i="151"/>
  <c r="AI21" i="80"/>
  <c r="AJ21" i="80"/>
  <c r="AE18" i="72"/>
  <c r="AK21" i="80"/>
  <c r="AH21" i="127"/>
  <c r="AI21" i="127"/>
  <c r="Q18" i="72"/>
  <c r="AJ21" i="127"/>
  <c r="AH66" i="114"/>
  <c r="AI66" i="114"/>
  <c r="H63" i="72"/>
  <c r="AJ66" i="114"/>
  <c r="AI34" i="80"/>
  <c r="AJ34" i="80"/>
  <c r="AE31" i="72"/>
  <c r="AK34" i="80"/>
  <c r="AH34" i="120"/>
  <c r="AI34" i="120"/>
  <c r="N31" i="72"/>
  <c r="AJ34" i="120"/>
  <c r="AH62" i="128"/>
  <c r="AI62" i="128"/>
  <c r="R59" i="72"/>
  <c r="AJ62" i="128"/>
  <c r="AH62" i="119"/>
  <c r="AI62" i="119"/>
  <c r="M59" i="72"/>
  <c r="AJ62" i="119"/>
  <c r="AD24" i="146"/>
  <c r="AF24" i="146"/>
  <c r="AH24" i="131"/>
  <c r="AI24" i="131"/>
  <c r="T21" i="72"/>
  <c r="AJ24" i="131"/>
  <c r="AH39" i="129"/>
  <c r="AI39" i="129"/>
  <c r="S36" i="72"/>
  <c r="AJ39" i="129"/>
  <c r="AH73" i="119"/>
  <c r="AI73" i="119"/>
  <c r="M70" i="72"/>
  <c r="AJ73" i="119"/>
  <c r="AH67" i="151"/>
  <c r="AI67" i="151"/>
  <c r="AA64" i="72"/>
  <c r="AJ67" i="151"/>
  <c r="AH36" i="149"/>
  <c r="AI36" i="149"/>
  <c r="Z33" i="72"/>
  <c r="AJ36" i="149"/>
  <c r="AH28" i="125"/>
  <c r="AI28" i="125"/>
  <c r="O25" i="72"/>
  <c r="AJ28" i="125"/>
  <c r="AC57" i="147"/>
  <c r="AN57" i="147"/>
  <c r="AO57" i="147"/>
  <c r="BB54" i="72"/>
  <c r="X54" i="100"/>
  <c r="AD57" i="147"/>
  <c r="AF57" i="147"/>
  <c r="J54" i="100"/>
  <c r="AC57" i="116"/>
  <c r="AN57" i="116"/>
  <c r="AO57" i="116"/>
  <c r="AN54" i="72"/>
  <c r="AC57" i="129"/>
  <c r="AN57" i="129"/>
  <c r="AO57" i="129"/>
  <c r="AW54" i="72"/>
  <c r="S54" i="100"/>
  <c r="AH10" i="152"/>
  <c r="AI10" i="152"/>
  <c r="AB7" i="72"/>
  <c r="AJ10" i="152"/>
  <c r="AH10" i="129"/>
  <c r="AI10" i="129"/>
  <c r="S7" i="72"/>
  <c r="AJ10" i="129"/>
  <c r="AH61" i="148"/>
  <c r="AI61" i="148"/>
  <c r="Y58" i="72"/>
  <c r="AJ61" i="148"/>
  <c r="AH69" i="119"/>
  <c r="AI69" i="119"/>
  <c r="M66" i="72"/>
  <c r="AJ69" i="119"/>
  <c r="AH54" i="144"/>
  <c r="AI54" i="144"/>
  <c r="U51" i="72"/>
  <c r="AJ54" i="144"/>
  <c r="AI55" i="76"/>
  <c r="AJ55" i="76"/>
  <c r="AD52" i="72"/>
  <c r="AK55" i="76"/>
  <c r="AH46" i="153"/>
  <c r="AI46" i="153"/>
  <c r="AC43" i="72"/>
  <c r="AJ46" i="153"/>
  <c r="AH37" i="113"/>
  <c r="AI37" i="113"/>
  <c r="G34" i="72"/>
  <c r="AJ37" i="113"/>
  <c r="U34" i="100"/>
  <c r="AC37" i="144"/>
  <c r="AN37" i="144"/>
  <c r="AO37" i="144"/>
  <c r="AY34" i="72"/>
  <c r="J34" i="100"/>
  <c r="AC37" i="116"/>
  <c r="AN37" i="116"/>
  <c r="AO37" i="116"/>
  <c r="AN34" i="72"/>
  <c r="AC37" i="117"/>
  <c r="AN37" i="117"/>
  <c r="AO37" i="117"/>
  <c r="AO34" i="72"/>
  <c r="K34" i="100"/>
  <c r="AD37" i="117"/>
  <c r="AF37" i="117"/>
  <c r="AB22" i="100"/>
  <c r="AC25" i="152"/>
  <c r="AN25" i="152"/>
  <c r="AO25" i="152"/>
  <c r="BF22" i="72"/>
  <c r="AA22" i="100"/>
  <c r="AC25" i="151"/>
  <c r="AN25" i="151"/>
  <c r="AO25" i="151"/>
  <c r="BE22" i="72"/>
  <c r="AH15" i="113"/>
  <c r="AI15" i="113"/>
  <c r="G12" i="72"/>
  <c r="AJ15" i="113"/>
  <c r="R12" i="100"/>
  <c r="AC15" i="128"/>
  <c r="AN15" i="128"/>
  <c r="AO15" i="128"/>
  <c r="AV12" i="72"/>
  <c r="AL12" i="72"/>
  <c r="H12" i="100"/>
  <c r="AC15" i="129"/>
  <c r="AN15" i="129"/>
  <c r="AO15" i="129"/>
  <c r="AW12" i="72"/>
  <c r="S12" i="100"/>
  <c r="AB69" i="100"/>
  <c r="AC72" i="152"/>
  <c r="AN72" i="152"/>
  <c r="AO72" i="152"/>
  <c r="BF69" i="72"/>
  <c r="W69" i="100"/>
  <c r="AC72" i="146"/>
  <c r="AN72" i="146"/>
  <c r="AO72" i="146"/>
  <c r="BA69" i="72"/>
  <c r="AC72" i="126"/>
  <c r="AN72" i="126"/>
  <c r="AO72" i="126"/>
  <c r="AT69" i="72"/>
  <c r="P69" i="100"/>
  <c r="AC33" i="129"/>
  <c r="AN33" i="129"/>
  <c r="AO33" i="129"/>
  <c r="AW30" i="72"/>
  <c r="S30" i="100"/>
  <c r="AD33" i="129"/>
  <c r="AF33" i="129"/>
  <c r="AA30" i="100"/>
  <c r="AC33" i="151"/>
  <c r="AN33" i="151"/>
  <c r="AO33" i="151"/>
  <c r="BE30" i="72"/>
  <c r="AH29" i="118"/>
  <c r="AI29" i="118"/>
  <c r="L26" i="72"/>
  <c r="AJ29" i="118"/>
  <c r="AI31" i="76"/>
  <c r="AJ31" i="76"/>
  <c r="AD28" i="72"/>
  <c r="AK31" i="76"/>
  <c r="AH22" i="116"/>
  <c r="AI22" i="116"/>
  <c r="J19" i="72"/>
  <c r="AJ22" i="116"/>
  <c r="AG19" i="100"/>
  <c r="AH22" i="113"/>
  <c r="AI22" i="113"/>
  <c r="G19" i="72"/>
  <c r="AJ22" i="113"/>
  <c r="AH64" i="131"/>
  <c r="AI64" i="131"/>
  <c r="T61" i="72"/>
  <c r="AJ64" i="131"/>
  <c r="AC35" i="125"/>
  <c r="AN35" i="125"/>
  <c r="AO35" i="125"/>
  <c r="AS32" i="72"/>
  <c r="O32" i="100"/>
  <c r="AC35" i="153"/>
  <c r="AN35" i="153"/>
  <c r="AO35" i="153"/>
  <c r="BG32" i="72"/>
  <c r="AC32" i="100"/>
  <c r="AD35" i="153"/>
  <c r="AF35" i="153"/>
  <c r="M32" i="100"/>
  <c r="AC35" i="119"/>
  <c r="AN35" i="119"/>
  <c r="AO35" i="119"/>
  <c r="AQ32" i="72"/>
  <c r="AH30" i="116"/>
  <c r="AI30" i="116"/>
  <c r="J27" i="72"/>
  <c r="AJ30" i="116"/>
  <c r="AH50" i="131"/>
  <c r="AI50" i="131"/>
  <c r="T47" i="72"/>
  <c r="AJ50" i="131"/>
  <c r="AI70" i="80"/>
  <c r="AJ70" i="80"/>
  <c r="AE67" i="72"/>
  <c r="AK70" i="80"/>
  <c r="AH56" i="129"/>
  <c r="AI56" i="129"/>
  <c r="S53" i="72"/>
  <c r="AJ56" i="129"/>
  <c r="AH9" i="117"/>
  <c r="AI9" i="117"/>
  <c r="K6" i="72"/>
  <c r="AJ9" i="117"/>
  <c r="AH45" i="131"/>
  <c r="AI45" i="131"/>
  <c r="T42" i="72"/>
  <c r="AJ45" i="131"/>
  <c r="AH45" i="127"/>
  <c r="AI45" i="127"/>
  <c r="Q42" i="72"/>
  <c r="AJ45" i="127"/>
  <c r="AH53" i="146"/>
  <c r="AI53" i="146"/>
  <c r="W50" i="72"/>
  <c r="AJ53" i="146"/>
  <c r="AH53" i="120"/>
  <c r="AI53" i="120"/>
  <c r="N50" i="72"/>
  <c r="AJ53" i="120"/>
  <c r="AF50" i="100"/>
  <c r="AH19" i="120"/>
  <c r="AI19" i="120"/>
  <c r="N16" i="72"/>
  <c r="AJ19" i="120"/>
  <c r="AH13" i="118"/>
  <c r="AI13" i="118"/>
  <c r="L10" i="72"/>
  <c r="AJ13" i="118"/>
  <c r="AH74" i="127"/>
  <c r="AI74" i="127"/>
  <c r="Q71" i="72"/>
  <c r="AJ74" i="127"/>
  <c r="AH49" i="146"/>
  <c r="AI49" i="146"/>
  <c r="W46" i="72"/>
  <c r="AJ49" i="146"/>
  <c r="AH16" i="116"/>
  <c r="AI16" i="116"/>
  <c r="J13" i="72"/>
  <c r="AJ16" i="116"/>
  <c r="AH60" i="153"/>
  <c r="AI60" i="153"/>
  <c r="AC57" i="72"/>
  <c r="AJ60" i="153"/>
  <c r="AH68" i="152"/>
  <c r="AI68" i="152"/>
  <c r="AB65" i="72"/>
  <c r="AJ68" i="152"/>
  <c r="AH18" i="146"/>
  <c r="AI18" i="146"/>
  <c r="W15" i="72"/>
  <c r="AJ18" i="146"/>
  <c r="AH18" i="149"/>
  <c r="AI18" i="149"/>
  <c r="Z15" i="72"/>
  <c r="AJ18" i="149"/>
  <c r="AH18" i="118"/>
  <c r="AI18" i="118"/>
  <c r="L15" i="72"/>
  <c r="AJ18" i="118"/>
  <c r="AH21" i="128"/>
  <c r="AI21" i="128"/>
  <c r="R18" i="72"/>
  <c r="AJ21" i="128"/>
  <c r="AH21" i="151"/>
  <c r="AI21" i="151"/>
  <c r="AA18" i="72"/>
  <c r="AJ21" i="151"/>
  <c r="AH66" i="115"/>
  <c r="AI66" i="115"/>
  <c r="I63" i="72"/>
  <c r="AJ66" i="115"/>
  <c r="AH66" i="147"/>
  <c r="AI66" i="147"/>
  <c r="X63" i="72"/>
  <c r="AJ66" i="147"/>
  <c r="AC44" i="120"/>
  <c r="AN44" i="120"/>
  <c r="AO44" i="120"/>
  <c r="AR41" i="72"/>
  <c r="N41" i="100"/>
  <c r="H41" i="100"/>
  <c r="AL41" i="72"/>
  <c r="V41" i="100"/>
  <c r="AC44" i="145"/>
  <c r="AN44" i="145"/>
  <c r="AO44" i="145"/>
  <c r="AZ41" i="72"/>
  <c r="AH34" i="126"/>
  <c r="AI34" i="126"/>
  <c r="P31" i="72"/>
  <c r="AJ34" i="126"/>
  <c r="AI62" i="76"/>
  <c r="AJ62" i="76"/>
  <c r="AD59" i="72"/>
  <c r="AK62" i="76"/>
  <c r="AH39" i="149"/>
  <c r="AI39" i="149"/>
  <c r="Z36" i="72"/>
  <c r="AJ39" i="149"/>
  <c r="AH39" i="126"/>
  <c r="AI39" i="126"/>
  <c r="P36" i="72"/>
  <c r="AJ39" i="126"/>
  <c r="AI73" i="80"/>
  <c r="AJ73" i="80"/>
  <c r="AE70" i="72"/>
  <c r="AK73" i="80"/>
  <c r="AH73" i="116"/>
  <c r="AI73" i="116"/>
  <c r="J70" i="72"/>
  <c r="AJ73" i="116"/>
  <c r="AH32" i="152"/>
  <c r="AI32" i="152"/>
  <c r="AB29" i="72"/>
  <c r="AJ32" i="152"/>
  <c r="AH32" i="119"/>
  <c r="AI32" i="119"/>
  <c r="M29" i="72"/>
  <c r="AJ32" i="119"/>
  <c r="AH59" i="128"/>
  <c r="AI59" i="128"/>
  <c r="R56" i="72"/>
  <c r="AJ59" i="128"/>
  <c r="AH67" i="152"/>
  <c r="AI67" i="152"/>
  <c r="AB64" i="72"/>
  <c r="AJ67" i="152"/>
  <c r="AH67" i="117"/>
  <c r="AI67" i="117"/>
  <c r="K64" i="72"/>
  <c r="AJ67" i="117"/>
  <c r="AD36" i="128"/>
  <c r="AF36" i="128"/>
  <c r="AD28" i="131"/>
  <c r="AF28" i="131"/>
  <c r="AH28" i="127"/>
  <c r="AI28" i="127"/>
  <c r="Q25" i="72"/>
  <c r="AJ28" i="127"/>
  <c r="AI26" i="80"/>
  <c r="AJ26" i="80"/>
  <c r="AE23" i="72"/>
  <c r="AK26" i="80"/>
  <c r="AC42" i="128"/>
  <c r="AN42" i="128"/>
  <c r="AO42" i="128"/>
  <c r="AV39" i="72"/>
  <c r="R39" i="100"/>
  <c r="AD42" i="128"/>
  <c r="AF42" i="128"/>
  <c r="Q39" i="100"/>
  <c r="AC42" i="127"/>
  <c r="AN42" i="127"/>
  <c r="AO42" i="127"/>
  <c r="AU39" i="72"/>
  <c r="AC42" i="116"/>
  <c r="AN42" i="116"/>
  <c r="AO42" i="116"/>
  <c r="AN39" i="72"/>
  <c r="J39" i="100"/>
  <c r="AD42" i="116"/>
  <c r="AF42" i="116"/>
  <c r="AC42" i="129"/>
  <c r="AN42" i="129"/>
  <c r="AO42" i="129"/>
  <c r="AW39" i="72"/>
  <c r="S39" i="100"/>
  <c r="AD65" i="146"/>
  <c r="AF65" i="146"/>
  <c r="AD65" i="125"/>
  <c r="AF65" i="125"/>
  <c r="AI65" i="76"/>
  <c r="AJ65" i="76"/>
  <c r="AD62" i="72"/>
  <c r="AK65" i="76"/>
  <c r="AH17" i="126"/>
  <c r="AI17" i="126"/>
  <c r="P14" i="72"/>
  <c r="AJ17" i="126"/>
  <c r="AH27" i="148"/>
  <c r="AI27" i="148"/>
  <c r="Y24" i="72"/>
  <c r="AJ27" i="148"/>
  <c r="AH69" i="117"/>
  <c r="AI69" i="117"/>
  <c r="K66" i="72"/>
  <c r="AJ69" i="117"/>
  <c r="AD54" i="153"/>
  <c r="AF54" i="153"/>
  <c r="AH54" i="131"/>
  <c r="AI54" i="131"/>
  <c r="T51" i="72"/>
  <c r="AJ54" i="131"/>
  <c r="AH55" i="117"/>
  <c r="AI55" i="117"/>
  <c r="K52" i="72"/>
  <c r="AJ55" i="117"/>
  <c r="AD46" i="151"/>
  <c r="AF46" i="151"/>
  <c r="AD46" i="128"/>
  <c r="AF46" i="128"/>
  <c r="AD46" i="146"/>
  <c r="AF46" i="146"/>
  <c r="AC38" i="148"/>
  <c r="AN38" i="148"/>
  <c r="AO38" i="148"/>
  <c r="BC35" i="72"/>
  <c r="Y35" i="100"/>
  <c r="AD38" i="148"/>
  <c r="AF38" i="148"/>
  <c r="AC38" i="128"/>
  <c r="AN38" i="128"/>
  <c r="AO38" i="128"/>
  <c r="AV35" i="72"/>
  <c r="R35" i="100"/>
  <c r="T35" i="100"/>
  <c r="AC38" i="131"/>
  <c r="AN38" i="131"/>
  <c r="AO38" i="131"/>
  <c r="AX35" i="72"/>
  <c r="X20" i="100"/>
  <c r="AC23" i="147"/>
  <c r="AD23" i="147"/>
  <c r="AF23" i="147"/>
  <c r="AN23" i="147"/>
  <c r="AO23" i="147"/>
  <c r="BB20" i="72"/>
  <c r="AC23" i="129"/>
  <c r="AN23" i="129"/>
  <c r="AO23" i="129"/>
  <c r="AW20" i="72"/>
  <c r="S20" i="100"/>
  <c r="AC52" i="126"/>
  <c r="AN52" i="126"/>
  <c r="AO52" i="126"/>
  <c r="AT49" i="72"/>
  <c r="P49" i="100"/>
  <c r="V49" i="100"/>
  <c r="AC52" i="145"/>
  <c r="AN52" i="145"/>
  <c r="AO52" i="145"/>
  <c r="AZ49" i="72"/>
  <c r="AD52" i="145"/>
  <c r="AF52" i="145"/>
  <c r="AC8" i="144"/>
  <c r="AN8" i="144"/>
  <c r="AO8" i="144"/>
  <c r="AY5" i="72"/>
  <c r="AD8" i="144"/>
  <c r="AF8" i="144"/>
  <c r="U5" i="100"/>
  <c r="Z5" i="100"/>
  <c r="AC8" i="149"/>
  <c r="AN8" i="149"/>
  <c r="AO8" i="149"/>
  <c r="BD5" i="72"/>
  <c r="AD8" i="149"/>
  <c r="AF8" i="149"/>
  <c r="AC20" i="117"/>
  <c r="AN20" i="117"/>
  <c r="AO20" i="117"/>
  <c r="AO17" i="72"/>
  <c r="K17" i="100"/>
  <c r="AD17" i="100"/>
  <c r="AD20" i="76"/>
  <c r="AO20" i="76"/>
  <c r="AP20" i="76"/>
  <c r="BH17" i="72"/>
  <c r="AE20" i="76"/>
  <c r="AG20" i="76"/>
  <c r="AC43" i="129"/>
  <c r="AN43" i="129"/>
  <c r="AO43" i="129"/>
  <c r="AW40" i="72"/>
  <c r="S40" i="100"/>
  <c r="AD43" i="129"/>
  <c r="AF43" i="129"/>
  <c r="U40" i="100"/>
  <c r="AC43" i="144"/>
  <c r="AN43" i="144"/>
  <c r="AO43" i="144"/>
  <c r="AY40" i="72"/>
  <c r="AD43" i="144"/>
  <c r="AF43" i="144"/>
  <c r="W40" i="100"/>
  <c r="AC43" i="146"/>
  <c r="AN43" i="146"/>
  <c r="AO43" i="146"/>
  <c r="BA40" i="72"/>
  <c r="AD9" i="100"/>
  <c r="AD12" i="76"/>
  <c r="AO12" i="76"/>
  <c r="AP12" i="76"/>
  <c r="BH9" i="72"/>
  <c r="AC12" i="128"/>
  <c r="AN12" i="128"/>
  <c r="AO12" i="128"/>
  <c r="AV9" i="72"/>
  <c r="R9" i="100"/>
  <c r="L9" i="100"/>
  <c r="AC12" i="118"/>
  <c r="AN12" i="118"/>
  <c r="AO12" i="118"/>
  <c r="AP9" i="72"/>
  <c r="X55" i="100"/>
  <c r="AC58" i="147"/>
  <c r="AN58" i="147"/>
  <c r="AO58" i="147"/>
  <c r="BB55" i="72"/>
  <c r="AD58" i="76"/>
  <c r="AO58" i="76"/>
  <c r="AP58" i="76"/>
  <c r="BH55" i="72"/>
  <c r="AD55" i="100"/>
  <c r="H55" i="100"/>
  <c r="AL55" i="72"/>
  <c r="AC40" i="145"/>
  <c r="AN40" i="145"/>
  <c r="AO40" i="145"/>
  <c r="AZ37" i="72"/>
  <c r="V37" i="100"/>
  <c r="AC40" i="127"/>
  <c r="AN40" i="127"/>
  <c r="AO40" i="127"/>
  <c r="AU37" i="72"/>
  <c r="Q37" i="100"/>
  <c r="AE37" i="100"/>
  <c r="AD40" i="80"/>
  <c r="AO40" i="80"/>
  <c r="AP40" i="80"/>
  <c r="BI37" i="72"/>
  <c r="AM37" i="72"/>
  <c r="I37" i="100"/>
  <c r="AD14" i="113"/>
  <c r="AF14" i="113"/>
  <c r="K11" i="100"/>
  <c r="AC14" i="117"/>
  <c r="AN14" i="117"/>
  <c r="AO14" i="117"/>
  <c r="AO11" i="72"/>
  <c r="L11" i="100"/>
  <c r="AC14" i="118"/>
  <c r="AN14" i="118"/>
  <c r="AO14" i="118"/>
  <c r="AP11" i="72"/>
  <c r="AD14" i="118"/>
  <c r="AF14" i="118"/>
  <c r="W11" i="100"/>
  <c r="AC14" i="146"/>
  <c r="AN14" i="146"/>
  <c r="AO14" i="146"/>
  <c r="BA11" i="72"/>
  <c r="AE44" i="100"/>
  <c r="AD47" i="80"/>
  <c r="AO47" i="80"/>
  <c r="AP47" i="80"/>
  <c r="BI44" i="72"/>
  <c r="AC47" i="117"/>
  <c r="AN47" i="117"/>
  <c r="AO47" i="117"/>
  <c r="AO44" i="72"/>
  <c r="K44" i="100"/>
  <c r="J60" i="100"/>
  <c r="AC63" i="116"/>
  <c r="AN63" i="116"/>
  <c r="AO63" i="116"/>
  <c r="AN60" i="72"/>
  <c r="I60" i="100"/>
  <c r="AM60" i="72"/>
  <c r="AC63" i="144"/>
  <c r="AN63" i="144"/>
  <c r="AO63" i="144"/>
  <c r="AY60" i="72"/>
  <c r="U60" i="100"/>
  <c r="AD63" i="144"/>
  <c r="AF63" i="144"/>
  <c r="K60" i="100"/>
  <c r="AC63" i="117"/>
  <c r="AN63" i="117"/>
  <c r="AO63" i="117"/>
  <c r="AO60" i="72"/>
  <c r="AE48" i="100"/>
  <c r="AD51" i="80"/>
  <c r="AO51" i="80"/>
  <c r="AP51" i="80"/>
  <c r="BI48" i="72"/>
  <c r="L48" i="100"/>
  <c r="AC51" i="118"/>
  <c r="AN51" i="118"/>
  <c r="AO51" i="118"/>
  <c r="AP48" i="72"/>
  <c r="I48" i="100"/>
  <c r="AM48" i="72"/>
  <c r="AD51" i="115"/>
  <c r="AF51" i="115"/>
  <c r="Z72" i="100"/>
  <c r="AC75" i="149"/>
  <c r="AN75" i="149"/>
  <c r="AO75" i="149"/>
  <c r="BD72" i="72"/>
  <c r="H72" i="100"/>
  <c r="AL72" i="72"/>
  <c r="AC75" i="144"/>
  <c r="AN75" i="144"/>
  <c r="AO75" i="144"/>
  <c r="AY72" i="72"/>
  <c r="U72" i="100"/>
  <c r="AH29" i="152"/>
  <c r="AI29" i="152"/>
  <c r="AB26" i="72"/>
  <c r="AJ29" i="152"/>
  <c r="AD31" i="114"/>
  <c r="AF31" i="114"/>
  <c r="AD31" i="151"/>
  <c r="AF31" i="151"/>
  <c r="AD22" i="152"/>
  <c r="AF22" i="152"/>
  <c r="AD22" i="147"/>
  <c r="AF22" i="147"/>
  <c r="AD64" i="115"/>
  <c r="AF64" i="115"/>
  <c r="AD30" i="131"/>
  <c r="AF30" i="131"/>
  <c r="AD30" i="120"/>
  <c r="AF30" i="120"/>
  <c r="AC71" i="152"/>
  <c r="AN71" i="152"/>
  <c r="AO71" i="152"/>
  <c r="BF68" i="72"/>
  <c r="AB68" i="100"/>
  <c r="AD50" i="152"/>
  <c r="AF50" i="152"/>
  <c r="AG47" i="100"/>
  <c r="AF47" i="100"/>
  <c r="AE70" i="76"/>
  <c r="AG70" i="76"/>
  <c r="AD70" i="125"/>
  <c r="AF70" i="125"/>
  <c r="AF53" i="100"/>
  <c r="AG53" i="100"/>
  <c r="AI56" i="80"/>
  <c r="AJ56" i="80"/>
  <c r="AE53" i="72"/>
  <c r="AK56" i="80"/>
  <c r="AH56" i="117"/>
  <c r="AI56" i="117"/>
  <c r="K53" i="72"/>
  <c r="AJ56" i="117"/>
  <c r="AH9" i="128"/>
  <c r="AI9" i="128"/>
  <c r="R6" i="72"/>
  <c r="AJ9" i="128"/>
  <c r="AH45" i="129"/>
  <c r="AI45" i="129"/>
  <c r="S42" i="72"/>
  <c r="AJ45" i="129"/>
  <c r="AD53" i="145"/>
  <c r="AF53" i="145"/>
  <c r="AH19" i="149"/>
  <c r="AI19" i="149"/>
  <c r="Z16" i="72"/>
  <c r="AJ19" i="149"/>
  <c r="AD41" i="149"/>
  <c r="AF41" i="149"/>
  <c r="AH41" i="114"/>
  <c r="AI41" i="114"/>
  <c r="H38" i="72"/>
  <c r="AJ41" i="114"/>
  <c r="AD13" i="151"/>
  <c r="AF13" i="151"/>
  <c r="AH74" i="119"/>
  <c r="AI74" i="119"/>
  <c r="M71" i="72"/>
  <c r="AJ74" i="119"/>
  <c r="AD49" i="120"/>
  <c r="AF49" i="120"/>
  <c r="AI16" i="76"/>
  <c r="AJ16" i="76"/>
  <c r="AD13" i="72"/>
  <c r="AK16" i="76"/>
  <c r="AH16" i="114"/>
  <c r="AI16" i="114"/>
  <c r="H13" i="72"/>
  <c r="AJ16" i="114"/>
  <c r="AD16" i="127"/>
  <c r="AF16" i="127"/>
  <c r="AD60" i="120"/>
  <c r="AF60" i="120"/>
  <c r="AH68" i="115"/>
  <c r="AI68" i="115"/>
  <c r="I65" i="72"/>
  <c r="AJ68" i="115"/>
  <c r="AD18" i="147"/>
  <c r="AF18" i="147"/>
  <c r="AD18" i="116"/>
  <c r="AF18" i="116"/>
  <c r="AH18" i="144"/>
  <c r="AI18" i="144"/>
  <c r="U15" i="72"/>
  <c r="AJ18" i="144"/>
  <c r="AH21" i="129"/>
  <c r="AI21" i="129"/>
  <c r="S18" i="72"/>
  <c r="AJ21" i="129"/>
  <c r="AH21" i="116"/>
  <c r="AI21" i="116"/>
  <c r="J18" i="72"/>
  <c r="AJ21" i="116"/>
  <c r="AH34" i="153"/>
  <c r="AI34" i="153"/>
  <c r="AC31" i="72"/>
  <c r="AJ34" i="153"/>
  <c r="AD62" i="114"/>
  <c r="AF62" i="114"/>
  <c r="AH24" i="119"/>
  <c r="AI24" i="119"/>
  <c r="M21" i="72"/>
  <c r="AJ24" i="119"/>
  <c r="AH39" i="144"/>
  <c r="AI39" i="144"/>
  <c r="U36" i="72"/>
  <c r="AJ39" i="144"/>
  <c r="AH39" i="148"/>
  <c r="AI39" i="148"/>
  <c r="Y36" i="72"/>
  <c r="AJ39" i="148"/>
  <c r="AH73" i="144"/>
  <c r="AI73" i="144"/>
  <c r="U70" i="72"/>
  <c r="AJ73" i="144"/>
  <c r="AH32" i="114"/>
  <c r="AI32" i="114"/>
  <c r="H29" i="72"/>
  <c r="AJ32" i="114"/>
  <c r="AH32" i="129"/>
  <c r="AI32" i="129"/>
  <c r="S29" i="72"/>
  <c r="AJ32" i="129"/>
  <c r="AH32" i="120"/>
  <c r="AI32" i="120"/>
  <c r="N29" i="72"/>
  <c r="AJ32" i="120"/>
  <c r="AH59" i="117"/>
  <c r="AI59" i="117"/>
  <c r="K56" i="72"/>
  <c r="AJ59" i="117"/>
  <c r="AH67" i="149"/>
  <c r="AI67" i="149"/>
  <c r="Z64" i="72"/>
  <c r="AJ67" i="149"/>
  <c r="AH67" i="119"/>
  <c r="AI67" i="119"/>
  <c r="M64" i="72"/>
  <c r="AJ67" i="119"/>
  <c r="AH67" i="116"/>
  <c r="AI67" i="116"/>
  <c r="J64" i="72"/>
  <c r="AJ67" i="116"/>
  <c r="AH36" i="145"/>
  <c r="AI36" i="145"/>
  <c r="V33" i="72"/>
  <c r="AJ36" i="145"/>
  <c r="AH36" i="152"/>
  <c r="AI36" i="152"/>
  <c r="AB33" i="72"/>
  <c r="AJ36" i="152"/>
  <c r="AC57" i="144"/>
  <c r="AN57" i="144"/>
  <c r="AO57" i="144"/>
  <c r="AY54" i="72"/>
  <c r="U54" i="100"/>
  <c r="AD57" i="144"/>
  <c r="AF57" i="144"/>
  <c r="P54" i="100"/>
  <c r="AC57" i="126"/>
  <c r="AN57" i="126"/>
  <c r="AO57" i="126"/>
  <c r="AT54" i="72"/>
  <c r="AH26" i="147"/>
  <c r="AI26" i="147"/>
  <c r="X23" i="72"/>
  <c r="AJ26" i="147"/>
  <c r="AD65" i="144"/>
  <c r="AF65" i="144"/>
  <c r="AD65" i="119"/>
  <c r="AF65" i="119"/>
  <c r="AI17" i="80"/>
  <c r="AJ17" i="80"/>
  <c r="AE14" i="72"/>
  <c r="AK17" i="80"/>
  <c r="AG14" i="100"/>
  <c r="AF14" i="100"/>
  <c r="AH17" i="117"/>
  <c r="AI17" i="117"/>
  <c r="K14" i="72"/>
  <c r="AJ17" i="117"/>
  <c r="AD61" i="149"/>
  <c r="AF61" i="149"/>
  <c r="AD27" i="152"/>
  <c r="AF27" i="152"/>
  <c r="AH69" i="145"/>
  <c r="AI69" i="145"/>
  <c r="V66" i="72"/>
  <c r="AJ69" i="145"/>
  <c r="AH54" i="117"/>
  <c r="AI54" i="117"/>
  <c r="K51" i="72"/>
  <c r="AJ54" i="117"/>
  <c r="AH54" i="145"/>
  <c r="AI54" i="145"/>
  <c r="V51" i="72"/>
  <c r="AJ54" i="145"/>
  <c r="AH55" i="120"/>
  <c r="AI55" i="120"/>
  <c r="N52" i="72"/>
  <c r="AJ55" i="120"/>
  <c r="AH55" i="131"/>
  <c r="AI55" i="131"/>
  <c r="T52" i="72"/>
  <c r="AJ55" i="131"/>
  <c r="AD46" i="149"/>
  <c r="AF46" i="149"/>
  <c r="AC37" i="126"/>
  <c r="AN37" i="126"/>
  <c r="AO37" i="126"/>
  <c r="AT34" i="72"/>
  <c r="P34" i="100"/>
  <c r="AB34" i="100"/>
  <c r="AC37" i="152"/>
  <c r="AN37" i="152"/>
  <c r="AO37" i="152"/>
  <c r="BF34" i="72"/>
  <c r="AD37" i="152"/>
  <c r="AF37" i="152"/>
  <c r="AC37" i="129"/>
  <c r="AN37" i="129"/>
  <c r="AO37" i="129"/>
  <c r="AW34" i="72"/>
  <c r="AD37" i="129"/>
  <c r="AF37" i="129"/>
  <c r="S34" i="100"/>
  <c r="AC37" i="145"/>
  <c r="AN37" i="145"/>
  <c r="AO37" i="145"/>
  <c r="AZ34" i="72"/>
  <c r="V34" i="100"/>
  <c r="AD37" i="145"/>
  <c r="AF37" i="145"/>
  <c r="AC25" i="129"/>
  <c r="AN25" i="129"/>
  <c r="AO25" i="129"/>
  <c r="AW22" i="72"/>
  <c r="AD25" i="129"/>
  <c r="AF25" i="129"/>
  <c r="S22" i="100"/>
  <c r="T22" i="100"/>
  <c r="AC25" i="131"/>
  <c r="AN25" i="131"/>
  <c r="AO25" i="131"/>
  <c r="AX22" i="72"/>
  <c r="AD25" i="131"/>
  <c r="AF25" i="131"/>
  <c r="Y22" i="100"/>
  <c r="AC25" i="148"/>
  <c r="AD25" i="148"/>
  <c r="AF25" i="148"/>
  <c r="AN25" i="148"/>
  <c r="AO25" i="148"/>
  <c r="BC22" i="72"/>
  <c r="AC15" i="144"/>
  <c r="AN15" i="144"/>
  <c r="AO15" i="144"/>
  <c r="AY12" i="72"/>
  <c r="U12" i="100"/>
  <c r="N12" i="100"/>
  <c r="AC15" i="120"/>
  <c r="AN15" i="120"/>
  <c r="AO15" i="120"/>
  <c r="AR12" i="72"/>
  <c r="P12" i="100"/>
  <c r="AC15" i="126"/>
  <c r="AN15" i="126"/>
  <c r="AO15" i="126"/>
  <c r="AT12" i="72"/>
  <c r="AC15" i="131"/>
  <c r="AN15" i="131"/>
  <c r="AO15" i="131"/>
  <c r="AX12" i="72"/>
  <c r="T12" i="100"/>
  <c r="AH72" i="113"/>
  <c r="AI72" i="113"/>
  <c r="G69" i="72"/>
  <c r="AJ72" i="113"/>
  <c r="R69" i="100"/>
  <c r="AC72" i="128"/>
  <c r="AN72" i="128"/>
  <c r="AO72" i="128"/>
  <c r="AV69" i="72"/>
  <c r="AC72" i="116"/>
  <c r="AN72" i="116"/>
  <c r="AO72" i="116"/>
  <c r="AN69" i="72"/>
  <c r="J69" i="100"/>
  <c r="AM30" i="72"/>
  <c r="I30" i="100"/>
  <c r="H30" i="100"/>
  <c r="AL30" i="72"/>
  <c r="AC33" i="147"/>
  <c r="AN33" i="147"/>
  <c r="AO33" i="147"/>
  <c r="BB30" i="72"/>
  <c r="X30" i="100"/>
  <c r="AI8" i="76"/>
  <c r="AJ8" i="76"/>
  <c r="AD5" i="72"/>
  <c r="AK8" i="76"/>
  <c r="AH43" i="118"/>
  <c r="AI43" i="118"/>
  <c r="L40" i="72"/>
  <c r="AJ43" i="118"/>
  <c r="AH43" i="115"/>
  <c r="AI43" i="115"/>
  <c r="I40" i="72"/>
  <c r="AJ43" i="115"/>
  <c r="AH12" i="115"/>
  <c r="AI12" i="115"/>
  <c r="I9" i="72"/>
  <c r="AJ12" i="115"/>
  <c r="AC55" i="100"/>
  <c r="AC58" i="153"/>
  <c r="AN58" i="153"/>
  <c r="AO58" i="153"/>
  <c r="BG55" i="72"/>
  <c r="AD58" i="129"/>
  <c r="AF58" i="129"/>
  <c r="AI40" i="76"/>
  <c r="AJ40" i="76"/>
  <c r="AD37" i="72"/>
  <c r="AK40" i="76"/>
  <c r="AH40" i="152"/>
  <c r="AI40" i="152"/>
  <c r="AB37" i="72"/>
  <c r="AJ40" i="152"/>
  <c r="AH40" i="129"/>
  <c r="AI40" i="129"/>
  <c r="S37" i="72"/>
  <c r="AJ40" i="129"/>
  <c r="AI14" i="80"/>
  <c r="AJ14" i="80"/>
  <c r="AE11" i="72"/>
  <c r="AK14" i="80"/>
  <c r="AI47" i="76"/>
  <c r="AJ47" i="76"/>
  <c r="AD44" i="72"/>
  <c r="AK47" i="76"/>
  <c r="AH47" i="115"/>
  <c r="AI47" i="115"/>
  <c r="I44" i="72"/>
  <c r="AJ47" i="115"/>
  <c r="AH63" i="128"/>
  <c r="AI63" i="128"/>
  <c r="R60" i="72"/>
  <c r="AJ63" i="128"/>
  <c r="AC51" i="145"/>
  <c r="AN51" i="145"/>
  <c r="AO51" i="145"/>
  <c r="AZ48" i="72"/>
  <c r="V48" i="100"/>
  <c r="AD51" i="145"/>
  <c r="AF51" i="145"/>
  <c r="AI51" i="76"/>
  <c r="AJ51" i="76"/>
  <c r="AD48" i="72"/>
  <c r="AK51" i="76"/>
  <c r="AI75" i="76"/>
  <c r="AJ75" i="76"/>
  <c r="AD72" i="72"/>
  <c r="AK75" i="76"/>
  <c r="AH29" i="151"/>
  <c r="AI29" i="151"/>
  <c r="AA26" i="72"/>
  <c r="AJ29" i="151"/>
  <c r="AH31" i="116"/>
  <c r="AI31" i="116"/>
  <c r="J28" i="72"/>
  <c r="AJ31" i="116"/>
  <c r="AH50" i="117"/>
  <c r="AI50" i="117"/>
  <c r="K47" i="72"/>
  <c r="AJ50" i="117"/>
  <c r="AH70" i="131"/>
  <c r="AI70" i="131"/>
  <c r="T67" i="72"/>
  <c r="AJ70" i="131"/>
  <c r="AH70" i="119"/>
  <c r="AI70" i="119"/>
  <c r="M67" i="72"/>
  <c r="AJ70" i="119"/>
  <c r="AH56" i="127"/>
  <c r="AI56" i="127"/>
  <c r="Q53" i="72"/>
  <c r="AJ56" i="127"/>
  <c r="AH45" i="149"/>
  <c r="AI45" i="149"/>
  <c r="Z42" i="72"/>
  <c r="AJ45" i="149"/>
  <c r="AI53" i="80"/>
  <c r="AJ53" i="80"/>
  <c r="AE50" i="72"/>
  <c r="AK53" i="80"/>
  <c r="AH53" i="126"/>
  <c r="AI53" i="126"/>
  <c r="P50" i="72"/>
  <c r="AJ53" i="126"/>
  <c r="AI41" i="76"/>
  <c r="AJ41" i="76"/>
  <c r="AD38" i="72"/>
  <c r="AK41" i="76"/>
  <c r="AH41" i="128"/>
  <c r="AI41" i="128"/>
  <c r="R38" i="72"/>
  <c r="AJ41" i="128"/>
  <c r="AH16" i="118"/>
  <c r="AI16" i="118"/>
  <c r="L13" i="72"/>
  <c r="AJ16" i="118"/>
  <c r="AH68" i="116"/>
  <c r="AI68" i="116"/>
  <c r="J65" i="72"/>
  <c r="AJ68" i="116"/>
  <c r="AH21" i="118"/>
  <c r="AI21" i="118"/>
  <c r="L18" i="72"/>
  <c r="AJ21" i="118"/>
  <c r="AH34" i="151"/>
  <c r="AI34" i="151"/>
  <c r="AA31" i="72"/>
  <c r="AJ34" i="151"/>
  <c r="AH24" i="115"/>
  <c r="AI24" i="115"/>
  <c r="I21" i="72"/>
  <c r="AJ24" i="115"/>
  <c r="AH73" i="126"/>
  <c r="AI73" i="126"/>
  <c r="P70" i="72"/>
  <c r="AJ73" i="126"/>
  <c r="AH32" i="147"/>
  <c r="AI32" i="147"/>
  <c r="X29" i="72"/>
  <c r="AJ32" i="147"/>
  <c r="AH59" i="125"/>
  <c r="AI59" i="125"/>
  <c r="O56" i="72"/>
  <c r="AJ59" i="125"/>
  <c r="AH36" i="114"/>
  <c r="AI36" i="114"/>
  <c r="H33" i="72"/>
  <c r="AJ36" i="114"/>
  <c r="AF33" i="100"/>
  <c r="AG33" i="100"/>
  <c r="AH26" i="126"/>
  <c r="AI26" i="126"/>
  <c r="P23" i="72"/>
  <c r="AJ26" i="126"/>
  <c r="AH10" i="144"/>
  <c r="AI10" i="144"/>
  <c r="U7" i="72"/>
  <c r="AJ10" i="144"/>
  <c r="AH17" i="151"/>
  <c r="AI17" i="151"/>
  <c r="AA14" i="72"/>
  <c r="AJ17" i="151"/>
  <c r="AH17" i="119"/>
  <c r="AI17" i="119"/>
  <c r="M14" i="72"/>
  <c r="AJ17" i="119"/>
  <c r="AH61" i="119"/>
  <c r="AI61" i="119"/>
  <c r="M58" i="72"/>
  <c r="AJ61" i="119"/>
  <c r="AH69" i="116"/>
  <c r="AI69" i="116"/>
  <c r="J66" i="72"/>
  <c r="AJ69" i="116"/>
  <c r="AH46" i="145"/>
  <c r="AI46" i="145"/>
  <c r="V43" i="72"/>
  <c r="AJ46" i="145"/>
  <c r="AC15" i="153"/>
  <c r="AN15" i="153"/>
  <c r="AO15" i="153"/>
  <c r="BG12" i="72"/>
  <c r="AC12" i="100"/>
  <c r="AH15" i="125"/>
  <c r="AI15" i="125"/>
  <c r="O12" i="72"/>
  <c r="AJ15" i="125"/>
  <c r="AH72" i="127"/>
  <c r="AI72" i="127"/>
  <c r="Q69" i="72"/>
  <c r="AJ72" i="127"/>
  <c r="AH72" i="115"/>
  <c r="AI72" i="115"/>
  <c r="I69" i="72"/>
  <c r="AJ72" i="115"/>
  <c r="AH72" i="114"/>
  <c r="AI72" i="114"/>
  <c r="H69" i="72"/>
  <c r="AJ72" i="114"/>
  <c r="AD33" i="126"/>
  <c r="AF33" i="126"/>
  <c r="AH29" i="115"/>
  <c r="AI29" i="115"/>
  <c r="I26" i="72"/>
  <c r="AJ29" i="115"/>
  <c r="AD31" i="117"/>
  <c r="AF31" i="117"/>
  <c r="AI31" i="80"/>
  <c r="AJ31" i="80"/>
  <c r="AE28" i="72"/>
  <c r="AK31" i="80"/>
  <c r="AH35" i="116"/>
  <c r="AI35" i="116"/>
  <c r="J32" i="72"/>
  <c r="AJ35" i="116"/>
  <c r="AC35" i="144"/>
  <c r="AN35" i="144"/>
  <c r="AO35" i="144"/>
  <c r="AY32" i="72"/>
  <c r="U32" i="100"/>
  <c r="AH35" i="128"/>
  <c r="AI35" i="128"/>
  <c r="R32" i="72"/>
  <c r="AJ35" i="128"/>
  <c r="AH56" i="144"/>
  <c r="AI56" i="144"/>
  <c r="U53" i="72"/>
  <c r="AJ56" i="144"/>
  <c r="AF6" i="100"/>
  <c r="AH53" i="148"/>
  <c r="AI53" i="148"/>
  <c r="Y50" i="72"/>
  <c r="AJ53" i="148"/>
  <c r="AH41" i="119"/>
  <c r="AI41" i="119"/>
  <c r="M38" i="72"/>
  <c r="AJ41" i="119"/>
  <c r="AD41" i="127"/>
  <c r="AF41" i="127"/>
  <c r="AH13" i="115"/>
  <c r="AI13" i="115"/>
  <c r="I10" i="72"/>
  <c r="AJ13" i="115"/>
  <c r="AD60" i="144"/>
  <c r="AF60" i="144"/>
  <c r="AH44" i="116"/>
  <c r="AI44" i="116"/>
  <c r="J41" i="72"/>
  <c r="AJ44" i="116"/>
  <c r="AI44" i="80"/>
  <c r="AJ44" i="80"/>
  <c r="AE41" i="72"/>
  <c r="AK44" i="80"/>
  <c r="AH44" i="127"/>
  <c r="AI44" i="127"/>
  <c r="Q41" i="72"/>
  <c r="AJ44" i="127"/>
  <c r="AF31" i="100"/>
  <c r="AF52" i="100"/>
  <c r="AH38" i="152"/>
  <c r="AI38" i="152"/>
  <c r="AB35" i="72"/>
  <c r="AJ38" i="152"/>
  <c r="AH38" i="120"/>
  <c r="AI38" i="120"/>
  <c r="N35" i="72"/>
  <c r="AJ38" i="120"/>
  <c r="AI38" i="80"/>
  <c r="AJ38" i="80"/>
  <c r="AE35" i="72"/>
  <c r="AK38" i="80"/>
  <c r="AH38" i="127"/>
  <c r="AI38" i="127"/>
  <c r="Q35" i="72"/>
  <c r="AJ38" i="127"/>
  <c r="AH23" i="131"/>
  <c r="AI23" i="131"/>
  <c r="T20" i="72"/>
  <c r="AJ23" i="131"/>
  <c r="AH52" i="151"/>
  <c r="AI52" i="151"/>
  <c r="AA49" i="72"/>
  <c r="AJ52" i="151"/>
  <c r="AH52" i="116"/>
  <c r="AI52" i="116"/>
  <c r="J49" i="72"/>
  <c r="AJ52" i="116"/>
  <c r="Z49" i="100"/>
  <c r="AC52" i="149"/>
  <c r="AN52" i="149"/>
  <c r="AO52" i="149"/>
  <c r="BD49" i="72"/>
  <c r="R8" i="100"/>
  <c r="AC11" i="128"/>
  <c r="AN11" i="128"/>
  <c r="AO11" i="128"/>
  <c r="AV8" i="72"/>
  <c r="AD11" i="128"/>
  <c r="AF11" i="128"/>
  <c r="U8" i="100"/>
  <c r="AC11" i="144"/>
  <c r="AN11" i="144"/>
  <c r="AO11" i="144"/>
  <c r="AY8" i="72"/>
  <c r="AD11" i="76"/>
  <c r="AO11" i="76"/>
  <c r="AP11" i="76"/>
  <c r="BH8" i="72"/>
  <c r="AD8" i="100"/>
  <c r="AC11" i="129"/>
  <c r="AN11" i="129"/>
  <c r="AO11" i="129"/>
  <c r="AW8" i="72"/>
  <c r="S8" i="100"/>
  <c r="X8" i="100"/>
  <c r="AC11" i="147"/>
  <c r="AN11" i="147"/>
  <c r="AO11" i="147"/>
  <c r="BB8" i="72"/>
  <c r="AC11" i="117"/>
  <c r="AN11" i="117"/>
  <c r="AO11" i="117"/>
  <c r="AO8" i="72"/>
  <c r="K8" i="100"/>
  <c r="AH8" i="129"/>
  <c r="AI8" i="129"/>
  <c r="S5" i="72"/>
  <c r="AJ8" i="129"/>
  <c r="AC8" i="152"/>
  <c r="AN8" i="152"/>
  <c r="AO8" i="152"/>
  <c r="BF5" i="72"/>
  <c r="AB5" i="100"/>
  <c r="AD8" i="152"/>
  <c r="AF8" i="152"/>
  <c r="W5" i="100"/>
  <c r="AC8" i="146"/>
  <c r="AN8" i="146"/>
  <c r="AO8" i="146"/>
  <c r="BA5" i="72"/>
  <c r="AH20" i="127"/>
  <c r="AI20" i="127"/>
  <c r="Q17" i="72"/>
  <c r="AJ20" i="127"/>
  <c r="AH20" i="114"/>
  <c r="AI20" i="114"/>
  <c r="H17" i="72"/>
  <c r="AJ20" i="114"/>
  <c r="AH20" i="116"/>
  <c r="AI20" i="116"/>
  <c r="J17" i="72"/>
  <c r="AJ20" i="116"/>
  <c r="AH20" i="147"/>
  <c r="AI20" i="147"/>
  <c r="X17" i="72"/>
  <c r="AJ20" i="147"/>
  <c r="AE20" i="80"/>
  <c r="AG20" i="80"/>
  <c r="AH43" i="126"/>
  <c r="AI43" i="126"/>
  <c r="P40" i="72"/>
  <c r="AJ43" i="126"/>
  <c r="AC40" i="100"/>
  <c r="AC43" i="153"/>
  <c r="AN43" i="153"/>
  <c r="AO43" i="153"/>
  <c r="BG40" i="72"/>
  <c r="X9" i="100"/>
  <c r="AC12" i="147"/>
  <c r="AN12" i="147"/>
  <c r="AO12" i="147"/>
  <c r="BB9" i="72"/>
  <c r="AD12" i="120"/>
  <c r="AF12" i="120"/>
  <c r="AH58" i="119"/>
  <c r="AI58" i="119"/>
  <c r="M55" i="72"/>
  <c r="AJ58" i="119"/>
  <c r="AH58" i="118"/>
  <c r="AI58" i="118"/>
  <c r="L55" i="72"/>
  <c r="AJ58" i="118"/>
  <c r="AC58" i="148"/>
  <c r="AN58" i="148"/>
  <c r="AO58" i="148"/>
  <c r="BC55" i="72"/>
  <c r="Y55" i="100"/>
  <c r="AH40" i="114"/>
  <c r="AI40" i="114"/>
  <c r="H37" i="72"/>
  <c r="AJ40" i="114"/>
  <c r="AH40" i="117"/>
  <c r="AI40" i="117"/>
  <c r="K37" i="72"/>
  <c r="AJ40" i="117"/>
  <c r="AH40" i="126"/>
  <c r="AI40" i="126"/>
  <c r="P37" i="72"/>
  <c r="AJ40" i="126"/>
  <c r="AH14" i="145"/>
  <c r="AI14" i="145"/>
  <c r="V11" i="72"/>
  <c r="AJ14" i="145"/>
  <c r="AC47" i="148"/>
  <c r="AN47" i="148"/>
  <c r="AO47" i="148"/>
  <c r="BC44" i="72"/>
  <c r="Y44" i="100"/>
  <c r="AD63" i="126"/>
  <c r="AF63" i="126"/>
  <c r="AD63" i="129"/>
  <c r="AF63" i="129"/>
  <c r="AD63" i="114"/>
  <c r="AF63" i="114"/>
  <c r="AH63" i="127"/>
  <c r="AI63" i="127"/>
  <c r="Q60" i="72"/>
  <c r="AJ63" i="127"/>
  <c r="AH51" i="119"/>
  <c r="AI51" i="119"/>
  <c r="M48" i="72"/>
  <c r="AJ51" i="119"/>
  <c r="AD51" i="116"/>
  <c r="AF51" i="116"/>
  <c r="AD51" i="144"/>
  <c r="AF51" i="144"/>
  <c r="H45" i="100"/>
  <c r="AL45" i="72"/>
  <c r="AD48" i="114"/>
  <c r="AF48" i="114"/>
  <c r="AC48" i="126"/>
  <c r="AN48" i="126"/>
  <c r="AO48" i="126"/>
  <c r="AT45" i="72"/>
  <c r="P45" i="100"/>
  <c r="AD48" i="126"/>
  <c r="AF48" i="126"/>
  <c r="AA48" i="149"/>
  <c r="AB48" i="149"/>
  <c r="AB48" i="116"/>
  <c r="AA48" i="146"/>
  <c r="AB48" i="146"/>
  <c r="AB48" i="125"/>
  <c r="AA48" i="147"/>
  <c r="AD48" i="113"/>
  <c r="AF48" i="113"/>
  <c r="AD75" i="146"/>
  <c r="AF75" i="146"/>
  <c r="X72" i="100"/>
  <c r="AC75" i="147"/>
  <c r="AN75" i="147"/>
  <c r="AO75" i="147"/>
  <c r="BB72" i="72"/>
  <c r="AD75" i="120"/>
  <c r="AF75" i="120"/>
  <c r="AF61" i="100"/>
  <c r="AC71" i="146"/>
  <c r="AN71" i="146"/>
  <c r="AO71" i="146"/>
  <c r="BA68" i="72"/>
  <c r="W68" i="100"/>
  <c r="AD71" i="120"/>
  <c r="AF71" i="120"/>
  <c r="AD50" i="153"/>
  <c r="AF50" i="153"/>
  <c r="AD70" i="152"/>
  <c r="AF70" i="152"/>
  <c r="AF16" i="100"/>
  <c r="AH28" i="147"/>
  <c r="AI28" i="147"/>
  <c r="X25" i="72"/>
  <c r="AJ28" i="147"/>
  <c r="AI57" i="76"/>
  <c r="AJ57" i="76"/>
  <c r="AD54" i="72"/>
  <c r="AK57" i="76"/>
  <c r="AD17" i="144"/>
  <c r="AF17" i="144"/>
  <c r="AD37" i="128"/>
  <c r="AF37" i="128"/>
  <c r="AD37" i="114"/>
  <c r="AF37" i="114"/>
  <c r="AH37" i="118"/>
  <c r="AI37" i="118"/>
  <c r="L34" i="72"/>
  <c r="AJ37" i="118"/>
  <c r="AH25" i="127"/>
  <c r="AI25" i="127"/>
  <c r="Q22" i="72"/>
  <c r="AJ25" i="127"/>
  <c r="AD25" i="116"/>
  <c r="AF25" i="116"/>
  <c r="AH25" i="144"/>
  <c r="AI25" i="144"/>
  <c r="U22" i="72"/>
  <c r="AJ25" i="144"/>
  <c r="Z12" i="100"/>
  <c r="AC15" i="149"/>
  <c r="AN15" i="149"/>
  <c r="AO15" i="149"/>
  <c r="BD12" i="72"/>
  <c r="AC15" i="148"/>
  <c r="AN15" i="148"/>
  <c r="AO15" i="148"/>
  <c r="BC12" i="72"/>
  <c r="Y12" i="100"/>
  <c r="AD15" i="127"/>
  <c r="AF15" i="127"/>
  <c r="AD72" i="131"/>
  <c r="AF72" i="131"/>
  <c r="AH72" i="144"/>
  <c r="AI72" i="144"/>
  <c r="U69" i="72"/>
  <c r="AJ72" i="144"/>
  <c r="AC33" i="153"/>
  <c r="AN33" i="153"/>
  <c r="AO33" i="153"/>
  <c r="BG30" i="72"/>
  <c r="AC30" i="100"/>
  <c r="AD33" i="153"/>
  <c r="AF33" i="153"/>
  <c r="AD33" i="116"/>
  <c r="AF33" i="116"/>
  <c r="AE33" i="76"/>
  <c r="AG33" i="76"/>
  <c r="AD33" i="118"/>
  <c r="AF33" i="118"/>
  <c r="AH29" i="153"/>
  <c r="AI29" i="153"/>
  <c r="AC26" i="72"/>
  <c r="AJ29" i="153"/>
  <c r="AH31" i="147"/>
  <c r="AI31" i="147"/>
  <c r="X28" i="72"/>
  <c r="AJ31" i="147"/>
  <c r="AD22" i="114"/>
  <c r="AF22" i="114"/>
  <c r="AD22" i="148"/>
  <c r="AF22" i="148"/>
  <c r="AD64" i="128"/>
  <c r="AF64" i="128"/>
  <c r="AC35" i="151"/>
  <c r="AN35" i="151"/>
  <c r="AO35" i="151"/>
  <c r="BE32" i="72"/>
  <c r="AA32" i="100"/>
  <c r="AD35" i="129"/>
  <c r="AF35" i="129"/>
  <c r="AH30" i="147"/>
  <c r="AI30" i="147"/>
  <c r="X27" i="72"/>
  <c r="AJ30" i="147"/>
  <c r="AG27" i="100"/>
  <c r="AD50" i="151"/>
  <c r="AF50" i="151"/>
  <c r="AH56" i="148"/>
  <c r="AI56" i="148"/>
  <c r="Y53" i="72"/>
  <c r="AJ56" i="148"/>
  <c r="AD45" i="146"/>
  <c r="AF45" i="146"/>
  <c r="AH53" i="127"/>
  <c r="AI53" i="127"/>
  <c r="Q50" i="72"/>
  <c r="AJ53" i="127"/>
  <c r="AD41" i="148"/>
  <c r="AF41" i="148"/>
  <c r="AH49" i="116"/>
  <c r="AI49" i="116"/>
  <c r="J46" i="72"/>
  <c r="AJ49" i="116"/>
  <c r="AH16" i="129"/>
  <c r="AI16" i="129"/>
  <c r="S13" i="72"/>
  <c r="AJ16" i="129"/>
  <c r="AH60" i="117"/>
  <c r="AI60" i="117"/>
  <c r="K57" i="72"/>
  <c r="AJ60" i="117"/>
  <c r="AG57" i="100"/>
  <c r="AF57" i="100"/>
  <c r="AH68" i="114"/>
  <c r="AI68" i="114"/>
  <c r="H65" i="72"/>
  <c r="AJ68" i="114"/>
  <c r="AH18" i="129"/>
  <c r="AI18" i="129"/>
  <c r="S15" i="72"/>
  <c r="AJ18" i="129"/>
  <c r="AH21" i="125"/>
  <c r="AI21" i="125"/>
  <c r="O18" i="72"/>
  <c r="AJ21" i="125"/>
  <c r="AH21" i="114"/>
  <c r="AI21" i="114"/>
  <c r="H18" i="72"/>
  <c r="AJ21" i="114"/>
  <c r="AH21" i="117"/>
  <c r="AI21" i="117"/>
  <c r="K18" i="72"/>
  <c r="AJ21" i="117"/>
  <c r="AH66" i="116"/>
  <c r="AI66" i="116"/>
  <c r="J63" i="72"/>
  <c r="AJ66" i="116"/>
  <c r="AH66" i="131"/>
  <c r="AI66" i="131"/>
  <c r="T63" i="72"/>
  <c r="AJ66" i="131"/>
  <c r="AH44" i="129"/>
  <c r="AI44" i="129"/>
  <c r="S41" i="72"/>
  <c r="AJ44" i="129"/>
  <c r="AH44" i="119"/>
  <c r="AI44" i="119"/>
  <c r="M41" i="72"/>
  <c r="AJ44" i="119"/>
  <c r="AH44" i="144"/>
  <c r="AI44" i="144"/>
  <c r="U41" i="72"/>
  <c r="AJ44" i="144"/>
  <c r="AH62" i="131"/>
  <c r="AI62" i="131"/>
  <c r="T59" i="72"/>
  <c r="AJ62" i="131"/>
  <c r="AF21" i="100"/>
  <c r="AH39" i="128"/>
  <c r="AI39" i="128"/>
  <c r="R36" i="72"/>
  <c r="AJ39" i="128"/>
  <c r="AH73" i="145"/>
  <c r="AI73" i="145"/>
  <c r="V70" i="72"/>
  <c r="AJ73" i="145"/>
  <c r="AD73" i="131"/>
  <c r="AF73" i="131"/>
  <c r="AG70" i="100"/>
  <c r="AH32" i="128"/>
  <c r="AI32" i="128"/>
  <c r="R29" i="72"/>
  <c r="AJ32" i="128"/>
  <c r="AH32" i="144"/>
  <c r="AI32" i="144"/>
  <c r="U29" i="72"/>
  <c r="AJ32" i="144"/>
  <c r="AH59" i="114"/>
  <c r="AI59" i="114"/>
  <c r="H56" i="72"/>
  <c r="AJ59" i="114"/>
  <c r="AH67" i="120"/>
  <c r="AI67" i="120"/>
  <c r="N64" i="72"/>
  <c r="AJ67" i="120"/>
  <c r="AH67" i="126"/>
  <c r="AI67" i="126"/>
  <c r="P64" i="72"/>
  <c r="AJ67" i="126"/>
  <c r="AH36" i="116"/>
  <c r="AI36" i="116"/>
  <c r="J33" i="72"/>
  <c r="AJ36" i="116"/>
  <c r="AD28" i="153"/>
  <c r="AF28" i="153"/>
  <c r="AH28" i="120"/>
  <c r="AI28" i="120"/>
  <c r="N25" i="72"/>
  <c r="AJ28" i="120"/>
  <c r="AH26" i="119"/>
  <c r="AI26" i="119"/>
  <c r="M23" i="72"/>
  <c r="AJ26" i="119"/>
  <c r="AD26" i="127"/>
  <c r="AF26" i="127"/>
  <c r="AD26" i="131"/>
  <c r="AF26" i="131"/>
  <c r="AI10" i="80"/>
  <c r="AJ10" i="80"/>
  <c r="AE7" i="72"/>
  <c r="AK10" i="80"/>
  <c r="AH10" i="151"/>
  <c r="AI10" i="151"/>
  <c r="AA7" i="72"/>
  <c r="AJ10" i="151"/>
  <c r="AD42" i="114"/>
  <c r="AF42" i="114"/>
  <c r="AM15" i="46"/>
  <c r="AN14" i="46"/>
  <c r="AH65" i="129"/>
  <c r="AI65" i="129"/>
  <c r="S62" i="72"/>
  <c r="AJ65" i="129"/>
  <c r="AH65" i="114"/>
  <c r="AI65" i="114"/>
  <c r="H62" i="72"/>
  <c r="AJ65" i="114"/>
  <c r="AF62" i="100"/>
  <c r="AG62" i="100"/>
  <c r="AH17" i="153"/>
  <c r="AI17" i="153"/>
  <c r="AC14" i="72"/>
  <c r="AJ17" i="153"/>
  <c r="AH61" i="117"/>
  <c r="AI61" i="117"/>
  <c r="K58" i="72"/>
  <c r="AJ61" i="117"/>
  <c r="AH27" i="144"/>
  <c r="AI27" i="144"/>
  <c r="U24" i="72"/>
  <c r="AJ27" i="144"/>
  <c r="AH69" i="114"/>
  <c r="AI69" i="114"/>
  <c r="H66" i="72"/>
  <c r="AJ69" i="114"/>
  <c r="AD54" i="129"/>
  <c r="AF54" i="129"/>
  <c r="AD55" i="116"/>
  <c r="AF55" i="116"/>
  <c r="AD55" i="129"/>
  <c r="AF55" i="129"/>
  <c r="AD46" i="117"/>
  <c r="AF46" i="117"/>
  <c r="AG43" i="100"/>
  <c r="AF43" i="100"/>
  <c r="AH46" i="118"/>
  <c r="AI46" i="118"/>
  <c r="L43" i="72"/>
  <c r="AJ46" i="118"/>
  <c r="AM12" i="46"/>
  <c r="AM17" i="46"/>
  <c r="AN6" i="46"/>
  <c r="E73" i="100"/>
  <c r="AH38" i="149"/>
  <c r="AI38" i="149"/>
  <c r="Z35" i="72"/>
  <c r="AJ38" i="149"/>
  <c r="AH38" i="151"/>
  <c r="AI38" i="151"/>
  <c r="AA35" i="72"/>
  <c r="AJ38" i="151"/>
  <c r="AH38" i="153"/>
  <c r="AI38" i="153"/>
  <c r="AC35" i="72"/>
  <c r="AJ38" i="153"/>
  <c r="AH23" i="128"/>
  <c r="AI23" i="128"/>
  <c r="R20" i="72"/>
  <c r="AJ23" i="128"/>
  <c r="AD23" i="149"/>
  <c r="AF23" i="149"/>
  <c r="AI23" i="80"/>
  <c r="AJ23" i="80"/>
  <c r="AE20" i="72"/>
  <c r="AK23" i="80"/>
  <c r="AH52" i="146"/>
  <c r="AI52" i="146"/>
  <c r="W49" i="72"/>
  <c r="AJ52" i="146"/>
  <c r="AH52" i="128"/>
  <c r="AI52" i="128"/>
  <c r="R49" i="72"/>
  <c r="AJ52" i="128"/>
  <c r="AI52" i="76"/>
  <c r="AJ52" i="76"/>
  <c r="AD49" i="72"/>
  <c r="AK52" i="76"/>
  <c r="V5" i="100"/>
  <c r="AC8" i="145"/>
  <c r="AN8" i="145"/>
  <c r="AO8" i="145"/>
  <c r="AZ5" i="72"/>
  <c r="AC20" i="149"/>
  <c r="AN20" i="149"/>
  <c r="AO20" i="149"/>
  <c r="BD17" i="72"/>
  <c r="Z17" i="100"/>
  <c r="AH20" i="145"/>
  <c r="AI20" i="145"/>
  <c r="V17" i="72"/>
  <c r="AJ20" i="145"/>
  <c r="AH43" i="145"/>
  <c r="AI43" i="145"/>
  <c r="V40" i="72"/>
  <c r="AJ43" i="145"/>
  <c r="AD12" i="117"/>
  <c r="AF12" i="117"/>
  <c r="AH12" i="127"/>
  <c r="AI12" i="127"/>
  <c r="Q9" i="72"/>
  <c r="AJ12" i="127"/>
  <c r="U9" i="100"/>
  <c r="AC12" i="144"/>
  <c r="AN12" i="144"/>
  <c r="AO12" i="144"/>
  <c r="AY9" i="72"/>
  <c r="AD58" i="113"/>
  <c r="AF58" i="113"/>
  <c r="AI58" i="80"/>
  <c r="AJ58" i="80"/>
  <c r="AE55" i="72"/>
  <c r="AK58" i="80"/>
  <c r="AC58" i="149"/>
  <c r="AN58" i="149"/>
  <c r="AO58" i="149"/>
  <c r="BD55" i="72"/>
  <c r="Z55" i="100"/>
  <c r="AD14" i="127"/>
  <c r="AF14" i="127"/>
  <c r="AH14" i="115"/>
  <c r="AI14" i="115"/>
  <c r="I11" i="72"/>
  <c r="AJ14" i="115"/>
  <c r="AD47" i="145"/>
  <c r="AF47" i="145"/>
  <c r="AD47" i="129"/>
  <c r="AF47" i="129"/>
  <c r="AH63" i="113"/>
  <c r="AI63" i="113"/>
  <c r="G60" i="72"/>
  <c r="AJ63" i="113"/>
  <c r="AD51" i="117"/>
  <c r="AF51" i="117"/>
  <c r="AD75" i="131"/>
  <c r="AF75" i="131"/>
  <c r="AC75" i="153"/>
  <c r="AN75" i="153"/>
  <c r="AO75" i="153"/>
  <c r="BG72" i="72"/>
  <c r="AC72" i="100"/>
  <c r="AD75" i="127"/>
  <c r="AF75" i="127"/>
  <c r="AD22" i="151"/>
  <c r="AF22" i="151"/>
  <c r="AE64" i="80"/>
  <c r="AG64" i="80"/>
  <c r="AD30" i="119"/>
  <c r="AF30" i="119"/>
  <c r="AH71" i="151"/>
  <c r="AI71" i="151"/>
  <c r="AA68" i="72"/>
  <c r="AJ71" i="151"/>
  <c r="AE50" i="76"/>
  <c r="AG50" i="76"/>
  <c r="AD70" i="151"/>
  <c r="AF70" i="151"/>
  <c r="AD70" i="127"/>
  <c r="AF70" i="127"/>
  <c r="AD56" i="153"/>
  <c r="AF56" i="153"/>
  <c r="AD45" i="119"/>
  <c r="AF45" i="119"/>
  <c r="AD19" i="145"/>
  <c r="AF19" i="145"/>
  <c r="AH41" i="146"/>
  <c r="AI41" i="146"/>
  <c r="W38" i="72"/>
  <c r="AJ41" i="146"/>
  <c r="AD49" i="114"/>
  <c r="AF49" i="114"/>
  <c r="AF46" i="100"/>
  <c r="AG46" i="100"/>
  <c r="AH16" i="131"/>
  <c r="AI16" i="131"/>
  <c r="T13" i="72"/>
  <c r="AJ16" i="131"/>
  <c r="AH68" i="153"/>
  <c r="AI68" i="153"/>
  <c r="AC65" i="72"/>
  <c r="AJ68" i="153"/>
  <c r="AH18" i="115"/>
  <c r="AI18" i="115"/>
  <c r="I15" i="72"/>
  <c r="AJ18" i="115"/>
  <c r="AI21" i="76"/>
  <c r="AJ21" i="76"/>
  <c r="AD18" i="72"/>
  <c r="AK21" i="76"/>
  <c r="AD66" i="145"/>
  <c r="AF66" i="145"/>
  <c r="AD24" i="128"/>
  <c r="AF24" i="128"/>
  <c r="AD39" i="153"/>
  <c r="AF39" i="153"/>
  <c r="AD67" i="145"/>
  <c r="AF67" i="145"/>
  <c r="AD36" i="118"/>
  <c r="AF36" i="118"/>
  <c r="AD28" i="148"/>
  <c r="AF28" i="148"/>
  <c r="AH57" i="146"/>
  <c r="AI57" i="146"/>
  <c r="W54" i="72"/>
  <c r="AJ57" i="146"/>
  <c r="AD57" i="151"/>
  <c r="AF57" i="151"/>
  <c r="AH57" i="117"/>
  <c r="AI57" i="117"/>
  <c r="K54" i="72"/>
  <c r="AJ57" i="117"/>
  <c r="AH57" i="115"/>
  <c r="AI57" i="115"/>
  <c r="I54" i="72"/>
  <c r="AJ57" i="115"/>
  <c r="AD57" i="128"/>
  <c r="AF57" i="128"/>
  <c r="AI10" i="76"/>
  <c r="AJ10" i="76"/>
  <c r="AD7" i="72"/>
  <c r="AK10" i="76"/>
  <c r="AD65" i="131"/>
  <c r="AF65" i="131"/>
  <c r="AF58" i="100"/>
  <c r="AG58" i="100"/>
  <c r="AG24" i="100"/>
  <c r="AF24" i="100"/>
  <c r="AH54" i="151"/>
  <c r="AI54" i="151"/>
  <c r="AA51" i="72"/>
  <c r="AJ54" i="151"/>
  <c r="AD54" i="115"/>
  <c r="AF54" i="115"/>
  <c r="AH55" i="119"/>
  <c r="AI55" i="119"/>
  <c r="M52" i="72"/>
  <c r="AJ55" i="119"/>
  <c r="AD46" i="119"/>
  <c r="AF46" i="119"/>
  <c r="AC34" i="100"/>
  <c r="AC37" i="153"/>
  <c r="AN37" i="153"/>
  <c r="AO37" i="153"/>
  <c r="BG34" i="72"/>
  <c r="AD37" i="153"/>
  <c r="AF37" i="153"/>
  <c r="AD37" i="119"/>
  <c r="AF37" i="119"/>
  <c r="AD25" i="113"/>
  <c r="AF25" i="113"/>
  <c r="AD25" i="153"/>
  <c r="AF25" i="153"/>
  <c r="AI25" i="76"/>
  <c r="AJ25" i="76"/>
  <c r="AD22" i="72"/>
  <c r="AK25" i="76"/>
  <c r="AD72" i="117"/>
  <c r="AF72" i="117"/>
  <c r="AE72" i="76"/>
  <c r="AG72" i="76"/>
  <c r="AC33" i="144"/>
  <c r="AN33" i="144"/>
  <c r="AO33" i="144"/>
  <c r="AY30" i="72"/>
  <c r="U30" i="100"/>
  <c r="AD33" i="145"/>
  <c r="AF33" i="145"/>
  <c r="AF71" i="100"/>
  <c r="AD60" i="146"/>
  <c r="AF60" i="146"/>
  <c r="AH66" i="144"/>
  <c r="AI66" i="144"/>
  <c r="U63" i="72"/>
  <c r="AJ66" i="144"/>
  <c r="AH59" i="151"/>
  <c r="AI59" i="151"/>
  <c r="AA56" i="72"/>
  <c r="AJ59" i="151"/>
  <c r="AH26" i="144"/>
  <c r="AI26" i="144"/>
  <c r="U23" i="72"/>
  <c r="AJ26" i="144"/>
  <c r="AD17" i="146"/>
  <c r="AF17" i="146"/>
  <c r="AH22" i="145"/>
  <c r="AI22" i="145"/>
  <c r="V19" i="72"/>
  <c r="AJ22" i="145"/>
  <c r="AD13" i="145"/>
  <c r="AF13" i="145"/>
  <c r="AH16" i="151"/>
  <c r="AI16" i="151"/>
  <c r="AA13" i="72"/>
  <c r="AJ16" i="151"/>
  <c r="AD62" i="145"/>
  <c r="AF62" i="145"/>
  <c r="AD32" i="151"/>
  <c r="AF32" i="151"/>
  <c r="AD59" i="152"/>
  <c r="AF59" i="152"/>
  <c r="AD36" i="146"/>
  <c r="AF36" i="146"/>
  <c r="AH65" i="152"/>
  <c r="AI65" i="152"/>
  <c r="AB62" i="72"/>
  <c r="AJ65" i="152"/>
  <c r="AD27" i="153"/>
  <c r="AF27" i="153"/>
  <c r="AD69" i="152"/>
  <c r="AF69" i="152"/>
  <c r="AD69" i="144"/>
  <c r="AF69" i="144"/>
  <c r="AD55" i="147"/>
  <c r="AF55" i="147"/>
  <c r="AH9" i="149"/>
  <c r="AI9" i="149"/>
  <c r="Z6" i="72"/>
  <c r="AJ9" i="149"/>
  <c r="AD19" i="153"/>
  <c r="AF19" i="153"/>
  <c r="AH68" i="151"/>
  <c r="AI68" i="151"/>
  <c r="AA65" i="72"/>
  <c r="AJ68" i="151"/>
  <c r="AD67" i="147"/>
  <c r="AF67" i="147"/>
  <c r="AH69" i="148"/>
  <c r="AI69" i="148"/>
  <c r="Y66" i="72"/>
  <c r="AJ69" i="148"/>
  <c r="AH31" i="148"/>
  <c r="AI31" i="148"/>
  <c r="Y28" i="72"/>
  <c r="AJ31" i="148"/>
  <c r="AH64" i="149"/>
  <c r="AI64" i="149"/>
  <c r="Z61" i="72"/>
  <c r="AJ64" i="149"/>
  <c r="AH30" i="148"/>
  <c r="AI30" i="148"/>
  <c r="Y27" i="72"/>
  <c r="AJ30" i="148"/>
  <c r="AH70" i="145"/>
  <c r="AI70" i="145"/>
  <c r="V67" i="72"/>
  <c r="AJ70" i="145"/>
  <c r="AH9" i="146"/>
  <c r="AI9" i="146"/>
  <c r="W6" i="72"/>
  <c r="AJ9" i="146"/>
  <c r="AH45" i="147"/>
  <c r="AI45" i="147"/>
  <c r="X42" i="72"/>
  <c r="AJ45" i="147"/>
  <c r="AH49" i="144"/>
  <c r="AI49" i="144"/>
  <c r="U46" i="72"/>
  <c r="AJ49" i="144"/>
  <c r="AH66" i="148"/>
  <c r="AI66" i="148"/>
  <c r="Y63" i="72"/>
  <c r="AJ66" i="148"/>
  <c r="AE29" i="76"/>
  <c r="AG29" i="76"/>
  <c r="AD29" i="148"/>
  <c r="AF29" i="148"/>
  <c r="AH29" i="131"/>
  <c r="AI29" i="131"/>
  <c r="T26" i="72"/>
  <c r="AJ29" i="131"/>
  <c r="AH31" i="126"/>
  <c r="AI31" i="126"/>
  <c r="P28" i="72"/>
  <c r="AJ31" i="126"/>
  <c r="AH22" i="120"/>
  <c r="AI22" i="120"/>
  <c r="N19" i="72"/>
  <c r="AJ22" i="120"/>
  <c r="AH64" i="147"/>
  <c r="AI64" i="147"/>
  <c r="X61" i="72"/>
  <c r="AJ64" i="147"/>
  <c r="AH35" i="113"/>
  <c r="AI35" i="113"/>
  <c r="G32" i="72"/>
  <c r="AJ35" i="113"/>
  <c r="AC35" i="127"/>
  <c r="AN35" i="127"/>
  <c r="AO35" i="127"/>
  <c r="AU32" i="72"/>
  <c r="Q32" i="100"/>
  <c r="AC35" i="152"/>
  <c r="AN35" i="152"/>
  <c r="AO35" i="152"/>
  <c r="BF32" i="72"/>
  <c r="AB32" i="100"/>
  <c r="AH30" i="145"/>
  <c r="AI30" i="145"/>
  <c r="V27" i="72"/>
  <c r="AJ30" i="145"/>
  <c r="AI50" i="80"/>
  <c r="AJ50" i="80"/>
  <c r="AE47" i="72"/>
  <c r="AK50" i="80"/>
  <c r="AH70" i="129"/>
  <c r="AI70" i="129"/>
  <c r="S67" i="72"/>
  <c r="AJ70" i="129"/>
  <c r="AH56" i="152"/>
  <c r="AI56" i="152"/>
  <c r="AB53" i="72"/>
  <c r="AJ56" i="152"/>
  <c r="AH9" i="113"/>
  <c r="AI9" i="113"/>
  <c r="G6" i="72"/>
  <c r="AJ9" i="113"/>
  <c r="AH45" i="115"/>
  <c r="AI45" i="115"/>
  <c r="I42" i="72"/>
  <c r="AJ45" i="115"/>
  <c r="AH53" i="114"/>
  <c r="AI53" i="114"/>
  <c r="H50" i="72"/>
  <c r="AJ53" i="114"/>
  <c r="AI19" i="76"/>
  <c r="AJ19" i="76"/>
  <c r="AD16" i="72"/>
  <c r="AK19" i="76"/>
  <c r="AH19" i="119"/>
  <c r="AI19" i="119"/>
  <c r="M16" i="72"/>
  <c r="AJ19" i="119"/>
  <c r="AH41" i="125"/>
  <c r="AI41" i="125"/>
  <c r="O38" i="72"/>
  <c r="AJ41" i="125"/>
  <c r="AH74" i="144"/>
  <c r="AI74" i="144"/>
  <c r="U71" i="72"/>
  <c r="AJ74" i="144"/>
  <c r="AI49" i="76"/>
  <c r="AJ49" i="76"/>
  <c r="AD46" i="72"/>
  <c r="AK49" i="76"/>
  <c r="AD16" i="147"/>
  <c r="AF16" i="147"/>
  <c r="AH60" i="127"/>
  <c r="AI60" i="127"/>
  <c r="Q57" i="72"/>
  <c r="AJ60" i="127"/>
  <c r="AH68" i="120"/>
  <c r="AI68" i="120"/>
  <c r="N65" i="72"/>
  <c r="AJ68" i="120"/>
  <c r="AH21" i="126"/>
  <c r="AI21" i="126"/>
  <c r="P18" i="72"/>
  <c r="AJ21" i="126"/>
  <c r="AH66" i="149"/>
  <c r="AI66" i="149"/>
  <c r="Z63" i="72"/>
  <c r="AJ66" i="149"/>
  <c r="AD41" i="100"/>
  <c r="AD44" i="76"/>
  <c r="AO44" i="76"/>
  <c r="AP44" i="76"/>
  <c r="BH41" i="72"/>
  <c r="AE44" i="76"/>
  <c r="AG44" i="76"/>
  <c r="I41" i="100"/>
  <c r="AD44" i="115"/>
  <c r="AF44" i="115"/>
  <c r="AM41" i="72"/>
  <c r="Y41" i="100"/>
  <c r="AC44" i="148"/>
  <c r="AN44" i="148"/>
  <c r="AO44" i="148"/>
  <c r="BC41" i="72"/>
  <c r="AH34" i="144"/>
  <c r="AI34" i="144"/>
  <c r="U31" i="72"/>
  <c r="AJ34" i="144"/>
  <c r="AH62" i="149"/>
  <c r="AI62" i="149"/>
  <c r="Z59" i="72"/>
  <c r="AJ62" i="149"/>
  <c r="AH24" i="149"/>
  <c r="AI24" i="149"/>
  <c r="Z21" i="72"/>
  <c r="AJ24" i="149"/>
  <c r="AI24" i="80"/>
  <c r="AJ24" i="80"/>
  <c r="AE21" i="72"/>
  <c r="AK24" i="80"/>
  <c r="AI73" i="76"/>
  <c r="AJ73" i="76"/>
  <c r="AD70" i="72"/>
  <c r="AK73" i="76"/>
  <c r="AH32" i="115"/>
  <c r="AI32" i="115"/>
  <c r="I29" i="72"/>
  <c r="AJ32" i="115"/>
  <c r="AH32" i="126"/>
  <c r="AI32" i="126"/>
  <c r="P29" i="72"/>
  <c r="AJ32" i="126"/>
  <c r="AH59" i="147"/>
  <c r="AI59" i="147"/>
  <c r="X56" i="72"/>
  <c r="AJ59" i="147"/>
  <c r="AH67" i="129"/>
  <c r="AI67" i="129"/>
  <c r="S64" i="72"/>
  <c r="AJ67" i="129"/>
  <c r="AH28" i="117"/>
  <c r="AI28" i="117"/>
  <c r="K25" i="72"/>
  <c r="AJ28" i="117"/>
  <c r="AH10" i="118"/>
  <c r="AI10" i="118"/>
  <c r="L7" i="72"/>
  <c r="AJ10" i="118"/>
  <c r="K39" i="100"/>
  <c r="AC42" i="117"/>
  <c r="AN42" i="117"/>
  <c r="AO42" i="117"/>
  <c r="AO39" i="72"/>
  <c r="AD42" i="117"/>
  <c r="AF42" i="117"/>
  <c r="AH65" i="126"/>
  <c r="AI65" i="126"/>
  <c r="P62" i="72"/>
  <c r="AJ65" i="126"/>
  <c r="AH17" i="118"/>
  <c r="AI17" i="118"/>
  <c r="L14" i="72"/>
  <c r="AJ17" i="118"/>
  <c r="AH61" i="147"/>
  <c r="AI61" i="147"/>
  <c r="X58" i="72"/>
  <c r="AJ61" i="147"/>
  <c r="AH27" i="120"/>
  <c r="AI27" i="120"/>
  <c r="N24" i="72"/>
  <c r="AJ27" i="120"/>
  <c r="AH27" i="114"/>
  <c r="AI27" i="114"/>
  <c r="H24" i="72"/>
  <c r="AJ27" i="114"/>
  <c r="AH69" i="146"/>
  <c r="AI69" i="146"/>
  <c r="W66" i="72"/>
  <c r="AJ69" i="146"/>
  <c r="AH54" i="148"/>
  <c r="AI54" i="148"/>
  <c r="Y51" i="72"/>
  <c r="AJ54" i="148"/>
  <c r="AH55" i="153"/>
  <c r="AI55" i="153"/>
  <c r="AC52" i="72"/>
  <c r="AJ55" i="153"/>
  <c r="AH55" i="113"/>
  <c r="AI55" i="113"/>
  <c r="G52" i="72"/>
  <c r="AJ55" i="113"/>
  <c r="AH46" i="152"/>
  <c r="AI46" i="152"/>
  <c r="AB43" i="72"/>
  <c r="AJ46" i="152"/>
  <c r="X35" i="100"/>
  <c r="AC38" i="147"/>
  <c r="AN38" i="147"/>
  <c r="AO38" i="147"/>
  <c r="BB35" i="72"/>
  <c r="V35" i="100"/>
  <c r="AC38" i="145"/>
  <c r="AN38" i="145"/>
  <c r="AO38" i="145"/>
  <c r="AZ35" i="72"/>
  <c r="AD20" i="100"/>
  <c r="AD23" i="76"/>
  <c r="AO23" i="76"/>
  <c r="AP23" i="76"/>
  <c r="BH20" i="72"/>
  <c r="AE23" i="76"/>
  <c r="AG23" i="76"/>
  <c r="AC23" i="145"/>
  <c r="AN23" i="145"/>
  <c r="AO23" i="145"/>
  <c r="AZ20" i="72"/>
  <c r="AD23" i="145"/>
  <c r="AF23" i="145"/>
  <c r="V20" i="100"/>
  <c r="AC23" i="148"/>
  <c r="AN23" i="148"/>
  <c r="AO23" i="148"/>
  <c r="BC20" i="72"/>
  <c r="Y20" i="100"/>
  <c r="M20" i="100"/>
  <c r="AC23" i="119"/>
  <c r="AN23" i="119"/>
  <c r="AO23" i="119"/>
  <c r="AQ20" i="72"/>
  <c r="AC20" i="100"/>
  <c r="AC23" i="153"/>
  <c r="AN23" i="153"/>
  <c r="AO23" i="153"/>
  <c r="BG20" i="72"/>
  <c r="AD23" i="153"/>
  <c r="AF23" i="153"/>
  <c r="AC52" i="127"/>
  <c r="AN52" i="127"/>
  <c r="AO52" i="127"/>
  <c r="AU49" i="72"/>
  <c r="Q49" i="100"/>
  <c r="AD52" i="127"/>
  <c r="AF52" i="127"/>
  <c r="AC52" i="125"/>
  <c r="AN52" i="125"/>
  <c r="AO52" i="125"/>
  <c r="AS49" i="72"/>
  <c r="O49" i="100"/>
  <c r="AD52" i="80"/>
  <c r="AO52" i="80"/>
  <c r="AP52" i="80"/>
  <c r="BI49" i="72"/>
  <c r="AE49" i="100"/>
  <c r="AE52" i="80"/>
  <c r="AG52" i="80"/>
  <c r="AC52" i="120"/>
  <c r="AN52" i="120"/>
  <c r="AO52" i="120"/>
  <c r="AR49" i="72"/>
  <c r="N49" i="100"/>
  <c r="AD52" i="120"/>
  <c r="AF52" i="120"/>
  <c r="H8" i="100"/>
  <c r="AL8" i="72"/>
  <c r="AC11" i="119"/>
  <c r="AN11" i="119"/>
  <c r="AO11" i="119"/>
  <c r="AQ8" i="72"/>
  <c r="M8" i="100"/>
  <c r="AD11" i="119"/>
  <c r="AF11" i="119"/>
  <c r="AB11" i="145"/>
  <c r="AB11" i="146"/>
  <c r="AC11" i="125"/>
  <c r="AN11" i="125"/>
  <c r="AO11" i="125"/>
  <c r="AS8" i="72"/>
  <c r="O8" i="100"/>
  <c r="J8" i="100"/>
  <c r="AC11" i="116"/>
  <c r="AN11" i="116"/>
  <c r="AO11" i="116"/>
  <c r="AN8" i="72"/>
  <c r="AD11" i="116"/>
  <c r="AF11" i="116"/>
  <c r="AK8" i="72"/>
  <c r="G8" i="100"/>
  <c r="N5" i="100"/>
  <c r="AC8" i="120"/>
  <c r="AN8" i="120"/>
  <c r="AO8" i="120"/>
  <c r="AR5" i="72"/>
  <c r="T5" i="100"/>
  <c r="AC8" i="131"/>
  <c r="AN8" i="131"/>
  <c r="AO8" i="131"/>
  <c r="AX5" i="72"/>
  <c r="AC8" i="116"/>
  <c r="AN8" i="116"/>
  <c r="AO8" i="116"/>
  <c r="AN5" i="72"/>
  <c r="J5" i="100"/>
  <c r="AD8" i="116"/>
  <c r="AF8" i="116"/>
  <c r="AC20" i="153"/>
  <c r="AN20" i="153"/>
  <c r="AO20" i="153"/>
  <c r="BG17" i="72"/>
  <c r="AC17" i="100"/>
  <c r="P17" i="100"/>
  <c r="AC20" i="126"/>
  <c r="AN20" i="126"/>
  <c r="AO20" i="126"/>
  <c r="AT17" i="72"/>
  <c r="AC43" i="119"/>
  <c r="AN43" i="119"/>
  <c r="AO43" i="119"/>
  <c r="AQ40" i="72"/>
  <c r="AD43" i="119"/>
  <c r="AF43" i="119"/>
  <c r="M40" i="100"/>
  <c r="H40" i="100"/>
  <c r="AL40" i="72"/>
  <c r="AD43" i="114"/>
  <c r="AF43" i="114"/>
  <c r="AC43" i="152"/>
  <c r="AN43" i="152"/>
  <c r="AO43" i="152"/>
  <c r="BF40" i="72"/>
  <c r="AB40" i="100"/>
  <c r="AH12" i="113"/>
  <c r="AI12" i="113"/>
  <c r="G9" i="72"/>
  <c r="AJ12" i="113"/>
  <c r="AC12" i="146"/>
  <c r="AN12" i="146"/>
  <c r="AO12" i="146"/>
  <c r="BA9" i="72"/>
  <c r="W9" i="100"/>
  <c r="AD12" i="146"/>
  <c r="AF12" i="146"/>
  <c r="O9" i="100"/>
  <c r="AC12" i="125"/>
  <c r="AN12" i="125"/>
  <c r="AO12" i="125"/>
  <c r="AS9" i="72"/>
  <c r="N55" i="100"/>
  <c r="AC58" i="120"/>
  <c r="AN58" i="120"/>
  <c r="AO58" i="120"/>
  <c r="AR55" i="72"/>
  <c r="AD58" i="120"/>
  <c r="AF58" i="120"/>
  <c r="AB55" i="100"/>
  <c r="AC58" i="152"/>
  <c r="AN58" i="152"/>
  <c r="AO58" i="152"/>
  <c r="BF55" i="72"/>
  <c r="AC40" i="148"/>
  <c r="AN40" i="148"/>
  <c r="AO40" i="148"/>
  <c r="BC37" i="72"/>
  <c r="Y37" i="100"/>
  <c r="AC40" i="146"/>
  <c r="AN40" i="146"/>
  <c r="AO40" i="146"/>
  <c r="BA37" i="72"/>
  <c r="W37" i="100"/>
  <c r="AD40" i="146"/>
  <c r="AF40" i="146"/>
  <c r="AC40" i="153"/>
  <c r="AN40" i="153"/>
  <c r="AO40" i="153"/>
  <c r="BG37" i="72"/>
  <c r="AC37" i="100"/>
  <c r="P11" i="100"/>
  <c r="AC14" i="126"/>
  <c r="AN14" i="126"/>
  <c r="AO14" i="126"/>
  <c r="AT11" i="72"/>
  <c r="AC14" i="119"/>
  <c r="AN14" i="119"/>
  <c r="AO14" i="119"/>
  <c r="AQ11" i="72"/>
  <c r="M11" i="100"/>
  <c r="AC14" i="129"/>
  <c r="AN14" i="129"/>
  <c r="AO14" i="129"/>
  <c r="AW11" i="72"/>
  <c r="S11" i="100"/>
  <c r="M44" i="100"/>
  <c r="AC47" i="119"/>
  <c r="AN47" i="119"/>
  <c r="AO47" i="119"/>
  <c r="AQ44" i="72"/>
  <c r="AD47" i="119"/>
  <c r="AF47" i="119"/>
  <c r="AC47" i="149"/>
  <c r="AN47" i="149"/>
  <c r="AO47" i="149"/>
  <c r="BD44" i="72"/>
  <c r="Z44" i="100"/>
  <c r="L44" i="100"/>
  <c r="AC47" i="118"/>
  <c r="AN47" i="118"/>
  <c r="AO47" i="118"/>
  <c r="AP44" i="72"/>
  <c r="AC63" i="145"/>
  <c r="AN63" i="145"/>
  <c r="AO63" i="145"/>
  <c r="AZ60" i="72"/>
  <c r="AD63" i="145"/>
  <c r="AF63" i="145"/>
  <c r="V60" i="100"/>
  <c r="AA60" i="100"/>
  <c r="AC63" i="151"/>
  <c r="AN63" i="151"/>
  <c r="AO63" i="151"/>
  <c r="BE60" i="72"/>
  <c r="AD63" i="151"/>
  <c r="AF63" i="151"/>
  <c r="AB60" i="100"/>
  <c r="AC63" i="152"/>
  <c r="AN63" i="152"/>
  <c r="AO63" i="152"/>
  <c r="BF60" i="72"/>
  <c r="AH51" i="113"/>
  <c r="AI51" i="113"/>
  <c r="G48" i="72"/>
  <c r="AJ51" i="113"/>
  <c r="AC51" i="148"/>
  <c r="AN51" i="148"/>
  <c r="AO51" i="148"/>
  <c r="BC48" i="72"/>
  <c r="Y48" i="100"/>
  <c r="AD51" i="148"/>
  <c r="AF51" i="148"/>
  <c r="S48" i="100"/>
  <c r="AC51" i="129"/>
  <c r="AN51" i="129"/>
  <c r="AO51" i="129"/>
  <c r="AW48" i="72"/>
  <c r="AA48" i="144"/>
  <c r="AB48" i="144"/>
  <c r="AE45" i="100"/>
  <c r="AD48" i="80"/>
  <c r="AO48" i="80"/>
  <c r="AP48" i="80"/>
  <c r="BI45" i="72"/>
  <c r="AC48" i="128"/>
  <c r="AN48" i="128"/>
  <c r="AO48" i="128"/>
  <c r="AV45" i="72"/>
  <c r="AD48" i="128"/>
  <c r="AF48" i="128"/>
  <c r="R45" i="100"/>
  <c r="AB45" i="100"/>
  <c r="AC48" i="152"/>
  <c r="AN48" i="152"/>
  <c r="AO48" i="152"/>
  <c r="BF45" i="72"/>
  <c r="AD48" i="152"/>
  <c r="AF48" i="152"/>
  <c r="M45" i="100"/>
  <c r="AC48" i="119"/>
  <c r="AN48" i="119"/>
  <c r="AO48" i="119"/>
  <c r="AQ45" i="72"/>
  <c r="AC75" i="117"/>
  <c r="AN75" i="117"/>
  <c r="AO75" i="117"/>
  <c r="AO72" i="72"/>
  <c r="K72" i="100"/>
  <c r="AD75" i="117"/>
  <c r="AF75" i="117"/>
  <c r="I72" i="100"/>
  <c r="AM72" i="72"/>
  <c r="AC75" i="119"/>
  <c r="AN75" i="119"/>
  <c r="AO75" i="119"/>
  <c r="AQ72" i="72"/>
  <c r="M72" i="100"/>
  <c r="AH29" i="125"/>
  <c r="AI29" i="125"/>
  <c r="O26" i="72"/>
  <c r="AJ29" i="125"/>
  <c r="AH31" i="144"/>
  <c r="AI31" i="144"/>
  <c r="U28" i="72"/>
  <c r="AJ31" i="144"/>
  <c r="AH31" i="145"/>
  <c r="AI31" i="145"/>
  <c r="V28" i="72"/>
  <c r="AJ31" i="145"/>
  <c r="AH22" i="129"/>
  <c r="AI22" i="129"/>
  <c r="S19" i="72"/>
  <c r="AJ22" i="129"/>
  <c r="AH30" i="146"/>
  <c r="AI30" i="146"/>
  <c r="W27" i="72"/>
  <c r="AJ30" i="146"/>
  <c r="AH30" i="125"/>
  <c r="AI30" i="125"/>
  <c r="O27" i="72"/>
  <c r="AJ30" i="125"/>
  <c r="AC71" i="128"/>
  <c r="AN71" i="128"/>
  <c r="AO71" i="128"/>
  <c r="AV68" i="72"/>
  <c r="R68" i="100"/>
  <c r="AD71" i="128"/>
  <c r="AF71" i="128"/>
  <c r="AC71" i="116"/>
  <c r="AN71" i="116"/>
  <c r="AO71" i="116"/>
  <c r="AN68" i="72"/>
  <c r="J68" i="100"/>
  <c r="AC71" i="117"/>
  <c r="AN71" i="117"/>
  <c r="AO71" i="117"/>
  <c r="AO68" i="72"/>
  <c r="K68" i="100"/>
  <c r="AH50" i="118"/>
  <c r="AI50" i="118"/>
  <c r="L47" i="72"/>
  <c r="AJ50" i="118"/>
  <c r="AH56" i="114"/>
  <c r="AI56" i="114"/>
  <c r="H53" i="72"/>
  <c r="AJ56" i="114"/>
  <c r="AH45" i="153"/>
  <c r="AI45" i="153"/>
  <c r="AC42" i="72"/>
  <c r="AJ45" i="153"/>
  <c r="AH53" i="117"/>
  <c r="AI53" i="117"/>
  <c r="K50" i="72"/>
  <c r="AJ53" i="117"/>
  <c r="AH53" i="144"/>
  <c r="AI53" i="144"/>
  <c r="U50" i="72"/>
  <c r="AJ53" i="144"/>
  <c r="AH19" i="115"/>
  <c r="AI19" i="115"/>
  <c r="I16" i="72"/>
  <c r="AJ19" i="115"/>
  <c r="AH19" i="116"/>
  <c r="AI19" i="116"/>
  <c r="J16" i="72"/>
  <c r="AJ19" i="116"/>
  <c r="AH13" i="149"/>
  <c r="AI13" i="149"/>
  <c r="Z10" i="72"/>
  <c r="AJ13" i="149"/>
  <c r="AH74" i="149"/>
  <c r="AI74" i="149"/>
  <c r="Z71" i="72"/>
  <c r="AJ74" i="149"/>
  <c r="AH49" i="131"/>
  <c r="AI49" i="131"/>
  <c r="T46" i="72"/>
  <c r="AJ49" i="131"/>
  <c r="AH16" i="152"/>
  <c r="AI16" i="152"/>
  <c r="AB13" i="72"/>
  <c r="AJ16" i="152"/>
  <c r="AH60" i="151"/>
  <c r="AI60" i="151"/>
  <c r="AA57" i="72"/>
  <c r="AJ60" i="151"/>
  <c r="AH60" i="115"/>
  <c r="AI60" i="115"/>
  <c r="I57" i="72"/>
  <c r="AJ60" i="115"/>
  <c r="AI68" i="80"/>
  <c r="AJ68" i="80"/>
  <c r="AE65" i="72"/>
  <c r="AK68" i="80"/>
  <c r="AH21" i="115"/>
  <c r="AI21" i="115"/>
  <c r="I18" i="72"/>
  <c r="AJ21" i="115"/>
  <c r="AH66" i="119"/>
  <c r="AI66" i="119"/>
  <c r="M63" i="72"/>
  <c r="AJ66" i="119"/>
  <c r="AH66" i="128"/>
  <c r="AI66" i="128"/>
  <c r="R63" i="72"/>
  <c r="AJ66" i="128"/>
  <c r="AH34" i="116"/>
  <c r="AI34" i="116"/>
  <c r="J31" i="72"/>
  <c r="AJ34" i="116"/>
  <c r="AH62" i="115"/>
  <c r="AI62" i="115"/>
  <c r="I59" i="72"/>
  <c r="AJ62" i="115"/>
  <c r="AH62" i="117"/>
  <c r="AI62" i="117"/>
  <c r="K59" i="72"/>
  <c r="AJ62" i="117"/>
  <c r="AH24" i="145"/>
  <c r="AI24" i="145"/>
  <c r="V21" i="72"/>
  <c r="AJ24" i="145"/>
  <c r="AH73" i="118"/>
  <c r="AI73" i="118"/>
  <c r="L70" i="72"/>
  <c r="AJ73" i="118"/>
  <c r="AH73" i="148"/>
  <c r="AI73" i="148"/>
  <c r="Y70" i="72"/>
  <c r="AJ73" i="148"/>
  <c r="AH67" i="153"/>
  <c r="AI67" i="153"/>
  <c r="AC64" i="72"/>
  <c r="AJ67" i="153"/>
  <c r="AH36" i="117"/>
  <c r="AI36" i="117"/>
  <c r="K33" i="72"/>
  <c r="AJ36" i="117"/>
  <c r="AH28" i="126"/>
  <c r="AI28" i="126"/>
  <c r="P25" i="72"/>
  <c r="AJ28" i="126"/>
  <c r="AC57" i="127"/>
  <c r="AN57" i="127"/>
  <c r="AO57" i="127"/>
  <c r="AU54" i="72"/>
  <c r="Q54" i="100"/>
  <c r="AC57" i="125"/>
  <c r="AN57" i="125"/>
  <c r="AO57" i="125"/>
  <c r="AS54" i="72"/>
  <c r="O54" i="100"/>
  <c r="AC57" i="152"/>
  <c r="AN57" i="152"/>
  <c r="AO57" i="152"/>
  <c r="BF54" i="72"/>
  <c r="AD57" i="152"/>
  <c r="AF57" i="152"/>
  <c r="AB54" i="100"/>
  <c r="AC57" i="153"/>
  <c r="AN57" i="153"/>
  <c r="AO57" i="153"/>
  <c r="BG54" i="72"/>
  <c r="AC54" i="100"/>
  <c r="AD57" i="153"/>
  <c r="AF57" i="153"/>
  <c r="AH10" i="147"/>
  <c r="AI10" i="147"/>
  <c r="X7" i="72"/>
  <c r="AJ10" i="147"/>
  <c r="AH17" i="129"/>
  <c r="AI17" i="129"/>
  <c r="S14" i="72"/>
  <c r="AJ17" i="129"/>
  <c r="AH61" i="146"/>
  <c r="AI61" i="146"/>
  <c r="W58" i="72"/>
  <c r="AJ61" i="146"/>
  <c r="AH61" i="120"/>
  <c r="AI61" i="120"/>
  <c r="N58" i="72"/>
  <c r="AJ61" i="120"/>
  <c r="AH61" i="127"/>
  <c r="AI61" i="127"/>
  <c r="Q58" i="72"/>
  <c r="AJ61" i="127"/>
  <c r="AH69" i="129"/>
  <c r="AI69" i="129"/>
  <c r="S66" i="72"/>
  <c r="AJ69" i="129"/>
  <c r="AH54" i="128"/>
  <c r="AI54" i="128"/>
  <c r="R51" i="72"/>
  <c r="AJ54" i="128"/>
  <c r="AH55" i="114"/>
  <c r="AI55" i="114"/>
  <c r="H52" i="72"/>
  <c r="AJ55" i="114"/>
  <c r="AI46" i="80"/>
  <c r="AJ46" i="80"/>
  <c r="AE43" i="72"/>
  <c r="AK46" i="80"/>
  <c r="AC37" i="146"/>
  <c r="AN37" i="146"/>
  <c r="AO37" i="146"/>
  <c r="BA34" i="72"/>
  <c r="W34" i="100"/>
  <c r="AD37" i="146"/>
  <c r="AF37" i="146"/>
  <c r="Q34" i="100"/>
  <c r="AC37" i="127"/>
  <c r="AN37" i="127"/>
  <c r="AO37" i="127"/>
  <c r="AU34" i="72"/>
  <c r="N34" i="100"/>
  <c r="AC37" i="120"/>
  <c r="AN37" i="120"/>
  <c r="AO37" i="120"/>
  <c r="AR34" i="72"/>
  <c r="AD37" i="120"/>
  <c r="AF37" i="120"/>
  <c r="AA34" i="100"/>
  <c r="AC37" i="151"/>
  <c r="AN37" i="151"/>
  <c r="AO37" i="151"/>
  <c r="BE34" i="72"/>
  <c r="X22" i="100"/>
  <c r="AC25" i="147"/>
  <c r="AN25" i="147"/>
  <c r="AO25" i="147"/>
  <c r="BB22" i="72"/>
  <c r="AD25" i="80"/>
  <c r="AO25" i="80"/>
  <c r="AP25" i="80"/>
  <c r="BI22" i="72"/>
  <c r="AE25" i="80"/>
  <c r="AG25" i="80"/>
  <c r="AE22" i="100"/>
  <c r="L22" i="100"/>
  <c r="AC25" i="118"/>
  <c r="AN25" i="118"/>
  <c r="AO25" i="118"/>
  <c r="AP22" i="72"/>
  <c r="AC15" i="118"/>
  <c r="AN15" i="118"/>
  <c r="AO15" i="118"/>
  <c r="AP12" i="72"/>
  <c r="L12" i="100"/>
  <c r="AM12" i="72"/>
  <c r="I12" i="100"/>
  <c r="AD15" i="115"/>
  <c r="AF15" i="115"/>
  <c r="AC15" i="152"/>
  <c r="AN15" i="152"/>
  <c r="AO15" i="152"/>
  <c r="BF12" i="72"/>
  <c r="AB12" i="100"/>
  <c r="AD15" i="152"/>
  <c r="AF15" i="152"/>
  <c r="S69" i="100"/>
  <c r="AC72" i="129"/>
  <c r="AN72" i="129"/>
  <c r="AO72" i="129"/>
  <c r="AW69" i="72"/>
  <c r="AD72" i="129"/>
  <c r="AF72" i="129"/>
  <c r="L69" i="100"/>
  <c r="AC72" i="118"/>
  <c r="AN72" i="118"/>
  <c r="AO72" i="118"/>
  <c r="AP69" i="72"/>
  <c r="Y69" i="100"/>
  <c r="AC72" i="148"/>
  <c r="AN72" i="148"/>
  <c r="AO72" i="148"/>
  <c r="BC69" i="72"/>
  <c r="AD72" i="148"/>
  <c r="AF72" i="148"/>
  <c r="AC72" i="125"/>
  <c r="AN72" i="125"/>
  <c r="AO72" i="125"/>
  <c r="AS69" i="72"/>
  <c r="O69" i="100"/>
  <c r="AD33" i="80"/>
  <c r="AO33" i="80"/>
  <c r="AP33" i="80"/>
  <c r="BI30" i="72"/>
  <c r="AE30" i="100"/>
  <c r="AE33" i="80"/>
  <c r="AG33" i="80"/>
  <c r="AC33" i="120"/>
  <c r="AN33" i="120"/>
  <c r="AO33" i="120"/>
  <c r="AR30" i="72"/>
  <c r="N30" i="100"/>
  <c r="AD33" i="120"/>
  <c r="AF33" i="120"/>
  <c r="AC33" i="117"/>
  <c r="AN33" i="117"/>
  <c r="AO33" i="117"/>
  <c r="AO30" i="72"/>
  <c r="K30" i="100"/>
  <c r="Q30" i="100"/>
  <c r="AC33" i="127"/>
  <c r="AN33" i="127"/>
  <c r="AO33" i="127"/>
  <c r="AU30" i="72"/>
  <c r="AH31" i="115"/>
  <c r="AI31" i="115"/>
  <c r="I28" i="72"/>
  <c r="AJ31" i="115"/>
  <c r="AH31" i="128"/>
  <c r="AI31" i="128"/>
  <c r="R28" i="72"/>
  <c r="AJ31" i="128"/>
  <c r="AI22" i="80"/>
  <c r="AJ22" i="80"/>
  <c r="AE19" i="72"/>
  <c r="AK22" i="80"/>
  <c r="AH64" i="152"/>
  <c r="AI64" i="152"/>
  <c r="AB61" i="72"/>
  <c r="AJ64" i="152"/>
  <c r="AC35" i="118"/>
  <c r="AN35" i="118"/>
  <c r="AO35" i="118"/>
  <c r="AP32" i="72"/>
  <c r="L32" i="100"/>
  <c r="H32" i="100"/>
  <c r="AL32" i="72"/>
  <c r="AC35" i="147"/>
  <c r="AN35" i="147"/>
  <c r="AO35" i="147"/>
  <c r="BB32" i="72"/>
  <c r="X32" i="100"/>
  <c r="AD35" i="147"/>
  <c r="AF35" i="147"/>
  <c r="AC35" i="126"/>
  <c r="AN35" i="126"/>
  <c r="AO35" i="126"/>
  <c r="AT32" i="72"/>
  <c r="P32" i="100"/>
  <c r="AH30" i="113"/>
  <c r="AI30" i="113"/>
  <c r="G27" i="72"/>
  <c r="AJ30" i="113"/>
  <c r="AD50" i="145"/>
  <c r="AF50" i="145"/>
  <c r="AH50" i="128"/>
  <c r="AI50" i="128"/>
  <c r="R47" i="72"/>
  <c r="AJ50" i="128"/>
  <c r="AH70" i="118"/>
  <c r="AI70" i="118"/>
  <c r="L67" i="72"/>
  <c r="AJ70" i="118"/>
  <c r="AH56" i="128"/>
  <c r="AI56" i="128"/>
  <c r="R53" i="72"/>
  <c r="AJ56" i="128"/>
  <c r="AH9" i="119"/>
  <c r="AI9" i="119"/>
  <c r="M6" i="72"/>
  <c r="AJ9" i="119"/>
  <c r="AI9" i="80"/>
  <c r="AJ9" i="80"/>
  <c r="AE6" i="72"/>
  <c r="AK9" i="80"/>
  <c r="AH45" i="151"/>
  <c r="AI45" i="151"/>
  <c r="AA42" i="72"/>
  <c r="AJ45" i="151"/>
  <c r="AH45" i="116"/>
  <c r="AI45" i="116"/>
  <c r="J42" i="72"/>
  <c r="AJ45" i="116"/>
  <c r="AH53" i="125"/>
  <c r="AI53" i="125"/>
  <c r="O50" i="72"/>
  <c r="AJ53" i="125"/>
  <c r="AH53" i="113"/>
  <c r="AI53" i="113"/>
  <c r="G50" i="72"/>
  <c r="AJ53" i="113"/>
  <c r="AH41" i="144"/>
  <c r="AI41" i="144"/>
  <c r="U38" i="72"/>
  <c r="AJ41" i="144"/>
  <c r="AI41" i="80"/>
  <c r="AJ41" i="80"/>
  <c r="AE38" i="72"/>
  <c r="AK41" i="80"/>
  <c r="AD13" i="144"/>
  <c r="AF13" i="144"/>
  <c r="AH13" i="117"/>
  <c r="AI13" i="117"/>
  <c r="K10" i="72"/>
  <c r="AJ13" i="117"/>
  <c r="AH74" i="146"/>
  <c r="AI74" i="146"/>
  <c r="W71" i="72"/>
  <c r="AJ74" i="146"/>
  <c r="AD49" i="128"/>
  <c r="AF49" i="128"/>
  <c r="AD16" i="144"/>
  <c r="AF16" i="144"/>
  <c r="AD16" i="146"/>
  <c r="AF16" i="146"/>
  <c r="AI60" i="80"/>
  <c r="AJ60" i="80"/>
  <c r="AE57" i="72"/>
  <c r="AK60" i="80"/>
  <c r="AD18" i="125"/>
  <c r="AF18" i="125"/>
  <c r="AD21" i="148"/>
  <c r="AF21" i="148"/>
  <c r="AG63" i="100"/>
  <c r="AF63" i="100"/>
  <c r="AD66" i="125"/>
  <c r="AF66" i="125"/>
  <c r="AH66" i="129"/>
  <c r="AI66" i="129"/>
  <c r="S63" i="72"/>
  <c r="AJ66" i="129"/>
  <c r="AC44" i="152"/>
  <c r="AN44" i="152"/>
  <c r="AO44" i="152"/>
  <c r="BF41" i="72"/>
  <c r="AB41" i="100"/>
  <c r="AD44" i="152"/>
  <c r="AF44" i="152"/>
  <c r="AC44" i="131"/>
  <c r="AN44" i="131"/>
  <c r="AO44" i="131"/>
  <c r="AX41" i="72"/>
  <c r="T41" i="100"/>
  <c r="AH34" i="131"/>
  <c r="AI34" i="131"/>
  <c r="T31" i="72"/>
  <c r="AJ34" i="131"/>
  <c r="AD34" i="119"/>
  <c r="AF34" i="119"/>
  <c r="AD62" i="126"/>
  <c r="AF62" i="126"/>
  <c r="AD62" i="148"/>
  <c r="AF62" i="148"/>
  <c r="AD24" i="152"/>
  <c r="AF24" i="152"/>
  <c r="AD24" i="117"/>
  <c r="AF24" i="117"/>
  <c r="AH39" i="147"/>
  <c r="AI39" i="147"/>
  <c r="X36" i="72"/>
  <c r="AJ39" i="147"/>
  <c r="AD73" i="153"/>
  <c r="AF73" i="153"/>
  <c r="AH32" i="131"/>
  <c r="AI32" i="131"/>
  <c r="T29" i="72"/>
  <c r="AJ32" i="131"/>
  <c r="AH59" i="153"/>
  <c r="AI59" i="153"/>
  <c r="AC56" i="72"/>
  <c r="AJ59" i="153"/>
  <c r="AD67" i="115"/>
  <c r="AF67" i="115"/>
  <c r="AF64" i="100"/>
  <c r="AH36" i="153"/>
  <c r="AI36" i="153"/>
  <c r="AC33" i="72"/>
  <c r="AJ36" i="153"/>
  <c r="AH36" i="147"/>
  <c r="AI36" i="147"/>
  <c r="X33" i="72"/>
  <c r="AJ36" i="147"/>
  <c r="AI28" i="76"/>
  <c r="AJ28" i="76"/>
  <c r="AD25" i="72"/>
  <c r="AK28" i="76"/>
  <c r="AD26" i="128"/>
  <c r="AF26" i="128"/>
  <c r="AH10" i="120"/>
  <c r="AI10" i="120"/>
  <c r="N7" i="72"/>
  <c r="AJ10" i="120"/>
  <c r="AD10" i="126"/>
  <c r="AF10" i="126"/>
  <c r="AH10" i="145"/>
  <c r="AI10" i="145"/>
  <c r="V7" i="72"/>
  <c r="AJ10" i="145"/>
  <c r="AD10" i="146"/>
  <c r="AF10" i="146"/>
  <c r="AC42" i="119"/>
  <c r="AN42" i="119"/>
  <c r="AO42" i="119"/>
  <c r="AQ39" i="72"/>
  <c r="M39" i="100"/>
  <c r="AC42" i="118"/>
  <c r="AN42" i="118"/>
  <c r="AO42" i="118"/>
  <c r="AP39" i="72"/>
  <c r="L39" i="100"/>
  <c r="AJ74" i="31"/>
  <c r="AJ73" i="72"/>
  <c r="AH17" i="127"/>
  <c r="AI17" i="127"/>
  <c r="Q14" i="72"/>
  <c r="AJ17" i="127"/>
  <c r="AH61" i="129"/>
  <c r="AI61" i="129"/>
  <c r="S58" i="72"/>
  <c r="AJ61" i="129"/>
  <c r="AI61" i="76"/>
  <c r="AJ61" i="76"/>
  <c r="AD58" i="72"/>
  <c r="AK61" i="76"/>
  <c r="AH61" i="115"/>
  <c r="AI61" i="115"/>
  <c r="I58" i="72"/>
  <c r="AJ61" i="115"/>
  <c r="AH61" i="118"/>
  <c r="AI61" i="118"/>
  <c r="L58" i="72"/>
  <c r="AJ61" i="118"/>
  <c r="AH27" i="127"/>
  <c r="AI27" i="127"/>
  <c r="Q24" i="72"/>
  <c r="AJ27" i="127"/>
  <c r="AH69" i="147"/>
  <c r="AI69" i="147"/>
  <c r="X66" i="72"/>
  <c r="AJ69" i="147"/>
  <c r="AH54" i="147"/>
  <c r="AI54" i="147"/>
  <c r="X51" i="72"/>
  <c r="AJ54" i="147"/>
  <c r="AH55" i="145"/>
  <c r="AI55" i="145"/>
  <c r="V52" i="72"/>
  <c r="AJ55" i="145"/>
  <c r="AH55" i="126"/>
  <c r="AI55" i="126"/>
  <c r="P52" i="72"/>
  <c r="AJ55" i="126"/>
  <c r="AH55" i="146"/>
  <c r="AI55" i="146"/>
  <c r="W52" i="72"/>
  <c r="AJ55" i="146"/>
  <c r="AR10" i="46"/>
  <c r="AS10" i="46"/>
  <c r="AT10" i="46"/>
  <c r="AC38" i="129"/>
  <c r="AN38" i="129"/>
  <c r="AO38" i="129"/>
  <c r="AW35" i="72"/>
  <c r="S35" i="100"/>
  <c r="AL35" i="72"/>
  <c r="H35" i="100"/>
  <c r="H20" i="100"/>
  <c r="AL20" i="72"/>
  <c r="U20" i="100"/>
  <c r="AF20" i="100"/>
  <c r="AC23" i="144"/>
  <c r="AN23" i="144"/>
  <c r="AO23" i="144"/>
  <c r="AY20" i="72"/>
  <c r="AC52" i="119"/>
  <c r="AN52" i="119"/>
  <c r="AO52" i="119"/>
  <c r="AQ49" i="72"/>
  <c r="AD52" i="119"/>
  <c r="AF52" i="119"/>
  <c r="M49" i="100"/>
  <c r="S49" i="100"/>
  <c r="AC52" i="129"/>
  <c r="AN52" i="129"/>
  <c r="AO52" i="129"/>
  <c r="AW49" i="72"/>
  <c r="AD52" i="129"/>
  <c r="AF52" i="129"/>
  <c r="AC8" i="148"/>
  <c r="AN8" i="148"/>
  <c r="AO8" i="148"/>
  <c r="BC5" i="72"/>
  <c r="Y5" i="100"/>
  <c r="AC8" i="127"/>
  <c r="AN8" i="127"/>
  <c r="AO8" i="127"/>
  <c r="AU5" i="72"/>
  <c r="Q5" i="100"/>
  <c r="T17" i="100"/>
  <c r="AC20" i="131"/>
  <c r="AN20" i="131"/>
  <c r="AO20" i="131"/>
  <c r="AX17" i="72"/>
  <c r="S17" i="100"/>
  <c r="AC20" i="129"/>
  <c r="AN20" i="129"/>
  <c r="AO20" i="129"/>
  <c r="AW17" i="72"/>
  <c r="U17" i="100"/>
  <c r="AC20" i="144"/>
  <c r="AN20" i="144"/>
  <c r="AO20" i="144"/>
  <c r="AY17" i="72"/>
  <c r="AM17" i="72"/>
  <c r="I17" i="100"/>
  <c r="AH43" i="113"/>
  <c r="AI43" i="113"/>
  <c r="G40" i="72"/>
  <c r="AJ43" i="113"/>
  <c r="N40" i="100"/>
  <c r="AC43" i="120"/>
  <c r="AN43" i="120"/>
  <c r="AO43" i="120"/>
  <c r="AR40" i="72"/>
  <c r="AE40" i="100"/>
  <c r="AD43" i="80"/>
  <c r="AO43" i="80"/>
  <c r="AP43" i="80"/>
  <c r="BI40" i="72"/>
  <c r="AC43" i="117"/>
  <c r="AN43" i="117"/>
  <c r="AO43" i="117"/>
  <c r="AO40" i="72"/>
  <c r="K40" i="100"/>
  <c r="AD43" i="117"/>
  <c r="AF43" i="117"/>
  <c r="V9" i="100"/>
  <c r="AC12" i="145"/>
  <c r="AN12" i="145"/>
  <c r="AO12" i="145"/>
  <c r="AZ9" i="72"/>
  <c r="AD12" i="145"/>
  <c r="AF12" i="145"/>
  <c r="AC12" i="149"/>
  <c r="AN12" i="149"/>
  <c r="AO12" i="149"/>
  <c r="BD9" i="72"/>
  <c r="Z9" i="100"/>
  <c r="Y9" i="100"/>
  <c r="AC12" i="148"/>
  <c r="AN12" i="148"/>
  <c r="AO12" i="148"/>
  <c r="BC9" i="72"/>
  <c r="K55" i="100"/>
  <c r="AC58" i="117"/>
  <c r="AN58" i="117"/>
  <c r="AO58" i="117"/>
  <c r="AO55" i="72"/>
  <c r="AM55" i="72"/>
  <c r="I55" i="100"/>
  <c r="J55" i="100"/>
  <c r="AC58" i="116"/>
  <c r="AN58" i="116"/>
  <c r="AO58" i="116"/>
  <c r="AN55" i="72"/>
  <c r="AC40" i="119"/>
  <c r="AN40" i="119"/>
  <c r="AO40" i="119"/>
  <c r="AQ37" i="72"/>
  <c r="M37" i="100"/>
  <c r="AD40" i="119"/>
  <c r="AF40" i="119"/>
  <c r="L37" i="100"/>
  <c r="AC40" i="118"/>
  <c r="AN40" i="118"/>
  <c r="AO40" i="118"/>
  <c r="AP37" i="72"/>
  <c r="AC40" i="149"/>
  <c r="AN40" i="149"/>
  <c r="AO40" i="149"/>
  <c r="BD37" i="72"/>
  <c r="Z37" i="100"/>
  <c r="AD40" i="149"/>
  <c r="AF40" i="149"/>
  <c r="AC14" i="128"/>
  <c r="AN14" i="128"/>
  <c r="AO14" i="128"/>
  <c r="AV11" i="72"/>
  <c r="R11" i="100"/>
  <c r="AD14" i="128"/>
  <c r="AF14" i="128"/>
  <c r="AC14" i="152"/>
  <c r="AN14" i="152"/>
  <c r="AO14" i="152"/>
  <c r="BF11" i="72"/>
  <c r="AB11" i="100"/>
  <c r="J11" i="100"/>
  <c r="AC14" i="116"/>
  <c r="AN14" i="116"/>
  <c r="AO14" i="116"/>
  <c r="AN11" i="72"/>
  <c r="AA44" i="100"/>
  <c r="AC47" i="151"/>
  <c r="AN47" i="151"/>
  <c r="AO47" i="151"/>
  <c r="BE44" i="72"/>
  <c r="AD47" i="151"/>
  <c r="AF47" i="151"/>
  <c r="T44" i="100"/>
  <c r="AC47" i="131"/>
  <c r="AN47" i="131"/>
  <c r="AO47" i="131"/>
  <c r="AX44" i="72"/>
  <c r="AC47" i="126"/>
  <c r="AN47" i="126"/>
  <c r="AO47" i="126"/>
  <c r="AT44" i="72"/>
  <c r="P44" i="100"/>
  <c r="AD47" i="126"/>
  <c r="AF47" i="126"/>
  <c r="Z60" i="100"/>
  <c r="AC63" i="149"/>
  <c r="AN63" i="149"/>
  <c r="AO63" i="149"/>
  <c r="BD60" i="72"/>
  <c r="AD63" i="80"/>
  <c r="AO63" i="80"/>
  <c r="AP63" i="80"/>
  <c r="BI60" i="72"/>
  <c r="AE60" i="100"/>
  <c r="AE63" i="80"/>
  <c r="AG63" i="80"/>
  <c r="AC63" i="119"/>
  <c r="AN63" i="119"/>
  <c r="AO63" i="119"/>
  <c r="AQ60" i="72"/>
  <c r="M60" i="100"/>
  <c r="AD63" i="119"/>
  <c r="AF63" i="119"/>
  <c r="N48" i="100"/>
  <c r="AC51" i="120"/>
  <c r="AN51" i="120"/>
  <c r="AO51" i="120"/>
  <c r="AR48" i="72"/>
  <c r="AD51" i="120"/>
  <c r="AF51" i="120"/>
  <c r="T48" i="100"/>
  <c r="AC51" i="131"/>
  <c r="AD51" i="131"/>
  <c r="AF51" i="131"/>
  <c r="AN51" i="131"/>
  <c r="AO51" i="131"/>
  <c r="AX48" i="72"/>
  <c r="AH75" i="113"/>
  <c r="AI75" i="113"/>
  <c r="G72" i="72"/>
  <c r="AJ75" i="113"/>
  <c r="AB72" i="100"/>
  <c r="AC75" i="152"/>
  <c r="AN75" i="152"/>
  <c r="AO75" i="152"/>
  <c r="BF72" i="72"/>
  <c r="AD75" i="152"/>
  <c r="AF75" i="152"/>
  <c r="O72" i="100"/>
  <c r="AC75" i="125"/>
  <c r="AN75" i="125"/>
  <c r="AO75" i="125"/>
  <c r="AS72" i="72"/>
  <c r="AH29" i="147"/>
  <c r="AI29" i="147"/>
  <c r="X26" i="72"/>
  <c r="AJ29" i="147"/>
  <c r="AF28" i="100"/>
  <c r="AG28" i="100"/>
  <c r="AI22" i="76"/>
  <c r="AJ22" i="76"/>
  <c r="AD19" i="72"/>
  <c r="AK22" i="76"/>
  <c r="AH64" i="145"/>
  <c r="AI64" i="145"/>
  <c r="V61" i="72"/>
  <c r="AJ64" i="145"/>
  <c r="AH64" i="127"/>
  <c r="AI64" i="127"/>
  <c r="Q61" i="72"/>
  <c r="AJ64" i="127"/>
  <c r="AH64" i="144"/>
  <c r="AI64" i="144"/>
  <c r="U61" i="72"/>
  <c r="AJ64" i="144"/>
  <c r="AH30" i="149"/>
  <c r="AI30" i="149"/>
  <c r="Z27" i="72"/>
  <c r="AJ30" i="149"/>
  <c r="Q68" i="100"/>
  <c r="AC71" i="127"/>
  <c r="AN71" i="127"/>
  <c r="AO71" i="127"/>
  <c r="AU68" i="72"/>
  <c r="AD68" i="100"/>
  <c r="AD71" i="76"/>
  <c r="AO71" i="76"/>
  <c r="AP71" i="76"/>
  <c r="BH68" i="72"/>
  <c r="O68" i="100"/>
  <c r="AC71" i="125"/>
  <c r="AN71" i="125"/>
  <c r="AO71" i="125"/>
  <c r="AS68" i="72"/>
  <c r="AD71" i="80"/>
  <c r="AO71" i="80"/>
  <c r="AP71" i="80"/>
  <c r="BI68" i="72"/>
  <c r="AE68" i="100"/>
  <c r="M68" i="100"/>
  <c r="AC71" i="119"/>
  <c r="AN71" i="119"/>
  <c r="AO71" i="119"/>
  <c r="AQ68" i="72"/>
  <c r="AD71" i="119"/>
  <c r="AF71" i="119"/>
  <c r="AH50" i="126"/>
  <c r="AI50" i="126"/>
  <c r="P47" i="72"/>
  <c r="AJ50" i="126"/>
  <c r="AH50" i="114"/>
  <c r="AI50" i="114"/>
  <c r="H47" i="72"/>
  <c r="AJ50" i="114"/>
  <c r="AH56" i="116"/>
  <c r="AI56" i="116"/>
  <c r="J53" i="72"/>
  <c r="AJ56" i="116"/>
  <c r="AI9" i="76"/>
  <c r="AJ9" i="76"/>
  <c r="AD6" i="72"/>
  <c r="AK9" i="76"/>
  <c r="AH9" i="114"/>
  <c r="AI9" i="114"/>
  <c r="H6" i="72"/>
  <c r="AJ9" i="114"/>
  <c r="AH53" i="147"/>
  <c r="AI53" i="147"/>
  <c r="X50" i="72"/>
  <c r="AJ53" i="147"/>
  <c r="AH19" i="117"/>
  <c r="AI19" i="117"/>
  <c r="K16" i="72"/>
  <c r="AJ19" i="117"/>
  <c r="AH19" i="152"/>
  <c r="AI19" i="152"/>
  <c r="AB16" i="72"/>
  <c r="AJ19" i="152"/>
  <c r="AH41" i="120"/>
  <c r="AI41" i="120"/>
  <c r="N38" i="72"/>
  <c r="AJ41" i="120"/>
  <c r="AG38" i="100"/>
  <c r="AH41" i="126"/>
  <c r="AI41" i="126"/>
  <c r="P38" i="72"/>
  <c r="AJ41" i="126"/>
  <c r="AH13" i="127"/>
  <c r="AI13" i="127"/>
  <c r="Q10" i="72"/>
  <c r="AJ13" i="127"/>
  <c r="AH74" i="131"/>
  <c r="AI74" i="131"/>
  <c r="T71" i="72"/>
  <c r="AJ74" i="131"/>
  <c r="AH74" i="145"/>
  <c r="AI74" i="145"/>
  <c r="V71" i="72"/>
  <c r="AJ74" i="145"/>
  <c r="AH16" i="145"/>
  <c r="AI16" i="145"/>
  <c r="V13" i="72"/>
  <c r="AJ16" i="145"/>
  <c r="AF13" i="100"/>
  <c r="AG13" i="100"/>
  <c r="AH60" i="149"/>
  <c r="AI60" i="149"/>
  <c r="Z57" i="72"/>
  <c r="AJ60" i="149"/>
  <c r="AI68" i="76"/>
  <c r="AJ68" i="76"/>
  <c r="AD65" i="72"/>
  <c r="AK68" i="76"/>
  <c r="AH18" i="120"/>
  <c r="AI18" i="120"/>
  <c r="N15" i="72"/>
  <c r="AJ18" i="120"/>
  <c r="AH21" i="149"/>
  <c r="AI21" i="149"/>
  <c r="Z18" i="72"/>
  <c r="AJ21" i="149"/>
  <c r="AD66" i="117"/>
  <c r="AF66" i="117"/>
  <c r="AH66" i="118"/>
  <c r="AI66" i="118"/>
  <c r="L63" i="72"/>
  <c r="AJ66" i="118"/>
  <c r="AH34" i="127"/>
  <c r="AI34" i="127"/>
  <c r="Q31" i="72"/>
  <c r="AJ34" i="127"/>
  <c r="AG59" i="100"/>
  <c r="AF59" i="100"/>
  <c r="AH62" i="153"/>
  <c r="AI62" i="153"/>
  <c r="AC59" i="72"/>
  <c r="AJ62" i="153"/>
  <c r="AH62" i="146"/>
  <c r="AI62" i="146"/>
  <c r="W59" i="72"/>
  <c r="AJ62" i="146"/>
  <c r="AD24" i="118"/>
  <c r="AF24" i="118"/>
  <c r="AD39" i="146"/>
  <c r="AF39" i="146"/>
  <c r="AH73" i="125"/>
  <c r="AI73" i="125"/>
  <c r="O70" i="72"/>
  <c r="AJ73" i="125"/>
  <c r="AD73" i="147"/>
  <c r="AF73" i="147"/>
  <c r="AF29" i="100"/>
  <c r="AG29" i="100"/>
  <c r="AH32" i="127"/>
  <c r="AI32" i="127"/>
  <c r="Q29" i="72"/>
  <c r="AJ32" i="127"/>
  <c r="AH32" i="125"/>
  <c r="AI32" i="125"/>
  <c r="O29" i="72"/>
  <c r="AJ32" i="125"/>
  <c r="AE59" i="76"/>
  <c r="AG59" i="76"/>
  <c r="AH59" i="145"/>
  <c r="AI59" i="145"/>
  <c r="V56" i="72"/>
  <c r="AJ59" i="145"/>
  <c r="AD67" i="146"/>
  <c r="AF67" i="146"/>
  <c r="AI67" i="76"/>
  <c r="AJ67" i="76"/>
  <c r="AD64" i="72"/>
  <c r="AK67" i="76"/>
  <c r="AD28" i="114"/>
  <c r="AF28" i="114"/>
  <c r="AG25" i="100"/>
  <c r="AF25" i="100"/>
  <c r="AD28" i="145"/>
  <c r="AF28" i="145"/>
  <c r="AC57" i="149"/>
  <c r="AN57" i="149"/>
  <c r="AO57" i="149"/>
  <c r="BD54" i="72"/>
  <c r="Z54" i="100"/>
  <c r="L54" i="100"/>
  <c r="AC57" i="118"/>
  <c r="AN57" i="118"/>
  <c r="AO57" i="118"/>
  <c r="AP54" i="72"/>
  <c r="AH26" i="114"/>
  <c r="AI26" i="114"/>
  <c r="H23" i="72"/>
  <c r="AJ26" i="114"/>
  <c r="AD26" i="118"/>
  <c r="AF26" i="118"/>
  <c r="AH10" i="117"/>
  <c r="AI10" i="117"/>
  <c r="K7" i="72"/>
  <c r="AJ10" i="117"/>
  <c r="AG7" i="100"/>
  <c r="AF7" i="100"/>
  <c r="AH10" i="153"/>
  <c r="AI10" i="153"/>
  <c r="AC7" i="72"/>
  <c r="AJ10" i="153"/>
  <c r="AH65" i="116"/>
  <c r="AI65" i="116"/>
  <c r="J62" i="72"/>
  <c r="AJ65" i="116"/>
  <c r="AH17" i="114"/>
  <c r="AI17" i="114"/>
  <c r="H14" i="72"/>
  <c r="AJ17" i="114"/>
  <c r="AH17" i="148"/>
  <c r="AI17" i="148"/>
  <c r="Y14" i="72"/>
  <c r="AJ17" i="148"/>
  <c r="AH61" i="116"/>
  <c r="AI61" i="116"/>
  <c r="J58" i="72"/>
  <c r="AJ61" i="116"/>
  <c r="AH61" i="144"/>
  <c r="AI61" i="144"/>
  <c r="U58" i="72"/>
  <c r="AJ61" i="144"/>
  <c r="AH27" i="128"/>
  <c r="AI27" i="128"/>
  <c r="R24" i="72"/>
  <c r="AJ27" i="128"/>
  <c r="AH69" i="125"/>
  <c r="AI69" i="125"/>
  <c r="O66" i="72"/>
  <c r="AJ69" i="125"/>
  <c r="AD54" i="116"/>
  <c r="AF54" i="116"/>
  <c r="AE55" i="80"/>
  <c r="AG55" i="80"/>
  <c r="AH55" i="151"/>
  <c r="AI55" i="151"/>
  <c r="AA52" i="72"/>
  <c r="AJ55" i="151"/>
  <c r="AH55" i="115"/>
  <c r="AI55" i="115"/>
  <c r="I52" i="72"/>
  <c r="AJ55" i="115"/>
  <c r="AH46" i="147"/>
  <c r="AI46" i="147"/>
  <c r="X43" i="72"/>
  <c r="AJ46" i="147"/>
  <c r="AD34" i="100"/>
  <c r="AD37" i="76"/>
  <c r="AO37" i="76"/>
  <c r="AP37" i="76"/>
  <c r="BH34" i="72"/>
  <c r="AE34" i="100"/>
  <c r="AD37" i="80"/>
  <c r="AO37" i="80"/>
  <c r="AP37" i="80"/>
  <c r="BI34" i="72"/>
  <c r="AE37" i="80"/>
  <c r="AG37" i="80"/>
  <c r="AC25" i="126"/>
  <c r="AN25" i="126"/>
  <c r="AO25" i="126"/>
  <c r="AT22" i="72"/>
  <c r="P22" i="100"/>
  <c r="AC25" i="117"/>
  <c r="AN25" i="117"/>
  <c r="AO25" i="117"/>
  <c r="AO22" i="72"/>
  <c r="K22" i="100"/>
  <c r="AD25" i="117"/>
  <c r="AF25" i="117"/>
  <c r="AC25" i="149"/>
  <c r="AN25" i="149"/>
  <c r="AO25" i="149"/>
  <c r="BD22" i="72"/>
  <c r="Z22" i="100"/>
  <c r="AD25" i="149"/>
  <c r="AF25" i="149"/>
  <c r="AC25" i="125"/>
  <c r="AN25" i="125"/>
  <c r="AO25" i="125"/>
  <c r="AS22" i="72"/>
  <c r="O22" i="100"/>
  <c r="M12" i="100"/>
  <c r="AC15" i="119"/>
  <c r="AN15" i="119"/>
  <c r="AO15" i="119"/>
  <c r="AQ12" i="72"/>
  <c r="W12" i="100"/>
  <c r="AC15" i="146"/>
  <c r="AN15" i="146"/>
  <c r="AO15" i="146"/>
  <c r="BA12" i="72"/>
  <c r="AD15" i="146"/>
  <c r="AF15" i="146"/>
  <c r="AA69" i="100"/>
  <c r="AC72" i="151"/>
  <c r="AN72" i="151"/>
  <c r="AO72" i="151"/>
  <c r="BE69" i="72"/>
  <c r="AH33" i="113"/>
  <c r="AI33" i="113"/>
  <c r="G30" i="72"/>
  <c r="AJ33" i="113"/>
  <c r="AB30" i="100"/>
  <c r="AC33" i="152"/>
  <c r="AN33" i="152"/>
  <c r="AO33" i="152"/>
  <c r="BF30" i="72"/>
  <c r="AD33" i="152"/>
  <c r="AF33" i="152"/>
  <c r="AC33" i="119"/>
  <c r="AN33" i="119"/>
  <c r="AO33" i="119"/>
  <c r="AQ30" i="72"/>
  <c r="AD33" i="119"/>
  <c r="AF33" i="119"/>
  <c r="M30" i="100"/>
  <c r="AH43" i="149"/>
  <c r="AI43" i="149"/>
  <c r="Z40" i="72"/>
  <c r="AJ43" i="149"/>
  <c r="AD43" i="128"/>
  <c r="AF43" i="128"/>
  <c r="AH43" i="116"/>
  <c r="AI43" i="116"/>
  <c r="J40" i="72"/>
  <c r="AJ43" i="116"/>
  <c r="AH12" i="131"/>
  <c r="AI12" i="131"/>
  <c r="T9" i="72"/>
  <c r="AJ12" i="131"/>
  <c r="AH58" i="126"/>
  <c r="AI58" i="126"/>
  <c r="P55" i="72"/>
  <c r="AJ58" i="126"/>
  <c r="AH40" i="125"/>
  <c r="AI40" i="125"/>
  <c r="O37" i="72"/>
  <c r="AJ40" i="125"/>
  <c r="AD14" i="120"/>
  <c r="AF14" i="120"/>
  <c r="X44" i="100"/>
  <c r="AC47" i="147"/>
  <c r="AN47" i="147"/>
  <c r="AO47" i="147"/>
  <c r="BB44" i="72"/>
  <c r="AD47" i="147"/>
  <c r="AF47" i="147"/>
  <c r="AI63" i="76"/>
  <c r="AJ63" i="76"/>
  <c r="AD60" i="72"/>
  <c r="AK63" i="76"/>
  <c r="AH63" i="131"/>
  <c r="AI63" i="131"/>
  <c r="T60" i="72"/>
  <c r="AJ63" i="131"/>
  <c r="AD75" i="118"/>
  <c r="AF75" i="118"/>
  <c r="AD29" i="144"/>
  <c r="AF29" i="144"/>
  <c r="AH31" i="129"/>
  <c r="AI31" i="129"/>
  <c r="S28" i="72"/>
  <c r="AJ31" i="129"/>
  <c r="AD64" i="146"/>
  <c r="AF64" i="146"/>
  <c r="AH30" i="153"/>
  <c r="AI30" i="153"/>
  <c r="AC27" i="72"/>
  <c r="AJ30" i="153"/>
  <c r="AD71" i="113"/>
  <c r="AF71" i="113"/>
  <c r="AD71" i="131"/>
  <c r="AF71" i="131"/>
  <c r="AD56" i="149"/>
  <c r="AF56" i="149"/>
  <c r="AD9" i="153"/>
  <c r="AF9" i="153"/>
  <c r="AH53" i="152"/>
  <c r="AI53" i="152"/>
  <c r="AB50" i="72"/>
  <c r="AJ53" i="152"/>
  <c r="AD19" i="129"/>
  <c r="AF19" i="129"/>
  <c r="AH19" i="148"/>
  <c r="AI19" i="148"/>
  <c r="Y16" i="72"/>
  <c r="AJ19" i="148"/>
  <c r="AD74" i="117"/>
  <c r="AF74" i="117"/>
  <c r="AH49" i="145"/>
  <c r="AI49" i="145"/>
  <c r="V46" i="72"/>
  <c r="AJ49" i="145"/>
  <c r="AD49" i="147"/>
  <c r="AF49" i="147"/>
  <c r="AD16" i="149"/>
  <c r="AF16" i="149"/>
  <c r="AD60" i="145"/>
  <c r="AF60" i="145"/>
  <c r="AD60" i="129"/>
  <c r="AF60" i="129"/>
  <c r="AD68" i="125"/>
  <c r="AF68" i="125"/>
  <c r="AD18" i="119"/>
  <c r="AF18" i="119"/>
  <c r="AD21" i="131"/>
  <c r="AF21" i="131"/>
  <c r="AH62" i="129"/>
  <c r="AI62" i="129"/>
  <c r="S59" i="72"/>
  <c r="AJ62" i="129"/>
  <c r="AD39" i="127"/>
  <c r="AF39" i="127"/>
  <c r="AD73" i="151"/>
  <c r="AF73" i="151"/>
  <c r="AD59" i="144"/>
  <c r="AF59" i="144"/>
  <c r="AD59" i="148"/>
  <c r="AF59" i="148"/>
  <c r="AD67" i="131"/>
  <c r="AF67" i="131"/>
  <c r="AD67" i="127"/>
  <c r="AF67" i="127"/>
  <c r="AD57" i="120"/>
  <c r="AF57" i="120"/>
  <c r="AH26" i="152"/>
  <c r="AI26" i="152"/>
  <c r="AB23" i="72"/>
  <c r="AJ26" i="152"/>
  <c r="AD65" i="118"/>
  <c r="AF65" i="118"/>
  <c r="AH17" i="131"/>
  <c r="AI17" i="131"/>
  <c r="T14" i="72"/>
  <c r="AJ17" i="131"/>
  <c r="AD27" i="119"/>
  <c r="AF27" i="119"/>
  <c r="AD54" i="149"/>
  <c r="AF54" i="149"/>
  <c r="AD55" i="144"/>
  <c r="AF55" i="144"/>
  <c r="AD37" i="149"/>
  <c r="AF37" i="149"/>
  <c r="AH15" i="145"/>
  <c r="AI15" i="145"/>
  <c r="V12" i="72"/>
  <c r="AJ15" i="145"/>
  <c r="AE72" i="80"/>
  <c r="AG72" i="80"/>
  <c r="AD33" i="131"/>
  <c r="AF33" i="131"/>
  <c r="AH33" i="128"/>
  <c r="AI33" i="128"/>
  <c r="R30" i="72"/>
  <c r="AJ33" i="128"/>
  <c r="AI73" i="72"/>
  <c r="AL17" i="46"/>
  <c r="AF26" i="100"/>
  <c r="AH22" i="153"/>
  <c r="AI22" i="153"/>
  <c r="AC19" i="72"/>
  <c r="AJ22" i="153"/>
  <c r="AD64" i="119"/>
  <c r="AF64" i="119"/>
  <c r="AD35" i="131"/>
  <c r="AF35" i="131"/>
  <c r="AD35" i="145"/>
  <c r="AF35" i="145"/>
  <c r="AI35" i="80"/>
  <c r="AJ35" i="80"/>
  <c r="AE32" i="72"/>
  <c r="AK35" i="80"/>
  <c r="Y32" i="100"/>
  <c r="AC35" i="148"/>
  <c r="AN35" i="148"/>
  <c r="AO35" i="148"/>
  <c r="BC32" i="72"/>
  <c r="AH50" i="120"/>
  <c r="AI50" i="120"/>
  <c r="N47" i="72"/>
  <c r="AJ50" i="120"/>
  <c r="AD50" i="116"/>
  <c r="AF50" i="116"/>
  <c r="AD70" i="116"/>
  <c r="AF70" i="116"/>
  <c r="AH45" i="144"/>
  <c r="AI45" i="144"/>
  <c r="U42" i="72"/>
  <c r="AJ45" i="144"/>
  <c r="AH19" i="144"/>
  <c r="AI19" i="144"/>
  <c r="U16" i="72"/>
  <c r="AJ19" i="144"/>
  <c r="AH19" i="128"/>
  <c r="AI19" i="128"/>
  <c r="R16" i="72"/>
  <c r="AJ19" i="128"/>
  <c r="AH19" i="131"/>
  <c r="AI19" i="131"/>
  <c r="T16" i="72"/>
  <c r="AJ19" i="131"/>
  <c r="AF10" i="100"/>
  <c r="AG10" i="100"/>
  <c r="AH13" i="146"/>
  <c r="AI13" i="146"/>
  <c r="W10" i="72"/>
  <c r="AJ13" i="146"/>
  <c r="AH68" i="144"/>
  <c r="AI68" i="144"/>
  <c r="U65" i="72"/>
  <c r="AJ68" i="144"/>
  <c r="AD66" i="146"/>
  <c r="AF66" i="146"/>
  <c r="X41" i="100"/>
  <c r="AC44" i="147"/>
  <c r="AN44" i="147"/>
  <c r="AO44" i="147"/>
  <c r="BB41" i="72"/>
  <c r="AD44" i="147"/>
  <c r="AF44" i="147"/>
  <c r="AD44" i="128"/>
  <c r="AF44" i="128"/>
  <c r="AH44" i="146"/>
  <c r="AI44" i="146"/>
  <c r="W41" i="72"/>
  <c r="AJ44" i="146"/>
  <c r="AH73" i="149"/>
  <c r="AI73" i="149"/>
  <c r="Z70" i="72"/>
  <c r="AJ73" i="149"/>
  <c r="AD26" i="146"/>
  <c r="AF26" i="146"/>
  <c r="AH42" i="120"/>
  <c r="AI42" i="120"/>
  <c r="N39" i="72"/>
  <c r="AJ42" i="120"/>
  <c r="AH42" i="148"/>
  <c r="AI42" i="148"/>
  <c r="Y39" i="72"/>
  <c r="AJ42" i="148"/>
  <c r="AH42" i="131"/>
  <c r="AI42" i="131"/>
  <c r="T39" i="72"/>
  <c r="AJ42" i="131"/>
  <c r="AD65" i="153"/>
  <c r="AF65" i="153"/>
  <c r="AD38" i="125"/>
  <c r="AF38" i="125"/>
  <c r="AD38" i="118"/>
  <c r="AF38" i="118"/>
  <c r="AD38" i="115"/>
  <c r="AF38" i="115"/>
  <c r="AD23" i="146"/>
  <c r="AF23" i="146"/>
  <c r="AD23" i="117"/>
  <c r="AF23" i="117"/>
  <c r="AD52" i="114"/>
  <c r="AF52" i="114"/>
  <c r="AD52" i="118"/>
  <c r="AF52" i="118"/>
  <c r="AA11" i="153"/>
  <c r="AB11" i="153"/>
  <c r="AA11" i="118"/>
  <c r="AB11" i="118"/>
  <c r="AA11" i="127"/>
  <c r="AB11" i="127"/>
  <c r="AA11" i="148"/>
  <c r="AB11" i="148"/>
  <c r="AB11" i="131"/>
  <c r="AD8" i="125"/>
  <c r="AF8" i="125"/>
  <c r="AD8" i="119"/>
  <c r="AF8" i="119"/>
  <c r="AH8" i="117"/>
  <c r="AI8" i="117"/>
  <c r="K5" i="72"/>
  <c r="AJ8" i="117"/>
  <c r="AH20" i="119"/>
  <c r="AI20" i="119"/>
  <c r="M17" i="72"/>
  <c r="AJ20" i="119"/>
  <c r="AD20" i="151"/>
  <c r="AF20" i="151"/>
  <c r="AH20" i="125"/>
  <c r="AI20" i="125"/>
  <c r="O17" i="72"/>
  <c r="AJ20" i="125"/>
  <c r="AC43" i="147"/>
  <c r="AN43" i="147"/>
  <c r="AO43" i="147"/>
  <c r="BB40" i="72"/>
  <c r="X40" i="100"/>
  <c r="AD43" i="147"/>
  <c r="AF43" i="147"/>
  <c r="AH43" i="127"/>
  <c r="AI43" i="127"/>
  <c r="Q40" i="72"/>
  <c r="AJ43" i="127"/>
  <c r="AA40" i="100"/>
  <c r="AC43" i="151"/>
  <c r="AN43" i="151"/>
  <c r="AO43" i="151"/>
  <c r="BE40" i="72"/>
  <c r="AD43" i="151"/>
  <c r="AF43" i="151"/>
  <c r="AH58" i="127"/>
  <c r="AI58" i="127"/>
  <c r="Q55" i="72"/>
  <c r="AJ58" i="127"/>
  <c r="AD58" i="128"/>
  <c r="AF58" i="128"/>
  <c r="AH58" i="125"/>
  <c r="AI58" i="125"/>
  <c r="O55" i="72"/>
  <c r="AJ58" i="125"/>
  <c r="AH40" i="128"/>
  <c r="AI40" i="128"/>
  <c r="R37" i="72"/>
  <c r="AJ40" i="128"/>
  <c r="AH40" i="116"/>
  <c r="AI40" i="116"/>
  <c r="J37" i="72"/>
  <c r="AJ40" i="116"/>
  <c r="AD40" i="131"/>
  <c r="AF40" i="131"/>
  <c r="AD14" i="114"/>
  <c r="AF14" i="114"/>
  <c r="AD14" i="125"/>
  <c r="AF14" i="125"/>
  <c r="AH14" i="149"/>
  <c r="AI14" i="149"/>
  <c r="Z11" i="72"/>
  <c r="AJ14" i="149"/>
  <c r="AH47" i="152"/>
  <c r="AI47" i="152"/>
  <c r="AB44" i="72"/>
  <c r="AJ47" i="152"/>
  <c r="AH47" i="153"/>
  <c r="AI47" i="153"/>
  <c r="AC44" i="72"/>
  <c r="AJ47" i="153"/>
  <c r="AH47" i="125"/>
  <c r="AI47" i="125"/>
  <c r="O44" i="72"/>
  <c r="AJ47" i="125"/>
  <c r="AH47" i="144"/>
  <c r="AI47" i="144"/>
  <c r="U44" i="72"/>
  <c r="AJ47" i="144"/>
  <c r="AH63" i="125"/>
  <c r="AI63" i="125"/>
  <c r="O60" i="72"/>
  <c r="AJ63" i="125"/>
  <c r="AH51" i="114"/>
  <c r="AI51" i="114"/>
  <c r="H48" i="72"/>
  <c r="AJ51" i="114"/>
  <c r="AH51" i="147"/>
  <c r="AI51" i="147"/>
  <c r="X48" i="72"/>
  <c r="AJ51" i="147"/>
  <c r="AH51" i="127"/>
  <c r="AI51" i="127"/>
  <c r="Q48" i="72"/>
  <c r="AJ51" i="127"/>
  <c r="AH51" i="128"/>
  <c r="AI51" i="128"/>
  <c r="R48" i="72"/>
  <c r="AJ51" i="128"/>
  <c r="AB48" i="153"/>
  <c r="Q45" i="100"/>
  <c r="AC48" i="127"/>
  <c r="AN48" i="127"/>
  <c r="AO48" i="127"/>
  <c r="AU45" i="72"/>
  <c r="AA48" i="145"/>
  <c r="AB48" i="145"/>
  <c r="AD48" i="76"/>
  <c r="AO48" i="76"/>
  <c r="AP48" i="76"/>
  <c r="BH45" i="72"/>
  <c r="AD45" i="100"/>
  <c r="AE48" i="76"/>
  <c r="AG48" i="76"/>
  <c r="AB48" i="147"/>
  <c r="AC75" i="148"/>
  <c r="AN75" i="148"/>
  <c r="AO75" i="148"/>
  <c r="BC72" i="72"/>
  <c r="AD75" i="148"/>
  <c r="AF75" i="148"/>
  <c r="Y72" i="100"/>
  <c r="AH75" i="151"/>
  <c r="AI75" i="151"/>
  <c r="AA72" i="72"/>
  <c r="AJ75" i="151"/>
  <c r="AH75" i="128"/>
  <c r="AI75" i="128"/>
  <c r="R72" i="72"/>
  <c r="AJ75" i="128"/>
  <c r="AI75" i="80"/>
  <c r="AJ75" i="80"/>
  <c r="AE72" i="72"/>
  <c r="AK75" i="80"/>
  <c r="AH71" i="118"/>
  <c r="AI71" i="118"/>
  <c r="L68" i="72"/>
  <c r="AJ71" i="118"/>
  <c r="AH71" i="129"/>
  <c r="AI71" i="129"/>
  <c r="S68" i="72"/>
  <c r="AJ71" i="129"/>
  <c r="Z68" i="100"/>
  <c r="AC71" i="149"/>
  <c r="AN71" i="149"/>
  <c r="AO71" i="149"/>
  <c r="BD68" i="72"/>
  <c r="AH50" i="146"/>
  <c r="AI50" i="146"/>
  <c r="W47" i="72"/>
  <c r="AJ50" i="146"/>
  <c r="AH70" i="148"/>
  <c r="AI70" i="148"/>
  <c r="Y67" i="72"/>
  <c r="AJ70" i="148"/>
  <c r="AH41" i="151"/>
  <c r="AI41" i="151"/>
  <c r="AA38" i="72"/>
  <c r="AJ41" i="151"/>
  <c r="AD16" i="153"/>
  <c r="AF16" i="153"/>
  <c r="AH32" i="149"/>
  <c r="AI32" i="149"/>
  <c r="Z29" i="72"/>
  <c r="AJ32" i="149"/>
  <c r="AH57" i="119"/>
  <c r="AI57" i="119"/>
  <c r="M54" i="72"/>
  <c r="AJ57" i="119"/>
  <c r="AI57" i="80"/>
  <c r="AJ57" i="80"/>
  <c r="AE54" i="72"/>
  <c r="AK57" i="80"/>
  <c r="AH65" i="145"/>
  <c r="AI65" i="145"/>
  <c r="V62" i="72"/>
  <c r="AJ65" i="145"/>
  <c r="AH27" i="149"/>
  <c r="AI27" i="149"/>
  <c r="Z24" i="72"/>
  <c r="AJ27" i="149"/>
  <c r="AH37" i="131"/>
  <c r="AI37" i="131"/>
  <c r="T34" i="72"/>
  <c r="AJ37" i="131"/>
  <c r="AH37" i="115"/>
  <c r="AI37" i="115"/>
  <c r="I34" i="72"/>
  <c r="AJ37" i="115"/>
  <c r="AH37" i="148"/>
  <c r="AI37" i="148"/>
  <c r="Y34" i="72"/>
  <c r="AJ37" i="148"/>
  <c r="AH25" i="128"/>
  <c r="AI25" i="128"/>
  <c r="R22" i="72"/>
  <c r="AJ25" i="128"/>
  <c r="AH25" i="146"/>
  <c r="AI25" i="146"/>
  <c r="W22" i="72"/>
  <c r="AJ25" i="146"/>
  <c r="AH25" i="145"/>
  <c r="AI25" i="145"/>
  <c r="V22" i="72"/>
  <c r="AJ25" i="145"/>
  <c r="AI15" i="80"/>
  <c r="AJ15" i="80"/>
  <c r="AE12" i="72"/>
  <c r="AK15" i="80"/>
  <c r="AH15" i="117"/>
  <c r="AI15" i="117"/>
  <c r="K12" i="72"/>
  <c r="AJ15" i="117"/>
  <c r="AE15" i="76"/>
  <c r="AG15" i="76"/>
  <c r="AH15" i="116"/>
  <c r="AI15" i="116"/>
  <c r="J12" i="72"/>
  <c r="AJ15" i="116"/>
  <c r="AH72" i="147"/>
  <c r="AI72" i="147"/>
  <c r="X69" i="72"/>
  <c r="AJ72" i="147"/>
  <c r="AH72" i="119"/>
  <c r="AI72" i="119"/>
  <c r="M69" i="72"/>
  <c r="AJ72" i="119"/>
  <c r="AD72" i="120"/>
  <c r="AF72" i="120"/>
  <c r="AH33" i="125"/>
  <c r="AI33" i="125"/>
  <c r="O30" i="72"/>
  <c r="AJ33" i="125"/>
  <c r="AG26" i="100"/>
  <c r="AH35" i="115"/>
  <c r="AI35" i="115"/>
  <c r="I32" i="72"/>
  <c r="AJ35" i="115"/>
  <c r="AH35" i="117"/>
  <c r="AI35" i="117"/>
  <c r="K32" i="72"/>
  <c r="AJ35" i="117"/>
  <c r="AH30" i="114"/>
  <c r="AI30" i="114"/>
  <c r="H27" i="72"/>
  <c r="AJ30" i="114"/>
  <c r="AH9" i="144"/>
  <c r="AI9" i="144"/>
  <c r="U6" i="72"/>
  <c r="AJ9" i="144"/>
  <c r="AH45" i="128"/>
  <c r="AI45" i="128"/>
  <c r="R42" i="72"/>
  <c r="AJ45" i="128"/>
  <c r="AH19" i="146"/>
  <c r="AI19" i="146"/>
  <c r="W16" i="72"/>
  <c r="AJ19" i="146"/>
  <c r="AH13" i="116"/>
  <c r="AI13" i="116"/>
  <c r="J10" i="72"/>
  <c r="AJ13" i="116"/>
  <c r="AD49" i="153"/>
  <c r="AF49" i="153"/>
  <c r="AD49" i="118"/>
  <c r="AF49" i="118"/>
  <c r="AH16" i="128"/>
  <c r="AI16" i="128"/>
  <c r="R13" i="72"/>
  <c r="AJ16" i="128"/>
  <c r="AD60" i="126"/>
  <c r="AF60" i="126"/>
  <c r="AD68" i="131"/>
  <c r="AF68" i="131"/>
  <c r="AG65" i="100"/>
  <c r="AF65" i="100"/>
  <c r="AH68" i="118"/>
  <c r="AI68" i="118"/>
  <c r="L65" i="72"/>
  <c r="AJ68" i="118"/>
  <c r="AH18" i="128"/>
  <c r="AI18" i="128"/>
  <c r="R15" i="72"/>
  <c r="AJ18" i="128"/>
  <c r="AF18" i="100"/>
  <c r="AG18" i="100"/>
  <c r="AH44" i="126"/>
  <c r="AI44" i="126"/>
  <c r="P41" i="72"/>
  <c r="AJ44" i="126"/>
  <c r="AD44" i="117"/>
  <c r="AF44" i="117"/>
  <c r="AD34" i="146"/>
  <c r="AF34" i="146"/>
  <c r="AD34" i="148"/>
  <c r="AF34" i="148"/>
  <c r="AD34" i="115"/>
  <c r="AF34" i="115"/>
  <c r="AH62" i="147"/>
  <c r="AI62" i="147"/>
  <c r="X59" i="72"/>
  <c r="AJ62" i="147"/>
  <c r="AD62" i="125"/>
  <c r="AF62" i="125"/>
  <c r="AD24" i="116"/>
  <c r="AF24" i="116"/>
  <c r="AH24" i="126"/>
  <c r="AI24" i="126"/>
  <c r="P21" i="72"/>
  <c r="AJ24" i="126"/>
  <c r="AD24" i="151"/>
  <c r="AF24" i="151"/>
  <c r="AD39" i="115"/>
  <c r="AF39" i="115"/>
  <c r="AF36" i="100"/>
  <c r="AG36" i="100"/>
  <c r="AE39" i="80"/>
  <c r="AG39" i="80"/>
  <c r="AD39" i="131"/>
  <c r="AF39" i="131"/>
  <c r="AH73" i="120"/>
  <c r="AI73" i="120"/>
  <c r="N70" i="72"/>
  <c r="AJ73" i="120"/>
  <c r="AF56" i="100"/>
  <c r="AG56" i="100"/>
  <c r="AH59" i="149"/>
  <c r="AI59" i="149"/>
  <c r="Z56" i="72"/>
  <c r="AJ59" i="149"/>
  <c r="AE67" i="80"/>
  <c r="AG67" i="80"/>
  <c r="AI36" i="76"/>
  <c r="AJ36" i="76"/>
  <c r="AD33" i="72"/>
  <c r="AK36" i="76"/>
  <c r="AH36" i="131"/>
  <c r="AI36" i="131"/>
  <c r="T33" i="72"/>
  <c r="AJ36" i="131"/>
  <c r="AH28" i="144"/>
  <c r="AI28" i="144"/>
  <c r="U25" i="72"/>
  <c r="AJ28" i="144"/>
  <c r="AH26" i="153"/>
  <c r="AI26" i="153"/>
  <c r="AC23" i="72"/>
  <c r="AJ26" i="153"/>
  <c r="AH10" i="148"/>
  <c r="AI10" i="148"/>
  <c r="Y7" i="72"/>
  <c r="AJ10" i="148"/>
  <c r="AH10" i="128"/>
  <c r="AI10" i="128"/>
  <c r="R7" i="72"/>
  <c r="AJ10" i="128"/>
  <c r="AB39" i="100"/>
  <c r="AC42" i="152"/>
  <c r="AN42" i="152"/>
  <c r="AO42" i="152"/>
  <c r="BF39" i="72"/>
  <c r="AD42" i="152"/>
  <c r="AF42" i="152"/>
  <c r="AH42" i="146"/>
  <c r="AI42" i="146"/>
  <c r="W39" i="72"/>
  <c r="AJ42" i="146"/>
  <c r="AD42" i="126"/>
  <c r="AF42" i="126"/>
  <c r="AD65" i="115"/>
  <c r="AF65" i="115"/>
  <c r="AH61" i="145"/>
  <c r="AI61" i="145"/>
  <c r="V58" i="72"/>
  <c r="AJ61" i="145"/>
  <c r="AD61" i="151"/>
  <c r="AF61" i="151"/>
  <c r="AH27" i="146"/>
  <c r="AI27" i="146"/>
  <c r="W24" i="72"/>
  <c r="AJ27" i="146"/>
  <c r="AI27" i="76"/>
  <c r="AJ27" i="76"/>
  <c r="AD24" i="72"/>
  <c r="AK27" i="76"/>
  <c r="AH69" i="126"/>
  <c r="AI69" i="126"/>
  <c r="P66" i="72"/>
  <c r="AJ69" i="126"/>
  <c r="AG66" i="100"/>
  <c r="AF66" i="100"/>
  <c r="AH69" i="115"/>
  <c r="AI69" i="115"/>
  <c r="I66" i="72"/>
  <c r="AJ69" i="115"/>
  <c r="AH54" i="127"/>
  <c r="AI54" i="127"/>
  <c r="Q51" i="72"/>
  <c r="AJ54" i="127"/>
  <c r="AH54" i="114"/>
  <c r="AI54" i="114"/>
  <c r="H51" i="72"/>
  <c r="AJ54" i="114"/>
  <c r="AF51" i="100"/>
  <c r="AG51" i="100"/>
  <c r="AH54" i="118"/>
  <c r="AI54" i="118"/>
  <c r="L51" i="72"/>
  <c r="AJ54" i="118"/>
  <c r="AH55" i="152"/>
  <c r="AI55" i="152"/>
  <c r="AB52" i="72"/>
  <c r="AJ55" i="152"/>
  <c r="AH46" i="125"/>
  <c r="AI46" i="125"/>
  <c r="O43" i="72"/>
  <c r="AJ46" i="125"/>
  <c r="AH46" i="120"/>
  <c r="AI46" i="120"/>
  <c r="N43" i="72"/>
  <c r="AJ46" i="120"/>
  <c r="AK17" i="46"/>
  <c r="AI38" i="76"/>
  <c r="AJ38" i="76"/>
  <c r="AD35" i="72"/>
  <c r="AK38" i="76"/>
  <c r="AH38" i="126"/>
  <c r="AI38" i="126"/>
  <c r="P35" i="72"/>
  <c r="AJ38" i="126"/>
  <c r="AD38" i="119"/>
  <c r="AF38" i="119"/>
  <c r="AH23" i="116"/>
  <c r="AI23" i="116"/>
  <c r="J20" i="72"/>
  <c r="AJ23" i="116"/>
  <c r="AH23" i="115"/>
  <c r="AI23" i="115"/>
  <c r="I20" i="72"/>
  <c r="AJ23" i="115"/>
  <c r="AH23" i="126"/>
  <c r="AI23" i="126"/>
  <c r="P20" i="72"/>
  <c r="AJ23" i="126"/>
  <c r="AH23" i="120"/>
  <c r="AI23" i="120"/>
  <c r="N20" i="72"/>
  <c r="AJ23" i="120"/>
  <c r="AD52" i="131"/>
  <c r="AF52" i="131"/>
  <c r="AD52" i="144"/>
  <c r="AF52" i="144"/>
  <c r="AD8" i="118"/>
  <c r="AF8" i="118"/>
  <c r="AD8" i="147"/>
  <c r="AF8" i="147"/>
  <c r="AD8" i="114"/>
  <c r="AF8" i="114"/>
  <c r="AD8" i="126"/>
  <c r="AF8" i="126"/>
  <c r="AE8" i="80"/>
  <c r="AG8" i="80"/>
  <c r="AD20" i="128"/>
  <c r="AF20" i="128"/>
  <c r="AH20" i="118"/>
  <c r="AI20" i="118"/>
  <c r="L17" i="72"/>
  <c r="AJ20" i="118"/>
  <c r="AH20" i="120"/>
  <c r="AI20" i="120"/>
  <c r="N17" i="72"/>
  <c r="AJ20" i="120"/>
  <c r="AH12" i="129"/>
  <c r="AI12" i="129"/>
  <c r="S9" i="72"/>
  <c r="AJ12" i="129"/>
  <c r="AF55" i="100"/>
  <c r="AH58" i="131"/>
  <c r="AI58" i="131"/>
  <c r="T55" i="72"/>
  <c r="AJ58" i="131"/>
  <c r="AC14" i="151"/>
  <c r="AN14" i="151"/>
  <c r="AO14" i="151"/>
  <c r="BE11" i="72"/>
  <c r="AA11" i="100"/>
  <c r="AD14" i="151"/>
  <c r="AF14" i="151"/>
  <c r="AC14" i="144"/>
  <c r="AN14" i="144"/>
  <c r="AO14" i="144"/>
  <c r="AY11" i="72"/>
  <c r="U11" i="100"/>
  <c r="AD14" i="144"/>
  <c r="AF14" i="144"/>
  <c r="AH47" i="127"/>
  <c r="AI47" i="127"/>
  <c r="Q44" i="72"/>
  <c r="AJ47" i="127"/>
  <c r="AH47" i="116"/>
  <c r="AI47" i="116"/>
  <c r="J44" i="72"/>
  <c r="AJ47" i="116"/>
  <c r="AF44" i="100"/>
  <c r="AG60" i="100"/>
  <c r="AH63" i="120"/>
  <c r="AI63" i="120"/>
  <c r="N60" i="72"/>
  <c r="AJ63" i="120"/>
  <c r="AA48" i="100"/>
  <c r="AC51" i="151"/>
  <c r="AN51" i="151"/>
  <c r="AO51" i="151"/>
  <c r="BE48" i="72"/>
  <c r="AH51" i="125"/>
  <c r="AI51" i="125"/>
  <c r="O48" i="72"/>
  <c r="AJ51" i="125"/>
  <c r="AH51" i="146"/>
  <c r="AI51" i="146"/>
  <c r="W48" i="72"/>
  <c r="AJ51" i="146"/>
  <c r="AH51" i="126"/>
  <c r="AI51" i="126"/>
  <c r="P48" i="72"/>
  <c r="AJ51" i="126"/>
  <c r="AH75" i="126"/>
  <c r="AI75" i="126"/>
  <c r="P72" i="72"/>
  <c r="AJ75" i="126"/>
  <c r="AH29" i="128"/>
  <c r="AI29" i="128"/>
  <c r="R26" i="72"/>
  <c r="AJ29" i="128"/>
  <c r="AH29" i="149"/>
  <c r="AI29" i="149"/>
  <c r="Z26" i="72"/>
  <c r="AJ29" i="149"/>
  <c r="AH31" i="131"/>
  <c r="AI31" i="131"/>
  <c r="T28" i="72"/>
  <c r="AJ31" i="131"/>
  <c r="AH31" i="120"/>
  <c r="AI31" i="120"/>
  <c r="N28" i="72"/>
  <c r="AJ31" i="120"/>
  <c r="AH22" i="131"/>
  <c r="AI22" i="131"/>
  <c r="T19" i="72"/>
  <c r="AJ22" i="131"/>
  <c r="AH71" i="148"/>
  <c r="AI71" i="148"/>
  <c r="Y68" i="72"/>
  <c r="AJ71" i="148"/>
  <c r="AH50" i="147"/>
  <c r="AI50" i="147"/>
  <c r="X47" i="72"/>
  <c r="AJ50" i="147"/>
  <c r="AH9" i="147"/>
  <c r="AI9" i="147"/>
  <c r="X6" i="72"/>
  <c r="AJ9" i="147"/>
  <c r="AH41" i="153"/>
  <c r="AI41" i="153"/>
  <c r="AC38" i="72"/>
  <c r="AJ41" i="153"/>
  <c r="AH13" i="128"/>
  <c r="AI13" i="128"/>
  <c r="R10" i="72"/>
  <c r="AJ13" i="128"/>
  <c r="AH74" i="129"/>
  <c r="AI74" i="129"/>
  <c r="S71" i="72"/>
  <c r="AJ74" i="129"/>
  <c r="AH49" i="152"/>
  <c r="AI49" i="152"/>
  <c r="AB46" i="72"/>
  <c r="AJ49" i="152"/>
  <c r="AH60" i="119"/>
  <c r="AI60" i="119"/>
  <c r="M57" i="72"/>
  <c r="AJ60" i="119"/>
  <c r="AE18" i="80"/>
  <c r="AG18" i="80"/>
  <c r="AF15" i="100"/>
  <c r="AG15" i="100"/>
  <c r="AH21" i="152"/>
  <c r="AI21" i="152"/>
  <c r="AB18" i="72"/>
  <c r="AJ21" i="152"/>
  <c r="AI66" i="76"/>
  <c r="AJ66" i="76"/>
  <c r="AD63" i="72"/>
  <c r="AK66" i="76"/>
  <c r="AI34" i="76"/>
  <c r="AJ34" i="76"/>
  <c r="AD31" i="72"/>
  <c r="AK34" i="76"/>
  <c r="AH62" i="151"/>
  <c r="AI62" i="151"/>
  <c r="AA59" i="72"/>
  <c r="AJ62" i="151"/>
  <c r="AH62" i="152"/>
  <c r="AI62" i="152"/>
  <c r="AB59" i="72"/>
  <c r="AJ62" i="152"/>
  <c r="AH24" i="144"/>
  <c r="AI24" i="144"/>
  <c r="U21" i="72"/>
  <c r="AJ24" i="144"/>
  <c r="AH73" i="129"/>
  <c r="AI73" i="129"/>
  <c r="S70" i="72"/>
  <c r="AJ73" i="129"/>
  <c r="AH32" i="145"/>
  <c r="AI32" i="145"/>
  <c r="V29" i="72"/>
  <c r="AJ32" i="145"/>
  <c r="AH59" i="129"/>
  <c r="AI59" i="129"/>
  <c r="S56" i="72"/>
  <c r="AJ59" i="129"/>
  <c r="AH28" i="146"/>
  <c r="AI28" i="146"/>
  <c r="W25" i="72"/>
  <c r="AJ28" i="146"/>
  <c r="AH57" i="131"/>
  <c r="AI57" i="131"/>
  <c r="T54" i="72"/>
  <c r="AJ57" i="131"/>
  <c r="AH57" i="114"/>
  <c r="AI57" i="114"/>
  <c r="H54" i="72"/>
  <c r="AJ57" i="114"/>
  <c r="AH26" i="129"/>
  <c r="AI26" i="129"/>
  <c r="S23" i="72"/>
  <c r="AJ26" i="129"/>
  <c r="AH10" i="149"/>
  <c r="AI10" i="149"/>
  <c r="Z7" i="72"/>
  <c r="AJ10" i="149"/>
  <c r="AI61" i="80"/>
  <c r="AJ61" i="80"/>
  <c r="AE58" i="72"/>
  <c r="AK61" i="80"/>
  <c r="AH61" i="114"/>
  <c r="AI61" i="114"/>
  <c r="H58" i="72"/>
  <c r="AJ61" i="114"/>
  <c r="AH27" i="115"/>
  <c r="AI27" i="115"/>
  <c r="I24" i="72"/>
  <c r="AJ27" i="115"/>
  <c r="AH27" i="131"/>
  <c r="AI27" i="131"/>
  <c r="T24" i="72"/>
  <c r="AJ27" i="131"/>
  <c r="AH69" i="131"/>
  <c r="AI69" i="131"/>
  <c r="T66" i="72"/>
  <c r="AJ69" i="131"/>
  <c r="AH46" i="126"/>
  <c r="AI46" i="126"/>
  <c r="P43" i="72"/>
  <c r="AJ46" i="126"/>
  <c r="AD42" i="115"/>
  <c r="AF42" i="115"/>
  <c r="AH37" i="125"/>
  <c r="AI37" i="125"/>
  <c r="O34" i="72"/>
  <c r="AJ37" i="125"/>
  <c r="AH25" i="119"/>
  <c r="AI25" i="119"/>
  <c r="M22" i="72"/>
  <c r="AJ25" i="119"/>
  <c r="AH25" i="114"/>
  <c r="AI25" i="114"/>
  <c r="H22" i="72"/>
  <c r="AJ25" i="114"/>
  <c r="AH25" i="115"/>
  <c r="AI25" i="115"/>
  <c r="I22" i="72"/>
  <c r="AJ25" i="115"/>
  <c r="AH25" i="120"/>
  <c r="AI25" i="120"/>
  <c r="N22" i="72"/>
  <c r="AJ25" i="120"/>
  <c r="AH72" i="145"/>
  <c r="AI72" i="145"/>
  <c r="V69" i="72"/>
  <c r="AJ72" i="145"/>
  <c r="Z30" i="100"/>
  <c r="AC33" i="149"/>
  <c r="AN33" i="149"/>
  <c r="AO33" i="149"/>
  <c r="BD30" i="72"/>
  <c r="AC33" i="146"/>
  <c r="AN33" i="146"/>
  <c r="AO33" i="146"/>
  <c r="BA30" i="72"/>
  <c r="W30" i="100"/>
  <c r="AH56" i="145"/>
  <c r="AI56" i="145"/>
  <c r="V53" i="72"/>
  <c r="AJ56" i="145"/>
  <c r="AH49" i="149"/>
  <c r="AI49" i="149"/>
  <c r="Z46" i="72"/>
  <c r="AJ49" i="149"/>
  <c r="AH18" i="148"/>
  <c r="AI18" i="148"/>
  <c r="Y15" i="72"/>
  <c r="AJ18" i="148"/>
  <c r="AH34" i="145"/>
  <c r="AI34" i="145"/>
  <c r="V31" i="72"/>
  <c r="AJ34" i="145"/>
  <c r="AH36" i="151"/>
  <c r="AI36" i="151"/>
  <c r="AA33" i="72"/>
  <c r="AJ36" i="151"/>
  <c r="AH26" i="148"/>
  <c r="AI26" i="148"/>
  <c r="Y23" i="72"/>
  <c r="AJ26" i="148"/>
  <c r="AH55" i="149"/>
  <c r="AI55" i="149"/>
  <c r="Z52" i="72"/>
  <c r="AJ55" i="149"/>
  <c r="AH9" i="152"/>
  <c r="AI9" i="152"/>
  <c r="AB6" i="72"/>
  <c r="AJ9" i="152"/>
  <c r="AH19" i="151"/>
  <c r="AI19" i="151"/>
  <c r="AA16" i="72"/>
  <c r="AJ19" i="151"/>
  <c r="AH13" i="153"/>
  <c r="AI13" i="153"/>
  <c r="AC10" i="72"/>
  <c r="AJ13" i="153"/>
  <c r="AH74" i="153"/>
  <c r="AI74" i="153"/>
  <c r="AC71" i="72"/>
  <c r="AJ74" i="153"/>
  <c r="AH60" i="152"/>
  <c r="AI60" i="152"/>
  <c r="AB57" i="72"/>
  <c r="AJ60" i="152"/>
  <c r="AH21" i="144"/>
  <c r="AI21" i="144"/>
  <c r="U18" i="72"/>
  <c r="AJ21" i="144"/>
  <c r="AH66" i="153"/>
  <c r="AI66" i="153"/>
  <c r="AC63" i="72"/>
  <c r="AJ66" i="153"/>
  <c r="AH39" i="151"/>
  <c r="AI39" i="151"/>
  <c r="AA36" i="72"/>
  <c r="AJ39" i="151"/>
  <c r="AH32" i="153"/>
  <c r="AI32" i="153"/>
  <c r="AC29" i="72"/>
  <c r="AJ32" i="153"/>
  <c r="AH32" i="148"/>
  <c r="AI32" i="148"/>
  <c r="Y29" i="72"/>
  <c r="AJ32" i="148"/>
  <c r="AH67" i="148"/>
  <c r="AI67" i="148"/>
  <c r="Y64" i="72"/>
  <c r="AJ67" i="148"/>
  <c r="AH17" i="152"/>
  <c r="AI17" i="152"/>
  <c r="AB14" i="72"/>
  <c r="AJ17" i="152"/>
  <c r="AH55" i="148"/>
  <c r="AI55" i="148"/>
  <c r="Y52" i="72"/>
  <c r="AJ55" i="148"/>
  <c r="AH53" i="153"/>
  <c r="AI53" i="153"/>
  <c r="AC50" i="72"/>
  <c r="AJ53" i="153"/>
  <c r="AH68" i="145"/>
  <c r="AI68" i="145"/>
  <c r="V65" i="72"/>
  <c r="AJ68" i="145"/>
  <c r="AH73" i="152"/>
  <c r="AI73" i="152"/>
  <c r="AB70" i="72"/>
  <c r="AJ73" i="152"/>
  <c r="AH27" i="145"/>
  <c r="AI27" i="145"/>
  <c r="V24" i="72"/>
  <c r="AJ27" i="145"/>
  <c r="AH31" i="153"/>
  <c r="AI31" i="153"/>
  <c r="AC28" i="72"/>
  <c r="AJ31" i="153"/>
  <c r="AH64" i="153"/>
  <c r="AI64" i="153"/>
  <c r="AC61" i="72"/>
  <c r="AJ64" i="153"/>
  <c r="AH64" i="151"/>
  <c r="AI64" i="151"/>
  <c r="AA61" i="72"/>
  <c r="AJ64" i="151"/>
  <c r="AH70" i="146"/>
  <c r="AI70" i="146"/>
  <c r="W67" i="72"/>
  <c r="AJ70" i="146"/>
  <c r="AH53" i="151"/>
  <c r="AI53" i="151"/>
  <c r="AA50" i="72"/>
  <c r="AJ53" i="151"/>
  <c r="AD13" i="148"/>
  <c r="AF13" i="148"/>
  <c r="AH49" i="151"/>
  <c r="AI49" i="151"/>
  <c r="AA46" i="72"/>
  <c r="AJ49" i="151"/>
  <c r="AD18" i="153"/>
  <c r="AF18" i="153"/>
  <c r="AH66" i="152"/>
  <c r="AI66" i="152"/>
  <c r="AB63" i="72"/>
  <c r="AJ66" i="152"/>
  <c r="AD28" i="149"/>
  <c r="AF28" i="149"/>
  <c r="AD28" i="151"/>
  <c r="AF28" i="151"/>
  <c r="AH61" i="153"/>
  <c r="AI61" i="153"/>
  <c r="AC58" i="72"/>
  <c r="AJ61" i="153"/>
  <c r="AH69" i="151"/>
  <c r="AI69" i="151"/>
  <c r="AA66" i="72"/>
  <c r="AJ69" i="151"/>
  <c r="AH54" i="152"/>
  <c r="AI54" i="152"/>
  <c r="AB51" i="72"/>
  <c r="AJ54" i="152"/>
  <c r="AH46" i="148"/>
  <c r="AI46" i="148"/>
  <c r="Y43" i="72"/>
  <c r="AJ46" i="148"/>
  <c r="U76" i="113"/>
  <c r="AD35" i="148"/>
  <c r="AF35" i="148"/>
  <c r="AD25" i="125"/>
  <c r="AF25" i="125"/>
  <c r="AD71" i="125"/>
  <c r="AF71" i="125"/>
  <c r="AF11" i="100"/>
  <c r="AG11" i="100"/>
  <c r="AD58" i="115"/>
  <c r="AF58" i="115"/>
  <c r="AG55" i="100"/>
  <c r="AD12" i="149"/>
  <c r="AF12" i="149"/>
  <c r="AD20" i="115"/>
  <c r="AF20" i="115"/>
  <c r="AD8" i="148"/>
  <c r="AF8" i="148"/>
  <c r="AD38" i="129"/>
  <c r="AF38" i="129"/>
  <c r="AD47" i="118"/>
  <c r="AF47" i="118"/>
  <c r="AD47" i="149"/>
  <c r="AF47" i="149"/>
  <c r="AD43" i="152"/>
  <c r="AF43" i="152"/>
  <c r="AD8" i="120"/>
  <c r="AF8" i="120"/>
  <c r="AD11" i="113"/>
  <c r="AF11" i="113"/>
  <c r="AD58" i="149"/>
  <c r="AF58" i="149"/>
  <c r="AD20" i="149"/>
  <c r="AF20" i="149"/>
  <c r="AD15" i="148"/>
  <c r="AF15" i="148"/>
  <c r="AD47" i="148"/>
  <c r="AF47" i="148"/>
  <c r="AD11" i="129"/>
  <c r="AF11" i="129"/>
  <c r="AD71" i="152"/>
  <c r="AF71" i="152"/>
  <c r="AD75" i="144"/>
  <c r="AF75" i="144"/>
  <c r="AD40" i="115"/>
  <c r="AF40" i="115"/>
  <c r="AD40" i="145"/>
  <c r="AF40" i="145"/>
  <c r="AD12" i="128"/>
  <c r="AF12" i="128"/>
  <c r="AD23" i="129"/>
  <c r="AF23" i="129"/>
  <c r="AD15" i="129"/>
  <c r="AF15" i="129"/>
  <c r="AG68" i="100"/>
  <c r="AD48" i="129"/>
  <c r="AF48" i="129"/>
  <c r="AD47" i="146"/>
  <c r="AF47" i="146"/>
  <c r="AE14" i="76"/>
  <c r="AG14" i="76"/>
  <c r="AD40" i="120"/>
  <c r="AF40" i="120"/>
  <c r="AD58" i="146"/>
  <c r="AF58" i="146"/>
  <c r="AD43" i="148"/>
  <c r="AF43" i="148"/>
  <c r="AD8" i="151"/>
  <c r="AF8" i="151"/>
  <c r="AD11" i="126"/>
  <c r="AF11" i="126"/>
  <c r="AD42" i="147"/>
  <c r="AF42" i="147"/>
  <c r="AD44" i="125"/>
  <c r="AF44" i="125"/>
  <c r="AE35" i="76"/>
  <c r="AG35" i="76"/>
  <c r="AD35" i="149"/>
  <c r="AF35" i="149"/>
  <c r="AD63" i="146"/>
  <c r="AF63" i="146"/>
  <c r="AD72" i="149"/>
  <c r="AF72" i="149"/>
  <c r="AD23" i="152"/>
  <c r="AF23" i="152"/>
  <c r="AD40" i="144"/>
  <c r="AF40" i="144"/>
  <c r="AD71" i="149"/>
  <c r="AF71" i="149"/>
  <c r="AD25" i="126"/>
  <c r="AF25" i="126"/>
  <c r="AD71" i="127"/>
  <c r="AF71" i="127"/>
  <c r="AD12" i="148"/>
  <c r="AF12" i="148"/>
  <c r="AE43" i="80"/>
  <c r="AG43" i="80"/>
  <c r="AD20" i="129"/>
  <c r="AF20" i="129"/>
  <c r="AD23" i="144"/>
  <c r="AF23" i="144"/>
  <c r="AG20" i="100"/>
  <c r="AD72" i="125"/>
  <c r="AF72" i="125"/>
  <c r="AD15" i="118"/>
  <c r="AF15" i="118"/>
  <c r="AG22" i="100"/>
  <c r="AD25" i="147"/>
  <c r="AF25" i="147"/>
  <c r="AD71" i="117"/>
  <c r="AF71" i="117"/>
  <c r="AD75" i="119"/>
  <c r="AF75" i="119"/>
  <c r="AD14" i="129"/>
  <c r="AF14" i="129"/>
  <c r="AD40" i="148"/>
  <c r="AF40" i="148"/>
  <c r="AF40" i="100"/>
  <c r="AD20" i="126"/>
  <c r="AF20" i="126"/>
  <c r="AD20" i="153"/>
  <c r="AF20" i="153"/>
  <c r="AD11" i="125"/>
  <c r="AF11" i="125"/>
  <c r="AD38" i="147"/>
  <c r="AF38" i="147"/>
  <c r="AD44" i="148"/>
  <c r="AF44" i="148"/>
  <c r="AD35" i="127"/>
  <c r="AF35" i="127"/>
  <c r="AD33" i="144"/>
  <c r="AF33" i="144"/>
  <c r="AD75" i="153"/>
  <c r="AF75" i="153"/>
  <c r="AD11" i="147"/>
  <c r="AF11" i="147"/>
  <c r="AD35" i="144"/>
  <c r="AF35" i="144"/>
  <c r="AG30" i="100"/>
  <c r="AD72" i="116"/>
  <c r="AF72" i="116"/>
  <c r="AD15" i="131"/>
  <c r="AF15" i="131"/>
  <c r="AG72" i="100"/>
  <c r="AE51" i="80"/>
  <c r="AG51" i="80"/>
  <c r="AF60" i="100"/>
  <c r="AE47" i="80"/>
  <c r="AG47" i="80"/>
  <c r="AD40" i="127"/>
  <c r="AF40" i="127"/>
  <c r="AE58" i="76"/>
  <c r="AG58" i="76"/>
  <c r="AD20" i="117"/>
  <c r="AF20" i="117"/>
  <c r="AD52" i="126"/>
  <c r="AF52" i="126"/>
  <c r="AD38" i="128"/>
  <c r="AF38" i="128"/>
  <c r="AD35" i="125"/>
  <c r="AF35" i="125"/>
  <c r="AD72" i="152"/>
  <c r="AF72" i="152"/>
  <c r="AD25" i="151"/>
  <c r="AF25" i="151"/>
  <c r="AD57" i="129"/>
  <c r="AF57" i="129"/>
  <c r="AD47" i="120"/>
  <c r="AF47" i="120"/>
  <c r="AD12" i="114"/>
  <c r="AF12" i="114"/>
  <c r="AD43" i="131"/>
  <c r="AF43" i="131"/>
  <c r="AD20" i="146"/>
  <c r="AF20" i="146"/>
  <c r="AD8" i="115"/>
  <c r="AF8" i="115"/>
  <c r="AD11" i="151"/>
  <c r="AF11" i="151"/>
  <c r="AD23" i="125"/>
  <c r="AF23" i="125"/>
  <c r="AD44" i="149"/>
  <c r="AF44" i="149"/>
  <c r="AD52" i="152"/>
  <c r="AF52" i="152"/>
  <c r="AD12" i="153"/>
  <c r="AF12" i="153"/>
  <c r="AD71" i="153"/>
  <c r="AF71" i="153"/>
  <c r="AD42" i="144"/>
  <c r="AF42" i="144"/>
  <c r="AD48" i="127"/>
  <c r="AF48" i="127"/>
  <c r="AF72" i="100"/>
  <c r="AF48" i="100"/>
  <c r="AF68" i="100"/>
  <c r="AF30" i="100"/>
  <c r="AH31" i="152"/>
  <c r="AI31" i="152"/>
  <c r="AB28" i="72"/>
  <c r="AJ31" i="152"/>
  <c r="AF22" i="100"/>
  <c r="AD42" i="119"/>
  <c r="AF42" i="119"/>
  <c r="AD44" i="131"/>
  <c r="AF44" i="131"/>
  <c r="AD35" i="126"/>
  <c r="AF35" i="126"/>
  <c r="AD35" i="118"/>
  <c r="AF35" i="118"/>
  <c r="AD57" i="127"/>
  <c r="AF57" i="127"/>
  <c r="AD58" i="148"/>
  <c r="AF58" i="148"/>
  <c r="AD12" i="147"/>
  <c r="AF12" i="147"/>
  <c r="AD11" i="117"/>
  <c r="AF11" i="117"/>
  <c r="AE11" i="76"/>
  <c r="AG11" i="76"/>
  <c r="AD15" i="153"/>
  <c r="AF15" i="153"/>
  <c r="AD72" i="128"/>
  <c r="AF72" i="128"/>
  <c r="AD37" i="126"/>
  <c r="AF37" i="126"/>
  <c r="AD75" i="114"/>
  <c r="AF75" i="114"/>
  <c r="AD63" i="116"/>
  <c r="AF63" i="116"/>
  <c r="AD47" i="117"/>
  <c r="AF47" i="117"/>
  <c r="AE12" i="76"/>
  <c r="AG12" i="76"/>
  <c r="AD42" i="129"/>
  <c r="AF42" i="129"/>
  <c r="AD44" i="114"/>
  <c r="AF44" i="114"/>
  <c r="AD44" i="120"/>
  <c r="AF44" i="120"/>
  <c r="AD35" i="119"/>
  <c r="AF35" i="119"/>
  <c r="AD33" i="151"/>
  <c r="AF33" i="151"/>
  <c r="AD11" i="120"/>
  <c r="AF11" i="120"/>
  <c r="AD23" i="127"/>
  <c r="AF23" i="127"/>
  <c r="AD57" i="145"/>
  <c r="AF57" i="145"/>
  <c r="AD71" i="144"/>
  <c r="AF71" i="144"/>
  <c r="AD23" i="151"/>
  <c r="AF23" i="151"/>
  <c r="AC48" i="145"/>
  <c r="AN48" i="145"/>
  <c r="AO48" i="145"/>
  <c r="AZ45" i="72"/>
  <c r="V45" i="100"/>
  <c r="Z45" i="100"/>
  <c r="AC48" i="149"/>
  <c r="AN48" i="149"/>
  <c r="AO48" i="149"/>
  <c r="BD45" i="72"/>
  <c r="AH28" i="151"/>
  <c r="AI28" i="151"/>
  <c r="AA25" i="72"/>
  <c r="AJ28" i="151"/>
  <c r="AH42" i="115"/>
  <c r="AI42" i="115"/>
  <c r="I39" i="72"/>
  <c r="AJ42" i="115"/>
  <c r="AH8" i="114"/>
  <c r="AI8" i="114"/>
  <c r="H5" i="72"/>
  <c r="AJ8" i="114"/>
  <c r="AH8" i="118"/>
  <c r="AI8" i="118"/>
  <c r="L5" i="72"/>
  <c r="AJ8" i="118"/>
  <c r="AH39" i="131"/>
  <c r="AI39" i="131"/>
  <c r="T36" i="72"/>
  <c r="AJ39" i="131"/>
  <c r="AH39" i="115"/>
  <c r="AI39" i="115"/>
  <c r="I36" i="72"/>
  <c r="AJ39" i="115"/>
  <c r="AH34" i="115"/>
  <c r="AI34" i="115"/>
  <c r="I31" i="72"/>
  <c r="AJ34" i="115"/>
  <c r="AH68" i="131"/>
  <c r="AI68" i="131"/>
  <c r="T65" i="72"/>
  <c r="AJ68" i="131"/>
  <c r="AH49" i="118"/>
  <c r="AI49" i="118"/>
  <c r="L46" i="72"/>
  <c r="AJ49" i="118"/>
  <c r="AH75" i="148"/>
  <c r="AI75" i="148"/>
  <c r="Y72" i="72"/>
  <c r="AJ75" i="148"/>
  <c r="AH48" i="127"/>
  <c r="AI48" i="127"/>
  <c r="Q45" i="72"/>
  <c r="AJ48" i="127"/>
  <c r="AH14" i="125"/>
  <c r="AI14" i="125"/>
  <c r="O11" i="72"/>
  <c r="AJ14" i="125"/>
  <c r="AH40" i="131"/>
  <c r="AI40" i="131"/>
  <c r="T37" i="72"/>
  <c r="AJ40" i="131"/>
  <c r="AH8" i="125"/>
  <c r="AI8" i="125"/>
  <c r="O5" i="72"/>
  <c r="AJ8" i="125"/>
  <c r="Y8" i="100"/>
  <c r="AC11" i="148"/>
  <c r="AN11" i="148"/>
  <c r="AO11" i="148"/>
  <c r="BC8" i="72"/>
  <c r="AD11" i="148"/>
  <c r="AF11" i="148"/>
  <c r="AC8" i="100"/>
  <c r="AC11" i="153"/>
  <c r="AD11" i="153"/>
  <c r="AF11" i="153"/>
  <c r="AN11" i="153"/>
  <c r="AO11" i="153"/>
  <c r="BG8" i="72"/>
  <c r="AH23" i="117"/>
  <c r="AI23" i="117"/>
  <c r="K20" i="72"/>
  <c r="AJ23" i="117"/>
  <c r="AH38" i="125"/>
  <c r="AI38" i="125"/>
  <c r="O35" i="72"/>
  <c r="AJ38" i="125"/>
  <c r="AH26" i="146"/>
  <c r="AI26" i="146"/>
  <c r="W23" i="72"/>
  <c r="AJ26" i="146"/>
  <c r="AH70" i="116"/>
  <c r="AI70" i="116"/>
  <c r="J67" i="72"/>
  <c r="AJ70" i="116"/>
  <c r="AH35" i="148"/>
  <c r="AI35" i="148"/>
  <c r="Y32" i="72"/>
  <c r="AJ35" i="148"/>
  <c r="AH35" i="131"/>
  <c r="AI35" i="131"/>
  <c r="T32" i="72"/>
  <c r="AJ35" i="131"/>
  <c r="AH73" i="151"/>
  <c r="AI73" i="151"/>
  <c r="AA70" i="72"/>
  <c r="AJ73" i="151"/>
  <c r="AH21" i="131"/>
  <c r="AI21" i="131"/>
  <c r="T18" i="72"/>
  <c r="AJ21" i="131"/>
  <c r="AH60" i="145"/>
  <c r="AI60" i="145"/>
  <c r="V57" i="72"/>
  <c r="AJ60" i="145"/>
  <c r="AH56" i="149"/>
  <c r="AI56" i="149"/>
  <c r="Z53" i="72"/>
  <c r="AJ56" i="149"/>
  <c r="AH71" i="113"/>
  <c r="AI71" i="113"/>
  <c r="G68" i="72"/>
  <c r="AJ71" i="113"/>
  <c r="AH47" i="147"/>
  <c r="AI47" i="147"/>
  <c r="X44" i="72"/>
  <c r="AJ47" i="147"/>
  <c r="AH33" i="152"/>
  <c r="AI33" i="152"/>
  <c r="AB30" i="72"/>
  <c r="AJ33" i="152"/>
  <c r="AH15" i="146"/>
  <c r="AI15" i="146"/>
  <c r="W12" i="72"/>
  <c r="AJ15" i="146"/>
  <c r="AH25" i="125"/>
  <c r="AI25" i="125"/>
  <c r="O22" i="72"/>
  <c r="AJ25" i="125"/>
  <c r="AH25" i="117"/>
  <c r="AI25" i="117"/>
  <c r="K22" i="72"/>
  <c r="AJ25" i="117"/>
  <c r="AH51" i="120"/>
  <c r="AI51" i="120"/>
  <c r="N48" i="72"/>
  <c r="AJ51" i="120"/>
  <c r="AH47" i="126"/>
  <c r="AI47" i="126"/>
  <c r="P44" i="72"/>
  <c r="AJ47" i="126"/>
  <c r="AH40" i="119"/>
  <c r="AI40" i="119"/>
  <c r="M37" i="72"/>
  <c r="AJ40" i="119"/>
  <c r="AH12" i="148"/>
  <c r="AI12" i="148"/>
  <c r="Y9" i="72"/>
  <c r="AJ12" i="148"/>
  <c r="AI43" i="80"/>
  <c r="AJ43" i="80"/>
  <c r="AE40" i="72"/>
  <c r="AK43" i="80"/>
  <c r="AH20" i="129"/>
  <c r="AI20" i="129"/>
  <c r="S17" i="72"/>
  <c r="AJ20" i="129"/>
  <c r="AH52" i="129"/>
  <c r="AI52" i="129"/>
  <c r="S49" i="72"/>
  <c r="AJ52" i="129"/>
  <c r="AH52" i="119"/>
  <c r="AI52" i="119"/>
  <c r="M49" i="72"/>
  <c r="AJ52" i="119"/>
  <c r="AH26" i="128"/>
  <c r="AI26" i="128"/>
  <c r="R23" i="72"/>
  <c r="AJ26" i="128"/>
  <c r="AH67" i="115"/>
  <c r="AI67" i="115"/>
  <c r="I64" i="72"/>
  <c r="AJ67" i="115"/>
  <c r="AH62" i="148"/>
  <c r="AI62" i="148"/>
  <c r="Y59" i="72"/>
  <c r="AJ62" i="148"/>
  <c r="AH35" i="147"/>
  <c r="AI35" i="147"/>
  <c r="X32" i="72"/>
  <c r="AJ35" i="147"/>
  <c r="AH35" i="118"/>
  <c r="AI35" i="118"/>
  <c r="L32" i="72"/>
  <c r="AJ35" i="118"/>
  <c r="AH15" i="115"/>
  <c r="AI15" i="115"/>
  <c r="I12" i="72"/>
  <c r="AJ15" i="115"/>
  <c r="AI25" i="80"/>
  <c r="AJ25" i="80"/>
  <c r="AE22" i="72"/>
  <c r="AK25" i="80"/>
  <c r="AH25" i="147"/>
  <c r="AI25" i="147"/>
  <c r="X22" i="72"/>
  <c r="AJ25" i="147"/>
  <c r="AH37" i="120"/>
  <c r="AI37" i="120"/>
  <c r="N34" i="72"/>
  <c r="AJ37" i="120"/>
  <c r="AH57" i="152"/>
  <c r="AI57" i="152"/>
  <c r="AB54" i="72"/>
  <c r="AJ57" i="152"/>
  <c r="AD57" i="125"/>
  <c r="AF57" i="125"/>
  <c r="AH57" i="127"/>
  <c r="AI57" i="127"/>
  <c r="Q54" i="72"/>
  <c r="AJ57" i="127"/>
  <c r="AH48" i="152"/>
  <c r="AI48" i="152"/>
  <c r="AB45" i="72"/>
  <c r="AJ48" i="152"/>
  <c r="AH48" i="128"/>
  <c r="AI48" i="128"/>
  <c r="R45" i="72"/>
  <c r="AJ48" i="128"/>
  <c r="I45" i="100"/>
  <c r="AM45" i="72"/>
  <c r="AH63" i="145"/>
  <c r="AI63" i="145"/>
  <c r="V60" i="72"/>
  <c r="AJ63" i="145"/>
  <c r="AH47" i="149"/>
  <c r="AI47" i="149"/>
  <c r="Z44" i="72"/>
  <c r="AJ47" i="149"/>
  <c r="AD40" i="153"/>
  <c r="AF40" i="153"/>
  <c r="AH58" i="120"/>
  <c r="AI58" i="120"/>
  <c r="N55" i="72"/>
  <c r="AJ58" i="120"/>
  <c r="AH12" i="146"/>
  <c r="AI12" i="146"/>
  <c r="W9" i="72"/>
  <c r="AJ12" i="146"/>
  <c r="AH43" i="114"/>
  <c r="AI43" i="114"/>
  <c r="H40" i="72"/>
  <c r="AJ43" i="114"/>
  <c r="AH20" i="126"/>
  <c r="AI20" i="126"/>
  <c r="P17" i="72"/>
  <c r="AJ20" i="126"/>
  <c r="AH20" i="153"/>
  <c r="AI20" i="153"/>
  <c r="AC17" i="72"/>
  <c r="AJ20" i="153"/>
  <c r="AH8" i="120"/>
  <c r="AI8" i="120"/>
  <c r="N5" i="72"/>
  <c r="AJ8" i="120"/>
  <c r="AH11" i="113"/>
  <c r="AI11" i="113"/>
  <c r="G8" i="72"/>
  <c r="AJ11" i="113"/>
  <c r="W8" i="100"/>
  <c r="AC11" i="146"/>
  <c r="AN11" i="146"/>
  <c r="AO11" i="146"/>
  <c r="BA8" i="72"/>
  <c r="AH52" i="120"/>
  <c r="AI52" i="120"/>
  <c r="N49" i="72"/>
  <c r="AJ52" i="120"/>
  <c r="AH23" i="153"/>
  <c r="AI23" i="153"/>
  <c r="AC20" i="72"/>
  <c r="AJ23" i="153"/>
  <c r="AH42" i="117"/>
  <c r="AI42" i="117"/>
  <c r="K39" i="72"/>
  <c r="AJ42" i="117"/>
  <c r="AI44" i="76"/>
  <c r="AJ44" i="76"/>
  <c r="AD41" i="72"/>
  <c r="AK44" i="76"/>
  <c r="AH29" i="148"/>
  <c r="AI29" i="148"/>
  <c r="Y26" i="72"/>
  <c r="AJ29" i="148"/>
  <c r="AH27" i="153"/>
  <c r="AI27" i="153"/>
  <c r="AC24" i="72"/>
  <c r="AJ27" i="153"/>
  <c r="AH59" i="152"/>
  <c r="AI59" i="152"/>
  <c r="AB56" i="72"/>
  <c r="AJ59" i="152"/>
  <c r="AH17" i="146"/>
  <c r="AI17" i="146"/>
  <c r="W14" i="72"/>
  <c r="AJ17" i="146"/>
  <c r="AH33" i="144"/>
  <c r="AI33" i="144"/>
  <c r="U30" i="72"/>
  <c r="AJ33" i="144"/>
  <c r="AH25" i="113"/>
  <c r="AI25" i="113"/>
  <c r="G22" i="72"/>
  <c r="AJ25" i="113"/>
  <c r="AH37" i="153"/>
  <c r="AI37" i="153"/>
  <c r="AC34" i="72"/>
  <c r="AJ37" i="153"/>
  <c r="AH54" i="115"/>
  <c r="AI54" i="115"/>
  <c r="I51" i="72"/>
  <c r="AJ54" i="115"/>
  <c r="AH67" i="145"/>
  <c r="AI67" i="145"/>
  <c r="V64" i="72"/>
  <c r="AJ67" i="145"/>
  <c r="AH49" i="114"/>
  <c r="AI49" i="114"/>
  <c r="H46" i="72"/>
  <c r="AJ49" i="114"/>
  <c r="AH45" i="119"/>
  <c r="AI45" i="119"/>
  <c r="M42" i="72"/>
  <c r="AJ45" i="119"/>
  <c r="AI64" i="80"/>
  <c r="AJ64" i="80"/>
  <c r="AE61" i="72"/>
  <c r="AK64" i="80"/>
  <c r="AH75" i="131"/>
  <c r="AI75" i="131"/>
  <c r="T72" i="72"/>
  <c r="AJ75" i="131"/>
  <c r="AH47" i="129"/>
  <c r="AI47" i="129"/>
  <c r="S44" i="72"/>
  <c r="AJ47" i="129"/>
  <c r="AH14" i="127"/>
  <c r="AI14" i="127"/>
  <c r="Q11" i="72"/>
  <c r="AJ14" i="127"/>
  <c r="AH58" i="113"/>
  <c r="AI58" i="113"/>
  <c r="G55" i="72"/>
  <c r="AJ58" i="113"/>
  <c r="AP6" i="46"/>
  <c r="AN12" i="46"/>
  <c r="AH55" i="116"/>
  <c r="AI55" i="116"/>
  <c r="J52" i="72"/>
  <c r="AJ55" i="116"/>
  <c r="AH28" i="153"/>
  <c r="AI28" i="153"/>
  <c r="AC25" i="72"/>
  <c r="AJ28" i="153"/>
  <c r="AH41" i="148"/>
  <c r="AI41" i="148"/>
  <c r="Y38" i="72"/>
  <c r="AJ41" i="148"/>
  <c r="AH50" i="151"/>
  <c r="AI50" i="151"/>
  <c r="AA47" i="72"/>
  <c r="AJ50" i="151"/>
  <c r="AH22" i="148"/>
  <c r="AI22" i="148"/>
  <c r="Y19" i="72"/>
  <c r="AJ22" i="148"/>
  <c r="AH33" i="116"/>
  <c r="AI33" i="116"/>
  <c r="J30" i="72"/>
  <c r="AJ33" i="116"/>
  <c r="AH72" i="131"/>
  <c r="AI72" i="131"/>
  <c r="T69" i="72"/>
  <c r="AJ72" i="131"/>
  <c r="AH25" i="116"/>
  <c r="AI25" i="116"/>
  <c r="J22" i="72"/>
  <c r="AJ25" i="116"/>
  <c r="AH75" i="120"/>
  <c r="AI75" i="120"/>
  <c r="N72" i="72"/>
  <c r="AJ75" i="120"/>
  <c r="AH75" i="146"/>
  <c r="AI75" i="146"/>
  <c r="W72" i="72"/>
  <c r="AJ75" i="146"/>
  <c r="AH48" i="114"/>
  <c r="AI48" i="114"/>
  <c r="H45" i="72"/>
  <c r="AJ48" i="114"/>
  <c r="AH63" i="114"/>
  <c r="AI63" i="114"/>
  <c r="H60" i="72"/>
  <c r="AJ63" i="114"/>
  <c r="AH58" i="148"/>
  <c r="AI58" i="148"/>
  <c r="Y55" i="72"/>
  <c r="AJ58" i="148"/>
  <c r="AI20" i="80"/>
  <c r="AJ20" i="80"/>
  <c r="AE17" i="72"/>
  <c r="AK20" i="80"/>
  <c r="AH11" i="117"/>
  <c r="AI11" i="117"/>
  <c r="K8" i="72"/>
  <c r="AJ11" i="117"/>
  <c r="AH11" i="128"/>
  <c r="AI11" i="128"/>
  <c r="R8" i="72"/>
  <c r="AJ11" i="128"/>
  <c r="AH31" i="117"/>
  <c r="AI31" i="117"/>
  <c r="K28" i="72"/>
  <c r="AJ31" i="117"/>
  <c r="AH15" i="153"/>
  <c r="AI15" i="153"/>
  <c r="AC12" i="72"/>
  <c r="AJ15" i="153"/>
  <c r="AH58" i="129"/>
  <c r="AI58" i="129"/>
  <c r="S55" i="72"/>
  <c r="AJ58" i="129"/>
  <c r="AH18" i="153"/>
  <c r="AI18" i="153"/>
  <c r="AC15" i="72"/>
  <c r="AJ18" i="153"/>
  <c r="AI18" i="80"/>
  <c r="AJ18" i="80"/>
  <c r="AE15" i="72"/>
  <c r="AK18" i="80"/>
  <c r="AH14" i="151"/>
  <c r="AI14" i="151"/>
  <c r="AA11" i="72"/>
  <c r="AJ14" i="151"/>
  <c r="AI8" i="80"/>
  <c r="AJ8" i="80"/>
  <c r="AE5" i="72"/>
  <c r="AK8" i="80"/>
  <c r="AH52" i="131"/>
  <c r="AI52" i="131"/>
  <c r="T49" i="72"/>
  <c r="AJ52" i="131"/>
  <c r="AH65" i="115"/>
  <c r="AI65" i="115"/>
  <c r="I62" i="72"/>
  <c r="AJ65" i="115"/>
  <c r="AH42" i="152"/>
  <c r="AI42" i="152"/>
  <c r="AB39" i="72"/>
  <c r="AJ42" i="152"/>
  <c r="AH24" i="116"/>
  <c r="AI24" i="116"/>
  <c r="J21" i="72"/>
  <c r="AJ24" i="116"/>
  <c r="AH34" i="146"/>
  <c r="AI34" i="146"/>
  <c r="W31" i="72"/>
  <c r="AJ34" i="146"/>
  <c r="AH72" i="120"/>
  <c r="AI72" i="120"/>
  <c r="N69" i="72"/>
  <c r="AJ72" i="120"/>
  <c r="AH71" i="149"/>
  <c r="AI71" i="149"/>
  <c r="Z68" i="72"/>
  <c r="AJ71" i="149"/>
  <c r="X45" i="100"/>
  <c r="AC48" i="147"/>
  <c r="AN48" i="147"/>
  <c r="AO48" i="147"/>
  <c r="BB45" i="72"/>
  <c r="AH43" i="151"/>
  <c r="AI43" i="151"/>
  <c r="AA40" i="72"/>
  <c r="AJ43" i="151"/>
  <c r="AH20" i="151"/>
  <c r="AI20" i="151"/>
  <c r="AA17" i="72"/>
  <c r="AJ20" i="151"/>
  <c r="AC11" i="127"/>
  <c r="AN11" i="127"/>
  <c r="AO11" i="127"/>
  <c r="AU8" i="72"/>
  <c r="Q8" i="100"/>
  <c r="AH52" i="118"/>
  <c r="AI52" i="118"/>
  <c r="L49" i="72"/>
  <c r="AJ52" i="118"/>
  <c r="AH38" i="115"/>
  <c r="AI38" i="115"/>
  <c r="I35" i="72"/>
  <c r="AJ38" i="115"/>
  <c r="AH44" i="147"/>
  <c r="AI44" i="147"/>
  <c r="X41" i="72"/>
  <c r="AJ44" i="147"/>
  <c r="AH33" i="131"/>
  <c r="AI33" i="131"/>
  <c r="T30" i="72"/>
  <c r="AJ33" i="131"/>
  <c r="AH37" i="149"/>
  <c r="AI37" i="149"/>
  <c r="Z34" i="72"/>
  <c r="AJ37" i="149"/>
  <c r="AH54" i="149"/>
  <c r="AI54" i="149"/>
  <c r="Z51" i="72"/>
  <c r="AJ54" i="149"/>
  <c r="AH65" i="118"/>
  <c r="AI65" i="118"/>
  <c r="L62" i="72"/>
  <c r="AJ65" i="118"/>
  <c r="AH67" i="127"/>
  <c r="AI67" i="127"/>
  <c r="Q64" i="72"/>
  <c r="AJ67" i="127"/>
  <c r="AH59" i="148"/>
  <c r="AI59" i="148"/>
  <c r="Y56" i="72"/>
  <c r="AJ59" i="148"/>
  <c r="AH68" i="125"/>
  <c r="AI68" i="125"/>
  <c r="O65" i="72"/>
  <c r="AJ68" i="125"/>
  <c r="AH49" i="147"/>
  <c r="AI49" i="147"/>
  <c r="X46" i="72"/>
  <c r="AJ49" i="147"/>
  <c r="AH19" i="129"/>
  <c r="AI19" i="129"/>
  <c r="S16" i="72"/>
  <c r="AJ19" i="129"/>
  <c r="AH29" i="144"/>
  <c r="AI29" i="144"/>
  <c r="U26" i="72"/>
  <c r="AJ29" i="144"/>
  <c r="AH43" i="128"/>
  <c r="AI43" i="128"/>
  <c r="R40" i="72"/>
  <c r="AJ43" i="128"/>
  <c r="AH33" i="119"/>
  <c r="AI33" i="119"/>
  <c r="M30" i="72"/>
  <c r="AJ33" i="119"/>
  <c r="AI37" i="80"/>
  <c r="AJ37" i="80"/>
  <c r="AE34" i="72"/>
  <c r="AK37" i="80"/>
  <c r="AI55" i="80"/>
  <c r="AJ55" i="80"/>
  <c r="AE52" i="72"/>
  <c r="AK55" i="80"/>
  <c r="AH26" i="118"/>
  <c r="AI26" i="118"/>
  <c r="L23" i="72"/>
  <c r="AJ26" i="118"/>
  <c r="AD57" i="149"/>
  <c r="AF57" i="149"/>
  <c r="AH28" i="114"/>
  <c r="AI28" i="114"/>
  <c r="H25" i="72"/>
  <c r="AJ28" i="114"/>
  <c r="AI59" i="76"/>
  <c r="AJ59" i="76"/>
  <c r="AD56" i="72"/>
  <c r="AK59" i="76"/>
  <c r="AH39" i="146"/>
  <c r="AI39" i="146"/>
  <c r="W36" i="72"/>
  <c r="AJ39" i="146"/>
  <c r="AH66" i="117"/>
  <c r="AI66" i="117"/>
  <c r="K63" i="72"/>
  <c r="AJ66" i="117"/>
  <c r="AH71" i="119"/>
  <c r="AI71" i="119"/>
  <c r="M68" i="72"/>
  <c r="AJ71" i="119"/>
  <c r="AH71" i="125"/>
  <c r="AI71" i="125"/>
  <c r="O68" i="72"/>
  <c r="AJ71" i="125"/>
  <c r="AH71" i="127"/>
  <c r="AI71" i="127"/>
  <c r="Q68" i="72"/>
  <c r="AJ71" i="127"/>
  <c r="AH75" i="152"/>
  <c r="AI75" i="152"/>
  <c r="AB72" i="72"/>
  <c r="AJ75" i="152"/>
  <c r="AH51" i="131"/>
  <c r="AI51" i="131"/>
  <c r="T48" i="72"/>
  <c r="AJ51" i="131"/>
  <c r="AI63" i="80"/>
  <c r="AJ63" i="80"/>
  <c r="AE60" i="72"/>
  <c r="AK63" i="80"/>
  <c r="AH47" i="151"/>
  <c r="AI47" i="151"/>
  <c r="AA44" i="72"/>
  <c r="AJ47" i="151"/>
  <c r="AD14" i="152"/>
  <c r="AF14" i="152"/>
  <c r="AH40" i="149"/>
  <c r="AI40" i="149"/>
  <c r="Z37" i="72"/>
  <c r="AJ40" i="149"/>
  <c r="AH58" i="115"/>
  <c r="AI58" i="115"/>
  <c r="I55" i="72"/>
  <c r="AJ58" i="115"/>
  <c r="AH12" i="145"/>
  <c r="AI12" i="145"/>
  <c r="V9" i="72"/>
  <c r="AJ12" i="145"/>
  <c r="AH20" i="115"/>
  <c r="AI20" i="115"/>
  <c r="I17" i="72"/>
  <c r="AJ20" i="115"/>
  <c r="AH23" i="144"/>
  <c r="AI23" i="144"/>
  <c r="U20" i="72"/>
  <c r="AJ23" i="144"/>
  <c r="AF35" i="100"/>
  <c r="AG35" i="100"/>
  <c r="AH10" i="146"/>
  <c r="AI10" i="146"/>
  <c r="W7" i="72"/>
  <c r="AJ10" i="146"/>
  <c r="AH24" i="117"/>
  <c r="AI24" i="117"/>
  <c r="K21" i="72"/>
  <c r="AJ24" i="117"/>
  <c r="AH34" i="119"/>
  <c r="AI34" i="119"/>
  <c r="M31" i="72"/>
  <c r="AJ34" i="119"/>
  <c r="AH44" i="152"/>
  <c r="AI44" i="152"/>
  <c r="AB41" i="72"/>
  <c r="AJ44" i="152"/>
  <c r="AH21" i="148"/>
  <c r="AI21" i="148"/>
  <c r="Y18" i="72"/>
  <c r="AJ21" i="148"/>
  <c r="AH16" i="146"/>
  <c r="AI16" i="146"/>
  <c r="W13" i="72"/>
  <c r="AJ16" i="146"/>
  <c r="AH49" i="128"/>
  <c r="AI49" i="128"/>
  <c r="R46" i="72"/>
  <c r="AJ49" i="128"/>
  <c r="AH50" i="145"/>
  <c r="AI50" i="145"/>
  <c r="V47" i="72"/>
  <c r="AJ50" i="145"/>
  <c r="AD33" i="117"/>
  <c r="AF33" i="117"/>
  <c r="AI33" i="80"/>
  <c r="AJ33" i="80"/>
  <c r="AE30" i="72"/>
  <c r="AK33" i="80"/>
  <c r="AH72" i="125"/>
  <c r="AI72" i="125"/>
  <c r="O69" i="72"/>
  <c r="AJ72" i="125"/>
  <c r="AH72" i="148"/>
  <c r="AI72" i="148"/>
  <c r="Y69" i="72"/>
  <c r="AJ72" i="148"/>
  <c r="AH72" i="129"/>
  <c r="AI72" i="129"/>
  <c r="S69" i="72"/>
  <c r="AJ72" i="129"/>
  <c r="AH37" i="146"/>
  <c r="AI37" i="146"/>
  <c r="W34" i="72"/>
  <c r="AJ37" i="146"/>
  <c r="AH57" i="153"/>
  <c r="AI57" i="153"/>
  <c r="AC54" i="72"/>
  <c r="AJ57" i="153"/>
  <c r="AD71" i="116"/>
  <c r="AF71" i="116"/>
  <c r="AH75" i="119"/>
  <c r="AI75" i="119"/>
  <c r="M72" i="72"/>
  <c r="AJ75" i="119"/>
  <c r="AH75" i="117"/>
  <c r="AI75" i="117"/>
  <c r="K72" i="72"/>
  <c r="AJ75" i="117"/>
  <c r="AH51" i="148"/>
  <c r="AI51" i="148"/>
  <c r="Y48" i="72"/>
  <c r="AJ51" i="148"/>
  <c r="AH63" i="151"/>
  <c r="AI63" i="151"/>
  <c r="AA60" i="72"/>
  <c r="AJ63" i="151"/>
  <c r="AH47" i="118"/>
  <c r="AI47" i="118"/>
  <c r="L44" i="72"/>
  <c r="AJ47" i="118"/>
  <c r="AH47" i="119"/>
  <c r="AI47" i="119"/>
  <c r="M44" i="72"/>
  <c r="AJ47" i="119"/>
  <c r="AH40" i="148"/>
  <c r="AI40" i="148"/>
  <c r="Y37" i="72"/>
  <c r="AJ40" i="148"/>
  <c r="AH43" i="119"/>
  <c r="AI43" i="119"/>
  <c r="M40" i="72"/>
  <c r="AJ43" i="119"/>
  <c r="AH8" i="116"/>
  <c r="AI8" i="116"/>
  <c r="J5" i="72"/>
  <c r="AJ8" i="116"/>
  <c r="AH11" i="116"/>
  <c r="AI11" i="116"/>
  <c r="J8" i="72"/>
  <c r="AJ11" i="116"/>
  <c r="AH11" i="119"/>
  <c r="AI11" i="119"/>
  <c r="M8" i="72"/>
  <c r="AJ11" i="119"/>
  <c r="AH23" i="145"/>
  <c r="AI23" i="145"/>
  <c r="V20" i="72"/>
  <c r="AJ23" i="145"/>
  <c r="AI23" i="76"/>
  <c r="AJ23" i="76"/>
  <c r="AD20" i="72"/>
  <c r="AK23" i="76"/>
  <c r="AH38" i="147"/>
  <c r="AI38" i="147"/>
  <c r="X35" i="72"/>
  <c r="AJ38" i="147"/>
  <c r="AH44" i="148"/>
  <c r="AI44" i="148"/>
  <c r="Y41" i="72"/>
  <c r="AJ44" i="148"/>
  <c r="AH44" i="115"/>
  <c r="AI44" i="115"/>
  <c r="I41" i="72"/>
  <c r="AJ44" i="115"/>
  <c r="AH19" i="153"/>
  <c r="AI19" i="153"/>
  <c r="AC16" i="72"/>
  <c r="AJ19" i="153"/>
  <c r="AH69" i="144"/>
  <c r="AI69" i="144"/>
  <c r="U66" i="72"/>
  <c r="AJ69" i="144"/>
  <c r="AH62" i="145"/>
  <c r="AI62" i="145"/>
  <c r="V59" i="72"/>
  <c r="AJ62" i="145"/>
  <c r="AH72" i="117"/>
  <c r="AI72" i="117"/>
  <c r="K69" i="72"/>
  <c r="AJ72" i="117"/>
  <c r="AH57" i="128"/>
  <c r="AI57" i="128"/>
  <c r="R54" i="72"/>
  <c r="AJ57" i="128"/>
  <c r="AH28" i="148"/>
  <c r="AI28" i="148"/>
  <c r="Y25" i="72"/>
  <c r="AJ28" i="148"/>
  <c r="AH24" i="128"/>
  <c r="AI24" i="128"/>
  <c r="R21" i="72"/>
  <c r="AJ24" i="128"/>
  <c r="AH70" i="127"/>
  <c r="AI70" i="127"/>
  <c r="Q67" i="72"/>
  <c r="AJ70" i="127"/>
  <c r="AI50" i="76"/>
  <c r="AJ50" i="76"/>
  <c r="AD47" i="72"/>
  <c r="AK50" i="76"/>
  <c r="AH75" i="127"/>
  <c r="AI75" i="127"/>
  <c r="Q72" i="72"/>
  <c r="AJ75" i="127"/>
  <c r="AH75" i="153"/>
  <c r="AI75" i="153"/>
  <c r="AC72" i="72"/>
  <c r="AJ75" i="153"/>
  <c r="AH12" i="117"/>
  <c r="AI12" i="117"/>
  <c r="K9" i="72"/>
  <c r="AJ12" i="117"/>
  <c r="AH20" i="149"/>
  <c r="AI20" i="149"/>
  <c r="Z17" i="72"/>
  <c r="AJ20" i="149"/>
  <c r="AH46" i="117"/>
  <c r="AI46" i="117"/>
  <c r="K43" i="72"/>
  <c r="AJ46" i="117"/>
  <c r="AN15" i="46"/>
  <c r="AP14" i="46"/>
  <c r="AH26" i="131"/>
  <c r="AI26" i="131"/>
  <c r="T23" i="72"/>
  <c r="AJ26" i="131"/>
  <c r="AH73" i="131"/>
  <c r="AI73" i="131"/>
  <c r="T70" i="72"/>
  <c r="AJ73" i="131"/>
  <c r="AH33" i="118"/>
  <c r="AI33" i="118"/>
  <c r="L30" i="72"/>
  <c r="AJ33" i="118"/>
  <c r="AH15" i="148"/>
  <c r="AI15" i="148"/>
  <c r="Y12" i="72"/>
  <c r="AJ15" i="148"/>
  <c r="AH37" i="128"/>
  <c r="AI37" i="128"/>
  <c r="R34" i="72"/>
  <c r="AJ37" i="128"/>
  <c r="AH50" i="153"/>
  <c r="AI50" i="153"/>
  <c r="AC47" i="72"/>
  <c r="AJ50" i="153"/>
  <c r="AC48" i="146"/>
  <c r="AN48" i="146"/>
  <c r="AO48" i="146"/>
  <c r="BA45" i="72"/>
  <c r="W45" i="100"/>
  <c r="AH63" i="126"/>
  <c r="AI63" i="126"/>
  <c r="P60" i="72"/>
  <c r="AJ63" i="126"/>
  <c r="AH12" i="147"/>
  <c r="AI12" i="147"/>
  <c r="X9" i="72"/>
  <c r="AJ12" i="147"/>
  <c r="AH8" i="152"/>
  <c r="AI8" i="152"/>
  <c r="AB5" i="72"/>
  <c r="AJ8" i="152"/>
  <c r="AH11" i="147"/>
  <c r="AI11" i="147"/>
  <c r="X8" i="72"/>
  <c r="AJ11" i="147"/>
  <c r="AI11" i="76"/>
  <c r="AJ11" i="76"/>
  <c r="AD8" i="72"/>
  <c r="AK11" i="76"/>
  <c r="AH60" i="144"/>
  <c r="AI60" i="144"/>
  <c r="U57" i="72"/>
  <c r="AJ60" i="144"/>
  <c r="AH35" i="144"/>
  <c r="AI35" i="144"/>
  <c r="U32" i="72"/>
  <c r="AJ35" i="144"/>
  <c r="AH72" i="116"/>
  <c r="AI72" i="116"/>
  <c r="J69" i="72"/>
  <c r="AJ72" i="116"/>
  <c r="AH72" i="128"/>
  <c r="AI72" i="128"/>
  <c r="R69" i="72"/>
  <c r="AJ72" i="128"/>
  <c r="AH15" i="131"/>
  <c r="AI15" i="131"/>
  <c r="T12" i="72"/>
  <c r="AJ15" i="131"/>
  <c r="AH25" i="148"/>
  <c r="AI25" i="148"/>
  <c r="Y22" i="72"/>
  <c r="AJ25" i="148"/>
  <c r="AH25" i="131"/>
  <c r="AI25" i="131"/>
  <c r="T22" i="72"/>
  <c r="AJ25" i="131"/>
  <c r="AH25" i="129"/>
  <c r="AI25" i="129"/>
  <c r="S22" i="72"/>
  <c r="AJ25" i="129"/>
  <c r="AH37" i="145"/>
  <c r="AI37" i="145"/>
  <c r="V34" i="72"/>
  <c r="AJ37" i="145"/>
  <c r="AH37" i="129"/>
  <c r="AI37" i="129"/>
  <c r="S34" i="72"/>
  <c r="AJ37" i="129"/>
  <c r="AH37" i="152"/>
  <c r="AI37" i="152"/>
  <c r="AB34" i="72"/>
  <c r="AJ37" i="152"/>
  <c r="AH46" i="149"/>
  <c r="AI46" i="149"/>
  <c r="Z43" i="72"/>
  <c r="AJ46" i="149"/>
  <c r="AH61" i="149"/>
  <c r="AI61" i="149"/>
  <c r="Z58" i="72"/>
  <c r="AJ61" i="149"/>
  <c r="AH65" i="144"/>
  <c r="AI65" i="144"/>
  <c r="U62" i="72"/>
  <c r="AJ65" i="144"/>
  <c r="AH57" i="144"/>
  <c r="AI57" i="144"/>
  <c r="U54" i="72"/>
  <c r="AJ57" i="144"/>
  <c r="AH18" i="116"/>
  <c r="AI18" i="116"/>
  <c r="J15" i="72"/>
  <c r="AJ18" i="116"/>
  <c r="AH60" i="120"/>
  <c r="AI60" i="120"/>
  <c r="N57" i="72"/>
  <c r="AJ60" i="120"/>
  <c r="AH49" i="120"/>
  <c r="AI49" i="120"/>
  <c r="N46" i="72"/>
  <c r="AJ49" i="120"/>
  <c r="AH41" i="149"/>
  <c r="AI41" i="149"/>
  <c r="Z38" i="72"/>
  <c r="AJ41" i="149"/>
  <c r="AH70" i="125"/>
  <c r="AI70" i="125"/>
  <c r="O67" i="72"/>
  <c r="AJ70" i="125"/>
  <c r="AH50" i="152"/>
  <c r="AI50" i="152"/>
  <c r="AB47" i="72"/>
  <c r="AJ50" i="152"/>
  <c r="AH30" i="120"/>
  <c r="AI30" i="120"/>
  <c r="N27" i="72"/>
  <c r="AJ30" i="120"/>
  <c r="AH64" i="115"/>
  <c r="AI64" i="115"/>
  <c r="I61" i="72"/>
  <c r="AJ64" i="115"/>
  <c r="AH22" i="152"/>
  <c r="AI22" i="152"/>
  <c r="AB19" i="72"/>
  <c r="AJ22" i="152"/>
  <c r="AH31" i="114"/>
  <c r="AI31" i="114"/>
  <c r="H28" i="72"/>
  <c r="AJ31" i="114"/>
  <c r="AH75" i="114"/>
  <c r="AI75" i="114"/>
  <c r="H72" i="72"/>
  <c r="AJ75" i="114"/>
  <c r="AH51" i="115"/>
  <c r="AI51" i="115"/>
  <c r="I48" i="72"/>
  <c r="AJ51" i="115"/>
  <c r="AG48" i="100"/>
  <c r="AI51" i="80"/>
  <c r="AJ51" i="80"/>
  <c r="AE48" i="72"/>
  <c r="AK51" i="80"/>
  <c r="AH63" i="144"/>
  <c r="AI63" i="144"/>
  <c r="U60" i="72"/>
  <c r="AJ63" i="144"/>
  <c r="AH63" i="116"/>
  <c r="AI63" i="116"/>
  <c r="J60" i="72"/>
  <c r="AJ63" i="116"/>
  <c r="AH47" i="117"/>
  <c r="AI47" i="117"/>
  <c r="K44" i="72"/>
  <c r="AJ47" i="117"/>
  <c r="AI47" i="80"/>
  <c r="AJ47" i="80"/>
  <c r="AE44" i="72"/>
  <c r="AK47" i="80"/>
  <c r="AH14" i="118"/>
  <c r="AI14" i="118"/>
  <c r="L11" i="72"/>
  <c r="AJ14" i="118"/>
  <c r="AH14" i="113"/>
  <c r="AI14" i="113"/>
  <c r="G11" i="72"/>
  <c r="AJ14" i="113"/>
  <c r="AF37" i="100"/>
  <c r="AG37" i="100"/>
  <c r="AH40" i="145"/>
  <c r="AI40" i="145"/>
  <c r="V37" i="72"/>
  <c r="AJ40" i="145"/>
  <c r="AI58" i="76"/>
  <c r="AJ58" i="76"/>
  <c r="AD55" i="72"/>
  <c r="AK58" i="76"/>
  <c r="AI12" i="76"/>
  <c r="AJ12" i="76"/>
  <c r="AD9" i="72"/>
  <c r="AK12" i="76"/>
  <c r="AH43" i="144"/>
  <c r="AI43" i="144"/>
  <c r="U40" i="72"/>
  <c r="AJ43" i="144"/>
  <c r="AG40" i="100"/>
  <c r="AI20" i="76"/>
  <c r="AJ20" i="76"/>
  <c r="AD17" i="72"/>
  <c r="AK20" i="76"/>
  <c r="AH8" i="149"/>
  <c r="AI8" i="149"/>
  <c r="Z5" i="72"/>
  <c r="AJ8" i="149"/>
  <c r="AH8" i="144"/>
  <c r="AI8" i="144"/>
  <c r="U5" i="72"/>
  <c r="AJ8" i="144"/>
  <c r="AH52" i="145"/>
  <c r="AI52" i="145"/>
  <c r="V49" i="72"/>
  <c r="AJ52" i="145"/>
  <c r="AH23" i="129"/>
  <c r="AI23" i="129"/>
  <c r="S20" i="72"/>
  <c r="AJ23" i="129"/>
  <c r="AH23" i="147"/>
  <c r="AI23" i="147"/>
  <c r="X20" i="72"/>
  <c r="AJ23" i="147"/>
  <c r="AD38" i="131"/>
  <c r="AF38" i="131"/>
  <c r="AH38" i="128"/>
  <c r="AI38" i="128"/>
  <c r="R35" i="72"/>
  <c r="AJ38" i="128"/>
  <c r="AH38" i="148"/>
  <c r="AI38" i="148"/>
  <c r="Y35" i="72"/>
  <c r="AJ38" i="148"/>
  <c r="AH46" i="128"/>
  <c r="AI46" i="128"/>
  <c r="R43" i="72"/>
  <c r="AJ46" i="128"/>
  <c r="AH54" i="153"/>
  <c r="AI54" i="153"/>
  <c r="AC51" i="72"/>
  <c r="AJ54" i="153"/>
  <c r="AH65" i="146"/>
  <c r="AI65" i="146"/>
  <c r="W62" i="72"/>
  <c r="AJ65" i="146"/>
  <c r="AH42" i="129"/>
  <c r="AI42" i="129"/>
  <c r="S39" i="72"/>
  <c r="AJ42" i="129"/>
  <c r="AH42" i="116"/>
  <c r="AI42" i="116"/>
  <c r="J39" i="72"/>
  <c r="AJ42" i="116"/>
  <c r="AH42" i="128"/>
  <c r="AI42" i="128"/>
  <c r="R39" i="72"/>
  <c r="AJ42" i="128"/>
  <c r="AH36" i="128"/>
  <c r="AI36" i="128"/>
  <c r="R33" i="72"/>
  <c r="AJ36" i="128"/>
  <c r="AH44" i="114"/>
  <c r="AI44" i="114"/>
  <c r="H41" i="72"/>
  <c r="AJ44" i="114"/>
  <c r="AG41" i="100"/>
  <c r="AF41" i="100"/>
  <c r="AH44" i="120"/>
  <c r="AI44" i="120"/>
  <c r="N41" i="72"/>
  <c r="AJ44" i="120"/>
  <c r="AH35" i="119"/>
  <c r="AI35" i="119"/>
  <c r="M32" i="72"/>
  <c r="AJ35" i="119"/>
  <c r="AH35" i="125"/>
  <c r="AI35" i="125"/>
  <c r="O32" i="72"/>
  <c r="AJ35" i="125"/>
  <c r="AH33" i="151"/>
  <c r="AI33" i="151"/>
  <c r="AA30" i="72"/>
  <c r="AJ33" i="151"/>
  <c r="AH72" i="152"/>
  <c r="AI72" i="152"/>
  <c r="AB69" i="72"/>
  <c r="AJ72" i="152"/>
  <c r="AF12" i="100"/>
  <c r="AG12" i="100"/>
  <c r="AH25" i="151"/>
  <c r="AI25" i="151"/>
  <c r="AA22" i="72"/>
  <c r="AJ25" i="151"/>
  <c r="AH37" i="117"/>
  <c r="AI37" i="117"/>
  <c r="K34" i="72"/>
  <c r="AJ37" i="117"/>
  <c r="AF34" i="100"/>
  <c r="AG34" i="100"/>
  <c r="AH57" i="129"/>
  <c r="AI57" i="129"/>
  <c r="S54" i="72"/>
  <c r="AJ57" i="129"/>
  <c r="AH57" i="147"/>
  <c r="AI57" i="147"/>
  <c r="X54" i="72"/>
  <c r="AJ57" i="147"/>
  <c r="AH18" i="151"/>
  <c r="AI18" i="151"/>
  <c r="AA15" i="72"/>
  <c r="AJ18" i="151"/>
  <c r="AH50" i="144"/>
  <c r="AI50" i="144"/>
  <c r="U47" i="72"/>
  <c r="AJ50" i="144"/>
  <c r="AH71" i="115"/>
  <c r="AI71" i="115"/>
  <c r="I68" i="72"/>
  <c r="AJ71" i="115"/>
  <c r="AH71" i="126"/>
  <c r="AI71" i="126"/>
  <c r="P68" i="72"/>
  <c r="AJ71" i="126"/>
  <c r="AH75" i="129"/>
  <c r="AI75" i="129"/>
  <c r="S72" i="72"/>
  <c r="AJ75" i="129"/>
  <c r="K45" i="100"/>
  <c r="AC48" i="117"/>
  <c r="AN48" i="117"/>
  <c r="AO48" i="117"/>
  <c r="AO45" i="72"/>
  <c r="AD48" i="118"/>
  <c r="AF48" i="118"/>
  <c r="AH48" i="120"/>
  <c r="AI48" i="120"/>
  <c r="N45" i="72"/>
  <c r="AJ48" i="120"/>
  <c r="AH48" i="129"/>
  <c r="AI48" i="129"/>
  <c r="S45" i="72"/>
  <c r="AJ48" i="129"/>
  <c r="AH63" i="147"/>
  <c r="AI63" i="147"/>
  <c r="X60" i="72"/>
  <c r="AJ63" i="147"/>
  <c r="AH63" i="153"/>
  <c r="AI63" i="153"/>
  <c r="AC60" i="72"/>
  <c r="AJ63" i="153"/>
  <c r="AH47" i="146"/>
  <c r="AI47" i="146"/>
  <c r="W44" i="72"/>
  <c r="AJ47" i="146"/>
  <c r="AH47" i="120"/>
  <c r="AI47" i="120"/>
  <c r="N44" i="72"/>
  <c r="AJ47" i="120"/>
  <c r="AH14" i="131"/>
  <c r="AI14" i="131"/>
  <c r="T11" i="72"/>
  <c r="AJ14" i="131"/>
  <c r="AH40" i="120"/>
  <c r="AI40" i="120"/>
  <c r="N37" i="72"/>
  <c r="AJ40" i="120"/>
  <c r="AI12" i="80"/>
  <c r="AJ12" i="80"/>
  <c r="AE9" i="72"/>
  <c r="AK12" i="80"/>
  <c r="AH12" i="114"/>
  <c r="AI12" i="114"/>
  <c r="H9" i="72"/>
  <c r="AJ12" i="114"/>
  <c r="AH43" i="131"/>
  <c r="AI43" i="131"/>
  <c r="T40" i="72"/>
  <c r="AJ43" i="131"/>
  <c r="AI43" i="76"/>
  <c r="AJ43" i="76"/>
  <c r="AD40" i="72"/>
  <c r="AK43" i="76"/>
  <c r="AH43" i="148"/>
  <c r="AI43" i="148"/>
  <c r="Y40" i="72"/>
  <c r="AJ43" i="148"/>
  <c r="AH20" i="146"/>
  <c r="AI20" i="146"/>
  <c r="W17" i="72"/>
  <c r="AJ20" i="146"/>
  <c r="AH8" i="115"/>
  <c r="AI8" i="115"/>
  <c r="I5" i="72"/>
  <c r="AJ8" i="115"/>
  <c r="AG5" i="100"/>
  <c r="AF5" i="100"/>
  <c r="AB8" i="100"/>
  <c r="AC11" i="152"/>
  <c r="AN11" i="152"/>
  <c r="AO11" i="152"/>
  <c r="BF8" i="72"/>
  <c r="AC11" i="149"/>
  <c r="AN11" i="149"/>
  <c r="AO11" i="149"/>
  <c r="BD8" i="72"/>
  <c r="Z8" i="100"/>
  <c r="AH11" i="115"/>
  <c r="AI11" i="115"/>
  <c r="I8" i="72"/>
  <c r="AJ11" i="115"/>
  <c r="AH11" i="120"/>
  <c r="AI11" i="120"/>
  <c r="N8" i="72"/>
  <c r="AJ11" i="120"/>
  <c r="AH11" i="151"/>
  <c r="AI11" i="151"/>
  <c r="AA8" i="72"/>
  <c r="AJ11" i="151"/>
  <c r="AH52" i="115"/>
  <c r="AI52" i="115"/>
  <c r="I49" i="72"/>
  <c r="AJ52" i="115"/>
  <c r="AH52" i="117"/>
  <c r="AI52" i="117"/>
  <c r="K49" i="72"/>
  <c r="AJ52" i="117"/>
  <c r="AH23" i="127"/>
  <c r="AI23" i="127"/>
  <c r="Q20" i="72"/>
  <c r="AJ23" i="127"/>
  <c r="AH23" i="125"/>
  <c r="AI23" i="125"/>
  <c r="O20" i="72"/>
  <c r="AJ23" i="125"/>
  <c r="AH38" i="117"/>
  <c r="AI38" i="117"/>
  <c r="K35" i="72"/>
  <c r="AJ38" i="117"/>
  <c r="AH65" i="147"/>
  <c r="AI65" i="147"/>
  <c r="X62" i="72"/>
  <c r="AJ65" i="147"/>
  <c r="AH42" i="147"/>
  <c r="AI42" i="147"/>
  <c r="X39" i="72"/>
  <c r="AJ42" i="147"/>
  <c r="AH36" i="148"/>
  <c r="AI36" i="148"/>
  <c r="Y33" i="72"/>
  <c r="AJ36" i="148"/>
  <c r="AH44" i="149"/>
  <c r="AI44" i="149"/>
  <c r="Z41" i="72"/>
  <c r="AJ44" i="149"/>
  <c r="AH21" i="153"/>
  <c r="AI21" i="153"/>
  <c r="AC18" i="72"/>
  <c r="AJ21" i="153"/>
  <c r="AH13" i="147"/>
  <c r="AI13" i="147"/>
  <c r="X10" i="72"/>
  <c r="AJ13" i="147"/>
  <c r="AH13" i="129"/>
  <c r="AI13" i="129"/>
  <c r="S10" i="72"/>
  <c r="AJ13" i="129"/>
  <c r="AH19" i="125"/>
  <c r="AI19" i="125"/>
  <c r="O16" i="72"/>
  <c r="AJ19" i="125"/>
  <c r="AH9" i="145"/>
  <c r="AI9" i="145"/>
  <c r="V6" i="72"/>
  <c r="AJ9" i="145"/>
  <c r="AH70" i="120"/>
  <c r="AI70" i="120"/>
  <c r="N67" i="72"/>
  <c r="AJ70" i="120"/>
  <c r="AH50" i="149"/>
  <c r="AI50" i="149"/>
  <c r="Z47" i="72"/>
  <c r="AJ50" i="149"/>
  <c r="AI35" i="76"/>
  <c r="AJ35" i="76"/>
  <c r="AD32" i="72"/>
  <c r="AK35" i="76"/>
  <c r="X76" i="113"/>
  <c r="V82" i="113"/>
  <c r="Z77" i="114"/>
  <c r="W7" i="76"/>
  <c r="W76" i="76"/>
  <c r="AA7" i="76"/>
  <c r="AA76" i="76"/>
  <c r="Y7" i="76"/>
  <c r="Z7" i="144"/>
  <c r="Z76" i="144"/>
  <c r="X7" i="144"/>
  <c r="V7" i="144"/>
  <c r="V7" i="126"/>
  <c r="Z7" i="126"/>
  <c r="Z76" i="126"/>
  <c r="X7" i="126"/>
  <c r="W7" i="80"/>
  <c r="AA7" i="80"/>
  <c r="AA76" i="80"/>
  <c r="Y7" i="80"/>
  <c r="Z7" i="125"/>
  <c r="Z76" i="125"/>
  <c r="V7" i="125"/>
  <c r="X7" i="125"/>
  <c r="V7" i="119"/>
  <c r="Z7" i="119"/>
  <c r="X7" i="119"/>
  <c r="X76" i="119"/>
  <c r="V7" i="131"/>
  <c r="Z7" i="131"/>
  <c r="Z76" i="131"/>
  <c r="X7" i="131"/>
  <c r="V7" i="153"/>
  <c r="Z7" i="153"/>
  <c r="Z76" i="153"/>
  <c r="X7" i="153"/>
  <c r="Z7" i="128"/>
  <c r="Z76" i="128"/>
  <c r="V7" i="128"/>
  <c r="V76" i="128"/>
  <c r="X7" i="128"/>
  <c r="Z7" i="120"/>
  <c r="Z76" i="120"/>
  <c r="V7" i="120"/>
  <c r="V76" i="120"/>
  <c r="X7" i="120"/>
  <c r="V7" i="118"/>
  <c r="Z7" i="118"/>
  <c r="Z76" i="118"/>
  <c r="X7" i="118"/>
  <c r="AH15" i="147"/>
  <c r="AI15" i="147"/>
  <c r="X12" i="72"/>
  <c r="AJ15" i="147"/>
  <c r="AH57" i="148"/>
  <c r="AI57" i="148"/>
  <c r="Y54" i="72"/>
  <c r="AJ57" i="148"/>
  <c r="AH63" i="146"/>
  <c r="AI63" i="146"/>
  <c r="W60" i="72"/>
  <c r="AJ63" i="146"/>
  <c r="AH8" i="153"/>
  <c r="AI8" i="153"/>
  <c r="AC5" i="72"/>
  <c r="AJ8" i="153"/>
  <c r="AH52" i="152"/>
  <c r="AI52" i="152"/>
  <c r="AB49" i="72"/>
  <c r="AJ52" i="152"/>
  <c r="AH44" i="151"/>
  <c r="AI44" i="151"/>
  <c r="AA41" i="72"/>
  <c r="AJ44" i="151"/>
  <c r="AH72" i="149"/>
  <c r="AI72" i="149"/>
  <c r="Z69" i="72"/>
  <c r="AJ72" i="149"/>
  <c r="AH14" i="147"/>
  <c r="AI14" i="147"/>
  <c r="X11" i="72"/>
  <c r="AJ14" i="147"/>
  <c r="AH12" i="152"/>
  <c r="AI12" i="152"/>
  <c r="AB9" i="72"/>
  <c r="AJ12" i="152"/>
  <c r="AH12" i="151"/>
  <c r="AI12" i="151"/>
  <c r="AA9" i="72"/>
  <c r="AJ12" i="151"/>
  <c r="AH12" i="153"/>
  <c r="AI12" i="153"/>
  <c r="AC9" i="72"/>
  <c r="AJ12" i="153"/>
  <c r="AH42" i="153"/>
  <c r="AI42" i="153"/>
  <c r="AC39" i="72"/>
  <c r="AJ42" i="153"/>
  <c r="AH71" i="145"/>
  <c r="AI71" i="145"/>
  <c r="V68" i="72"/>
  <c r="AJ71" i="145"/>
  <c r="AH71" i="147"/>
  <c r="AI71" i="147"/>
  <c r="X68" i="72"/>
  <c r="AJ71" i="147"/>
  <c r="AH71" i="153"/>
  <c r="AI71" i="153"/>
  <c r="AC68" i="72"/>
  <c r="AJ71" i="153"/>
  <c r="AH71" i="144"/>
  <c r="AI71" i="144"/>
  <c r="U68" i="72"/>
  <c r="AJ71" i="144"/>
  <c r="AH40" i="144"/>
  <c r="AI40" i="144"/>
  <c r="U37" i="72"/>
  <c r="AJ40" i="144"/>
  <c r="AH42" i="144"/>
  <c r="AI42" i="144"/>
  <c r="U39" i="72"/>
  <c r="AJ42" i="144"/>
  <c r="AH63" i="148"/>
  <c r="AI63" i="148"/>
  <c r="Y60" i="72"/>
  <c r="AJ63" i="148"/>
  <c r="AH23" i="151"/>
  <c r="AI23" i="151"/>
  <c r="AA20" i="72"/>
  <c r="AJ23" i="151"/>
  <c r="U82" i="113"/>
  <c r="U76" i="117"/>
  <c r="U82" i="117"/>
  <c r="U76" i="127"/>
  <c r="U82" i="127"/>
  <c r="U76" i="116"/>
  <c r="U82" i="116"/>
  <c r="U76" i="120"/>
  <c r="U82" i="120"/>
  <c r="V76" i="80"/>
  <c r="V82" i="80"/>
  <c r="U76" i="125"/>
  <c r="U82" i="125"/>
  <c r="U76" i="128"/>
  <c r="U82" i="128"/>
  <c r="U76" i="115"/>
  <c r="U82" i="115"/>
  <c r="U76" i="129"/>
  <c r="U82" i="129"/>
  <c r="U76" i="145"/>
  <c r="U82" i="145"/>
  <c r="U76" i="126"/>
  <c r="U82" i="126"/>
  <c r="U76" i="151"/>
  <c r="U82" i="151"/>
  <c r="U76" i="118"/>
  <c r="U82" i="118"/>
  <c r="U76" i="153"/>
  <c r="U82" i="153"/>
  <c r="U76" i="119"/>
  <c r="U82" i="119"/>
  <c r="U76" i="149"/>
  <c r="U82" i="149"/>
  <c r="U77" i="114"/>
  <c r="U83" i="114"/>
  <c r="U76" i="148"/>
  <c r="U82" i="148"/>
  <c r="U76" i="131"/>
  <c r="U82" i="131"/>
  <c r="AH28" i="149"/>
  <c r="AI28" i="149"/>
  <c r="Z25" i="72"/>
  <c r="AJ28" i="149"/>
  <c r="AH13" i="148"/>
  <c r="AI13" i="148"/>
  <c r="Y10" i="72"/>
  <c r="AJ13" i="148"/>
  <c r="AD33" i="146"/>
  <c r="AF33" i="146"/>
  <c r="AD33" i="149"/>
  <c r="AF33" i="149"/>
  <c r="AD51" i="151"/>
  <c r="AF51" i="151"/>
  <c r="AH14" i="144"/>
  <c r="AI14" i="144"/>
  <c r="U11" i="72"/>
  <c r="AJ14" i="144"/>
  <c r="AH20" i="128"/>
  <c r="AI20" i="128"/>
  <c r="R17" i="72"/>
  <c r="AJ20" i="128"/>
  <c r="AH8" i="126"/>
  <c r="AI8" i="126"/>
  <c r="P5" i="72"/>
  <c r="AJ8" i="126"/>
  <c r="AH8" i="147"/>
  <c r="AI8" i="147"/>
  <c r="X5" i="72"/>
  <c r="AJ8" i="147"/>
  <c r="AH52" i="144"/>
  <c r="AI52" i="144"/>
  <c r="U49" i="72"/>
  <c r="AJ52" i="144"/>
  <c r="AH38" i="119"/>
  <c r="AI38" i="119"/>
  <c r="M35" i="72"/>
  <c r="AJ38" i="119"/>
  <c r="AH73" i="72"/>
  <c r="AH61" i="151"/>
  <c r="AI61" i="151"/>
  <c r="AA58" i="72"/>
  <c r="AJ61" i="151"/>
  <c r="AH42" i="126"/>
  <c r="AI42" i="126"/>
  <c r="P39" i="72"/>
  <c r="AJ42" i="126"/>
  <c r="AI67" i="80"/>
  <c r="AJ67" i="80"/>
  <c r="AE64" i="72"/>
  <c r="AK67" i="80"/>
  <c r="AI39" i="80"/>
  <c r="AJ39" i="80"/>
  <c r="AE36" i="72"/>
  <c r="AK39" i="80"/>
  <c r="AH24" i="151"/>
  <c r="AI24" i="151"/>
  <c r="AA21" i="72"/>
  <c r="AJ24" i="151"/>
  <c r="AH62" i="125"/>
  <c r="AI62" i="125"/>
  <c r="O59" i="72"/>
  <c r="AJ62" i="125"/>
  <c r="AH34" i="148"/>
  <c r="AI34" i="148"/>
  <c r="Y31" i="72"/>
  <c r="AJ34" i="148"/>
  <c r="AH44" i="117"/>
  <c r="AI44" i="117"/>
  <c r="K41" i="72"/>
  <c r="AJ44" i="117"/>
  <c r="AH60" i="126"/>
  <c r="AI60" i="126"/>
  <c r="P57" i="72"/>
  <c r="AJ60" i="126"/>
  <c r="AH49" i="153"/>
  <c r="AI49" i="153"/>
  <c r="AC46" i="72"/>
  <c r="AJ49" i="153"/>
  <c r="AI15" i="76"/>
  <c r="AJ15" i="76"/>
  <c r="AD12" i="72"/>
  <c r="AK15" i="76"/>
  <c r="AH16" i="153"/>
  <c r="AI16" i="153"/>
  <c r="AC13" i="72"/>
  <c r="AJ16" i="153"/>
  <c r="AI48" i="76"/>
  <c r="AJ48" i="76"/>
  <c r="AD45" i="72"/>
  <c r="AK48" i="76"/>
  <c r="AC45" i="100"/>
  <c r="AC48" i="153"/>
  <c r="AN48" i="153"/>
  <c r="AO48" i="153"/>
  <c r="BG45" i="72"/>
  <c r="AD48" i="153"/>
  <c r="AF48" i="153"/>
  <c r="AH14" i="114"/>
  <c r="AI14" i="114"/>
  <c r="H11" i="72"/>
  <c r="AJ14" i="114"/>
  <c r="AH58" i="128"/>
  <c r="AI58" i="128"/>
  <c r="R55" i="72"/>
  <c r="AJ58" i="128"/>
  <c r="AH43" i="147"/>
  <c r="AI43" i="147"/>
  <c r="X40" i="72"/>
  <c r="AJ43" i="147"/>
  <c r="AH8" i="119"/>
  <c r="AI8" i="119"/>
  <c r="M5" i="72"/>
  <c r="AJ8" i="119"/>
  <c r="AC11" i="131"/>
  <c r="AN11" i="131"/>
  <c r="AO11" i="131"/>
  <c r="AX8" i="72"/>
  <c r="T8" i="100"/>
  <c r="AD11" i="131"/>
  <c r="AF11" i="131"/>
  <c r="L8" i="100"/>
  <c r="AC11" i="118"/>
  <c r="AN11" i="118"/>
  <c r="AO11" i="118"/>
  <c r="AP8" i="72"/>
  <c r="AD11" i="118"/>
  <c r="AF11" i="118"/>
  <c r="AH52" i="114"/>
  <c r="AI52" i="114"/>
  <c r="H49" i="72"/>
  <c r="AJ52" i="114"/>
  <c r="AH23" i="146"/>
  <c r="AI23" i="146"/>
  <c r="W20" i="72"/>
  <c r="AJ23" i="146"/>
  <c r="AH38" i="118"/>
  <c r="AI38" i="118"/>
  <c r="L35" i="72"/>
  <c r="AJ38" i="118"/>
  <c r="AH65" i="153"/>
  <c r="AI65" i="153"/>
  <c r="AC62" i="72"/>
  <c r="AJ65" i="153"/>
  <c r="AH44" i="128"/>
  <c r="AI44" i="128"/>
  <c r="R41" i="72"/>
  <c r="AJ44" i="128"/>
  <c r="AH66" i="146"/>
  <c r="AI66" i="146"/>
  <c r="W63" i="72"/>
  <c r="AJ66" i="146"/>
  <c r="AH50" i="116"/>
  <c r="AI50" i="116"/>
  <c r="J47" i="72"/>
  <c r="AJ50" i="116"/>
  <c r="AH35" i="145"/>
  <c r="AI35" i="145"/>
  <c r="V32" i="72"/>
  <c r="AJ35" i="145"/>
  <c r="AH64" i="119"/>
  <c r="AI64" i="119"/>
  <c r="M61" i="72"/>
  <c r="AJ64" i="119"/>
  <c r="AI72" i="80"/>
  <c r="AJ72" i="80"/>
  <c r="AE69" i="72"/>
  <c r="AK72" i="80"/>
  <c r="AH55" i="144"/>
  <c r="AI55" i="144"/>
  <c r="U52" i="72"/>
  <c r="AJ55" i="144"/>
  <c r="AH27" i="119"/>
  <c r="AI27" i="119"/>
  <c r="M24" i="72"/>
  <c r="AJ27" i="119"/>
  <c r="AH57" i="120"/>
  <c r="AI57" i="120"/>
  <c r="N54" i="72"/>
  <c r="AJ57" i="120"/>
  <c r="AH67" i="131"/>
  <c r="AI67" i="131"/>
  <c r="T64" i="72"/>
  <c r="AJ67" i="131"/>
  <c r="AH59" i="144"/>
  <c r="AI59" i="144"/>
  <c r="U56" i="72"/>
  <c r="AJ59" i="144"/>
  <c r="AH39" i="127"/>
  <c r="AI39" i="127"/>
  <c r="Q36" i="72"/>
  <c r="AJ39" i="127"/>
  <c r="AH18" i="119"/>
  <c r="AI18" i="119"/>
  <c r="M15" i="72"/>
  <c r="AJ18" i="119"/>
  <c r="AH60" i="129"/>
  <c r="AI60" i="129"/>
  <c r="S57" i="72"/>
  <c r="AJ60" i="129"/>
  <c r="AH16" i="149"/>
  <c r="AI16" i="149"/>
  <c r="Z13" i="72"/>
  <c r="AJ16" i="149"/>
  <c r="AH74" i="117"/>
  <c r="AI74" i="117"/>
  <c r="K71" i="72"/>
  <c r="AJ74" i="117"/>
  <c r="AH9" i="153"/>
  <c r="AI9" i="153"/>
  <c r="AC6" i="72"/>
  <c r="AJ9" i="153"/>
  <c r="AH71" i="131"/>
  <c r="AI71" i="131"/>
  <c r="T68" i="72"/>
  <c r="AJ71" i="131"/>
  <c r="AH64" i="146"/>
  <c r="AI64" i="146"/>
  <c r="W61" i="72"/>
  <c r="AJ64" i="146"/>
  <c r="AH75" i="118"/>
  <c r="AI75" i="118"/>
  <c r="L72" i="72"/>
  <c r="AJ75" i="118"/>
  <c r="AH14" i="120"/>
  <c r="AI14" i="120"/>
  <c r="N11" i="72"/>
  <c r="AJ14" i="120"/>
  <c r="AD72" i="151"/>
  <c r="AF72" i="151"/>
  <c r="AD15" i="119"/>
  <c r="AF15" i="119"/>
  <c r="AH25" i="149"/>
  <c r="AI25" i="149"/>
  <c r="Z22" i="72"/>
  <c r="AJ25" i="149"/>
  <c r="AH25" i="126"/>
  <c r="AI25" i="126"/>
  <c r="P22" i="72"/>
  <c r="AJ25" i="126"/>
  <c r="AE37" i="76"/>
  <c r="AG37" i="76"/>
  <c r="AH54" i="116"/>
  <c r="AI54" i="116"/>
  <c r="J51" i="72"/>
  <c r="AJ54" i="116"/>
  <c r="AD57" i="118"/>
  <c r="AF57" i="118"/>
  <c r="AH28" i="145"/>
  <c r="AI28" i="145"/>
  <c r="V25" i="72"/>
  <c r="AJ28" i="145"/>
  <c r="AH67" i="146"/>
  <c r="AI67" i="146"/>
  <c r="W64" i="72"/>
  <c r="AJ67" i="146"/>
  <c r="AH73" i="147"/>
  <c r="AI73" i="147"/>
  <c r="X70" i="72"/>
  <c r="AJ73" i="147"/>
  <c r="AH24" i="118"/>
  <c r="AI24" i="118"/>
  <c r="L21" i="72"/>
  <c r="AJ24" i="118"/>
  <c r="AE71" i="80"/>
  <c r="AG71" i="80"/>
  <c r="AE71" i="76"/>
  <c r="AG71" i="76"/>
  <c r="AD75" i="125"/>
  <c r="AF75" i="125"/>
  <c r="AH63" i="119"/>
  <c r="AI63" i="119"/>
  <c r="M60" i="72"/>
  <c r="AJ63" i="119"/>
  <c r="AD63" i="149"/>
  <c r="AF63" i="149"/>
  <c r="AD47" i="131"/>
  <c r="AF47" i="131"/>
  <c r="AD14" i="116"/>
  <c r="AF14" i="116"/>
  <c r="AH14" i="128"/>
  <c r="AI14" i="128"/>
  <c r="R11" i="72"/>
  <c r="AJ14" i="128"/>
  <c r="AD40" i="118"/>
  <c r="AF40" i="118"/>
  <c r="AD58" i="116"/>
  <c r="AF58" i="116"/>
  <c r="AD58" i="117"/>
  <c r="AF58" i="117"/>
  <c r="AH12" i="149"/>
  <c r="AI12" i="149"/>
  <c r="Z9" i="72"/>
  <c r="AJ12" i="149"/>
  <c r="AH43" i="117"/>
  <c r="AI43" i="117"/>
  <c r="K40" i="72"/>
  <c r="AJ43" i="117"/>
  <c r="AD43" i="120"/>
  <c r="AF43" i="120"/>
  <c r="AF17" i="100"/>
  <c r="AG17" i="100"/>
  <c r="AD20" i="144"/>
  <c r="AF20" i="144"/>
  <c r="AD20" i="131"/>
  <c r="AF20" i="131"/>
  <c r="AD8" i="127"/>
  <c r="AF8" i="127"/>
  <c r="AH8" i="148"/>
  <c r="AI8" i="148"/>
  <c r="Y5" i="72"/>
  <c r="AJ8" i="148"/>
  <c r="AD23" i="114"/>
  <c r="AF23" i="114"/>
  <c r="AD38" i="114"/>
  <c r="AF38" i="114"/>
  <c r="AH38" i="129"/>
  <c r="AI38" i="129"/>
  <c r="S35" i="72"/>
  <c r="AJ38" i="129"/>
  <c r="AD42" i="118"/>
  <c r="AF42" i="118"/>
  <c r="AH42" i="119"/>
  <c r="AI42" i="119"/>
  <c r="M39" i="72"/>
  <c r="AJ42" i="119"/>
  <c r="AH10" i="126"/>
  <c r="AI10" i="126"/>
  <c r="P7" i="72"/>
  <c r="AJ10" i="126"/>
  <c r="AH73" i="153"/>
  <c r="AI73" i="153"/>
  <c r="AC70" i="72"/>
  <c r="AJ73" i="153"/>
  <c r="AH24" i="152"/>
  <c r="AI24" i="152"/>
  <c r="AB21" i="72"/>
  <c r="AJ24" i="152"/>
  <c r="AH62" i="126"/>
  <c r="AI62" i="126"/>
  <c r="P59" i="72"/>
  <c r="AJ62" i="126"/>
  <c r="AH44" i="131"/>
  <c r="AI44" i="131"/>
  <c r="T41" i="72"/>
  <c r="AJ44" i="131"/>
  <c r="AH66" i="125"/>
  <c r="AI66" i="125"/>
  <c r="O63" i="72"/>
  <c r="AJ66" i="125"/>
  <c r="AH18" i="125"/>
  <c r="AI18" i="125"/>
  <c r="O15" i="72"/>
  <c r="AJ18" i="125"/>
  <c r="AH16" i="144"/>
  <c r="AI16" i="144"/>
  <c r="U13" i="72"/>
  <c r="AJ16" i="144"/>
  <c r="AH13" i="144"/>
  <c r="AI13" i="144"/>
  <c r="U10" i="72"/>
  <c r="AJ13" i="144"/>
  <c r="AH35" i="126"/>
  <c r="AI35" i="126"/>
  <c r="P32" i="72"/>
  <c r="AJ35" i="126"/>
  <c r="AD35" i="114"/>
  <c r="AF35" i="114"/>
  <c r="AG32" i="100"/>
  <c r="AF32" i="100"/>
  <c r="AD33" i="127"/>
  <c r="AF33" i="127"/>
  <c r="AH33" i="120"/>
  <c r="AI33" i="120"/>
  <c r="N30" i="72"/>
  <c r="AJ33" i="120"/>
  <c r="AD72" i="118"/>
  <c r="AF72" i="118"/>
  <c r="AH15" i="152"/>
  <c r="AI15" i="152"/>
  <c r="AB12" i="72"/>
  <c r="AJ15" i="152"/>
  <c r="AH15" i="118"/>
  <c r="AI15" i="118"/>
  <c r="L12" i="72"/>
  <c r="AJ15" i="118"/>
  <c r="AD25" i="118"/>
  <c r="AF25" i="118"/>
  <c r="AD37" i="151"/>
  <c r="AF37" i="151"/>
  <c r="AD37" i="127"/>
  <c r="AF37" i="127"/>
  <c r="AH71" i="117"/>
  <c r="AI71" i="117"/>
  <c r="K68" i="72"/>
  <c r="AJ71" i="117"/>
  <c r="AH71" i="128"/>
  <c r="AI71" i="128"/>
  <c r="R68" i="72"/>
  <c r="AJ71" i="128"/>
  <c r="AD75" i="115"/>
  <c r="AF75" i="115"/>
  <c r="AD48" i="119"/>
  <c r="AF48" i="119"/>
  <c r="AE48" i="80"/>
  <c r="AG48" i="80"/>
  <c r="AC48" i="144"/>
  <c r="AN48" i="144"/>
  <c r="AO48" i="144"/>
  <c r="AY45" i="72"/>
  <c r="U45" i="100"/>
  <c r="AD51" i="129"/>
  <c r="AF51" i="129"/>
  <c r="AD63" i="152"/>
  <c r="AF63" i="152"/>
  <c r="AH14" i="129"/>
  <c r="AI14" i="129"/>
  <c r="S11" i="72"/>
  <c r="AJ14" i="129"/>
  <c r="AD14" i="119"/>
  <c r="AF14" i="119"/>
  <c r="AD14" i="126"/>
  <c r="AF14" i="126"/>
  <c r="AH40" i="146"/>
  <c r="AI40" i="146"/>
  <c r="W37" i="72"/>
  <c r="AJ40" i="146"/>
  <c r="AD58" i="152"/>
  <c r="AF58" i="152"/>
  <c r="AD12" i="125"/>
  <c r="AF12" i="125"/>
  <c r="AH43" i="152"/>
  <c r="AI43" i="152"/>
  <c r="AB40" i="72"/>
  <c r="AJ43" i="152"/>
  <c r="AD8" i="131"/>
  <c r="AF8" i="131"/>
  <c r="AH11" i="125"/>
  <c r="AI11" i="125"/>
  <c r="O8" i="72"/>
  <c r="AJ11" i="125"/>
  <c r="V8" i="100"/>
  <c r="AC11" i="145"/>
  <c r="AN11" i="145"/>
  <c r="AO11" i="145"/>
  <c r="AZ8" i="72"/>
  <c r="AD11" i="114"/>
  <c r="AF11" i="114"/>
  <c r="AI52" i="80"/>
  <c r="AJ52" i="80"/>
  <c r="AE49" i="72"/>
  <c r="AK52" i="80"/>
  <c r="AD52" i="125"/>
  <c r="AF52" i="125"/>
  <c r="AH52" i="127"/>
  <c r="AI52" i="127"/>
  <c r="Q49" i="72"/>
  <c r="AJ52" i="127"/>
  <c r="AD23" i="119"/>
  <c r="AF23" i="119"/>
  <c r="AD23" i="148"/>
  <c r="AF23" i="148"/>
  <c r="AD38" i="145"/>
  <c r="AF38" i="145"/>
  <c r="AH16" i="147"/>
  <c r="AI16" i="147"/>
  <c r="X13" i="72"/>
  <c r="AJ16" i="147"/>
  <c r="AD35" i="152"/>
  <c r="AF35" i="152"/>
  <c r="AH35" i="127"/>
  <c r="AI35" i="127"/>
  <c r="Q32" i="72"/>
  <c r="AJ35" i="127"/>
  <c r="AI29" i="76"/>
  <c r="AJ29" i="76"/>
  <c r="AD26" i="72"/>
  <c r="AK29" i="76"/>
  <c r="AH67" i="147"/>
  <c r="AI67" i="147"/>
  <c r="X64" i="72"/>
  <c r="AJ67" i="147"/>
  <c r="AH55" i="147"/>
  <c r="AI55" i="147"/>
  <c r="X52" i="72"/>
  <c r="AJ55" i="147"/>
  <c r="AH69" i="152"/>
  <c r="AI69" i="152"/>
  <c r="AB66" i="72"/>
  <c r="AJ69" i="152"/>
  <c r="AH36" i="146"/>
  <c r="AI36" i="146"/>
  <c r="W33" i="72"/>
  <c r="AJ36" i="146"/>
  <c r="AH32" i="151"/>
  <c r="AI32" i="151"/>
  <c r="AA29" i="72"/>
  <c r="AJ32" i="151"/>
  <c r="AH13" i="145"/>
  <c r="AI13" i="145"/>
  <c r="V10" i="72"/>
  <c r="AJ13" i="145"/>
  <c r="AH60" i="146"/>
  <c r="AI60" i="146"/>
  <c r="W57" i="72"/>
  <c r="AJ60" i="146"/>
  <c r="AH33" i="145"/>
  <c r="AI33" i="145"/>
  <c r="V30" i="72"/>
  <c r="AJ33" i="145"/>
  <c r="AI72" i="76"/>
  <c r="AJ72" i="76"/>
  <c r="AD69" i="72"/>
  <c r="AK72" i="76"/>
  <c r="AH25" i="153"/>
  <c r="AI25" i="153"/>
  <c r="AC22" i="72"/>
  <c r="AJ25" i="153"/>
  <c r="AH37" i="119"/>
  <c r="AI37" i="119"/>
  <c r="M34" i="72"/>
  <c r="AJ37" i="119"/>
  <c r="AH46" i="119"/>
  <c r="AI46" i="119"/>
  <c r="M43" i="72"/>
  <c r="AJ46" i="119"/>
  <c r="AH65" i="131"/>
  <c r="AI65" i="131"/>
  <c r="T62" i="72"/>
  <c r="AJ65" i="131"/>
  <c r="AH57" i="151"/>
  <c r="AI57" i="151"/>
  <c r="AA54" i="72"/>
  <c r="AJ57" i="151"/>
  <c r="AH36" i="118"/>
  <c r="AI36" i="118"/>
  <c r="L33" i="72"/>
  <c r="AJ36" i="118"/>
  <c r="AH39" i="153"/>
  <c r="AI39" i="153"/>
  <c r="AC36" i="72"/>
  <c r="AJ39" i="153"/>
  <c r="AH66" i="145"/>
  <c r="AI66" i="145"/>
  <c r="V63" i="72"/>
  <c r="AJ66" i="145"/>
  <c r="AH19" i="145"/>
  <c r="AI19" i="145"/>
  <c r="V16" i="72"/>
  <c r="AJ19" i="145"/>
  <c r="AH56" i="153"/>
  <c r="AI56" i="153"/>
  <c r="AC53" i="72"/>
  <c r="AJ56" i="153"/>
  <c r="AH70" i="151"/>
  <c r="AI70" i="151"/>
  <c r="AA67" i="72"/>
  <c r="AJ70" i="151"/>
  <c r="AH30" i="119"/>
  <c r="AI30" i="119"/>
  <c r="M27" i="72"/>
  <c r="AJ30" i="119"/>
  <c r="AH22" i="151"/>
  <c r="AI22" i="151"/>
  <c r="AA19" i="72"/>
  <c r="AJ22" i="151"/>
  <c r="AH51" i="117"/>
  <c r="AI51" i="117"/>
  <c r="K48" i="72"/>
  <c r="AJ51" i="117"/>
  <c r="AH47" i="145"/>
  <c r="AI47" i="145"/>
  <c r="V44" i="72"/>
  <c r="AJ47" i="145"/>
  <c r="AH58" i="149"/>
  <c r="AI58" i="149"/>
  <c r="Z55" i="72"/>
  <c r="AJ58" i="149"/>
  <c r="AD12" i="144"/>
  <c r="AF12" i="144"/>
  <c r="AD8" i="145"/>
  <c r="AF8" i="145"/>
  <c r="AH23" i="149"/>
  <c r="AI23" i="149"/>
  <c r="Z20" i="72"/>
  <c r="AJ23" i="149"/>
  <c r="AH55" i="129"/>
  <c r="AI55" i="129"/>
  <c r="S52" i="72"/>
  <c r="AJ55" i="129"/>
  <c r="AH54" i="129"/>
  <c r="AI54" i="129"/>
  <c r="S51" i="72"/>
  <c r="AJ54" i="129"/>
  <c r="AH42" i="114"/>
  <c r="AI42" i="114"/>
  <c r="H39" i="72"/>
  <c r="AJ42" i="114"/>
  <c r="AH26" i="127"/>
  <c r="AI26" i="127"/>
  <c r="Q23" i="72"/>
  <c r="AJ26" i="127"/>
  <c r="AH45" i="146"/>
  <c r="AI45" i="146"/>
  <c r="W42" i="72"/>
  <c r="AJ45" i="146"/>
  <c r="AH35" i="129"/>
  <c r="AI35" i="129"/>
  <c r="S32" i="72"/>
  <c r="AJ35" i="129"/>
  <c r="AD35" i="151"/>
  <c r="AF35" i="151"/>
  <c r="AH64" i="128"/>
  <c r="AI64" i="128"/>
  <c r="R61" i="72"/>
  <c r="AJ64" i="128"/>
  <c r="AH22" i="114"/>
  <c r="AI22" i="114"/>
  <c r="H19" i="72"/>
  <c r="AJ22" i="114"/>
  <c r="AI33" i="76"/>
  <c r="AJ33" i="76"/>
  <c r="AD30" i="72"/>
  <c r="AK33" i="76"/>
  <c r="AH33" i="153"/>
  <c r="AI33" i="153"/>
  <c r="AC30" i="72"/>
  <c r="AJ33" i="153"/>
  <c r="AH15" i="127"/>
  <c r="AI15" i="127"/>
  <c r="Q12" i="72"/>
  <c r="AJ15" i="127"/>
  <c r="AD15" i="149"/>
  <c r="AF15" i="149"/>
  <c r="AH37" i="114"/>
  <c r="AI37" i="114"/>
  <c r="H34" i="72"/>
  <c r="AJ37" i="114"/>
  <c r="AH17" i="144"/>
  <c r="AI17" i="144"/>
  <c r="U14" i="72"/>
  <c r="AJ17" i="144"/>
  <c r="AH70" i="152"/>
  <c r="AI70" i="152"/>
  <c r="AB67" i="72"/>
  <c r="AJ70" i="152"/>
  <c r="AH71" i="120"/>
  <c r="AI71" i="120"/>
  <c r="N68" i="72"/>
  <c r="AJ71" i="120"/>
  <c r="AD71" i="146"/>
  <c r="AF71" i="146"/>
  <c r="AD75" i="147"/>
  <c r="AF75" i="147"/>
  <c r="AH48" i="113"/>
  <c r="AI48" i="113"/>
  <c r="G45" i="72"/>
  <c r="AJ48" i="113"/>
  <c r="O45" i="100"/>
  <c r="AC48" i="125"/>
  <c r="AN48" i="125"/>
  <c r="AO48" i="125"/>
  <c r="AS45" i="72"/>
  <c r="AC48" i="116"/>
  <c r="AN48" i="116"/>
  <c r="AO48" i="116"/>
  <c r="AN45" i="72"/>
  <c r="J45" i="100"/>
  <c r="AH48" i="126"/>
  <c r="AI48" i="126"/>
  <c r="P45" i="72"/>
  <c r="AJ48" i="126"/>
  <c r="AH51" i="144"/>
  <c r="AI51" i="144"/>
  <c r="U48" i="72"/>
  <c r="AJ51" i="144"/>
  <c r="AH51" i="116"/>
  <c r="AI51" i="116"/>
  <c r="J48" i="72"/>
  <c r="AJ51" i="116"/>
  <c r="AH63" i="129"/>
  <c r="AI63" i="129"/>
  <c r="S60" i="72"/>
  <c r="AJ63" i="129"/>
  <c r="AH47" i="148"/>
  <c r="AI47" i="148"/>
  <c r="Y44" i="72"/>
  <c r="AJ47" i="148"/>
  <c r="AH12" i="120"/>
  <c r="AI12" i="120"/>
  <c r="N9" i="72"/>
  <c r="AJ12" i="120"/>
  <c r="AD43" i="153"/>
  <c r="AF43" i="153"/>
  <c r="AD8" i="146"/>
  <c r="AF8" i="146"/>
  <c r="AH11" i="129"/>
  <c r="AI11" i="129"/>
  <c r="S8" i="72"/>
  <c r="AJ11" i="129"/>
  <c r="AD11" i="144"/>
  <c r="AF11" i="144"/>
  <c r="AD52" i="149"/>
  <c r="AF52" i="149"/>
  <c r="AH41" i="127"/>
  <c r="AI41" i="127"/>
  <c r="Q38" i="72"/>
  <c r="AJ41" i="127"/>
  <c r="AH33" i="126"/>
  <c r="AI33" i="126"/>
  <c r="P30" i="72"/>
  <c r="AJ33" i="126"/>
  <c r="AH51" i="145"/>
  <c r="AI51" i="145"/>
  <c r="V48" i="72"/>
  <c r="AJ51" i="145"/>
  <c r="AD58" i="153"/>
  <c r="AF58" i="153"/>
  <c r="AD33" i="147"/>
  <c r="AF33" i="147"/>
  <c r="AD33" i="114"/>
  <c r="AF33" i="114"/>
  <c r="AD33" i="115"/>
  <c r="AF33" i="115"/>
  <c r="AF69" i="100"/>
  <c r="AG69" i="100"/>
  <c r="AD15" i="126"/>
  <c r="AF15" i="126"/>
  <c r="AD15" i="120"/>
  <c r="AF15" i="120"/>
  <c r="AD15" i="144"/>
  <c r="AF15" i="144"/>
  <c r="AH37" i="126"/>
  <c r="AI37" i="126"/>
  <c r="P34" i="72"/>
  <c r="AJ37" i="126"/>
  <c r="AH27" i="152"/>
  <c r="AI27" i="152"/>
  <c r="AB24" i="72"/>
  <c r="AJ27" i="152"/>
  <c r="AH65" i="119"/>
  <c r="AI65" i="119"/>
  <c r="M62" i="72"/>
  <c r="AJ65" i="119"/>
  <c r="AD57" i="126"/>
  <c r="AF57" i="126"/>
  <c r="AH62" i="114"/>
  <c r="AI62" i="114"/>
  <c r="H59" i="72"/>
  <c r="AJ62" i="114"/>
  <c r="AH18" i="147"/>
  <c r="AI18" i="147"/>
  <c r="X15" i="72"/>
  <c r="AJ18" i="147"/>
  <c r="AH16" i="127"/>
  <c r="AI16" i="127"/>
  <c r="Q13" i="72"/>
  <c r="AJ16" i="127"/>
  <c r="AH13" i="151"/>
  <c r="AI13" i="151"/>
  <c r="AA10" i="72"/>
  <c r="AJ13" i="151"/>
  <c r="AH53" i="145"/>
  <c r="AI53" i="145"/>
  <c r="V50" i="72"/>
  <c r="AJ53" i="145"/>
  <c r="AI70" i="76"/>
  <c r="AJ70" i="76"/>
  <c r="AD67" i="72"/>
  <c r="AK70" i="76"/>
  <c r="AH71" i="152"/>
  <c r="AI71" i="152"/>
  <c r="AB68" i="72"/>
  <c r="AJ71" i="152"/>
  <c r="AH30" i="131"/>
  <c r="AI30" i="131"/>
  <c r="T27" i="72"/>
  <c r="AJ30" i="131"/>
  <c r="AH22" i="147"/>
  <c r="AI22" i="147"/>
  <c r="X19" i="72"/>
  <c r="AJ22" i="147"/>
  <c r="AH31" i="151"/>
  <c r="AI31" i="151"/>
  <c r="AA28" i="72"/>
  <c r="AJ31" i="151"/>
  <c r="AH75" i="144"/>
  <c r="AI75" i="144"/>
  <c r="U72" i="72"/>
  <c r="AJ75" i="144"/>
  <c r="AD75" i="149"/>
  <c r="AF75" i="149"/>
  <c r="AD51" i="118"/>
  <c r="AF51" i="118"/>
  <c r="AD63" i="117"/>
  <c r="AF63" i="117"/>
  <c r="AD63" i="115"/>
  <c r="AF63" i="115"/>
  <c r="AD14" i="146"/>
  <c r="AF14" i="146"/>
  <c r="AD14" i="117"/>
  <c r="AF14" i="117"/>
  <c r="AH40" i="115"/>
  <c r="AI40" i="115"/>
  <c r="I37" i="72"/>
  <c r="AJ40" i="115"/>
  <c r="AE40" i="80"/>
  <c r="AG40" i="80"/>
  <c r="AH40" i="127"/>
  <c r="AI40" i="127"/>
  <c r="Q37" i="72"/>
  <c r="AJ40" i="127"/>
  <c r="AD58" i="114"/>
  <c r="AF58" i="114"/>
  <c r="AD58" i="147"/>
  <c r="AF58" i="147"/>
  <c r="AD12" i="118"/>
  <c r="AF12" i="118"/>
  <c r="AH12" i="128"/>
  <c r="AI12" i="128"/>
  <c r="R9" i="72"/>
  <c r="AJ12" i="128"/>
  <c r="AD43" i="146"/>
  <c r="AF43" i="146"/>
  <c r="AH43" i="129"/>
  <c r="AI43" i="129"/>
  <c r="S40" i="72"/>
  <c r="AJ43" i="129"/>
  <c r="AH20" i="117"/>
  <c r="AI20" i="117"/>
  <c r="K17" i="72"/>
  <c r="AJ20" i="117"/>
  <c r="AH52" i="126"/>
  <c r="AI52" i="126"/>
  <c r="P49" i="72"/>
  <c r="AJ52" i="126"/>
  <c r="AH46" i="146"/>
  <c r="AI46" i="146"/>
  <c r="W43" i="72"/>
  <c r="AJ46" i="146"/>
  <c r="AH46" i="151"/>
  <c r="AI46" i="151"/>
  <c r="AA43" i="72"/>
  <c r="AJ46" i="151"/>
  <c r="AH65" i="125"/>
  <c r="AI65" i="125"/>
  <c r="O62" i="72"/>
  <c r="AJ65" i="125"/>
  <c r="AG39" i="100"/>
  <c r="AF39" i="100"/>
  <c r="AD42" i="127"/>
  <c r="AF42" i="127"/>
  <c r="AH28" i="131"/>
  <c r="AI28" i="131"/>
  <c r="T25" i="72"/>
  <c r="AJ28" i="131"/>
  <c r="AD44" i="145"/>
  <c r="AF44" i="145"/>
  <c r="AH35" i="153"/>
  <c r="AI35" i="153"/>
  <c r="AC32" i="72"/>
  <c r="AJ35" i="153"/>
  <c r="AH33" i="129"/>
  <c r="AI33" i="129"/>
  <c r="S30" i="72"/>
  <c r="AJ33" i="129"/>
  <c r="AD72" i="126"/>
  <c r="AF72" i="126"/>
  <c r="AD72" i="146"/>
  <c r="AF72" i="146"/>
  <c r="AH15" i="129"/>
  <c r="AI15" i="129"/>
  <c r="S12" i="72"/>
  <c r="AJ15" i="129"/>
  <c r="AD15" i="114"/>
  <c r="AF15" i="114"/>
  <c r="AD15" i="128"/>
  <c r="AF15" i="128"/>
  <c r="AD25" i="152"/>
  <c r="AF25" i="152"/>
  <c r="AD37" i="116"/>
  <c r="AF37" i="116"/>
  <c r="AD37" i="144"/>
  <c r="AF37" i="144"/>
  <c r="AD57" i="116"/>
  <c r="AF57" i="116"/>
  <c r="AG54" i="100"/>
  <c r="AF54" i="100"/>
  <c r="AH24" i="146"/>
  <c r="AI24" i="146"/>
  <c r="W21" i="72"/>
  <c r="AJ24" i="146"/>
  <c r="AH9" i="151"/>
  <c r="AI9" i="151"/>
  <c r="AA6" i="72"/>
  <c r="AJ9" i="151"/>
  <c r="AH71" i="114"/>
  <c r="AI71" i="114"/>
  <c r="H68" i="72"/>
  <c r="AJ71" i="114"/>
  <c r="AD75" i="116"/>
  <c r="AF75" i="116"/>
  <c r="AC48" i="148"/>
  <c r="AN48" i="148"/>
  <c r="AO48" i="148"/>
  <c r="BC45" i="72"/>
  <c r="Y45" i="100"/>
  <c r="AD48" i="131"/>
  <c r="AF48" i="131"/>
  <c r="AD48" i="151"/>
  <c r="AF48" i="151"/>
  <c r="AH51" i="149"/>
  <c r="AI51" i="149"/>
  <c r="Z48" i="72"/>
  <c r="AJ51" i="149"/>
  <c r="AD51" i="153"/>
  <c r="AF51" i="153"/>
  <c r="AD51" i="152"/>
  <c r="AF51" i="152"/>
  <c r="AD63" i="118"/>
  <c r="AF63" i="118"/>
  <c r="AD47" i="114"/>
  <c r="AF47" i="114"/>
  <c r="AG44" i="100"/>
  <c r="AD47" i="128"/>
  <c r="AF47" i="128"/>
  <c r="AI14" i="76"/>
  <c r="AJ14" i="76"/>
  <c r="AD11" i="72"/>
  <c r="AK14" i="76"/>
  <c r="AD14" i="148"/>
  <c r="AF14" i="148"/>
  <c r="AH40" i="147"/>
  <c r="AI40" i="147"/>
  <c r="X37" i="72"/>
  <c r="AJ40" i="147"/>
  <c r="AD40" i="151"/>
  <c r="AF40" i="151"/>
  <c r="AH58" i="146"/>
  <c r="AI58" i="146"/>
  <c r="W55" i="72"/>
  <c r="AJ58" i="146"/>
  <c r="AD58" i="151"/>
  <c r="AF58" i="151"/>
  <c r="AD58" i="145"/>
  <c r="AF58" i="145"/>
  <c r="AH12" i="116"/>
  <c r="AI12" i="116"/>
  <c r="J9" i="72"/>
  <c r="AJ12" i="116"/>
  <c r="AF9" i="100"/>
  <c r="AG9" i="100"/>
  <c r="AD12" i="126"/>
  <c r="AF12" i="126"/>
  <c r="AD12" i="119"/>
  <c r="AF12" i="119"/>
  <c r="AD43" i="125"/>
  <c r="AF43" i="125"/>
  <c r="AD20" i="152"/>
  <c r="AF20" i="152"/>
  <c r="AH8" i="128"/>
  <c r="AI8" i="128"/>
  <c r="R5" i="72"/>
  <c r="AJ8" i="128"/>
  <c r="AH8" i="151"/>
  <c r="AI8" i="151"/>
  <c r="AA5" i="72"/>
  <c r="AJ8" i="151"/>
  <c r="AD11" i="80"/>
  <c r="AO11" i="80"/>
  <c r="AP11" i="80"/>
  <c r="BI8" i="72"/>
  <c r="AE8" i="100"/>
  <c r="AH11" i="126"/>
  <c r="AI11" i="126"/>
  <c r="P8" i="72"/>
  <c r="AJ11" i="126"/>
  <c r="AD52" i="148"/>
  <c r="AF52" i="148"/>
  <c r="AF49" i="100"/>
  <c r="AG49" i="100"/>
  <c r="AD52" i="147"/>
  <c r="AF52" i="147"/>
  <c r="AD23" i="118"/>
  <c r="AF23" i="118"/>
  <c r="AD38" i="116"/>
  <c r="AF38" i="116"/>
  <c r="AE42" i="80"/>
  <c r="AG42" i="80"/>
  <c r="AI42" i="76"/>
  <c r="AJ42" i="76"/>
  <c r="AD39" i="72"/>
  <c r="AK42" i="76"/>
  <c r="AD42" i="125"/>
  <c r="AF42" i="125"/>
  <c r="AH24" i="147"/>
  <c r="AI24" i="147"/>
  <c r="X21" i="72"/>
  <c r="AJ24" i="147"/>
  <c r="AH44" i="125"/>
  <c r="AI44" i="125"/>
  <c r="O41" i="72"/>
  <c r="AJ44" i="125"/>
  <c r="AD44" i="153"/>
  <c r="AF44" i="153"/>
  <c r="AH44" i="118"/>
  <c r="AI44" i="118"/>
  <c r="L41" i="72"/>
  <c r="AJ44" i="118"/>
  <c r="AH21" i="146"/>
  <c r="AI21" i="146"/>
  <c r="W18" i="72"/>
  <c r="AJ21" i="146"/>
  <c r="AH13" i="119"/>
  <c r="AI13" i="119"/>
  <c r="M10" i="72"/>
  <c r="AJ13" i="119"/>
  <c r="AH41" i="152"/>
  <c r="AI41" i="152"/>
  <c r="AB38" i="72"/>
  <c r="AJ41" i="152"/>
  <c r="AH53" i="115"/>
  <c r="AI53" i="115"/>
  <c r="I50" i="72"/>
  <c r="AJ53" i="115"/>
  <c r="AH56" i="151"/>
  <c r="AI56" i="151"/>
  <c r="AA53" i="72"/>
  <c r="AJ56" i="151"/>
  <c r="AH70" i="147"/>
  <c r="AI70" i="147"/>
  <c r="X67" i="72"/>
  <c r="AJ70" i="147"/>
  <c r="AD35" i="120"/>
  <c r="AF35" i="120"/>
  <c r="AH35" i="149"/>
  <c r="AI35" i="149"/>
  <c r="Z32" i="72"/>
  <c r="AJ35" i="149"/>
  <c r="V7" i="129"/>
  <c r="Z7" i="129"/>
  <c r="Z76" i="129"/>
  <c r="X7" i="129"/>
  <c r="X7" i="146"/>
  <c r="V7" i="146"/>
  <c r="Z7" i="146"/>
  <c r="Z76" i="146"/>
  <c r="Z7" i="147"/>
  <c r="Z76" i="147"/>
  <c r="X7" i="147"/>
  <c r="V7" i="147"/>
  <c r="V7" i="117"/>
  <c r="Z7" i="117"/>
  <c r="Z76" i="117"/>
  <c r="X7" i="117"/>
  <c r="V7" i="127"/>
  <c r="Z7" i="127"/>
  <c r="Z76" i="127"/>
  <c r="X7" i="127"/>
  <c r="Z7" i="151"/>
  <c r="Z76" i="151"/>
  <c r="X7" i="151"/>
  <c r="V7" i="151"/>
  <c r="X7" i="152"/>
  <c r="V7" i="152"/>
  <c r="Z7" i="152"/>
  <c r="Z76" i="152"/>
  <c r="Z7" i="145"/>
  <c r="Z76" i="145"/>
  <c r="X7" i="145"/>
  <c r="V7" i="145"/>
  <c r="Z82" i="113"/>
  <c r="Z7" i="116"/>
  <c r="Z76" i="116"/>
  <c r="V7" i="116"/>
  <c r="V76" i="116"/>
  <c r="X7" i="116"/>
  <c r="X7" i="148"/>
  <c r="Z7" i="148"/>
  <c r="Z76" i="148"/>
  <c r="V7" i="148"/>
  <c r="V7" i="149"/>
  <c r="X7" i="149"/>
  <c r="Z7" i="149"/>
  <c r="Z76" i="149"/>
  <c r="Z76" i="115"/>
  <c r="AD72" i="153"/>
  <c r="AF72" i="153"/>
  <c r="AD15" i="151"/>
  <c r="AF15" i="151"/>
  <c r="AD37" i="147"/>
  <c r="AF37" i="147"/>
  <c r="AD20" i="148"/>
  <c r="AF20" i="148"/>
  <c r="AD33" i="148"/>
  <c r="AF33" i="148"/>
  <c r="AH57" i="145"/>
  <c r="AI57" i="145"/>
  <c r="V54" i="72"/>
  <c r="AJ57" i="145"/>
  <c r="AD58" i="144"/>
  <c r="AF58" i="144"/>
  <c r="AH23" i="152"/>
  <c r="AI23" i="152"/>
  <c r="AB20" i="72"/>
  <c r="AJ23" i="152"/>
  <c r="AD38" i="146"/>
  <c r="AF38" i="146"/>
  <c r="AD42" i="145"/>
  <c r="AF42" i="145"/>
  <c r="AD42" i="151"/>
  <c r="AF42" i="151"/>
  <c r="AD35" i="146"/>
  <c r="AF35" i="146"/>
  <c r="AD75" i="145"/>
  <c r="AF75" i="145"/>
  <c r="AD52" i="153"/>
  <c r="AF52" i="153"/>
  <c r="AD42" i="149"/>
  <c r="AF42" i="149"/>
  <c r="AD14" i="153"/>
  <c r="AF14" i="153"/>
  <c r="AH38" i="144"/>
  <c r="AI38" i="144"/>
  <c r="U35" i="72"/>
  <c r="AJ38" i="144"/>
  <c r="AD48" i="116"/>
  <c r="AF48" i="116"/>
  <c r="AD11" i="152"/>
  <c r="AF11" i="152"/>
  <c r="AD48" i="117"/>
  <c r="AF48" i="117"/>
  <c r="AE11" i="80"/>
  <c r="AG11" i="80"/>
  <c r="AD48" i="148"/>
  <c r="AF48" i="148"/>
  <c r="AD48" i="125"/>
  <c r="AF48" i="125"/>
  <c r="AG8" i="100"/>
  <c r="AD48" i="144"/>
  <c r="AF48" i="144"/>
  <c r="AD11" i="149"/>
  <c r="AF11" i="149"/>
  <c r="Z82" i="115"/>
  <c r="X76" i="149"/>
  <c r="AA7" i="149"/>
  <c r="AA76" i="149"/>
  <c r="V76" i="148"/>
  <c r="AA7" i="148"/>
  <c r="AA76" i="148"/>
  <c r="X76" i="148"/>
  <c r="AH42" i="149"/>
  <c r="AI42" i="149"/>
  <c r="Z39" i="72"/>
  <c r="AJ42" i="149"/>
  <c r="AH75" i="145"/>
  <c r="AI75" i="145"/>
  <c r="V72" i="72"/>
  <c r="AJ75" i="145"/>
  <c r="AH42" i="151"/>
  <c r="AI42" i="151"/>
  <c r="AA39" i="72"/>
  <c r="AJ42" i="151"/>
  <c r="AH38" i="146"/>
  <c r="AI38" i="146"/>
  <c r="W35" i="72"/>
  <c r="AJ38" i="146"/>
  <c r="AH33" i="148"/>
  <c r="AI33" i="148"/>
  <c r="Y30" i="72"/>
  <c r="AJ33" i="148"/>
  <c r="AH37" i="147"/>
  <c r="AI37" i="147"/>
  <c r="X34" i="72"/>
  <c r="AJ37" i="147"/>
  <c r="AH72" i="153"/>
  <c r="AI72" i="153"/>
  <c r="AC69" i="72"/>
  <c r="AJ72" i="153"/>
  <c r="V76" i="115"/>
  <c r="Z82" i="149"/>
  <c r="V76" i="149"/>
  <c r="AB7" i="149"/>
  <c r="Z82" i="148"/>
  <c r="AA7" i="116"/>
  <c r="X76" i="116"/>
  <c r="Z82" i="116"/>
  <c r="AA7" i="145"/>
  <c r="AA76" i="145"/>
  <c r="X76" i="145"/>
  <c r="Z82" i="152"/>
  <c r="X76" i="152"/>
  <c r="AA7" i="152"/>
  <c r="AA76" i="152"/>
  <c r="AA7" i="151"/>
  <c r="AA76" i="151"/>
  <c r="X76" i="151"/>
  <c r="X76" i="127"/>
  <c r="AA7" i="127"/>
  <c r="AA76" i="127"/>
  <c r="V76" i="127"/>
  <c r="Z82" i="117"/>
  <c r="V76" i="147"/>
  <c r="Z82" i="147"/>
  <c r="V76" i="146"/>
  <c r="AA7" i="129"/>
  <c r="AA76" i="129"/>
  <c r="X76" i="129"/>
  <c r="V76" i="129"/>
  <c r="AH44" i="153"/>
  <c r="AI44" i="153"/>
  <c r="AC41" i="72"/>
  <c r="AJ44" i="153"/>
  <c r="AI42" i="80"/>
  <c r="AJ42" i="80"/>
  <c r="AE39" i="72"/>
  <c r="AK42" i="80"/>
  <c r="AH23" i="118"/>
  <c r="AI23" i="118"/>
  <c r="L20" i="72"/>
  <c r="AJ23" i="118"/>
  <c r="AH52" i="148"/>
  <c r="AI52" i="148"/>
  <c r="Y49" i="72"/>
  <c r="AJ52" i="148"/>
  <c r="AH20" i="152"/>
  <c r="AI20" i="152"/>
  <c r="AB17" i="72"/>
  <c r="AJ20" i="152"/>
  <c r="AH12" i="119"/>
  <c r="AI12" i="119"/>
  <c r="M9" i="72"/>
  <c r="AJ12" i="119"/>
  <c r="AH58" i="145"/>
  <c r="AI58" i="145"/>
  <c r="V55" i="72"/>
  <c r="AJ58" i="145"/>
  <c r="AH40" i="151"/>
  <c r="AI40" i="151"/>
  <c r="AA37" i="72"/>
  <c r="AJ40" i="151"/>
  <c r="AH47" i="128"/>
  <c r="AI47" i="128"/>
  <c r="R44" i="72"/>
  <c r="AJ47" i="128"/>
  <c r="AH47" i="114"/>
  <c r="AI47" i="114"/>
  <c r="H44" i="72"/>
  <c r="AJ47" i="114"/>
  <c r="AH51" i="152"/>
  <c r="AI51" i="152"/>
  <c r="AB48" i="72"/>
  <c r="AJ51" i="152"/>
  <c r="AH48" i="151"/>
  <c r="AI48" i="151"/>
  <c r="AA45" i="72"/>
  <c r="AJ48" i="151"/>
  <c r="AH57" i="116"/>
  <c r="AI57" i="116"/>
  <c r="J54" i="72"/>
  <c r="AJ57" i="116"/>
  <c r="AH37" i="116"/>
  <c r="AI37" i="116"/>
  <c r="J34" i="72"/>
  <c r="AJ37" i="116"/>
  <c r="AH15" i="128"/>
  <c r="AI15" i="128"/>
  <c r="R12" i="72"/>
  <c r="AJ15" i="128"/>
  <c r="AH72" i="146"/>
  <c r="AI72" i="146"/>
  <c r="W69" i="72"/>
  <c r="AJ72" i="146"/>
  <c r="AH42" i="127"/>
  <c r="AI42" i="127"/>
  <c r="Q39" i="72"/>
  <c r="AJ42" i="127"/>
  <c r="AH12" i="118"/>
  <c r="AI12" i="118"/>
  <c r="L9" i="72"/>
  <c r="AJ12" i="118"/>
  <c r="AH58" i="114"/>
  <c r="AI58" i="114"/>
  <c r="H55" i="72"/>
  <c r="AJ58" i="114"/>
  <c r="AH14" i="117"/>
  <c r="AI14" i="117"/>
  <c r="K11" i="72"/>
  <c r="AJ14" i="117"/>
  <c r="AH63" i="115"/>
  <c r="AI63" i="115"/>
  <c r="I60" i="72"/>
  <c r="AJ63" i="115"/>
  <c r="AH51" i="118"/>
  <c r="AI51" i="118"/>
  <c r="L48" i="72"/>
  <c r="AJ51" i="118"/>
  <c r="AH57" i="126"/>
  <c r="AI57" i="126"/>
  <c r="P54" i="72"/>
  <c r="AJ57" i="126"/>
  <c r="AH15" i="120"/>
  <c r="AI15" i="120"/>
  <c r="N12" i="72"/>
  <c r="AJ15" i="120"/>
  <c r="AH33" i="115"/>
  <c r="AI33" i="115"/>
  <c r="I30" i="72"/>
  <c r="AJ33" i="115"/>
  <c r="AH33" i="147"/>
  <c r="AI33" i="147"/>
  <c r="X30" i="72"/>
  <c r="AJ33" i="147"/>
  <c r="AH52" i="149"/>
  <c r="AI52" i="149"/>
  <c r="Z49" i="72"/>
  <c r="AJ52" i="149"/>
  <c r="AH8" i="146"/>
  <c r="AI8" i="146"/>
  <c r="W5" i="72"/>
  <c r="AJ8" i="146"/>
  <c r="AH75" i="147"/>
  <c r="AI75" i="147"/>
  <c r="X72" i="72"/>
  <c r="AJ75" i="147"/>
  <c r="AH15" i="149"/>
  <c r="AI15" i="149"/>
  <c r="Z12" i="72"/>
  <c r="AJ15" i="149"/>
  <c r="AH8" i="145"/>
  <c r="AI8" i="145"/>
  <c r="V5" i="72"/>
  <c r="AJ8" i="145"/>
  <c r="AH23" i="148"/>
  <c r="AI23" i="148"/>
  <c r="Y20" i="72"/>
  <c r="AJ23" i="148"/>
  <c r="AH52" i="125"/>
  <c r="AI52" i="125"/>
  <c r="O49" i="72"/>
  <c r="AJ52" i="125"/>
  <c r="AF8" i="100"/>
  <c r="AH12" i="125"/>
  <c r="AI12" i="125"/>
  <c r="O9" i="72"/>
  <c r="AJ12" i="125"/>
  <c r="AH14" i="126"/>
  <c r="AI14" i="126"/>
  <c r="P11" i="72"/>
  <c r="AJ14" i="126"/>
  <c r="AH63" i="152"/>
  <c r="AI63" i="152"/>
  <c r="AB60" i="72"/>
  <c r="AJ63" i="152"/>
  <c r="AH48" i="144"/>
  <c r="AI48" i="144"/>
  <c r="U45" i="72"/>
  <c r="AJ48" i="144"/>
  <c r="AH48" i="119"/>
  <c r="AI48" i="119"/>
  <c r="M45" i="72"/>
  <c r="AJ48" i="119"/>
  <c r="AH37" i="127"/>
  <c r="AI37" i="127"/>
  <c r="Q34" i="72"/>
  <c r="AJ37" i="127"/>
  <c r="AH25" i="118"/>
  <c r="AI25" i="118"/>
  <c r="L22" i="72"/>
  <c r="AJ25" i="118"/>
  <c r="AH33" i="127"/>
  <c r="AI33" i="127"/>
  <c r="Q30" i="72"/>
  <c r="AJ33" i="127"/>
  <c r="AH38" i="114"/>
  <c r="AI38" i="114"/>
  <c r="H35" i="72"/>
  <c r="AJ38" i="114"/>
  <c r="AH8" i="127"/>
  <c r="AI8" i="127"/>
  <c r="Q5" i="72"/>
  <c r="AJ8" i="127"/>
  <c r="AH20" i="144"/>
  <c r="AI20" i="144"/>
  <c r="U17" i="72"/>
  <c r="AJ20" i="144"/>
  <c r="AH58" i="117"/>
  <c r="AI58" i="117"/>
  <c r="K55" i="72"/>
  <c r="AJ58" i="117"/>
  <c r="AH40" i="118"/>
  <c r="AI40" i="118"/>
  <c r="L37" i="72"/>
  <c r="AJ40" i="118"/>
  <c r="AH47" i="131"/>
  <c r="AI47" i="131"/>
  <c r="T44" i="72"/>
  <c r="AJ47" i="131"/>
  <c r="AH75" i="125"/>
  <c r="AI75" i="125"/>
  <c r="O72" i="72"/>
  <c r="AJ75" i="125"/>
  <c r="AI71" i="80"/>
  <c r="AJ71" i="80"/>
  <c r="AE68" i="72"/>
  <c r="AK71" i="80"/>
  <c r="AI37" i="76"/>
  <c r="AJ37" i="76"/>
  <c r="AD34" i="72"/>
  <c r="AK37" i="76"/>
  <c r="AH72" i="151"/>
  <c r="AI72" i="151"/>
  <c r="AA69" i="72"/>
  <c r="AJ72" i="151"/>
  <c r="AH11" i="131"/>
  <c r="AI11" i="131"/>
  <c r="T8" i="72"/>
  <c r="AJ11" i="131"/>
  <c r="AH33" i="149"/>
  <c r="AI33" i="149"/>
  <c r="Z30" i="72"/>
  <c r="AJ33" i="149"/>
  <c r="AA7" i="118"/>
  <c r="AA76" i="118"/>
  <c r="X76" i="118"/>
  <c r="V76" i="118"/>
  <c r="AB7" i="118"/>
  <c r="V82" i="120"/>
  <c r="X76" i="128"/>
  <c r="AA7" i="128"/>
  <c r="Z82" i="128"/>
  <c r="Z82" i="153"/>
  <c r="AA7" i="131"/>
  <c r="AA76" i="131"/>
  <c r="X76" i="131"/>
  <c r="V76" i="131"/>
  <c r="Z76" i="119"/>
  <c r="AA7" i="119"/>
  <c r="AA76" i="119"/>
  <c r="X76" i="125"/>
  <c r="AA7" i="125"/>
  <c r="AA76" i="125"/>
  <c r="Z82" i="125"/>
  <c r="AA82" i="80"/>
  <c r="AA7" i="126"/>
  <c r="AA76" i="126"/>
  <c r="X76" i="126"/>
  <c r="V76" i="126"/>
  <c r="AA7" i="144"/>
  <c r="AA76" i="144"/>
  <c r="X76" i="144"/>
  <c r="AB7" i="76"/>
  <c r="Y76" i="76"/>
  <c r="W82" i="76"/>
  <c r="Z83" i="114"/>
  <c r="X82" i="113"/>
  <c r="AH11" i="149"/>
  <c r="AI11" i="149"/>
  <c r="Z8" i="72"/>
  <c r="AJ11" i="149"/>
  <c r="AH11" i="152"/>
  <c r="AI11" i="152"/>
  <c r="AB8" i="72"/>
  <c r="AJ11" i="152"/>
  <c r="AH48" i="117"/>
  <c r="AI48" i="117"/>
  <c r="K45" i="72"/>
  <c r="AJ48" i="117"/>
  <c r="AR14" i="46"/>
  <c r="AP15" i="46"/>
  <c r="AT14" i="46"/>
  <c r="AT15" i="46"/>
  <c r="AH71" i="116"/>
  <c r="AI71" i="116"/>
  <c r="J68" i="72"/>
  <c r="AJ71" i="116"/>
  <c r="AH14" i="152"/>
  <c r="AI14" i="152"/>
  <c r="AB11" i="72"/>
  <c r="AJ14" i="152"/>
  <c r="AR6" i="46"/>
  <c r="AP12" i="46"/>
  <c r="AT6" i="46"/>
  <c r="AT12" i="46"/>
  <c r="AH40" i="153"/>
  <c r="AI40" i="153"/>
  <c r="AC37" i="72"/>
  <c r="AJ40" i="153"/>
  <c r="AH57" i="125"/>
  <c r="AI57" i="125"/>
  <c r="O54" i="72"/>
  <c r="AJ57" i="125"/>
  <c r="AK73" i="31"/>
  <c r="AH11" i="153"/>
  <c r="AI11" i="153"/>
  <c r="AC8" i="72"/>
  <c r="AJ11" i="153"/>
  <c r="AH11" i="148"/>
  <c r="AI11" i="148"/>
  <c r="Y8" i="72"/>
  <c r="AJ11" i="148"/>
  <c r="AD48" i="149"/>
  <c r="AF48" i="149"/>
  <c r="AD48" i="145"/>
  <c r="AF48" i="145"/>
  <c r="AH14" i="153"/>
  <c r="AI14" i="153"/>
  <c r="AC11" i="72"/>
  <c r="AJ14" i="153"/>
  <c r="AH52" i="153"/>
  <c r="AI52" i="153"/>
  <c r="AC49" i="72"/>
  <c r="AJ52" i="153"/>
  <c r="AH35" i="146"/>
  <c r="AI35" i="146"/>
  <c r="W32" i="72"/>
  <c r="AJ35" i="146"/>
  <c r="AH42" i="145"/>
  <c r="AI42" i="145"/>
  <c r="V39" i="72"/>
  <c r="AJ42" i="145"/>
  <c r="AH58" i="144"/>
  <c r="AI58" i="144"/>
  <c r="U55" i="72"/>
  <c r="AJ58" i="144"/>
  <c r="AH20" i="148"/>
  <c r="AI20" i="148"/>
  <c r="Y17" i="72"/>
  <c r="AJ20" i="148"/>
  <c r="AH15" i="151"/>
  <c r="AI15" i="151"/>
  <c r="AA12" i="72"/>
  <c r="AJ15" i="151"/>
  <c r="AA76" i="115"/>
  <c r="X76" i="115"/>
  <c r="V82" i="116"/>
  <c r="AB7" i="145"/>
  <c r="V76" i="145"/>
  <c r="Z82" i="145"/>
  <c r="V76" i="152"/>
  <c r="AB7" i="152"/>
  <c r="V76" i="151"/>
  <c r="AB7" i="151"/>
  <c r="Z82" i="151"/>
  <c r="Z82" i="127"/>
  <c r="X76" i="117"/>
  <c r="AA7" i="117"/>
  <c r="AA76" i="117"/>
  <c r="V76" i="117"/>
  <c r="X76" i="147"/>
  <c r="AA7" i="147"/>
  <c r="AA76" i="147"/>
  <c r="Z82" i="146"/>
  <c r="AA7" i="146"/>
  <c r="AA76" i="146"/>
  <c r="X76" i="146"/>
  <c r="Z82" i="129"/>
  <c r="AH35" i="120"/>
  <c r="AI35" i="120"/>
  <c r="N32" i="72"/>
  <c r="AJ35" i="120"/>
  <c r="AH42" i="125"/>
  <c r="AI42" i="125"/>
  <c r="O39" i="72"/>
  <c r="AJ42" i="125"/>
  <c r="AH38" i="116"/>
  <c r="AI38" i="116"/>
  <c r="J35" i="72"/>
  <c r="AJ38" i="116"/>
  <c r="AH52" i="147"/>
  <c r="AI52" i="147"/>
  <c r="X49" i="72"/>
  <c r="AJ52" i="147"/>
  <c r="AI11" i="80"/>
  <c r="AJ11" i="80"/>
  <c r="AE8" i="72"/>
  <c r="AK11" i="80"/>
  <c r="AH43" i="125"/>
  <c r="AI43" i="125"/>
  <c r="O40" i="72"/>
  <c r="AJ43" i="125"/>
  <c r="AH12" i="126"/>
  <c r="AI12" i="126"/>
  <c r="P9" i="72"/>
  <c r="AJ12" i="126"/>
  <c r="AH58" i="151"/>
  <c r="AI58" i="151"/>
  <c r="AA55" i="72"/>
  <c r="AJ58" i="151"/>
  <c r="AH14" i="148"/>
  <c r="AI14" i="148"/>
  <c r="Y11" i="72"/>
  <c r="AJ14" i="148"/>
  <c r="AH63" i="118"/>
  <c r="AI63" i="118"/>
  <c r="L60" i="72"/>
  <c r="AJ63" i="118"/>
  <c r="AH51" i="153"/>
  <c r="AI51" i="153"/>
  <c r="AC48" i="72"/>
  <c r="AJ51" i="153"/>
  <c r="AH48" i="131"/>
  <c r="AI48" i="131"/>
  <c r="T45" i="72"/>
  <c r="AJ48" i="131"/>
  <c r="AH48" i="148"/>
  <c r="AI48" i="148"/>
  <c r="Y45" i="72"/>
  <c r="AJ48" i="148"/>
  <c r="AH75" i="116"/>
  <c r="AI75" i="116"/>
  <c r="J72" i="72"/>
  <c r="AJ75" i="116"/>
  <c r="AH37" i="144"/>
  <c r="AI37" i="144"/>
  <c r="U34" i="72"/>
  <c r="AJ37" i="144"/>
  <c r="AH25" i="152"/>
  <c r="AI25" i="152"/>
  <c r="AB22" i="72"/>
  <c r="AJ25" i="152"/>
  <c r="AH15" i="114"/>
  <c r="AI15" i="114"/>
  <c r="H12" i="72"/>
  <c r="AJ15" i="114"/>
  <c r="AH72" i="126"/>
  <c r="AI72" i="126"/>
  <c r="P69" i="72"/>
  <c r="AJ72" i="126"/>
  <c r="AH44" i="145"/>
  <c r="AI44" i="145"/>
  <c r="V41" i="72"/>
  <c r="AJ44" i="145"/>
  <c r="AH43" i="146"/>
  <c r="AI43" i="146"/>
  <c r="W40" i="72"/>
  <c r="AJ43" i="146"/>
  <c r="AH58" i="147"/>
  <c r="AI58" i="147"/>
  <c r="X55" i="72"/>
  <c r="AJ58" i="147"/>
  <c r="AI40" i="80"/>
  <c r="AJ40" i="80"/>
  <c r="AE37" i="72"/>
  <c r="AK40" i="80"/>
  <c r="AH14" i="146"/>
  <c r="AI14" i="146"/>
  <c r="W11" i="72"/>
  <c r="AJ14" i="146"/>
  <c r="AH63" i="117"/>
  <c r="AI63" i="117"/>
  <c r="K60" i="72"/>
  <c r="AJ63" i="117"/>
  <c r="AH75" i="149"/>
  <c r="AI75" i="149"/>
  <c r="Z72" i="72"/>
  <c r="AJ75" i="149"/>
  <c r="AH15" i="144"/>
  <c r="AI15" i="144"/>
  <c r="U12" i="72"/>
  <c r="AJ15" i="144"/>
  <c r="AH15" i="126"/>
  <c r="AI15" i="126"/>
  <c r="P12" i="72"/>
  <c r="AJ15" i="126"/>
  <c r="AH33" i="114"/>
  <c r="AI33" i="114"/>
  <c r="H30" i="72"/>
  <c r="AJ33" i="114"/>
  <c r="AH58" i="153"/>
  <c r="AI58" i="153"/>
  <c r="AC55" i="72"/>
  <c r="AJ58" i="153"/>
  <c r="AH11" i="144"/>
  <c r="AI11" i="144"/>
  <c r="U8" i="72"/>
  <c r="AJ11" i="144"/>
  <c r="AH43" i="153"/>
  <c r="AI43" i="153"/>
  <c r="AC40" i="72"/>
  <c r="AJ43" i="153"/>
  <c r="AH48" i="116"/>
  <c r="AI48" i="116"/>
  <c r="J45" i="72"/>
  <c r="AJ48" i="116"/>
  <c r="AH48" i="125"/>
  <c r="AI48" i="125"/>
  <c r="O45" i="72"/>
  <c r="AJ48" i="125"/>
  <c r="AH71" i="146"/>
  <c r="AI71" i="146"/>
  <c r="W68" i="72"/>
  <c r="AJ71" i="146"/>
  <c r="AH35" i="151"/>
  <c r="AI35" i="151"/>
  <c r="AA32" i="72"/>
  <c r="AJ35" i="151"/>
  <c r="AH12" i="144"/>
  <c r="AI12" i="144"/>
  <c r="U9" i="72"/>
  <c r="AJ12" i="144"/>
  <c r="AH35" i="152"/>
  <c r="AI35" i="152"/>
  <c r="AB32" i="72"/>
  <c r="AJ35" i="152"/>
  <c r="AH38" i="145"/>
  <c r="AI38" i="145"/>
  <c r="V35" i="72"/>
  <c r="AJ38" i="145"/>
  <c r="AH23" i="119"/>
  <c r="AI23" i="119"/>
  <c r="M20" i="72"/>
  <c r="AJ23" i="119"/>
  <c r="AH11" i="114"/>
  <c r="AI11" i="114"/>
  <c r="H8" i="72"/>
  <c r="AJ11" i="114"/>
  <c r="AD11" i="145"/>
  <c r="AF11" i="145"/>
  <c r="AH8" i="131"/>
  <c r="AI8" i="131"/>
  <c r="T5" i="72"/>
  <c r="AJ8" i="131"/>
  <c r="AH58" i="152"/>
  <c r="AI58" i="152"/>
  <c r="AB55" i="72"/>
  <c r="AJ58" i="152"/>
  <c r="AH14" i="119"/>
  <c r="AI14" i="119"/>
  <c r="M11" i="72"/>
  <c r="AJ14" i="119"/>
  <c r="AH51" i="129"/>
  <c r="AI51" i="129"/>
  <c r="S48" i="72"/>
  <c r="AJ51" i="129"/>
  <c r="AI48" i="80"/>
  <c r="AJ48" i="80"/>
  <c r="AE45" i="72"/>
  <c r="AK48" i="80"/>
  <c r="AH75" i="115"/>
  <c r="AI75" i="115"/>
  <c r="I72" i="72"/>
  <c r="AJ75" i="115"/>
  <c r="AH37" i="151"/>
  <c r="AI37" i="151"/>
  <c r="AA34" i="72"/>
  <c r="AJ37" i="151"/>
  <c r="AH72" i="118"/>
  <c r="AI72" i="118"/>
  <c r="L69" i="72"/>
  <c r="AJ72" i="118"/>
  <c r="AH35" i="114"/>
  <c r="AI35" i="114"/>
  <c r="H32" i="72"/>
  <c r="AJ35" i="114"/>
  <c r="AH42" i="118"/>
  <c r="AI42" i="118"/>
  <c r="L39" i="72"/>
  <c r="AJ42" i="118"/>
  <c r="AH23" i="114"/>
  <c r="AI23" i="114"/>
  <c r="H20" i="72"/>
  <c r="AJ23" i="114"/>
  <c r="AH20" i="131"/>
  <c r="AI20" i="131"/>
  <c r="T17" i="72"/>
  <c r="AJ20" i="131"/>
  <c r="AH43" i="120"/>
  <c r="AI43" i="120"/>
  <c r="N40" i="72"/>
  <c r="AJ43" i="120"/>
  <c r="AH58" i="116"/>
  <c r="AI58" i="116"/>
  <c r="J55" i="72"/>
  <c r="AJ58" i="116"/>
  <c r="AH14" i="116"/>
  <c r="AI14" i="116"/>
  <c r="J11" i="72"/>
  <c r="AJ14" i="116"/>
  <c r="AH63" i="149"/>
  <c r="AI63" i="149"/>
  <c r="Z60" i="72"/>
  <c r="AJ63" i="149"/>
  <c r="AI71" i="76"/>
  <c r="AJ71" i="76"/>
  <c r="AD68" i="72"/>
  <c r="AK71" i="76"/>
  <c r="AH57" i="118"/>
  <c r="AI57" i="118"/>
  <c r="L54" i="72"/>
  <c r="AJ57" i="118"/>
  <c r="AH15" i="119"/>
  <c r="AI15" i="119"/>
  <c r="M12" i="72"/>
  <c r="AJ15" i="119"/>
  <c r="AH11" i="118"/>
  <c r="AI11" i="118"/>
  <c r="L8" i="72"/>
  <c r="AJ11" i="118"/>
  <c r="AH48" i="153"/>
  <c r="AI48" i="153"/>
  <c r="AC45" i="72"/>
  <c r="AJ48" i="153"/>
  <c r="AH51" i="151"/>
  <c r="AI51" i="151"/>
  <c r="AA48" i="72"/>
  <c r="AJ51" i="151"/>
  <c r="AH33" i="146"/>
  <c r="AI33" i="146"/>
  <c r="W30" i="72"/>
  <c r="AJ33" i="146"/>
  <c r="Z82" i="118"/>
  <c r="AA7" i="120"/>
  <c r="X76" i="120"/>
  <c r="Z82" i="120"/>
  <c r="V82" i="128"/>
  <c r="X76" i="153"/>
  <c r="AA7" i="153"/>
  <c r="AA76" i="153"/>
  <c r="V76" i="153"/>
  <c r="AB7" i="153"/>
  <c r="Z82" i="131"/>
  <c r="X82" i="119"/>
  <c r="V76" i="119"/>
  <c r="AB7" i="119"/>
  <c r="V76" i="125"/>
  <c r="AB7" i="125"/>
  <c r="AB7" i="80"/>
  <c r="AB76" i="80"/>
  <c r="Y76" i="80"/>
  <c r="W76" i="80"/>
  <c r="Z82" i="126"/>
  <c r="V76" i="144"/>
  <c r="AB7" i="144"/>
  <c r="Z82" i="144"/>
  <c r="AA82" i="76"/>
  <c r="AA77" i="114"/>
  <c r="X77" i="114"/>
  <c r="V77" i="114"/>
  <c r="AA76" i="113"/>
  <c r="AH48" i="118"/>
  <c r="AI48" i="118"/>
  <c r="L45" i="72"/>
  <c r="AJ48" i="118"/>
  <c r="AH38" i="131"/>
  <c r="AI38" i="131"/>
  <c r="T35" i="72"/>
  <c r="AJ38" i="131"/>
  <c r="AD48" i="146"/>
  <c r="AF48" i="146"/>
  <c r="AH33" i="117"/>
  <c r="AI33" i="117"/>
  <c r="K30" i="72"/>
  <c r="AJ33" i="117"/>
  <c r="AH57" i="149"/>
  <c r="AI57" i="149"/>
  <c r="Z54" i="72"/>
  <c r="AJ57" i="149"/>
  <c r="AD11" i="127"/>
  <c r="AF11" i="127"/>
  <c r="AD48" i="147"/>
  <c r="AF48" i="147"/>
  <c r="AN17" i="46"/>
  <c r="AD11" i="146"/>
  <c r="AF11" i="146"/>
  <c r="AD48" i="115"/>
  <c r="AF48" i="115"/>
  <c r="AF45" i="100"/>
  <c r="AL73" i="31"/>
  <c r="AL74" i="31"/>
  <c r="AG45" i="100"/>
  <c r="AB7" i="117"/>
  <c r="AC7" i="80"/>
  <c r="AP17" i="46"/>
  <c r="AI74" i="31"/>
  <c r="AB7" i="126"/>
  <c r="AB7" i="131"/>
  <c r="AB7" i="127"/>
  <c r="AT17" i="46"/>
  <c r="AH11" i="146"/>
  <c r="AI11" i="146"/>
  <c r="W8" i="72"/>
  <c r="AJ11" i="146"/>
  <c r="AA82" i="113"/>
  <c r="AN73" i="31"/>
  <c r="AN74" i="31"/>
  <c r="AH48" i="115"/>
  <c r="AI48" i="115"/>
  <c r="I45" i="72"/>
  <c r="AJ48" i="115"/>
  <c r="AH11" i="127"/>
  <c r="AI11" i="127"/>
  <c r="Q8" i="72"/>
  <c r="AJ11" i="127"/>
  <c r="AH48" i="146"/>
  <c r="AI48" i="146"/>
  <c r="W45" i="72"/>
  <c r="AJ48" i="146"/>
  <c r="AD7" i="113"/>
  <c r="AB76" i="113"/>
  <c r="G4" i="100"/>
  <c r="X83" i="114"/>
  <c r="AB76" i="144"/>
  <c r="U4" i="100"/>
  <c r="U73" i="100"/>
  <c r="AC7" i="144"/>
  <c r="AD7" i="144"/>
  <c r="AD7" i="80"/>
  <c r="AE4" i="100"/>
  <c r="AE73" i="100"/>
  <c r="AC76" i="80"/>
  <c r="Y82" i="80"/>
  <c r="AB76" i="125"/>
  <c r="AC7" i="125"/>
  <c r="AD7" i="125"/>
  <c r="O4" i="100"/>
  <c r="O73" i="100"/>
  <c r="M4" i="100"/>
  <c r="M73" i="100"/>
  <c r="AB76" i="119"/>
  <c r="AC7" i="119"/>
  <c r="AD7" i="119"/>
  <c r="AC4" i="100"/>
  <c r="AC73" i="100"/>
  <c r="AC7" i="153"/>
  <c r="AD7" i="153"/>
  <c r="AB76" i="153"/>
  <c r="AA82" i="153"/>
  <c r="X82" i="120"/>
  <c r="AA82" i="146"/>
  <c r="X82" i="147"/>
  <c r="V82" i="117"/>
  <c r="X82" i="117"/>
  <c r="V82" i="151"/>
  <c r="V82" i="152"/>
  <c r="V4" i="100"/>
  <c r="V73" i="100"/>
  <c r="AC7" i="145"/>
  <c r="AB76" i="145"/>
  <c r="AD7" i="145"/>
  <c r="AA82" i="115"/>
  <c r="AH48" i="149"/>
  <c r="AI48" i="149"/>
  <c r="Z45" i="72"/>
  <c r="AJ48" i="149"/>
  <c r="AK74" i="31"/>
  <c r="AS6" i="46"/>
  <c r="AS12" i="46"/>
  <c r="AR12" i="46"/>
  <c r="AS14" i="46"/>
  <c r="AS15" i="46"/>
  <c r="E12" i="72"/>
  <c r="AR15" i="46"/>
  <c r="AB76" i="76"/>
  <c r="AC7" i="76"/>
  <c r="AA82" i="144"/>
  <c r="V82" i="126"/>
  <c r="AA82" i="126"/>
  <c r="X82" i="125"/>
  <c r="Z82" i="119"/>
  <c r="V82" i="131"/>
  <c r="AA82" i="131"/>
  <c r="X82" i="128"/>
  <c r="V82" i="118"/>
  <c r="AA82" i="118"/>
  <c r="AB7" i="129"/>
  <c r="X82" i="129"/>
  <c r="AB7" i="146"/>
  <c r="AB7" i="147"/>
  <c r="AC7" i="127"/>
  <c r="AB76" i="127"/>
  <c r="Q4" i="100"/>
  <c r="Q73" i="100"/>
  <c r="AA82" i="127"/>
  <c r="X82" i="151"/>
  <c r="AA82" i="152"/>
  <c r="X82" i="145"/>
  <c r="X82" i="116"/>
  <c r="AB76" i="149"/>
  <c r="AC7" i="149"/>
  <c r="Z4" i="100"/>
  <c r="Z73" i="100"/>
  <c r="AD7" i="149"/>
  <c r="X82" i="148"/>
  <c r="AB7" i="148"/>
  <c r="AA82" i="149"/>
  <c r="AH48" i="147"/>
  <c r="AI48" i="147"/>
  <c r="X45" i="72"/>
  <c r="AJ48" i="147"/>
  <c r="V83" i="114"/>
  <c r="AA83" i="114"/>
  <c r="V82" i="144"/>
  <c r="W82" i="80"/>
  <c r="AB82" i="80"/>
  <c r="V82" i="125"/>
  <c r="V82" i="119"/>
  <c r="V82" i="153"/>
  <c r="X82" i="153"/>
  <c r="AA76" i="120"/>
  <c r="AB7" i="120"/>
  <c r="AH11" i="145"/>
  <c r="AI11" i="145"/>
  <c r="V8" i="72"/>
  <c r="AJ11" i="145"/>
  <c r="X82" i="146"/>
  <c r="AA82" i="147"/>
  <c r="K4" i="100"/>
  <c r="K73" i="100"/>
  <c r="AC7" i="117"/>
  <c r="AD7" i="117"/>
  <c r="AB76" i="117"/>
  <c r="AA82" i="117"/>
  <c r="AA4" i="100"/>
  <c r="AA73" i="100"/>
  <c r="AC7" i="151"/>
  <c r="AB76" i="151"/>
  <c r="AD7" i="151"/>
  <c r="AB76" i="152"/>
  <c r="AB4" i="100"/>
  <c r="AB73" i="100"/>
  <c r="AC7" i="152"/>
  <c r="V82" i="145"/>
  <c r="X82" i="115"/>
  <c r="AH48" i="145"/>
  <c r="AI48" i="145"/>
  <c r="V45" i="72"/>
  <c r="AJ48" i="145"/>
  <c r="Y82" i="76"/>
  <c r="X82" i="144"/>
  <c r="AC7" i="126"/>
  <c r="AD7" i="126"/>
  <c r="P4" i="100"/>
  <c r="P73" i="100"/>
  <c r="AB76" i="126"/>
  <c r="X82" i="126"/>
  <c r="AA82" i="125"/>
  <c r="AA82" i="119"/>
  <c r="T4" i="100"/>
  <c r="T73" i="100"/>
  <c r="AB76" i="131"/>
  <c r="AC7" i="131"/>
  <c r="AD7" i="131"/>
  <c r="X82" i="131"/>
  <c r="AA76" i="128"/>
  <c r="AB7" i="128"/>
  <c r="L4" i="100"/>
  <c r="L73" i="100"/>
  <c r="AB76" i="118"/>
  <c r="AC7" i="118"/>
  <c r="AD7" i="118"/>
  <c r="X82" i="118"/>
  <c r="V82" i="129"/>
  <c r="AA82" i="129"/>
  <c r="V82" i="146"/>
  <c r="V82" i="147"/>
  <c r="V82" i="127"/>
  <c r="X82" i="127"/>
  <c r="AA82" i="151"/>
  <c r="X82" i="152"/>
  <c r="AA82" i="145"/>
  <c r="AA76" i="116"/>
  <c r="AB7" i="116"/>
  <c r="V82" i="149"/>
  <c r="V82" i="115"/>
  <c r="AA82" i="148"/>
  <c r="V82" i="148"/>
  <c r="X82" i="149"/>
  <c r="AF7" i="119"/>
  <c r="AD76" i="119"/>
  <c r="AF7" i="117"/>
  <c r="AD76" i="117"/>
  <c r="AF7" i="113"/>
  <c r="AD76" i="113"/>
  <c r="AA82" i="116"/>
  <c r="AN7" i="118"/>
  <c r="AC76" i="118"/>
  <c r="AA82" i="128"/>
  <c r="AN7" i="131"/>
  <c r="AC76" i="131"/>
  <c r="AN7" i="126"/>
  <c r="AC76" i="126"/>
  <c r="AD7" i="152"/>
  <c r="AC76" i="152"/>
  <c r="AN7" i="152"/>
  <c r="AB82" i="152"/>
  <c r="AB82" i="151"/>
  <c r="AA82" i="120"/>
  <c r="I4" i="100"/>
  <c r="I73" i="100"/>
  <c r="AD7" i="115"/>
  <c r="AB76" i="115"/>
  <c r="AB82" i="149"/>
  <c r="AB82" i="127"/>
  <c r="AB76" i="147"/>
  <c r="AC7" i="147"/>
  <c r="AD7" i="147"/>
  <c r="X4" i="100"/>
  <c r="X73" i="100"/>
  <c r="AB76" i="129"/>
  <c r="AC7" i="129"/>
  <c r="AD7" i="129"/>
  <c r="S4" i="100"/>
  <c r="S73" i="100"/>
  <c r="AC76" i="76"/>
  <c r="AD4" i="100"/>
  <c r="AD73" i="100"/>
  <c r="AD7" i="76"/>
  <c r="AR17" i="46"/>
  <c r="AB82" i="145"/>
  <c r="AF7" i="153"/>
  <c r="AD76" i="153"/>
  <c r="AN7" i="153"/>
  <c r="AC76" i="153"/>
  <c r="AB82" i="119"/>
  <c r="AF7" i="125"/>
  <c r="AD76" i="125"/>
  <c r="AN7" i="125"/>
  <c r="AC76" i="125"/>
  <c r="AC82" i="80"/>
  <c r="AE7" i="80"/>
  <c r="AO7" i="80"/>
  <c r="AD76" i="80"/>
  <c r="AN7" i="144"/>
  <c r="AC76" i="144"/>
  <c r="AB82" i="144"/>
  <c r="AB82" i="113"/>
  <c r="AP73" i="31"/>
  <c r="AP74" i="31"/>
  <c r="AC7" i="116"/>
  <c r="J4" i="100"/>
  <c r="J73" i="100"/>
  <c r="AB76" i="116"/>
  <c r="AF7" i="118"/>
  <c r="AD76" i="118"/>
  <c r="AB82" i="118"/>
  <c r="AC7" i="128"/>
  <c r="AD7" i="128"/>
  <c r="AB76" i="128"/>
  <c r="R4" i="100"/>
  <c r="R73" i="100"/>
  <c r="AD76" i="131"/>
  <c r="AF7" i="131"/>
  <c r="AB82" i="131"/>
  <c r="AB82" i="126"/>
  <c r="AD76" i="126"/>
  <c r="AF7" i="126"/>
  <c r="AF7" i="151"/>
  <c r="AD76" i="151"/>
  <c r="AN7" i="151"/>
  <c r="AC76" i="151"/>
  <c r="AB82" i="117"/>
  <c r="AC76" i="117"/>
  <c r="AN7" i="117"/>
  <c r="N4" i="100"/>
  <c r="N73" i="100"/>
  <c r="AB76" i="120"/>
  <c r="AC7" i="120"/>
  <c r="AC7" i="148"/>
  <c r="AB76" i="148"/>
  <c r="Y4" i="100"/>
  <c r="Y73" i="100"/>
  <c r="AD76" i="149"/>
  <c r="AF7" i="149"/>
  <c r="AN7" i="149"/>
  <c r="AC76" i="149"/>
  <c r="AD7" i="127"/>
  <c r="AN7" i="127"/>
  <c r="AC76" i="127"/>
  <c r="AB76" i="146"/>
  <c r="AC7" i="146"/>
  <c r="W4" i="100"/>
  <c r="W73" i="100"/>
  <c r="AD7" i="146"/>
  <c r="AB82" i="76"/>
  <c r="AS17" i="46"/>
  <c r="E20" i="72"/>
  <c r="E73" i="72"/>
  <c r="AD76" i="145"/>
  <c r="AF7" i="145"/>
  <c r="AC76" i="145"/>
  <c r="AN7" i="145"/>
  <c r="AB82" i="153"/>
  <c r="AN7" i="119"/>
  <c r="AC76" i="119"/>
  <c r="AB82" i="125"/>
  <c r="AD76" i="144"/>
  <c r="AF7" i="144"/>
  <c r="H4" i="100"/>
  <c r="H73" i="100"/>
  <c r="AB77" i="114"/>
  <c r="G73" i="100"/>
  <c r="AC76" i="113"/>
  <c r="AG4" i="100"/>
  <c r="AG73" i="100"/>
  <c r="AC82" i="113"/>
  <c r="AC77" i="114"/>
  <c r="AD82" i="144"/>
  <c r="AN76" i="119"/>
  <c r="AO7" i="119"/>
  <c r="AN76" i="145"/>
  <c r="AO7" i="145"/>
  <c r="AF76" i="145"/>
  <c r="AH7" i="145"/>
  <c r="AJ7" i="145"/>
  <c r="AJ76" i="145"/>
  <c r="AD76" i="146"/>
  <c r="AF7" i="146"/>
  <c r="AC76" i="146"/>
  <c r="AN7" i="146"/>
  <c r="AC82" i="127"/>
  <c r="AF7" i="127"/>
  <c r="AD76" i="127"/>
  <c r="AO7" i="149"/>
  <c r="AN76" i="149"/>
  <c r="AD82" i="149"/>
  <c r="AN7" i="148"/>
  <c r="AC76" i="148"/>
  <c r="AC76" i="120"/>
  <c r="AN7" i="120"/>
  <c r="AD7" i="120"/>
  <c r="AO7" i="117"/>
  <c r="AN76" i="117"/>
  <c r="AC82" i="151"/>
  <c r="AD82" i="151"/>
  <c r="AF76" i="126"/>
  <c r="AH7" i="126"/>
  <c r="AJ7" i="126"/>
  <c r="AJ76" i="126"/>
  <c r="AF76" i="131"/>
  <c r="AH7" i="131"/>
  <c r="AJ7" i="131"/>
  <c r="AJ76" i="131"/>
  <c r="AB82" i="128"/>
  <c r="AD82" i="118"/>
  <c r="AB82" i="116"/>
  <c r="AD7" i="116"/>
  <c r="AC76" i="116"/>
  <c r="AN7" i="116"/>
  <c r="AN76" i="144"/>
  <c r="AO7" i="144"/>
  <c r="AP7" i="80"/>
  <c r="AO76" i="80"/>
  <c r="AC82" i="125"/>
  <c r="AD82" i="125"/>
  <c r="AC82" i="153"/>
  <c r="AD82" i="153"/>
  <c r="AD76" i="76"/>
  <c r="AO7" i="76"/>
  <c r="AC82" i="76"/>
  <c r="AB82" i="129"/>
  <c r="AB82" i="147"/>
  <c r="AB82" i="115"/>
  <c r="AC82" i="152"/>
  <c r="AC82" i="126"/>
  <c r="AC82" i="131"/>
  <c r="AC82" i="118"/>
  <c r="AD82" i="113"/>
  <c r="AD82" i="117"/>
  <c r="AD82" i="119"/>
  <c r="AF4" i="100"/>
  <c r="AF73" i="100"/>
  <c r="AD7" i="114"/>
  <c r="AB83" i="114"/>
  <c r="AH7" i="144"/>
  <c r="AF76" i="144"/>
  <c r="AJ7" i="144"/>
  <c r="AJ76" i="144"/>
  <c r="AC82" i="119"/>
  <c r="AC82" i="145"/>
  <c r="AD82" i="145"/>
  <c r="AB82" i="146"/>
  <c r="AN76" i="127"/>
  <c r="AO7" i="127"/>
  <c r="AC82" i="149"/>
  <c r="AF76" i="149"/>
  <c r="AH7" i="149"/>
  <c r="AJ7" i="149"/>
  <c r="AJ76" i="149"/>
  <c r="AD7" i="148"/>
  <c r="AB82" i="148"/>
  <c r="AB82" i="120"/>
  <c r="AC82" i="117"/>
  <c r="AN76" i="151"/>
  <c r="AO7" i="151"/>
  <c r="AH7" i="151"/>
  <c r="AF76" i="151"/>
  <c r="AJ7" i="151"/>
  <c r="AJ76" i="151"/>
  <c r="AD82" i="126"/>
  <c r="AD82" i="131"/>
  <c r="AF7" i="128"/>
  <c r="AD76" i="128"/>
  <c r="AN7" i="128"/>
  <c r="AC76" i="128"/>
  <c r="AH7" i="118"/>
  <c r="AF76" i="118"/>
  <c r="AJ7" i="118"/>
  <c r="AJ76" i="118"/>
  <c r="AC82" i="144"/>
  <c r="AD82" i="80"/>
  <c r="AE76" i="80"/>
  <c r="AG7" i="80"/>
  <c r="AO7" i="125"/>
  <c r="AN76" i="125"/>
  <c r="AH7" i="125"/>
  <c r="AJ7" i="125"/>
  <c r="AJ76" i="125"/>
  <c r="AF76" i="125"/>
  <c r="AO7" i="153"/>
  <c r="AN76" i="153"/>
  <c r="AF76" i="153"/>
  <c r="AH7" i="153"/>
  <c r="AJ7" i="153"/>
  <c r="AJ76" i="153"/>
  <c r="AE7" i="76"/>
  <c r="AF7" i="129"/>
  <c r="AD76" i="129"/>
  <c r="AC76" i="129"/>
  <c r="AN7" i="129"/>
  <c r="AF7" i="147"/>
  <c r="AD76" i="147"/>
  <c r="AN7" i="147"/>
  <c r="AC76" i="147"/>
  <c r="AD76" i="115"/>
  <c r="AF7" i="115"/>
  <c r="AC76" i="115"/>
  <c r="AO7" i="152"/>
  <c r="AN76" i="152"/>
  <c r="AF7" i="152"/>
  <c r="AD76" i="152"/>
  <c r="AN76" i="126"/>
  <c r="AO7" i="126"/>
  <c r="AO7" i="131"/>
  <c r="AN76" i="131"/>
  <c r="AO7" i="118"/>
  <c r="AN76" i="118"/>
  <c r="AH7" i="113"/>
  <c r="AF76" i="113"/>
  <c r="AJ7" i="113"/>
  <c r="AJ76" i="113"/>
  <c r="AF76" i="117"/>
  <c r="AH7" i="117"/>
  <c r="AJ7" i="117"/>
  <c r="AJ76" i="117"/>
  <c r="AH7" i="119"/>
  <c r="AF76" i="119"/>
  <c r="AJ7" i="119"/>
  <c r="AJ76" i="119"/>
  <c r="AF82" i="119"/>
  <c r="AJ82" i="117"/>
  <c r="AF82" i="117"/>
  <c r="AF82" i="113"/>
  <c r="AO76" i="126"/>
  <c r="AT4" i="72"/>
  <c r="AT73" i="72"/>
  <c r="AD82" i="152"/>
  <c r="AC82" i="115"/>
  <c r="AH7" i="115"/>
  <c r="AF76" i="115"/>
  <c r="AJ7" i="115"/>
  <c r="AJ76" i="115"/>
  <c r="AC82" i="147"/>
  <c r="AD82" i="147"/>
  <c r="AO7" i="129"/>
  <c r="AN76" i="129"/>
  <c r="AD82" i="129"/>
  <c r="AE76" i="76"/>
  <c r="AG7" i="76"/>
  <c r="AH76" i="153"/>
  <c r="AI7" i="153"/>
  <c r="AF82" i="125"/>
  <c r="AH76" i="125"/>
  <c r="AI7" i="125"/>
  <c r="AS4" i="72"/>
  <c r="AS73" i="72"/>
  <c r="AO76" i="125"/>
  <c r="AE82" i="80"/>
  <c r="AF82" i="118"/>
  <c r="AC82" i="128"/>
  <c r="AD82" i="128"/>
  <c r="AJ82" i="151"/>
  <c r="AI7" i="151"/>
  <c r="AH76" i="151"/>
  <c r="AF7" i="148"/>
  <c r="AD76" i="148"/>
  <c r="AH76" i="149"/>
  <c r="AI7" i="149"/>
  <c r="AF82" i="144"/>
  <c r="AD77" i="114"/>
  <c r="AF7" i="114"/>
  <c r="AD82" i="76"/>
  <c r="AP76" i="80"/>
  <c r="BI4" i="72"/>
  <c r="BI73" i="72"/>
  <c r="AN76" i="116"/>
  <c r="AO7" i="116"/>
  <c r="AD76" i="116"/>
  <c r="AF7" i="116"/>
  <c r="AH76" i="131"/>
  <c r="AI7" i="131"/>
  <c r="AJ82" i="126"/>
  <c r="AF82" i="126"/>
  <c r="AF7" i="120"/>
  <c r="AD76" i="120"/>
  <c r="AC82" i="120"/>
  <c r="AO7" i="148"/>
  <c r="AN76" i="148"/>
  <c r="AO76" i="149"/>
  <c r="BD4" i="72"/>
  <c r="BD73" i="72"/>
  <c r="AH7" i="127"/>
  <c r="AF76" i="127"/>
  <c r="AJ7" i="127"/>
  <c r="AJ76" i="127"/>
  <c r="AN76" i="146"/>
  <c r="AO7" i="146"/>
  <c r="AH7" i="146"/>
  <c r="AF76" i="146"/>
  <c r="AJ7" i="146"/>
  <c r="AJ76" i="146"/>
  <c r="AJ82" i="145"/>
  <c r="AF82" i="145"/>
  <c r="AC83" i="114"/>
  <c r="AJ82" i="119"/>
  <c r="AI7" i="119"/>
  <c r="AH76" i="119"/>
  <c r="AH76" i="117"/>
  <c r="AI7" i="117"/>
  <c r="AJ82" i="113"/>
  <c r="AI7" i="113"/>
  <c r="AH76" i="113"/>
  <c r="AO76" i="118"/>
  <c r="AP4" i="72"/>
  <c r="AP73" i="72"/>
  <c r="AO76" i="131"/>
  <c r="AX4" i="72"/>
  <c r="AX73" i="72"/>
  <c r="AH7" i="152"/>
  <c r="AF76" i="152"/>
  <c r="AJ7" i="152"/>
  <c r="AJ76" i="152"/>
  <c r="BF4" i="72"/>
  <c r="BF73" i="72"/>
  <c r="AO76" i="152"/>
  <c r="AD82" i="115"/>
  <c r="AN76" i="147"/>
  <c r="AO7" i="147"/>
  <c r="AH7" i="147"/>
  <c r="AF76" i="147"/>
  <c r="AJ7" i="147"/>
  <c r="AJ76" i="147"/>
  <c r="AC82" i="129"/>
  <c r="AH7" i="129"/>
  <c r="AF76" i="129"/>
  <c r="AJ7" i="129"/>
  <c r="AJ76" i="129"/>
  <c r="AJ82" i="153"/>
  <c r="AF82" i="153"/>
  <c r="AO76" i="153"/>
  <c r="BG4" i="72"/>
  <c r="BG73" i="72"/>
  <c r="AJ82" i="125"/>
  <c r="AG76" i="80"/>
  <c r="AI7" i="80"/>
  <c r="AK7" i="80"/>
  <c r="AK76" i="80"/>
  <c r="AJ82" i="118"/>
  <c r="AI7" i="118"/>
  <c r="AH76" i="118"/>
  <c r="AO7" i="128"/>
  <c r="AN76" i="128"/>
  <c r="AH7" i="128"/>
  <c r="AF76" i="128"/>
  <c r="AJ7" i="128"/>
  <c r="AJ76" i="128"/>
  <c r="AF82" i="151"/>
  <c r="AO76" i="151"/>
  <c r="BE4" i="72"/>
  <c r="BE73" i="72"/>
  <c r="AJ82" i="149"/>
  <c r="AF82" i="149"/>
  <c r="AU4" i="72"/>
  <c r="AU73" i="72"/>
  <c r="AO76" i="127"/>
  <c r="AJ82" i="144"/>
  <c r="AH76" i="144"/>
  <c r="AI7" i="144"/>
  <c r="AK73" i="72"/>
  <c r="AP7" i="76"/>
  <c r="AO76" i="76"/>
  <c r="AY4" i="72"/>
  <c r="AY73" i="72"/>
  <c r="AO76" i="144"/>
  <c r="AC82" i="116"/>
  <c r="AJ82" i="131"/>
  <c r="AF82" i="131"/>
  <c r="AH76" i="126"/>
  <c r="AI7" i="126"/>
  <c r="AO4" i="72"/>
  <c r="AO73" i="72"/>
  <c r="AO76" i="117"/>
  <c r="AO7" i="120"/>
  <c r="AN76" i="120"/>
  <c r="AC82" i="148"/>
  <c r="AD82" i="127"/>
  <c r="AC82" i="146"/>
  <c r="AD82" i="146"/>
  <c r="AI7" i="145"/>
  <c r="AH76" i="145"/>
  <c r="AO76" i="145"/>
  <c r="AZ4" i="72"/>
  <c r="AZ73" i="72"/>
  <c r="AO76" i="119"/>
  <c r="AQ4" i="72"/>
  <c r="AQ73" i="72"/>
  <c r="AL4" i="72"/>
  <c r="AL73" i="72"/>
  <c r="AI76" i="145"/>
  <c r="V4" i="72"/>
  <c r="V73" i="72"/>
  <c r="AO76" i="120"/>
  <c r="AR4" i="72"/>
  <c r="AR73" i="72"/>
  <c r="AH82" i="126"/>
  <c r="U4" i="72"/>
  <c r="U73" i="72"/>
  <c r="AI76" i="144"/>
  <c r="AJ82" i="128"/>
  <c r="AH76" i="128"/>
  <c r="AI7" i="128"/>
  <c r="AO76" i="128"/>
  <c r="AV4" i="72"/>
  <c r="AV73" i="72"/>
  <c r="L4" i="72"/>
  <c r="L73" i="72"/>
  <c r="AI76" i="118"/>
  <c r="AJ7" i="80"/>
  <c r="AI76" i="80"/>
  <c r="AJ82" i="129"/>
  <c r="AH76" i="129"/>
  <c r="AI7" i="129"/>
  <c r="AJ82" i="147"/>
  <c r="AI7" i="147"/>
  <c r="AH76" i="147"/>
  <c r="AM4" i="72"/>
  <c r="AM73" i="72"/>
  <c r="AF82" i="152"/>
  <c r="AH82" i="113"/>
  <c r="AI76" i="117"/>
  <c r="K4" i="72"/>
  <c r="K73" i="72"/>
  <c r="AH82" i="119"/>
  <c r="AF82" i="146"/>
  <c r="BA4" i="72"/>
  <c r="BA73" i="72"/>
  <c r="AO76" i="146"/>
  <c r="AJ82" i="127"/>
  <c r="AH76" i="127"/>
  <c r="AI7" i="127"/>
  <c r="AO76" i="148"/>
  <c r="BC4" i="72"/>
  <c r="BC73" i="72"/>
  <c r="AD82" i="120"/>
  <c r="AI76" i="131"/>
  <c r="T4" i="72"/>
  <c r="T73" i="72"/>
  <c r="AH7" i="116"/>
  <c r="AF76" i="116"/>
  <c r="AJ7" i="116"/>
  <c r="AJ76" i="116"/>
  <c r="AN4" i="72"/>
  <c r="AN73" i="72"/>
  <c r="AO76" i="116"/>
  <c r="AH7" i="114"/>
  <c r="AF77" i="114"/>
  <c r="AJ7" i="114"/>
  <c r="AJ77" i="114"/>
  <c r="AI76" i="149"/>
  <c r="Z4" i="72"/>
  <c r="Z73" i="72"/>
  <c r="AD82" i="148"/>
  <c r="AH82" i="151"/>
  <c r="AH82" i="125"/>
  <c r="AH82" i="153"/>
  <c r="AE82" i="76"/>
  <c r="AO76" i="129"/>
  <c r="AW4" i="72"/>
  <c r="AW73" i="72"/>
  <c r="AJ82" i="115"/>
  <c r="AH76" i="115"/>
  <c r="AI7" i="115"/>
  <c r="AH82" i="145"/>
  <c r="AI76" i="126"/>
  <c r="P4" i="72"/>
  <c r="P73" i="72"/>
  <c r="AP76" i="76"/>
  <c r="BH4" i="72"/>
  <c r="BH73" i="72"/>
  <c r="AH82" i="144"/>
  <c r="AF82" i="128"/>
  <c r="AH82" i="118"/>
  <c r="AK82" i="80"/>
  <c r="AG82" i="80"/>
  <c r="AF82" i="129"/>
  <c r="AF82" i="147"/>
  <c r="BB4" i="72"/>
  <c r="BB73" i="72"/>
  <c r="AO76" i="147"/>
  <c r="AJ82" i="152"/>
  <c r="AH76" i="152"/>
  <c r="AI7" i="152"/>
  <c r="AI76" i="113"/>
  <c r="G4" i="72"/>
  <c r="G73" i="72"/>
  <c r="AH82" i="117"/>
  <c r="AI76" i="119"/>
  <c r="M4" i="72"/>
  <c r="M73" i="72"/>
  <c r="AJ82" i="146"/>
  <c r="AI7" i="146"/>
  <c r="AH76" i="146"/>
  <c r="AF82" i="127"/>
  <c r="AF76" i="120"/>
  <c r="AH7" i="120"/>
  <c r="AJ7" i="120"/>
  <c r="AJ76" i="120"/>
  <c r="AH82" i="131"/>
  <c r="AD82" i="116"/>
  <c r="AD83" i="114"/>
  <c r="AH82" i="149"/>
  <c r="AF76" i="148"/>
  <c r="AH7" i="148"/>
  <c r="AJ7" i="148"/>
  <c r="AJ76" i="148"/>
  <c r="AI76" i="151"/>
  <c r="AA4" i="72"/>
  <c r="AA73" i="72"/>
  <c r="AI76" i="125"/>
  <c r="O4" i="72"/>
  <c r="O73" i="72"/>
  <c r="AC4" i="72"/>
  <c r="AC73" i="72"/>
  <c r="AI76" i="153"/>
  <c r="AI7" i="76"/>
  <c r="AK7" i="76"/>
  <c r="AK76" i="76"/>
  <c r="AG76" i="76"/>
  <c r="AF82" i="115"/>
  <c r="AG82" i="76"/>
  <c r="AI76" i="76"/>
  <c r="AJ7" i="76"/>
  <c r="AI82" i="125"/>
  <c r="AI82" i="151"/>
  <c r="AH76" i="148"/>
  <c r="AI7" i="148"/>
  <c r="AJ82" i="120"/>
  <c r="AF82" i="120"/>
  <c r="W4" i="72"/>
  <c r="W73" i="72"/>
  <c r="AI76" i="146"/>
  <c r="AB4" i="72"/>
  <c r="AB73" i="72"/>
  <c r="AI76" i="152"/>
  <c r="AH82" i="115"/>
  <c r="AI82" i="149"/>
  <c r="AF83" i="114"/>
  <c r="AJ82" i="116"/>
  <c r="AI7" i="116"/>
  <c r="AH76" i="116"/>
  <c r="AI82" i="131"/>
  <c r="Q4" i="72"/>
  <c r="Q73" i="72"/>
  <c r="AI76" i="127"/>
  <c r="AI82" i="117"/>
  <c r="AH82" i="147"/>
  <c r="S4" i="72"/>
  <c r="S73" i="72"/>
  <c r="AI76" i="129"/>
  <c r="AI82" i="80"/>
  <c r="AI82" i="118"/>
  <c r="AI76" i="128"/>
  <c r="R4" i="72"/>
  <c r="R73" i="72"/>
  <c r="AI82" i="144"/>
  <c r="AK82" i="76"/>
  <c r="AI82" i="153"/>
  <c r="AJ82" i="148"/>
  <c r="AF82" i="148"/>
  <c r="AI7" i="120"/>
  <c r="AH76" i="120"/>
  <c r="AH82" i="146"/>
  <c r="AI82" i="119"/>
  <c r="AI82" i="113"/>
  <c r="AH82" i="152"/>
  <c r="AI82" i="126"/>
  <c r="AI76" i="115"/>
  <c r="I4" i="72"/>
  <c r="I73" i="72"/>
  <c r="AJ83" i="114"/>
  <c r="AH77" i="114"/>
  <c r="AI7" i="114"/>
  <c r="AF82" i="116"/>
  <c r="AH82" i="127"/>
  <c r="AI76" i="147"/>
  <c r="X4" i="72"/>
  <c r="X73" i="72"/>
  <c r="AH82" i="129"/>
  <c r="AE4" i="72"/>
  <c r="AE73" i="72"/>
  <c r="AJ76" i="80"/>
  <c r="AH82" i="128"/>
  <c r="AI82" i="145"/>
  <c r="AJ82" i="80"/>
  <c r="AI77" i="114"/>
  <c r="H4" i="72"/>
  <c r="H73" i="72"/>
  <c r="AH82" i="120"/>
  <c r="AI82" i="128"/>
  <c r="AH82" i="116"/>
  <c r="AI82" i="152"/>
  <c r="AI82" i="146"/>
  <c r="Y4" i="72"/>
  <c r="Y73" i="72"/>
  <c r="AI76" i="148"/>
  <c r="AD4" i="72"/>
  <c r="AD73" i="72"/>
  <c r="AJ76" i="76"/>
  <c r="AI82" i="147"/>
  <c r="AH83" i="114"/>
  <c r="AI82" i="115"/>
  <c r="N4" i="72"/>
  <c r="N73" i="72"/>
  <c r="AI76" i="120"/>
  <c r="AI82" i="129"/>
  <c r="AI82" i="127"/>
  <c r="AI76" i="116"/>
  <c r="J4" i="72"/>
  <c r="J73" i="72"/>
  <c r="AH82" i="148"/>
  <c r="AI82" i="76"/>
  <c r="AI82" i="120"/>
  <c r="AI82" i="116"/>
  <c r="AJ82" i="76"/>
  <c r="AI82" i="148"/>
  <c r="AI83" i="114"/>
  <c r="R81" i="76"/>
  <c r="S81" i="76"/>
  <c r="T81" i="76"/>
  <c r="AL81" i="76"/>
  <c r="R81" i="80"/>
  <c r="S81" i="80"/>
  <c r="T81" i="80"/>
  <c r="AL81" i="80"/>
  <c r="Q81" i="117"/>
  <c r="R81" i="117"/>
  <c r="S81" i="117"/>
  <c r="AK81" i="117"/>
  <c r="Q81" i="118"/>
  <c r="R81" i="118"/>
  <c r="S81" i="118"/>
  <c r="AK81" i="118"/>
  <c r="Q81" i="119"/>
  <c r="R81" i="119"/>
  <c r="S81" i="119"/>
  <c r="AK81" i="119"/>
  <c r="Q81" i="120"/>
  <c r="R81" i="120"/>
  <c r="S81" i="120"/>
  <c r="AK81" i="120"/>
  <c r="Q81" i="125"/>
  <c r="R81" i="125"/>
  <c r="S81" i="125"/>
  <c r="AK81" i="125"/>
  <c r="Q81" i="126"/>
  <c r="R81" i="126"/>
  <c r="S81" i="126"/>
  <c r="AK81" i="126"/>
  <c r="Q81" i="127"/>
  <c r="R81" i="127"/>
  <c r="S81" i="127"/>
  <c r="AK81" i="127"/>
  <c r="Q81" i="128"/>
  <c r="R81" i="128"/>
  <c r="S81" i="128"/>
  <c r="AK81" i="128"/>
  <c r="Q81" i="129"/>
  <c r="R81" i="129"/>
  <c r="S81" i="129"/>
  <c r="AK81" i="129"/>
  <c r="Q81" i="131"/>
  <c r="R81" i="131"/>
  <c r="S81" i="131"/>
  <c r="AK81" i="131"/>
  <c r="Q81" i="116"/>
  <c r="R81" i="116"/>
  <c r="S81" i="116"/>
  <c r="AK81" i="116"/>
  <c r="O81" i="140"/>
  <c r="P81" i="140"/>
  <c r="Q81" i="140"/>
  <c r="O81" i="141"/>
  <c r="P81" i="141"/>
  <c r="Q81" i="141"/>
  <c r="Q81" i="115"/>
  <c r="R81" i="115"/>
  <c r="S81" i="115"/>
  <c r="AK81" i="115"/>
  <c r="Q81" i="113"/>
  <c r="R81" i="113"/>
  <c r="S81" i="113"/>
  <c r="AK81" i="113"/>
  <c r="Q82" i="114"/>
  <c r="R82" i="114"/>
  <c r="S82" i="114"/>
  <c r="AK82" i="114"/>
  <c r="O61" i="140"/>
  <c r="P61" i="140"/>
  <c r="Q61" i="140"/>
  <c r="O61" i="141"/>
  <c r="P61" i="141"/>
  <c r="Q61" i="141"/>
  <c r="U45" i="67"/>
  <c r="V45" i="67"/>
  <c r="W45" i="67"/>
  <c r="D43" i="72"/>
  <c r="AF43" i="72"/>
  <c r="Q61" i="144"/>
  <c r="R61" i="144"/>
  <c r="S61" i="144"/>
  <c r="AK61" i="144"/>
  <c r="U70" i="67"/>
  <c r="V70" i="67"/>
  <c r="W70" i="67"/>
  <c r="D68" i="72"/>
  <c r="AF68" i="72"/>
  <c r="U61" i="67"/>
  <c r="V61" i="67"/>
  <c r="W61" i="67"/>
  <c r="D59" i="72"/>
  <c r="AF59" i="72"/>
  <c r="Q74" i="145"/>
  <c r="R74" i="145"/>
  <c r="S74" i="145"/>
  <c r="AK74" i="145"/>
  <c r="Q74" i="152"/>
  <c r="R74" i="152"/>
  <c r="S74" i="152"/>
  <c r="AK74" i="152"/>
  <c r="O74" i="140"/>
  <c r="P74" i="140"/>
  <c r="Q74" i="140"/>
  <c r="O74" i="141"/>
  <c r="P74" i="141"/>
  <c r="Q74" i="141"/>
  <c r="O69" i="140"/>
  <c r="P69" i="140"/>
  <c r="Q69" i="140"/>
  <c r="O38" i="140"/>
  <c r="P38" i="140"/>
  <c r="Q38" i="140"/>
  <c r="Q61" i="148"/>
  <c r="R61" i="148"/>
  <c r="S61" i="148"/>
  <c r="AK61" i="148"/>
  <c r="O40" i="141"/>
  <c r="P40" i="141"/>
  <c r="Q40" i="141"/>
  <c r="Q74" i="148"/>
  <c r="R74" i="148"/>
  <c r="S74" i="148"/>
  <c r="AK74" i="148"/>
  <c r="O38" i="141"/>
  <c r="P38" i="141"/>
  <c r="Q38" i="141"/>
  <c r="Q74" i="146"/>
  <c r="R74" i="146"/>
  <c r="S74" i="146"/>
  <c r="AK74" i="146"/>
  <c r="O13" i="141"/>
  <c r="P13" i="141"/>
  <c r="Q13" i="141"/>
  <c r="O44" i="141"/>
  <c r="P44" i="141"/>
  <c r="Q44" i="141"/>
  <c r="O52" i="140"/>
  <c r="P52" i="140"/>
  <c r="Q52" i="140"/>
  <c r="O51" i="140"/>
  <c r="P51" i="140"/>
  <c r="Q51" i="140"/>
  <c r="O20" i="140"/>
  <c r="P20" i="140"/>
  <c r="Q20" i="140"/>
  <c r="O32" i="140"/>
  <c r="P32" i="140"/>
  <c r="Q32" i="140"/>
  <c r="O11" i="141"/>
  <c r="P11" i="141"/>
  <c r="Q11" i="141"/>
  <c r="O41" i="141"/>
  <c r="P41" i="141"/>
  <c r="Q41" i="141"/>
  <c r="O48" i="141"/>
  <c r="P48" i="141"/>
  <c r="Q48" i="141"/>
  <c r="O24" i="140"/>
  <c r="P24" i="140"/>
  <c r="Q24" i="140"/>
  <c r="O29" i="140"/>
  <c r="P29" i="140"/>
  <c r="Q29" i="140"/>
  <c r="O21" i="140"/>
  <c r="P21" i="140"/>
  <c r="Q21" i="140"/>
  <c r="O26" i="140"/>
  <c r="P26" i="140"/>
  <c r="Q26" i="140"/>
  <c r="O50" i="140"/>
  <c r="P50" i="140"/>
  <c r="Q50" i="140"/>
  <c r="O43" i="140"/>
  <c r="P43" i="140"/>
  <c r="Q43" i="140"/>
  <c r="O47" i="140"/>
  <c r="P47" i="140"/>
  <c r="Q47" i="140"/>
  <c r="O75" i="140"/>
  <c r="P75" i="140"/>
  <c r="Q75" i="140"/>
  <c r="O36" i="140"/>
  <c r="P36" i="140"/>
  <c r="Q36" i="140"/>
  <c r="O27" i="140"/>
  <c r="P27" i="140"/>
  <c r="Q27" i="140"/>
  <c r="O56" i="141"/>
  <c r="P56" i="141"/>
  <c r="Q56" i="141"/>
  <c r="O28" i="140"/>
  <c r="P28" i="140"/>
  <c r="Q28" i="140"/>
  <c r="O30" i="140"/>
  <c r="P30" i="140"/>
  <c r="Q30" i="140"/>
  <c r="O10" i="140"/>
  <c r="P10" i="140"/>
  <c r="Q10" i="140"/>
  <c r="O16" i="141"/>
  <c r="P16" i="141"/>
  <c r="Q16" i="141"/>
  <c r="O65" i="141"/>
  <c r="P65" i="141"/>
  <c r="Q65" i="141"/>
  <c r="O35" i="141"/>
  <c r="P35" i="141"/>
  <c r="Q35" i="141"/>
  <c r="O17" i="141"/>
  <c r="P17" i="141"/>
  <c r="Q17" i="141"/>
  <c r="O68" i="140"/>
  <c r="P68" i="140"/>
  <c r="Q68" i="140"/>
  <c r="O60" i="140"/>
  <c r="P60" i="140"/>
  <c r="Q60" i="140"/>
  <c r="O59" i="140"/>
  <c r="P59" i="140"/>
  <c r="Q59" i="140"/>
  <c r="O13" i="140"/>
  <c r="P13" i="140"/>
  <c r="Q13" i="140"/>
  <c r="O44" i="140"/>
  <c r="P44" i="140"/>
  <c r="Q44" i="140"/>
  <c r="O52" i="141"/>
  <c r="P52" i="141"/>
  <c r="Q52" i="141"/>
  <c r="O51" i="141"/>
  <c r="P51" i="141"/>
  <c r="Q51" i="141"/>
  <c r="O20" i="141"/>
  <c r="P20" i="141"/>
  <c r="Q20" i="141"/>
  <c r="O32" i="141"/>
  <c r="P32" i="141"/>
  <c r="Q32" i="141"/>
  <c r="O11" i="140"/>
  <c r="P11" i="140"/>
  <c r="Q11" i="140"/>
  <c r="O41" i="140"/>
  <c r="P41" i="140"/>
  <c r="Q41" i="140"/>
  <c r="O48" i="140"/>
  <c r="P48" i="140"/>
  <c r="Q48" i="140"/>
  <c r="O24" i="141"/>
  <c r="P24" i="141"/>
  <c r="Q24" i="141"/>
  <c r="O29" i="141"/>
  <c r="P29" i="141"/>
  <c r="Q29" i="141"/>
  <c r="O21" i="141"/>
  <c r="P21" i="141"/>
  <c r="Q21" i="141"/>
  <c r="O26" i="141"/>
  <c r="P26" i="141"/>
  <c r="Q26" i="141"/>
  <c r="O50" i="141"/>
  <c r="P50" i="141"/>
  <c r="Q50" i="141"/>
  <c r="O43" i="141"/>
  <c r="P43" i="141"/>
  <c r="Q43" i="141"/>
  <c r="O37" i="141"/>
  <c r="P37" i="141"/>
  <c r="Q37" i="141"/>
  <c r="O47" i="141"/>
  <c r="P47" i="141"/>
  <c r="Q47" i="141"/>
  <c r="O75" i="141"/>
  <c r="P75" i="141"/>
  <c r="Q75" i="141"/>
  <c r="O36" i="141"/>
  <c r="P36" i="141"/>
  <c r="Q36" i="141"/>
  <c r="O27" i="141"/>
  <c r="P27" i="141"/>
  <c r="Q27" i="141"/>
  <c r="O56" i="140"/>
  <c r="P56" i="140"/>
  <c r="Q56" i="140"/>
  <c r="O28" i="141"/>
  <c r="P28" i="141"/>
  <c r="Q28" i="141"/>
  <c r="O30" i="141"/>
  <c r="P30" i="141"/>
  <c r="Q30" i="141"/>
  <c r="O10" i="141"/>
  <c r="P10" i="141"/>
  <c r="Q10" i="141"/>
  <c r="O65" i="140"/>
  <c r="P65" i="140"/>
  <c r="Q65" i="140"/>
  <c r="O35" i="140"/>
  <c r="P35" i="140"/>
  <c r="Q35" i="140"/>
  <c r="O17" i="140"/>
  <c r="P17" i="140"/>
  <c r="Q17" i="140"/>
  <c r="O68" i="141"/>
  <c r="P68" i="141"/>
  <c r="Q68" i="141"/>
  <c r="O60" i="141"/>
  <c r="P60" i="141"/>
  <c r="Q60" i="141"/>
  <c r="O59" i="141"/>
  <c r="P59" i="141"/>
  <c r="Q59" i="141"/>
  <c r="O22" i="141"/>
  <c r="P22" i="141"/>
  <c r="Q22" i="141"/>
  <c r="O22" i="140"/>
  <c r="P22" i="140"/>
  <c r="Q22" i="140"/>
  <c r="O46" i="141"/>
  <c r="P46" i="141"/>
  <c r="Q46" i="141"/>
  <c r="O46" i="140"/>
  <c r="P46" i="140"/>
  <c r="Q46" i="140"/>
  <c r="Q61" i="145"/>
  <c r="R61" i="145"/>
  <c r="S61" i="145"/>
  <c r="AK61" i="145"/>
  <c r="Q74" i="151"/>
  <c r="R74" i="151"/>
  <c r="S74" i="151"/>
  <c r="AK74" i="151"/>
  <c r="Q74" i="147"/>
  <c r="R74" i="147"/>
  <c r="S74" i="147"/>
  <c r="AK74" i="147"/>
  <c r="Q74" i="149"/>
  <c r="R74" i="149"/>
  <c r="S74" i="149"/>
  <c r="AK74" i="149"/>
  <c r="Q61" i="147"/>
  <c r="R61" i="147"/>
  <c r="S61" i="147"/>
  <c r="AK61" i="147"/>
  <c r="Q61" i="151"/>
  <c r="R61" i="151"/>
  <c r="S61" i="151"/>
  <c r="AK61" i="151"/>
  <c r="Q61" i="152"/>
  <c r="R61" i="152"/>
  <c r="S61" i="152"/>
  <c r="AK61" i="152"/>
  <c r="Q74" i="153"/>
  <c r="R74" i="153"/>
  <c r="S74" i="153"/>
  <c r="AK74" i="153"/>
  <c r="Q61" i="149"/>
  <c r="R61" i="149"/>
  <c r="S61" i="149"/>
  <c r="AK61" i="149"/>
  <c r="Q61" i="153"/>
  <c r="R61" i="153"/>
  <c r="S61" i="153"/>
  <c r="AK61" i="153"/>
  <c r="Q61" i="146"/>
  <c r="R61" i="146"/>
  <c r="S61" i="146"/>
  <c r="AK61" i="146"/>
  <c r="U21" i="67"/>
  <c r="V21" i="67"/>
  <c r="W21" i="67"/>
  <c r="D19" i="72"/>
  <c r="AF19" i="72"/>
  <c r="U73" i="67"/>
  <c r="V73" i="67"/>
  <c r="W73" i="67"/>
  <c r="D71" i="72"/>
  <c r="AF71" i="72"/>
  <c r="U62" i="67"/>
  <c r="V62" i="67"/>
  <c r="W62" i="67"/>
  <c r="D60" i="72"/>
  <c r="AF60" i="72"/>
  <c r="U44" i="67"/>
  <c r="V44" i="67"/>
  <c r="W44" i="67"/>
  <c r="D42" i="72"/>
  <c r="AF42" i="72"/>
  <c r="U33" i="67"/>
  <c r="V33" i="67"/>
  <c r="W33" i="67"/>
  <c r="D31" i="72"/>
  <c r="AF31" i="72"/>
  <c r="U60" i="67"/>
  <c r="V60" i="67"/>
  <c r="W60" i="67"/>
  <c r="D58" i="72"/>
  <c r="AF58" i="72"/>
  <c r="U11" i="67"/>
  <c r="V11" i="67"/>
  <c r="W11" i="67"/>
  <c r="D9" i="72"/>
  <c r="AF9" i="72"/>
  <c r="Q74" i="144"/>
  <c r="R74" i="144"/>
  <c r="S74" i="144"/>
  <c r="AK74" i="144"/>
  <c r="O55" i="140"/>
  <c r="P55" i="140"/>
  <c r="Q55" i="140"/>
  <c r="O64" i="140"/>
  <c r="P64" i="140"/>
  <c r="Q64" i="140"/>
  <c r="O49" i="140"/>
  <c r="P49" i="140"/>
  <c r="Q49" i="140"/>
  <c r="O40" i="140"/>
  <c r="P40" i="140"/>
  <c r="Q40" i="140"/>
  <c r="Q74" i="129"/>
  <c r="R74" i="129"/>
  <c r="S74" i="129"/>
  <c r="AK74" i="129"/>
  <c r="Q59" i="129"/>
  <c r="R59" i="129"/>
  <c r="S59" i="129"/>
  <c r="AK59" i="129"/>
  <c r="Q42" i="152"/>
  <c r="R42" i="152"/>
  <c r="S42" i="152"/>
  <c r="AK42" i="152"/>
  <c r="Q55" i="152"/>
  <c r="R55" i="152"/>
  <c r="S55" i="152"/>
  <c r="AK55" i="152"/>
  <c r="Q55" i="151"/>
  <c r="R55" i="151"/>
  <c r="S55" i="151"/>
  <c r="AK55" i="151"/>
  <c r="Q49" i="146"/>
  <c r="R49" i="146"/>
  <c r="S49" i="146"/>
  <c r="AK49" i="146"/>
  <c r="Q21" i="144"/>
  <c r="R21" i="144"/>
  <c r="S21" i="144"/>
  <c r="AK21" i="144"/>
  <c r="Q37" i="144"/>
  <c r="R37" i="144"/>
  <c r="S37" i="144"/>
  <c r="AK37" i="144"/>
  <c r="Q40" i="149"/>
  <c r="R40" i="149"/>
  <c r="S40" i="149"/>
  <c r="AK40" i="149"/>
  <c r="Q64" i="144"/>
  <c r="R64" i="144"/>
  <c r="S64" i="144"/>
  <c r="AK64" i="144"/>
  <c r="Q69" i="144"/>
  <c r="R69" i="144"/>
  <c r="S69" i="144"/>
  <c r="AK69" i="144"/>
  <c r="O53" i="140"/>
  <c r="P53" i="140"/>
  <c r="Q53" i="140"/>
  <c r="O64" i="141"/>
  <c r="P64" i="141"/>
  <c r="Q64" i="141"/>
  <c r="O53" i="141"/>
  <c r="P53" i="141"/>
  <c r="Q53" i="141"/>
  <c r="Q22" i="129"/>
  <c r="R22" i="129"/>
  <c r="S22" i="129"/>
  <c r="AK22" i="129"/>
  <c r="Q61" i="129"/>
  <c r="R61" i="129"/>
  <c r="S61" i="129"/>
  <c r="AK61" i="129"/>
  <c r="Q55" i="153"/>
  <c r="R55" i="153"/>
  <c r="S55" i="153"/>
  <c r="AK55" i="153"/>
  <c r="Q49" i="151"/>
  <c r="R49" i="151"/>
  <c r="S49" i="151"/>
  <c r="AK49" i="151"/>
  <c r="Q40" i="144"/>
  <c r="R40" i="144"/>
  <c r="S40" i="144"/>
  <c r="AK40" i="144"/>
  <c r="Q42" i="147"/>
  <c r="R42" i="147"/>
  <c r="S42" i="147"/>
  <c r="AK42" i="147"/>
  <c r="Q38" i="152"/>
  <c r="R38" i="152"/>
  <c r="S38" i="152"/>
  <c r="AK38" i="152"/>
  <c r="Q46" i="129"/>
  <c r="R46" i="129"/>
  <c r="S46" i="129"/>
  <c r="AK46" i="129"/>
  <c r="O55" i="141"/>
  <c r="P55" i="141"/>
  <c r="Q55" i="141"/>
  <c r="O69" i="141"/>
  <c r="P69" i="141"/>
  <c r="Q69" i="141"/>
  <c r="O49" i="141"/>
  <c r="P49" i="141"/>
  <c r="Q49" i="141"/>
  <c r="O42" i="140"/>
  <c r="P42" i="140"/>
  <c r="Q42" i="140"/>
  <c r="O42" i="141"/>
  <c r="P42" i="141"/>
  <c r="Q42" i="141"/>
  <c r="Q49" i="144"/>
  <c r="R49" i="144"/>
  <c r="S49" i="144"/>
  <c r="AK49" i="144"/>
  <c r="O8" i="140"/>
  <c r="P8" i="140"/>
  <c r="Q8" i="140"/>
  <c r="O14" i="140"/>
  <c r="P14" i="140"/>
  <c r="Q14" i="140"/>
  <c r="O73" i="140"/>
  <c r="P73" i="140"/>
  <c r="Q73" i="140"/>
  <c r="O18" i="140"/>
  <c r="P18" i="140"/>
  <c r="Q18" i="140"/>
  <c r="O39" i="141"/>
  <c r="P39" i="141"/>
  <c r="Q39" i="141"/>
  <c r="Q55" i="144"/>
  <c r="R55" i="144"/>
  <c r="S55" i="144"/>
  <c r="AK55" i="144"/>
  <c r="O19" i="141"/>
  <c r="P19" i="141"/>
  <c r="Q19" i="141"/>
  <c r="O9" i="141"/>
  <c r="P9" i="141"/>
  <c r="Q9" i="141"/>
  <c r="O25" i="140"/>
  <c r="P25" i="140"/>
  <c r="Q25" i="140"/>
  <c r="O31" i="140"/>
  <c r="P31" i="140"/>
  <c r="Q31" i="140"/>
  <c r="O23" i="140"/>
  <c r="P23" i="140"/>
  <c r="Q23" i="140"/>
  <c r="O71" i="141"/>
  <c r="P71" i="141"/>
  <c r="Q71" i="141"/>
  <c r="O71" i="140"/>
  <c r="P71" i="140"/>
  <c r="Q71" i="140"/>
  <c r="O62" i="140"/>
  <c r="P62" i="140"/>
  <c r="Q62" i="140"/>
  <c r="O62" i="141"/>
  <c r="P62" i="141"/>
  <c r="Q62" i="141"/>
  <c r="Q64" i="147"/>
  <c r="R64" i="147"/>
  <c r="S64" i="147"/>
  <c r="AK64" i="147"/>
  <c r="O16" i="140"/>
  <c r="P16" i="140"/>
  <c r="Q16" i="140"/>
  <c r="O37" i="140"/>
  <c r="P37" i="140"/>
  <c r="Q37" i="140"/>
  <c r="Q53" i="152"/>
  <c r="R53" i="152"/>
  <c r="S53" i="152"/>
  <c r="AK53" i="152"/>
  <c r="O12" i="141"/>
  <c r="P12" i="141"/>
  <c r="Q12" i="141"/>
  <c r="O58" i="141"/>
  <c r="P58" i="141"/>
  <c r="Q58" i="141"/>
  <c r="O58" i="140"/>
  <c r="P58" i="140"/>
  <c r="Q58" i="140"/>
  <c r="O34" i="141"/>
  <c r="P34" i="141"/>
  <c r="Q34" i="141"/>
  <c r="O63" i="141"/>
  <c r="P63" i="141"/>
  <c r="Q63" i="141"/>
  <c r="O63" i="140"/>
  <c r="P63" i="140"/>
  <c r="Q63" i="140"/>
  <c r="O70" i="140"/>
  <c r="P70" i="140"/>
  <c r="Q70" i="140"/>
  <c r="O70" i="141"/>
  <c r="P70" i="141"/>
  <c r="Q70" i="141"/>
  <c r="O12" i="140"/>
  <c r="P12" i="140"/>
  <c r="Q12" i="140"/>
  <c r="O34" i="140"/>
  <c r="P34" i="140"/>
  <c r="Q34" i="140"/>
  <c r="Q69" i="148"/>
  <c r="R69" i="148"/>
  <c r="S69" i="148"/>
  <c r="AK69" i="148"/>
  <c r="O23" i="141"/>
  <c r="P23" i="141"/>
  <c r="Q23" i="141"/>
  <c r="O45" i="141"/>
  <c r="P45" i="141"/>
  <c r="Q45" i="141"/>
  <c r="O45" i="140"/>
  <c r="P45" i="140"/>
  <c r="Q45" i="140"/>
  <c r="Q29" i="144"/>
  <c r="R29" i="144"/>
  <c r="S29" i="144"/>
  <c r="AK29" i="144"/>
  <c r="Q40" i="151"/>
  <c r="R40" i="151"/>
  <c r="S40" i="151"/>
  <c r="AK40" i="151"/>
  <c r="Q64" i="153"/>
  <c r="R64" i="153"/>
  <c r="S64" i="153"/>
  <c r="AK64" i="153"/>
  <c r="Q64" i="148"/>
  <c r="R64" i="148"/>
  <c r="S64" i="148"/>
  <c r="AK64" i="148"/>
  <c r="Q38" i="151"/>
  <c r="R38" i="151"/>
  <c r="S38" i="151"/>
  <c r="AK38" i="151"/>
  <c r="Q49" i="148"/>
  <c r="R49" i="148"/>
  <c r="S49" i="148"/>
  <c r="AK49" i="148"/>
  <c r="Q49" i="152"/>
  <c r="R49" i="152"/>
  <c r="S49" i="152"/>
  <c r="AK49" i="152"/>
  <c r="Q11" i="144"/>
  <c r="R11" i="144"/>
  <c r="S11" i="144"/>
  <c r="AK11" i="144"/>
  <c r="Q64" i="146"/>
  <c r="R64" i="146"/>
  <c r="S64" i="146"/>
  <c r="AK64" i="146"/>
  <c r="Q64" i="151"/>
  <c r="R64" i="151"/>
  <c r="S64" i="151"/>
  <c r="AK64" i="151"/>
  <c r="Q69" i="146"/>
  <c r="R69" i="146"/>
  <c r="S69" i="146"/>
  <c r="AK69" i="146"/>
  <c r="Q69" i="149"/>
  <c r="R69" i="149"/>
  <c r="S69" i="149"/>
  <c r="AK69" i="149"/>
  <c r="Q69" i="153"/>
  <c r="R69" i="153"/>
  <c r="S69" i="153"/>
  <c r="AK69" i="153"/>
  <c r="Q55" i="148"/>
  <c r="R55" i="148"/>
  <c r="S55" i="148"/>
  <c r="AK55" i="148"/>
  <c r="Q38" i="153"/>
  <c r="R38" i="153"/>
  <c r="S38" i="153"/>
  <c r="AK38" i="153"/>
  <c r="Q49" i="149"/>
  <c r="R49" i="149"/>
  <c r="S49" i="149"/>
  <c r="AK49" i="149"/>
  <c r="Q64" i="145"/>
  <c r="R64" i="145"/>
  <c r="S64" i="145"/>
  <c r="AK64" i="145"/>
  <c r="Q42" i="148"/>
  <c r="R42" i="148"/>
  <c r="S42" i="148"/>
  <c r="AK42" i="148"/>
  <c r="Q53" i="145"/>
  <c r="R53" i="145"/>
  <c r="S53" i="145"/>
  <c r="AK53" i="145"/>
  <c r="Q69" i="152"/>
  <c r="R69" i="152"/>
  <c r="S69" i="152"/>
  <c r="AK69" i="152"/>
  <c r="Q55" i="145"/>
  <c r="R55" i="145"/>
  <c r="S55" i="145"/>
  <c r="AK55" i="145"/>
  <c r="Q38" i="148"/>
  <c r="R38" i="148"/>
  <c r="S38" i="148"/>
  <c r="AK38" i="148"/>
  <c r="Q64" i="149"/>
  <c r="R64" i="149"/>
  <c r="S64" i="149"/>
  <c r="AK64" i="149"/>
  <c r="Q40" i="153"/>
  <c r="R40" i="153"/>
  <c r="S40" i="153"/>
  <c r="AK40" i="153"/>
  <c r="Q53" i="148"/>
  <c r="R53" i="148"/>
  <c r="S53" i="148"/>
  <c r="AK53" i="148"/>
  <c r="Q69" i="145"/>
  <c r="R69" i="145"/>
  <c r="S69" i="145"/>
  <c r="AK69" i="145"/>
  <c r="Q69" i="151"/>
  <c r="R69" i="151"/>
  <c r="S69" i="151"/>
  <c r="AK69" i="151"/>
  <c r="Q55" i="146"/>
  <c r="R55" i="146"/>
  <c r="S55" i="146"/>
  <c r="AK55" i="146"/>
  <c r="Q55" i="149"/>
  <c r="R55" i="149"/>
  <c r="S55" i="149"/>
  <c r="AK55" i="149"/>
  <c r="Q49" i="145"/>
  <c r="R49" i="145"/>
  <c r="S49" i="145"/>
  <c r="AK49" i="145"/>
  <c r="Q49" i="153"/>
  <c r="R49" i="153"/>
  <c r="S49" i="153"/>
  <c r="AK49" i="153"/>
  <c r="Q64" i="152"/>
  <c r="R64" i="152"/>
  <c r="S64" i="152"/>
  <c r="AK64" i="152"/>
  <c r="Q42" i="151"/>
  <c r="R42" i="151"/>
  <c r="S42" i="151"/>
  <c r="AK42" i="151"/>
  <c r="Q69" i="147"/>
  <c r="R69" i="147"/>
  <c r="S69" i="147"/>
  <c r="AK69" i="147"/>
  <c r="Q55" i="147"/>
  <c r="R55" i="147"/>
  <c r="S55" i="147"/>
  <c r="AK55" i="147"/>
  <c r="Q38" i="146"/>
  <c r="R38" i="146"/>
  <c r="S38" i="146"/>
  <c r="AK38" i="146"/>
  <c r="Q49" i="147"/>
  <c r="R49" i="147"/>
  <c r="S49" i="147"/>
  <c r="AK49" i="147"/>
  <c r="Q75" i="144"/>
  <c r="R75" i="144"/>
  <c r="S75" i="144"/>
  <c r="AK75" i="144"/>
  <c r="Q17" i="144"/>
  <c r="R17" i="144"/>
  <c r="S17" i="144"/>
  <c r="AK17" i="144"/>
  <c r="Q50" i="144"/>
  <c r="R50" i="144"/>
  <c r="S50" i="144"/>
  <c r="AK50" i="144"/>
  <c r="Q13" i="144"/>
  <c r="R13" i="144"/>
  <c r="S13" i="144"/>
  <c r="AK13" i="144"/>
  <c r="Q43" i="144"/>
  <c r="R43" i="144"/>
  <c r="S43" i="144"/>
  <c r="AK43" i="144"/>
  <c r="U63" i="67"/>
  <c r="V63" i="67"/>
  <c r="W63" i="67"/>
  <c r="D61" i="72"/>
  <c r="AF61" i="72"/>
  <c r="U42" i="67"/>
  <c r="V42" i="67"/>
  <c r="W42" i="67"/>
  <c r="D40" i="72"/>
  <c r="AF40" i="72"/>
  <c r="U37" i="67"/>
  <c r="V37" i="67"/>
  <c r="W37" i="67"/>
  <c r="D35" i="72"/>
  <c r="AF35" i="72"/>
  <c r="U26" i="67"/>
  <c r="V26" i="67"/>
  <c r="W26" i="67"/>
  <c r="D24" i="72"/>
  <c r="AF24" i="72"/>
  <c r="U23" i="67"/>
  <c r="V23" i="67"/>
  <c r="W23" i="67"/>
  <c r="D21" i="72"/>
  <c r="AF21" i="72"/>
  <c r="U22" i="67"/>
  <c r="V22" i="67"/>
  <c r="W22" i="67"/>
  <c r="D20" i="72"/>
  <c r="AF20" i="72"/>
  <c r="U16" i="67"/>
  <c r="V16" i="67"/>
  <c r="W16" i="67"/>
  <c r="D14" i="72"/>
  <c r="AF14" i="72"/>
  <c r="U46" i="67"/>
  <c r="V46" i="67"/>
  <c r="W46" i="67"/>
  <c r="D44" i="72"/>
  <c r="AF44" i="72"/>
  <c r="U58" i="67"/>
  <c r="V58" i="67"/>
  <c r="W58" i="67"/>
  <c r="D56" i="72"/>
  <c r="AF56" i="72"/>
  <c r="U57" i="67"/>
  <c r="V57" i="67"/>
  <c r="W57" i="67"/>
  <c r="D55" i="72"/>
  <c r="AF55" i="72"/>
  <c r="U71" i="67"/>
  <c r="V71" i="67"/>
  <c r="W71" i="67"/>
  <c r="D69" i="72"/>
  <c r="AF69" i="72"/>
  <c r="U28" i="67"/>
  <c r="V28" i="67"/>
  <c r="W28" i="67"/>
  <c r="D26" i="72"/>
  <c r="AF26" i="72"/>
  <c r="U52" i="67"/>
  <c r="V52" i="67"/>
  <c r="W52" i="67"/>
  <c r="D50" i="72"/>
  <c r="AF50" i="72"/>
  <c r="Q38" i="129"/>
  <c r="R38" i="129"/>
  <c r="S38" i="129"/>
  <c r="AK38" i="129"/>
  <c r="Q70" i="129"/>
  <c r="R70" i="129"/>
  <c r="S70" i="129"/>
  <c r="AK70" i="129"/>
  <c r="Q55" i="129"/>
  <c r="R55" i="129"/>
  <c r="S55" i="129"/>
  <c r="AK55" i="129"/>
  <c r="Q49" i="129"/>
  <c r="R49" i="129"/>
  <c r="S49" i="129"/>
  <c r="AK49" i="129"/>
  <c r="Q62" i="129"/>
  <c r="R62" i="129"/>
  <c r="S62" i="129"/>
  <c r="AK62" i="129"/>
  <c r="Q53" i="129"/>
  <c r="R53" i="129"/>
  <c r="S53" i="129"/>
  <c r="AK53" i="129"/>
  <c r="Q69" i="129"/>
  <c r="R69" i="129"/>
  <c r="S69" i="129"/>
  <c r="AK69" i="129"/>
  <c r="Q23" i="148"/>
  <c r="R23" i="148"/>
  <c r="S23" i="148"/>
  <c r="AK23" i="148"/>
  <c r="Q13" i="145"/>
  <c r="R13" i="145"/>
  <c r="S13" i="145"/>
  <c r="AK13" i="145"/>
  <c r="Q56" i="148"/>
  <c r="R56" i="148"/>
  <c r="S56" i="148"/>
  <c r="AK56" i="148"/>
  <c r="Q19" i="148"/>
  <c r="R19" i="148"/>
  <c r="S19" i="148"/>
  <c r="AK19" i="148"/>
  <c r="Q32" i="152"/>
  <c r="R32" i="152"/>
  <c r="S32" i="152"/>
  <c r="AK32" i="152"/>
  <c r="Q48" i="152"/>
  <c r="R48" i="152"/>
  <c r="S48" i="152"/>
  <c r="AK48" i="152"/>
  <c r="Q24" i="151"/>
  <c r="R24" i="151"/>
  <c r="S24" i="151"/>
  <c r="AK24" i="151"/>
  <c r="Q46" i="147"/>
  <c r="R46" i="147"/>
  <c r="S46" i="147"/>
  <c r="AK46" i="147"/>
  <c r="Q36" i="149"/>
  <c r="R36" i="149"/>
  <c r="S36" i="149"/>
  <c r="AK36" i="149"/>
  <c r="Q14" i="146"/>
  <c r="R14" i="146"/>
  <c r="S14" i="146"/>
  <c r="AK14" i="146"/>
  <c r="Q14" i="149"/>
  <c r="R14" i="149"/>
  <c r="S14" i="149"/>
  <c r="AK14" i="149"/>
  <c r="Q28" i="149"/>
  <c r="R28" i="149"/>
  <c r="S28" i="149"/>
  <c r="AK28" i="149"/>
  <c r="Q10" i="149"/>
  <c r="R10" i="149"/>
  <c r="S10" i="149"/>
  <c r="AK10" i="149"/>
  <c r="Q65" i="147"/>
  <c r="R65" i="147"/>
  <c r="S65" i="147"/>
  <c r="AK65" i="147"/>
  <c r="Q35" i="149"/>
  <c r="R35" i="149"/>
  <c r="S35" i="149"/>
  <c r="AK35" i="149"/>
  <c r="Q17" i="146"/>
  <c r="R17" i="146"/>
  <c r="S17" i="146"/>
  <c r="AK17" i="146"/>
  <c r="Q8" i="146"/>
  <c r="R8" i="146"/>
  <c r="S8" i="146"/>
  <c r="AK8" i="146"/>
  <c r="Q68" i="146"/>
  <c r="R68" i="146"/>
  <c r="S68" i="146"/>
  <c r="AK68" i="146"/>
  <c r="Q68" i="149"/>
  <c r="R68" i="149"/>
  <c r="S68" i="149"/>
  <c r="AK68" i="149"/>
  <c r="Q57" i="149"/>
  <c r="R57" i="149"/>
  <c r="S57" i="149"/>
  <c r="AK57" i="149"/>
  <c r="Q54" i="149"/>
  <c r="R54" i="149"/>
  <c r="S54" i="149"/>
  <c r="AK54" i="149"/>
  <c r="Q29" i="149"/>
  <c r="R29" i="149"/>
  <c r="S29" i="149"/>
  <c r="AK29" i="149"/>
  <c r="Q66" i="146"/>
  <c r="R66" i="146"/>
  <c r="S66" i="146"/>
  <c r="AK66" i="146"/>
  <c r="Q66" i="151"/>
  <c r="R66" i="151"/>
  <c r="S66" i="151"/>
  <c r="AK66" i="151"/>
  <c r="Q26" i="149"/>
  <c r="R26" i="149"/>
  <c r="S26" i="149"/>
  <c r="AK26" i="149"/>
  <c r="Q50" i="151"/>
  <c r="R50" i="151"/>
  <c r="S50" i="151"/>
  <c r="AK50" i="151"/>
  <c r="Q37" i="149"/>
  <c r="R37" i="149"/>
  <c r="S37" i="149"/>
  <c r="AK37" i="149"/>
  <c r="Q59" i="149"/>
  <c r="R59" i="149"/>
  <c r="S59" i="149"/>
  <c r="AK59" i="149"/>
  <c r="Q22" i="145"/>
  <c r="R22" i="145"/>
  <c r="S22" i="145"/>
  <c r="AK22" i="145"/>
  <c r="Q62" i="148"/>
  <c r="R62" i="148"/>
  <c r="S62" i="148"/>
  <c r="AK62" i="148"/>
  <c r="Q23" i="145"/>
  <c r="R23" i="145"/>
  <c r="S23" i="145"/>
  <c r="AK23" i="145"/>
  <c r="Q56" i="146"/>
  <c r="R56" i="146"/>
  <c r="S56" i="146"/>
  <c r="AK56" i="146"/>
  <c r="Q56" i="151"/>
  <c r="R56" i="151"/>
  <c r="S56" i="151"/>
  <c r="AK56" i="151"/>
  <c r="Q44" i="149"/>
  <c r="R44" i="149"/>
  <c r="S44" i="149"/>
  <c r="AK44" i="149"/>
  <c r="Q52" i="148"/>
  <c r="R52" i="148"/>
  <c r="S52" i="148"/>
  <c r="AK52" i="148"/>
  <c r="Q20" i="145"/>
  <c r="R20" i="145"/>
  <c r="S20" i="145"/>
  <c r="AK20" i="145"/>
  <c r="Q20" i="153"/>
  <c r="R20" i="153"/>
  <c r="S20" i="153"/>
  <c r="AK20" i="153"/>
  <c r="Q67" i="153"/>
  <c r="R67" i="153"/>
  <c r="S67" i="153"/>
  <c r="AK67" i="153"/>
  <c r="Q36" i="146"/>
  <c r="R36" i="146"/>
  <c r="S36" i="146"/>
  <c r="AK36" i="146"/>
  <c r="Q27" i="148"/>
  <c r="R27" i="148"/>
  <c r="S27" i="148"/>
  <c r="AK27" i="148"/>
  <c r="Q10" i="151"/>
  <c r="R10" i="151"/>
  <c r="S10" i="151"/>
  <c r="AK10" i="151"/>
  <c r="Q35" i="151"/>
  <c r="R35" i="151"/>
  <c r="S35" i="151"/>
  <c r="AK35" i="151"/>
  <c r="Q68" i="152"/>
  <c r="R68" i="152"/>
  <c r="S68" i="152"/>
  <c r="AK68" i="152"/>
  <c r="Q47" i="145"/>
  <c r="R47" i="145"/>
  <c r="S47" i="145"/>
  <c r="AK47" i="145"/>
  <c r="Q54" i="152"/>
  <c r="R54" i="152"/>
  <c r="S54" i="152"/>
  <c r="AK54" i="152"/>
  <c r="Q29" i="148"/>
  <c r="R29" i="148"/>
  <c r="S29" i="148"/>
  <c r="AK29" i="148"/>
  <c r="Q26" i="145"/>
  <c r="R26" i="145"/>
  <c r="S26" i="145"/>
  <c r="AK26" i="145"/>
  <c r="Q50" i="147"/>
  <c r="R50" i="147"/>
  <c r="S50" i="147"/>
  <c r="AK50" i="147"/>
  <c r="Q37" i="146"/>
  <c r="R37" i="146"/>
  <c r="S37" i="146"/>
  <c r="AK37" i="146"/>
  <c r="Q37" i="151"/>
  <c r="R37" i="151"/>
  <c r="S37" i="151"/>
  <c r="AK37" i="151"/>
  <c r="Q25" i="148"/>
  <c r="R25" i="148"/>
  <c r="S25" i="148"/>
  <c r="AK25" i="148"/>
  <c r="Q31" i="148"/>
  <c r="R31" i="148"/>
  <c r="S31" i="148"/>
  <c r="AK31" i="148"/>
  <c r="Q33" i="149"/>
  <c r="R33" i="149"/>
  <c r="S33" i="149"/>
  <c r="AK33" i="149"/>
  <c r="Q39" i="144"/>
  <c r="R39" i="144"/>
  <c r="S39" i="144"/>
  <c r="AK39" i="144"/>
  <c r="Q54" i="146"/>
  <c r="R54" i="146"/>
  <c r="S54" i="146"/>
  <c r="AK54" i="146"/>
  <c r="Q33" i="146"/>
  <c r="R33" i="146"/>
  <c r="S33" i="146"/>
  <c r="AK33" i="146"/>
  <c r="Q39" i="151"/>
  <c r="R39" i="151"/>
  <c r="S39" i="151"/>
  <c r="AK39" i="151"/>
  <c r="Q33" i="151"/>
  <c r="R33" i="151"/>
  <c r="S33" i="151"/>
  <c r="AK33" i="151"/>
  <c r="Q18" i="153"/>
  <c r="R18" i="153"/>
  <c r="S18" i="153"/>
  <c r="AK18" i="153"/>
  <c r="Q66" i="144"/>
  <c r="R66" i="144"/>
  <c r="S66" i="144"/>
  <c r="AK66" i="144"/>
  <c r="O19" i="140"/>
  <c r="P19" i="140"/>
  <c r="Q19" i="140"/>
  <c r="O67" i="140"/>
  <c r="P67" i="140"/>
  <c r="Q67" i="140"/>
  <c r="O39" i="140"/>
  <c r="P39" i="140"/>
  <c r="Q39" i="140"/>
  <c r="O33" i="140"/>
  <c r="P33" i="140"/>
  <c r="Q33" i="140"/>
  <c r="O9" i="140"/>
  <c r="P9" i="140"/>
  <c r="Q9" i="140"/>
  <c r="O66" i="140"/>
  <c r="P66" i="140"/>
  <c r="Q66" i="140"/>
  <c r="O54" i="140"/>
  <c r="P54" i="140"/>
  <c r="Q54" i="140"/>
  <c r="O72" i="140"/>
  <c r="P72" i="140"/>
  <c r="Q72" i="140"/>
  <c r="O8" i="141"/>
  <c r="P8" i="141"/>
  <c r="Q8" i="141"/>
  <c r="O14" i="141"/>
  <c r="P14" i="141"/>
  <c r="Q14" i="141"/>
  <c r="O18" i="141"/>
  <c r="P18" i="141"/>
  <c r="Q18" i="141"/>
  <c r="O66" i="141"/>
  <c r="P66" i="141"/>
  <c r="Q66" i="141"/>
  <c r="O31" i="141"/>
  <c r="P31" i="141"/>
  <c r="Q31" i="141"/>
  <c r="O54" i="141"/>
  <c r="P54" i="141"/>
  <c r="Q54" i="141"/>
  <c r="Q23" i="129"/>
  <c r="R23" i="129"/>
  <c r="S23" i="129"/>
  <c r="AK23" i="129"/>
  <c r="Q40" i="129"/>
  <c r="R40" i="129"/>
  <c r="S40" i="129"/>
  <c r="AK40" i="129"/>
  <c r="Q64" i="129"/>
  <c r="R64" i="129"/>
  <c r="S64" i="129"/>
  <c r="AK64" i="129"/>
  <c r="Q42" i="129"/>
  <c r="R42" i="129"/>
  <c r="S42" i="129"/>
  <c r="AK42" i="129"/>
  <c r="Q31" i="129"/>
  <c r="R31" i="129"/>
  <c r="S31" i="129"/>
  <c r="AK31" i="129"/>
  <c r="Q59" i="144"/>
  <c r="R59" i="144"/>
  <c r="S59" i="144"/>
  <c r="AK59" i="144"/>
  <c r="Q22" i="149"/>
  <c r="R22" i="149"/>
  <c r="S22" i="149"/>
  <c r="AK22" i="149"/>
  <c r="Q13" i="147"/>
  <c r="R13" i="147"/>
  <c r="S13" i="147"/>
  <c r="AK13" i="147"/>
  <c r="Q44" i="148"/>
  <c r="R44" i="148"/>
  <c r="S44" i="148"/>
  <c r="AK44" i="148"/>
  <c r="Q32" i="146"/>
  <c r="R32" i="146"/>
  <c r="S32" i="146"/>
  <c r="AK32" i="146"/>
  <c r="Q11" i="147"/>
  <c r="R11" i="147"/>
  <c r="S11" i="147"/>
  <c r="AK11" i="147"/>
  <c r="Q41" i="146"/>
  <c r="R41" i="146"/>
  <c r="S41" i="146"/>
  <c r="AK41" i="146"/>
  <c r="Q41" i="151"/>
  <c r="R41" i="151"/>
  <c r="S41" i="151"/>
  <c r="AK41" i="151"/>
  <c r="Q73" i="148"/>
  <c r="R73" i="148"/>
  <c r="S73" i="148"/>
  <c r="AK73" i="148"/>
  <c r="Q24" i="145"/>
  <c r="R24" i="145"/>
  <c r="S24" i="145"/>
  <c r="AK24" i="145"/>
  <c r="Q67" i="147"/>
  <c r="R67" i="147"/>
  <c r="S67" i="147"/>
  <c r="AK67" i="147"/>
  <c r="Q27" i="151"/>
  <c r="R27" i="151"/>
  <c r="S27" i="151"/>
  <c r="AK27" i="151"/>
  <c r="Q14" i="153"/>
  <c r="R14" i="153"/>
  <c r="S14" i="153"/>
  <c r="AK14" i="153"/>
  <c r="Q28" i="153"/>
  <c r="R28" i="153"/>
  <c r="S28" i="153"/>
  <c r="AK28" i="153"/>
  <c r="Q10" i="146"/>
  <c r="R10" i="146"/>
  <c r="S10" i="146"/>
  <c r="AK10" i="146"/>
  <c r="Q16" i="153"/>
  <c r="R16" i="153"/>
  <c r="S16" i="153"/>
  <c r="AK16" i="153"/>
  <c r="Q18" i="149"/>
  <c r="R18" i="149"/>
  <c r="S18" i="149"/>
  <c r="AK18" i="149"/>
  <c r="Q35" i="153"/>
  <c r="R35" i="153"/>
  <c r="S35" i="153"/>
  <c r="AK35" i="153"/>
  <c r="Q8" i="153"/>
  <c r="R8" i="153"/>
  <c r="S8" i="153"/>
  <c r="AK8" i="153"/>
  <c r="Q68" i="145"/>
  <c r="R68" i="145"/>
  <c r="S68" i="145"/>
  <c r="AK68" i="145"/>
  <c r="Q68" i="151"/>
  <c r="R68" i="151"/>
  <c r="S68" i="151"/>
  <c r="AK68" i="151"/>
  <c r="Q47" i="148"/>
  <c r="R47" i="148"/>
  <c r="S47" i="148"/>
  <c r="AK47" i="148"/>
  <c r="Q75" i="145"/>
  <c r="R75" i="145"/>
  <c r="S75" i="145"/>
  <c r="AK75" i="145"/>
  <c r="Q54" i="153"/>
  <c r="R54" i="153"/>
  <c r="S54" i="153"/>
  <c r="AK54" i="153"/>
  <c r="Q21" i="148"/>
  <c r="R21" i="148"/>
  <c r="S21" i="148"/>
  <c r="AK21" i="148"/>
  <c r="Q26" i="146"/>
  <c r="R26" i="146"/>
  <c r="S26" i="146"/>
  <c r="AK26" i="146"/>
  <c r="Q26" i="151"/>
  <c r="R26" i="151"/>
  <c r="S26" i="151"/>
  <c r="AK26" i="151"/>
  <c r="Q50" i="149"/>
  <c r="R50" i="149"/>
  <c r="S50" i="149"/>
  <c r="AK50" i="149"/>
  <c r="Q43" i="147"/>
  <c r="R43" i="147"/>
  <c r="S43" i="147"/>
  <c r="AK43" i="147"/>
  <c r="Q43" i="151"/>
  <c r="R43" i="151"/>
  <c r="S43" i="151"/>
  <c r="AK43" i="151"/>
  <c r="Q59" i="153"/>
  <c r="R59" i="153"/>
  <c r="S59" i="153"/>
  <c r="AK59" i="153"/>
  <c r="Q62" i="146"/>
  <c r="R62" i="146"/>
  <c r="S62" i="146"/>
  <c r="AK62" i="146"/>
  <c r="Q62" i="149"/>
  <c r="R62" i="149"/>
  <c r="S62" i="149"/>
  <c r="AK62" i="149"/>
  <c r="Q23" i="147"/>
  <c r="R23" i="147"/>
  <c r="S23" i="147"/>
  <c r="AK23" i="147"/>
  <c r="Q56" i="149"/>
  <c r="R56" i="149"/>
  <c r="S56" i="149"/>
  <c r="AK56" i="149"/>
  <c r="Q44" i="151"/>
  <c r="R44" i="151"/>
  <c r="S44" i="151"/>
  <c r="AK44" i="151"/>
  <c r="Q52" i="146"/>
  <c r="R52" i="146"/>
  <c r="S52" i="146"/>
  <c r="AK52" i="146"/>
  <c r="Q52" i="149"/>
  <c r="R52" i="149"/>
  <c r="S52" i="149"/>
  <c r="AK52" i="149"/>
  <c r="Q41" i="149"/>
  <c r="R41" i="149"/>
  <c r="S41" i="149"/>
  <c r="AK41" i="149"/>
  <c r="Q73" i="145"/>
  <c r="R73" i="145"/>
  <c r="S73" i="145"/>
  <c r="AK73" i="145"/>
  <c r="Q46" i="151"/>
  <c r="R46" i="151"/>
  <c r="S46" i="151"/>
  <c r="AK46" i="151"/>
  <c r="Q16" i="148"/>
  <c r="R16" i="148"/>
  <c r="S16" i="148"/>
  <c r="AK16" i="148"/>
  <c r="Q17" i="147"/>
  <c r="R17" i="147"/>
  <c r="S17" i="147"/>
  <c r="AK17" i="147"/>
  <c r="Q68" i="148"/>
  <c r="R68" i="148"/>
  <c r="S68" i="148"/>
  <c r="AK68" i="148"/>
  <c r="Q75" i="146"/>
  <c r="R75" i="146"/>
  <c r="S75" i="146"/>
  <c r="AK75" i="146"/>
  <c r="Q29" i="146"/>
  <c r="R29" i="146"/>
  <c r="S29" i="146"/>
  <c r="AK29" i="146"/>
  <c r="Q29" i="151"/>
  <c r="R29" i="151"/>
  <c r="S29" i="151"/>
  <c r="AK29" i="151"/>
  <c r="Q21" i="145"/>
  <c r="R21" i="145"/>
  <c r="S21" i="145"/>
  <c r="AK21" i="145"/>
  <c r="Q66" i="152"/>
  <c r="R66" i="152"/>
  <c r="S66" i="152"/>
  <c r="AK66" i="152"/>
  <c r="Q43" i="152"/>
  <c r="R43" i="152"/>
  <c r="S43" i="152"/>
  <c r="AK43" i="152"/>
  <c r="Q25" i="145"/>
  <c r="R25" i="145"/>
  <c r="S25" i="145"/>
  <c r="AK25" i="145"/>
  <c r="Q25" i="147"/>
  <c r="R25" i="147"/>
  <c r="S25" i="147"/>
  <c r="AK25" i="147"/>
  <c r="Q33" i="153"/>
  <c r="R33" i="153"/>
  <c r="S33" i="153"/>
  <c r="AK33" i="153"/>
  <c r="Q39" i="149"/>
  <c r="R39" i="149"/>
  <c r="S39" i="149"/>
  <c r="AK39" i="149"/>
  <c r="Q31" i="153"/>
  <c r="R31" i="153"/>
  <c r="S31" i="153"/>
  <c r="AK31" i="153"/>
  <c r="Q71" i="146"/>
  <c r="R71" i="146"/>
  <c r="S71" i="146"/>
  <c r="AK71" i="146"/>
  <c r="Q33" i="148"/>
  <c r="R33" i="148"/>
  <c r="S33" i="148"/>
  <c r="AK33" i="148"/>
  <c r="Q45" i="129"/>
  <c r="R45" i="129"/>
  <c r="S45" i="129"/>
  <c r="AK45" i="129"/>
  <c r="Q34" i="129"/>
  <c r="R34" i="129"/>
  <c r="S34" i="129"/>
  <c r="AK34" i="129"/>
  <c r="Q58" i="129"/>
  <c r="R58" i="129"/>
  <c r="S58" i="129"/>
  <c r="AK58" i="129"/>
  <c r="Q12" i="129"/>
  <c r="R12" i="129"/>
  <c r="S12" i="129"/>
  <c r="AK12" i="129"/>
  <c r="Q71" i="129"/>
  <c r="R71" i="129"/>
  <c r="S71" i="129"/>
  <c r="AK71" i="129"/>
  <c r="Q63" i="129"/>
  <c r="R63" i="129"/>
  <c r="S63" i="129"/>
  <c r="AK63" i="129"/>
  <c r="Q9" i="144"/>
  <c r="R9" i="144"/>
  <c r="S9" i="144"/>
  <c r="AK9" i="144"/>
  <c r="O72" i="141"/>
  <c r="P72" i="141"/>
  <c r="Q72" i="141"/>
  <c r="O25" i="141"/>
  <c r="P25" i="141"/>
  <c r="Q25" i="141"/>
  <c r="O67" i="141"/>
  <c r="P67" i="141"/>
  <c r="Q67" i="141"/>
  <c r="O73" i="141"/>
  <c r="P73" i="141"/>
  <c r="Q73" i="141"/>
  <c r="O57" i="141"/>
  <c r="P57" i="141"/>
  <c r="Q57" i="141"/>
  <c r="O33" i="141"/>
  <c r="P33" i="141"/>
  <c r="Q33" i="141"/>
  <c r="Q19" i="144"/>
  <c r="R19" i="144"/>
  <c r="S19" i="144"/>
  <c r="AK19" i="144"/>
  <c r="O57" i="140"/>
  <c r="P57" i="140"/>
  <c r="Q57" i="140"/>
  <c r="Q42" i="149"/>
  <c r="R42" i="149"/>
  <c r="S42" i="149"/>
  <c r="AK42" i="149"/>
  <c r="Q38" i="144"/>
  <c r="R38" i="144"/>
  <c r="S38" i="144"/>
  <c r="AK38" i="144"/>
  <c r="Q40" i="147"/>
  <c r="R40" i="147"/>
  <c r="S40" i="147"/>
  <c r="AK40" i="147"/>
  <c r="Q40" i="146"/>
  <c r="R40" i="146"/>
  <c r="S40" i="146"/>
  <c r="AK40" i="146"/>
  <c r="Q40" i="148"/>
  <c r="R40" i="148"/>
  <c r="S40" i="148"/>
  <c r="AK40" i="148"/>
  <c r="Q33" i="144"/>
  <c r="R33" i="144"/>
  <c r="S33" i="144"/>
  <c r="AK33" i="144"/>
  <c r="Q42" i="144"/>
  <c r="R42" i="144"/>
  <c r="S42" i="144"/>
  <c r="AK42" i="144"/>
  <c r="Q53" i="153"/>
  <c r="R53" i="153"/>
  <c r="S53" i="153"/>
  <c r="AK53" i="153"/>
  <c r="Q10" i="144"/>
  <c r="R10" i="144"/>
  <c r="S10" i="144"/>
  <c r="AK10" i="144"/>
  <c r="Q65" i="144"/>
  <c r="R65" i="144"/>
  <c r="S65" i="144"/>
  <c r="AK65" i="144"/>
  <c r="Q32" i="144"/>
  <c r="R32" i="144"/>
  <c r="S32" i="144"/>
  <c r="AK32" i="144"/>
  <c r="Q52" i="144"/>
  <c r="R52" i="144"/>
  <c r="S52" i="144"/>
  <c r="AK52" i="144"/>
  <c r="Q16" i="144"/>
  <c r="R16" i="144"/>
  <c r="S16" i="144"/>
  <c r="AK16" i="144"/>
  <c r="Q38" i="149"/>
  <c r="R38" i="149"/>
  <c r="S38" i="149"/>
  <c r="AK38" i="149"/>
  <c r="Q31" i="152"/>
  <c r="R31" i="152"/>
  <c r="S31" i="152"/>
  <c r="AK31" i="152"/>
  <c r="Q40" i="152"/>
  <c r="R40" i="152"/>
  <c r="S40" i="152"/>
  <c r="AK40" i="152"/>
  <c r="Q40" i="145"/>
  <c r="R40" i="145"/>
  <c r="S40" i="145"/>
  <c r="AK40" i="145"/>
  <c r="Q53" i="144"/>
  <c r="R53" i="144"/>
  <c r="S53" i="144"/>
  <c r="AK53" i="144"/>
  <c r="Q53" i="151"/>
  <c r="R53" i="151"/>
  <c r="S53" i="151"/>
  <c r="AK53" i="151"/>
  <c r="Q24" i="144"/>
  <c r="R24" i="144"/>
  <c r="S24" i="144"/>
  <c r="AK24" i="144"/>
  <c r="Q51" i="144"/>
  <c r="R51" i="144"/>
  <c r="S51" i="144"/>
  <c r="AK51" i="144"/>
  <c r="Q8" i="144"/>
  <c r="R8" i="144"/>
  <c r="S8" i="144"/>
  <c r="AK8" i="144"/>
  <c r="Q26" i="144"/>
  <c r="R26" i="144"/>
  <c r="S26" i="144"/>
  <c r="AK26" i="144"/>
  <c r="Q20" i="144"/>
  <c r="R20" i="144"/>
  <c r="S20" i="144"/>
  <c r="AK20" i="144"/>
  <c r="Q56" i="144"/>
  <c r="R56" i="144"/>
  <c r="S56" i="144"/>
  <c r="AK56" i="144"/>
  <c r="Q42" i="146"/>
  <c r="R42" i="146"/>
  <c r="S42" i="146"/>
  <c r="AK42" i="146"/>
  <c r="Q42" i="145"/>
  <c r="R42" i="145"/>
  <c r="S42" i="145"/>
  <c r="AK42" i="145"/>
  <c r="Q53" i="149"/>
  <c r="R53" i="149"/>
  <c r="S53" i="149"/>
  <c r="AK53" i="149"/>
  <c r="Q35" i="144"/>
  <c r="R35" i="144"/>
  <c r="S35" i="144"/>
  <c r="AK35" i="144"/>
  <c r="Q47" i="144"/>
  <c r="R47" i="144"/>
  <c r="S47" i="144"/>
  <c r="AK47" i="144"/>
  <c r="Q28" i="144"/>
  <c r="R28" i="144"/>
  <c r="S28" i="144"/>
  <c r="AK28" i="144"/>
  <c r="Q36" i="144"/>
  <c r="R36" i="144"/>
  <c r="S36" i="144"/>
  <c r="AK36" i="144"/>
  <c r="Q14" i="144"/>
  <c r="R14" i="144"/>
  <c r="S14" i="144"/>
  <c r="AK14" i="144"/>
  <c r="Q68" i="144"/>
  <c r="R68" i="144"/>
  <c r="S68" i="144"/>
  <c r="AK68" i="144"/>
  <c r="Q38" i="145"/>
  <c r="R38" i="145"/>
  <c r="S38" i="145"/>
  <c r="AK38" i="145"/>
  <c r="Q42" i="153"/>
  <c r="R42" i="153"/>
  <c r="S42" i="153"/>
  <c r="AK42" i="153"/>
  <c r="Q53" i="147"/>
  <c r="R53" i="147"/>
  <c r="S53" i="147"/>
  <c r="AK53" i="147"/>
  <c r="Q38" i="147"/>
  <c r="R38" i="147"/>
  <c r="S38" i="147"/>
  <c r="AK38" i="147"/>
  <c r="Q53" i="146"/>
  <c r="R53" i="146"/>
  <c r="S53" i="146"/>
  <c r="AK53" i="146"/>
  <c r="Q60" i="144"/>
  <c r="R60" i="144"/>
  <c r="S60" i="144"/>
  <c r="AK60" i="144"/>
  <c r="Q27" i="144"/>
  <c r="R27" i="144"/>
  <c r="S27" i="144"/>
  <c r="AK27" i="144"/>
  <c r="Q41" i="144"/>
  <c r="R41" i="144"/>
  <c r="S41" i="144"/>
  <c r="AK41" i="144"/>
  <c r="Q48" i="144"/>
  <c r="R48" i="144"/>
  <c r="S48" i="144"/>
  <c r="AK48" i="144"/>
  <c r="Q44" i="144"/>
  <c r="R44" i="144"/>
  <c r="S44" i="144"/>
  <c r="AK44" i="144"/>
  <c r="Q73" i="144"/>
  <c r="R73" i="144"/>
  <c r="S73" i="144"/>
  <c r="AK73" i="144"/>
  <c r="Q30" i="144"/>
  <c r="R30" i="144"/>
  <c r="S30" i="144"/>
  <c r="AK30" i="144"/>
  <c r="Q25" i="144"/>
  <c r="R25" i="144"/>
  <c r="S25" i="144"/>
  <c r="AK25" i="144"/>
  <c r="Q35" i="148"/>
  <c r="R35" i="148"/>
  <c r="S35" i="148"/>
  <c r="AK35" i="148"/>
  <c r="Q11" i="145"/>
  <c r="R11" i="145"/>
  <c r="S11" i="145"/>
  <c r="AK11" i="145"/>
  <c r="Q47" i="147"/>
  <c r="R47" i="147"/>
  <c r="S47" i="147"/>
  <c r="AK47" i="147"/>
  <c r="Q56" i="153"/>
  <c r="R56" i="153"/>
  <c r="S56" i="153"/>
  <c r="AK56" i="153"/>
  <c r="Q11" i="148"/>
  <c r="R11" i="148"/>
  <c r="S11" i="148"/>
  <c r="AK11" i="148"/>
  <c r="Q30" i="146"/>
  <c r="R30" i="146"/>
  <c r="S30" i="146"/>
  <c r="AK30" i="146"/>
  <c r="Q14" i="145"/>
  <c r="R14" i="145"/>
  <c r="S14" i="145"/>
  <c r="AK14" i="145"/>
  <c r="Q20" i="146"/>
  <c r="R20" i="146"/>
  <c r="S20" i="146"/>
  <c r="AK20" i="146"/>
  <c r="Q18" i="146"/>
  <c r="R18" i="146"/>
  <c r="S18" i="146"/>
  <c r="AK18" i="146"/>
  <c r="Q13" i="148"/>
  <c r="R13" i="148"/>
  <c r="S13" i="148"/>
  <c r="AK13" i="148"/>
  <c r="Q16" i="151"/>
  <c r="R16" i="151"/>
  <c r="S16" i="151"/>
  <c r="AK16" i="151"/>
  <c r="Q26" i="152"/>
  <c r="R26" i="152"/>
  <c r="S26" i="152"/>
  <c r="AK26" i="152"/>
  <c r="Q9" i="145"/>
  <c r="R9" i="145"/>
  <c r="S9" i="145"/>
  <c r="AK9" i="145"/>
  <c r="Q8" i="151"/>
  <c r="R8" i="151"/>
  <c r="S8" i="151"/>
  <c r="AK8" i="151"/>
  <c r="Q19" i="147"/>
  <c r="R19" i="147"/>
  <c r="S19" i="147"/>
  <c r="AK19" i="147"/>
  <c r="Q62" i="152"/>
  <c r="R62" i="152"/>
  <c r="S62" i="152"/>
  <c r="AK62" i="152"/>
  <c r="Q44" i="146"/>
  <c r="R44" i="146"/>
  <c r="S44" i="146"/>
  <c r="AK44" i="146"/>
  <c r="Q73" i="146"/>
  <c r="R73" i="146"/>
  <c r="S73" i="146"/>
  <c r="AK73" i="146"/>
  <c r="Q46" i="152"/>
  <c r="R46" i="152"/>
  <c r="S46" i="152"/>
  <c r="AK46" i="152"/>
  <c r="Q50" i="146"/>
  <c r="R50" i="146"/>
  <c r="S50" i="146"/>
  <c r="AK50" i="146"/>
  <c r="Q67" i="149"/>
  <c r="R67" i="149"/>
  <c r="S67" i="149"/>
  <c r="AK67" i="149"/>
  <c r="Q22" i="146"/>
  <c r="R22" i="146"/>
  <c r="S22" i="146"/>
  <c r="AK22" i="146"/>
  <c r="Q23" i="146"/>
  <c r="R23" i="146"/>
  <c r="S23" i="146"/>
  <c r="AK23" i="146"/>
  <c r="Q51" i="147"/>
  <c r="R51" i="147"/>
  <c r="S51" i="147"/>
  <c r="AK51" i="147"/>
  <c r="Q27" i="147"/>
  <c r="R27" i="147"/>
  <c r="S27" i="147"/>
  <c r="AK27" i="147"/>
  <c r="Q16" i="146"/>
  <c r="R16" i="146"/>
  <c r="S16" i="146"/>
  <c r="AK16" i="146"/>
  <c r="Q43" i="148"/>
  <c r="R43" i="148"/>
  <c r="S43" i="148"/>
  <c r="AK43" i="148"/>
  <c r="Q21" i="147"/>
  <c r="R21" i="147"/>
  <c r="S21" i="147"/>
  <c r="AK21" i="147"/>
  <c r="Q32" i="153"/>
  <c r="R32" i="153"/>
  <c r="S32" i="153"/>
  <c r="AK32" i="153"/>
  <c r="Q28" i="146"/>
  <c r="R28" i="146"/>
  <c r="S28" i="146"/>
  <c r="AK28" i="146"/>
  <c r="Q43" i="146"/>
  <c r="R43" i="146"/>
  <c r="S43" i="146"/>
  <c r="AK43" i="146"/>
  <c r="Q18" i="151"/>
  <c r="R18" i="151"/>
  <c r="S18" i="151"/>
  <c r="AK18" i="151"/>
  <c r="Q48" i="148"/>
  <c r="R48" i="148"/>
  <c r="S48" i="148"/>
  <c r="AK48" i="148"/>
  <c r="Q62" i="151"/>
  <c r="R62" i="151"/>
  <c r="S62" i="151"/>
  <c r="AK62" i="151"/>
  <c r="Q51" i="145"/>
  <c r="R51" i="145"/>
  <c r="S51" i="145"/>
  <c r="AK51" i="145"/>
  <c r="Q36" i="148"/>
  <c r="R36" i="148"/>
  <c r="S36" i="148"/>
  <c r="AK36" i="148"/>
  <c r="Q56" i="152"/>
  <c r="R56" i="152"/>
  <c r="S56" i="152"/>
  <c r="AK56" i="152"/>
  <c r="Q66" i="149"/>
  <c r="R66" i="149"/>
  <c r="S66" i="149"/>
  <c r="AK66" i="149"/>
  <c r="Q35" i="146"/>
  <c r="R35" i="146"/>
  <c r="S35" i="146"/>
  <c r="AK35" i="146"/>
  <c r="Q37" i="148"/>
  <c r="R37" i="148"/>
  <c r="S37" i="148"/>
  <c r="AK37" i="148"/>
  <c r="Q62" i="145"/>
  <c r="R62" i="145"/>
  <c r="S62" i="145"/>
  <c r="AK62" i="145"/>
  <c r="Q36" i="153"/>
  <c r="R36" i="153"/>
  <c r="S36" i="153"/>
  <c r="AK36" i="153"/>
  <c r="Q24" i="153"/>
  <c r="R24" i="153"/>
  <c r="S24" i="153"/>
  <c r="AK24" i="153"/>
  <c r="Q59" i="145"/>
  <c r="R59" i="145"/>
  <c r="S59" i="145"/>
  <c r="AK59" i="145"/>
  <c r="Q46" i="146"/>
  <c r="R46" i="146"/>
  <c r="S46" i="146"/>
  <c r="AK46" i="146"/>
  <c r="Q59" i="147"/>
  <c r="R59" i="147"/>
  <c r="S59" i="147"/>
  <c r="AK59" i="147"/>
  <c r="Q22" i="153"/>
  <c r="R22" i="153"/>
  <c r="S22" i="153"/>
  <c r="AK22" i="153"/>
  <c r="Q17" i="145"/>
  <c r="R17" i="145"/>
  <c r="S17" i="145"/>
  <c r="AK17" i="145"/>
  <c r="Q41" i="148"/>
  <c r="R41" i="148"/>
  <c r="S41" i="148"/>
  <c r="AK41" i="148"/>
  <c r="Q30" i="153"/>
  <c r="R30" i="153"/>
  <c r="S30" i="153"/>
  <c r="AK30" i="153"/>
  <c r="Q44" i="147"/>
  <c r="R44" i="147"/>
  <c r="S44" i="147"/>
  <c r="AK44" i="147"/>
  <c r="Q52" i="151"/>
  <c r="R52" i="151"/>
  <c r="S52" i="151"/>
  <c r="AK52" i="151"/>
  <c r="Q41" i="153"/>
  <c r="R41" i="153"/>
  <c r="S41" i="153"/>
  <c r="AK41" i="153"/>
  <c r="Q50" i="148"/>
  <c r="R50" i="148"/>
  <c r="S50" i="148"/>
  <c r="AK50" i="148"/>
  <c r="Q56" i="147"/>
  <c r="R56" i="147"/>
  <c r="S56" i="147"/>
  <c r="AK56" i="147"/>
  <c r="Q48" i="147"/>
  <c r="R48" i="147"/>
  <c r="S48" i="147"/>
  <c r="AK48" i="147"/>
  <c r="Q46" i="149"/>
  <c r="R46" i="149"/>
  <c r="S46" i="149"/>
  <c r="AK46" i="149"/>
  <c r="Q47" i="152"/>
  <c r="R47" i="152"/>
  <c r="S47" i="152"/>
  <c r="AK47" i="152"/>
  <c r="Q44" i="145"/>
  <c r="R44" i="145"/>
  <c r="S44" i="145"/>
  <c r="AK44" i="145"/>
  <c r="Q44" i="153"/>
  <c r="R44" i="153"/>
  <c r="S44" i="153"/>
  <c r="AK44" i="153"/>
  <c r="Q20" i="149"/>
  <c r="R20" i="149"/>
  <c r="S20" i="149"/>
  <c r="AK20" i="149"/>
  <c r="Q24" i="146"/>
  <c r="R24" i="146"/>
  <c r="S24" i="146"/>
  <c r="AK24" i="146"/>
  <c r="Q10" i="145"/>
  <c r="R10" i="145"/>
  <c r="S10" i="145"/>
  <c r="AK10" i="145"/>
  <c r="Q18" i="145"/>
  <c r="R18" i="145"/>
  <c r="S18" i="145"/>
  <c r="AK18" i="145"/>
  <c r="Q66" i="145"/>
  <c r="R66" i="145"/>
  <c r="S66" i="145"/>
  <c r="AK66" i="145"/>
  <c r="Q16" i="149"/>
  <c r="R16" i="149"/>
  <c r="S16" i="149"/>
  <c r="AK16" i="149"/>
  <c r="Q59" i="152"/>
  <c r="R59" i="152"/>
  <c r="S59" i="152"/>
  <c r="AK59" i="152"/>
  <c r="Q22" i="152"/>
  <c r="R22" i="152"/>
  <c r="S22" i="152"/>
  <c r="AK22" i="152"/>
  <c r="Q23" i="152"/>
  <c r="R23" i="152"/>
  <c r="S23" i="152"/>
  <c r="AK23" i="152"/>
  <c r="Q44" i="152"/>
  <c r="R44" i="152"/>
  <c r="S44" i="152"/>
  <c r="AK44" i="152"/>
  <c r="Q19" i="151"/>
  <c r="R19" i="151"/>
  <c r="S19" i="151"/>
  <c r="AK19" i="151"/>
  <c r="Q52" i="145"/>
  <c r="R52" i="145"/>
  <c r="S52" i="145"/>
  <c r="AK52" i="145"/>
  <c r="Q51" i="148"/>
  <c r="R51" i="148"/>
  <c r="S51" i="148"/>
  <c r="AK51" i="148"/>
  <c r="Q51" i="152"/>
  <c r="R51" i="152"/>
  <c r="S51" i="152"/>
  <c r="AK51" i="152"/>
  <c r="Q32" i="148"/>
  <c r="R32" i="148"/>
  <c r="S32" i="148"/>
  <c r="AK32" i="148"/>
  <c r="Q11" i="151"/>
  <c r="R11" i="151"/>
  <c r="S11" i="151"/>
  <c r="AK11" i="151"/>
  <c r="Q73" i="152"/>
  <c r="R73" i="152"/>
  <c r="S73" i="152"/>
  <c r="AK73" i="152"/>
  <c r="Q9" i="151"/>
  <c r="R9" i="151"/>
  <c r="S9" i="151"/>
  <c r="AK9" i="151"/>
  <c r="Q67" i="152"/>
  <c r="R67" i="152"/>
  <c r="S67" i="152"/>
  <c r="AK67" i="152"/>
  <c r="Q71" i="148"/>
  <c r="R71" i="148"/>
  <c r="S71" i="148"/>
  <c r="AK71" i="148"/>
  <c r="Q36" i="145"/>
  <c r="R36" i="145"/>
  <c r="S36" i="145"/>
  <c r="AK36" i="145"/>
  <c r="Q27" i="149"/>
  <c r="R27" i="149"/>
  <c r="S27" i="149"/>
  <c r="AK27" i="149"/>
  <c r="Q39" i="153"/>
  <c r="R39" i="153"/>
  <c r="S39" i="153"/>
  <c r="AK39" i="153"/>
  <c r="Q72" i="147"/>
  <c r="R72" i="147"/>
  <c r="S72" i="147"/>
  <c r="AK72" i="147"/>
  <c r="Q72" i="151"/>
  <c r="R72" i="151"/>
  <c r="S72" i="151"/>
  <c r="AK72" i="151"/>
  <c r="Q14" i="152"/>
  <c r="R14" i="152"/>
  <c r="S14" i="152"/>
  <c r="AK14" i="152"/>
  <c r="Q28" i="147"/>
  <c r="R28" i="147"/>
  <c r="S28" i="147"/>
  <c r="AK28" i="147"/>
  <c r="Q30" i="145"/>
  <c r="R30" i="145"/>
  <c r="S30" i="145"/>
  <c r="AK30" i="145"/>
  <c r="Q30" i="149"/>
  <c r="R30" i="149"/>
  <c r="S30" i="149"/>
  <c r="AK30" i="149"/>
  <c r="Q10" i="148"/>
  <c r="R10" i="148"/>
  <c r="S10" i="148"/>
  <c r="AK10" i="148"/>
  <c r="Q10" i="153"/>
  <c r="R10" i="153"/>
  <c r="S10" i="153"/>
  <c r="AK10" i="153"/>
  <c r="Q16" i="152"/>
  <c r="R16" i="152"/>
  <c r="S16" i="152"/>
  <c r="AK16" i="152"/>
  <c r="Q65" i="149"/>
  <c r="R65" i="149"/>
  <c r="S65" i="149"/>
  <c r="AK65" i="149"/>
  <c r="Q65" i="153"/>
  <c r="R65" i="153"/>
  <c r="S65" i="153"/>
  <c r="AK65" i="153"/>
  <c r="Q35" i="147"/>
  <c r="R35" i="147"/>
  <c r="S35" i="147"/>
  <c r="AK35" i="147"/>
  <c r="Q17" i="152"/>
  <c r="R17" i="152"/>
  <c r="S17" i="152"/>
  <c r="AK17" i="152"/>
  <c r="Q8" i="149"/>
  <c r="R8" i="149"/>
  <c r="S8" i="149"/>
  <c r="AK8" i="149"/>
  <c r="Q68" i="153"/>
  <c r="R68" i="153"/>
  <c r="S68" i="153"/>
  <c r="AK68" i="153"/>
  <c r="Q47" i="146"/>
  <c r="R47" i="146"/>
  <c r="S47" i="146"/>
  <c r="AK47" i="146"/>
  <c r="Q47" i="153"/>
  <c r="R47" i="153"/>
  <c r="S47" i="153"/>
  <c r="AK47" i="153"/>
  <c r="Q75" i="149"/>
  <c r="R75" i="149"/>
  <c r="S75" i="149"/>
  <c r="AK75" i="149"/>
  <c r="Q75" i="153"/>
  <c r="R75" i="153"/>
  <c r="S75" i="153"/>
  <c r="AK75" i="153"/>
  <c r="Q60" i="148"/>
  <c r="R60" i="148"/>
  <c r="S60" i="148"/>
  <c r="AK60" i="148"/>
  <c r="Q60" i="151"/>
  <c r="R60" i="151"/>
  <c r="S60" i="151"/>
  <c r="AK60" i="151"/>
  <c r="Q54" i="148"/>
  <c r="R54" i="148"/>
  <c r="S54" i="148"/>
  <c r="AK54" i="148"/>
  <c r="Q29" i="147"/>
  <c r="R29" i="147"/>
  <c r="S29" i="147"/>
  <c r="AK29" i="147"/>
  <c r="Q21" i="146"/>
  <c r="R21" i="146"/>
  <c r="S21" i="146"/>
  <c r="AK21" i="146"/>
  <c r="Q21" i="152"/>
  <c r="R21" i="152"/>
  <c r="S21" i="152"/>
  <c r="AK21" i="152"/>
  <c r="Q66" i="147"/>
  <c r="R66" i="147"/>
  <c r="S66" i="147"/>
  <c r="AK66" i="147"/>
  <c r="Q26" i="148"/>
  <c r="R26" i="148"/>
  <c r="S26" i="148"/>
  <c r="AK26" i="148"/>
  <c r="Q50" i="145"/>
  <c r="R50" i="145"/>
  <c r="S50" i="145"/>
  <c r="AK50" i="145"/>
  <c r="Q43" i="145"/>
  <c r="R43" i="145"/>
  <c r="S43" i="145"/>
  <c r="AK43" i="145"/>
  <c r="Q37" i="145"/>
  <c r="R37" i="145"/>
  <c r="S37" i="145"/>
  <c r="AK37" i="145"/>
  <c r="Q37" i="153"/>
  <c r="R37" i="153"/>
  <c r="S37" i="153"/>
  <c r="AK37" i="153"/>
  <c r="Q59" i="148"/>
  <c r="R59" i="148"/>
  <c r="S59" i="148"/>
  <c r="AK59" i="148"/>
  <c r="Q22" i="147"/>
  <c r="R22" i="147"/>
  <c r="S22" i="147"/>
  <c r="AK22" i="147"/>
  <c r="Q22" i="151"/>
  <c r="R22" i="151"/>
  <c r="S22" i="151"/>
  <c r="AK22" i="151"/>
  <c r="Q23" i="151"/>
  <c r="R23" i="151"/>
  <c r="S23" i="151"/>
  <c r="AK23" i="151"/>
  <c r="Q13" i="146"/>
  <c r="R13" i="146"/>
  <c r="S13" i="146"/>
  <c r="AK13" i="146"/>
  <c r="Q13" i="152"/>
  <c r="R13" i="152"/>
  <c r="S13" i="152"/>
  <c r="AK13" i="152"/>
  <c r="Q56" i="145"/>
  <c r="R56" i="145"/>
  <c r="S56" i="145"/>
  <c r="AK56" i="145"/>
  <c r="Q19" i="149"/>
  <c r="R19" i="149"/>
  <c r="S19" i="149"/>
  <c r="AK19" i="149"/>
  <c r="Q19" i="153"/>
  <c r="R19" i="153"/>
  <c r="S19" i="153"/>
  <c r="AK19" i="153"/>
  <c r="Q51" i="146"/>
  <c r="R51" i="146"/>
  <c r="S51" i="146"/>
  <c r="AK51" i="146"/>
  <c r="Q51" i="151"/>
  <c r="R51" i="151"/>
  <c r="S51" i="151"/>
  <c r="AK51" i="151"/>
  <c r="Q20" i="147"/>
  <c r="R20" i="147"/>
  <c r="S20" i="147"/>
  <c r="AK20" i="147"/>
  <c r="Q32" i="145"/>
  <c r="R32" i="145"/>
  <c r="S32" i="145"/>
  <c r="AK32" i="145"/>
  <c r="Q32" i="149"/>
  <c r="R32" i="149"/>
  <c r="S32" i="149"/>
  <c r="AK32" i="149"/>
  <c r="Q11" i="146"/>
  <c r="R11" i="146"/>
  <c r="S11" i="146"/>
  <c r="AK11" i="146"/>
  <c r="Q11" i="152"/>
  <c r="R11" i="152"/>
  <c r="S11" i="152"/>
  <c r="AK11" i="152"/>
  <c r="Q41" i="145"/>
  <c r="R41" i="145"/>
  <c r="S41" i="145"/>
  <c r="AK41" i="145"/>
  <c r="Q73" i="147"/>
  <c r="R73" i="147"/>
  <c r="S73" i="147"/>
  <c r="AK73" i="147"/>
  <c r="Q73" i="151"/>
  <c r="R73" i="151"/>
  <c r="S73" i="151"/>
  <c r="AK73" i="151"/>
  <c r="Q48" i="146"/>
  <c r="R48" i="146"/>
  <c r="S48" i="146"/>
  <c r="AK48" i="146"/>
  <c r="Q48" i="149"/>
  <c r="R48" i="149"/>
  <c r="S48" i="149"/>
  <c r="AK48" i="149"/>
  <c r="Q48" i="153"/>
  <c r="R48" i="153"/>
  <c r="S48" i="153"/>
  <c r="AK48" i="153"/>
  <c r="Q24" i="149"/>
  <c r="R24" i="149"/>
  <c r="S24" i="149"/>
  <c r="AK24" i="149"/>
  <c r="Q67" i="146"/>
  <c r="R67" i="146"/>
  <c r="S67" i="146"/>
  <c r="AK67" i="146"/>
  <c r="Q67" i="151"/>
  <c r="R67" i="151"/>
  <c r="S67" i="151"/>
  <c r="AK67" i="151"/>
  <c r="Q46" i="145"/>
  <c r="R46" i="145"/>
  <c r="S46" i="145"/>
  <c r="AK46" i="145"/>
  <c r="Q36" i="151"/>
  <c r="R36" i="151"/>
  <c r="S36" i="151"/>
  <c r="AK36" i="151"/>
  <c r="Q27" i="146"/>
  <c r="R27" i="146"/>
  <c r="S27" i="146"/>
  <c r="AK27" i="146"/>
  <c r="Q27" i="152"/>
  <c r="R27" i="152"/>
  <c r="S27" i="152"/>
  <c r="AK27" i="152"/>
  <c r="Q39" i="152"/>
  <c r="R39" i="152"/>
  <c r="S39" i="152"/>
  <c r="AK39" i="152"/>
  <c r="Q72" i="148"/>
  <c r="R72" i="148"/>
  <c r="S72" i="148"/>
  <c r="AK72" i="148"/>
  <c r="Q14" i="147"/>
  <c r="R14" i="147"/>
  <c r="S14" i="147"/>
  <c r="AK14" i="147"/>
  <c r="Q28" i="148"/>
  <c r="R28" i="148"/>
  <c r="S28" i="148"/>
  <c r="AK28" i="148"/>
  <c r="Q28" i="152"/>
  <c r="R28" i="152"/>
  <c r="S28" i="152"/>
  <c r="AK28" i="152"/>
  <c r="Q30" i="151"/>
  <c r="R30" i="151"/>
  <c r="S30" i="151"/>
  <c r="AK30" i="151"/>
  <c r="Q10" i="147"/>
  <c r="R10" i="147"/>
  <c r="S10" i="147"/>
  <c r="AK10" i="147"/>
  <c r="Q16" i="147"/>
  <c r="R16" i="147"/>
  <c r="S16" i="147"/>
  <c r="AK16" i="147"/>
  <c r="Q65" i="145"/>
  <c r="R65" i="145"/>
  <c r="S65" i="145"/>
  <c r="AK65" i="145"/>
  <c r="Q65" i="152"/>
  <c r="R65" i="152"/>
  <c r="S65" i="152"/>
  <c r="AK65" i="152"/>
  <c r="Q17" i="148"/>
  <c r="R17" i="148"/>
  <c r="S17" i="148"/>
  <c r="AK17" i="148"/>
  <c r="Q8" i="147"/>
  <c r="R8" i="147"/>
  <c r="S8" i="147"/>
  <c r="AK8" i="147"/>
  <c r="Q68" i="147"/>
  <c r="R68" i="147"/>
  <c r="S68" i="147"/>
  <c r="AK68" i="147"/>
  <c r="Q57" i="152"/>
  <c r="R57" i="152"/>
  <c r="S57" i="152"/>
  <c r="AK57" i="152"/>
  <c r="Q47" i="151"/>
  <c r="R47" i="151"/>
  <c r="S47" i="151"/>
  <c r="AK47" i="151"/>
  <c r="Q75" i="152"/>
  <c r="R75" i="152"/>
  <c r="S75" i="152"/>
  <c r="AK75" i="152"/>
  <c r="Q60" i="145"/>
  <c r="R60" i="145"/>
  <c r="S60" i="145"/>
  <c r="AK60" i="145"/>
  <c r="Q54" i="147"/>
  <c r="R54" i="147"/>
  <c r="S54" i="147"/>
  <c r="AK54" i="147"/>
  <c r="Q29" i="152"/>
  <c r="R29" i="152"/>
  <c r="S29" i="152"/>
  <c r="AK29" i="152"/>
  <c r="Q66" i="148"/>
  <c r="R66" i="148"/>
  <c r="S66" i="148"/>
  <c r="AK66" i="148"/>
  <c r="Q26" i="147"/>
  <c r="R26" i="147"/>
  <c r="S26" i="147"/>
  <c r="AK26" i="147"/>
  <c r="Q43" i="149"/>
  <c r="R43" i="149"/>
  <c r="S43" i="149"/>
  <c r="AK43" i="149"/>
  <c r="Q37" i="152"/>
  <c r="R37" i="152"/>
  <c r="S37" i="152"/>
  <c r="AK37" i="152"/>
  <c r="Q22" i="148"/>
  <c r="R22" i="148"/>
  <c r="S22" i="148"/>
  <c r="AK22" i="148"/>
  <c r="Q62" i="147"/>
  <c r="R62" i="147"/>
  <c r="S62" i="147"/>
  <c r="AK62" i="147"/>
  <c r="Q23" i="149"/>
  <c r="R23" i="149"/>
  <c r="S23" i="149"/>
  <c r="AK23" i="149"/>
  <c r="Q23" i="153"/>
  <c r="R23" i="153"/>
  <c r="S23" i="153"/>
  <c r="AK23" i="153"/>
  <c r="Q13" i="151"/>
  <c r="R13" i="151"/>
  <c r="S13" i="151"/>
  <c r="AK13" i="151"/>
  <c r="Q52" i="147"/>
  <c r="R52" i="147"/>
  <c r="S52" i="147"/>
  <c r="AK52" i="147"/>
  <c r="Q52" i="152"/>
  <c r="R52" i="152"/>
  <c r="S52" i="152"/>
  <c r="AK52" i="152"/>
  <c r="Q20" i="148"/>
  <c r="R20" i="148"/>
  <c r="S20" i="148"/>
  <c r="AK20" i="148"/>
  <c r="Q20" i="151"/>
  <c r="R20" i="151"/>
  <c r="S20" i="151"/>
  <c r="AK20" i="151"/>
  <c r="Q32" i="151"/>
  <c r="R32" i="151"/>
  <c r="S32" i="151"/>
  <c r="AK32" i="151"/>
  <c r="Q41" i="152"/>
  <c r="R41" i="152"/>
  <c r="S41" i="152"/>
  <c r="AK41" i="152"/>
  <c r="Q9" i="148"/>
  <c r="R9" i="148"/>
  <c r="S9" i="148"/>
  <c r="AK9" i="148"/>
  <c r="Q24" i="147"/>
  <c r="R24" i="147"/>
  <c r="S24" i="147"/>
  <c r="AK24" i="147"/>
  <c r="Q46" i="153"/>
  <c r="R46" i="153"/>
  <c r="S46" i="153"/>
  <c r="AK46" i="153"/>
  <c r="Q36" i="147"/>
  <c r="R36" i="147"/>
  <c r="S36" i="147"/>
  <c r="AK36" i="147"/>
  <c r="Q27" i="145"/>
  <c r="R27" i="145"/>
  <c r="S27" i="145"/>
  <c r="AK27" i="145"/>
  <c r="Q27" i="153"/>
  <c r="R27" i="153"/>
  <c r="S27" i="153"/>
  <c r="AK27" i="153"/>
  <c r="Q72" i="145"/>
  <c r="R72" i="145"/>
  <c r="S72" i="145"/>
  <c r="AK72" i="145"/>
  <c r="Q72" i="149"/>
  <c r="R72" i="149"/>
  <c r="S72" i="149"/>
  <c r="AK72" i="149"/>
  <c r="Q72" i="153"/>
  <c r="R72" i="153"/>
  <c r="S72" i="153"/>
  <c r="AK72" i="153"/>
  <c r="Q28" i="145"/>
  <c r="R28" i="145"/>
  <c r="S28" i="145"/>
  <c r="AK28" i="145"/>
  <c r="Q30" i="147"/>
  <c r="R30" i="147"/>
  <c r="S30" i="147"/>
  <c r="AK30" i="147"/>
  <c r="Q10" i="152"/>
  <c r="R10" i="152"/>
  <c r="S10" i="152"/>
  <c r="AK10" i="152"/>
  <c r="Q16" i="145"/>
  <c r="R16" i="145"/>
  <c r="S16" i="145"/>
  <c r="AK16" i="145"/>
  <c r="Q65" i="146"/>
  <c r="R65" i="146"/>
  <c r="S65" i="146"/>
  <c r="AK65" i="146"/>
  <c r="Q65" i="151"/>
  <c r="R65" i="151"/>
  <c r="S65" i="151"/>
  <c r="AK65" i="151"/>
  <c r="Q35" i="145"/>
  <c r="R35" i="145"/>
  <c r="S35" i="145"/>
  <c r="AK35" i="145"/>
  <c r="Q17" i="149"/>
  <c r="R17" i="149"/>
  <c r="S17" i="149"/>
  <c r="AK17" i="149"/>
  <c r="Q17" i="153"/>
  <c r="R17" i="153"/>
  <c r="S17" i="153"/>
  <c r="AK17" i="153"/>
  <c r="Q8" i="145"/>
  <c r="R8" i="145"/>
  <c r="S8" i="145"/>
  <c r="AK8" i="145"/>
  <c r="Q8" i="152"/>
  <c r="R8" i="152"/>
  <c r="S8" i="152"/>
  <c r="AK8" i="152"/>
  <c r="Q47" i="149"/>
  <c r="R47" i="149"/>
  <c r="S47" i="149"/>
  <c r="AK47" i="149"/>
  <c r="Q75" i="147"/>
  <c r="R75" i="147"/>
  <c r="S75" i="147"/>
  <c r="AK75" i="147"/>
  <c r="Q75" i="151"/>
  <c r="R75" i="151"/>
  <c r="S75" i="151"/>
  <c r="AK75" i="151"/>
  <c r="Q60" i="146"/>
  <c r="R60" i="146"/>
  <c r="S60" i="146"/>
  <c r="AK60" i="146"/>
  <c r="Q60" i="149"/>
  <c r="R60" i="149"/>
  <c r="S60" i="149"/>
  <c r="AK60" i="149"/>
  <c r="Q60" i="153"/>
  <c r="R60" i="153"/>
  <c r="S60" i="153"/>
  <c r="AK60" i="153"/>
  <c r="Q29" i="145"/>
  <c r="R29" i="145"/>
  <c r="S29" i="145"/>
  <c r="AK29" i="145"/>
  <c r="Q29" i="153"/>
  <c r="R29" i="153"/>
  <c r="S29" i="153"/>
  <c r="AK29" i="153"/>
  <c r="Q21" i="149"/>
  <c r="R21" i="149"/>
  <c r="S21" i="149"/>
  <c r="AK21" i="149"/>
  <c r="Q21" i="153"/>
  <c r="R21" i="153"/>
  <c r="S21" i="153"/>
  <c r="AK21" i="153"/>
  <c r="Q66" i="153"/>
  <c r="R66" i="153"/>
  <c r="S66" i="153"/>
  <c r="AK66" i="153"/>
  <c r="Q26" i="153"/>
  <c r="R26" i="153"/>
  <c r="S26" i="153"/>
  <c r="AK26" i="153"/>
  <c r="Q50" i="153"/>
  <c r="R50" i="153"/>
  <c r="S50" i="153"/>
  <c r="AK50" i="153"/>
  <c r="Q43" i="153"/>
  <c r="R43" i="153"/>
  <c r="S43" i="153"/>
  <c r="AK43" i="153"/>
  <c r="Q37" i="147"/>
  <c r="R37" i="147"/>
  <c r="S37" i="147"/>
  <c r="AK37" i="147"/>
  <c r="Q59" i="146"/>
  <c r="R59" i="146"/>
  <c r="S59" i="146"/>
  <c r="AK59" i="146"/>
  <c r="Q59" i="151"/>
  <c r="R59" i="151"/>
  <c r="S59" i="151"/>
  <c r="AK59" i="151"/>
  <c r="Q62" i="153"/>
  <c r="R62" i="153"/>
  <c r="S62" i="153"/>
  <c r="AK62" i="153"/>
  <c r="Q25" i="153"/>
  <c r="R25" i="153"/>
  <c r="S25" i="153"/>
  <c r="AK25" i="153"/>
  <c r="Q13" i="149"/>
  <c r="R13" i="149"/>
  <c r="S13" i="149"/>
  <c r="AK13" i="149"/>
  <c r="Q13" i="153"/>
  <c r="R13" i="153"/>
  <c r="S13" i="153"/>
  <c r="AK13" i="153"/>
  <c r="Q19" i="145"/>
  <c r="R19" i="145"/>
  <c r="S19" i="145"/>
  <c r="AK19" i="145"/>
  <c r="Q19" i="152"/>
  <c r="R19" i="152"/>
  <c r="S19" i="152"/>
  <c r="AK19" i="152"/>
  <c r="Q52" i="153"/>
  <c r="R52" i="153"/>
  <c r="S52" i="153"/>
  <c r="AK52" i="153"/>
  <c r="Q51" i="149"/>
  <c r="R51" i="149"/>
  <c r="S51" i="149"/>
  <c r="AK51" i="149"/>
  <c r="Q51" i="153"/>
  <c r="R51" i="153"/>
  <c r="S51" i="153"/>
  <c r="AK51" i="153"/>
  <c r="Q20" i="152"/>
  <c r="R20" i="152"/>
  <c r="S20" i="152"/>
  <c r="AK20" i="152"/>
  <c r="Q32" i="147"/>
  <c r="R32" i="147"/>
  <c r="S32" i="147"/>
  <c r="AK32" i="147"/>
  <c r="Q11" i="149"/>
  <c r="R11" i="149"/>
  <c r="S11" i="149"/>
  <c r="AK11" i="149"/>
  <c r="Q11" i="153"/>
  <c r="R11" i="153"/>
  <c r="S11" i="153"/>
  <c r="AK11" i="153"/>
  <c r="Q41" i="147"/>
  <c r="R41" i="147"/>
  <c r="S41" i="147"/>
  <c r="AK41" i="147"/>
  <c r="Q73" i="149"/>
  <c r="R73" i="149"/>
  <c r="S73" i="149"/>
  <c r="AK73" i="149"/>
  <c r="Q73" i="153"/>
  <c r="R73" i="153"/>
  <c r="S73" i="153"/>
  <c r="AK73" i="153"/>
  <c r="Q48" i="145"/>
  <c r="R48" i="145"/>
  <c r="S48" i="145"/>
  <c r="AK48" i="145"/>
  <c r="Q48" i="151"/>
  <c r="R48" i="151"/>
  <c r="S48" i="151"/>
  <c r="AK48" i="151"/>
  <c r="Q9" i="152"/>
  <c r="R9" i="152"/>
  <c r="S9" i="152"/>
  <c r="AK9" i="152"/>
  <c r="Q24" i="148"/>
  <c r="R24" i="148"/>
  <c r="S24" i="148"/>
  <c r="AK24" i="148"/>
  <c r="Q24" i="152"/>
  <c r="R24" i="152"/>
  <c r="S24" i="152"/>
  <c r="AK24" i="152"/>
  <c r="Q67" i="145"/>
  <c r="R67" i="145"/>
  <c r="S67" i="145"/>
  <c r="AK67" i="145"/>
  <c r="Q46" i="148"/>
  <c r="R46" i="148"/>
  <c r="S46" i="148"/>
  <c r="AK46" i="148"/>
  <c r="Q71" i="153"/>
  <c r="R71" i="153"/>
  <c r="S71" i="153"/>
  <c r="AK71" i="153"/>
  <c r="Q36" i="152"/>
  <c r="R36" i="152"/>
  <c r="S36" i="152"/>
  <c r="AK36" i="152"/>
  <c r="Q39" i="148"/>
  <c r="R39" i="148"/>
  <c r="S39" i="148"/>
  <c r="AK39" i="148"/>
  <c r="Q72" i="146"/>
  <c r="R72" i="146"/>
  <c r="S72" i="146"/>
  <c r="AK72" i="146"/>
  <c r="Q72" i="152"/>
  <c r="R72" i="152"/>
  <c r="S72" i="152"/>
  <c r="AK72" i="152"/>
  <c r="Q14" i="148"/>
  <c r="R14" i="148"/>
  <c r="S14" i="148"/>
  <c r="AK14" i="148"/>
  <c r="Q14" i="151"/>
  <c r="R14" i="151"/>
  <c r="S14" i="151"/>
  <c r="AK14" i="151"/>
  <c r="Q28" i="151"/>
  <c r="R28" i="151"/>
  <c r="S28" i="151"/>
  <c r="AK28" i="151"/>
  <c r="Q30" i="148"/>
  <c r="R30" i="148"/>
  <c r="S30" i="148"/>
  <c r="AK30" i="148"/>
  <c r="Q30" i="152"/>
  <c r="R30" i="152"/>
  <c r="S30" i="152"/>
  <c r="AK30" i="152"/>
  <c r="Q65" i="148"/>
  <c r="R65" i="148"/>
  <c r="S65" i="148"/>
  <c r="AK65" i="148"/>
  <c r="Q35" i="152"/>
  <c r="R35" i="152"/>
  <c r="S35" i="152"/>
  <c r="AK35" i="152"/>
  <c r="Q17" i="151"/>
  <c r="R17" i="151"/>
  <c r="S17" i="151"/>
  <c r="AK17" i="151"/>
  <c r="Q75" i="148"/>
  <c r="R75" i="148"/>
  <c r="S75" i="148"/>
  <c r="AK75" i="148"/>
  <c r="Q60" i="147"/>
  <c r="R60" i="147"/>
  <c r="S60" i="147"/>
  <c r="AK60" i="147"/>
  <c r="Q60" i="152"/>
  <c r="R60" i="152"/>
  <c r="S60" i="152"/>
  <c r="AK60" i="152"/>
  <c r="Q21" i="151"/>
  <c r="R21" i="151"/>
  <c r="S21" i="151"/>
  <c r="AK21" i="151"/>
  <c r="Q50" i="152"/>
  <c r="R50" i="152"/>
  <c r="S50" i="152"/>
  <c r="AK50" i="152"/>
  <c r="Q23" i="144"/>
  <c r="R23" i="144"/>
  <c r="S23" i="144"/>
  <c r="AK23" i="144"/>
  <c r="Q46" i="144"/>
  <c r="R46" i="144"/>
  <c r="S46" i="144"/>
  <c r="AK46" i="144"/>
  <c r="Q22" i="144"/>
  <c r="R22" i="144"/>
  <c r="S22" i="144"/>
  <c r="AK22" i="144"/>
  <c r="Q62" i="144"/>
  <c r="R62" i="144"/>
  <c r="S62" i="144"/>
  <c r="AK62" i="144"/>
  <c r="U12" i="67"/>
  <c r="V12" i="67"/>
  <c r="W12" i="67"/>
  <c r="D10" i="72"/>
  <c r="AF10" i="72"/>
  <c r="U69" i="67"/>
  <c r="V69" i="67"/>
  <c r="W69" i="67"/>
  <c r="D67" i="72"/>
  <c r="AF67" i="72"/>
  <c r="U7" i="67"/>
  <c r="V7" i="67"/>
  <c r="W7" i="67"/>
  <c r="D5" i="72"/>
  <c r="AF5" i="72"/>
  <c r="U39" i="67"/>
  <c r="V39" i="67"/>
  <c r="W39" i="67"/>
  <c r="D37" i="72"/>
  <c r="AF37" i="72"/>
  <c r="U17" i="67"/>
  <c r="V17" i="67"/>
  <c r="W17" i="67"/>
  <c r="D15" i="72"/>
  <c r="AF15" i="72"/>
  <c r="U68" i="67"/>
  <c r="V68" i="67"/>
  <c r="W68" i="67"/>
  <c r="D66" i="72"/>
  <c r="AF66" i="72"/>
  <c r="U30" i="67"/>
  <c r="V30" i="67"/>
  <c r="W30" i="67"/>
  <c r="D28" i="72"/>
  <c r="AF28" i="72"/>
  <c r="U40" i="67"/>
  <c r="V40" i="67"/>
  <c r="W40" i="67"/>
  <c r="D38" i="72"/>
  <c r="AF38" i="72"/>
  <c r="U18" i="67"/>
  <c r="V18" i="67"/>
  <c r="W18" i="67"/>
  <c r="D16" i="72"/>
  <c r="AF16" i="72"/>
  <c r="U67" i="67"/>
  <c r="V67" i="67"/>
  <c r="W67" i="67"/>
  <c r="D65" i="72"/>
  <c r="AF65" i="72"/>
  <c r="U27" i="67"/>
  <c r="V27" i="67"/>
  <c r="W27" i="67"/>
  <c r="D25" i="72"/>
  <c r="AF25" i="72"/>
  <c r="U15" i="67"/>
  <c r="V15" i="67"/>
  <c r="W15" i="67"/>
  <c r="D13" i="72"/>
  <c r="AF13" i="72"/>
  <c r="U41" i="67"/>
  <c r="V41" i="67"/>
  <c r="W41" i="67"/>
  <c r="D39" i="72"/>
  <c r="AF39" i="72"/>
  <c r="U55" i="67"/>
  <c r="V55" i="67"/>
  <c r="W55" i="67"/>
  <c r="D53" i="72"/>
  <c r="AF53" i="72"/>
  <c r="U66" i="67"/>
  <c r="V66" i="67"/>
  <c r="W66" i="67"/>
  <c r="D64" i="72"/>
  <c r="AF64" i="72"/>
  <c r="U34" i="67"/>
  <c r="V34" i="67"/>
  <c r="W34" i="67"/>
  <c r="D32" i="72"/>
  <c r="AF32" i="72"/>
  <c r="U29" i="67"/>
  <c r="V29" i="67"/>
  <c r="W29" i="67"/>
  <c r="D27" i="72"/>
  <c r="AF27" i="72"/>
  <c r="U24" i="67"/>
  <c r="V24" i="67"/>
  <c r="W24" i="67"/>
  <c r="D22" i="72"/>
  <c r="AF22" i="72"/>
  <c r="U48" i="67"/>
  <c r="V48" i="67"/>
  <c r="W48" i="67"/>
  <c r="D46" i="72"/>
  <c r="AF46" i="72"/>
  <c r="U49" i="67"/>
  <c r="V49" i="67"/>
  <c r="W49" i="67"/>
  <c r="D47" i="72"/>
  <c r="AF47" i="72"/>
  <c r="U32" i="67"/>
  <c r="V32" i="67"/>
  <c r="W32" i="67"/>
  <c r="D30" i="72"/>
  <c r="AF30" i="72"/>
  <c r="U51" i="67"/>
  <c r="V51" i="67"/>
  <c r="W51" i="67"/>
  <c r="D49" i="72"/>
  <c r="AF49" i="72"/>
  <c r="U54" i="67"/>
  <c r="V54" i="67"/>
  <c r="W54" i="67"/>
  <c r="D52" i="72"/>
  <c r="AF52" i="72"/>
  <c r="U74" i="67"/>
  <c r="V74" i="67"/>
  <c r="W74" i="67"/>
  <c r="D72" i="72"/>
  <c r="AF72" i="72"/>
  <c r="U72" i="67"/>
  <c r="V72" i="67"/>
  <c r="W72" i="67"/>
  <c r="D70" i="72"/>
  <c r="AF70" i="72"/>
  <c r="U50" i="67"/>
  <c r="V50" i="67"/>
  <c r="W50" i="67"/>
  <c r="D48" i="72"/>
  <c r="AF48" i="72"/>
  <c r="U53" i="67"/>
  <c r="V53" i="67"/>
  <c r="W53" i="67"/>
  <c r="D51" i="72"/>
  <c r="AF51" i="72"/>
  <c r="U38" i="67"/>
  <c r="V38" i="67"/>
  <c r="W38" i="67"/>
  <c r="D36" i="72"/>
  <c r="AF36" i="72"/>
  <c r="U43" i="67"/>
  <c r="V43" i="67"/>
  <c r="W43" i="67"/>
  <c r="D41" i="72"/>
  <c r="AF41" i="72"/>
  <c r="U36" i="67"/>
  <c r="V36" i="67"/>
  <c r="W36" i="67"/>
  <c r="D34" i="72"/>
  <c r="AF34" i="72"/>
  <c r="U59" i="67"/>
  <c r="V59" i="67"/>
  <c r="W59" i="67"/>
  <c r="D57" i="72"/>
  <c r="AF57" i="72"/>
  <c r="U10" i="67"/>
  <c r="V10" i="67"/>
  <c r="W10" i="67"/>
  <c r="D8" i="72"/>
  <c r="AF8" i="72"/>
  <c r="U9" i="67"/>
  <c r="V9" i="67"/>
  <c r="W9" i="67"/>
  <c r="D7" i="72"/>
  <c r="AF7" i="72"/>
  <c r="U20" i="67"/>
  <c r="V20" i="67"/>
  <c r="W20" i="67"/>
  <c r="D18" i="72"/>
  <c r="AF18" i="72"/>
  <c r="U31" i="67"/>
  <c r="V31" i="67"/>
  <c r="W31" i="67"/>
  <c r="D29" i="72"/>
  <c r="AF29" i="72"/>
  <c r="U25" i="67"/>
  <c r="V25" i="67"/>
  <c r="W25" i="67"/>
  <c r="D23" i="72"/>
  <c r="AF23" i="72"/>
  <c r="U47" i="67"/>
  <c r="V47" i="67"/>
  <c r="W47" i="67"/>
  <c r="D45" i="72"/>
  <c r="AF45" i="72"/>
  <c r="U64" i="67"/>
  <c r="V64" i="67"/>
  <c r="W64" i="67"/>
  <c r="D62" i="72"/>
  <c r="AF62" i="72"/>
  <c r="U65" i="67"/>
  <c r="V65" i="67"/>
  <c r="W65" i="67"/>
  <c r="D63" i="72"/>
  <c r="AF63" i="72"/>
  <c r="U35" i="67"/>
  <c r="V35" i="67"/>
  <c r="W35" i="67"/>
  <c r="D33" i="72"/>
  <c r="AF33" i="72"/>
  <c r="U56" i="67"/>
  <c r="V56" i="67"/>
  <c r="W56" i="67"/>
  <c r="D54" i="72"/>
  <c r="AF54" i="72"/>
  <c r="U8" i="67"/>
  <c r="V8" i="67"/>
  <c r="W8" i="67"/>
  <c r="D6" i="72"/>
  <c r="AF6" i="72"/>
  <c r="U13" i="67"/>
  <c r="V13" i="67"/>
  <c r="W13" i="67"/>
  <c r="D11" i="72"/>
  <c r="AF11" i="72"/>
  <c r="U19" i="67"/>
  <c r="V19" i="67"/>
  <c r="W19" i="67"/>
  <c r="D17" i="72"/>
  <c r="AF17" i="72"/>
  <c r="U6" i="67"/>
  <c r="V6" i="67"/>
  <c r="Q57" i="144"/>
  <c r="R57" i="144"/>
  <c r="S57" i="144"/>
  <c r="AK57" i="144"/>
  <c r="Q44" i="129"/>
  <c r="R44" i="129"/>
  <c r="S44" i="129"/>
  <c r="AK44" i="129"/>
  <c r="Q25" i="129"/>
  <c r="R25" i="129"/>
  <c r="S25" i="129"/>
  <c r="AK25" i="129"/>
  <c r="Q12" i="149"/>
  <c r="R12" i="149"/>
  <c r="S12" i="149"/>
  <c r="AK12" i="149"/>
  <c r="Q12" i="145"/>
  <c r="R12" i="145"/>
  <c r="S12" i="145"/>
  <c r="AK12" i="145"/>
  <c r="Q34" i="151"/>
  <c r="R34" i="151"/>
  <c r="S34" i="151"/>
  <c r="AK34" i="151"/>
  <c r="Q45" i="144"/>
  <c r="R45" i="144"/>
  <c r="S45" i="144"/>
  <c r="AK45" i="144"/>
  <c r="Q33" i="147"/>
  <c r="R33" i="147"/>
  <c r="S33" i="147"/>
  <c r="AK33" i="147"/>
  <c r="Q39" i="145"/>
  <c r="R39" i="145"/>
  <c r="S39" i="145"/>
  <c r="AK39" i="145"/>
  <c r="Q28" i="129"/>
  <c r="R28" i="129"/>
  <c r="S28" i="129"/>
  <c r="AK28" i="129"/>
  <c r="Q43" i="129"/>
  <c r="R43" i="129"/>
  <c r="S43" i="129"/>
  <c r="AK43" i="129"/>
  <c r="Q19" i="129"/>
  <c r="R19" i="129"/>
  <c r="S19" i="129"/>
  <c r="AK19" i="129"/>
  <c r="Q17" i="129"/>
  <c r="R17" i="129"/>
  <c r="S17" i="129"/>
  <c r="AK17" i="129"/>
  <c r="Q57" i="129"/>
  <c r="R57" i="129"/>
  <c r="S57" i="129"/>
  <c r="AK57" i="129"/>
  <c r="Q37" i="129"/>
  <c r="R37" i="129"/>
  <c r="S37" i="129"/>
  <c r="AK37" i="129"/>
  <c r="Q52" i="129"/>
  <c r="R52" i="129"/>
  <c r="S52" i="129"/>
  <c r="AK52" i="129"/>
  <c r="Q39" i="129"/>
  <c r="R39" i="129"/>
  <c r="S39" i="129"/>
  <c r="AK39" i="129"/>
  <c r="Q73" i="129"/>
  <c r="R73" i="129"/>
  <c r="S73" i="129"/>
  <c r="AK73" i="129"/>
  <c r="Q14" i="129"/>
  <c r="R14" i="129"/>
  <c r="S14" i="129"/>
  <c r="AK14" i="129"/>
  <c r="Q48" i="129"/>
  <c r="R48" i="129"/>
  <c r="S48" i="129"/>
  <c r="AK48" i="129"/>
  <c r="Q24" i="129"/>
  <c r="R24" i="129"/>
  <c r="S24" i="129"/>
  <c r="AK24" i="129"/>
  <c r="Q65" i="129"/>
  <c r="R65" i="129"/>
  <c r="S65" i="129"/>
  <c r="AK65" i="129"/>
  <c r="Q50" i="129"/>
  <c r="R50" i="129"/>
  <c r="S50" i="129"/>
  <c r="AK50" i="129"/>
  <c r="Q41" i="129"/>
  <c r="R41" i="129"/>
  <c r="S41" i="129"/>
  <c r="AK41" i="129"/>
  <c r="Q10" i="129"/>
  <c r="R10" i="129"/>
  <c r="S10" i="129"/>
  <c r="AK10" i="129"/>
  <c r="Q32" i="129"/>
  <c r="R32" i="129"/>
  <c r="S32" i="129"/>
  <c r="AK32" i="129"/>
  <c r="Q8" i="129"/>
  <c r="R8" i="129"/>
  <c r="S8" i="129"/>
  <c r="AK8" i="129"/>
  <c r="Q75" i="129"/>
  <c r="R75" i="129"/>
  <c r="S75" i="129"/>
  <c r="AK75" i="129"/>
  <c r="Q29" i="129"/>
  <c r="R29" i="129"/>
  <c r="S29" i="129"/>
  <c r="AK29" i="129"/>
  <c r="Q13" i="129"/>
  <c r="R13" i="129"/>
  <c r="S13" i="129"/>
  <c r="AK13" i="129"/>
  <c r="Q30" i="129"/>
  <c r="R30" i="129"/>
  <c r="S30" i="129"/>
  <c r="AK30" i="129"/>
  <c r="Q54" i="129"/>
  <c r="R54" i="129"/>
  <c r="S54" i="129"/>
  <c r="AK54" i="129"/>
  <c r="Q21" i="129"/>
  <c r="R21" i="129"/>
  <c r="S21" i="129"/>
  <c r="AK21" i="129"/>
  <c r="Q68" i="129"/>
  <c r="R68" i="129"/>
  <c r="S68" i="129"/>
  <c r="AK68" i="129"/>
  <c r="Q11" i="129"/>
  <c r="R11" i="129"/>
  <c r="S11" i="129"/>
  <c r="AK11" i="129"/>
  <c r="Q51" i="129"/>
  <c r="R51" i="129"/>
  <c r="S51" i="129"/>
  <c r="AK51" i="129"/>
  <c r="Q33" i="129"/>
  <c r="R33" i="129"/>
  <c r="S33" i="129"/>
  <c r="AK33" i="129"/>
  <c r="Q67" i="129"/>
  <c r="R67" i="129"/>
  <c r="S67" i="129"/>
  <c r="AK67" i="129"/>
  <c r="Q60" i="129"/>
  <c r="R60" i="129"/>
  <c r="S60" i="129"/>
  <c r="AK60" i="129"/>
  <c r="Q26" i="129"/>
  <c r="R26" i="129"/>
  <c r="S26" i="129"/>
  <c r="AK26" i="129"/>
  <c r="Q20" i="129"/>
  <c r="R20" i="129"/>
  <c r="S20" i="129"/>
  <c r="AK20" i="129"/>
  <c r="Q18" i="129"/>
  <c r="R18" i="129"/>
  <c r="S18" i="129"/>
  <c r="AK18" i="129"/>
  <c r="Q27" i="129"/>
  <c r="R27" i="129"/>
  <c r="S27" i="129"/>
  <c r="AK27" i="129"/>
  <c r="Q9" i="129"/>
  <c r="R9" i="129"/>
  <c r="S9" i="129"/>
  <c r="AK9" i="129"/>
  <c r="Q47" i="129"/>
  <c r="R47" i="129"/>
  <c r="S47" i="129"/>
  <c r="AK47" i="129"/>
  <c r="Q72" i="129"/>
  <c r="R72" i="129"/>
  <c r="S72" i="129"/>
  <c r="AK72" i="129"/>
  <c r="Q36" i="129"/>
  <c r="R36" i="129"/>
  <c r="S36" i="129"/>
  <c r="AK36" i="129"/>
  <c r="Q16" i="129"/>
  <c r="R16" i="129"/>
  <c r="S16" i="129"/>
  <c r="AK16" i="129"/>
  <c r="Q56" i="129"/>
  <c r="R56" i="129"/>
  <c r="S56" i="129"/>
  <c r="AK56" i="129"/>
  <c r="Q35" i="129"/>
  <c r="R35" i="129"/>
  <c r="S35" i="129"/>
  <c r="AK35" i="129"/>
  <c r="Q66" i="129"/>
  <c r="R66" i="129"/>
  <c r="S66" i="129"/>
  <c r="AK66" i="129"/>
  <c r="Q34" i="149"/>
  <c r="R34" i="149"/>
  <c r="S34" i="149"/>
  <c r="AK34" i="149"/>
  <c r="Q63" i="148"/>
  <c r="R63" i="148"/>
  <c r="S63" i="148"/>
  <c r="AK63" i="148"/>
  <c r="Q58" i="146"/>
  <c r="R58" i="146"/>
  <c r="S58" i="146"/>
  <c r="AK58" i="146"/>
  <c r="Q12" i="146"/>
  <c r="R12" i="146"/>
  <c r="S12" i="146"/>
  <c r="AK12" i="146"/>
  <c r="Q12" i="147"/>
  <c r="R12" i="147"/>
  <c r="S12" i="147"/>
  <c r="AK12" i="147"/>
  <c r="Q63" i="149"/>
  <c r="R63" i="149"/>
  <c r="S63" i="149"/>
  <c r="AK63" i="149"/>
  <c r="Q45" i="153"/>
  <c r="R45" i="153"/>
  <c r="S45" i="153"/>
  <c r="AK45" i="153"/>
  <c r="Q18" i="152"/>
  <c r="R18" i="152"/>
  <c r="S18" i="152"/>
  <c r="AK18" i="152"/>
  <c r="Q33" i="145"/>
  <c r="R33" i="145"/>
  <c r="S33" i="145"/>
  <c r="AK33" i="145"/>
  <c r="Q18" i="147"/>
  <c r="R18" i="147"/>
  <c r="S18" i="147"/>
  <c r="AK18" i="147"/>
  <c r="Q33" i="152"/>
  <c r="R33" i="152"/>
  <c r="S33" i="152"/>
  <c r="AK33" i="152"/>
  <c r="Q57" i="146"/>
  <c r="R57" i="146"/>
  <c r="S57" i="146"/>
  <c r="AK57" i="146"/>
  <c r="Q18" i="148"/>
  <c r="R18" i="148"/>
  <c r="S18" i="148"/>
  <c r="AK18" i="148"/>
  <c r="Q9" i="147"/>
  <c r="R9" i="147"/>
  <c r="S9" i="147"/>
  <c r="AK9" i="147"/>
  <c r="Q57" i="147"/>
  <c r="R57" i="147"/>
  <c r="S57" i="147"/>
  <c r="AK57" i="147"/>
  <c r="Q31" i="146"/>
  <c r="R31" i="146"/>
  <c r="S31" i="146"/>
  <c r="AK31" i="146"/>
  <c r="Q71" i="145"/>
  <c r="R71" i="145"/>
  <c r="S71" i="145"/>
  <c r="AK71" i="145"/>
  <c r="Q57" i="151"/>
  <c r="R57" i="151"/>
  <c r="S57" i="151"/>
  <c r="AK57" i="151"/>
  <c r="Q57" i="153"/>
  <c r="R57" i="153"/>
  <c r="S57" i="153"/>
  <c r="AK57" i="153"/>
  <c r="Q25" i="146"/>
  <c r="R25" i="146"/>
  <c r="S25" i="146"/>
  <c r="AK25" i="146"/>
  <c r="Q67" i="148"/>
  <c r="R67" i="148"/>
  <c r="S67" i="148"/>
  <c r="AK67" i="148"/>
  <c r="Q9" i="146"/>
  <c r="R9" i="146"/>
  <c r="S9" i="146"/>
  <c r="AK9" i="146"/>
  <c r="Q57" i="145"/>
  <c r="R57" i="145"/>
  <c r="S57" i="145"/>
  <c r="AK57" i="145"/>
  <c r="Q39" i="147"/>
  <c r="R39" i="147"/>
  <c r="S39" i="147"/>
  <c r="AK39" i="147"/>
  <c r="Q54" i="144"/>
  <c r="R54" i="144"/>
  <c r="S54" i="144"/>
  <c r="AK54" i="144"/>
  <c r="Q25" i="151"/>
  <c r="R25" i="151"/>
  <c r="S25" i="151"/>
  <c r="AK25" i="151"/>
  <c r="Q19" i="146"/>
  <c r="R19" i="146"/>
  <c r="S19" i="146"/>
  <c r="AK19" i="146"/>
  <c r="Q9" i="149"/>
  <c r="R9" i="149"/>
  <c r="S9" i="149"/>
  <c r="AK9" i="149"/>
  <c r="Q54" i="145"/>
  <c r="R54" i="145"/>
  <c r="S54" i="145"/>
  <c r="AK54" i="145"/>
  <c r="Q71" i="149"/>
  <c r="R71" i="149"/>
  <c r="S71" i="149"/>
  <c r="AK71" i="149"/>
  <c r="Q9" i="153"/>
  <c r="R9" i="153"/>
  <c r="S9" i="153"/>
  <c r="AK9" i="153"/>
  <c r="Q71" i="151"/>
  <c r="R71" i="151"/>
  <c r="S71" i="151"/>
  <c r="AK71" i="151"/>
  <c r="Q25" i="152"/>
  <c r="R25" i="152"/>
  <c r="S25" i="152"/>
  <c r="AK25" i="152"/>
  <c r="Q67" i="144"/>
  <c r="R67" i="144"/>
  <c r="S67" i="144"/>
  <c r="AK67" i="144"/>
  <c r="Q25" i="149"/>
  <c r="R25" i="149"/>
  <c r="S25" i="149"/>
  <c r="AK25" i="149"/>
  <c r="Q8" i="148"/>
  <c r="R8" i="148"/>
  <c r="S8" i="148"/>
  <c r="AK8" i="148"/>
  <c r="Q72" i="144"/>
  <c r="R72" i="144"/>
  <c r="S72" i="144"/>
  <c r="AK72" i="144"/>
  <c r="Q39" i="146"/>
  <c r="R39" i="146"/>
  <c r="S39" i="146"/>
  <c r="AK39" i="146"/>
  <c r="Q57" i="148"/>
  <c r="R57" i="148"/>
  <c r="S57" i="148"/>
  <c r="AK57" i="148"/>
  <c r="Q31" i="145"/>
  <c r="R31" i="145"/>
  <c r="S31" i="145"/>
  <c r="AK31" i="145"/>
  <c r="Q71" i="152"/>
  <c r="R71" i="152"/>
  <c r="S71" i="152"/>
  <c r="AK71" i="152"/>
  <c r="Q71" i="144"/>
  <c r="R71" i="144"/>
  <c r="S71" i="144"/>
  <c r="AK71" i="144"/>
  <c r="Q18" i="144"/>
  <c r="R18" i="144"/>
  <c r="S18" i="144"/>
  <c r="AK18" i="144"/>
  <c r="Q31" i="147"/>
  <c r="R31" i="147"/>
  <c r="S31" i="147"/>
  <c r="AK31" i="147"/>
  <c r="Q71" i="147"/>
  <c r="R71" i="147"/>
  <c r="S71" i="147"/>
  <c r="AK71" i="147"/>
  <c r="Q54" i="151"/>
  <c r="R54" i="151"/>
  <c r="S54" i="151"/>
  <c r="AK54" i="151"/>
  <c r="Q31" i="151"/>
  <c r="R31" i="151"/>
  <c r="S31" i="151"/>
  <c r="AK31" i="151"/>
  <c r="Q31" i="144"/>
  <c r="R31" i="144"/>
  <c r="S31" i="144"/>
  <c r="AK31" i="144"/>
  <c r="Q31" i="149"/>
  <c r="R31" i="149"/>
  <c r="S31" i="149"/>
  <c r="AK31" i="149"/>
  <c r="Q70" i="153"/>
  <c r="R70" i="153"/>
  <c r="S70" i="153"/>
  <c r="AK70" i="153"/>
  <c r="Q70" i="146"/>
  <c r="R70" i="146"/>
  <c r="S70" i="146"/>
  <c r="AK70" i="146"/>
  <c r="Q70" i="151"/>
  <c r="R70" i="151"/>
  <c r="S70" i="151"/>
  <c r="AK70" i="151"/>
  <c r="Q70" i="149"/>
  <c r="R70" i="149"/>
  <c r="S70" i="149"/>
  <c r="AK70" i="149"/>
  <c r="Q70" i="148"/>
  <c r="R70" i="148"/>
  <c r="S70" i="148"/>
  <c r="AK70" i="148"/>
  <c r="Q70" i="152"/>
  <c r="R70" i="152"/>
  <c r="S70" i="152"/>
  <c r="AK70" i="152"/>
  <c r="Q70" i="145"/>
  <c r="R70" i="145"/>
  <c r="S70" i="145"/>
  <c r="AK70" i="145"/>
  <c r="Q70" i="144"/>
  <c r="R70" i="144"/>
  <c r="S70" i="144"/>
  <c r="AK70" i="144"/>
  <c r="Q70" i="147"/>
  <c r="R70" i="147"/>
  <c r="S70" i="147"/>
  <c r="AK70" i="147"/>
  <c r="Q45" i="151"/>
  <c r="R45" i="151"/>
  <c r="S45" i="151"/>
  <c r="AK45" i="151"/>
  <c r="Q34" i="153"/>
  <c r="R34" i="153"/>
  <c r="S34" i="153"/>
  <c r="AK34" i="153"/>
  <c r="Q58" i="149"/>
  <c r="R58" i="149"/>
  <c r="S58" i="149"/>
  <c r="AK58" i="149"/>
  <c r="Q63" i="152"/>
  <c r="R63" i="152"/>
  <c r="S63" i="152"/>
  <c r="AK63" i="152"/>
  <c r="Q45" i="152"/>
  <c r="R45" i="152"/>
  <c r="S45" i="152"/>
  <c r="AK45" i="152"/>
  <c r="Q12" i="151"/>
  <c r="R12" i="151"/>
  <c r="S12" i="151"/>
  <c r="AK12" i="151"/>
  <c r="Q58" i="148"/>
  <c r="R58" i="148"/>
  <c r="S58" i="148"/>
  <c r="AK58" i="148"/>
  <c r="Q45" i="147"/>
  <c r="R45" i="147"/>
  <c r="S45" i="147"/>
  <c r="AK45" i="147"/>
  <c r="Q63" i="153"/>
  <c r="R63" i="153"/>
  <c r="S63" i="153"/>
  <c r="AK63" i="153"/>
  <c r="Q12" i="152"/>
  <c r="R12" i="152"/>
  <c r="S12" i="152"/>
  <c r="AK12" i="152"/>
  <c r="Q34" i="145"/>
  <c r="R34" i="145"/>
  <c r="S34" i="145"/>
  <c r="AK34" i="145"/>
  <c r="Q58" i="151"/>
  <c r="R58" i="151"/>
  <c r="S58" i="151"/>
  <c r="AK58" i="151"/>
  <c r="Q45" i="149"/>
  <c r="R45" i="149"/>
  <c r="S45" i="149"/>
  <c r="AK45" i="149"/>
  <c r="Q34" i="146"/>
  <c r="R34" i="146"/>
  <c r="S34" i="146"/>
  <c r="AK34" i="146"/>
  <c r="Q34" i="152"/>
  <c r="R34" i="152"/>
  <c r="S34" i="152"/>
  <c r="AK34" i="152"/>
  <c r="Q63" i="145"/>
  <c r="R63" i="145"/>
  <c r="S63" i="145"/>
  <c r="AK63" i="145"/>
  <c r="Q58" i="147"/>
  <c r="R58" i="147"/>
  <c r="S58" i="147"/>
  <c r="AK58" i="147"/>
  <c r="Q45" i="145"/>
  <c r="R45" i="145"/>
  <c r="S45" i="145"/>
  <c r="AK45" i="145"/>
  <c r="Q45" i="146"/>
  <c r="R45" i="146"/>
  <c r="S45" i="146"/>
  <c r="AK45" i="146"/>
  <c r="Q12" i="148"/>
  <c r="R12" i="148"/>
  <c r="S12" i="148"/>
  <c r="AK12" i="148"/>
  <c r="Q12" i="153"/>
  <c r="R12" i="153"/>
  <c r="S12" i="153"/>
  <c r="AK12" i="153"/>
  <c r="Q34" i="147"/>
  <c r="R34" i="147"/>
  <c r="S34" i="147"/>
  <c r="AK34" i="147"/>
  <c r="Q63" i="147"/>
  <c r="R63" i="147"/>
  <c r="S63" i="147"/>
  <c r="AK63" i="147"/>
  <c r="Q58" i="145"/>
  <c r="R58" i="145"/>
  <c r="S58" i="145"/>
  <c r="AK58" i="145"/>
  <c r="Q58" i="153"/>
  <c r="R58" i="153"/>
  <c r="S58" i="153"/>
  <c r="AK58" i="153"/>
  <c r="Q34" i="148"/>
  <c r="R34" i="148"/>
  <c r="S34" i="148"/>
  <c r="AK34" i="148"/>
  <c r="Q63" i="146"/>
  <c r="R63" i="146"/>
  <c r="S63" i="146"/>
  <c r="AK63" i="146"/>
  <c r="Q63" i="151"/>
  <c r="R63" i="151"/>
  <c r="S63" i="151"/>
  <c r="AK63" i="151"/>
  <c r="Q58" i="152"/>
  <c r="R58" i="152"/>
  <c r="S58" i="152"/>
  <c r="AK58" i="152"/>
  <c r="Q45" i="148"/>
  <c r="R45" i="148"/>
  <c r="S45" i="148"/>
  <c r="AK45" i="148"/>
  <c r="Q58" i="144"/>
  <c r="R58" i="144"/>
  <c r="S58" i="144"/>
  <c r="AK58" i="144"/>
  <c r="Q34" i="144"/>
  <c r="R34" i="144"/>
  <c r="S34" i="144"/>
  <c r="AK34" i="144"/>
  <c r="Q12" i="144"/>
  <c r="R12" i="144"/>
  <c r="S12" i="144"/>
  <c r="AK12" i="144"/>
  <c r="Q63" i="144"/>
  <c r="R63" i="144"/>
  <c r="S63" i="144"/>
  <c r="AK63" i="144"/>
  <c r="W6" i="67"/>
  <c r="D4" i="72"/>
  <c r="AF4" i="72"/>
  <c r="Q7" i="144"/>
  <c r="O7" i="141"/>
  <c r="O7" i="140"/>
  <c r="Q7" i="129"/>
  <c r="P7" i="141"/>
  <c r="R7" i="129"/>
  <c r="P7" i="140"/>
  <c r="R7" i="144"/>
  <c r="Q7" i="149"/>
  <c r="Q7" i="146"/>
  <c r="Q7" i="147"/>
  <c r="Q7" i="153"/>
  <c r="Q7" i="148"/>
  <c r="Q7" i="151"/>
  <c r="Q7" i="152"/>
  <c r="Q7" i="145"/>
  <c r="U14" i="67"/>
  <c r="R7" i="152"/>
  <c r="R7" i="148"/>
  <c r="R7" i="147"/>
  <c r="R7" i="149"/>
  <c r="S7" i="144"/>
  <c r="Q7" i="140"/>
  <c r="S7" i="129"/>
  <c r="Q7" i="141"/>
  <c r="V14" i="67"/>
  <c r="U75" i="67"/>
  <c r="U81" i="67"/>
  <c r="R7" i="145"/>
  <c r="R7" i="151"/>
  <c r="R7" i="153"/>
  <c r="R7" i="146"/>
  <c r="W14" i="67"/>
  <c r="V75" i="67"/>
  <c r="V81" i="67"/>
  <c r="S7" i="149"/>
  <c r="S7" i="147"/>
  <c r="S7" i="148"/>
  <c r="S7" i="152"/>
  <c r="S7" i="146"/>
  <c r="S7" i="153"/>
  <c r="S7" i="151"/>
  <c r="S7" i="145"/>
  <c r="AK7" i="129"/>
  <c r="AK7" i="144"/>
  <c r="Q15" i="144"/>
  <c r="O15" i="141"/>
  <c r="O15" i="140"/>
  <c r="Q15" i="129"/>
  <c r="R15" i="129"/>
  <c r="Q76" i="129"/>
  <c r="P15" i="140"/>
  <c r="O76" i="140"/>
  <c r="O82" i="140"/>
  <c r="P15" i="141"/>
  <c r="O76" i="141"/>
  <c r="O82" i="141"/>
  <c r="R15" i="144"/>
  <c r="Q76" i="144"/>
  <c r="AK7" i="151"/>
  <c r="AK7" i="153"/>
  <c r="AK7" i="147"/>
  <c r="AK7" i="145"/>
  <c r="AK7" i="146"/>
  <c r="AK7" i="152"/>
  <c r="AK7" i="148"/>
  <c r="AK7" i="149"/>
  <c r="D12" i="72"/>
  <c r="W75" i="67"/>
  <c r="W81" i="67"/>
  <c r="Q15" i="149"/>
  <c r="Q15" i="145"/>
  <c r="Q15" i="148"/>
  <c r="Q15" i="153"/>
  <c r="Q15" i="152"/>
  <c r="Q15" i="146"/>
  <c r="Q15" i="151"/>
  <c r="Q15" i="147"/>
  <c r="Q82" i="144"/>
  <c r="Q82" i="129"/>
  <c r="R15" i="147"/>
  <c r="Q76" i="147"/>
  <c r="R15" i="151"/>
  <c r="Q76" i="151"/>
  <c r="R15" i="146"/>
  <c r="Q76" i="146"/>
  <c r="R15" i="152"/>
  <c r="Q76" i="152"/>
  <c r="R15" i="153"/>
  <c r="Q76" i="153"/>
  <c r="R15" i="148"/>
  <c r="Q76" i="148"/>
  <c r="R15" i="145"/>
  <c r="Q76" i="145"/>
  <c r="R15" i="149"/>
  <c r="Q76" i="149"/>
  <c r="AF12" i="72"/>
  <c r="AF73" i="72"/>
  <c r="D73" i="72"/>
  <c r="S15" i="144"/>
  <c r="R76" i="144"/>
  <c r="Q15" i="141"/>
  <c r="Q76" i="141"/>
  <c r="Q82" i="141"/>
  <c r="P76" i="141"/>
  <c r="P82" i="141"/>
  <c r="Q15" i="140"/>
  <c r="Q76" i="140"/>
  <c r="Q82" i="140"/>
  <c r="P76" i="140"/>
  <c r="P82" i="140"/>
  <c r="S15" i="129"/>
  <c r="R76" i="129"/>
  <c r="Q82" i="145"/>
  <c r="Q82" i="148"/>
  <c r="Q82" i="153"/>
  <c r="Q82" i="152"/>
  <c r="Q82" i="146"/>
  <c r="Q82" i="151"/>
  <c r="Q82" i="147"/>
  <c r="R82" i="129"/>
  <c r="R82" i="144"/>
  <c r="Q82" i="149"/>
  <c r="AK15" i="129"/>
  <c r="AK76" i="129"/>
  <c r="S76" i="129"/>
  <c r="AK15" i="144"/>
  <c r="AK76" i="144"/>
  <c r="S76" i="144"/>
  <c r="S15" i="149"/>
  <c r="R76" i="149"/>
  <c r="S15" i="145"/>
  <c r="R76" i="145"/>
  <c r="S15" i="148"/>
  <c r="R76" i="148"/>
  <c r="S15" i="153"/>
  <c r="R76" i="153"/>
  <c r="S15" i="152"/>
  <c r="R76" i="152"/>
  <c r="S15" i="146"/>
  <c r="R76" i="146"/>
  <c r="S15" i="151"/>
  <c r="R76" i="151"/>
  <c r="S15" i="147"/>
  <c r="R76" i="147"/>
  <c r="R82" i="147"/>
  <c r="R82" i="151"/>
  <c r="R82" i="146"/>
  <c r="R82" i="152"/>
  <c r="R82" i="153"/>
  <c r="R82" i="148"/>
  <c r="R82" i="145"/>
  <c r="R82" i="149"/>
  <c r="S82" i="144"/>
  <c r="S82" i="129"/>
  <c r="AK15" i="147"/>
  <c r="AK76" i="147"/>
  <c r="S76" i="147"/>
  <c r="AK15" i="151"/>
  <c r="AK76" i="151"/>
  <c r="S76" i="151"/>
  <c r="AK15" i="146"/>
  <c r="AK76" i="146"/>
  <c r="S76" i="146"/>
  <c r="AK15" i="152"/>
  <c r="AK76" i="152"/>
  <c r="S76" i="152"/>
  <c r="AK15" i="153"/>
  <c r="AK76" i="153"/>
  <c r="S76" i="153"/>
  <c r="AK15" i="148"/>
  <c r="AK76" i="148"/>
  <c r="S76" i="148"/>
  <c r="AK15" i="145"/>
  <c r="AK76" i="145"/>
  <c r="S76" i="145"/>
  <c r="AK15" i="149"/>
  <c r="AK76" i="149"/>
  <c r="S76" i="149"/>
  <c r="AK82" i="144"/>
  <c r="AK82" i="129"/>
  <c r="AK82" i="149"/>
  <c r="AK82" i="148"/>
  <c r="AK82" i="152"/>
  <c r="S82" i="149"/>
  <c r="S82" i="145"/>
  <c r="S82" i="148"/>
  <c r="S82" i="153"/>
  <c r="S82" i="152"/>
  <c r="S82" i="146"/>
  <c r="S82" i="151"/>
  <c r="S82" i="147"/>
  <c r="AK82" i="145"/>
  <c r="AK82" i="153"/>
  <c r="AK82" i="146"/>
  <c r="AK82" i="151"/>
  <c r="AK82" i="147"/>
  <c r="Q15" i="131"/>
  <c r="R15" i="131"/>
  <c r="S15" i="131"/>
  <c r="AK15" i="131"/>
  <c r="Q19" i="131"/>
  <c r="R19" i="131"/>
  <c r="S19" i="131"/>
  <c r="AK19" i="131"/>
  <c r="Q9" i="131"/>
  <c r="R9" i="131"/>
  <c r="S9" i="131"/>
  <c r="AK9" i="131"/>
  <c r="Q8" i="131"/>
  <c r="R8" i="131"/>
  <c r="S8" i="131"/>
  <c r="AK8" i="131"/>
  <c r="Q22" i="131"/>
  <c r="R22" i="131"/>
  <c r="S22" i="131"/>
  <c r="AK22" i="131"/>
  <c r="Q38" i="131"/>
  <c r="R38" i="131"/>
  <c r="S38" i="131"/>
  <c r="AK38" i="131"/>
  <c r="Q44" i="131"/>
  <c r="R44" i="131"/>
  <c r="S44" i="131"/>
  <c r="AK44" i="131"/>
  <c r="Q39" i="131"/>
  <c r="R39" i="131"/>
  <c r="S39" i="131"/>
  <c r="AK39" i="131"/>
  <c r="Q73" i="131"/>
  <c r="R73" i="131"/>
  <c r="S73" i="131"/>
  <c r="AK73" i="131"/>
  <c r="Q69" i="131"/>
  <c r="R69" i="131"/>
  <c r="S69" i="131"/>
  <c r="AK69" i="131"/>
  <c r="Q59" i="131"/>
  <c r="R59" i="131"/>
  <c r="S59" i="131"/>
  <c r="AK59" i="131"/>
  <c r="Q19" i="128"/>
  <c r="R19" i="128"/>
  <c r="S19" i="128"/>
  <c r="AK19" i="128"/>
  <c r="Q27" i="128"/>
  <c r="R27" i="128"/>
  <c r="S27" i="128"/>
  <c r="AK27" i="128"/>
  <c r="Q44" i="128"/>
  <c r="R44" i="128"/>
  <c r="S44" i="128"/>
  <c r="AK44" i="128"/>
  <c r="Q73" i="128"/>
  <c r="R73" i="128"/>
  <c r="S73" i="128"/>
  <c r="AK73" i="128"/>
  <c r="Q10" i="126"/>
  <c r="R10" i="126"/>
  <c r="S10" i="126"/>
  <c r="AK10" i="126"/>
  <c r="Q18" i="126"/>
  <c r="R18" i="126"/>
  <c r="S18" i="126"/>
  <c r="AK18" i="126"/>
  <c r="Q26" i="126"/>
  <c r="R26" i="126"/>
  <c r="S26" i="126"/>
  <c r="AK26" i="126"/>
  <c r="Q11" i="126"/>
  <c r="R11" i="126"/>
  <c r="S11" i="126"/>
  <c r="AK11" i="126"/>
  <c r="Q23" i="126"/>
  <c r="R23" i="126"/>
  <c r="S23" i="126"/>
  <c r="AK23" i="126"/>
  <c r="Q31" i="126"/>
  <c r="R31" i="126"/>
  <c r="S31" i="126"/>
  <c r="AK31" i="126"/>
  <c r="Q39" i="126"/>
  <c r="R39" i="126"/>
  <c r="S39" i="126"/>
  <c r="AK39" i="126"/>
  <c r="Q43" i="126"/>
  <c r="R43" i="126"/>
  <c r="S43" i="126"/>
  <c r="AK43" i="126"/>
  <c r="Q51" i="126"/>
  <c r="R51" i="126"/>
  <c r="S51" i="126"/>
  <c r="AK51" i="126"/>
  <c r="Q42" i="126"/>
  <c r="R42" i="126"/>
  <c r="S42" i="126"/>
  <c r="AK42" i="126"/>
  <c r="Q50" i="126"/>
  <c r="R50" i="126"/>
  <c r="S50" i="126"/>
  <c r="AK50" i="126"/>
  <c r="Q59" i="126"/>
  <c r="R59" i="126"/>
  <c r="S59" i="126"/>
  <c r="AK59" i="126"/>
  <c r="Q67" i="126"/>
  <c r="R67" i="126"/>
  <c r="S67" i="126"/>
  <c r="AK67" i="126"/>
  <c r="Q75" i="126"/>
  <c r="R75" i="126"/>
  <c r="S75" i="126"/>
  <c r="AK75" i="126"/>
  <c r="Q9" i="125"/>
  <c r="R9" i="125"/>
  <c r="S9" i="125"/>
  <c r="AK9" i="125"/>
  <c r="Q17" i="125"/>
  <c r="R17" i="125"/>
  <c r="S17" i="125"/>
  <c r="AK17" i="125"/>
  <c r="Q25" i="125"/>
  <c r="R25" i="125"/>
  <c r="S25" i="125"/>
  <c r="AK25" i="125"/>
  <c r="Q12" i="125"/>
  <c r="R12" i="125"/>
  <c r="S12" i="125"/>
  <c r="AK12" i="125"/>
  <c r="Q24" i="125"/>
  <c r="R24" i="125"/>
  <c r="S24" i="125"/>
  <c r="AK24" i="125"/>
  <c r="Q31" i="125"/>
  <c r="R31" i="125"/>
  <c r="S31" i="125"/>
  <c r="AK31" i="125"/>
  <c r="Q46" i="125"/>
  <c r="R46" i="125"/>
  <c r="S46" i="125"/>
  <c r="AK46" i="125"/>
  <c r="Q50" i="125"/>
  <c r="R50" i="125"/>
  <c r="S50" i="125"/>
  <c r="AK50" i="125"/>
  <c r="Q32" i="125"/>
  <c r="R32" i="125"/>
  <c r="S32" i="125"/>
  <c r="AK32" i="125"/>
  <c r="Q47" i="125"/>
  <c r="R47" i="125"/>
  <c r="S47" i="125"/>
  <c r="AK47" i="125"/>
  <c r="Q55" i="125"/>
  <c r="R55" i="125"/>
  <c r="S55" i="125"/>
  <c r="AK55" i="125"/>
  <c r="Q44" i="125"/>
  <c r="R44" i="125"/>
  <c r="S44" i="125"/>
  <c r="AK44" i="125"/>
  <c r="Q62" i="125"/>
  <c r="R62" i="125"/>
  <c r="S62" i="125"/>
  <c r="AK62" i="125"/>
  <c r="Q70" i="125"/>
  <c r="R70" i="125"/>
  <c r="S70" i="125"/>
  <c r="AK70" i="125"/>
  <c r="Q57" i="125"/>
  <c r="R57" i="125"/>
  <c r="S57" i="125"/>
  <c r="AK57" i="125"/>
  <c r="Q65" i="125"/>
  <c r="R65" i="125"/>
  <c r="S65" i="125"/>
  <c r="AK65" i="125"/>
  <c r="Q73" i="125"/>
  <c r="R73" i="125"/>
  <c r="S73" i="125"/>
  <c r="AK73" i="125"/>
  <c r="Q64" i="125"/>
  <c r="R64" i="125"/>
  <c r="S64" i="125"/>
  <c r="AK64" i="125"/>
  <c r="Q56" i="125"/>
  <c r="R56" i="125"/>
  <c r="S56" i="125"/>
  <c r="AK56" i="125"/>
  <c r="Q75" i="125"/>
  <c r="R75" i="125"/>
  <c r="S75" i="125"/>
  <c r="AK75" i="125"/>
  <c r="Q70" i="126"/>
  <c r="R70" i="126"/>
  <c r="S70" i="126"/>
  <c r="AK70" i="126"/>
  <c r="Q21" i="131"/>
  <c r="R21" i="131"/>
  <c r="S21" i="131"/>
  <c r="AK21" i="131"/>
  <c r="Q70" i="128"/>
  <c r="R70" i="128"/>
  <c r="S70" i="128"/>
  <c r="AK70" i="128"/>
  <c r="Q17" i="127"/>
  <c r="R17" i="127"/>
  <c r="S17" i="127"/>
  <c r="AK17" i="127"/>
  <c r="Q60" i="126"/>
  <c r="R60" i="126"/>
  <c r="S60" i="126"/>
  <c r="AK60" i="126"/>
  <c r="Q17" i="131"/>
  <c r="R17" i="131"/>
  <c r="S17" i="131"/>
  <c r="AK17" i="131"/>
  <c r="Q13" i="131"/>
  <c r="R13" i="131"/>
  <c r="S13" i="131"/>
  <c r="AK13" i="131"/>
  <c r="Q12" i="131"/>
  <c r="R12" i="131"/>
  <c r="S12" i="131"/>
  <c r="AK12" i="131"/>
  <c r="Q26" i="131"/>
  <c r="R26" i="131"/>
  <c r="S26" i="131"/>
  <c r="AK26" i="131"/>
  <c r="Q35" i="131"/>
  <c r="R35" i="131"/>
  <c r="S35" i="131"/>
  <c r="AK35" i="131"/>
  <c r="Q52" i="131"/>
  <c r="R52" i="131"/>
  <c r="S52" i="131"/>
  <c r="AK52" i="131"/>
  <c r="Q54" i="131"/>
  <c r="R54" i="131"/>
  <c r="S54" i="131"/>
  <c r="AK54" i="131"/>
  <c r="Q56" i="131"/>
  <c r="R56" i="131"/>
  <c r="S56" i="131"/>
  <c r="AK56" i="131"/>
  <c r="Q62" i="131"/>
  <c r="R62" i="131"/>
  <c r="S62" i="131"/>
  <c r="AK62" i="131"/>
  <c r="Q67" i="131"/>
  <c r="R67" i="131"/>
  <c r="S67" i="131"/>
  <c r="AK67" i="131"/>
  <c r="Q63" i="131"/>
  <c r="R63" i="131"/>
  <c r="S63" i="131"/>
  <c r="AK63" i="131"/>
  <c r="Q23" i="128"/>
  <c r="R23" i="128"/>
  <c r="S23" i="128"/>
  <c r="AK23" i="128"/>
  <c r="Q32" i="128"/>
  <c r="R32" i="128"/>
  <c r="S32" i="128"/>
  <c r="AK32" i="128"/>
  <c r="Q40" i="128"/>
  <c r="R40" i="128"/>
  <c r="S40" i="128"/>
  <c r="AK40" i="128"/>
  <c r="Q48" i="128"/>
  <c r="R48" i="128"/>
  <c r="S48" i="128"/>
  <c r="AK48" i="128"/>
  <c r="Q30" i="128"/>
  <c r="R30" i="128"/>
  <c r="S30" i="128"/>
  <c r="AK30" i="128"/>
  <c r="Q69" i="128"/>
  <c r="R69" i="128"/>
  <c r="S69" i="128"/>
  <c r="AK69" i="128"/>
  <c r="Q14" i="126"/>
  <c r="R14" i="126"/>
  <c r="S14" i="126"/>
  <c r="AK14" i="126"/>
  <c r="Q22" i="126"/>
  <c r="R22" i="126"/>
  <c r="S22" i="126"/>
  <c r="AK22" i="126"/>
  <c r="Q30" i="126"/>
  <c r="R30" i="126"/>
  <c r="S30" i="126"/>
  <c r="AK30" i="126"/>
  <c r="Q15" i="126"/>
  <c r="R15" i="126"/>
  <c r="S15" i="126"/>
  <c r="AK15" i="126"/>
  <c r="Q19" i="126"/>
  <c r="R19" i="126"/>
  <c r="S19" i="126"/>
  <c r="AK19" i="126"/>
  <c r="Q27" i="126"/>
  <c r="R27" i="126"/>
  <c r="S27" i="126"/>
  <c r="AK27" i="126"/>
  <c r="Q35" i="126"/>
  <c r="R35" i="126"/>
  <c r="S35" i="126"/>
  <c r="AK35" i="126"/>
  <c r="Q47" i="126"/>
  <c r="R47" i="126"/>
  <c r="S47" i="126"/>
  <c r="AK47" i="126"/>
  <c r="Q34" i="126"/>
  <c r="R34" i="126"/>
  <c r="S34" i="126"/>
  <c r="AK34" i="126"/>
  <c r="Q38" i="126"/>
  <c r="R38" i="126"/>
  <c r="S38" i="126"/>
  <c r="AK38" i="126"/>
  <c r="Q46" i="126"/>
  <c r="R46" i="126"/>
  <c r="S46" i="126"/>
  <c r="AK46" i="126"/>
  <c r="Q55" i="126"/>
  <c r="R55" i="126"/>
  <c r="S55" i="126"/>
  <c r="AK55" i="126"/>
  <c r="Q63" i="126"/>
  <c r="R63" i="126"/>
  <c r="S63" i="126"/>
  <c r="AK63" i="126"/>
  <c r="Q71" i="126"/>
  <c r="R71" i="126"/>
  <c r="S71" i="126"/>
  <c r="AK71" i="126"/>
  <c r="Q13" i="125"/>
  <c r="R13" i="125"/>
  <c r="S13" i="125"/>
  <c r="AK13" i="125"/>
  <c r="Q21" i="125"/>
  <c r="R21" i="125"/>
  <c r="S21" i="125"/>
  <c r="AK21" i="125"/>
  <c r="Q8" i="125"/>
  <c r="R8" i="125"/>
  <c r="S8" i="125"/>
  <c r="AK8" i="125"/>
  <c r="Q16" i="125"/>
  <c r="R16" i="125"/>
  <c r="S16" i="125"/>
  <c r="AK16" i="125"/>
  <c r="Q20" i="125"/>
  <c r="R20" i="125"/>
  <c r="S20" i="125"/>
  <c r="AK20" i="125"/>
  <c r="Q28" i="125"/>
  <c r="R28" i="125"/>
  <c r="S28" i="125"/>
  <c r="AK28" i="125"/>
  <c r="Q35" i="125"/>
  <c r="R35" i="125"/>
  <c r="S35" i="125"/>
  <c r="AK35" i="125"/>
  <c r="Q54" i="125"/>
  <c r="R54" i="125"/>
  <c r="S54" i="125"/>
  <c r="AK54" i="125"/>
  <c r="Q36" i="125"/>
  <c r="R36" i="125"/>
  <c r="S36" i="125"/>
  <c r="AK36" i="125"/>
  <c r="Q51" i="125"/>
  <c r="R51" i="125"/>
  <c r="S51" i="125"/>
  <c r="AK51" i="125"/>
  <c r="Q40" i="125"/>
  <c r="R40" i="125"/>
  <c r="S40" i="125"/>
  <c r="AK40" i="125"/>
  <c r="Q42" i="125"/>
  <c r="R42" i="125"/>
  <c r="S42" i="125"/>
  <c r="AK42" i="125"/>
  <c r="Q58" i="125"/>
  <c r="R58" i="125"/>
  <c r="S58" i="125"/>
  <c r="AK58" i="125"/>
  <c r="Q66" i="125"/>
  <c r="R66" i="125"/>
  <c r="S66" i="125"/>
  <c r="AK66" i="125"/>
  <c r="Q74" i="125"/>
  <c r="R74" i="125"/>
  <c r="S74" i="125"/>
  <c r="AK74" i="125"/>
  <c r="Q61" i="125"/>
  <c r="R61" i="125"/>
  <c r="S61" i="125"/>
  <c r="AK61" i="125"/>
  <c r="Q69" i="125"/>
  <c r="R69" i="125"/>
  <c r="S69" i="125"/>
  <c r="AK69" i="125"/>
  <c r="Q45" i="125"/>
  <c r="R45" i="125"/>
  <c r="S45" i="125"/>
  <c r="AK45" i="125"/>
  <c r="Q68" i="125"/>
  <c r="R68" i="125"/>
  <c r="S68" i="125"/>
  <c r="AK68" i="125"/>
  <c r="Q63" i="125"/>
  <c r="R63" i="125"/>
  <c r="S63" i="125"/>
  <c r="AK63" i="125"/>
  <c r="Q71" i="125"/>
  <c r="R71" i="125"/>
  <c r="S71" i="125"/>
  <c r="AK71" i="125"/>
  <c r="Q58" i="126"/>
  <c r="R58" i="126"/>
  <c r="S58" i="126"/>
  <c r="AK58" i="126"/>
  <c r="Q62" i="126"/>
  <c r="R62" i="126"/>
  <c r="S62" i="126"/>
  <c r="AK62" i="126"/>
  <c r="Q68" i="126"/>
  <c r="R68" i="126"/>
  <c r="S68" i="126"/>
  <c r="AK68" i="126"/>
  <c r="Q25" i="131"/>
  <c r="R25" i="131"/>
  <c r="S25" i="131"/>
  <c r="AK25" i="131"/>
  <c r="Q11" i="131"/>
  <c r="R11" i="131"/>
  <c r="S11" i="131"/>
  <c r="AK11" i="131"/>
  <c r="Q10" i="131"/>
  <c r="R10" i="131"/>
  <c r="S10" i="131"/>
  <c r="AK10" i="131"/>
  <c r="Q32" i="131"/>
  <c r="R32" i="131"/>
  <c r="S32" i="131"/>
  <c r="AK32" i="131"/>
  <c r="Q36" i="131"/>
  <c r="R36" i="131"/>
  <c r="S36" i="131"/>
  <c r="AK36" i="131"/>
  <c r="Q40" i="131"/>
  <c r="R40" i="131"/>
  <c r="S40" i="131"/>
  <c r="AK40" i="131"/>
  <c r="Q43" i="131"/>
  <c r="R43" i="131"/>
  <c r="S43" i="131"/>
  <c r="AK43" i="131"/>
  <c r="Q33" i="131"/>
  <c r="R33" i="131"/>
  <c r="S33" i="131"/>
  <c r="AK33" i="131"/>
  <c r="Q37" i="131"/>
  <c r="R37" i="131"/>
  <c r="S37" i="131"/>
  <c r="AK37" i="131"/>
  <c r="Q55" i="131"/>
  <c r="R55" i="131"/>
  <c r="S55" i="131"/>
  <c r="AK55" i="131"/>
  <c r="Q57" i="131"/>
  <c r="R57" i="131"/>
  <c r="S57" i="131"/>
  <c r="AK57" i="131"/>
  <c r="Q60" i="131"/>
  <c r="R60" i="131"/>
  <c r="S60" i="131"/>
  <c r="AK60" i="131"/>
  <c r="Q64" i="131"/>
  <c r="R64" i="131"/>
  <c r="S64" i="131"/>
  <c r="AK64" i="131"/>
  <c r="Q66" i="131"/>
  <c r="R66" i="131"/>
  <c r="S66" i="131"/>
  <c r="AK66" i="131"/>
  <c r="Q68" i="131"/>
  <c r="R68" i="131"/>
  <c r="S68" i="131"/>
  <c r="AK68" i="131"/>
  <c r="Q70" i="131"/>
  <c r="R70" i="131"/>
  <c r="S70" i="131"/>
  <c r="AK70" i="131"/>
  <c r="Q72" i="131"/>
  <c r="R72" i="131"/>
  <c r="S72" i="131"/>
  <c r="AK72" i="131"/>
  <c r="Q61" i="131"/>
  <c r="R61" i="131"/>
  <c r="S61" i="131"/>
  <c r="AK61" i="131"/>
  <c r="Q16" i="128"/>
  <c r="R16" i="128"/>
  <c r="S16" i="128"/>
  <c r="AK16" i="128"/>
  <c r="Q20" i="128"/>
  <c r="R20" i="128"/>
  <c r="S20" i="128"/>
  <c r="AK20" i="128"/>
  <c r="Q24" i="128"/>
  <c r="R24" i="128"/>
  <c r="S24" i="128"/>
  <c r="AK24" i="128"/>
  <c r="Q9" i="128"/>
  <c r="R9" i="128"/>
  <c r="S9" i="128"/>
  <c r="AK9" i="128"/>
  <c r="Q13" i="128"/>
  <c r="R13" i="128"/>
  <c r="S13" i="128"/>
  <c r="AK13" i="128"/>
  <c r="Q56" i="128"/>
  <c r="R56" i="128"/>
  <c r="S56" i="128"/>
  <c r="AK56" i="128"/>
  <c r="Q63" i="128"/>
  <c r="R63" i="128"/>
  <c r="S63" i="128"/>
  <c r="AK63" i="128"/>
  <c r="Q65" i="128"/>
  <c r="R65" i="128"/>
  <c r="S65" i="128"/>
  <c r="AK65" i="128"/>
  <c r="Q67" i="128"/>
  <c r="R67" i="128"/>
  <c r="S67" i="128"/>
  <c r="AK67" i="128"/>
  <c r="Q71" i="128"/>
  <c r="R71" i="128"/>
  <c r="S71" i="128"/>
  <c r="AK71" i="128"/>
  <c r="Q75" i="128"/>
  <c r="R75" i="128"/>
  <c r="S75" i="128"/>
  <c r="AK75" i="128"/>
  <c r="Q53" i="128"/>
  <c r="R53" i="128"/>
  <c r="S53" i="128"/>
  <c r="AK53" i="128"/>
  <c r="Q57" i="128"/>
  <c r="R57" i="128"/>
  <c r="S57" i="128"/>
  <c r="AK57" i="128"/>
  <c r="Q33" i="127"/>
  <c r="R33" i="127"/>
  <c r="S33" i="127"/>
  <c r="AK33" i="127"/>
  <c r="Q37" i="127"/>
  <c r="R37" i="127"/>
  <c r="S37" i="127"/>
  <c r="AK37" i="127"/>
  <c r="Q41" i="127"/>
  <c r="R41" i="127"/>
  <c r="S41" i="127"/>
  <c r="AK41" i="127"/>
  <c r="Q45" i="127"/>
  <c r="R45" i="127"/>
  <c r="S45" i="127"/>
  <c r="AK45" i="127"/>
  <c r="Q49" i="127"/>
  <c r="R49" i="127"/>
  <c r="S49" i="127"/>
  <c r="AK49" i="127"/>
  <c r="Q57" i="127"/>
  <c r="R57" i="127"/>
  <c r="S57" i="127"/>
  <c r="AK57" i="127"/>
  <c r="Q61" i="127"/>
  <c r="R61" i="127"/>
  <c r="S61" i="127"/>
  <c r="AK61" i="127"/>
  <c r="Q65" i="127"/>
  <c r="R65" i="127"/>
  <c r="S65" i="127"/>
  <c r="AK65" i="127"/>
  <c r="Q69" i="127"/>
  <c r="R69" i="127"/>
  <c r="S69" i="127"/>
  <c r="AK69" i="127"/>
  <c r="Q73" i="127"/>
  <c r="R73" i="127"/>
  <c r="S73" i="127"/>
  <c r="AK73" i="127"/>
  <c r="Q53" i="127"/>
  <c r="R53" i="127"/>
  <c r="S53" i="127"/>
  <c r="AK53" i="127"/>
  <c r="Q8" i="126"/>
  <c r="R8" i="126"/>
  <c r="S8" i="126"/>
  <c r="AK8" i="126"/>
  <c r="Q12" i="126"/>
  <c r="R12" i="126"/>
  <c r="S12" i="126"/>
  <c r="AK12" i="126"/>
  <c r="Q16" i="126"/>
  <c r="R16" i="126"/>
  <c r="S16" i="126"/>
  <c r="AK16" i="126"/>
  <c r="Q20" i="126"/>
  <c r="R20" i="126"/>
  <c r="S20" i="126"/>
  <c r="AK20" i="126"/>
  <c r="Q24" i="126"/>
  <c r="R24" i="126"/>
  <c r="S24" i="126"/>
  <c r="AK24" i="126"/>
  <c r="Q28" i="126"/>
  <c r="R28" i="126"/>
  <c r="S28" i="126"/>
  <c r="AK28" i="126"/>
  <c r="Q9" i="126"/>
  <c r="R9" i="126"/>
  <c r="S9" i="126"/>
  <c r="AK9" i="126"/>
  <c r="Q13" i="126"/>
  <c r="R13" i="126"/>
  <c r="S13" i="126"/>
  <c r="AK13" i="126"/>
  <c r="Q17" i="126"/>
  <c r="R17" i="126"/>
  <c r="S17" i="126"/>
  <c r="AK17" i="126"/>
  <c r="Q21" i="126"/>
  <c r="R21" i="126"/>
  <c r="S21" i="126"/>
  <c r="AK21" i="126"/>
  <c r="Q25" i="126"/>
  <c r="R25" i="126"/>
  <c r="S25" i="126"/>
  <c r="AK25" i="126"/>
  <c r="Q29" i="126"/>
  <c r="R29" i="126"/>
  <c r="S29" i="126"/>
  <c r="AK29" i="126"/>
  <c r="Q33" i="126"/>
  <c r="R33" i="126"/>
  <c r="S33" i="126"/>
  <c r="AK33" i="126"/>
  <c r="Q37" i="126"/>
  <c r="R37" i="126"/>
  <c r="S37" i="126"/>
  <c r="AK37" i="126"/>
  <c r="Q41" i="126"/>
  <c r="R41" i="126"/>
  <c r="S41" i="126"/>
  <c r="AK41" i="126"/>
  <c r="Q45" i="126"/>
  <c r="R45" i="126"/>
  <c r="S45" i="126"/>
  <c r="AK45" i="126"/>
  <c r="Q49" i="126"/>
  <c r="R49" i="126"/>
  <c r="S49" i="126"/>
  <c r="AK49" i="126"/>
  <c r="Q32" i="126"/>
  <c r="R32" i="126"/>
  <c r="S32" i="126"/>
  <c r="AK32" i="126"/>
  <c r="Q36" i="126"/>
  <c r="R36" i="126"/>
  <c r="S36" i="126"/>
  <c r="AK36" i="126"/>
  <c r="Q40" i="126"/>
  <c r="R40" i="126"/>
  <c r="S40" i="126"/>
  <c r="AK40" i="126"/>
  <c r="Q44" i="126"/>
  <c r="R44" i="126"/>
  <c r="S44" i="126"/>
  <c r="AK44" i="126"/>
  <c r="Q48" i="126"/>
  <c r="R48" i="126"/>
  <c r="S48" i="126"/>
  <c r="AK48" i="126"/>
  <c r="Q52" i="126"/>
  <c r="R52" i="126"/>
  <c r="S52" i="126"/>
  <c r="AK52" i="126"/>
  <c r="Q57" i="126"/>
  <c r="R57" i="126"/>
  <c r="S57" i="126"/>
  <c r="AK57" i="126"/>
  <c r="Q61" i="126"/>
  <c r="R61" i="126"/>
  <c r="S61" i="126"/>
  <c r="AK61" i="126"/>
  <c r="Q65" i="126"/>
  <c r="R65" i="126"/>
  <c r="S65" i="126"/>
  <c r="AK65" i="126"/>
  <c r="Q69" i="126"/>
  <c r="R69" i="126"/>
  <c r="S69" i="126"/>
  <c r="AK69" i="126"/>
  <c r="Q73" i="126"/>
  <c r="R73" i="126"/>
  <c r="S73" i="126"/>
  <c r="AK73" i="126"/>
  <c r="Q53" i="126"/>
  <c r="R53" i="126"/>
  <c r="S53" i="126"/>
  <c r="AK53" i="126"/>
  <c r="Q11" i="125"/>
  <c r="R11" i="125"/>
  <c r="S11" i="125"/>
  <c r="AK11" i="125"/>
  <c r="Q15" i="125"/>
  <c r="R15" i="125"/>
  <c r="S15" i="125"/>
  <c r="AK15" i="125"/>
  <c r="Q19" i="125"/>
  <c r="R19" i="125"/>
  <c r="S19" i="125"/>
  <c r="AK19" i="125"/>
  <c r="Q23" i="125"/>
  <c r="R23" i="125"/>
  <c r="S23" i="125"/>
  <c r="AK23" i="125"/>
  <c r="Q27" i="125"/>
  <c r="R27" i="125"/>
  <c r="S27" i="125"/>
  <c r="AK27" i="125"/>
  <c r="Q10" i="125"/>
  <c r="R10" i="125"/>
  <c r="S10" i="125"/>
  <c r="AK10" i="125"/>
  <c r="Q14" i="125"/>
  <c r="R14" i="125"/>
  <c r="S14" i="125"/>
  <c r="AK14" i="125"/>
  <c r="Q18" i="125"/>
  <c r="R18" i="125"/>
  <c r="S18" i="125"/>
  <c r="AK18" i="125"/>
  <c r="Q22" i="125"/>
  <c r="R22" i="125"/>
  <c r="S22" i="125"/>
  <c r="AK22" i="125"/>
  <c r="Q26" i="125"/>
  <c r="R26" i="125"/>
  <c r="S26" i="125"/>
  <c r="AK26" i="125"/>
  <c r="Q29" i="125"/>
  <c r="R29" i="125"/>
  <c r="S29" i="125"/>
  <c r="AK29" i="125"/>
  <c r="Q33" i="125"/>
  <c r="R33" i="125"/>
  <c r="S33" i="125"/>
  <c r="AK33" i="125"/>
  <c r="Q37" i="125"/>
  <c r="R37" i="125"/>
  <c r="S37" i="125"/>
  <c r="AK37" i="125"/>
  <c r="Q48" i="125"/>
  <c r="R48" i="125"/>
  <c r="S48" i="125"/>
  <c r="AK48" i="125"/>
  <c r="Q52" i="125"/>
  <c r="R52" i="125"/>
  <c r="S52" i="125"/>
  <c r="AK52" i="125"/>
  <c r="Q30" i="125"/>
  <c r="R30" i="125"/>
  <c r="S30" i="125"/>
  <c r="AK30" i="125"/>
  <c r="Q34" i="125"/>
  <c r="R34" i="125"/>
  <c r="S34" i="125"/>
  <c r="AK34" i="125"/>
  <c r="Q38" i="125"/>
  <c r="R38" i="125"/>
  <c r="S38" i="125"/>
  <c r="AK38" i="125"/>
  <c r="Q49" i="125"/>
  <c r="R49" i="125"/>
  <c r="S49" i="125"/>
  <c r="AK49" i="125"/>
  <c r="Q53" i="125"/>
  <c r="R53" i="125"/>
  <c r="S53" i="125"/>
  <c r="AK53" i="125"/>
  <c r="Q39" i="125"/>
  <c r="R39" i="125"/>
  <c r="S39" i="125"/>
  <c r="AK39" i="125"/>
  <c r="Q41" i="125"/>
  <c r="R41" i="125"/>
  <c r="S41" i="125"/>
  <c r="AK41" i="125"/>
  <c r="Q43" i="125"/>
  <c r="R43" i="125"/>
  <c r="S43" i="125"/>
  <c r="AK43" i="125"/>
  <c r="Q60" i="125"/>
  <c r="R60" i="125"/>
  <c r="S60" i="125"/>
  <c r="AK60" i="125"/>
  <c r="Q72" i="125"/>
  <c r="R72" i="125"/>
  <c r="S72" i="125"/>
  <c r="AK72" i="125"/>
  <c r="Q59" i="125"/>
  <c r="R59" i="125"/>
  <c r="S59" i="125"/>
  <c r="AK59" i="125"/>
  <c r="Q67" i="125"/>
  <c r="R67" i="125"/>
  <c r="S67" i="125"/>
  <c r="AK67" i="125"/>
  <c r="Q40" i="127"/>
  <c r="R40" i="127"/>
  <c r="S40" i="127"/>
  <c r="AK40" i="127"/>
  <c r="Q30" i="127"/>
  <c r="R30" i="127"/>
  <c r="S30" i="127"/>
  <c r="AK30" i="127"/>
  <c r="Q14" i="127"/>
  <c r="R14" i="127"/>
  <c r="S14" i="127"/>
  <c r="AK14" i="127"/>
  <c r="Q22" i="127"/>
  <c r="R22" i="127"/>
  <c r="S22" i="127"/>
  <c r="AK22" i="127"/>
  <c r="Q21" i="128"/>
  <c r="R21" i="128"/>
  <c r="S21" i="128"/>
  <c r="AK21" i="128"/>
  <c r="Q10" i="127"/>
  <c r="R10" i="127"/>
  <c r="S10" i="127"/>
  <c r="AK10" i="127"/>
  <c r="Q18" i="127"/>
  <c r="R18" i="127"/>
  <c r="S18" i="127"/>
  <c r="AK18" i="127"/>
  <c r="Q52" i="128"/>
  <c r="R52" i="128"/>
  <c r="S52" i="128"/>
  <c r="AK52" i="128"/>
  <c r="Q29" i="128"/>
  <c r="R29" i="128"/>
  <c r="S29" i="128"/>
  <c r="AK29" i="128"/>
  <c r="Q32" i="127"/>
  <c r="R32" i="127"/>
  <c r="S32" i="127"/>
  <c r="AK32" i="127"/>
  <c r="Q48" i="127"/>
  <c r="R48" i="127"/>
  <c r="S48" i="127"/>
  <c r="AK48" i="127"/>
  <c r="Q17" i="128"/>
  <c r="R17" i="128"/>
  <c r="S17" i="128"/>
  <c r="AK17" i="128"/>
  <c r="Q25" i="128"/>
  <c r="R25" i="128"/>
  <c r="S25" i="128"/>
  <c r="AK25" i="128"/>
  <c r="Q50" i="128"/>
  <c r="R50" i="128"/>
  <c r="S50" i="128"/>
  <c r="AK50" i="128"/>
  <c r="Q35" i="128"/>
  <c r="R35" i="128"/>
  <c r="S35" i="128"/>
  <c r="AK35" i="128"/>
  <c r="Q36" i="127"/>
  <c r="R36" i="127"/>
  <c r="S36" i="127"/>
  <c r="AK36" i="127"/>
  <c r="Q44" i="127"/>
  <c r="R44" i="127"/>
  <c r="S44" i="127"/>
  <c r="AK44" i="127"/>
  <c r="Q52" i="127"/>
  <c r="R52" i="127"/>
  <c r="S52" i="127"/>
  <c r="AK52" i="127"/>
  <c r="Q62" i="128"/>
  <c r="R62" i="128"/>
  <c r="S62" i="128"/>
  <c r="AK62" i="128"/>
  <c r="Q38" i="128"/>
  <c r="R38" i="128"/>
  <c r="S38" i="128"/>
  <c r="AK38" i="128"/>
  <c r="Q59" i="128"/>
  <c r="R59" i="128"/>
  <c r="S59" i="128"/>
  <c r="AK59" i="128"/>
  <c r="Q74" i="128"/>
  <c r="R74" i="128"/>
  <c r="S74" i="128"/>
  <c r="AK74" i="128"/>
  <c r="Q46" i="128"/>
  <c r="R46" i="128"/>
  <c r="S46" i="128"/>
  <c r="AK46" i="128"/>
  <c r="Q43" i="128"/>
  <c r="R43" i="128"/>
  <c r="S43" i="128"/>
  <c r="AK43" i="128"/>
  <c r="Q61" i="128"/>
  <c r="R61" i="128"/>
  <c r="S61" i="128"/>
  <c r="AK61" i="128"/>
  <c r="Q12" i="128"/>
  <c r="R12" i="128"/>
  <c r="S12" i="128"/>
  <c r="AK12" i="128"/>
  <c r="Q34" i="128"/>
  <c r="R34" i="128"/>
  <c r="S34" i="128"/>
  <c r="AK34" i="128"/>
  <c r="Q42" i="128"/>
  <c r="R42" i="128"/>
  <c r="S42" i="128"/>
  <c r="AK42" i="128"/>
  <c r="Q31" i="128"/>
  <c r="R31" i="128"/>
  <c r="S31" i="128"/>
  <c r="AK31" i="128"/>
  <c r="Q39" i="128"/>
  <c r="R39" i="128"/>
  <c r="S39" i="128"/>
  <c r="AK39" i="128"/>
  <c r="Q47" i="128"/>
  <c r="R47" i="128"/>
  <c r="S47" i="128"/>
  <c r="AK47" i="128"/>
  <c r="Q71" i="131"/>
  <c r="R71" i="131"/>
  <c r="S71" i="131"/>
  <c r="AK71" i="131"/>
  <c r="Q16" i="131"/>
  <c r="R16" i="131"/>
  <c r="S16" i="131"/>
  <c r="AK16" i="131"/>
  <c r="Q27" i="131"/>
  <c r="R27" i="131"/>
  <c r="S27" i="131"/>
  <c r="AK27" i="131"/>
  <c r="Q51" i="127"/>
  <c r="R51" i="127"/>
  <c r="S51" i="127"/>
  <c r="AK51" i="127"/>
  <c r="Q34" i="131"/>
  <c r="R34" i="131"/>
  <c r="S34" i="131"/>
  <c r="AK34" i="131"/>
  <c r="Q58" i="127"/>
  <c r="R58" i="127"/>
  <c r="S58" i="127"/>
  <c r="AK58" i="127"/>
  <c r="Q51" i="131"/>
  <c r="R51" i="131"/>
  <c r="S51" i="131"/>
  <c r="AK51" i="131"/>
  <c r="Q53" i="131"/>
  <c r="R53" i="131"/>
  <c r="S53" i="131"/>
  <c r="AK53" i="131"/>
  <c r="Q58" i="131"/>
  <c r="R58" i="131"/>
  <c r="S58" i="131"/>
  <c r="AK58" i="131"/>
  <c r="Q8" i="128"/>
  <c r="R8" i="128"/>
  <c r="S8" i="128"/>
  <c r="AK8" i="128"/>
  <c r="Q33" i="128"/>
  <c r="R33" i="128"/>
  <c r="S33" i="128"/>
  <c r="AK33" i="128"/>
  <c r="Q20" i="127"/>
  <c r="R20" i="127"/>
  <c r="S20" i="127"/>
  <c r="AK20" i="127"/>
  <c r="Q63" i="127"/>
  <c r="R63" i="127"/>
  <c r="S63" i="127"/>
  <c r="AK63" i="127"/>
  <c r="Q22" i="128"/>
  <c r="R22" i="128"/>
  <c r="S22" i="128"/>
  <c r="AK22" i="128"/>
  <c r="Q54" i="127"/>
  <c r="R54" i="127"/>
  <c r="S54" i="127"/>
  <c r="AK54" i="127"/>
  <c r="Q18" i="131"/>
  <c r="R18" i="131"/>
  <c r="S18" i="131"/>
  <c r="AK18" i="131"/>
  <c r="Q14" i="131"/>
  <c r="R14" i="131"/>
  <c r="S14" i="131"/>
  <c r="AK14" i="131"/>
  <c r="Q20" i="131"/>
  <c r="R20" i="131"/>
  <c r="S20" i="131"/>
  <c r="AK20" i="131"/>
  <c r="Q24" i="131"/>
  <c r="R24" i="131"/>
  <c r="S24" i="131"/>
  <c r="AK24" i="131"/>
  <c r="Q41" i="131"/>
  <c r="R41" i="131"/>
  <c r="S41" i="131"/>
  <c r="AK41" i="131"/>
  <c r="Q75" i="131"/>
  <c r="R75" i="131"/>
  <c r="S75" i="131"/>
  <c r="AK75" i="131"/>
  <c r="Q49" i="128"/>
  <c r="R49" i="128"/>
  <c r="S49" i="128"/>
  <c r="AK49" i="128"/>
  <c r="Q55" i="128"/>
  <c r="R55" i="128"/>
  <c r="S55" i="128"/>
  <c r="AK55" i="128"/>
  <c r="Q35" i="127"/>
  <c r="R35" i="127"/>
  <c r="S35" i="127"/>
  <c r="AK35" i="127"/>
  <c r="Q46" i="127"/>
  <c r="R46" i="127"/>
  <c r="S46" i="127"/>
  <c r="AK46" i="127"/>
  <c r="Q45" i="131"/>
  <c r="R45" i="131"/>
  <c r="S45" i="131"/>
  <c r="AK45" i="131"/>
  <c r="Q42" i="131"/>
  <c r="R42" i="131"/>
  <c r="S42" i="131"/>
  <c r="AK42" i="131"/>
  <c r="Q14" i="128"/>
  <c r="R14" i="128"/>
  <c r="S14" i="128"/>
  <c r="AK14" i="128"/>
  <c r="Q11" i="128"/>
  <c r="R11" i="128"/>
  <c r="S11" i="128"/>
  <c r="AK11" i="128"/>
  <c r="Q31" i="131"/>
  <c r="R31" i="131"/>
  <c r="S31" i="131"/>
  <c r="AK31" i="131"/>
  <c r="Q41" i="128"/>
  <c r="R41" i="128"/>
  <c r="S41" i="128"/>
  <c r="AK41" i="128"/>
  <c r="Q58" i="128"/>
  <c r="R58" i="128"/>
  <c r="S58" i="128"/>
  <c r="AK58" i="128"/>
  <c r="Q66" i="128"/>
  <c r="R66" i="128"/>
  <c r="S66" i="128"/>
  <c r="AK66" i="128"/>
  <c r="Q12" i="127"/>
  <c r="R12" i="127"/>
  <c r="S12" i="127"/>
  <c r="AK12" i="127"/>
  <c r="Q28" i="127"/>
  <c r="R28" i="127"/>
  <c r="S28" i="127"/>
  <c r="AK28" i="127"/>
  <c r="Q43" i="127"/>
  <c r="R43" i="127"/>
  <c r="S43" i="127"/>
  <c r="AK43" i="127"/>
  <c r="Q38" i="127"/>
  <c r="R38" i="127"/>
  <c r="S38" i="127"/>
  <c r="AK38" i="127"/>
  <c r="Q55" i="127"/>
  <c r="R55" i="127"/>
  <c r="S55" i="127"/>
  <c r="AK55" i="127"/>
  <c r="Q71" i="127"/>
  <c r="R71" i="127"/>
  <c r="S71" i="127"/>
  <c r="AK71" i="127"/>
  <c r="Q66" i="126"/>
  <c r="R66" i="126"/>
  <c r="S66" i="126"/>
  <c r="AK66" i="126"/>
  <c r="Q72" i="128"/>
  <c r="R72" i="128"/>
  <c r="S72" i="128"/>
  <c r="AK72" i="128"/>
  <c r="Q49" i="131"/>
  <c r="R49" i="131"/>
  <c r="S49" i="131"/>
  <c r="AK49" i="131"/>
  <c r="Q10" i="128"/>
  <c r="R10" i="128"/>
  <c r="S10" i="128"/>
  <c r="AK10" i="128"/>
  <c r="Q18" i="128"/>
  <c r="R18" i="128"/>
  <c r="S18" i="128"/>
  <c r="AK18" i="128"/>
  <c r="Q26" i="128"/>
  <c r="R26" i="128"/>
  <c r="S26" i="128"/>
  <c r="AK26" i="128"/>
  <c r="Q37" i="128"/>
  <c r="R37" i="128"/>
  <c r="S37" i="128"/>
  <c r="AK37" i="128"/>
  <c r="Q45" i="128"/>
  <c r="R45" i="128"/>
  <c r="S45" i="128"/>
  <c r="AK45" i="128"/>
  <c r="Q54" i="128"/>
  <c r="R54" i="128"/>
  <c r="S54" i="128"/>
  <c r="AK54" i="128"/>
  <c r="Q60" i="128"/>
  <c r="R60" i="128"/>
  <c r="S60" i="128"/>
  <c r="AK60" i="128"/>
  <c r="Q64" i="128"/>
  <c r="R64" i="128"/>
  <c r="S64" i="128"/>
  <c r="AK64" i="128"/>
  <c r="Q51" i="128"/>
  <c r="R51" i="128"/>
  <c r="S51" i="128"/>
  <c r="AK51" i="128"/>
  <c r="Q8" i="127"/>
  <c r="R8" i="127"/>
  <c r="S8" i="127"/>
  <c r="AK8" i="127"/>
  <c r="Q16" i="127"/>
  <c r="R16" i="127"/>
  <c r="S16" i="127"/>
  <c r="AK16" i="127"/>
  <c r="Q24" i="127"/>
  <c r="R24" i="127"/>
  <c r="S24" i="127"/>
  <c r="AK24" i="127"/>
  <c r="Q31" i="127"/>
  <c r="R31" i="127"/>
  <c r="S31" i="127"/>
  <c r="AK31" i="127"/>
  <c r="Q39" i="127"/>
  <c r="R39" i="127"/>
  <c r="S39" i="127"/>
  <c r="AK39" i="127"/>
  <c r="Q47" i="127"/>
  <c r="R47" i="127"/>
  <c r="S47" i="127"/>
  <c r="AK47" i="127"/>
  <c r="Q34" i="127"/>
  <c r="R34" i="127"/>
  <c r="S34" i="127"/>
  <c r="AK34" i="127"/>
  <c r="Q42" i="127"/>
  <c r="R42" i="127"/>
  <c r="S42" i="127"/>
  <c r="AK42" i="127"/>
  <c r="Q50" i="127"/>
  <c r="R50" i="127"/>
  <c r="S50" i="127"/>
  <c r="AK50" i="127"/>
  <c r="Q59" i="127"/>
  <c r="R59" i="127"/>
  <c r="S59" i="127"/>
  <c r="AK59" i="127"/>
  <c r="Q67" i="127"/>
  <c r="R67" i="127"/>
  <c r="S67" i="127"/>
  <c r="AK67" i="127"/>
  <c r="Q75" i="127"/>
  <c r="R75" i="127"/>
  <c r="S75" i="127"/>
  <c r="AK75" i="127"/>
  <c r="Q29" i="131"/>
  <c r="R29" i="131"/>
  <c r="S29" i="131"/>
  <c r="AK29" i="131"/>
  <c r="Q26" i="127"/>
  <c r="R26" i="127"/>
  <c r="S26" i="127"/>
  <c r="AK26" i="127"/>
  <c r="Q65" i="131"/>
  <c r="R65" i="131"/>
  <c r="S65" i="131"/>
  <c r="AK65" i="131"/>
  <c r="Q50" i="131"/>
  <c r="R50" i="131"/>
  <c r="S50" i="131"/>
  <c r="AK50" i="131"/>
  <c r="Q30" i="131"/>
  <c r="R30" i="131"/>
  <c r="S30" i="131"/>
  <c r="AK30" i="131"/>
  <c r="Q36" i="128"/>
  <c r="R36" i="128"/>
  <c r="S36" i="128"/>
  <c r="AK36" i="128"/>
  <c r="Q23" i="131"/>
  <c r="R23" i="131"/>
  <c r="S23" i="131"/>
  <c r="AK23" i="131"/>
  <c r="Q47" i="131"/>
  <c r="R47" i="131"/>
  <c r="S47" i="131"/>
  <c r="AK47" i="131"/>
  <c r="Q13" i="127"/>
  <c r="R13" i="127"/>
  <c r="S13" i="127"/>
  <c r="AK13" i="127"/>
  <c r="Q28" i="128"/>
  <c r="R28" i="128"/>
  <c r="S28" i="128"/>
  <c r="AK28" i="128"/>
  <c r="Q72" i="126"/>
  <c r="R72" i="126"/>
  <c r="S72" i="126"/>
  <c r="AK72" i="126"/>
  <c r="Q70" i="127"/>
  <c r="R70" i="127"/>
  <c r="S70" i="127"/>
  <c r="AK70" i="127"/>
  <c r="Q72" i="127"/>
  <c r="R72" i="127"/>
  <c r="S72" i="127"/>
  <c r="AK72" i="127"/>
  <c r="Q74" i="127"/>
  <c r="R74" i="127"/>
  <c r="S74" i="127"/>
  <c r="AK74" i="127"/>
  <c r="Q64" i="126"/>
  <c r="R64" i="126"/>
  <c r="S64" i="126"/>
  <c r="AK64" i="126"/>
  <c r="Q66" i="127"/>
  <c r="R66" i="127"/>
  <c r="S66" i="127"/>
  <c r="AK66" i="127"/>
  <c r="Q74" i="126"/>
  <c r="R74" i="126"/>
  <c r="S74" i="126"/>
  <c r="AK74" i="126"/>
  <c r="Q25" i="127"/>
  <c r="R25" i="127"/>
  <c r="S25" i="127"/>
  <c r="AK25" i="127"/>
  <c r="Q74" i="131"/>
  <c r="R74" i="131"/>
  <c r="S74" i="131"/>
  <c r="AK74" i="131"/>
  <c r="Q48" i="131"/>
  <c r="R48" i="131"/>
  <c r="S48" i="131"/>
  <c r="AK48" i="131"/>
  <c r="Q54" i="126"/>
  <c r="R54" i="126"/>
  <c r="S54" i="126"/>
  <c r="AK54" i="126"/>
  <c r="Q56" i="126"/>
  <c r="R56" i="126"/>
  <c r="S56" i="126"/>
  <c r="AK56" i="126"/>
  <c r="Q21" i="127"/>
  <c r="R21" i="127"/>
  <c r="S21" i="127"/>
  <c r="AK21" i="127"/>
  <c r="Q11" i="127"/>
  <c r="R11" i="127"/>
  <c r="S11" i="127"/>
  <c r="AK11" i="127"/>
  <c r="Q60" i="127"/>
  <c r="R60" i="127"/>
  <c r="S60" i="127"/>
  <c r="AK60" i="127"/>
  <c r="Q68" i="127"/>
  <c r="R68" i="127"/>
  <c r="S68" i="127"/>
  <c r="AK68" i="127"/>
  <c r="Q56" i="127"/>
  <c r="R56" i="127"/>
  <c r="S56" i="127"/>
  <c r="AK56" i="127"/>
  <c r="Q28" i="131"/>
  <c r="R28" i="131"/>
  <c r="S28" i="131"/>
  <c r="AK28" i="131"/>
  <c r="Q29" i="127"/>
  <c r="R29" i="127"/>
  <c r="S29" i="127"/>
  <c r="AK29" i="127"/>
  <c r="Q9" i="127"/>
  <c r="R9" i="127"/>
  <c r="S9" i="127"/>
  <c r="AK9" i="127"/>
  <c r="Q19" i="127"/>
  <c r="R19" i="127"/>
  <c r="S19" i="127"/>
  <c r="AK19" i="127"/>
  <c r="Q46" i="131"/>
  <c r="R46" i="131"/>
  <c r="S46" i="131"/>
  <c r="AK46" i="131"/>
  <c r="Q27" i="127"/>
  <c r="R27" i="127"/>
  <c r="S27" i="127"/>
  <c r="AK27" i="127"/>
  <c r="Q68" i="128"/>
  <c r="R68" i="128"/>
  <c r="S68" i="128"/>
  <c r="AK68" i="128"/>
  <c r="Q64" i="127"/>
  <c r="R64" i="127"/>
  <c r="S64" i="127"/>
  <c r="AK64" i="127"/>
  <c r="Q23" i="127"/>
  <c r="R23" i="127"/>
  <c r="S23" i="127"/>
  <c r="AK23" i="127"/>
  <c r="Q62" i="127"/>
  <c r="R62" i="127"/>
  <c r="S62" i="127"/>
  <c r="AK62" i="127"/>
  <c r="Q15" i="128"/>
  <c r="R15" i="128"/>
  <c r="S15" i="128"/>
  <c r="AK15" i="128"/>
  <c r="Q15" i="127"/>
  <c r="R15" i="127"/>
  <c r="S15" i="127"/>
  <c r="AK15" i="127"/>
  <c r="Q7" i="126"/>
  <c r="Q76" i="126"/>
  <c r="R7" i="126"/>
  <c r="Q7" i="127"/>
  <c r="Q7" i="131"/>
  <c r="Q76" i="131"/>
  <c r="R7" i="131"/>
  <c r="R76" i="126"/>
  <c r="S7" i="126"/>
  <c r="Q76" i="127"/>
  <c r="R7" i="127"/>
  <c r="Q82" i="126"/>
  <c r="Q7" i="125"/>
  <c r="Q7" i="128"/>
  <c r="R76" i="127"/>
  <c r="S7" i="127"/>
  <c r="S76" i="126"/>
  <c r="AK7" i="126"/>
  <c r="AK76" i="126"/>
  <c r="R76" i="131"/>
  <c r="S7" i="131"/>
  <c r="Q76" i="128"/>
  <c r="R7" i="128"/>
  <c r="Q76" i="125"/>
  <c r="R7" i="125"/>
  <c r="Q82" i="127"/>
  <c r="R82" i="126"/>
  <c r="Q82" i="131"/>
  <c r="R76" i="125"/>
  <c r="S7" i="125"/>
  <c r="S7" i="128"/>
  <c r="R76" i="128"/>
  <c r="AK7" i="131"/>
  <c r="AK76" i="131"/>
  <c r="S76" i="131"/>
  <c r="AK82" i="126"/>
  <c r="AK7" i="127"/>
  <c r="AK76" i="127"/>
  <c r="S76" i="127"/>
  <c r="Q82" i="125"/>
  <c r="Q82" i="128"/>
  <c r="R82" i="131"/>
  <c r="S82" i="126"/>
  <c r="R82" i="127"/>
  <c r="S82" i="127"/>
  <c r="S82" i="131"/>
  <c r="R82" i="128"/>
  <c r="S76" i="125"/>
  <c r="AK7" i="125"/>
  <c r="AK76" i="125"/>
  <c r="AK82" i="127"/>
  <c r="AK82" i="131"/>
  <c r="S76" i="128"/>
  <c r="AK7" i="128"/>
  <c r="AK76" i="128"/>
  <c r="R82" i="125"/>
  <c r="AK82" i="128"/>
  <c r="AK82" i="125"/>
  <c r="S82" i="128"/>
  <c r="S82" i="125"/>
  <c r="Q41" i="120"/>
  <c r="R41" i="120"/>
  <c r="S41" i="120"/>
  <c r="AK41" i="120"/>
  <c r="Q65" i="120"/>
  <c r="R65" i="120"/>
  <c r="S65" i="120"/>
  <c r="AK65" i="120"/>
  <c r="Q25" i="120"/>
  <c r="R25" i="120"/>
  <c r="S25" i="120"/>
  <c r="AK25" i="120"/>
  <c r="Q33" i="120"/>
  <c r="R33" i="120"/>
  <c r="S33" i="120"/>
  <c r="AK33" i="120"/>
  <c r="Q75" i="120"/>
  <c r="R75" i="120"/>
  <c r="S75" i="120"/>
  <c r="AK75" i="120"/>
  <c r="Q17" i="120"/>
  <c r="R17" i="120"/>
  <c r="S17" i="120"/>
  <c r="AK17" i="120"/>
  <c r="Q38" i="120"/>
  <c r="R38" i="120"/>
  <c r="S38" i="120"/>
  <c r="AK38" i="120"/>
  <c r="Q73" i="120"/>
  <c r="R73" i="120"/>
  <c r="S73" i="120"/>
  <c r="AK73" i="120"/>
  <c r="Q55" i="120"/>
  <c r="R55" i="120"/>
  <c r="S55" i="120"/>
  <c r="AK55" i="120"/>
  <c r="Q72" i="120"/>
  <c r="R72" i="120"/>
  <c r="S72" i="120"/>
  <c r="AK72" i="120"/>
  <c r="Q11" i="120"/>
  <c r="R11" i="120"/>
  <c r="S11" i="120"/>
  <c r="AK11" i="120"/>
  <c r="Q45" i="120"/>
  <c r="R45" i="120"/>
  <c r="S45" i="120"/>
  <c r="AK45" i="120"/>
  <c r="Q40" i="120"/>
  <c r="R40" i="120"/>
  <c r="S40" i="120"/>
  <c r="AK40" i="120"/>
  <c r="Q24" i="120"/>
  <c r="R24" i="120"/>
  <c r="S24" i="120"/>
  <c r="AK24" i="120"/>
  <c r="Q18" i="120"/>
  <c r="R18" i="120"/>
  <c r="S18" i="120"/>
  <c r="AK18" i="120"/>
  <c r="Q59" i="120"/>
  <c r="R59" i="120"/>
  <c r="S59" i="120"/>
  <c r="AK59" i="120"/>
  <c r="Q63" i="120"/>
  <c r="R63" i="120"/>
  <c r="S63" i="120"/>
  <c r="AK63" i="120"/>
  <c r="Q36" i="120"/>
  <c r="R36" i="120"/>
  <c r="S36" i="120"/>
  <c r="AK36" i="120"/>
  <c r="Q66" i="120"/>
  <c r="R66" i="120"/>
  <c r="S66" i="120"/>
  <c r="AK66" i="120"/>
  <c r="Q52" i="120"/>
  <c r="R52" i="120"/>
  <c r="S52" i="120"/>
  <c r="AK52" i="120"/>
  <c r="Q21" i="120"/>
  <c r="R21" i="120"/>
  <c r="S21" i="120"/>
  <c r="AK21" i="120"/>
  <c r="Q74" i="120"/>
  <c r="R74" i="120"/>
  <c r="S74" i="120"/>
  <c r="AK74" i="120"/>
  <c r="Q37" i="120"/>
  <c r="R37" i="120"/>
  <c r="S37" i="120"/>
  <c r="AK37" i="120"/>
  <c r="Q13" i="120"/>
  <c r="R13" i="120"/>
  <c r="S13" i="120"/>
  <c r="AK13" i="120"/>
  <c r="Q39" i="120"/>
  <c r="R39" i="120"/>
  <c r="S39" i="120"/>
  <c r="AK39" i="120"/>
  <c r="Q14" i="120"/>
  <c r="R14" i="120"/>
  <c r="S14" i="120"/>
  <c r="AK14" i="120"/>
  <c r="Q62" i="120"/>
  <c r="R62" i="120"/>
  <c r="S62" i="120"/>
  <c r="AK62" i="120"/>
  <c r="Q50" i="120"/>
  <c r="R50" i="120"/>
  <c r="S50" i="120"/>
  <c r="AK50" i="120"/>
  <c r="Q68" i="120"/>
  <c r="R68" i="120"/>
  <c r="S68" i="120"/>
  <c r="AK68" i="120"/>
  <c r="Q54" i="120"/>
  <c r="R54" i="120"/>
  <c r="S54" i="120"/>
  <c r="AK54" i="120"/>
  <c r="Q49" i="120"/>
  <c r="R49" i="120"/>
  <c r="S49" i="120"/>
  <c r="AK49" i="120"/>
  <c r="Q46" i="120"/>
  <c r="R46" i="120"/>
  <c r="S46" i="120"/>
  <c r="AK46" i="120"/>
  <c r="Q47" i="120"/>
  <c r="R47" i="120"/>
  <c r="S47" i="120"/>
  <c r="AK47" i="120"/>
  <c r="Q35" i="120"/>
  <c r="R35" i="120"/>
  <c r="S35" i="120"/>
  <c r="AK35" i="120"/>
  <c r="Q24" i="118"/>
  <c r="R24" i="118"/>
  <c r="S24" i="118"/>
  <c r="AK24" i="118"/>
  <c r="Q59" i="118"/>
  <c r="R59" i="118"/>
  <c r="S59" i="118"/>
  <c r="AK59" i="118"/>
  <c r="Q49" i="118"/>
  <c r="R49" i="118"/>
  <c r="S49" i="118"/>
  <c r="AK49" i="118"/>
  <c r="Q63" i="118"/>
  <c r="R63" i="118"/>
  <c r="S63" i="118"/>
  <c r="AK63" i="118"/>
  <c r="Q36" i="118"/>
  <c r="R36" i="118"/>
  <c r="S36" i="118"/>
  <c r="AK36" i="118"/>
  <c r="Q66" i="118"/>
  <c r="R66" i="118"/>
  <c r="S66" i="118"/>
  <c r="AK66" i="118"/>
  <c r="Q46" i="118"/>
  <c r="R46" i="118"/>
  <c r="S46" i="118"/>
  <c r="AK46" i="118"/>
  <c r="Q65" i="118"/>
  <c r="R65" i="118"/>
  <c r="S65" i="118"/>
  <c r="AK65" i="118"/>
  <c r="Q53" i="120"/>
  <c r="R53" i="120"/>
  <c r="S53" i="120"/>
  <c r="AK53" i="120"/>
  <c r="Q57" i="120"/>
  <c r="R57" i="120"/>
  <c r="S57" i="120"/>
  <c r="AK57" i="120"/>
  <c r="Q51" i="120"/>
  <c r="R51" i="120"/>
  <c r="S51" i="120"/>
  <c r="AK51" i="120"/>
  <c r="Q43" i="120"/>
  <c r="R43" i="120"/>
  <c r="S43" i="120"/>
  <c r="AK43" i="120"/>
  <c r="Q12" i="120"/>
  <c r="R12" i="120"/>
  <c r="S12" i="120"/>
  <c r="AK12" i="120"/>
  <c r="Q19" i="120"/>
  <c r="R19" i="120"/>
  <c r="S19" i="120"/>
  <c r="AK19" i="120"/>
  <c r="Q9" i="120"/>
  <c r="R9" i="120"/>
  <c r="S9" i="120"/>
  <c r="AK9" i="120"/>
  <c r="Q60" i="120"/>
  <c r="R60" i="120"/>
  <c r="S60" i="120"/>
  <c r="AK60" i="120"/>
  <c r="Q61" i="120"/>
  <c r="R61" i="120"/>
  <c r="S61" i="120"/>
  <c r="AK61" i="120"/>
  <c r="Q44" i="120"/>
  <c r="R44" i="120"/>
  <c r="S44" i="120"/>
  <c r="AK44" i="120"/>
  <c r="Q10" i="120"/>
  <c r="R10" i="120"/>
  <c r="S10" i="120"/>
  <c r="AK10" i="120"/>
  <c r="Q32" i="120"/>
  <c r="R32" i="120"/>
  <c r="S32" i="120"/>
  <c r="AK32" i="120"/>
  <c r="Q64" i="120"/>
  <c r="R64" i="120"/>
  <c r="S64" i="120"/>
  <c r="AK64" i="120"/>
  <c r="Q8" i="120"/>
  <c r="R8" i="120"/>
  <c r="S8" i="120"/>
  <c r="AK8" i="120"/>
  <c r="Q28" i="120"/>
  <c r="R28" i="120"/>
  <c r="S28" i="120"/>
  <c r="AK28" i="120"/>
  <c r="Q67" i="120"/>
  <c r="R67" i="120"/>
  <c r="S67" i="120"/>
  <c r="AK67" i="120"/>
  <c r="Q34" i="120"/>
  <c r="R34" i="120"/>
  <c r="S34" i="120"/>
  <c r="AK34" i="120"/>
  <c r="Q70" i="120"/>
  <c r="R70" i="120"/>
  <c r="S70" i="120"/>
  <c r="AK70" i="120"/>
  <c r="Q42" i="120"/>
  <c r="R42" i="120"/>
  <c r="S42" i="120"/>
  <c r="AK42" i="120"/>
  <c r="Q31" i="120"/>
  <c r="R31" i="120"/>
  <c r="S31" i="120"/>
  <c r="AK31" i="120"/>
  <c r="Q16" i="120"/>
  <c r="R16" i="120"/>
  <c r="S16" i="120"/>
  <c r="AK16" i="120"/>
  <c r="Q23" i="120"/>
  <c r="R23" i="120"/>
  <c r="S23" i="120"/>
  <c r="AK23" i="120"/>
  <c r="Q26" i="120"/>
  <c r="R26" i="120"/>
  <c r="S26" i="120"/>
  <c r="AK26" i="120"/>
  <c r="Q22" i="120"/>
  <c r="R22" i="120"/>
  <c r="S22" i="120"/>
  <c r="AK22" i="120"/>
  <c r="Q56" i="120"/>
  <c r="R56" i="120"/>
  <c r="S56" i="120"/>
  <c r="AK56" i="120"/>
  <c r="Q30" i="120"/>
  <c r="R30" i="120"/>
  <c r="S30" i="120"/>
  <c r="AK30" i="120"/>
  <c r="Q48" i="120"/>
  <c r="R48" i="120"/>
  <c r="S48" i="120"/>
  <c r="AK48" i="120"/>
  <c r="Q69" i="120"/>
  <c r="R69" i="120"/>
  <c r="S69" i="120"/>
  <c r="AK69" i="120"/>
  <c r="Q29" i="120"/>
  <c r="R29" i="120"/>
  <c r="S29" i="120"/>
  <c r="AK29" i="120"/>
  <c r="Q58" i="120"/>
  <c r="R58" i="120"/>
  <c r="S58" i="120"/>
  <c r="AK58" i="120"/>
  <c r="Q27" i="120"/>
  <c r="R27" i="120"/>
  <c r="S27" i="120"/>
  <c r="AK27" i="120"/>
  <c r="Q20" i="120"/>
  <c r="R20" i="120"/>
  <c r="S20" i="120"/>
  <c r="AK20" i="120"/>
  <c r="Q71" i="120"/>
  <c r="R71" i="120"/>
  <c r="S71" i="120"/>
  <c r="AK71" i="120"/>
  <c r="Q76" i="114"/>
  <c r="R76" i="114"/>
  <c r="S76" i="114"/>
  <c r="AK76" i="114"/>
  <c r="Q18" i="115"/>
  <c r="R18" i="115"/>
  <c r="S18" i="115"/>
  <c r="AK18" i="115"/>
  <c r="Q18" i="117"/>
  <c r="R18" i="117"/>
  <c r="S18" i="117"/>
  <c r="AK18" i="117"/>
  <c r="Q24" i="115"/>
  <c r="R24" i="115"/>
  <c r="S24" i="115"/>
  <c r="AK24" i="115"/>
  <c r="Q39" i="117"/>
  <c r="R39" i="117"/>
  <c r="S39" i="117"/>
  <c r="AK39" i="117"/>
  <c r="Q11" i="115"/>
  <c r="R11" i="115"/>
  <c r="S11" i="115"/>
  <c r="AK11" i="115"/>
  <c r="Q68" i="117"/>
  <c r="R68" i="117"/>
  <c r="S68" i="117"/>
  <c r="AK68" i="117"/>
  <c r="Q72" i="115"/>
  <c r="R72" i="115"/>
  <c r="S72" i="115"/>
  <c r="AK72" i="115"/>
  <c r="Q72" i="117"/>
  <c r="R72" i="117"/>
  <c r="S72" i="117"/>
  <c r="AK72" i="117"/>
  <c r="Q50" i="117"/>
  <c r="R50" i="117"/>
  <c r="S50" i="117"/>
  <c r="AK50" i="117"/>
  <c r="Q55" i="117"/>
  <c r="R55" i="117"/>
  <c r="S55" i="117"/>
  <c r="AK55" i="117"/>
  <c r="Q38" i="115"/>
  <c r="R38" i="115"/>
  <c r="S38" i="115"/>
  <c r="AK38" i="115"/>
  <c r="Q46" i="115"/>
  <c r="R46" i="115"/>
  <c r="S46" i="115"/>
  <c r="AK46" i="115"/>
  <c r="Q40" i="115"/>
  <c r="R40" i="115"/>
  <c r="S40" i="115"/>
  <c r="AK40" i="115"/>
  <c r="Q40" i="117"/>
  <c r="R40" i="117"/>
  <c r="S40" i="117"/>
  <c r="AK40" i="117"/>
  <c r="Q45" i="115"/>
  <c r="R45" i="115"/>
  <c r="S45" i="115"/>
  <c r="AK45" i="115"/>
  <c r="Q45" i="117"/>
  <c r="R45" i="117"/>
  <c r="S45" i="117"/>
  <c r="AK45" i="117"/>
  <c r="Q35" i="115"/>
  <c r="R35" i="115"/>
  <c r="S35" i="115"/>
  <c r="AK35" i="115"/>
  <c r="Q35" i="117"/>
  <c r="R35" i="117"/>
  <c r="S35" i="117"/>
  <c r="AK35" i="117"/>
  <c r="Q74" i="117"/>
  <c r="R74" i="117"/>
  <c r="S74" i="117"/>
  <c r="AK74" i="117"/>
  <c r="Q52" i="115"/>
  <c r="R52" i="115"/>
  <c r="S52" i="115"/>
  <c r="AK52" i="115"/>
  <c r="Q17" i="115"/>
  <c r="R17" i="115"/>
  <c r="S17" i="115"/>
  <c r="AK17" i="115"/>
  <c r="Q17" i="117"/>
  <c r="R17" i="117"/>
  <c r="S17" i="117"/>
  <c r="AK17" i="117"/>
  <c r="Q62" i="115"/>
  <c r="R62" i="115"/>
  <c r="S62" i="115"/>
  <c r="AK62" i="115"/>
  <c r="Q66" i="115"/>
  <c r="R66" i="115"/>
  <c r="S66" i="115"/>
  <c r="AK66" i="115"/>
  <c r="Q66" i="117"/>
  <c r="R66" i="117"/>
  <c r="S66" i="117"/>
  <c r="AK66" i="117"/>
  <c r="Q36" i="115"/>
  <c r="R36" i="115"/>
  <c r="S36" i="115"/>
  <c r="AK36" i="115"/>
  <c r="Q49" i="115"/>
  <c r="R49" i="115"/>
  <c r="S49" i="115"/>
  <c r="AK49" i="115"/>
  <c r="Q49" i="117"/>
  <c r="R49" i="117"/>
  <c r="S49" i="117"/>
  <c r="AK49" i="117"/>
  <c r="Q59" i="117"/>
  <c r="R59" i="117"/>
  <c r="S59" i="117"/>
  <c r="AK59" i="117"/>
  <c r="Q24" i="117"/>
  <c r="R24" i="117"/>
  <c r="S24" i="117"/>
  <c r="AK24" i="117"/>
  <c r="Q11" i="117"/>
  <c r="R11" i="117"/>
  <c r="S11" i="117"/>
  <c r="AK11" i="117"/>
  <c r="Q62" i="117"/>
  <c r="R62" i="117"/>
  <c r="S62" i="117"/>
  <c r="AK62" i="117"/>
  <c r="Q75" i="115"/>
  <c r="R75" i="115"/>
  <c r="S75" i="115"/>
  <c r="AK75" i="115"/>
  <c r="Q14" i="115"/>
  <c r="R14" i="115"/>
  <c r="S14" i="115"/>
  <c r="AK14" i="115"/>
  <c r="Q14" i="117"/>
  <c r="R14" i="117"/>
  <c r="S14" i="117"/>
  <c r="AK14" i="117"/>
  <c r="Q33" i="117"/>
  <c r="R33" i="117"/>
  <c r="S33" i="117"/>
  <c r="AK33" i="117"/>
  <c r="Q25" i="117"/>
  <c r="R25" i="117"/>
  <c r="S25" i="117"/>
  <c r="AK25" i="117"/>
  <c r="Q65" i="115"/>
  <c r="R65" i="115"/>
  <c r="S65" i="115"/>
  <c r="AK65" i="115"/>
  <c r="Q41" i="115"/>
  <c r="R41" i="115"/>
  <c r="S41" i="115"/>
  <c r="AK41" i="115"/>
  <c r="Q41" i="117"/>
  <c r="R41" i="117"/>
  <c r="S41" i="117"/>
  <c r="AK41" i="117"/>
  <c r="Q54" i="115"/>
  <c r="R54" i="115"/>
  <c r="S54" i="115"/>
  <c r="AK54" i="115"/>
  <c r="Q13" i="115"/>
  <c r="R13" i="115"/>
  <c r="S13" i="115"/>
  <c r="AK13" i="115"/>
  <c r="Q37" i="117"/>
  <c r="R37" i="117"/>
  <c r="S37" i="117"/>
  <c r="AK37" i="117"/>
  <c r="Q74" i="115"/>
  <c r="R74" i="115"/>
  <c r="S74" i="115"/>
  <c r="AK74" i="115"/>
  <c r="Q47" i="115"/>
  <c r="R47" i="115"/>
  <c r="S47" i="115"/>
  <c r="AK47" i="115"/>
  <c r="Q21" i="115"/>
  <c r="R21" i="115"/>
  <c r="S21" i="115"/>
  <c r="AK21" i="115"/>
  <c r="Q21" i="117"/>
  <c r="R21" i="117"/>
  <c r="S21" i="117"/>
  <c r="AK21" i="117"/>
  <c r="Q52" i="117"/>
  <c r="R52" i="117"/>
  <c r="S52" i="117"/>
  <c r="AK52" i="117"/>
  <c r="Q36" i="117"/>
  <c r="R36" i="117"/>
  <c r="S36" i="117"/>
  <c r="AK36" i="117"/>
  <c r="Q63" i="115"/>
  <c r="R63" i="115"/>
  <c r="S63" i="115"/>
  <c r="AK63" i="115"/>
  <c r="Q63" i="117"/>
  <c r="R63" i="117"/>
  <c r="S63" i="117"/>
  <c r="AK63" i="117"/>
  <c r="Q39" i="115"/>
  <c r="R39" i="115"/>
  <c r="S39" i="115"/>
  <c r="AK39" i="115"/>
  <c r="Q75" i="117"/>
  <c r="R75" i="117"/>
  <c r="S75" i="117"/>
  <c r="AK75" i="117"/>
  <c r="Q33" i="115"/>
  <c r="R33" i="115"/>
  <c r="S33" i="115"/>
  <c r="AK33" i="115"/>
  <c r="Q25" i="115"/>
  <c r="R25" i="115"/>
  <c r="S25" i="115"/>
  <c r="AK25" i="115"/>
  <c r="Q65" i="117"/>
  <c r="R65" i="117"/>
  <c r="S65" i="117"/>
  <c r="AK65" i="117"/>
  <c r="Q54" i="117"/>
  <c r="R54" i="117"/>
  <c r="S54" i="117"/>
  <c r="AK54" i="117"/>
  <c r="Q13" i="117"/>
  <c r="R13" i="117"/>
  <c r="S13" i="117"/>
  <c r="AK13" i="117"/>
  <c r="Q37" i="115"/>
  <c r="R37" i="115"/>
  <c r="S37" i="115"/>
  <c r="AK37" i="115"/>
  <c r="Q47" i="117"/>
  <c r="R47" i="117"/>
  <c r="S47" i="117"/>
  <c r="AK47" i="117"/>
  <c r="Q59" i="115"/>
  <c r="R59" i="115"/>
  <c r="S59" i="115"/>
  <c r="AK59" i="115"/>
  <c r="Q68" i="115"/>
  <c r="R68" i="115"/>
  <c r="S68" i="115"/>
  <c r="AK68" i="115"/>
  <c r="Q50" i="115"/>
  <c r="R50" i="115"/>
  <c r="S50" i="115"/>
  <c r="AK50" i="115"/>
  <c r="Q55" i="115"/>
  <c r="R55" i="115"/>
  <c r="S55" i="115"/>
  <c r="AK55" i="115"/>
  <c r="Q73" i="115"/>
  <c r="R73" i="115"/>
  <c r="S73" i="115"/>
  <c r="AK73" i="115"/>
  <c r="Q73" i="117"/>
  <c r="R73" i="117"/>
  <c r="S73" i="117"/>
  <c r="AK73" i="117"/>
  <c r="Q38" i="117"/>
  <c r="R38" i="117"/>
  <c r="S38" i="117"/>
  <c r="AK38" i="117"/>
  <c r="Q46" i="117"/>
  <c r="R46" i="117"/>
  <c r="S46" i="117"/>
  <c r="AK46" i="117"/>
  <c r="Q13" i="114"/>
  <c r="R13" i="114"/>
  <c r="S13" i="114"/>
  <c r="AK13" i="114"/>
  <c r="Q13" i="118"/>
  <c r="R13" i="118"/>
  <c r="S13" i="118"/>
  <c r="AK13" i="118"/>
  <c r="Q75" i="119"/>
  <c r="R75" i="119"/>
  <c r="S75" i="119"/>
  <c r="AK75" i="119"/>
  <c r="Q35" i="114"/>
  <c r="R35" i="114"/>
  <c r="S35" i="114"/>
  <c r="AK35" i="114"/>
  <c r="Q37" i="114"/>
  <c r="R37" i="114"/>
  <c r="S37" i="114"/>
  <c r="AK37" i="114"/>
  <c r="Q65" i="119"/>
  <c r="R65" i="119"/>
  <c r="S65" i="119"/>
  <c r="AK65" i="119"/>
  <c r="Q65" i="113"/>
  <c r="R65" i="113"/>
  <c r="S65" i="113"/>
  <c r="AK65" i="113"/>
  <c r="Q21" i="118"/>
  <c r="R21" i="118"/>
  <c r="S21" i="118"/>
  <c r="AK21" i="118"/>
  <c r="Q54" i="113"/>
  <c r="R54" i="113"/>
  <c r="S54" i="113"/>
  <c r="AK54" i="113"/>
  <c r="Q40" i="119"/>
  <c r="R40" i="119"/>
  <c r="S40" i="119"/>
  <c r="AK40" i="119"/>
  <c r="Q40" i="113"/>
  <c r="R40" i="113"/>
  <c r="S40" i="113"/>
  <c r="AK40" i="113"/>
  <c r="Q66" i="114"/>
  <c r="R66" i="114"/>
  <c r="S66" i="114"/>
  <c r="AK66" i="114"/>
  <c r="Q66" i="116"/>
  <c r="R66" i="116"/>
  <c r="S66" i="116"/>
  <c r="AK66" i="116"/>
  <c r="Q13" i="113"/>
  <c r="R13" i="113"/>
  <c r="S13" i="113"/>
  <c r="AK13" i="113"/>
  <c r="Q63" i="116"/>
  <c r="R63" i="116"/>
  <c r="S63" i="116"/>
  <c r="AK63" i="116"/>
  <c r="Q37" i="119"/>
  <c r="R37" i="119"/>
  <c r="S37" i="119"/>
  <c r="AK37" i="119"/>
  <c r="Q37" i="113"/>
  <c r="R37" i="113"/>
  <c r="S37" i="113"/>
  <c r="AK37" i="113"/>
  <c r="Q49" i="114"/>
  <c r="R49" i="114"/>
  <c r="S49" i="114"/>
  <c r="AK49" i="114"/>
  <c r="Q74" i="113"/>
  <c r="R74" i="113"/>
  <c r="S74" i="113"/>
  <c r="AK74" i="113"/>
  <c r="Q59" i="114"/>
  <c r="R59" i="114"/>
  <c r="S59" i="114"/>
  <c r="AK59" i="114"/>
  <c r="Q47" i="113"/>
  <c r="R47" i="113"/>
  <c r="S47" i="113"/>
  <c r="AK47" i="113"/>
  <c r="Q18" i="118"/>
  <c r="R18" i="118"/>
  <c r="S18" i="118"/>
  <c r="AK18" i="118"/>
  <c r="Q21" i="119"/>
  <c r="R21" i="119"/>
  <c r="S21" i="119"/>
  <c r="AK21" i="119"/>
  <c r="Q24" i="114"/>
  <c r="R24" i="114"/>
  <c r="S24" i="114"/>
  <c r="AK24" i="114"/>
  <c r="Q24" i="116"/>
  <c r="R24" i="116"/>
  <c r="S24" i="116"/>
  <c r="AK24" i="116"/>
  <c r="Q52" i="119"/>
  <c r="R52" i="119"/>
  <c r="S52" i="119"/>
  <c r="AK52" i="119"/>
  <c r="Q52" i="113"/>
  <c r="R52" i="113"/>
  <c r="S52" i="113"/>
  <c r="AK52" i="113"/>
  <c r="Q54" i="114"/>
  <c r="R54" i="114"/>
  <c r="S54" i="114"/>
  <c r="AK54" i="114"/>
  <c r="Q17" i="119"/>
  <c r="R17" i="119"/>
  <c r="S17" i="119"/>
  <c r="AK17" i="119"/>
  <c r="Q72" i="114"/>
  <c r="R72" i="114"/>
  <c r="S72" i="114"/>
  <c r="AK72" i="114"/>
  <c r="Q72" i="116"/>
  <c r="R72" i="116"/>
  <c r="S72" i="116"/>
  <c r="AK72" i="116"/>
  <c r="Q72" i="118"/>
  <c r="R72" i="118"/>
  <c r="S72" i="118"/>
  <c r="AK72" i="118"/>
  <c r="Q50" i="114"/>
  <c r="R50" i="114"/>
  <c r="S50" i="114"/>
  <c r="AK50" i="114"/>
  <c r="Q50" i="116"/>
  <c r="R50" i="116"/>
  <c r="S50" i="116"/>
  <c r="AK50" i="116"/>
  <c r="Q59" i="119"/>
  <c r="R59" i="119"/>
  <c r="S59" i="119"/>
  <c r="AK59" i="119"/>
  <c r="Q59" i="113"/>
  <c r="R59" i="113"/>
  <c r="S59" i="113"/>
  <c r="AK59" i="113"/>
  <c r="Q55" i="114"/>
  <c r="R55" i="114"/>
  <c r="S55" i="114"/>
  <c r="AK55" i="114"/>
  <c r="Q18" i="119"/>
  <c r="R18" i="119"/>
  <c r="S18" i="119"/>
  <c r="AK18" i="119"/>
  <c r="Q73" i="116"/>
  <c r="R73" i="116"/>
  <c r="S73" i="116"/>
  <c r="AK73" i="116"/>
  <c r="Q73" i="118"/>
  <c r="R73" i="118"/>
  <c r="S73" i="118"/>
  <c r="AK73" i="118"/>
  <c r="Q24" i="113"/>
  <c r="R24" i="113"/>
  <c r="S24" i="113"/>
  <c r="AK24" i="113"/>
  <c r="Q38" i="114"/>
  <c r="R38" i="114"/>
  <c r="S38" i="114"/>
  <c r="AK38" i="114"/>
  <c r="Q38" i="116"/>
  <c r="R38" i="116"/>
  <c r="S38" i="116"/>
  <c r="AK38" i="116"/>
  <c r="Q17" i="114"/>
  <c r="R17" i="114"/>
  <c r="S17" i="114"/>
  <c r="AK17" i="114"/>
  <c r="Q17" i="116"/>
  <c r="R17" i="116"/>
  <c r="S17" i="116"/>
  <c r="AK17" i="116"/>
  <c r="Q11" i="113"/>
  <c r="R11" i="113"/>
  <c r="S11" i="113"/>
  <c r="AK11" i="113"/>
  <c r="Q62" i="114"/>
  <c r="R62" i="114"/>
  <c r="S62" i="114"/>
  <c r="AK62" i="114"/>
  <c r="Q68" i="113"/>
  <c r="R68" i="113"/>
  <c r="S68" i="113"/>
  <c r="AK68" i="113"/>
  <c r="Q75" i="118"/>
  <c r="R75" i="118"/>
  <c r="S75" i="118"/>
  <c r="AK75" i="118"/>
  <c r="Q72" i="119"/>
  <c r="R72" i="119"/>
  <c r="S72" i="119"/>
  <c r="AK72" i="119"/>
  <c r="Q38" i="119"/>
  <c r="R38" i="119"/>
  <c r="S38" i="119"/>
  <c r="AK38" i="119"/>
  <c r="Q41" i="114"/>
  <c r="R41" i="114"/>
  <c r="S41" i="114"/>
  <c r="AK41" i="114"/>
  <c r="Q41" i="118"/>
  <c r="R41" i="118"/>
  <c r="S41" i="118"/>
  <c r="AK41" i="118"/>
  <c r="Q45" i="119"/>
  <c r="R45" i="119"/>
  <c r="S45" i="119"/>
  <c r="AK45" i="119"/>
  <c r="Q45" i="113"/>
  <c r="R45" i="113"/>
  <c r="S45" i="113"/>
  <c r="AK45" i="113"/>
  <c r="Q74" i="119"/>
  <c r="R74" i="119"/>
  <c r="S74" i="119"/>
  <c r="AK74" i="119"/>
  <c r="Q59" i="116"/>
  <c r="R59" i="116"/>
  <c r="S59" i="116"/>
  <c r="AK59" i="116"/>
  <c r="Q66" i="119"/>
  <c r="R66" i="119"/>
  <c r="S66" i="119"/>
  <c r="AK66" i="119"/>
  <c r="Q66" i="113"/>
  <c r="R66" i="113"/>
  <c r="S66" i="113"/>
  <c r="AK66" i="113"/>
  <c r="Q68" i="114"/>
  <c r="R68" i="114"/>
  <c r="S68" i="114"/>
  <c r="AK68" i="114"/>
  <c r="Q68" i="116"/>
  <c r="R68" i="116"/>
  <c r="S68" i="116"/>
  <c r="AK68" i="116"/>
  <c r="Q63" i="113"/>
  <c r="R63" i="113"/>
  <c r="S63" i="113"/>
  <c r="AK63" i="113"/>
  <c r="Q49" i="119"/>
  <c r="R49" i="119"/>
  <c r="S49" i="119"/>
  <c r="AK49" i="119"/>
  <c r="Q49" i="113"/>
  <c r="R49" i="113"/>
  <c r="S49" i="113"/>
  <c r="AK49" i="113"/>
  <c r="Q50" i="118"/>
  <c r="R50" i="118"/>
  <c r="S50" i="118"/>
  <c r="AK50" i="118"/>
  <c r="Q55" i="116"/>
  <c r="R55" i="116"/>
  <c r="S55" i="116"/>
  <c r="AK55" i="116"/>
  <c r="Q55" i="118"/>
  <c r="R55" i="118"/>
  <c r="S55" i="118"/>
  <c r="AK55" i="118"/>
  <c r="Q18" i="113"/>
  <c r="R18" i="113"/>
  <c r="S18" i="113"/>
  <c r="AK18" i="113"/>
  <c r="Q73" i="114"/>
  <c r="R73" i="114"/>
  <c r="S73" i="114"/>
  <c r="AK73" i="114"/>
  <c r="Q24" i="119"/>
  <c r="R24" i="119"/>
  <c r="S24" i="119"/>
  <c r="AK24" i="119"/>
  <c r="Q38" i="118"/>
  <c r="R38" i="118"/>
  <c r="S38" i="118"/>
  <c r="AK38" i="118"/>
  <c r="Q39" i="119"/>
  <c r="R39" i="119"/>
  <c r="S39" i="119"/>
  <c r="AK39" i="119"/>
  <c r="Q39" i="113"/>
  <c r="R39" i="113"/>
  <c r="S39" i="113"/>
  <c r="AK39" i="113"/>
  <c r="Q17" i="118"/>
  <c r="R17" i="118"/>
  <c r="S17" i="118"/>
  <c r="AK17" i="118"/>
  <c r="Q11" i="119"/>
  <c r="R11" i="119"/>
  <c r="S11" i="119"/>
  <c r="AK11" i="119"/>
  <c r="Q62" i="113"/>
  <c r="R62" i="113"/>
  <c r="S62" i="113"/>
  <c r="AK62" i="113"/>
  <c r="Q13" i="116"/>
  <c r="R13" i="116"/>
  <c r="S13" i="116"/>
  <c r="AK13" i="116"/>
  <c r="Q75" i="113"/>
  <c r="R75" i="113"/>
  <c r="S75" i="113"/>
  <c r="AK75" i="113"/>
  <c r="Q35" i="118"/>
  <c r="R35" i="118"/>
  <c r="S35" i="118"/>
  <c r="AK35" i="118"/>
  <c r="Q14" i="119"/>
  <c r="R14" i="119"/>
  <c r="S14" i="119"/>
  <c r="AK14" i="119"/>
  <c r="Q37" i="116"/>
  <c r="R37" i="116"/>
  <c r="S37" i="116"/>
  <c r="AK37" i="116"/>
  <c r="Q37" i="118"/>
  <c r="R37" i="118"/>
  <c r="S37" i="118"/>
  <c r="AK37" i="118"/>
  <c r="Q33" i="113"/>
  <c r="R33" i="113"/>
  <c r="S33" i="113"/>
  <c r="AK33" i="113"/>
  <c r="Q74" i="118"/>
  <c r="R74" i="118"/>
  <c r="S74" i="118"/>
  <c r="AK74" i="118"/>
  <c r="Q25" i="119"/>
  <c r="R25" i="119"/>
  <c r="S25" i="119"/>
  <c r="AK25" i="119"/>
  <c r="Q47" i="114"/>
  <c r="R47" i="114"/>
  <c r="S47" i="114"/>
  <c r="AK47" i="114"/>
  <c r="Q41" i="119"/>
  <c r="R41" i="119"/>
  <c r="S41" i="119"/>
  <c r="AK41" i="119"/>
  <c r="Q52" i="114"/>
  <c r="R52" i="114"/>
  <c r="S52" i="114"/>
  <c r="AK52" i="114"/>
  <c r="Q52" i="116"/>
  <c r="R52" i="116"/>
  <c r="S52" i="116"/>
  <c r="AK52" i="116"/>
  <c r="Q45" i="114"/>
  <c r="R45" i="114"/>
  <c r="S45" i="114"/>
  <c r="AK45" i="114"/>
  <c r="Q45" i="116"/>
  <c r="R45" i="116"/>
  <c r="S45" i="116"/>
  <c r="AK45" i="116"/>
  <c r="Q45" i="118"/>
  <c r="R45" i="118"/>
  <c r="S45" i="118"/>
  <c r="AK45" i="118"/>
  <c r="Q11" i="114"/>
  <c r="R11" i="114"/>
  <c r="S11" i="114"/>
  <c r="AK11" i="114"/>
  <c r="Q11" i="116"/>
  <c r="R11" i="116"/>
  <c r="S11" i="116"/>
  <c r="AK11" i="116"/>
  <c r="Q11" i="118"/>
  <c r="R11" i="118"/>
  <c r="S11" i="118"/>
  <c r="AK11" i="118"/>
  <c r="Q36" i="119"/>
  <c r="R36" i="119"/>
  <c r="S36" i="119"/>
  <c r="AK36" i="119"/>
  <c r="Q36" i="113"/>
  <c r="R36" i="113"/>
  <c r="S36" i="113"/>
  <c r="AK36" i="113"/>
  <c r="Q68" i="118"/>
  <c r="R68" i="118"/>
  <c r="S68" i="118"/>
  <c r="AK68" i="118"/>
  <c r="Q63" i="119"/>
  <c r="R63" i="119"/>
  <c r="S63" i="119"/>
  <c r="AK63" i="119"/>
  <c r="Q14" i="114"/>
  <c r="R14" i="114"/>
  <c r="S14" i="114"/>
  <c r="AK14" i="114"/>
  <c r="Q14" i="116"/>
  <c r="R14" i="116"/>
  <c r="S14" i="116"/>
  <c r="AK14" i="116"/>
  <c r="Q14" i="118"/>
  <c r="R14" i="118"/>
  <c r="S14" i="118"/>
  <c r="AK14" i="118"/>
  <c r="Q50" i="113"/>
  <c r="R50" i="113"/>
  <c r="S50" i="113"/>
  <c r="AK50" i="113"/>
  <c r="Q33" i="118"/>
  <c r="R33" i="118"/>
  <c r="S33" i="118"/>
  <c r="AK33" i="118"/>
  <c r="Q25" i="114"/>
  <c r="R25" i="114"/>
  <c r="S25" i="114"/>
  <c r="AK25" i="114"/>
  <c r="Q25" i="116"/>
  <c r="R25" i="116"/>
  <c r="S25" i="116"/>
  <c r="AK25" i="116"/>
  <c r="Q73" i="113"/>
  <c r="R73" i="113"/>
  <c r="S73" i="113"/>
  <c r="AK73" i="113"/>
  <c r="Q39" i="118"/>
  <c r="R39" i="118"/>
  <c r="S39" i="118"/>
  <c r="AK39" i="118"/>
  <c r="Q62" i="119"/>
  <c r="R62" i="119"/>
  <c r="S62" i="119"/>
  <c r="AK62" i="119"/>
  <c r="Q35" i="116"/>
  <c r="R35" i="116"/>
  <c r="S35" i="116"/>
  <c r="AK35" i="116"/>
  <c r="Q14" i="113"/>
  <c r="R14" i="113"/>
  <c r="S14" i="113"/>
  <c r="AK14" i="113"/>
  <c r="Q33" i="119"/>
  <c r="R33" i="119"/>
  <c r="S33" i="119"/>
  <c r="AK33" i="119"/>
  <c r="Q74" i="114"/>
  <c r="R74" i="114"/>
  <c r="S74" i="114"/>
  <c r="AK74" i="114"/>
  <c r="Q74" i="116"/>
  <c r="R74" i="116"/>
  <c r="S74" i="116"/>
  <c r="AK74" i="116"/>
  <c r="Q25" i="113"/>
  <c r="R25" i="113"/>
  <c r="S25" i="113"/>
  <c r="AK25" i="113"/>
  <c r="Q47" i="116"/>
  <c r="R47" i="116"/>
  <c r="S47" i="116"/>
  <c r="AK47" i="116"/>
  <c r="Q47" i="118"/>
  <c r="R47" i="118"/>
  <c r="S47" i="118"/>
  <c r="AK47" i="118"/>
  <c r="Q21" i="114"/>
  <c r="R21" i="114"/>
  <c r="S21" i="114"/>
  <c r="AK21" i="114"/>
  <c r="Q21" i="116"/>
  <c r="R21" i="116"/>
  <c r="S21" i="116"/>
  <c r="AK21" i="116"/>
  <c r="Q41" i="113"/>
  <c r="R41" i="113"/>
  <c r="S41" i="113"/>
  <c r="AK41" i="113"/>
  <c r="Q52" i="118"/>
  <c r="R52" i="118"/>
  <c r="S52" i="118"/>
  <c r="AK52" i="118"/>
  <c r="Q54" i="119"/>
  <c r="R54" i="119"/>
  <c r="S54" i="119"/>
  <c r="AK54" i="119"/>
  <c r="Q46" i="114"/>
  <c r="R46" i="114"/>
  <c r="S46" i="114"/>
  <c r="AK46" i="114"/>
  <c r="Q46" i="116"/>
  <c r="R46" i="116"/>
  <c r="S46" i="116"/>
  <c r="AK46" i="116"/>
  <c r="Q13" i="119"/>
  <c r="R13" i="119"/>
  <c r="S13" i="119"/>
  <c r="AK13" i="119"/>
  <c r="Q36" i="114"/>
  <c r="R36" i="114"/>
  <c r="S36" i="114"/>
  <c r="AK36" i="114"/>
  <c r="Q36" i="116"/>
  <c r="R36" i="116"/>
  <c r="S36" i="116"/>
  <c r="AK36" i="116"/>
  <c r="Q35" i="119"/>
  <c r="R35" i="119"/>
  <c r="S35" i="119"/>
  <c r="AK35" i="119"/>
  <c r="Q35" i="113"/>
  <c r="R35" i="113"/>
  <c r="S35" i="113"/>
  <c r="AK35" i="113"/>
  <c r="Q63" i="114"/>
  <c r="R63" i="114"/>
  <c r="S63" i="114"/>
  <c r="AK63" i="114"/>
  <c r="Q49" i="116"/>
  <c r="R49" i="116"/>
  <c r="S49" i="116"/>
  <c r="AK49" i="116"/>
  <c r="Q47" i="119"/>
  <c r="R47" i="119"/>
  <c r="S47" i="119"/>
  <c r="AK47" i="119"/>
  <c r="Q18" i="114"/>
  <c r="R18" i="114"/>
  <c r="S18" i="114"/>
  <c r="AK18" i="114"/>
  <c r="Q18" i="116"/>
  <c r="R18" i="116"/>
  <c r="S18" i="116"/>
  <c r="AK18" i="116"/>
  <c r="Q21" i="113"/>
  <c r="R21" i="113"/>
  <c r="S21" i="113"/>
  <c r="AK21" i="113"/>
  <c r="Q54" i="116"/>
  <c r="R54" i="116"/>
  <c r="S54" i="116"/>
  <c r="AK54" i="116"/>
  <c r="Q54" i="118"/>
  <c r="R54" i="118"/>
  <c r="S54" i="118"/>
  <c r="AK54" i="118"/>
  <c r="Q17" i="113"/>
  <c r="R17" i="113"/>
  <c r="S17" i="113"/>
  <c r="AK17" i="113"/>
  <c r="Q40" i="114"/>
  <c r="R40" i="114"/>
  <c r="S40" i="114"/>
  <c r="AK40" i="114"/>
  <c r="Q40" i="116"/>
  <c r="R40" i="116"/>
  <c r="S40" i="116"/>
  <c r="AK40" i="116"/>
  <c r="Q40" i="118"/>
  <c r="R40" i="118"/>
  <c r="S40" i="118"/>
  <c r="AK40" i="118"/>
  <c r="Q62" i="116"/>
  <c r="R62" i="116"/>
  <c r="S62" i="116"/>
  <c r="AK62" i="116"/>
  <c r="Q62" i="118"/>
  <c r="R62" i="118"/>
  <c r="S62" i="118"/>
  <c r="AK62" i="118"/>
  <c r="Q68" i="119"/>
  <c r="R68" i="119"/>
  <c r="S68" i="119"/>
  <c r="AK68" i="119"/>
  <c r="Q75" i="114"/>
  <c r="R75" i="114"/>
  <c r="S75" i="114"/>
  <c r="AK75" i="114"/>
  <c r="Q75" i="116"/>
  <c r="R75" i="116"/>
  <c r="S75" i="116"/>
  <c r="AK75" i="116"/>
  <c r="Q72" i="113"/>
  <c r="R72" i="113"/>
  <c r="S72" i="113"/>
  <c r="AK72" i="113"/>
  <c r="Q50" i="119"/>
  <c r="R50" i="119"/>
  <c r="S50" i="119"/>
  <c r="AK50" i="119"/>
  <c r="Q33" i="114"/>
  <c r="R33" i="114"/>
  <c r="S33" i="114"/>
  <c r="AK33" i="114"/>
  <c r="Q33" i="116"/>
  <c r="R33" i="116"/>
  <c r="S33" i="116"/>
  <c r="AK33" i="116"/>
  <c r="Q55" i="119"/>
  <c r="R55" i="119"/>
  <c r="S55" i="119"/>
  <c r="AK55" i="119"/>
  <c r="Q55" i="113"/>
  <c r="R55" i="113"/>
  <c r="S55" i="113"/>
  <c r="AK55" i="113"/>
  <c r="Q25" i="118"/>
  <c r="R25" i="118"/>
  <c r="S25" i="118"/>
  <c r="AK25" i="118"/>
  <c r="Q73" i="119"/>
  <c r="R73" i="119"/>
  <c r="S73" i="119"/>
  <c r="AK73" i="119"/>
  <c r="Q65" i="114"/>
  <c r="R65" i="114"/>
  <c r="S65" i="114"/>
  <c r="AK65" i="114"/>
  <c r="Q65" i="116"/>
  <c r="R65" i="116"/>
  <c r="S65" i="116"/>
  <c r="AK65" i="116"/>
  <c r="Q38" i="113"/>
  <c r="R38" i="113"/>
  <c r="S38" i="113"/>
  <c r="AK38" i="113"/>
  <c r="Q41" i="116"/>
  <c r="R41" i="116"/>
  <c r="S41" i="116"/>
  <c r="AK41" i="116"/>
  <c r="Q46" i="119"/>
  <c r="R46" i="119"/>
  <c r="S46" i="119"/>
  <c r="AK46" i="119"/>
  <c r="Q46" i="113"/>
  <c r="R46" i="113"/>
  <c r="S46" i="113"/>
  <c r="AK46" i="113"/>
  <c r="Q39" i="114"/>
  <c r="R39" i="114"/>
  <c r="S39" i="114"/>
  <c r="AK39" i="114"/>
  <c r="Q39" i="116"/>
  <c r="R39" i="116"/>
  <c r="S39" i="116"/>
  <c r="AK39" i="116"/>
  <c r="R63" i="80"/>
  <c r="S63" i="80"/>
  <c r="T63" i="80"/>
  <c r="AL63" i="80"/>
  <c r="R54" i="80"/>
  <c r="S54" i="80"/>
  <c r="T54" i="80"/>
  <c r="AL54" i="80"/>
  <c r="Q42" i="115"/>
  <c r="R42" i="115"/>
  <c r="S42" i="115"/>
  <c r="AK42" i="115"/>
  <c r="R40" i="80"/>
  <c r="S40" i="80"/>
  <c r="T40" i="80"/>
  <c r="AL40" i="80"/>
  <c r="R24" i="80"/>
  <c r="S24" i="80"/>
  <c r="T24" i="80"/>
  <c r="AL24" i="80"/>
  <c r="R75" i="80"/>
  <c r="S75" i="80"/>
  <c r="T75" i="80"/>
  <c r="AL75" i="80"/>
  <c r="R62" i="80"/>
  <c r="S62" i="80"/>
  <c r="T62" i="80"/>
  <c r="AL62" i="80"/>
  <c r="Q34" i="118"/>
  <c r="R34" i="118"/>
  <c r="S34" i="118"/>
  <c r="AK34" i="118"/>
  <c r="Q15" i="120"/>
  <c r="R15" i="120"/>
  <c r="S15" i="120"/>
  <c r="AK15" i="120"/>
  <c r="AJ37" i="33"/>
  <c r="AJ36" i="33"/>
  <c r="AJ54" i="33"/>
  <c r="AJ59" i="33"/>
  <c r="AJ38" i="33"/>
  <c r="AJ49" i="33"/>
  <c r="AJ35" i="33"/>
  <c r="AJ40" i="33"/>
  <c r="AJ47" i="33"/>
  <c r="AJ55" i="33"/>
  <c r="AJ17" i="33"/>
  <c r="AJ46" i="33"/>
  <c r="AJ65" i="33"/>
  <c r="AJ63" i="33"/>
  <c r="AJ11" i="33"/>
  <c r="AJ18" i="33"/>
  <c r="AJ50" i="33"/>
  <c r="AJ74" i="33"/>
  <c r="AJ73" i="33"/>
  <c r="AJ13" i="33"/>
  <c r="Q19" i="117"/>
  <c r="R19" i="117"/>
  <c r="S19" i="117"/>
  <c r="AK19" i="117"/>
  <c r="Q57" i="115"/>
  <c r="R57" i="115"/>
  <c r="S57" i="115"/>
  <c r="AK57" i="115"/>
  <c r="Q53" i="115"/>
  <c r="R53" i="115"/>
  <c r="S53" i="115"/>
  <c r="AK53" i="115"/>
  <c r="Q58" i="115"/>
  <c r="R58" i="115"/>
  <c r="S58" i="115"/>
  <c r="AK58" i="115"/>
  <c r="Q56" i="115"/>
  <c r="R56" i="115"/>
  <c r="S56" i="115"/>
  <c r="AK56" i="115"/>
  <c r="Q56" i="117"/>
  <c r="R56" i="117"/>
  <c r="S56" i="117"/>
  <c r="AK56" i="117"/>
  <c r="Q32" i="117"/>
  <c r="R32" i="117"/>
  <c r="S32" i="117"/>
  <c r="AK32" i="117"/>
  <c r="Q22" i="115"/>
  <c r="R22" i="115"/>
  <c r="S22" i="115"/>
  <c r="AK22" i="115"/>
  <c r="Q23" i="115"/>
  <c r="R23" i="115"/>
  <c r="S23" i="115"/>
  <c r="AK23" i="115"/>
  <c r="Q61" i="115"/>
  <c r="R61" i="115"/>
  <c r="S61" i="115"/>
  <c r="AK61" i="115"/>
  <c r="Q61" i="117"/>
  <c r="R61" i="117"/>
  <c r="S61" i="117"/>
  <c r="AK61" i="117"/>
  <c r="Q60" i="117"/>
  <c r="R60" i="117"/>
  <c r="S60" i="117"/>
  <c r="AK60" i="117"/>
  <c r="Q16" i="115"/>
  <c r="R16" i="115"/>
  <c r="S16" i="115"/>
  <c r="AK16" i="115"/>
  <c r="Q31" i="115"/>
  <c r="R31" i="115"/>
  <c r="S31" i="115"/>
  <c r="AK31" i="115"/>
  <c r="Q31" i="117"/>
  <c r="R31" i="117"/>
  <c r="S31" i="117"/>
  <c r="AK31" i="117"/>
  <c r="Q9" i="115"/>
  <c r="R9" i="115"/>
  <c r="S9" i="115"/>
  <c r="AK9" i="115"/>
  <c r="R75" i="76"/>
  <c r="S75" i="76"/>
  <c r="T75" i="76"/>
  <c r="AL75" i="76"/>
  <c r="Q12" i="117"/>
  <c r="R12" i="117"/>
  <c r="S12" i="117"/>
  <c r="AK12" i="117"/>
  <c r="Q42" i="117"/>
  <c r="R42" i="117"/>
  <c r="S42" i="117"/>
  <c r="AK42" i="117"/>
  <c r="Q51" i="115"/>
  <c r="R51" i="115"/>
  <c r="S51" i="115"/>
  <c r="AK51" i="115"/>
  <c r="Q58" i="117"/>
  <c r="R58" i="117"/>
  <c r="S58" i="117"/>
  <c r="AK58" i="117"/>
  <c r="Q29" i="115"/>
  <c r="R29" i="115"/>
  <c r="S29" i="115"/>
  <c r="AK29" i="115"/>
  <c r="Q29" i="117"/>
  <c r="R29" i="117"/>
  <c r="S29" i="117"/>
  <c r="AK29" i="117"/>
  <c r="Q8" i="115"/>
  <c r="R8" i="115"/>
  <c r="S8" i="115"/>
  <c r="AK8" i="115"/>
  <c r="Q8" i="117"/>
  <c r="R8" i="117"/>
  <c r="S8" i="117"/>
  <c r="AK8" i="117"/>
  <c r="Q69" i="115"/>
  <c r="R69" i="115"/>
  <c r="S69" i="115"/>
  <c r="AK69" i="115"/>
  <c r="Q69" i="117"/>
  <c r="R69" i="117"/>
  <c r="S69" i="117"/>
  <c r="AK69" i="117"/>
  <c r="R25" i="76"/>
  <c r="S25" i="76"/>
  <c r="T25" i="76"/>
  <c r="AL25" i="76"/>
  <c r="Q16" i="117"/>
  <c r="R16" i="117"/>
  <c r="S16" i="117"/>
  <c r="AK16" i="117"/>
  <c r="Q9" i="117"/>
  <c r="R9" i="117"/>
  <c r="S9" i="117"/>
  <c r="AK9" i="117"/>
  <c r="R74" i="76"/>
  <c r="S74" i="76"/>
  <c r="T74" i="76"/>
  <c r="AL74" i="76"/>
  <c r="R33" i="76"/>
  <c r="S33" i="76"/>
  <c r="T33" i="76"/>
  <c r="AL33" i="76"/>
  <c r="R50" i="76"/>
  <c r="S50" i="76"/>
  <c r="T50" i="76"/>
  <c r="AL50" i="76"/>
  <c r="R65" i="76"/>
  <c r="S65" i="76"/>
  <c r="T65" i="76"/>
  <c r="AL65" i="76"/>
  <c r="R55" i="76"/>
  <c r="S55" i="76"/>
  <c r="T55" i="76"/>
  <c r="AL55" i="76"/>
  <c r="R39" i="76"/>
  <c r="S39" i="76"/>
  <c r="T39" i="76"/>
  <c r="AL39" i="76"/>
  <c r="R49" i="76"/>
  <c r="S49" i="76"/>
  <c r="T49" i="76"/>
  <c r="AL49" i="76"/>
  <c r="R66" i="76"/>
  <c r="S66" i="76"/>
  <c r="T66" i="76"/>
  <c r="AL66" i="76"/>
  <c r="R46" i="76"/>
  <c r="S46" i="76"/>
  <c r="T46" i="76"/>
  <c r="AL46" i="76"/>
  <c r="R37" i="76"/>
  <c r="S37" i="76"/>
  <c r="T37" i="76"/>
  <c r="AL37" i="76"/>
  <c r="R41" i="76"/>
  <c r="S41" i="76"/>
  <c r="T41" i="76"/>
  <c r="AL41" i="76"/>
  <c r="R47" i="76"/>
  <c r="S47" i="76"/>
  <c r="T47" i="76"/>
  <c r="AL47" i="76"/>
  <c r="R21" i="76"/>
  <c r="S21" i="76"/>
  <c r="T21" i="76"/>
  <c r="AL21" i="76"/>
  <c r="R62" i="76"/>
  <c r="S62" i="76"/>
  <c r="T62" i="76"/>
  <c r="AL62" i="76"/>
  <c r="R35" i="76"/>
  <c r="S35" i="76"/>
  <c r="T35" i="76"/>
  <c r="AL35" i="76"/>
  <c r="Q51" i="117"/>
  <c r="R51" i="117"/>
  <c r="S51" i="117"/>
  <c r="AK51" i="117"/>
  <c r="Q57" i="117"/>
  <c r="R57" i="117"/>
  <c r="S57" i="117"/>
  <c r="AK57" i="117"/>
  <c r="Q71" i="115"/>
  <c r="R71" i="115"/>
  <c r="S71" i="115"/>
  <c r="AK71" i="115"/>
  <c r="Q71" i="117"/>
  <c r="R71" i="117"/>
  <c r="S71" i="117"/>
  <c r="AK71" i="117"/>
  <c r="Q19" i="115"/>
  <c r="R19" i="115"/>
  <c r="S19" i="115"/>
  <c r="AK19" i="115"/>
  <c r="Q12" i="115"/>
  <c r="R12" i="115"/>
  <c r="S12" i="115"/>
  <c r="AK12" i="115"/>
  <c r="Q43" i="115"/>
  <c r="R43" i="115"/>
  <c r="S43" i="115"/>
  <c r="AK43" i="115"/>
  <c r="Q43" i="117"/>
  <c r="R43" i="117"/>
  <c r="S43" i="117"/>
  <c r="AK43" i="117"/>
  <c r="Q67" i="115"/>
  <c r="R67" i="115"/>
  <c r="S67" i="115"/>
  <c r="AK67" i="115"/>
  <c r="Q67" i="117"/>
  <c r="R67" i="117"/>
  <c r="S67" i="117"/>
  <c r="AK67" i="117"/>
  <c r="Q27" i="115"/>
  <c r="R27" i="115"/>
  <c r="S27" i="115"/>
  <c r="AK27" i="115"/>
  <c r="Q28" i="115"/>
  <c r="R28" i="115"/>
  <c r="S28" i="115"/>
  <c r="AK28" i="115"/>
  <c r="Q28" i="117"/>
  <c r="R28" i="117"/>
  <c r="S28" i="117"/>
  <c r="AK28" i="117"/>
  <c r="R52" i="76"/>
  <c r="S52" i="76"/>
  <c r="T52" i="76"/>
  <c r="AL52" i="76"/>
  <c r="Q48" i="115"/>
  <c r="R48" i="115"/>
  <c r="S48" i="115"/>
  <c r="AK48" i="115"/>
  <c r="Q48" i="117"/>
  <c r="R48" i="117"/>
  <c r="S48" i="117"/>
  <c r="AK48" i="117"/>
  <c r="Q44" i="115"/>
  <c r="R44" i="115"/>
  <c r="S44" i="115"/>
  <c r="AK44" i="115"/>
  <c r="Q44" i="117"/>
  <c r="R44" i="117"/>
  <c r="S44" i="117"/>
  <c r="AK44" i="117"/>
  <c r="Q34" i="115"/>
  <c r="R34" i="115"/>
  <c r="S34" i="115"/>
  <c r="AK34" i="115"/>
  <c r="Q53" i="117"/>
  <c r="R53" i="117"/>
  <c r="S53" i="117"/>
  <c r="AK53" i="117"/>
  <c r="Q70" i="115"/>
  <c r="R70" i="115"/>
  <c r="S70" i="115"/>
  <c r="AK70" i="115"/>
  <c r="Q70" i="117"/>
  <c r="R70" i="117"/>
  <c r="S70" i="117"/>
  <c r="AK70" i="117"/>
  <c r="Q20" i="115"/>
  <c r="R20" i="115"/>
  <c r="S20" i="115"/>
  <c r="AK20" i="115"/>
  <c r="Q20" i="117"/>
  <c r="R20" i="117"/>
  <c r="S20" i="117"/>
  <c r="AK20" i="117"/>
  <c r="Q27" i="117"/>
  <c r="R27" i="117"/>
  <c r="S27" i="117"/>
  <c r="AK27" i="117"/>
  <c r="Q64" i="115"/>
  <c r="R64" i="115"/>
  <c r="S64" i="115"/>
  <c r="AK64" i="115"/>
  <c r="Q64" i="117"/>
  <c r="R64" i="117"/>
  <c r="S64" i="117"/>
  <c r="AK64" i="117"/>
  <c r="R24" i="76"/>
  <c r="S24" i="76"/>
  <c r="T24" i="76"/>
  <c r="AL24" i="76"/>
  <c r="R18" i="76"/>
  <c r="S18" i="76"/>
  <c r="T18" i="76"/>
  <c r="AL18" i="76"/>
  <c r="R17" i="76"/>
  <c r="S17" i="76"/>
  <c r="T17" i="76"/>
  <c r="AL17" i="76"/>
  <c r="R68" i="76"/>
  <c r="S68" i="76"/>
  <c r="T68" i="76"/>
  <c r="AL68" i="76"/>
  <c r="R36" i="76"/>
  <c r="S36" i="76"/>
  <c r="T36" i="76"/>
  <c r="AL36" i="76"/>
  <c r="Q30" i="115"/>
  <c r="R30" i="115"/>
  <c r="S30" i="115"/>
  <c r="AK30" i="115"/>
  <c r="Q30" i="117"/>
  <c r="R30" i="117"/>
  <c r="S30" i="117"/>
  <c r="AK30" i="117"/>
  <c r="Q32" i="115"/>
  <c r="R32" i="115"/>
  <c r="S32" i="115"/>
  <c r="AK32" i="115"/>
  <c r="Q22" i="117"/>
  <c r="R22" i="117"/>
  <c r="S22" i="117"/>
  <c r="AK22" i="117"/>
  <c r="Q26" i="115"/>
  <c r="R26" i="115"/>
  <c r="S26" i="115"/>
  <c r="AK26" i="115"/>
  <c r="Q26" i="117"/>
  <c r="R26" i="117"/>
  <c r="S26" i="117"/>
  <c r="AK26" i="117"/>
  <c r="Q10" i="115"/>
  <c r="R10" i="115"/>
  <c r="S10" i="115"/>
  <c r="AK10" i="115"/>
  <c r="Q10" i="117"/>
  <c r="R10" i="117"/>
  <c r="S10" i="117"/>
  <c r="AK10" i="117"/>
  <c r="Q23" i="117"/>
  <c r="R23" i="117"/>
  <c r="S23" i="117"/>
  <c r="AK23" i="117"/>
  <c r="Q34" i="117"/>
  <c r="R34" i="117"/>
  <c r="S34" i="117"/>
  <c r="AK34" i="117"/>
  <c r="Q60" i="115"/>
  <c r="R60" i="115"/>
  <c r="S60" i="115"/>
  <c r="AK60" i="115"/>
  <c r="R14" i="76"/>
  <c r="S14" i="76"/>
  <c r="T14" i="76"/>
  <c r="AL14" i="76"/>
  <c r="R11" i="76"/>
  <c r="S11" i="76"/>
  <c r="T11" i="76"/>
  <c r="AL11" i="76"/>
  <c r="R40" i="76"/>
  <c r="S40" i="76"/>
  <c r="T40" i="76"/>
  <c r="AL40" i="76"/>
  <c r="R38" i="76"/>
  <c r="S38" i="76"/>
  <c r="T38" i="76"/>
  <c r="AL38" i="76"/>
  <c r="R63" i="76"/>
  <c r="S63" i="76"/>
  <c r="T63" i="76"/>
  <c r="AL63" i="76"/>
  <c r="R45" i="76"/>
  <c r="S45" i="76"/>
  <c r="T45" i="76"/>
  <c r="AL45" i="76"/>
  <c r="R13" i="76"/>
  <c r="S13" i="76"/>
  <c r="T13" i="76"/>
  <c r="AL13" i="76"/>
  <c r="R72" i="76"/>
  <c r="S72" i="76"/>
  <c r="T72" i="76"/>
  <c r="AL72" i="76"/>
  <c r="R73" i="76"/>
  <c r="S73" i="76"/>
  <c r="T73" i="76"/>
  <c r="AL73" i="76"/>
  <c r="R54" i="76"/>
  <c r="S54" i="76"/>
  <c r="T54" i="76"/>
  <c r="AL54" i="76"/>
  <c r="R59" i="76"/>
  <c r="S59" i="76"/>
  <c r="T59" i="76"/>
  <c r="AL59" i="76"/>
  <c r="R74" i="80"/>
  <c r="S74" i="80"/>
  <c r="T74" i="80"/>
  <c r="AL74" i="80"/>
  <c r="R38" i="80"/>
  <c r="S38" i="80"/>
  <c r="T38" i="80"/>
  <c r="AL38" i="80"/>
  <c r="R21" i="80"/>
  <c r="S21" i="80"/>
  <c r="T21" i="80"/>
  <c r="AL21" i="80"/>
  <c r="R13" i="80"/>
  <c r="S13" i="80"/>
  <c r="T13" i="80"/>
  <c r="AL13" i="80"/>
  <c r="R14" i="80"/>
  <c r="S14" i="80"/>
  <c r="T14" i="80"/>
  <c r="AL14" i="80"/>
  <c r="R52" i="80"/>
  <c r="S52" i="80"/>
  <c r="T52" i="80"/>
  <c r="AL52" i="80"/>
  <c r="R49" i="80"/>
  <c r="S49" i="80"/>
  <c r="T49" i="80"/>
  <c r="AL49" i="80"/>
  <c r="R11" i="80"/>
  <c r="S11" i="80"/>
  <c r="T11" i="80"/>
  <c r="AL11" i="80"/>
  <c r="R59" i="80"/>
  <c r="S59" i="80"/>
  <c r="T59" i="80"/>
  <c r="AL59" i="80"/>
  <c r="R25" i="80"/>
  <c r="S25" i="80"/>
  <c r="T25" i="80"/>
  <c r="AL25" i="80"/>
  <c r="R72" i="80"/>
  <c r="S72" i="80"/>
  <c r="T72" i="80"/>
  <c r="AL72" i="80"/>
  <c r="R33" i="80"/>
  <c r="S33" i="80"/>
  <c r="T33" i="80"/>
  <c r="AL33" i="80"/>
  <c r="R73" i="80"/>
  <c r="S73" i="80"/>
  <c r="T73" i="80"/>
  <c r="AL73" i="80"/>
  <c r="R35" i="80"/>
  <c r="S35" i="80"/>
  <c r="T35" i="80"/>
  <c r="AL35" i="80"/>
  <c r="R46" i="80"/>
  <c r="S46" i="80"/>
  <c r="T46" i="80"/>
  <c r="AL46" i="80"/>
  <c r="R37" i="80"/>
  <c r="S37" i="80"/>
  <c r="T37" i="80"/>
  <c r="AL37" i="80"/>
  <c r="R41" i="80"/>
  <c r="S41" i="80"/>
  <c r="T41" i="80"/>
  <c r="AL41" i="80"/>
  <c r="R47" i="80"/>
  <c r="S47" i="80"/>
  <c r="T47" i="80"/>
  <c r="AL47" i="80"/>
  <c r="R36" i="80"/>
  <c r="S36" i="80"/>
  <c r="T36" i="80"/>
  <c r="AL36" i="80"/>
  <c r="AJ21" i="33"/>
  <c r="R50" i="80"/>
  <c r="S50" i="80"/>
  <c r="T50" i="80"/>
  <c r="AL50" i="80"/>
  <c r="R65" i="80"/>
  <c r="S65" i="80"/>
  <c r="T65" i="80"/>
  <c r="AL65" i="80"/>
  <c r="R18" i="80"/>
  <c r="S18" i="80"/>
  <c r="T18" i="80"/>
  <c r="AL18" i="80"/>
  <c r="R55" i="80"/>
  <c r="S55" i="80"/>
  <c r="T55" i="80"/>
  <c r="AL55" i="80"/>
  <c r="R17" i="80"/>
  <c r="S17" i="80"/>
  <c r="T17" i="80"/>
  <c r="AL17" i="80"/>
  <c r="R39" i="80"/>
  <c r="S39" i="80"/>
  <c r="T39" i="80"/>
  <c r="AL39" i="80"/>
  <c r="R66" i="80"/>
  <c r="S66" i="80"/>
  <c r="T66" i="80"/>
  <c r="AL66" i="80"/>
  <c r="R45" i="80"/>
  <c r="S45" i="80"/>
  <c r="T45" i="80"/>
  <c r="AL45" i="80"/>
  <c r="R68" i="80"/>
  <c r="S68" i="80"/>
  <c r="T68" i="80"/>
  <c r="AL68" i="80"/>
  <c r="AJ41" i="33"/>
  <c r="Q71" i="118"/>
  <c r="R71" i="118"/>
  <c r="S71" i="118"/>
  <c r="AK71" i="118"/>
  <c r="Q27" i="116"/>
  <c r="R27" i="116"/>
  <c r="S27" i="116"/>
  <c r="AK27" i="116"/>
  <c r="Q27" i="118"/>
  <c r="R27" i="118"/>
  <c r="S27" i="118"/>
  <c r="AK27" i="118"/>
  <c r="Q51" i="113"/>
  <c r="R51" i="113"/>
  <c r="S51" i="113"/>
  <c r="AK51" i="113"/>
  <c r="Q58" i="114"/>
  <c r="R58" i="114"/>
  <c r="S58" i="114"/>
  <c r="AK58" i="114"/>
  <c r="Q57" i="119"/>
  <c r="R57" i="119"/>
  <c r="S57" i="119"/>
  <c r="AK57" i="119"/>
  <c r="Q28" i="118"/>
  <c r="R28" i="118"/>
  <c r="S28" i="118"/>
  <c r="AK28" i="118"/>
  <c r="Q69" i="118"/>
  <c r="R69" i="118"/>
  <c r="S69" i="118"/>
  <c r="AK69" i="118"/>
  <c r="Q20" i="113"/>
  <c r="R20" i="113"/>
  <c r="S20" i="113"/>
  <c r="AK20" i="113"/>
  <c r="Q64" i="114"/>
  <c r="R64" i="114"/>
  <c r="S64" i="114"/>
  <c r="AK64" i="114"/>
  <c r="Q56" i="116"/>
  <c r="R56" i="116"/>
  <c r="S56" i="116"/>
  <c r="AK56" i="116"/>
  <c r="Q56" i="118"/>
  <c r="R56" i="118"/>
  <c r="S56" i="118"/>
  <c r="AK56" i="118"/>
  <c r="Q29" i="113"/>
  <c r="R29" i="113"/>
  <c r="S29" i="113"/>
  <c r="AK29" i="113"/>
  <c r="Q32" i="118"/>
  <c r="R32" i="118"/>
  <c r="S32" i="118"/>
  <c r="AK32" i="118"/>
  <c r="Q28" i="119"/>
  <c r="R28" i="119"/>
  <c r="S28" i="119"/>
  <c r="AK28" i="119"/>
  <c r="Q22" i="118"/>
  <c r="R22" i="118"/>
  <c r="S22" i="118"/>
  <c r="AK22" i="118"/>
  <c r="Q8" i="113"/>
  <c r="R8" i="113"/>
  <c r="S8" i="113"/>
  <c r="AK8" i="113"/>
  <c r="Q26" i="118"/>
  <c r="R26" i="118"/>
  <c r="S26" i="118"/>
  <c r="AK26" i="118"/>
  <c r="Q69" i="113"/>
  <c r="R69" i="113"/>
  <c r="S69" i="113"/>
  <c r="AK69" i="113"/>
  <c r="Q44" i="114"/>
  <c r="R44" i="114"/>
  <c r="S44" i="114"/>
  <c r="AK44" i="114"/>
  <c r="Q44" i="116"/>
  <c r="R44" i="116"/>
  <c r="S44" i="116"/>
  <c r="AK44" i="116"/>
  <c r="Q44" i="118"/>
  <c r="R44" i="118"/>
  <c r="S44" i="118"/>
  <c r="AK44" i="118"/>
  <c r="Q64" i="119"/>
  <c r="R64" i="119"/>
  <c r="S64" i="119"/>
  <c r="AK64" i="119"/>
  <c r="Q64" i="113"/>
  <c r="R64" i="113"/>
  <c r="S64" i="113"/>
  <c r="AK64" i="113"/>
  <c r="Q23" i="114"/>
  <c r="R23" i="114"/>
  <c r="S23" i="114"/>
  <c r="AK23" i="114"/>
  <c r="Q23" i="118"/>
  <c r="R23" i="118"/>
  <c r="S23" i="118"/>
  <c r="AK23" i="118"/>
  <c r="Q48" i="119"/>
  <c r="R48" i="119"/>
  <c r="S48" i="119"/>
  <c r="AK48" i="119"/>
  <c r="Q9" i="114"/>
  <c r="R9" i="114"/>
  <c r="S9" i="114"/>
  <c r="AK9" i="114"/>
  <c r="Q9" i="116"/>
  <c r="R9" i="116"/>
  <c r="S9" i="116"/>
  <c r="AK9" i="116"/>
  <c r="Q9" i="118"/>
  <c r="R9" i="118"/>
  <c r="S9" i="118"/>
  <c r="AK9" i="118"/>
  <c r="Q26" i="113"/>
  <c r="R26" i="113"/>
  <c r="S26" i="113"/>
  <c r="AK26" i="113"/>
  <c r="Q10" i="113"/>
  <c r="R10" i="113"/>
  <c r="S10" i="113"/>
  <c r="AK10" i="113"/>
  <c r="Q44" i="119"/>
  <c r="R44" i="119"/>
  <c r="S44" i="119"/>
  <c r="AK44" i="119"/>
  <c r="Q70" i="118"/>
  <c r="R70" i="118"/>
  <c r="S70" i="118"/>
  <c r="AK70" i="118"/>
  <c r="Q20" i="114"/>
  <c r="R20" i="114"/>
  <c r="S20" i="114"/>
  <c r="AK20" i="114"/>
  <c r="Q20" i="116"/>
  <c r="R20" i="116"/>
  <c r="S20" i="116"/>
  <c r="AK20" i="116"/>
  <c r="Q20" i="118"/>
  <c r="R20" i="118"/>
  <c r="S20" i="118"/>
  <c r="AK20" i="118"/>
  <c r="Q58" i="116"/>
  <c r="R58" i="116"/>
  <c r="S58" i="116"/>
  <c r="AK58" i="116"/>
  <c r="Q58" i="118"/>
  <c r="R58" i="118"/>
  <c r="S58" i="118"/>
  <c r="AK58" i="118"/>
  <c r="Q57" i="113"/>
  <c r="R57" i="113"/>
  <c r="S57" i="113"/>
  <c r="AK57" i="113"/>
  <c r="Q53" i="113"/>
  <c r="R53" i="113"/>
  <c r="S53" i="113"/>
  <c r="AK53" i="113"/>
  <c r="Q28" i="114"/>
  <c r="R28" i="114"/>
  <c r="S28" i="114"/>
  <c r="AK28" i="114"/>
  <c r="Q28" i="116"/>
  <c r="R28" i="116"/>
  <c r="S28" i="116"/>
  <c r="AK28" i="116"/>
  <c r="Q70" i="119"/>
  <c r="R70" i="119"/>
  <c r="S70" i="119"/>
  <c r="AK70" i="119"/>
  <c r="Q70" i="113"/>
  <c r="R70" i="113"/>
  <c r="S70" i="113"/>
  <c r="AK70" i="113"/>
  <c r="Q8" i="118"/>
  <c r="R8" i="118"/>
  <c r="S8" i="118"/>
  <c r="AK8" i="118"/>
  <c r="Q71" i="113"/>
  <c r="R71" i="113"/>
  <c r="S71" i="113"/>
  <c r="AK71" i="113"/>
  <c r="Q69" i="114"/>
  <c r="R69" i="114"/>
  <c r="S69" i="114"/>
  <c r="AK69" i="114"/>
  <c r="Q69" i="116"/>
  <c r="R69" i="116"/>
  <c r="S69" i="116"/>
  <c r="AK69" i="116"/>
  <c r="Q20" i="119"/>
  <c r="R20" i="119"/>
  <c r="S20" i="119"/>
  <c r="AK20" i="119"/>
  <c r="Q64" i="116"/>
  <c r="R64" i="116"/>
  <c r="S64" i="116"/>
  <c r="AK64" i="116"/>
  <c r="Q64" i="118"/>
  <c r="R64" i="118"/>
  <c r="S64" i="118"/>
  <c r="AK64" i="118"/>
  <c r="Q67" i="119"/>
  <c r="R67" i="119"/>
  <c r="S67" i="119"/>
  <c r="AK67" i="119"/>
  <c r="Q67" i="113"/>
  <c r="R67" i="113"/>
  <c r="S67" i="113"/>
  <c r="AK67" i="113"/>
  <c r="Q29" i="119"/>
  <c r="R29" i="119"/>
  <c r="S29" i="119"/>
  <c r="AK29" i="119"/>
  <c r="Q32" i="114"/>
  <c r="R32" i="114"/>
  <c r="S32" i="114"/>
  <c r="AK32" i="114"/>
  <c r="Q32" i="116"/>
  <c r="R32" i="116"/>
  <c r="S32" i="116"/>
  <c r="AK32" i="116"/>
  <c r="Q28" i="113"/>
  <c r="R28" i="113"/>
  <c r="S28" i="113"/>
  <c r="AK28" i="113"/>
  <c r="Q22" i="114"/>
  <c r="R22" i="114"/>
  <c r="S22" i="114"/>
  <c r="AK22" i="114"/>
  <c r="Q22" i="116"/>
  <c r="R22" i="116"/>
  <c r="S22" i="116"/>
  <c r="AK22" i="116"/>
  <c r="Q8" i="119"/>
  <c r="R8" i="119"/>
  <c r="S8" i="119"/>
  <c r="AK8" i="119"/>
  <c r="Q26" i="114"/>
  <c r="R26" i="114"/>
  <c r="S26" i="114"/>
  <c r="AK26" i="114"/>
  <c r="Q26" i="116"/>
  <c r="R26" i="116"/>
  <c r="S26" i="116"/>
  <c r="AK26" i="116"/>
  <c r="Q10" i="114"/>
  <c r="R10" i="114"/>
  <c r="S10" i="114"/>
  <c r="AK10" i="114"/>
  <c r="Q10" i="116"/>
  <c r="R10" i="116"/>
  <c r="S10" i="116"/>
  <c r="AK10" i="116"/>
  <c r="Q10" i="118"/>
  <c r="R10" i="118"/>
  <c r="S10" i="118"/>
  <c r="AK10" i="118"/>
  <c r="Q69" i="119"/>
  <c r="R69" i="119"/>
  <c r="S69" i="119"/>
  <c r="AK69" i="119"/>
  <c r="Q19" i="118"/>
  <c r="R19" i="118"/>
  <c r="S19" i="118"/>
  <c r="AK19" i="118"/>
  <c r="Q51" i="116"/>
  <c r="R51" i="116"/>
  <c r="S51" i="116"/>
  <c r="AK51" i="116"/>
  <c r="Q16" i="113"/>
  <c r="R16" i="113"/>
  <c r="S16" i="113"/>
  <c r="AK16" i="113"/>
  <c r="Q57" i="118"/>
  <c r="R57" i="118"/>
  <c r="S57" i="118"/>
  <c r="AK57" i="118"/>
  <c r="Q31" i="119"/>
  <c r="R31" i="119"/>
  <c r="S31" i="119"/>
  <c r="AK31" i="119"/>
  <c r="Q53" i="116"/>
  <c r="R53" i="116"/>
  <c r="S53" i="116"/>
  <c r="AK53" i="116"/>
  <c r="Q53" i="118"/>
  <c r="R53" i="118"/>
  <c r="S53" i="118"/>
  <c r="AK53" i="118"/>
  <c r="Q9" i="113"/>
  <c r="R9" i="113"/>
  <c r="S9" i="113"/>
  <c r="AK9" i="113"/>
  <c r="Q70" i="114"/>
  <c r="R70" i="114"/>
  <c r="S70" i="114"/>
  <c r="AK70" i="114"/>
  <c r="Q70" i="116"/>
  <c r="R70" i="116"/>
  <c r="S70" i="116"/>
  <c r="AK70" i="116"/>
  <c r="Q8" i="116"/>
  <c r="R8" i="116"/>
  <c r="S8" i="116"/>
  <c r="AK8" i="116"/>
  <c r="Q71" i="114"/>
  <c r="R71" i="114"/>
  <c r="S71" i="114"/>
  <c r="AK71" i="114"/>
  <c r="Q12" i="113"/>
  <c r="R12" i="113"/>
  <c r="S12" i="113"/>
  <c r="AK12" i="113"/>
  <c r="Q27" i="114"/>
  <c r="R27" i="114"/>
  <c r="S27" i="114"/>
  <c r="AK27" i="114"/>
  <c r="Q19" i="119"/>
  <c r="R19" i="119"/>
  <c r="S19" i="119"/>
  <c r="AK19" i="119"/>
  <c r="Q67" i="114"/>
  <c r="R67" i="114"/>
  <c r="S67" i="114"/>
  <c r="AK67" i="114"/>
  <c r="Q43" i="119"/>
  <c r="R43" i="119"/>
  <c r="S43" i="119"/>
  <c r="AK43" i="119"/>
  <c r="Q29" i="114"/>
  <c r="R29" i="114"/>
  <c r="S29" i="114"/>
  <c r="AK29" i="114"/>
  <c r="Q29" i="116"/>
  <c r="R29" i="116"/>
  <c r="S29" i="116"/>
  <c r="AK29" i="116"/>
  <c r="Q29" i="118"/>
  <c r="R29" i="118"/>
  <c r="S29" i="118"/>
  <c r="AK29" i="118"/>
  <c r="Q53" i="119"/>
  <c r="R53" i="119"/>
  <c r="S53" i="119"/>
  <c r="AK53" i="119"/>
  <c r="Q8" i="114"/>
  <c r="R8" i="114"/>
  <c r="S8" i="114"/>
  <c r="AK8" i="114"/>
  <c r="Q71" i="119"/>
  <c r="R71" i="119"/>
  <c r="S71" i="119"/>
  <c r="AK71" i="119"/>
  <c r="Q48" i="114"/>
  <c r="R48" i="114"/>
  <c r="S48" i="114"/>
  <c r="AK48" i="114"/>
  <c r="Q48" i="116"/>
  <c r="R48" i="116"/>
  <c r="S48" i="116"/>
  <c r="AK48" i="116"/>
  <c r="Q48" i="118"/>
  <c r="R48" i="118"/>
  <c r="S48" i="118"/>
  <c r="AK48" i="118"/>
  <c r="Q27" i="119"/>
  <c r="R27" i="119"/>
  <c r="S27" i="119"/>
  <c r="AK27" i="119"/>
  <c r="Q27" i="113"/>
  <c r="R27" i="113"/>
  <c r="S27" i="113"/>
  <c r="AK27" i="113"/>
  <c r="Q30" i="118"/>
  <c r="R30" i="118"/>
  <c r="S30" i="118"/>
  <c r="AK30" i="118"/>
  <c r="Q61" i="116"/>
  <c r="R61" i="116"/>
  <c r="S61" i="116"/>
  <c r="AK61" i="116"/>
  <c r="Q30" i="119"/>
  <c r="R30" i="119"/>
  <c r="S30" i="119"/>
  <c r="AK30" i="119"/>
  <c r="Q30" i="113"/>
  <c r="R30" i="113"/>
  <c r="S30" i="113"/>
  <c r="AK30" i="113"/>
  <c r="Q56" i="119"/>
  <c r="R56" i="119"/>
  <c r="S56" i="119"/>
  <c r="AK56" i="119"/>
  <c r="Q16" i="114"/>
  <c r="R16" i="114"/>
  <c r="S16" i="114"/>
  <c r="AK16" i="114"/>
  <c r="Q16" i="116"/>
  <c r="R16" i="116"/>
  <c r="S16" i="116"/>
  <c r="AK16" i="116"/>
  <c r="Q16" i="118"/>
  <c r="R16" i="118"/>
  <c r="S16" i="118"/>
  <c r="AK16" i="118"/>
  <c r="Q32" i="113"/>
  <c r="R32" i="113"/>
  <c r="S32" i="113"/>
  <c r="AK32" i="113"/>
  <c r="Q31" i="116"/>
  <c r="R31" i="116"/>
  <c r="S31" i="116"/>
  <c r="AK31" i="116"/>
  <c r="Q31" i="118"/>
  <c r="R31" i="118"/>
  <c r="S31" i="118"/>
  <c r="AK31" i="118"/>
  <c r="Q12" i="116"/>
  <c r="R12" i="116"/>
  <c r="S12" i="116"/>
  <c r="AK12" i="116"/>
  <c r="Q23" i="119"/>
  <c r="R23" i="119"/>
  <c r="S23" i="119"/>
  <c r="AK23" i="119"/>
  <c r="Q42" i="116"/>
  <c r="R42" i="116"/>
  <c r="S42" i="116"/>
  <c r="AK42" i="116"/>
  <c r="Q34" i="113"/>
  <c r="R34" i="113"/>
  <c r="S34" i="113"/>
  <c r="AK34" i="113"/>
  <c r="Q43" i="114"/>
  <c r="R43" i="114"/>
  <c r="S43" i="114"/>
  <c r="AK43" i="114"/>
  <c r="Q43" i="116"/>
  <c r="R43" i="116"/>
  <c r="S43" i="116"/>
  <c r="AK43" i="116"/>
  <c r="Q60" i="119"/>
  <c r="R60" i="119"/>
  <c r="S60" i="119"/>
  <c r="AK60" i="119"/>
  <c r="Q60" i="113"/>
  <c r="R60" i="113"/>
  <c r="S60" i="113"/>
  <c r="AK60" i="113"/>
  <c r="Q51" i="114"/>
  <c r="R51" i="114"/>
  <c r="S51" i="114"/>
  <c r="AK51" i="114"/>
  <c r="Q51" i="118"/>
  <c r="R51" i="118"/>
  <c r="S51" i="118"/>
  <c r="AK51" i="118"/>
  <c r="Q16" i="119"/>
  <c r="R16" i="119"/>
  <c r="S16" i="119"/>
  <c r="AK16" i="119"/>
  <c r="Q57" i="114"/>
  <c r="R57" i="114"/>
  <c r="S57" i="114"/>
  <c r="AK57" i="114"/>
  <c r="Q57" i="116"/>
  <c r="R57" i="116"/>
  <c r="S57" i="116"/>
  <c r="AK57" i="116"/>
  <c r="Q31" i="113"/>
  <c r="R31" i="113"/>
  <c r="S31" i="113"/>
  <c r="AK31" i="113"/>
  <c r="Q53" i="114"/>
  <c r="R53" i="114"/>
  <c r="S53" i="114"/>
  <c r="AK53" i="114"/>
  <c r="Q9" i="119"/>
  <c r="R9" i="119"/>
  <c r="S9" i="119"/>
  <c r="AK9" i="119"/>
  <c r="Q19" i="113"/>
  <c r="R19" i="113"/>
  <c r="S19" i="113"/>
  <c r="AK19" i="113"/>
  <c r="Q71" i="116"/>
  <c r="R71" i="116"/>
  <c r="S71" i="116"/>
  <c r="AK71" i="116"/>
  <c r="Q12" i="119"/>
  <c r="R12" i="119"/>
  <c r="S12" i="119"/>
  <c r="AK12" i="119"/>
  <c r="Q42" i="119"/>
  <c r="R42" i="119"/>
  <c r="S42" i="119"/>
  <c r="AK42" i="119"/>
  <c r="Q42" i="113"/>
  <c r="R42" i="113"/>
  <c r="S42" i="113"/>
  <c r="AK42" i="113"/>
  <c r="Q34" i="114"/>
  <c r="R34" i="114"/>
  <c r="S34" i="114"/>
  <c r="AK34" i="114"/>
  <c r="Q34" i="116"/>
  <c r="R34" i="116"/>
  <c r="S34" i="116"/>
  <c r="AK34" i="116"/>
  <c r="Q67" i="116"/>
  <c r="R67" i="116"/>
  <c r="S67" i="116"/>
  <c r="AK67" i="116"/>
  <c r="Q67" i="118"/>
  <c r="R67" i="118"/>
  <c r="S67" i="118"/>
  <c r="AK67" i="118"/>
  <c r="Q43" i="113"/>
  <c r="R43" i="113"/>
  <c r="S43" i="113"/>
  <c r="AK43" i="113"/>
  <c r="Q51" i="119"/>
  <c r="R51" i="119"/>
  <c r="S51" i="119"/>
  <c r="AK51" i="119"/>
  <c r="Q30" i="114"/>
  <c r="R30" i="114"/>
  <c r="S30" i="114"/>
  <c r="AK30" i="114"/>
  <c r="Q30" i="116"/>
  <c r="R30" i="116"/>
  <c r="S30" i="116"/>
  <c r="AK30" i="116"/>
  <c r="Q58" i="119"/>
  <c r="R58" i="119"/>
  <c r="S58" i="119"/>
  <c r="AK58" i="119"/>
  <c r="Q58" i="113"/>
  <c r="R58" i="113"/>
  <c r="S58" i="113"/>
  <c r="AK58" i="113"/>
  <c r="Q56" i="114"/>
  <c r="R56" i="114"/>
  <c r="S56" i="114"/>
  <c r="AK56" i="114"/>
  <c r="Q23" i="116"/>
  <c r="R23" i="116"/>
  <c r="S23" i="116"/>
  <c r="AK23" i="116"/>
  <c r="Q48" i="113"/>
  <c r="R48" i="113"/>
  <c r="S48" i="113"/>
  <c r="AK48" i="113"/>
  <c r="Q61" i="114"/>
  <c r="R61" i="114"/>
  <c r="S61" i="114"/>
  <c r="AK61" i="114"/>
  <c r="Q61" i="118"/>
  <c r="R61" i="118"/>
  <c r="S61" i="118"/>
  <c r="AK61" i="118"/>
  <c r="Q60" i="114"/>
  <c r="R60" i="114"/>
  <c r="S60" i="114"/>
  <c r="AK60" i="114"/>
  <c r="Q60" i="116"/>
  <c r="R60" i="116"/>
  <c r="S60" i="116"/>
  <c r="AK60" i="116"/>
  <c r="Q60" i="118"/>
  <c r="R60" i="118"/>
  <c r="S60" i="118"/>
  <c r="AK60" i="118"/>
  <c r="Q56" i="113"/>
  <c r="R56" i="113"/>
  <c r="S56" i="113"/>
  <c r="AK56" i="113"/>
  <c r="Q32" i="119"/>
  <c r="R32" i="119"/>
  <c r="S32" i="119"/>
  <c r="AK32" i="119"/>
  <c r="Q31" i="114"/>
  <c r="R31" i="114"/>
  <c r="S31" i="114"/>
  <c r="AK31" i="114"/>
  <c r="Q22" i="119"/>
  <c r="R22" i="119"/>
  <c r="S22" i="119"/>
  <c r="AK22" i="119"/>
  <c r="Q22" i="113"/>
  <c r="R22" i="113"/>
  <c r="S22" i="113"/>
  <c r="AK22" i="113"/>
  <c r="Q26" i="119"/>
  <c r="R26" i="119"/>
  <c r="S26" i="119"/>
  <c r="AK26" i="119"/>
  <c r="Q10" i="119"/>
  <c r="R10" i="119"/>
  <c r="S10" i="119"/>
  <c r="AK10" i="119"/>
  <c r="Q19" i="114"/>
  <c r="R19" i="114"/>
  <c r="S19" i="114"/>
  <c r="AK19" i="114"/>
  <c r="Q19" i="116"/>
  <c r="R19" i="116"/>
  <c r="S19" i="116"/>
  <c r="AK19" i="116"/>
  <c r="Q44" i="113"/>
  <c r="R44" i="113"/>
  <c r="S44" i="113"/>
  <c r="AK44" i="113"/>
  <c r="Q12" i="114"/>
  <c r="R12" i="114"/>
  <c r="S12" i="114"/>
  <c r="AK12" i="114"/>
  <c r="Q12" i="118"/>
  <c r="R12" i="118"/>
  <c r="S12" i="118"/>
  <c r="AK12" i="118"/>
  <c r="Q23" i="113"/>
  <c r="R23" i="113"/>
  <c r="S23" i="113"/>
  <c r="AK23" i="113"/>
  <c r="Q42" i="114"/>
  <c r="R42" i="114"/>
  <c r="S42" i="114"/>
  <c r="AK42" i="114"/>
  <c r="Q42" i="118"/>
  <c r="R42" i="118"/>
  <c r="S42" i="118"/>
  <c r="AK42" i="118"/>
  <c r="Q34" i="119"/>
  <c r="R34" i="119"/>
  <c r="S34" i="119"/>
  <c r="AK34" i="119"/>
  <c r="Q61" i="119"/>
  <c r="R61" i="119"/>
  <c r="S61" i="119"/>
  <c r="AK61" i="119"/>
  <c r="Q61" i="113"/>
  <c r="R61" i="113"/>
  <c r="S61" i="113"/>
  <c r="AK61" i="113"/>
  <c r="Q43" i="118"/>
  <c r="R43" i="118"/>
  <c r="S43" i="118"/>
  <c r="AK43" i="118"/>
  <c r="R53" i="80"/>
  <c r="S53" i="80"/>
  <c r="T53" i="80"/>
  <c r="AL53" i="80"/>
  <c r="R30" i="80"/>
  <c r="S30" i="80"/>
  <c r="T30" i="80"/>
  <c r="AL30" i="80"/>
  <c r="R69" i="80"/>
  <c r="S69" i="80"/>
  <c r="T69" i="80"/>
  <c r="AL69" i="80"/>
  <c r="R43" i="80"/>
  <c r="S43" i="80"/>
  <c r="T43" i="80"/>
  <c r="AL43" i="80"/>
  <c r="R51" i="80"/>
  <c r="S51" i="80"/>
  <c r="T51" i="80"/>
  <c r="AL51" i="80"/>
  <c r="R16" i="80"/>
  <c r="S16" i="80"/>
  <c r="T16" i="80"/>
  <c r="AL16" i="80"/>
  <c r="R58" i="80"/>
  <c r="S58" i="80"/>
  <c r="T58" i="80"/>
  <c r="AL58" i="80"/>
  <c r="AK13" i="33"/>
  <c r="AL13" i="33"/>
  <c r="C10" i="72"/>
  <c r="AG10" i="72"/>
  <c r="BJ10" i="72"/>
  <c r="AK74" i="33"/>
  <c r="AL74" i="33"/>
  <c r="C71" i="72"/>
  <c r="AG71" i="72"/>
  <c r="BJ71" i="72"/>
  <c r="AK18" i="33"/>
  <c r="AL18" i="33"/>
  <c r="C15" i="72"/>
  <c r="AG15" i="72"/>
  <c r="BJ15" i="72"/>
  <c r="AK63" i="33"/>
  <c r="AL63" i="33"/>
  <c r="C60" i="72"/>
  <c r="AG60" i="72"/>
  <c r="BJ60" i="72"/>
  <c r="AK46" i="33"/>
  <c r="AL46" i="33"/>
  <c r="C43" i="72"/>
  <c r="AG43" i="72"/>
  <c r="BJ43" i="72"/>
  <c r="AK47" i="33"/>
  <c r="AL47" i="33"/>
  <c r="C44" i="72"/>
  <c r="AG44" i="72"/>
  <c r="BJ44" i="72"/>
  <c r="AK35" i="33"/>
  <c r="AL35" i="33"/>
  <c r="C32" i="72"/>
  <c r="AG32" i="72"/>
  <c r="BJ32" i="72"/>
  <c r="AK38" i="33"/>
  <c r="AL38" i="33"/>
  <c r="C35" i="72"/>
  <c r="AG35" i="72"/>
  <c r="BJ35" i="72"/>
  <c r="AK54" i="33"/>
  <c r="AL54" i="33"/>
  <c r="C51" i="72"/>
  <c r="AG51" i="72"/>
  <c r="BJ51" i="72"/>
  <c r="AK37" i="33"/>
  <c r="AL37" i="33"/>
  <c r="C34" i="72"/>
  <c r="AG34" i="72"/>
  <c r="BJ34" i="72"/>
  <c r="AK41" i="33"/>
  <c r="AL41" i="33"/>
  <c r="C38" i="72"/>
  <c r="AG38" i="72"/>
  <c r="BJ38" i="72"/>
  <c r="AK21" i="33"/>
  <c r="AL21" i="33"/>
  <c r="C18" i="72"/>
  <c r="AG18" i="72"/>
  <c r="BJ18" i="72"/>
  <c r="AK73" i="33"/>
  <c r="AL73" i="33"/>
  <c r="C70" i="72"/>
  <c r="AG70" i="72"/>
  <c r="BJ70" i="72"/>
  <c r="AK50" i="33"/>
  <c r="AL50" i="33"/>
  <c r="C47" i="72"/>
  <c r="AG47" i="72"/>
  <c r="BJ47" i="72"/>
  <c r="AK11" i="33"/>
  <c r="AL11" i="33"/>
  <c r="C8" i="72"/>
  <c r="AG8" i="72"/>
  <c r="BJ8" i="72"/>
  <c r="AK65" i="33"/>
  <c r="AL65" i="33"/>
  <c r="C62" i="72"/>
  <c r="AG62" i="72"/>
  <c r="BJ62" i="72"/>
  <c r="AK17" i="33"/>
  <c r="AL17" i="33"/>
  <c r="C14" i="72"/>
  <c r="AG14" i="72"/>
  <c r="BJ14" i="72"/>
  <c r="AK55" i="33"/>
  <c r="AL55" i="33"/>
  <c r="C52" i="72"/>
  <c r="AG52" i="72"/>
  <c r="BJ52" i="72"/>
  <c r="AK40" i="33"/>
  <c r="AL40" i="33"/>
  <c r="C37" i="72"/>
  <c r="AG37" i="72"/>
  <c r="BJ37" i="72"/>
  <c r="AK49" i="33"/>
  <c r="AL49" i="33"/>
  <c r="C46" i="72"/>
  <c r="AG46" i="72"/>
  <c r="BJ46" i="72"/>
  <c r="AK59" i="33"/>
  <c r="AL59" i="33"/>
  <c r="C56" i="72"/>
  <c r="AG56" i="72"/>
  <c r="BJ56" i="72"/>
  <c r="AK36" i="33"/>
  <c r="AL36" i="33"/>
  <c r="C33" i="72"/>
  <c r="AG33" i="72"/>
  <c r="BJ33" i="72"/>
  <c r="V9" i="46"/>
  <c r="AJ27" i="33"/>
  <c r="AJ51" i="33"/>
  <c r="AJ44" i="33"/>
  <c r="AJ69" i="33"/>
  <c r="AJ43" i="33"/>
  <c r="AJ10" i="33"/>
  <c r="AJ28" i="33"/>
  <c r="AJ56" i="33"/>
  <c r="AJ53" i="33"/>
  <c r="AJ64" i="33"/>
  <c r="AJ48" i="33"/>
  <c r="AJ70" i="33"/>
  <c r="AJ57" i="33"/>
  <c r="AJ34" i="33"/>
  <c r="AJ30" i="33"/>
  <c r="AJ32" i="33"/>
  <c r="AJ58" i="33"/>
  <c r="AJ67" i="33"/>
  <c r="AJ12" i="33"/>
  <c r="AJ22" i="33"/>
  <c r="AJ9" i="33"/>
  <c r="AJ31" i="33"/>
  <c r="AJ60" i="33"/>
  <c r="AJ71" i="33"/>
  <c r="AJ61" i="33"/>
  <c r="AJ20" i="33"/>
  <c r="AJ16" i="33"/>
  <c r="AJ8" i="33"/>
  <c r="AJ19" i="33"/>
  <c r="AJ26" i="33"/>
  <c r="R12" i="76"/>
  <c r="S12" i="76"/>
  <c r="T12" i="76"/>
  <c r="AL12" i="76"/>
  <c r="R70" i="76"/>
  <c r="S70" i="76"/>
  <c r="T70" i="76"/>
  <c r="AL70" i="76"/>
  <c r="R22" i="76"/>
  <c r="S22" i="76"/>
  <c r="T22" i="76"/>
  <c r="AL22" i="76"/>
  <c r="R19" i="76"/>
  <c r="S19" i="76"/>
  <c r="T19" i="76"/>
  <c r="AL19" i="76"/>
  <c r="R26" i="76"/>
  <c r="S26" i="76"/>
  <c r="T26" i="76"/>
  <c r="AL26" i="76"/>
  <c r="R61" i="76"/>
  <c r="S61" i="76"/>
  <c r="T61" i="76"/>
  <c r="AL61" i="76"/>
  <c r="R51" i="76"/>
  <c r="S51" i="76"/>
  <c r="T51" i="76"/>
  <c r="AL51" i="76"/>
  <c r="R71" i="76"/>
  <c r="S71" i="76"/>
  <c r="T71" i="76"/>
  <c r="AL71" i="76"/>
  <c r="R42" i="76"/>
  <c r="S42" i="76"/>
  <c r="T42" i="76"/>
  <c r="AL42" i="76"/>
  <c r="R30" i="76"/>
  <c r="S30" i="76"/>
  <c r="T30" i="76"/>
  <c r="AL30" i="76"/>
  <c r="R58" i="76"/>
  <c r="S58" i="76"/>
  <c r="T58" i="76"/>
  <c r="AL58" i="76"/>
  <c r="R64" i="76"/>
  <c r="S64" i="76"/>
  <c r="T64" i="76"/>
  <c r="AL64" i="76"/>
  <c r="R16" i="76"/>
  <c r="S16" i="76"/>
  <c r="T16" i="76"/>
  <c r="AL16" i="76"/>
  <c r="R10" i="76"/>
  <c r="S10" i="76"/>
  <c r="T10" i="76"/>
  <c r="AL10" i="76"/>
  <c r="Q15" i="117"/>
  <c r="R15" i="117"/>
  <c r="S15" i="117"/>
  <c r="AK15" i="117"/>
  <c r="R27" i="76"/>
  <c r="S27" i="76"/>
  <c r="T27" i="76"/>
  <c r="AL27" i="76"/>
  <c r="R43" i="76"/>
  <c r="S43" i="76"/>
  <c r="T43" i="76"/>
  <c r="AL43" i="76"/>
  <c r="R69" i="76"/>
  <c r="S69" i="76"/>
  <c r="T69" i="76"/>
  <c r="AL69" i="76"/>
  <c r="R34" i="76"/>
  <c r="S34" i="76"/>
  <c r="T34" i="76"/>
  <c r="AL34" i="76"/>
  <c r="R32" i="76"/>
  <c r="S32" i="76"/>
  <c r="T32" i="76"/>
  <c r="AL32" i="76"/>
  <c r="R23" i="76"/>
  <c r="S23" i="76"/>
  <c r="T23" i="76"/>
  <c r="AL23" i="76"/>
  <c r="R28" i="76"/>
  <c r="S28" i="76"/>
  <c r="T28" i="76"/>
  <c r="AL28" i="76"/>
  <c r="R60" i="76"/>
  <c r="S60" i="76"/>
  <c r="T60" i="76"/>
  <c r="AL60" i="76"/>
  <c r="R48" i="76"/>
  <c r="S48" i="76"/>
  <c r="T48" i="76"/>
  <c r="AL48" i="76"/>
  <c r="R29" i="76"/>
  <c r="S29" i="76"/>
  <c r="T29" i="76"/>
  <c r="AL29" i="76"/>
  <c r="Q15" i="115"/>
  <c r="R15" i="115"/>
  <c r="S15" i="115"/>
  <c r="AK15" i="115"/>
  <c r="R44" i="76"/>
  <c r="S44" i="76"/>
  <c r="T44" i="76"/>
  <c r="AL44" i="76"/>
  <c r="R67" i="76"/>
  <c r="S67" i="76"/>
  <c r="T67" i="76"/>
  <c r="AL67" i="76"/>
  <c r="R56" i="76"/>
  <c r="S56" i="76"/>
  <c r="T56" i="76"/>
  <c r="AL56" i="76"/>
  <c r="R9" i="76"/>
  <c r="S9" i="76"/>
  <c r="T9" i="76"/>
  <c r="AL9" i="76"/>
  <c r="R8" i="76"/>
  <c r="S8" i="76"/>
  <c r="T8" i="76"/>
  <c r="AL8" i="76"/>
  <c r="R53" i="76"/>
  <c r="S53" i="76"/>
  <c r="T53" i="76"/>
  <c r="AL53" i="76"/>
  <c r="R57" i="76"/>
  <c r="S57" i="76"/>
  <c r="T57" i="76"/>
  <c r="AL57" i="76"/>
  <c r="R20" i="76"/>
  <c r="S20" i="76"/>
  <c r="T20" i="76"/>
  <c r="AL20" i="76"/>
  <c r="R31" i="76"/>
  <c r="S31" i="76"/>
  <c r="T31" i="76"/>
  <c r="AL31" i="76"/>
  <c r="R60" i="80"/>
  <c r="S60" i="80"/>
  <c r="T60" i="80"/>
  <c r="AL60" i="80"/>
  <c r="R44" i="80"/>
  <c r="S44" i="80"/>
  <c r="T44" i="80"/>
  <c r="AL44" i="80"/>
  <c r="R31" i="80"/>
  <c r="S31" i="80"/>
  <c r="T31" i="80"/>
  <c r="AL31" i="80"/>
  <c r="R9" i="80"/>
  <c r="S9" i="80"/>
  <c r="T9" i="80"/>
  <c r="AL9" i="80"/>
  <c r="R19" i="80"/>
  <c r="S19" i="80"/>
  <c r="T19" i="80"/>
  <c r="AL19" i="80"/>
  <c r="R28" i="80"/>
  <c r="S28" i="80"/>
  <c r="T28" i="80"/>
  <c r="AL28" i="80"/>
  <c r="R32" i="80"/>
  <c r="S32" i="80"/>
  <c r="T32" i="80"/>
  <c r="AL32" i="80"/>
  <c r="R34" i="80"/>
  <c r="S34" i="80"/>
  <c r="T34" i="80"/>
  <c r="AL34" i="80"/>
  <c r="R8" i="80"/>
  <c r="S8" i="80"/>
  <c r="T8" i="80"/>
  <c r="AL8" i="80"/>
  <c r="R67" i="80"/>
  <c r="S67" i="80"/>
  <c r="T67" i="80"/>
  <c r="AL67" i="80"/>
  <c r="R70" i="80"/>
  <c r="S70" i="80"/>
  <c r="T70" i="80"/>
  <c r="AL70" i="80"/>
  <c r="R56" i="80"/>
  <c r="S56" i="80"/>
  <c r="T56" i="80"/>
  <c r="AL56" i="80"/>
  <c r="R29" i="80"/>
  <c r="S29" i="80"/>
  <c r="T29" i="80"/>
  <c r="AL29" i="80"/>
  <c r="R12" i="80"/>
  <c r="S12" i="80"/>
  <c r="T12" i="80"/>
  <c r="AL12" i="80"/>
  <c r="R20" i="80"/>
  <c r="S20" i="80"/>
  <c r="T20" i="80"/>
  <c r="AL20" i="80"/>
  <c r="R22" i="80"/>
  <c r="S22" i="80"/>
  <c r="T22" i="80"/>
  <c r="AL22" i="80"/>
  <c r="R71" i="80"/>
  <c r="S71" i="80"/>
  <c r="T71" i="80"/>
  <c r="AL71" i="80"/>
  <c r="R26" i="80"/>
  <c r="S26" i="80"/>
  <c r="T26" i="80"/>
  <c r="AL26" i="80"/>
  <c r="R23" i="80"/>
  <c r="S23" i="80"/>
  <c r="T23" i="80"/>
  <c r="AL23" i="80"/>
  <c r="R57" i="80"/>
  <c r="S57" i="80"/>
  <c r="T57" i="80"/>
  <c r="AL57" i="80"/>
  <c r="R27" i="80"/>
  <c r="S27" i="80"/>
  <c r="T27" i="80"/>
  <c r="AL27" i="80"/>
  <c r="R48" i="80"/>
  <c r="S48" i="80"/>
  <c r="T48" i="80"/>
  <c r="AL48" i="80"/>
  <c r="R42" i="80"/>
  <c r="S42" i="80"/>
  <c r="T42" i="80"/>
  <c r="AL42" i="80"/>
  <c r="R64" i="80"/>
  <c r="S64" i="80"/>
  <c r="T64" i="80"/>
  <c r="AL64" i="80"/>
  <c r="R61" i="80"/>
  <c r="S61" i="80"/>
  <c r="T61" i="80"/>
  <c r="AL61" i="80"/>
  <c r="R10" i="80"/>
  <c r="S10" i="80"/>
  <c r="T10" i="80"/>
  <c r="AL10" i="80"/>
  <c r="Q15" i="114"/>
  <c r="R15" i="114"/>
  <c r="S15" i="114"/>
  <c r="AK15" i="114"/>
  <c r="Q15" i="119"/>
  <c r="R15" i="119"/>
  <c r="S15" i="119"/>
  <c r="AK15" i="119"/>
  <c r="Q15" i="118"/>
  <c r="R15" i="118"/>
  <c r="S15" i="118"/>
  <c r="AK15" i="118"/>
  <c r="Q15" i="116"/>
  <c r="R15" i="116"/>
  <c r="S15" i="116"/>
  <c r="AK15" i="116"/>
  <c r="AJ45" i="33"/>
  <c r="AJ33" i="33"/>
  <c r="AJ25" i="33"/>
  <c r="AJ75" i="33"/>
  <c r="AJ14" i="33"/>
  <c r="AJ24" i="33"/>
  <c r="AJ68" i="33"/>
  <c r="AJ66" i="33"/>
  <c r="AK68" i="33"/>
  <c r="AL68" i="33"/>
  <c r="C65" i="72"/>
  <c r="AG65" i="72"/>
  <c r="BJ65" i="72"/>
  <c r="AK14" i="33"/>
  <c r="AL14" i="33"/>
  <c r="C11" i="72"/>
  <c r="AG11" i="72"/>
  <c r="BJ11" i="72"/>
  <c r="AK25" i="33"/>
  <c r="AL25" i="33"/>
  <c r="C22" i="72"/>
  <c r="AG22" i="72"/>
  <c r="BJ22" i="72"/>
  <c r="AK19" i="33"/>
  <c r="AL19" i="33"/>
  <c r="C16" i="72"/>
  <c r="AG16" i="72"/>
  <c r="BJ16" i="72"/>
  <c r="AK16" i="33"/>
  <c r="AL16" i="33"/>
  <c r="C13" i="72"/>
  <c r="AG13" i="72"/>
  <c r="BJ13" i="72"/>
  <c r="AK61" i="33"/>
  <c r="AL61" i="33"/>
  <c r="C58" i="72"/>
  <c r="AG58" i="72"/>
  <c r="BJ58" i="72"/>
  <c r="AK60" i="33"/>
  <c r="AL60" i="33"/>
  <c r="C57" i="72"/>
  <c r="AG57" i="72"/>
  <c r="BJ57" i="72"/>
  <c r="AK9" i="33"/>
  <c r="AL9" i="33"/>
  <c r="C6" i="72"/>
  <c r="AG6" i="72"/>
  <c r="BJ6" i="72"/>
  <c r="AK12" i="33"/>
  <c r="AL12" i="33"/>
  <c r="C9" i="72"/>
  <c r="AG9" i="72"/>
  <c r="BJ9" i="72"/>
  <c r="AK58" i="33"/>
  <c r="AL58" i="33"/>
  <c r="C55" i="72"/>
  <c r="AG55" i="72"/>
  <c r="BJ55" i="72"/>
  <c r="AK30" i="33"/>
  <c r="AL30" i="33"/>
  <c r="C27" i="72"/>
  <c r="AG27" i="72"/>
  <c r="BJ27" i="72"/>
  <c r="AK57" i="33"/>
  <c r="AL57" i="33"/>
  <c r="C54" i="72"/>
  <c r="AG54" i="72"/>
  <c r="BJ54" i="72"/>
  <c r="AK48" i="33"/>
  <c r="AL48" i="33"/>
  <c r="C45" i="72"/>
  <c r="AG45" i="72"/>
  <c r="BJ45" i="72"/>
  <c r="AK53" i="33"/>
  <c r="AL53" i="33"/>
  <c r="C50" i="72"/>
  <c r="AG50" i="72"/>
  <c r="BJ50" i="72"/>
  <c r="AK28" i="33"/>
  <c r="AL28" i="33"/>
  <c r="C25" i="72"/>
  <c r="AG25" i="72"/>
  <c r="BJ25" i="72"/>
  <c r="AK43" i="33"/>
  <c r="AL43" i="33"/>
  <c r="C40" i="72"/>
  <c r="AG40" i="72"/>
  <c r="BJ40" i="72"/>
  <c r="AK44" i="33"/>
  <c r="AL44" i="33"/>
  <c r="C41" i="72"/>
  <c r="AG41" i="72"/>
  <c r="BJ41" i="72"/>
  <c r="AK27" i="33"/>
  <c r="AL27" i="33"/>
  <c r="C24" i="72"/>
  <c r="AG24" i="72"/>
  <c r="BJ24" i="72"/>
  <c r="W9" i="46"/>
  <c r="X9" i="46"/>
  <c r="AU9" i="46"/>
  <c r="AK66" i="33"/>
  <c r="AL66" i="33"/>
  <c r="C63" i="72"/>
  <c r="AG63" i="72"/>
  <c r="BJ63" i="72"/>
  <c r="AK24" i="33"/>
  <c r="AL24" i="33"/>
  <c r="C21" i="72"/>
  <c r="AG21" i="72"/>
  <c r="BJ21" i="72"/>
  <c r="AK75" i="33"/>
  <c r="AL75" i="33"/>
  <c r="C72" i="72"/>
  <c r="AG72" i="72"/>
  <c r="BJ72" i="72"/>
  <c r="AK33" i="33"/>
  <c r="AL33" i="33"/>
  <c r="C30" i="72"/>
  <c r="AG30" i="72"/>
  <c r="BJ30" i="72"/>
  <c r="AK45" i="33"/>
  <c r="AL45" i="33"/>
  <c r="C42" i="72"/>
  <c r="AG42" i="72"/>
  <c r="BJ42" i="72"/>
  <c r="AK26" i="33"/>
  <c r="AL26" i="33"/>
  <c r="C23" i="72"/>
  <c r="AG23" i="72"/>
  <c r="BJ23" i="72"/>
  <c r="AK8" i="33"/>
  <c r="AL8" i="33"/>
  <c r="C5" i="72"/>
  <c r="AG5" i="72"/>
  <c r="BJ5" i="72"/>
  <c r="AK20" i="33"/>
  <c r="AL20" i="33"/>
  <c r="C17" i="72"/>
  <c r="AG17" i="72"/>
  <c r="BJ17" i="72"/>
  <c r="AK71" i="33"/>
  <c r="AL71" i="33"/>
  <c r="C68" i="72"/>
  <c r="AG68" i="72"/>
  <c r="BJ68" i="72"/>
  <c r="AK31" i="33"/>
  <c r="AL31" i="33"/>
  <c r="C28" i="72"/>
  <c r="AG28" i="72"/>
  <c r="BJ28" i="72"/>
  <c r="AK22" i="33"/>
  <c r="AL22" i="33"/>
  <c r="C19" i="72"/>
  <c r="AG19" i="72"/>
  <c r="BJ19" i="72"/>
  <c r="AK67" i="33"/>
  <c r="AL67" i="33"/>
  <c r="C64" i="72"/>
  <c r="AG64" i="72"/>
  <c r="BJ64" i="72"/>
  <c r="AK32" i="33"/>
  <c r="AL32" i="33"/>
  <c r="C29" i="72"/>
  <c r="AG29" i="72"/>
  <c r="BJ29" i="72"/>
  <c r="AK34" i="33"/>
  <c r="AL34" i="33"/>
  <c r="C31" i="72"/>
  <c r="AG31" i="72"/>
  <c r="BJ31" i="72"/>
  <c r="AK70" i="33"/>
  <c r="AL70" i="33"/>
  <c r="C67" i="72"/>
  <c r="AG67" i="72"/>
  <c r="BJ67" i="72"/>
  <c r="AK64" i="33"/>
  <c r="AL64" i="33"/>
  <c r="C61" i="72"/>
  <c r="AG61" i="72"/>
  <c r="BJ61" i="72"/>
  <c r="AK56" i="33"/>
  <c r="AL56" i="33"/>
  <c r="C53" i="72"/>
  <c r="AG53" i="72"/>
  <c r="BJ53" i="72"/>
  <c r="AK10" i="33"/>
  <c r="AL10" i="33"/>
  <c r="C7" i="72"/>
  <c r="AG7" i="72"/>
  <c r="BJ7" i="72"/>
  <c r="AK69" i="33"/>
  <c r="AL69" i="33"/>
  <c r="C66" i="72"/>
  <c r="AG66" i="72"/>
  <c r="BJ66" i="72"/>
  <c r="AK51" i="33"/>
  <c r="AL51" i="33"/>
  <c r="C48" i="72"/>
  <c r="AG48" i="72"/>
  <c r="BJ48" i="72"/>
  <c r="V8" i="46"/>
  <c r="V11" i="46"/>
  <c r="V10" i="46"/>
  <c r="AJ52" i="33"/>
  <c r="R15" i="76"/>
  <c r="S15" i="76"/>
  <c r="T15" i="76"/>
  <c r="AL15" i="76"/>
  <c r="R15" i="80"/>
  <c r="S15" i="80"/>
  <c r="T15" i="80"/>
  <c r="AL15" i="80"/>
  <c r="Q15" i="113"/>
  <c r="R15" i="113"/>
  <c r="S15" i="113"/>
  <c r="AK15" i="113"/>
  <c r="AJ29" i="33"/>
  <c r="AK29" i="33"/>
  <c r="AL29" i="33"/>
  <c r="C26" i="72"/>
  <c r="AG26" i="72"/>
  <c r="BJ26" i="72"/>
  <c r="AK52" i="33"/>
  <c r="AL52" i="33"/>
  <c r="C49" i="72"/>
  <c r="AG49" i="72"/>
  <c r="BJ49" i="72"/>
  <c r="W10" i="46"/>
  <c r="X10" i="46"/>
  <c r="AU10" i="46"/>
  <c r="W11" i="46"/>
  <c r="X11" i="46"/>
  <c r="AU11" i="46"/>
  <c r="W8" i="46"/>
  <c r="X8" i="46"/>
  <c r="AU8" i="46"/>
  <c r="R6" i="5"/>
  <c r="V6" i="46"/>
  <c r="W6" i="46"/>
  <c r="S6" i="5"/>
  <c r="T6" i="5"/>
  <c r="Q7" i="120"/>
  <c r="Q7" i="115"/>
  <c r="Q7" i="118"/>
  <c r="R5" i="5"/>
  <c r="R7" i="5"/>
  <c r="S5" i="5"/>
  <c r="Q76" i="120"/>
  <c r="R7" i="120"/>
  <c r="X6" i="46"/>
  <c r="Q76" i="118"/>
  <c r="R7" i="118"/>
  <c r="Q76" i="115"/>
  <c r="R7" i="115"/>
  <c r="V14" i="46"/>
  <c r="AJ42" i="33"/>
  <c r="Q7" i="117"/>
  <c r="Q7" i="116"/>
  <c r="Q7" i="113"/>
  <c r="Q7" i="114"/>
  <c r="Q7" i="119"/>
  <c r="R7" i="80"/>
  <c r="AJ23" i="33"/>
  <c r="R76" i="80"/>
  <c r="S7" i="80"/>
  <c r="Q76" i="116"/>
  <c r="R7" i="116"/>
  <c r="Q76" i="117"/>
  <c r="R7" i="117"/>
  <c r="Q82" i="115"/>
  <c r="Q82" i="118"/>
  <c r="Q82" i="120"/>
  <c r="S7" i="5"/>
  <c r="T5" i="5"/>
  <c r="T7" i="5"/>
  <c r="AK23" i="33"/>
  <c r="AL23" i="33"/>
  <c r="C20" i="72"/>
  <c r="AG20" i="72"/>
  <c r="BJ20" i="72"/>
  <c r="Q76" i="119"/>
  <c r="R7" i="119"/>
  <c r="Q77" i="114"/>
  <c r="R7" i="114"/>
  <c r="Q76" i="113"/>
  <c r="R7" i="113"/>
  <c r="AK42" i="33"/>
  <c r="AL42" i="33"/>
  <c r="C39" i="72"/>
  <c r="AG39" i="72"/>
  <c r="BJ39" i="72"/>
  <c r="V15" i="46"/>
  <c r="W14" i="46"/>
  <c r="R76" i="115"/>
  <c r="S7" i="115"/>
  <c r="R76" i="118"/>
  <c r="S7" i="118"/>
  <c r="AU6" i="46"/>
  <c r="S7" i="120"/>
  <c r="R76" i="120"/>
  <c r="V7" i="46"/>
  <c r="AJ15" i="33"/>
  <c r="AJ7" i="33"/>
  <c r="R7" i="76"/>
  <c r="AK7" i="33"/>
  <c r="W7" i="46"/>
  <c r="V12" i="46"/>
  <c r="V17" i="46"/>
  <c r="S76" i="120"/>
  <c r="AK7" i="120"/>
  <c r="AK76" i="120"/>
  <c r="R82" i="118"/>
  <c r="R82" i="115"/>
  <c r="X14" i="46"/>
  <c r="W15" i="46"/>
  <c r="R76" i="113"/>
  <c r="S7" i="113"/>
  <c r="S7" i="114"/>
  <c r="R77" i="114"/>
  <c r="R76" i="119"/>
  <c r="S7" i="119"/>
  <c r="R76" i="117"/>
  <c r="S7" i="117"/>
  <c r="R76" i="116"/>
  <c r="S7" i="116"/>
  <c r="S76" i="80"/>
  <c r="T7" i="80"/>
  <c r="R76" i="76"/>
  <c r="S7" i="76"/>
  <c r="AK15" i="33"/>
  <c r="AL15" i="33"/>
  <c r="C12" i="72"/>
  <c r="AG12" i="72"/>
  <c r="BJ12" i="72"/>
  <c r="R82" i="120"/>
  <c r="S76" i="118"/>
  <c r="AK7" i="118"/>
  <c r="AK76" i="118"/>
  <c r="AK7" i="115"/>
  <c r="AK76" i="115"/>
  <c r="S76" i="115"/>
  <c r="Q82" i="113"/>
  <c r="Q83" i="114"/>
  <c r="Q82" i="119"/>
  <c r="Q82" i="117"/>
  <c r="Q82" i="116"/>
  <c r="R82" i="80"/>
  <c r="J37" i="67"/>
  <c r="K37" i="67"/>
  <c r="L37" i="67"/>
  <c r="Y37" i="67"/>
  <c r="AK82" i="115"/>
  <c r="S82" i="118"/>
  <c r="T7" i="76"/>
  <c r="S76" i="76"/>
  <c r="T76" i="80"/>
  <c r="AL7" i="80"/>
  <c r="AL76" i="80"/>
  <c r="AK7" i="116"/>
  <c r="AK76" i="116"/>
  <c r="S76" i="116"/>
  <c r="S76" i="117"/>
  <c r="AK7" i="117"/>
  <c r="AK76" i="117"/>
  <c r="S76" i="119"/>
  <c r="AK7" i="119"/>
  <c r="AK76" i="119"/>
  <c r="R83" i="114"/>
  <c r="S76" i="113"/>
  <c r="AK7" i="113"/>
  <c r="AK76" i="113"/>
  <c r="AK82" i="120"/>
  <c r="S82" i="115"/>
  <c r="AK82" i="118"/>
  <c r="R82" i="76"/>
  <c r="S82" i="80"/>
  <c r="R82" i="116"/>
  <c r="R82" i="117"/>
  <c r="R82" i="119"/>
  <c r="S77" i="114"/>
  <c r="AK7" i="114"/>
  <c r="AK77" i="114"/>
  <c r="R82" i="113"/>
  <c r="AU14" i="46"/>
  <c r="AU15" i="46"/>
  <c r="X15" i="46"/>
  <c r="S82" i="120"/>
  <c r="X7" i="46"/>
  <c r="W12" i="46"/>
  <c r="W17" i="46"/>
  <c r="AL7" i="33"/>
  <c r="J61" i="67"/>
  <c r="K61" i="67"/>
  <c r="L61" i="67"/>
  <c r="Y61" i="67"/>
  <c r="J53" i="67"/>
  <c r="K53" i="67"/>
  <c r="L53" i="67"/>
  <c r="Y53" i="67"/>
  <c r="J65" i="67"/>
  <c r="K65" i="67"/>
  <c r="L65" i="67"/>
  <c r="Y65" i="67"/>
  <c r="J73" i="67"/>
  <c r="K73" i="67"/>
  <c r="L73" i="67"/>
  <c r="Y73" i="67"/>
  <c r="J46" i="67"/>
  <c r="K46" i="67"/>
  <c r="L46" i="67"/>
  <c r="Y46" i="67"/>
  <c r="J26" i="67"/>
  <c r="K26" i="67"/>
  <c r="L26" i="67"/>
  <c r="Y26" i="67"/>
  <c r="J34" i="67"/>
  <c r="K34" i="67"/>
  <c r="L34" i="67"/>
  <c r="Y34" i="67"/>
  <c r="J35" i="67"/>
  <c r="K35" i="67"/>
  <c r="L35" i="67"/>
  <c r="Y35" i="67"/>
  <c r="J58" i="67"/>
  <c r="K58" i="67"/>
  <c r="L58" i="67"/>
  <c r="Y58" i="67"/>
  <c r="J22" i="67"/>
  <c r="K22" i="67"/>
  <c r="L22" i="67"/>
  <c r="Y22" i="67"/>
  <c r="J23" i="67"/>
  <c r="K23" i="67"/>
  <c r="L23" i="67"/>
  <c r="Y23" i="67"/>
  <c r="J17" i="67"/>
  <c r="K17" i="67"/>
  <c r="L17" i="67"/>
  <c r="Y17" i="67"/>
  <c r="J52" i="67"/>
  <c r="K52" i="67"/>
  <c r="L52" i="67"/>
  <c r="Y52" i="67"/>
  <c r="J25" i="67"/>
  <c r="K25" i="67"/>
  <c r="L25" i="67"/>
  <c r="Y25" i="67"/>
  <c r="J44" i="67"/>
  <c r="K44" i="67"/>
  <c r="L44" i="67"/>
  <c r="Y44" i="67"/>
  <c r="J20" i="67"/>
  <c r="K20" i="67"/>
  <c r="L20" i="67"/>
  <c r="Y20" i="67"/>
  <c r="J59" i="67"/>
  <c r="K59" i="67"/>
  <c r="L59" i="67"/>
  <c r="Y59" i="67"/>
  <c r="J19" i="67"/>
  <c r="K19" i="67"/>
  <c r="L19" i="67"/>
  <c r="Y19" i="67"/>
  <c r="J64" i="67"/>
  <c r="K64" i="67"/>
  <c r="L64" i="67"/>
  <c r="Y64" i="67"/>
  <c r="J67" i="67"/>
  <c r="K67" i="67"/>
  <c r="L67" i="67"/>
  <c r="Y67" i="67"/>
  <c r="J38" i="67"/>
  <c r="K38" i="67"/>
  <c r="L38" i="67"/>
  <c r="Y38" i="67"/>
  <c r="J74" i="67"/>
  <c r="K74" i="67"/>
  <c r="L74" i="67"/>
  <c r="Y74" i="67"/>
  <c r="J10" i="67"/>
  <c r="K10" i="67"/>
  <c r="L10" i="67"/>
  <c r="Y10" i="67"/>
  <c r="C4" i="72"/>
  <c r="AK83" i="114"/>
  <c r="S82" i="113"/>
  <c r="S82" i="119"/>
  <c r="S82" i="117"/>
  <c r="AK82" i="116"/>
  <c r="T82" i="80"/>
  <c r="T76" i="76"/>
  <c r="AL7" i="76"/>
  <c r="AL76" i="76"/>
  <c r="AU7" i="46"/>
  <c r="AU12" i="46"/>
  <c r="AU17" i="46"/>
  <c r="X12" i="46"/>
  <c r="X17" i="46"/>
  <c r="S83" i="114"/>
  <c r="AK82" i="113"/>
  <c r="AK82" i="119"/>
  <c r="AK82" i="117"/>
  <c r="S82" i="116"/>
  <c r="AL82" i="80"/>
  <c r="S82" i="76"/>
  <c r="J62" i="67"/>
  <c r="K62" i="67"/>
  <c r="L62" i="67"/>
  <c r="Y62" i="67"/>
  <c r="J13" i="67"/>
  <c r="K13" i="67"/>
  <c r="L13" i="67"/>
  <c r="Y13" i="67"/>
  <c r="J41" i="67"/>
  <c r="K41" i="67"/>
  <c r="L41" i="67"/>
  <c r="Y41" i="67"/>
  <c r="J29" i="67"/>
  <c r="K29" i="67"/>
  <c r="L29" i="67"/>
  <c r="Y29" i="67"/>
  <c r="J56" i="67"/>
  <c r="K56" i="67"/>
  <c r="L56" i="67"/>
  <c r="Y56" i="67"/>
  <c r="J16" i="67"/>
  <c r="K16" i="67"/>
  <c r="L16" i="67"/>
  <c r="Y16" i="67"/>
  <c r="J49" i="67"/>
  <c r="K49" i="67"/>
  <c r="L49" i="67"/>
  <c r="Y49" i="67"/>
  <c r="J70" i="67"/>
  <c r="K70" i="67"/>
  <c r="L70" i="67"/>
  <c r="Y70" i="67"/>
  <c r="J28" i="67"/>
  <c r="K28" i="67"/>
  <c r="L28" i="67"/>
  <c r="Y28" i="67"/>
  <c r="J71" i="67"/>
  <c r="K71" i="67"/>
  <c r="L71" i="67"/>
  <c r="Y71" i="67"/>
  <c r="J31" i="67"/>
  <c r="K31" i="67"/>
  <c r="L31" i="67"/>
  <c r="Y31" i="67"/>
  <c r="J43" i="67"/>
  <c r="K43" i="67"/>
  <c r="L43" i="67"/>
  <c r="Y43" i="67"/>
  <c r="J68" i="67"/>
  <c r="K68" i="67"/>
  <c r="L68" i="67"/>
  <c r="Y68" i="67"/>
  <c r="J47" i="67"/>
  <c r="K47" i="67"/>
  <c r="L47" i="67"/>
  <c r="Y47" i="67"/>
  <c r="J8" i="67"/>
  <c r="K8" i="67"/>
  <c r="L8" i="67"/>
  <c r="Y8" i="67"/>
  <c r="J32" i="67"/>
  <c r="K32" i="67"/>
  <c r="L32" i="67"/>
  <c r="Y32" i="67"/>
  <c r="J55" i="67"/>
  <c r="K55" i="67"/>
  <c r="L55" i="67"/>
  <c r="Y55" i="67"/>
  <c r="J11" i="67"/>
  <c r="K11" i="67"/>
  <c r="L11" i="67"/>
  <c r="Y11" i="67"/>
  <c r="J40" i="67"/>
  <c r="K40" i="67"/>
  <c r="L40" i="67"/>
  <c r="Y40" i="67"/>
  <c r="J50" i="67"/>
  <c r="K50" i="67"/>
  <c r="L50" i="67"/>
  <c r="Y50" i="67"/>
  <c r="J7" i="67"/>
  <c r="K7" i="67"/>
  <c r="L7" i="67"/>
  <c r="Y7" i="67"/>
  <c r="AL82" i="76"/>
  <c r="AG4" i="72"/>
  <c r="T82" i="76"/>
  <c r="J14" i="67"/>
  <c r="K14" i="67"/>
  <c r="L14" i="67"/>
  <c r="Y14" i="67"/>
  <c r="BJ4" i="72"/>
  <c r="AJ62" i="33"/>
  <c r="AJ72" i="33"/>
  <c r="AJ39" i="33"/>
  <c r="AK39" i="33"/>
  <c r="AJ76" i="33"/>
  <c r="AK72" i="33"/>
  <c r="AL72" i="33"/>
  <c r="C69" i="72"/>
  <c r="AG69" i="72"/>
  <c r="BJ69" i="72"/>
  <c r="AK62" i="33"/>
  <c r="AL62" i="33"/>
  <c r="C59" i="72"/>
  <c r="AG59" i="72"/>
  <c r="BJ59" i="72"/>
  <c r="AL39" i="33"/>
  <c r="AK76" i="33"/>
  <c r="C36" i="72"/>
  <c r="AL76" i="33"/>
  <c r="AG36" i="72"/>
  <c r="C73" i="72"/>
  <c r="BJ36" i="72"/>
  <c r="BJ73" i="72"/>
  <c r="AG73" i="72"/>
  <c r="J9" i="67"/>
  <c r="K9" i="67"/>
  <c r="L9" i="67"/>
  <c r="Y9" i="67"/>
  <c r="J12" i="67"/>
  <c r="K12" i="67"/>
  <c r="L12" i="67"/>
  <c r="Y12" i="67"/>
  <c r="J6" i="67"/>
  <c r="K6" i="67"/>
  <c r="L6" i="67"/>
  <c r="J18" i="67"/>
  <c r="K18" i="67"/>
  <c r="L18" i="67"/>
  <c r="Y18" i="67"/>
  <c r="J15" i="67"/>
  <c r="K15" i="67"/>
  <c r="Y6" i="67"/>
  <c r="L15" i="67"/>
  <c r="J24" i="67"/>
  <c r="K24" i="67"/>
  <c r="L24" i="67"/>
  <c r="Y24" i="67"/>
  <c r="J21" i="67"/>
  <c r="K21" i="67"/>
  <c r="Y15" i="67"/>
  <c r="J27" i="67"/>
  <c r="K27" i="67"/>
  <c r="L27" i="67"/>
  <c r="Y27" i="67"/>
  <c r="L21" i="67"/>
  <c r="Y21" i="67"/>
  <c r="J33" i="67"/>
  <c r="K33" i="67"/>
  <c r="L33" i="67"/>
  <c r="Y33" i="67"/>
  <c r="J30" i="67"/>
  <c r="K30" i="67"/>
  <c r="J36" i="67"/>
  <c r="K36" i="67"/>
  <c r="L36" i="67"/>
  <c r="Y36" i="67"/>
  <c r="L30" i="67"/>
  <c r="J39" i="67"/>
  <c r="K39" i="67"/>
  <c r="L39" i="67"/>
  <c r="Y39" i="67"/>
  <c r="Y30" i="67"/>
  <c r="J42" i="67"/>
  <c r="K42" i="67"/>
  <c r="L42" i="67"/>
  <c r="Y42" i="67"/>
  <c r="J45" i="67"/>
  <c r="K45" i="67"/>
  <c r="L45" i="67"/>
  <c r="Y45" i="67"/>
  <c r="J48" i="67"/>
  <c r="K48" i="67"/>
  <c r="L48" i="67"/>
  <c r="Y48" i="67"/>
  <c r="J51" i="67"/>
  <c r="K51" i="67"/>
  <c r="L51" i="67"/>
  <c r="Y51" i="67"/>
  <c r="J54" i="67"/>
  <c r="K54" i="67"/>
  <c r="L54" i="67"/>
  <c r="Y54" i="67"/>
  <c r="J57" i="67"/>
  <c r="K57" i="67"/>
  <c r="L57" i="67"/>
  <c r="Y57" i="67"/>
  <c r="J60" i="67"/>
  <c r="K60" i="67"/>
  <c r="L60" i="67"/>
  <c r="Y60" i="67"/>
  <c r="J63" i="67"/>
  <c r="K63" i="67"/>
  <c r="L63" i="67"/>
  <c r="Y63" i="67"/>
  <c r="J66" i="67"/>
  <c r="K66" i="67"/>
  <c r="L66" i="67"/>
  <c r="Y66" i="67"/>
  <c r="J69" i="67"/>
  <c r="K69" i="67"/>
  <c r="L69" i="67"/>
  <c r="Y69" i="67"/>
  <c r="J72" i="67"/>
  <c r="K72" i="67"/>
  <c r="J75" i="67"/>
  <c r="J81" i="67"/>
  <c r="L72" i="67"/>
  <c r="K75" i="67"/>
  <c r="K81" i="67"/>
  <c r="Y72" i="67"/>
  <c r="Y75" i="67"/>
  <c r="Y81" i="67"/>
  <c r="L75" i="67"/>
  <c r="L81" i="67"/>
</calcChain>
</file>

<file path=xl/sharedStrings.xml><?xml version="1.0" encoding="utf-8"?>
<sst xmlns="http://schemas.openxmlformats.org/spreadsheetml/2006/main" count="5015" uniqueCount="1058">
  <si>
    <t>FY2006/07
Hold 
Harmless 
Amount</t>
  </si>
  <si>
    <t>School 
System</t>
  </si>
  <si>
    <t>AD VALOREM 
CONSTITUTIONAL TAX</t>
  </si>
  <si>
    <t>COMBINED 
SALES 
PERCENT</t>
  </si>
  <si>
    <t>SALES
REVENUE 
(NON-DEBT)</t>
  </si>
  <si>
    <t>SALES 
REVENUE 
(DEBT)</t>
  </si>
  <si>
    <t>PARISH 
MILL 
RATE</t>
  </si>
  <si>
    <t>DIST 
MILL 
LOW</t>
  </si>
  <si>
    <t>DIST 
MILL 
HIGH</t>
  </si>
  <si>
    <t># 
OF 
DISTS.</t>
  </si>
  <si>
    <t>DIST 
REVENUE 
AMOUNT</t>
  </si>
  <si>
    <t>PARISH 
REVENUE 
AMOUNT</t>
  </si>
  <si>
    <t>TOTAL AVG. 
MILL RATE 
(NON DEBT)</t>
  </si>
  <si>
    <t>TOTAL AVG.
MILL RATE 
(DEBT)</t>
  </si>
  <si>
    <t>REVENUE
DISTRICT 
INCL. DEBT</t>
  </si>
  <si>
    <t>REVENUE
PARISHWIDE
INCL. DEBT</t>
  </si>
  <si>
    <t>PARISHWIDE  
MILLAGE 
INCL. DEBT</t>
  </si>
  <si>
    <t>TOTAL AVG.
MILL RATE 
INCLUDING
DEBT</t>
  </si>
  <si>
    <t>DEBT 
RATE</t>
  </si>
  <si>
    <t>col. 34+col.30+col. 26</t>
  </si>
  <si>
    <t>col. 5 + col. 7 + col. 11</t>
  </si>
  <si>
    <t>col. 14 + col. 18</t>
  </si>
  <si>
    <t>La. Tax Commission Tables 41 &amp; 43</t>
  </si>
  <si>
    <t>(col. 26/ col. 3)*1000</t>
  </si>
  <si>
    <t>col. 30/ col 27</t>
  </si>
  <si>
    <t>col. 28/ col. 31</t>
  </si>
  <si>
    <t>col. 29/ col. 31</t>
  </si>
  <si>
    <t>City of Baker</t>
  </si>
  <si>
    <t>Zachary Community</t>
  </si>
  <si>
    <t>col. 4 + col. 6 + col 13</t>
  </si>
  <si>
    <t>col. 5 + col. 7 + col 14</t>
  </si>
  <si>
    <t>col. 11 + col. 18</t>
  </si>
  <si>
    <t>(col. 19/ col. 3)*1000</t>
  </si>
  <si>
    <t>(col. 12/ col. 3)*1000</t>
  </si>
  <si>
    <t>SUMMARY OF AD VALOREM TAXES</t>
  </si>
  <si>
    <t>AFR-kpc 62220 col. 3</t>
  </si>
  <si>
    <t>AFR-kpc 62220 col. 4</t>
  </si>
  <si>
    <t>AFR-kpc 62320 col. 3</t>
  </si>
  <si>
    <t>AFR-kpc 62320 col. 4</t>
  </si>
  <si>
    <t>AFR-kpc 62320 col. 5</t>
  </si>
  <si>
    <t>AFR-kpc 62320 col. 6</t>
  </si>
  <si>
    <t>AFR-kpc 62320 col. 7</t>
  </si>
  <si>
    <t>AFR-kpc 62320 col. 8</t>
  </si>
  <si>
    <t>AFR-kpc 62620 col. 3</t>
  </si>
  <si>
    <t>AFR-kpc 62620 col. 4</t>
  </si>
  <si>
    <t>AFR-kpc 62620 col. 5</t>
  </si>
  <si>
    <t>AFR-kpc 62620 col. 6</t>
  </si>
  <si>
    <t>AFR-kpc 62620 col. 7</t>
  </si>
  <si>
    <t>AFR-kpc 62620 col. 8</t>
  </si>
  <si>
    <t>AD VALOREM RENEWABLE TAXES</t>
  </si>
  <si>
    <t>DEBT SERVICE TAXES</t>
  </si>
  <si>
    <t>TOTAL AD VALOREM TAXES         (DEBT)</t>
  </si>
  <si>
    <t>PARISH REVENUE AMOUNT</t>
  </si>
  <si>
    <t>DIST. MILL LOW</t>
  </si>
  <si>
    <t>DIST. MILL HIGH</t>
  </si>
  <si>
    <t># OF DISTS.</t>
  </si>
  <si>
    <t>See 
Table 2</t>
  </si>
  <si>
    <t>col.13 x Tbl 3, col.1 (Oct 1 membership)</t>
  </si>
  <si>
    <t>If col 14 &gt;col. 15 then col. 15, otherwise col. 14</t>
  </si>
  <si>
    <t>AFR-kpc 63320 col.3</t>
  </si>
  <si>
    <t>AFR kpc 63320 col.4</t>
  </si>
  <si>
    <t>SUMMARY OF SALES TAXES</t>
  </si>
  <si>
    <t>Per HCR 235</t>
  </si>
  <si>
    <t>AFR kpcs (50% of 1210, 1220) 8231, 8232, 8233, 8234, 8240, 14200, 14300, 14400</t>
  </si>
  <si>
    <t>Col.35 / Tab.3 col.1</t>
  </si>
  <si>
    <t>RSD Chartered</t>
  </si>
  <si>
    <t>Total RSD Chartered</t>
  </si>
  <si>
    <t xml:space="preserve">Percent 
State </t>
  </si>
  <si>
    <t>See Table 2</t>
  </si>
  <si>
    <t xml:space="preserve">COMPUTED SALES
TAX BASE with GROWTH CAP OF </t>
  </si>
  <si>
    <t>STATE TOTAL</t>
  </si>
  <si>
    <t>COMPUTED SALES TAX BASE</t>
  </si>
  <si>
    <t>NON-DEBT RATE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</si>
  <si>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</si>
  <si>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</si>
  <si>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</si>
  <si>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</si>
  <si>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</si>
  <si>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</si>
  <si>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</si>
  <si>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</si>
  <si>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</si>
  <si>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</si>
  <si>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</si>
  <si>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</si>
  <si>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</si>
  <si>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</si>
  <si>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</si>
  <si>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</si>
  <si>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</si>
  <si>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</si>
  <si>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</si>
  <si>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</si>
  <si>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</si>
  <si>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</si>
  <si>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</si>
  <si>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</si>
  <si>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</si>
  <si>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</si>
  <si>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</si>
  <si>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</si>
  <si>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</si>
  <si>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</si>
  <si>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</si>
  <si>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</si>
  <si>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</si>
  <si>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</si>
  <si>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</si>
  <si>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</si>
  <si>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</si>
  <si>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</si>
  <si>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</si>
  <si>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</si>
  <si>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</si>
  <si>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</si>
  <si>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</si>
  <si>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</si>
  <si>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</si>
  <si>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</si>
  <si>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</si>
  <si>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</si>
  <si>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</si>
  <si>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</si>
  <si>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</si>
  <si>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</si>
  <si>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</si>
  <si>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</si>
  <si>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</si>
  <si>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</si>
  <si>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</si>
  <si>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</si>
  <si>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</si>
  <si>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</si>
  <si>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</si>
  <si>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</si>
  <si>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</si>
  <si>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</si>
  <si>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</si>
  <si>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</si>
  <si>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 xml:space="preserve">TOTAL </t>
  </si>
  <si>
    <t>LEA</t>
  </si>
  <si>
    <t>AFR kpc 63320 col. 5</t>
  </si>
  <si>
    <t>School</t>
  </si>
  <si>
    <t>Rank</t>
  </si>
  <si>
    <t>St. John the Baptist</t>
  </si>
  <si>
    <t>MFP Simulation Summary (6-11-07)</t>
  </si>
  <si>
    <t xml:space="preserve">
COMPUTED SALES 
TAX BASE
 PERCENT CHANGE</t>
  </si>
  <si>
    <t>Central Community</t>
  </si>
  <si>
    <t>% Change</t>
  </si>
  <si>
    <t xml:space="preserve">TOTAL
LEVEL 1
COSTS </t>
  </si>
  <si>
    <t>3a</t>
  </si>
  <si>
    <t>3b</t>
  </si>
  <si>
    <t>3c</t>
  </si>
  <si>
    <t>TOTAL AD VALOREM TAXES
(NON DEBT)</t>
  </si>
  <si>
    <t xml:space="preserve">Rank
</t>
  </si>
  <si>
    <t>Local Revenue as Percent of Total State and Local</t>
  </si>
  <si>
    <t>Remaining
Hold 
Harmless
(FY2007/08)</t>
  </si>
  <si>
    <t xml:space="preserve">Total 
Weighted
Membership
and/or Units </t>
  </si>
  <si>
    <t>DIST. 
REVENUE 
AMOUNT</t>
  </si>
  <si>
    <t>Total Revenue 
(for Use in MFP Level 1 and 2)</t>
  </si>
  <si>
    <r>
      <t>LSU</t>
    </r>
    <r>
      <rPr>
        <sz val="10"/>
        <rFont val="Arial"/>
        <family val="2"/>
      </rPr>
      <t xml:space="preserve">
Lab. School</t>
    </r>
  </si>
  <si>
    <r>
      <t>Southern Univ.</t>
    </r>
    <r>
      <rPr>
        <sz val="10"/>
        <rFont val="Arial"/>
        <family val="2"/>
      </rPr>
      <t xml:space="preserve">
Lab. School</t>
    </r>
  </si>
  <si>
    <t>School
System</t>
  </si>
  <si>
    <t>Adjustments Due to Student, 
CAFR/AFR and PEP Audits</t>
  </si>
  <si>
    <t>Due 
District
(+)</t>
  </si>
  <si>
    <t>Due 
State
(-)</t>
  </si>
  <si>
    <t>Per Pupil 
Amount</t>
  </si>
  <si>
    <t xml:space="preserve">Actual 
Sales and Property
Tax Revenues
(Including Debt) 
Plus Other Revenue </t>
  </si>
  <si>
    <t xml:space="preserve">Local Revenue
Over
Level 1 </t>
  </si>
  <si>
    <t>Per Pupil
Amount</t>
  </si>
  <si>
    <t>Total Type 5 Charters 
East Baton Rouge Parish</t>
  </si>
  <si>
    <t>Total Type 5 Charters 
Caddo Parish</t>
  </si>
  <si>
    <t>Total RSD LA</t>
  </si>
  <si>
    <t>Total OPSB + RSD + DOE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</si>
  <si>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</si>
  <si>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</si>
  <si>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</si>
  <si>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</si>
  <si>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</si>
  <si>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</si>
  <si>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</si>
  <si>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</si>
  <si>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</si>
  <si>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</si>
  <si>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</si>
  <si>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</si>
  <si>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</si>
  <si>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</si>
  <si>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</si>
  <si>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</si>
  <si>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</si>
  <si>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</si>
  <si>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</si>
  <si>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</si>
  <si>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</si>
  <si>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</si>
  <si>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</si>
  <si>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</si>
  <si>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</si>
  <si>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</si>
  <si>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</si>
  <si>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</si>
  <si>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</si>
  <si>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</si>
  <si>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</si>
  <si>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</si>
  <si>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</si>
  <si>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</si>
  <si>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</si>
  <si>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</si>
  <si>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</si>
  <si>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</si>
  <si>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</si>
  <si>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</si>
  <si>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</si>
  <si>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</si>
  <si>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</si>
  <si>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</si>
  <si>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</si>
  <si>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</si>
  <si>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</si>
  <si>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Office of Juvenile Justice</t>
  </si>
  <si>
    <t>Per Pupil Amount
Adjusted for
 Year-Round
School</t>
  </si>
  <si>
    <t>Per Pupil Amount
Adjusted for
 Year-Round
School and 
50% Special Ed</t>
  </si>
  <si>
    <t>MFP 
Budget Ltr</t>
  </si>
  <si>
    <t>col 2 X 1.3164</t>
  </si>
  <si>
    <t>col 3 + $1,470</t>
  </si>
  <si>
    <t>col 1 X col 4</t>
  </si>
  <si>
    <t>MFP
Budget Ltr</t>
  </si>
  <si>
    <t>(=56/177))</t>
  </si>
  <si>
    <t>Special Ed Students on 2/1/09 (state)</t>
  </si>
  <si>
    <t>base students 2/1/09 (state)</t>
  </si>
  <si>
    <t>percentage special ed students to base students (state average)</t>
  </si>
  <si>
    <t>total weighted students 2/1/09</t>
  </si>
  <si>
    <t>percentage special ed add on students to total weighted students</t>
  </si>
  <si>
    <t>total Level 1 and Level 2 state dollars</t>
  </si>
  <si>
    <t>Total L1 &amp; L2 dollars time 14.1%</t>
  </si>
  <si>
    <t>For 14% to increase to 50%, that is a 3572% increase</t>
  </si>
  <si>
    <t>base students on 2/1/09</t>
  </si>
  <si>
    <t>per pupil amount of special ed funding</t>
  </si>
  <si>
    <t>minus per pupil amount of original special ed funding ($375,552,036/650,290)</t>
  </si>
  <si>
    <t>Per pupil amount to increase funding for OJJ per pupil amounts</t>
  </si>
  <si>
    <t xml:space="preserve">Increase 
Cost 
Adjustment </t>
  </si>
  <si>
    <t>Continuation 
of
Prior Year
Pay Raises</t>
  </si>
  <si>
    <t>Mandated Cost 
Adjustment</t>
  </si>
  <si>
    <t>Continuation 
of 
Prior Year
Pay 
Raises</t>
  </si>
  <si>
    <t xml:space="preserve">
Continuation
of
Prior Year 
Pay Raises
(FY2001-02 
through
FY2008-09)
Per Pupil
Amount</t>
  </si>
  <si>
    <t>Continuation
of Prior Year 
Pay Raises
(FY2001-02 
through
FY2008-09)
Per Pupil
Amount</t>
  </si>
  <si>
    <t>Continuation
of
Prior Year 
Pay Raises
(FY2001-02 
through
FY2008-09)
Per Pupil
Amount</t>
  </si>
  <si>
    <t>State Funds 
(with Continuation of Prior Year Pay Raises)
as Percent 
of Total State
and Local</t>
  </si>
  <si>
    <t>Without Continuation of Prior Year Pay Raises</t>
  </si>
  <si>
    <t>With Continuation of Prior Year Pay Raises</t>
  </si>
  <si>
    <t>L
E
A</t>
  </si>
  <si>
    <t>Difference</t>
  </si>
  <si>
    <t>036xxx</t>
  </si>
  <si>
    <t>Per SIS</t>
  </si>
  <si>
    <t>Admin.
Fee
to
RSD</t>
  </si>
  <si>
    <t>Admin.
Fee
to 
LDOE</t>
  </si>
  <si>
    <t>Total
Admin.  
Fee</t>
  </si>
  <si>
    <t>Site
Code</t>
  </si>
  <si>
    <t>Total LAVCA</t>
  </si>
  <si>
    <t>Continuation
of
Prior
Year
Pay Raises</t>
  </si>
  <si>
    <t>State
Admin Fee
to the 
Dept. of
Education</t>
  </si>
  <si>
    <t>Out of State</t>
  </si>
  <si>
    <r>
      <t xml:space="preserve">Lake Charles Charter Academy
(Lake Charles Charter School Assoc., Inc)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</si>
  <si>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Louisiana Connections 
Academy
(Friends of LA Connections Academy)
</t>
    </r>
    <r>
      <rPr>
        <sz val="11"/>
        <color indexed="18"/>
        <rFont val="Arial"/>
        <family val="2"/>
      </rPr>
      <t>(Virtual)
(Site Code 345001)
(Opened 11/12)
(Not in a District Bldg.)</t>
    </r>
  </si>
  <si>
    <r>
      <t xml:space="preserve">J. S. Clark Leadership Academy
(Outreach Community Development Corporation)
</t>
    </r>
    <r>
      <rPr>
        <sz val="10"/>
        <color indexed="18"/>
        <rFont val="Arial"/>
        <family val="2"/>
      </rPr>
      <t>(Site Code 349001)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(Opened 12/13)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(Not in a District Building)</t>
    </r>
  </si>
  <si>
    <r>
      <t xml:space="preserve">Lycee Francais de la Nouvelle Orleans
(LFNO, Inc.)
</t>
    </r>
    <r>
      <rPr>
        <sz val="11"/>
        <color indexed="18"/>
        <rFont val="Arial"/>
        <family val="2"/>
      </rPr>
      <t>(Site Code 347001)
(Opened 11/12)
(Not in a District Building)</t>
    </r>
  </si>
  <si>
    <r>
      <t xml:space="preserve">New Orleans Military/Maritime Academy
</t>
    </r>
    <r>
      <rPr>
        <sz val="11"/>
        <color indexed="18"/>
        <rFont val="Arial"/>
        <family val="2"/>
      </rPr>
      <t>(Site Code 348001)
(Opened 11/12)
(Not in a District Building)</t>
    </r>
  </si>
  <si>
    <r>
      <t xml:space="preserve">D'Arbonne Woods Charter School, Inc.
(D'Arbonne Woods Charter)
</t>
    </r>
    <r>
      <rPr>
        <sz val="11"/>
        <color indexed="18"/>
        <rFont val="Arial"/>
        <family val="2"/>
      </rPr>
      <t>(Site Code 341001)
(Opened 09/10)
(Not in a District Building)</t>
    </r>
  </si>
  <si>
    <r>
      <t xml:space="preserve">Southwest LA Charter Academy
(Southwest LA Charter Academy Foundation, Inc.)
</t>
    </r>
    <r>
      <rPr>
        <sz val="10"/>
        <color indexed="18"/>
        <rFont val="Arial"/>
        <family val="2"/>
      </rPr>
      <t>(Site Code 328001)
(Opened 12/13)
(Not in a District Building)</t>
    </r>
  </si>
  <si>
    <r>
      <rPr>
        <b/>
        <sz val="10"/>
        <color rgb="FF000066"/>
        <rFont val="Arial"/>
        <family val="2"/>
      </rPr>
      <t>City/Parish</t>
    </r>
    <r>
      <rPr>
        <b/>
        <sz val="10"/>
        <color indexed="18"/>
        <rFont val="Arial"/>
        <family val="2"/>
      </rPr>
      <t xml:space="preserve">
Pay Raise
Continuation
Per Pupil 
Amount
</t>
    </r>
  </si>
  <si>
    <t>Total
State
Cost 
Allocations
for
Other
Entities</t>
  </si>
  <si>
    <t>State 
Cost Allocation
 %</t>
  </si>
  <si>
    <t>Local 
Cost Allocation
 %</t>
  </si>
  <si>
    <t>Per Pupil 
Local Cost Allocation
 of Level 1</t>
  </si>
  <si>
    <t>MFP  
State
Cost 
Allocation</t>
  </si>
  <si>
    <t xml:space="preserve">State
Cost Allocation
Monthly
Payment
</t>
  </si>
  <si>
    <t>MFP
State 
Cost
Allocation</t>
  </si>
  <si>
    <t>MFP
State
Cost
Allocation</t>
  </si>
  <si>
    <t>State
Cost
Allocation</t>
  </si>
  <si>
    <t>State Cost
Allocation 
for OJJ
Secure Care
Students</t>
  </si>
  <si>
    <t>(5a)</t>
  </si>
  <si>
    <t>(6a)</t>
  </si>
  <si>
    <t>RSD - LA
(Type 5 Only)</t>
  </si>
  <si>
    <t>RSD - Orleans
(Type 5 Only)</t>
  </si>
  <si>
    <t>RSD - State Operated</t>
  </si>
  <si>
    <t>3_ Legacy-333001-Avoyelles Public Charter School</t>
  </si>
  <si>
    <t>3_ Legacy-336001-Delhi Charter School</t>
  </si>
  <si>
    <t>3_ Legacy-337001-Belle Chasse Academy</t>
  </si>
  <si>
    <t>3_328001-Southwest Louisiana Charter School</t>
  </si>
  <si>
    <t>3_341001-D'Arbonne Woods Charter School</t>
  </si>
  <si>
    <t>3_343001-Madison Preparatory Academy</t>
  </si>
  <si>
    <t>3_343002-Louisiana Virtual Charter Academy</t>
  </si>
  <si>
    <t>3_344001-International High School of New Orleans</t>
  </si>
  <si>
    <t>3_345001-Louisiana Connections Academy</t>
  </si>
  <si>
    <t>3_346001-Lake Charles Charter Academy</t>
  </si>
  <si>
    <t>3_347001-Lycee Francais de la Nouvelle-Orleans</t>
  </si>
  <si>
    <t>3_348001-New Orleans Military/Maritime Academy</t>
  </si>
  <si>
    <t>3_349001-JS Clark Leadership Academy</t>
  </si>
  <si>
    <t>4_302006-Louisiana School for Math Science &amp; the Arts</t>
  </si>
  <si>
    <t>4_334001-New Orleans Center for Creative Arts</t>
  </si>
  <si>
    <t>2_318001-LSU Laboratory School</t>
  </si>
  <si>
    <t>2_319001-Southern University Lab School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</si>
  <si>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</si>
  <si>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</si>
  <si>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</si>
  <si>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</si>
  <si>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</si>
  <si>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</si>
  <si>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</si>
  <si>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</si>
  <si>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</si>
  <si>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</si>
  <si>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</si>
  <si>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</si>
  <si>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</si>
  <si>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</si>
  <si>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</si>
  <si>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</si>
  <si>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</si>
  <si>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</si>
  <si>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</si>
  <si>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</si>
  <si>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</si>
  <si>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</si>
  <si>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</si>
  <si>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</si>
  <si>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</si>
  <si>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</si>
  <si>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</si>
  <si>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</si>
  <si>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</si>
  <si>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</si>
  <si>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</si>
  <si>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</si>
  <si>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</si>
  <si>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</si>
  <si>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</si>
  <si>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</si>
  <si>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</si>
  <si>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</si>
  <si>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</si>
  <si>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</si>
  <si>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</si>
  <si>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</si>
  <si>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</si>
  <si>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</si>
  <si>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</si>
  <si>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</si>
  <si>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</si>
  <si>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</si>
  <si>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</si>
  <si>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</si>
  <si>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</si>
  <si>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</si>
  <si>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</si>
  <si>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</si>
  <si>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</si>
  <si>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</si>
  <si>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</si>
  <si>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</si>
  <si>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</si>
  <si>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</si>
  <si>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</si>
  <si>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</si>
  <si>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</si>
  <si>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</si>
  <si>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</si>
  <si>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</si>
  <si>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</si>
  <si>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</si>
  <si>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</si>
  <si>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</si>
  <si>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</si>
  <si>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</si>
  <si>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</si>
  <si>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</si>
  <si>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</si>
  <si>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</si>
  <si>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</si>
  <si>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</si>
  <si>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</si>
  <si>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</si>
  <si>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</si>
  <si>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</si>
  <si>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</si>
  <si>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</si>
  <si>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</si>
  <si>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</si>
  <si>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</si>
  <si>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</si>
  <si>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</si>
  <si>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</si>
  <si>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</si>
  <si>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Out-Of-State</t>
  </si>
  <si>
    <t/>
  </si>
  <si>
    <t>Totals - MFP &amp; Funded</t>
  </si>
  <si>
    <t>Charter Schools</t>
  </si>
  <si>
    <t>Total 
Base
Allocation</t>
  </si>
  <si>
    <t>Continuation
of
Prior Year
Pay 
Raises</t>
  </si>
  <si>
    <t>TOTAL TYPE 2 CHARTER
 SCHOOL ALLOCATION</t>
  </si>
  <si>
    <t xml:space="preserve">Monthly
Amount
</t>
  </si>
  <si>
    <t>3A5001</t>
  </si>
  <si>
    <t>diff is the 1 out of state</t>
  </si>
  <si>
    <r>
      <t xml:space="preserve">Louisiana Key Academy
</t>
    </r>
    <r>
      <rPr>
        <sz val="10"/>
        <color indexed="18"/>
        <rFont val="Arial"/>
        <family val="2"/>
      </rPr>
      <t>(Site Code 3A7001)
(Opened 13/14)
(Not in a District Building)</t>
    </r>
  </si>
  <si>
    <r>
      <t xml:space="preserve">Jefferson Chamber Foundation
</t>
    </r>
    <r>
      <rPr>
        <sz val="10"/>
        <color indexed="18"/>
        <rFont val="Arial"/>
        <family val="2"/>
      </rPr>
      <t>(Site Code 3A1001)
(Opened 13/14)
(Not in a District Building)</t>
    </r>
  </si>
  <si>
    <r>
      <t xml:space="preserve">Tallulah Charter School
</t>
    </r>
    <r>
      <rPr>
        <sz val="10"/>
        <color indexed="18"/>
        <rFont val="Arial"/>
        <family val="2"/>
      </rPr>
      <t>(Site Code 3A2001)
(Opened 13/14)
(Not in a District Building)</t>
    </r>
  </si>
  <si>
    <r>
      <t xml:space="preserve">Northshore Charter School
</t>
    </r>
    <r>
      <rPr>
        <sz val="10"/>
        <color indexed="18"/>
        <rFont val="Arial"/>
        <family val="2"/>
      </rPr>
      <t>(Site Code 3A6001)
(Opened 13/14)
(Not in a District Building)</t>
    </r>
  </si>
  <si>
    <r>
      <t xml:space="preserve">Delta Charter School
</t>
    </r>
    <r>
      <rPr>
        <sz val="10"/>
        <color indexed="18"/>
        <rFont val="Arial"/>
        <family val="2"/>
      </rPr>
      <t>(Site Code 3A4001)
(Opened 13/14)
(Not in a District Building)</t>
    </r>
  </si>
  <si>
    <r>
      <t xml:space="preserve">Baton Rouge 
Charter Academy 
at Mid-City
</t>
    </r>
    <r>
      <rPr>
        <sz val="10"/>
        <color indexed="18"/>
        <rFont val="Arial"/>
        <family val="2"/>
      </rPr>
      <t>(Site Code 3A3001)
(Opened 13/14)
(Not in a District Building)</t>
    </r>
  </si>
  <si>
    <t>Mid-Year Adjustment for Students</t>
  </si>
  <si>
    <t>City/Parish LEA Only</t>
  </si>
  <si>
    <t>Other Entities in Table 3</t>
  </si>
  <si>
    <t>Total
Midyear
Adjustment
for 
Students</t>
  </si>
  <si>
    <t xml:space="preserve">Monthly 
Payment </t>
  </si>
  <si>
    <t>Total
Local Cost Allocation
+ 
Mid-Year Adjustment
for Students</t>
  </si>
  <si>
    <t>Total
Mid-Year
Adjustment
for Students</t>
  </si>
  <si>
    <t>Total
MFP
State
Cost
Allocation 
+ Pay Raises</t>
  </si>
  <si>
    <t>Total
State Cost Allocation
+ Pay Raises
+/- Mid-Year
Adjustment
for Students</t>
  </si>
  <si>
    <t>Total MFP
State Cost 
Allocation
+ Prior Year
Pay Raises</t>
  </si>
  <si>
    <t>Total MFP
State Cost 
Allocation
+ Prior Year
Pay Raises
+/- Midyear
Adjustments
for Students</t>
  </si>
  <si>
    <t>Total MFP
State Cost  
Allocation 
+ Prior Year 
Pay Raises 
+/- Midyear
Adjustments
for Students
+/- Audit
Adjustments</t>
  </si>
  <si>
    <t xml:space="preserve">State
Cost
Allocation
Monthly
Payment
</t>
  </si>
  <si>
    <t>Total
State Cost
Allocation
+ Prior Year
Pay Raises
+/- Mid-Year
Adjustments
for Students
- Admin Fee</t>
  </si>
  <si>
    <t>Continuation
of
Prior
Year
Pay Raises
Per Pupil
Amount</t>
  </si>
  <si>
    <t>Total
State Cost
Allocation
+ Prior Year
Pay Raises</t>
  </si>
  <si>
    <t>Total
State Cost
Allocation
+ Prior Year
Pay Raises
+/- Mid-Year
Adjustments
for Students</t>
  </si>
  <si>
    <t>Total 
State 
Cost 
Allocation
+ Prior Year
Pay Raises</t>
  </si>
  <si>
    <t>State
Cost
Allocation
Monthly 
Payment</t>
  </si>
  <si>
    <t>Total
Mid-Year
Adjustment
for
Students</t>
  </si>
  <si>
    <r>
      <t xml:space="preserve">LA Virtual Charter Academy 
(LAVCA)
(Community School of 
Apprenticeship Learning)
(CSAL)
</t>
    </r>
    <r>
      <rPr>
        <sz val="11"/>
        <color indexed="18"/>
        <rFont val="Arial"/>
        <family val="2"/>
      </rPr>
      <t>(Site Code 343002)
(Opened 11/12)
(Not in a District Bldg.)</t>
    </r>
  </si>
  <si>
    <t>Total
Base
Allocation
+ Prior Year
Pay Raises
+/- Mid-Year
Adjustments
for Students</t>
  </si>
  <si>
    <t>col 10 + col 11</t>
  </si>
  <si>
    <t>col 12 - col 13</t>
  </si>
  <si>
    <t>col 14 ÷ 4</t>
  </si>
  <si>
    <t>col 1 + col 17</t>
  </si>
  <si>
    <t>col 16 ÷
col 18</t>
  </si>
  <si>
    <t>col 1 * col 19</t>
  </si>
  <si>
    <t>col 26 + col 27</t>
  </si>
  <si>
    <t>col 28 - col 29</t>
  </si>
  <si>
    <t>col 30 ÷ 4</t>
  </si>
  <si>
    <t>col 12 + col 28</t>
  </si>
  <si>
    <t>col 15 + col 31</t>
  </si>
  <si>
    <t>col 9 + 
col 14</t>
  </si>
  <si>
    <t>col 32</t>
  </si>
  <si>
    <t>Minus
State Cost
Allocation
 for
LA
Connections
Table 5C3</t>
  </si>
  <si>
    <t>Minus
State Cost
Allocation
 for
LAVCA
Table 5C2</t>
  </si>
  <si>
    <t>Minus
State Cost
Allocation
 for
J.S. Clark Academy
Table 5C1G</t>
  </si>
  <si>
    <t>Minus
State Cost
Allocation
 for
Lake Charles Charter
Table 5C1F</t>
  </si>
  <si>
    <t>Minus
State Cost
Allocation
 for
N.O.
Military/
Maritime
Table 5C1D</t>
  </si>
  <si>
    <t>Minus
State Cost
Allocation
 for
Int'l H.S.
(VIBE)
Table 5C1C</t>
  </si>
  <si>
    <t>Minus
State Cost
Allocation
 for
D'Arbonne Woods
Table 5C1B</t>
  </si>
  <si>
    <t>Minus
State Cost
Allocation
 for
Madison Prep
(CSAL)
Table 5C1A</t>
  </si>
  <si>
    <t>col 34</t>
  </si>
  <si>
    <t>col 36</t>
  </si>
  <si>
    <t>col 21 + 
col 32</t>
  </si>
  <si>
    <t>Total
Admin.
Fee</t>
  </si>
  <si>
    <t>col 10</t>
  </si>
  <si>
    <t>Admin.
Fee
to 
LDE</t>
  </si>
  <si>
    <t>Admin.
Fee
to
LDE</t>
  </si>
  <si>
    <t>Total
State Cost
Allocation
+ Pay Raises
+/- Mid-Year
Adjustment
for Students
- Admin Fee</t>
  </si>
  <si>
    <t>Total
State Cost
Allocation
+ Pay Raises
+/- Mid-Year
Adjustment
for Students</t>
  </si>
  <si>
    <t>Total
Mid-Year
Adjustments
for Students</t>
  </si>
  <si>
    <t>col 25 + 
col 28</t>
  </si>
  <si>
    <t>col 27 + 
col 30</t>
  </si>
  <si>
    <t>col 26 + 
col 29</t>
  </si>
  <si>
    <t>2014-2015
COMPUTED
 SALES TAX 
BASE</t>
  </si>
  <si>
    <t xml:space="preserve">  2012 ASSESSED PROPERTY VALUE</t>
  </si>
  <si>
    <t>TOTAL 
AD VALOREM 
REVENUE 
INCLUDING DEBT
(2012-2013)</t>
  </si>
  <si>
    <t>TOTAL 
SALES TAX REVENUE
(2012-2013)</t>
  </si>
  <si>
    <t>OTHER REVENUES:  
Includes State and Federal taxes in lieu of &amp; 50% of earnings from 16th section and from other real estate
2012-2013 AFR</t>
  </si>
  <si>
    <t>2012
TOTAL ASSESSED PROPERTY VALUE</t>
  </si>
  <si>
    <t>2012
ASSESSED HOMESTEAD EXEMPTION</t>
  </si>
  <si>
    <t>2012
NET ASSESSED TAXABLE PROPERTY</t>
  </si>
  <si>
    <t>2012
NET ASSESSED TAXABLE PROPERTY
with Cap of</t>
  </si>
  <si>
    <t>(Prior Year)
 2011
Net Assessed Taxable Property (Without cap)</t>
  </si>
  <si>
    <t>2012
Ad Valorem 
Tax Revenues
(per 12-13 AFR)</t>
  </si>
  <si>
    <t>2012
Net Assessed 
Property
(with 10% Cap)</t>
  </si>
  <si>
    <t>FY2012-13
Sales Tax Revenue
(per 12-13 AFR)</t>
  </si>
  <si>
    <t>LSU Lab School</t>
  </si>
  <si>
    <t>Southern Lab School</t>
  </si>
  <si>
    <t>Total Lab Schools</t>
  </si>
  <si>
    <t>Total Legacy Type 2 Charter Schools</t>
  </si>
  <si>
    <t xml:space="preserve">Tallulah Charter School </t>
  </si>
  <si>
    <t xml:space="preserve">Louisiana Connections Academy </t>
  </si>
  <si>
    <t>TOTAL RSD Orleans (Chartered only)</t>
  </si>
  <si>
    <t>Total Type 5 Charters - EBR</t>
  </si>
  <si>
    <t>Total Type 5 Charters - Caddo</t>
  </si>
  <si>
    <t>Total Statewide</t>
  </si>
  <si>
    <t>Total City/Parish</t>
  </si>
  <si>
    <t xml:space="preserve">Louisiana Key Academy </t>
  </si>
  <si>
    <t xml:space="preserve">Jefferson Chamber Foundation </t>
  </si>
  <si>
    <t xml:space="preserve">Northshore Charter School </t>
  </si>
  <si>
    <t xml:space="preserve">Baton Rouge Charter Academy at Mid-City </t>
  </si>
  <si>
    <t xml:space="preserve">Delta Charter School </t>
  </si>
  <si>
    <t>Total State Approved Schools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</si>
  <si>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</si>
  <si>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</si>
  <si>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</si>
  <si>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</si>
  <si>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</si>
  <si>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New Orleans Military/Maritime Admy </t>
  </si>
  <si>
    <t xml:space="preserve">J. S. Clark Leadership Academy </t>
  </si>
  <si>
    <t>Impact Charter</t>
  </si>
  <si>
    <t>Vision Academy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</si>
  <si>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</si>
  <si>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</si>
  <si>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</si>
  <si>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</si>
  <si>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</si>
  <si>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KIPP East (KIPP)</t>
  </si>
  <si>
    <t>Pierre A. Capdau Learning Acdmy (New Beg.)</t>
  </si>
  <si>
    <t>Medard H. Nelson Elem (New Beg.)</t>
  </si>
  <si>
    <t>Lake Area New Tech Early College (New Beg.)</t>
  </si>
  <si>
    <t>Gentilly Terrace Elem (New Beg.)</t>
  </si>
  <si>
    <t>Paul Habans Elem (Crescent City Schools)</t>
  </si>
  <si>
    <t>Arise Academy (Arise Academy)</t>
  </si>
  <si>
    <t>Mildred Osborne Elem (Arise Academy)</t>
  </si>
  <si>
    <t>Success Preparatory Academy (Success Prep)</t>
  </si>
  <si>
    <t>Akili Academy of N.O. (Crescent City Schools)</t>
  </si>
  <si>
    <t>Sci Academy (Collegiate Academies)</t>
  </si>
  <si>
    <t>G.W. Carver Collegiate Acdmy (Collegiate Academies)</t>
  </si>
  <si>
    <t>G.W. Carver Prep Acdmy (Collegiate Academies)</t>
  </si>
  <si>
    <t>Miller McCoy Academy (Miller McCoy Academy)</t>
  </si>
  <si>
    <t>Sylvanie Williams College Prep (N.O. College Prep)</t>
  </si>
  <si>
    <t>Cohen College Prep (N.O. College Prep)</t>
  </si>
  <si>
    <t>Andrew H. Wilson Charter (Broadmoor)</t>
  </si>
  <si>
    <t>Joseph A. Craig (Friends of King)</t>
  </si>
  <si>
    <t>Lafayette Academy (Choice Foundation)</t>
  </si>
  <si>
    <t>Esperanza Charter (Choice Foundation)</t>
  </si>
  <si>
    <t>McDonogh #42 Elem Charter (Choice Foundation)</t>
  </si>
  <si>
    <t>KIPP Believe College Prep (KIPP N.O.)</t>
  </si>
  <si>
    <t>KIPP Central City Acdmy (KIPP N.O.)</t>
  </si>
  <si>
    <t>KIPP Renaissance High (KIPP N.O.)</t>
  </si>
  <si>
    <t>S.J. Green Charter (Firstline Schools)</t>
  </si>
  <si>
    <t>Arthur Ashe Charter (Firstline Schools)</t>
  </si>
  <si>
    <t>Joseph Clark High (Firstline Schools)</t>
  </si>
  <si>
    <t>Langston Hughes Acdmy (Firstline Schools)</t>
  </si>
  <si>
    <t>Mary D. Coghill Accelerated (Better Choice Foundation)</t>
  </si>
  <si>
    <t>(2a)</t>
  </si>
  <si>
    <t>(3a)</t>
  </si>
  <si>
    <t>Remaining
Hold 
Harmless
(FY2014/15)</t>
  </si>
  <si>
    <t>One-Tenth
(FY14/15)
Reduction of 
Remaining
 Hold Harmless</t>
  </si>
  <si>
    <t>October 2014
Mid-Year
Adjustment
for Students</t>
  </si>
  <si>
    <t>February 2015
Mid-Year
Adjustment
for Students</t>
  </si>
  <si>
    <t>YTD
State
Payments</t>
  </si>
  <si>
    <t>Balance 
Due</t>
  </si>
  <si>
    <t>February 2015
Midyear
Adjustment
for Students</t>
  </si>
  <si>
    <t>Monthly
Payments</t>
  </si>
  <si>
    <r>
      <t xml:space="preserve">Monthly
Payment
Amounts
</t>
    </r>
    <r>
      <rPr>
        <sz val="10"/>
        <color indexed="18"/>
        <rFont val="Arial"/>
        <family val="2"/>
      </rPr>
      <t xml:space="preserve">
Table 2</t>
    </r>
  </si>
  <si>
    <t>October 2014
Mid-year
Adjustment
for
Students</t>
  </si>
  <si>
    <t>February 2015
Mid-year
Adjustment
for
Students</t>
  </si>
  <si>
    <t>Balance
Due</t>
  </si>
  <si>
    <t>February
2015
Mid-Year
Adjustment
for Students</t>
  </si>
  <si>
    <t>October
2014
Mid-Year
Adjustment
for Students</t>
  </si>
  <si>
    <t>(Prior Year)
2013-14
 COMPUTED SALES TAX BASE
(Without cap)</t>
  </si>
  <si>
    <t>West Carroll - +89,220 to AdValorem Const Tax</t>
  </si>
  <si>
    <t>Includes TIF</t>
  </si>
  <si>
    <t>Hold Harmless Enhancement</t>
  </si>
  <si>
    <r>
      <t xml:space="preserve">Office of
Juvenile Justice 
(OJJ)
</t>
    </r>
    <r>
      <rPr>
        <sz val="10"/>
        <color indexed="18"/>
        <rFont val="Arial"/>
        <family val="2"/>
      </rPr>
      <t>(Includes
A02001
A02002
A02003
101018
101021
101022)</t>
    </r>
  </si>
  <si>
    <t>Celerity
(Celerity Lanier Charter School)</t>
  </si>
  <si>
    <t>Celerity
(Celerity Crestworth Charter School)</t>
  </si>
  <si>
    <t>Friendship
(Capitol High School)</t>
  </si>
  <si>
    <t>Total 
Stipends
for Foreign
Associate/
Escadrille
Teachers</t>
  </si>
  <si>
    <t>3_3A1001-JCFA-East</t>
  </si>
  <si>
    <t>3_3A2001-Tallulah Charter School</t>
  </si>
  <si>
    <t>3_3A3001-East Baton Rouge Charter Academy</t>
  </si>
  <si>
    <t>3_3A4001-Delta Charter School, MST</t>
  </si>
  <si>
    <t>3_3A6001-Northshore Charter School</t>
  </si>
  <si>
    <t>3_3A7001-Louisiana Key Academy</t>
  </si>
  <si>
    <t>Funding
for
Foreign
Associate/
Escadrille
Teachers</t>
  </si>
  <si>
    <t>Stipends for First Year  Teachers</t>
  </si>
  <si>
    <t>Stipends for Second and Third Year  Teachers</t>
  </si>
  <si>
    <r>
      <t xml:space="preserve">NOCCA
(New Orleans Center for
Creative Arts)
</t>
    </r>
    <r>
      <rPr>
        <sz val="11"/>
        <color indexed="18"/>
        <rFont val="Arial"/>
        <family val="2"/>
      </rPr>
      <t xml:space="preserve">(Site Code 334001)
</t>
    </r>
  </si>
  <si>
    <r>
      <t xml:space="preserve">LSMSA
(Louisiana Schools for Math,
Science and the Arts)
</t>
    </r>
    <r>
      <rPr>
        <sz val="11"/>
        <color indexed="18"/>
        <rFont val="Arial"/>
        <family val="2"/>
      </rPr>
      <t xml:space="preserve">(Site Code 302006)
</t>
    </r>
  </si>
  <si>
    <t>Edgar P. Harney Spirit of Excellence Acdmy (Spirit of Excel)</t>
  </si>
  <si>
    <t>LB Landry-OP Walker College &amp; Career Prep (ACSA)</t>
  </si>
  <si>
    <t>Dwight D. Eisenhower (ACSA )</t>
  </si>
  <si>
    <t>William J. Fischer (ACSA )</t>
  </si>
  <si>
    <t>McDonogh #32 Elem (ACSA)</t>
  </si>
  <si>
    <t>Martin Behrman (ACSA)</t>
  </si>
  <si>
    <t>Sophie B. Wright Learning Acdmy (Inst. of Academic Excel.)</t>
  </si>
  <si>
    <t>Dr. MLK, Jr Charter for Sci &amp; Tech (Friends of King)</t>
  </si>
  <si>
    <t>McDonogh #28 City Park Acdmy (N.O. Charter Schls Fndtn)</t>
  </si>
  <si>
    <t>ReNEW Cultural Arts Acdmy. (ReNEW)</t>
  </si>
  <si>
    <t>ReNEW SciTech Acdmy. (ReNEW)</t>
  </si>
  <si>
    <t>ReNEW Delores T. Aaron Elem (ReNEW)</t>
  </si>
  <si>
    <t>ReNEW Schaumburg Elem (ReNEW)</t>
  </si>
  <si>
    <t>ReNEW Accelerated High, West Bank (ReNEW)</t>
  </si>
  <si>
    <t>col. 35</t>
  </si>
  <si>
    <t>Iberville Charter Academy</t>
  </si>
  <si>
    <t>Other
Revenue</t>
  </si>
  <si>
    <t>FY2012-13
Computed Sales
Tax Base with
15% Cap
on Growth</t>
  </si>
  <si>
    <t>Projected
Yield of
Sales Tax
Rate of</t>
  </si>
  <si>
    <t xml:space="preserve">Projected
Yield of
Property
Tax Millage
Rate of </t>
  </si>
  <si>
    <t>Minus
State Cost
Allocation
 for
Lycee
Francais
Table 5C1E</t>
  </si>
  <si>
    <t xml:space="preserve"> YTD
Payments</t>
  </si>
  <si>
    <t>Balance
Remaining</t>
  </si>
  <si>
    <t>Minus
State Cost
Allocation
 for
Southwest
LA Charter
Table 5C1H</t>
  </si>
  <si>
    <t>Minus
State Cost
Allocation
 for
JCFA-East
Table 5C1J</t>
  </si>
  <si>
    <t>Minus
State Cost
Allocation
 for
Tallulah Charter School
Table 5C1K</t>
  </si>
  <si>
    <t>Minus
State Cost
Allocation
 for
Baton
Rouge Charter Academy
Table 5C1M</t>
  </si>
  <si>
    <t>Minus
State Cost
Allocation
 for
Delta 
Charter
School
Table 5C1N</t>
  </si>
  <si>
    <t>Minus
State Cost
Allocation
 for
Northshore Charter
School
Table 5C1L</t>
  </si>
  <si>
    <t>Minus
State Cost
Allocation
 for
Louisiana
Key
Academy
Table 5C1I</t>
  </si>
  <si>
    <t>Total
Level 3
Funding
(Without Continuation
of 
Prior Year
Pay Raises)</t>
  </si>
  <si>
    <t>Redistribution
of Hold
Harmless 
Phase-out
(FY2007/08 - FY2014/15)</t>
  </si>
  <si>
    <t>Pay Raise &amp;
Insurance
Supplement
Amounts
from Prior
Years</t>
  </si>
  <si>
    <t>Prior Year
Reduction of
Remaining
Hold Harmless
(FY07/08 thru 
FY13/14)</t>
  </si>
  <si>
    <t>Continuation of Prior
Year Pay Raises</t>
  </si>
  <si>
    <t>Minus
State Cost
Allocation
 for
Recovery 
School 
District
Table 5B</t>
  </si>
  <si>
    <t>Total
Level 3
Funding
(With Continuation
of 
Prior Year
Pay Raises)</t>
  </si>
  <si>
    <t>* New Charters in FY2014-15 funded based on projected student count; will be updated to actual 10/1/14 count</t>
  </si>
  <si>
    <t>This Table provides the State's funding to the RSD.  The RSD distributes funds to the Type 5 Charter Schools in Orleans Parish using the RSD's Differentiated Funding Formula for Special Education Students.</t>
  </si>
  <si>
    <r>
      <t xml:space="preserve">OPSB
</t>
    </r>
    <r>
      <rPr>
        <sz val="10"/>
        <rFont val="Arial"/>
        <family val="2"/>
      </rPr>
      <t>Orleans Parish</t>
    </r>
    <r>
      <rPr>
        <sz val="10"/>
        <color rgb="FFFF0000"/>
        <rFont val="Arial"/>
        <family val="2"/>
      </rPr>
      <t xml:space="preserve"> </t>
    </r>
  </si>
  <si>
    <t>Prepared: 3/5/2014</t>
  </si>
  <si>
    <t>Total
FY2014-15
Table 3</t>
  </si>
  <si>
    <r>
      <t xml:space="preserve">Feb. 1, 2014
MFP
Funded Membership
</t>
    </r>
    <r>
      <rPr>
        <sz val="10"/>
        <color indexed="18"/>
        <rFont val="Arial"/>
        <family val="2"/>
      </rPr>
      <t>(Per SIS)</t>
    </r>
  </si>
  <si>
    <r>
      <t xml:space="preserve">Feb. 1, 2014
MFP
Student 
Count 
</t>
    </r>
    <r>
      <rPr>
        <sz val="10"/>
        <color indexed="18"/>
        <rFont val="Arial"/>
        <family val="2"/>
      </rPr>
      <t>(per SIS)</t>
    </r>
  </si>
  <si>
    <t>Feb. 1, 2014
MFP Funded
Membership
(Per SIS)</t>
  </si>
  <si>
    <t xml:space="preserve">Feb. 1, 2014
MFP Funded
Membership
(Per SIS)
(Projected for
new charters)
</t>
  </si>
  <si>
    <t xml:space="preserve">
Feb. 1, 2014
MFP Funded
Membership
(Per SIS)
</t>
  </si>
  <si>
    <t>City/Parish District MFP Funded Membership 
February 1, 2014
(Per SIS)</t>
  </si>
  <si>
    <t>A02</t>
  </si>
  <si>
    <t>3A1001</t>
  </si>
  <si>
    <t>3A2001</t>
  </si>
  <si>
    <t>3A3001</t>
  </si>
  <si>
    <t>3A4001</t>
  </si>
  <si>
    <t>3A6001</t>
  </si>
  <si>
    <t>3A7001</t>
  </si>
  <si>
    <r>
      <t xml:space="preserve">Low Income
 and 
English 
Language 
Learner
</t>
    </r>
    <r>
      <rPr>
        <sz val="10"/>
        <color indexed="18"/>
        <rFont val="Arial"/>
        <family val="2"/>
      </rPr>
      <t>(Per SIS
2-1-14)</t>
    </r>
    <r>
      <rPr>
        <b/>
        <sz val="10"/>
        <color indexed="18"/>
        <rFont val="Arial"/>
        <family val="2"/>
      </rPr>
      <t xml:space="preserve">
</t>
    </r>
  </si>
  <si>
    <r>
      <t xml:space="preserve">Career &amp;
Technical
Units
(CTE)
</t>
    </r>
    <r>
      <rPr>
        <sz val="10"/>
        <color indexed="18"/>
        <rFont val="Arial"/>
        <family val="2"/>
      </rPr>
      <t>(Per LEADS
10-1-13)</t>
    </r>
  </si>
  <si>
    <t xml:space="preserve">
Feb. 1, 2014
Student Membership </t>
  </si>
  <si>
    <r>
      <t xml:space="preserve">
Feb. 1, 2014
Member-
ship 
(pe</t>
    </r>
    <r>
      <rPr>
        <sz val="10"/>
        <color indexed="18"/>
        <rFont val="Arial"/>
        <family val="2"/>
      </rPr>
      <t>r</t>
    </r>
    <r>
      <rPr>
        <b/>
        <sz val="10"/>
        <color indexed="18"/>
        <rFont val="Arial"/>
        <family val="2"/>
      </rPr>
      <t xml:space="preserve"> SIS)</t>
    </r>
  </si>
  <si>
    <t>Feb. 1, 2014
MFP 
Funded
Membership
(Per SIS)</t>
  </si>
  <si>
    <t>Feb. 1, 2014
MFP Funded
Membership 
+ 
ADM* at OJJ</t>
  </si>
  <si>
    <t>col 7 + col 11</t>
  </si>
  <si>
    <t>col 38</t>
  </si>
  <si>
    <t>col 21</t>
  </si>
  <si>
    <t>col 18</t>
  </si>
  <si>
    <t>(4a)</t>
  </si>
  <si>
    <t>(6b)</t>
  </si>
  <si>
    <t>11a</t>
  </si>
  <si>
    <t>Prior Year Audit Adjustments
(For City/Parish LEAs only)</t>
  </si>
  <si>
    <t>3_ Legacy-340001-
The MAX Charter School</t>
  </si>
  <si>
    <t>3_ Legacy-
321001-
New
Vision
Learning
Academy</t>
  </si>
  <si>
    <t>3_ Legacy-
329001-
VB 
Glencoe
Charter
School</t>
  </si>
  <si>
    <t>3_ Legacy-
331001-
International
School of
Louisiana</t>
  </si>
  <si>
    <t>3_ Legacy-
339001-
Milestone
SABIS
Academy
of
New Orleans</t>
  </si>
  <si>
    <t>FY 2014-15
Total
MFP
Funded</t>
  </si>
  <si>
    <r>
      <t xml:space="preserve">Continuation 
of
 Prior Year 
Pay Raises 
</t>
    </r>
    <r>
      <rPr>
        <sz val="8"/>
        <color indexed="18"/>
        <rFont val="Arial"/>
        <family val="2"/>
      </rPr>
      <t>(Includes Type 5 Charters,
New Type 2 Charters, Not 1st Year)</t>
    </r>
  </si>
  <si>
    <t>Admin
Fee
to
Dept. of
Education
(.25%)</t>
  </si>
  <si>
    <t>YTD
Payments</t>
  </si>
  <si>
    <t>Total Cost
Allocation
+ Prior Year
Pay Raises</t>
  </si>
  <si>
    <t>Total Cost
Allocation
+ Prior Year
Pay Raises
+/- Mid-Year
Adjustments
for Students</t>
  </si>
  <si>
    <t xml:space="preserve">Monthly
Payment
</t>
  </si>
  <si>
    <t>3A8001</t>
  </si>
  <si>
    <t>3A9001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</si>
  <si>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</si>
  <si>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</si>
  <si>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</si>
  <si>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</si>
  <si>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</si>
  <si>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</si>
  <si>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</si>
  <si>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</si>
  <si>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</si>
  <si>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r>
      <t xml:space="preserve">Lafayette
Renaissance
</t>
    </r>
    <r>
      <rPr>
        <sz val="10"/>
        <color indexed="18"/>
        <rFont val="Arial"/>
        <family val="2"/>
      </rPr>
      <t>(Site Code 3B6002)
(Opened 14/15)
(Not in a District Building)</t>
    </r>
  </si>
  <si>
    <r>
      <t xml:space="preserve">Acadiana
Renaissance
</t>
    </r>
    <r>
      <rPr>
        <sz val="10"/>
        <color indexed="18"/>
        <rFont val="Arial"/>
        <family val="2"/>
      </rPr>
      <t>(Site Code 3B6001)
(Opened 14/15)
(Not in a District Building)</t>
    </r>
  </si>
  <si>
    <r>
      <t xml:space="preserve">Northeast
Claiborne
Charter
</t>
    </r>
    <r>
      <rPr>
        <sz val="10"/>
        <color indexed="18"/>
        <rFont val="Arial"/>
        <family val="2"/>
      </rPr>
      <t>(Site Code 3B5001)
(Opened 14/15)
(Not in a District Building)</t>
    </r>
  </si>
  <si>
    <r>
      <t xml:space="preserve">Iberville
Charter
Academy
</t>
    </r>
    <r>
      <rPr>
        <sz val="10"/>
        <color indexed="18"/>
        <rFont val="Arial"/>
        <family val="2"/>
      </rPr>
      <t>(Site Code 3A3002)
(Opened 14/15)
(Not in a District Building)</t>
    </r>
  </si>
  <si>
    <r>
      <t xml:space="preserve">Advantage
Charter
Academy
</t>
    </r>
    <r>
      <rPr>
        <sz val="10"/>
        <color indexed="18"/>
        <rFont val="Arial"/>
        <family val="2"/>
      </rPr>
      <t>(Site Code 3B1001)
(Opened 14/15)
(Not in a District Building)</t>
    </r>
  </si>
  <si>
    <r>
      <t xml:space="preserve">Vision Academy
</t>
    </r>
    <r>
      <rPr>
        <sz val="10"/>
        <color indexed="18"/>
        <rFont val="Arial"/>
        <family val="2"/>
      </rPr>
      <t>(Site Code 3A9001)
(Opened 14/15)
(Not in a District Building)</t>
    </r>
  </si>
  <si>
    <r>
      <t xml:space="preserve">Impact Charter School
</t>
    </r>
    <r>
      <rPr>
        <sz val="10"/>
        <color indexed="18"/>
        <rFont val="Arial"/>
        <family val="2"/>
      </rPr>
      <t>(Site Code 3A8001)
(Opened 14/15)
(Not in a District Building)</t>
    </r>
  </si>
  <si>
    <t>3B1002</t>
  </si>
  <si>
    <t>Williow Charter Academy</t>
  </si>
  <si>
    <r>
      <t xml:space="preserve">Willow
Charter
Academy
</t>
    </r>
    <r>
      <rPr>
        <sz val="10"/>
        <color indexed="18"/>
        <rFont val="Arial"/>
        <family val="2"/>
      </rPr>
      <t>(Site Code 3B1002)
(Opened 14/15)
(Not in a District Building)</t>
    </r>
  </si>
  <si>
    <t>October 2014
Midyear
Adjustment
for Students
(Includes RSD,
Type 5 Charters,
&amp; Non-Legacy
Type 2 Charters
(Not 1st Year)</t>
  </si>
  <si>
    <t>February 2015
Midyear
Adjustment
for Students
(Includes RSD,
Type 5 Charters,
&amp; Non-Legacy
Type 2 Charters
(Not 1st Year)</t>
  </si>
  <si>
    <r>
      <t xml:space="preserve">State Cost Allocation
Per Pupil
(Levels 
1, 2  &amp; 3)
</t>
    </r>
    <r>
      <rPr>
        <sz val="10"/>
        <color indexed="18"/>
        <rFont val="Arial"/>
        <family val="2"/>
      </rPr>
      <t>(Table 3, 
col. 29)</t>
    </r>
  </si>
  <si>
    <t>Total
Midyear
Adjustment
for Students
(Includes RSD,
Type 5 Charters,
&amp; Non-Legacy
Type 2 Charters
(Not 1st Year)</t>
  </si>
  <si>
    <t>Total
Level
4</t>
  </si>
  <si>
    <t>First Year
Foreign Associate/
Escadrille 
Teachers in
FY2014-15</t>
  </si>
  <si>
    <t>Second and 
Third Year
Foreign
Associate/
Escadrille
Teachers in
FY2014-15</t>
  </si>
  <si>
    <t>Grades
7 through 12
2.1.14 SIS</t>
  </si>
  <si>
    <t>FY2014-15
MFP State
Share of Levels
1, 2, and 3
with
 Continuation 
of Prior-Year
 Pay Raises</t>
  </si>
  <si>
    <t>KIPP Central City Primary (KIPP N.O.)</t>
  </si>
  <si>
    <t>KIPP N.O. Leadership Acdmy (KIPP N.O.)</t>
  </si>
  <si>
    <t>Salaries for
Foreign
Associate/
Escadrille
Teachers</t>
  </si>
  <si>
    <t>Total
State Cost
Allocation
+ Prior Year
Pay Raises
+/- Mid-Year
Adjustments
- Admin Fee</t>
  </si>
  <si>
    <t>Total
State Cost
Allocation
+ Prior Year
Pay Raises
+/- Mid-Year
Adjustments</t>
  </si>
  <si>
    <t xml:space="preserve">Total MFP
Distribution 
Amount minus 
Audit
Adjustments
and State Cost
Allocation
Table 2 </t>
  </si>
  <si>
    <r>
      <t xml:space="preserve">Students
with
Disabilities
</t>
    </r>
    <r>
      <rPr>
        <sz val="10"/>
        <color indexed="18"/>
        <rFont val="Arial"/>
        <family val="2"/>
      </rPr>
      <t>(Per SER
2-1-14)</t>
    </r>
  </si>
  <si>
    <t>Add-On 
Student
Units</t>
  </si>
  <si>
    <t>Add-On
Student
Units</t>
  </si>
  <si>
    <r>
      <t xml:space="preserve">Gifted and 
Talented 
Students
</t>
    </r>
    <r>
      <rPr>
        <sz val="10"/>
        <color indexed="18"/>
        <rFont val="Arial"/>
        <family val="2"/>
      </rPr>
      <t>(Per SER
2-1-14)</t>
    </r>
  </si>
  <si>
    <t>Economy-
of-Scale 
Percent 
Support</t>
  </si>
  <si>
    <t xml:space="preserve">Total Weighted 
Add-On 
Student
Units </t>
  </si>
  <si>
    <t>Local Cost
Allocation of 
Level 1
(Deduction
for Property &amp;
Sales and Other
Revenues)</t>
  </si>
  <si>
    <t>Local Cost Allocation 
of Level 2</t>
  </si>
  <si>
    <t>Economy-
of-Scale:
If &lt; 7500,
then
7500 less
February
Membership</t>
  </si>
  <si>
    <t>Audit
Adjustments
FY2013-14
MFP
(Includes 
2/1 midyear
 from 
FY2012-13)</t>
  </si>
  <si>
    <t>Continuation
of Prior
Year
Pay Raises
Per Pupil
Amount</t>
  </si>
  <si>
    <t>Continuation
of Prior
Year
Pay Raises</t>
  </si>
  <si>
    <t>Level 4 Foreign Assoc/Escadrille Salaries</t>
  </si>
  <si>
    <t>Level 4 Foreign Assoc/Escadrille Stipends</t>
  </si>
  <si>
    <t>Level 4 Career Development Allocation</t>
  </si>
  <si>
    <t>Level 4 High Cost Services Allocation</t>
  </si>
  <si>
    <t>Level 4 Supplemental Course Allocation</t>
  </si>
  <si>
    <t>GRAND TOTAL: STATE TOTALS WITH LEVEL 4</t>
  </si>
  <si>
    <t>SUBTOTAL: STATE TOTALS ONLY</t>
  </si>
  <si>
    <r>
      <t>Audit
Adjustments
FY2013-14
MFP</t>
    </r>
    <r>
      <rPr>
        <sz val="10"/>
        <color indexed="18"/>
        <rFont val="Arial"/>
        <family val="2"/>
      </rPr>
      <t xml:space="preserve">
(Includes 
2/1 midyear
 from 
FY2012-13)</t>
    </r>
  </si>
  <si>
    <t>TOTAL RSD 
(Operated + Chartered + Placeholder)</t>
  </si>
  <si>
    <t>RSD Operated</t>
  </si>
  <si>
    <t>RSD Orleans Placeholder</t>
  </si>
  <si>
    <t>Total
State Cost
Allocation
+ Prior Year
Pay Raises
+/- Mid-Year
Adjustments
- Admin Fee
+/- Audit
Adjustments
+ Total 
Level 4 Funds</t>
  </si>
  <si>
    <t>Total
State Cost
Allocation
+ Prior Year
Pay Raises
+/- Mid-Year
Adjustments
- Admin Fee
+/- Audit
Adjustments
+ Level 4 
Funds Paid
Monthly</t>
  </si>
  <si>
    <t>Total Cost
Allocation
+ Prior Year
Pay Raises
+/- Mid-Year
Adjustments
+/- Audit
Adjustments
+ Level 4
Funds Paid
Monthly</t>
  </si>
  <si>
    <t>Total Cost
Allocation
+ Prior Year
Pay Raises
+/- Mid-Year
Adjustments
+/- Audit
Adjustments
+ Total
Level 4 Funds</t>
  </si>
  <si>
    <t>Total 
State Cost
Allocation 
+/- Audit
Adjustments
+ Level 4
Funds Paid
Monthly</t>
  </si>
  <si>
    <t>Total 
State Cost
Allocation 
+/- Audit
Adjustments
+ Total
Level 4 Funds</t>
  </si>
  <si>
    <t>Total
State Cost
Allocation
+ Prior Year
Pay Raises
+/- Mid-Year
Adjustments
- Admin Fee
+/- Audit
Adjustments
+ Level 4
Funds Paid
Monthly</t>
  </si>
  <si>
    <t>Total
State Cost
Allocation
+ Prior Year
Pay Raises
+/- Mid-Year
Adjustments
- Admin Fee
+/- Audit
Adjustments
+ Total
Level 4 Funds</t>
  </si>
  <si>
    <t>Supplemental
Course
Allocation</t>
  </si>
  <si>
    <t>Level 4 Funds Paid Monthly</t>
  </si>
  <si>
    <t>Continuation
of Prior Year
Pay Raises</t>
  </si>
  <si>
    <t>Stipends for
Foreign
Associate/
Escadrille
Teachers</t>
  </si>
  <si>
    <t>Career
Development
Allocation</t>
  </si>
  <si>
    <t>High
Cost
Services
Allocation</t>
  </si>
  <si>
    <t>Total MFP
State Cost  
Allocation 
+ Prior Year 
Pay Raises 
+/- Midyear
Adjustments
+/- Audit
Adjustments
+ Level 4
Funds Paid
Monthly</t>
  </si>
  <si>
    <t>Total MFP
State Cost  
Allocation 
+ Prior Year 
Pay Raises 
+/- Midyear
Adjustments
+/- Audit
Adjustments
+ Total
Level 4 Funds</t>
  </si>
  <si>
    <t>Level 4 Funds Paid Annually</t>
  </si>
  <si>
    <t>Total
State Cost
Allocation
+ Prior Year
Pay Raises
+/- Mid-Year
Adjustments
- Admin Fee
+/- Audit
Adjustments</t>
  </si>
  <si>
    <t>Total
State Cost
Allocation
+ Prior Year
Pay Raises
+/- Mid-Year
Adjustments
- Admin Fee
+/- Audit
Adjustments
+ Total
Level 4
Funds</t>
  </si>
  <si>
    <t>FY2014-15
Total MFP
Allocation 
+/- Adjustments
- State Cost Allocation to 
other LEAs
+ Level 4
Funds Paid
Monthly</t>
  </si>
  <si>
    <t>FY2014-15
Total MFP
Allocation 
+/- Adjustments
- State Cost Allocation to 
other LEAs
+ Total
Level 4
Funds</t>
  </si>
  <si>
    <r>
      <t xml:space="preserve">John Dibert Community (Firstline Schools)
</t>
    </r>
    <r>
      <rPr>
        <sz val="10"/>
        <color rgb="FFFF0000"/>
        <rFont val="Arial"/>
        <family val="2"/>
      </rPr>
      <t>Not in a District Building</t>
    </r>
  </si>
  <si>
    <r>
      <t xml:space="preserve">James M. Singleton Charter (Dryades YMCA)
</t>
    </r>
    <r>
      <rPr>
        <sz val="10"/>
        <color rgb="FFFF0000"/>
        <rFont val="Arial"/>
        <family val="2"/>
      </rPr>
      <t>Not in a District Building</t>
    </r>
  </si>
  <si>
    <r>
      <t xml:space="preserve">Morris Jeff Community School (Morris Jeff Comm. School)
</t>
    </r>
    <r>
      <rPr>
        <sz val="10"/>
        <color rgb="FFFF0000"/>
        <rFont val="Arial"/>
        <family val="2"/>
      </rPr>
      <t>Not in a District Building</t>
    </r>
  </si>
  <si>
    <r>
      <t xml:space="preserve">The NET Charter School (Educators for Qual Alt)
</t>
    </r>
    <r>
      <rPr>
        <sz val="10"/>
        <color rgb="FFFF0000"/>
        <rFont val="Arial"/>
        <family val="2"/>
      </rPr>
      <t>Not in a District Building</t>
    </r>
  </si>
  <si>
    <t>Total
State Cost Allocation
+ Prior Year
Pay Raises
+/- Mid-Year
Adjustments</t>
  </si>
  <si>
    <t>MFP State Cost Allocation</t>
  </si>
  <si>
    <t>Admin
Fee
to
RSD</t>
  </si>
  <si>
    <t>Admin
Fee
to
LDOE</t>
  </si>
  <si>
    <t xml:space="preserve">Total
Admin
Fee
</t>
  </si>
  <si>
    <t>Admin Fee
to the 
Dept. of
Education</t>
  </si>
  <si>
    <t>State
Admin Fee
to the
Dept. of
Education</t>
  </si>
  <si>
    <t>Supplemental Course Allocation (SCA)</t>
  </si>
  <si>
    <t>Salaries for Foreign
Associate/Escadrille Teachers</t>
  </si>
  <si>
    <r>
      <t xml:space="preserve">International High School of N. O.
(VIBE:  Voices for Int'l Business &amp; Education)
</t>
    </r>
    <r>
      <rPr>
        <sz val="11"/>
        <color indexed="18"/>
        <rFont val="Arial"/>
        <family val="2"/>
      </rPr>
      <t>(Site Code 344001)
(Opened 10/11)
(In an Orleans Parish District Building)</t>
    </r>
    <r>
      <rPr>
        <b/>
        <sz val="11"/>
        <color indexed="18"/>
        <rFont val="Arial"/>
        <family val="2"/>
      </rPr>
      <t xml:space="preserve">
</t>
    </r>
  </si>
  <si>
    <r>
      <t xml:space="preserve">Feb. 1, 2014
MFP Funded
Membership
(Per SIS)
</t>
    </r>
    <r>
      <rPr>
        <sz val="8"/>
        <color indexed="18"/>
        <rFont val="Arial"/>
        <family val="2"/>
      </rPr>
      <t>(Includes  Recovery 
School District,
Type 5 Charters,
New Type 2
Charters
 (Not 1st Year))</t>
    </r>
  </si>
  <si>
    <t>Levels 1 &amp; 2
State Cost
Allocation</t>
  </si>
  <si>
    <t>State Cost
Allocation 
of Level 1</t>
  </si>
  <si>
    <t>State Cost
Allocation
of Level 2</t>
  </si>
  <si>
    <r>
      <t xml:space="preserve">Lagniappe Academies of N.O. (Lagniappe Academies)
</t>
    </r>
    <r>
      <rPr>
        <sz val="10"/>
        <color rgb="FFFF0000"/>
        <rFont val="Arial"/>
        <family val="2"/>
      </rPr>
      <t>Not in a District Building</t>
    </r>
  </si>
  <si>
    <r>
      <t xml:space="preserve">Crescent Leadership Acdmy (Crescent Ldrsp Acdmy.)
</t>
    </r>
    <r>
      <rPr>
        <b/>
        <sz val="10"/>
        <color rgb="FFFF0000"/>
        <rFont val="Arial"/>
        <family val="2"/>
      </rPr>
      <t>Total</t>
    </r>
  </si>
  <si>
    <r>
      <t xml:space="preserve">Crescent Leadership Acdmy (Crescent Ldrsp Acdmy.)
</t>
    </r>
    <r>
      <rPr>
        <sz val="10"/>
        <color rgb="FFFF0000"/>
        <rFont val="Arial"/>
        <family val="2"/>
      </rPr>
      <t>Not in a District Building (Grades 7-9)</t>
    </r>
  </si>
  <si>
    <r>
      <t xml:space="preserve">Crescent Leadership Acdmy (Crescent Ldrsp Acdmy.)
</t>
    </r>
    <r>
      <rPr>
        <sz val="10"/>
        <color rgb="FFFF0000"/>
        <rFont val="Arial"/>
        <family val="2"/>
      </rPr>
      <t>In a District Building (Grades 10-12)</t>
    </r>
  </si>
  <si>
    <r>
      <t xml:space="preserve">
Levels 1, 2 &amp; 3
State Cost Allocation
Per Pupil*
</t>
    </r>
    <r>
      <rPr>
        <sz val="9"/>
        <color indexed="18"/>
        <rFont val="Arial"/>
        <family val="2"/>
      </rPr>
      <t>(Table 3, Col 33)</t>
    </r>
  </si>
  <si>
    <r>
      <t xml:space="preserve">State Cost
Allocation
Per Pupil
(Levels 
1, 2 &amp; 3)
for Orleans 
Parish
</t>
    </r>
    <r>
      <rPr>
        <sz val="10"/>
        <color indexed="18"/>
        <rFont val="Arial"/>
        <family val="2"/>
      </rPr>
      <t>(Table 3, 
col. 29)</t>
    </r>
  </si>
  <si>
    <r>
      <t xml:space="preserve">Levels 1, 2 &amp; 3
State Cost
Allocation
Per Pupil 
without
Pay Raise
</t>
    </r>
    <r>
      <rPr>
        <sz val="9"/>
        <color indexed="18"/>
        <rFont val="Arial"/>
        <family val="2"/>
      </rPr>
      <t>(Table 3, Col 29)</t>
    </r>
  </si>
  <si>
    <t>Local Deduction Property Tax</t>
  </si>
  <si>
    <t>Local Deduction Sales Tax</t>
  </si>
  <si>
    <r>
      <t xml:space="preserve">Total Local
Deduction
</t>
    </r>
    <r>
      <rPr>
        <sz val="10"/>
        <color indexed="18"/>
        <rFont val="Arial"/>
        <family val="2"/>
      </rPr>
      <t>(Property,
Sales &amp;
Other
Revenue)</t>
    </r>
  </si>
  <si>
    <t>Total
Base 
Allocation
+ Prior Year
Pay Raises
+/- Mid-Year
Adjustments
for Students
- Admin Fee
+/- Audit 
Adjustments</t>
  </si>
  <si>
    <t>Total 
Base
Allocation
+ Prior Year
Pay Raises
+/- Mid-Year
Adjustments
for Students
- Admin Fee</t>
  </si>
  <si>
    <r>
      <t xml:space="preserve">Continuation 
of 
Prior Year 
Pay Raises 
</t>
    </r>
    <r>
      <rPr>
        <sz val="10"/>
        <color rgb="FF000080"/>
        <rFont val="Arial"/>
        <family val="2"/>
      </rPr>
      <t>(FY2001-02
 through 
FY2008-09)</t>
    </r>
    <r>
      <rPr>
        <b/>
        <sz val="10"/>
        <color rgb="FF000080"/>
        <rFont val="Arial"/>
        <family val="2"/>
      </rPr>
      <t xml:space="preserve">
Per Pupil
Amount</t>
    </r>
  </si>
  <si>
    <t>Total 
Base
Allocation
+Prior Year
Pay Raises</t>
  </si>
  <si>
    <t>Total
MFP Cost  
Allocation 
+ Prior Year 
Pay Raises 
+/- Midyear
Adjustments
- Admin. Fee
+/- Audit
Adjustments
+ Level 4
Funds Paid
Monthly</t>
  </si>
  <si>
    <t>Total
MFP Cost  
Allocation 
+ Prior Year 
Pay Raises 
+/- Midyear
Adjustments
- Admin. Fee
+/- Audit
Adjustments
+ Total
Level 4 Funds</t>
  </si>
  <si>
    <t>Total MFP
State Cost  
Allocation 
+ Prior Year 
Pay Raises 
+/- Midyear
Adjustments
- Admin. Fee
+/- Audit
Adjustments
+ Level 4
Funds Paid
Monthly</t>
  </si>
  <si>
    <t>Total MFP
State Cost  
Allocation 
+ Prior Year 
Pay Raises 
+/- Midyear
Adjustments
- Admin. Fee
+/- Audit
Adjustments
+ Total
Level 4 Funds</t>
  </si>
  <si>
    <r>
      <t xml:space="preserve">FY12-13
Audit 
Adjustments
</t>
    </r>
    <r>
      <rPr>
        <sz val="10"/>
        <color rgb="FF000080"/>
        <rFont val="Arial"/>
        <family val="2"/>
      </rPr>
      <t>(2/1/13 
Midyear
 Adjustment)</t>
    </r>
  </si>
  <si>
    <r>
      <t xml:space="preserve">FY13-14
Audit 
Adjustments
</t>
    </r>
    <r>
      <rPr>
        <sz val="10"/>
        <color rgb="FF000080"/>
        <rFont val="Arial"/>
        <family val="2"/>
      </rPr>
      <t>(CAFR,
Base and 
Weighted 
Counts,
10/1/13 
Midyear)</t>
    </r>
  </si>
  <si>
    <r>
      <t xml:space="preserve">Total Audit 
Adjustments
</t>
    </r>
    <r>
      <rPr>
        <sz val="10"/>
        <color rgb="FF000080"/>
        <rFont val="Arial"/>
        <family val="2"/>
      </rPr>
      <t>(For City/Parish LEAs only)</t>
    </r>
  </si>
  <si>
    <t>Harriet Tubman Charter School (Crescent City Schools)</t>
  </si>
  <si>
    <t>Fannie C. Williams Charter School (CLASS)</t>
  </si>
  <si>
    <t>ReNEW Accelerated High, City Park (ReNEW)</t>
  </si>
  <si>
    <t>Crocker College Prep (N.O. College Prep)</t>
  </si>
  <si>
    <t>Algiers Technology Acdmy (ACSA)</t>
  </si>
  <si>
    <r>
      <t xml:space="preserve">State
Cost 
Allocation
</t>
    </r>
    <r>
      <rPr>
        <sz val="10"/>
        <color indexed="18"/>
        <rFont val="Arial"/>
        <family val="2"/>
      </rPr>
      <t>(90%)</t>
    </r>
  </si>
  <si>
    <r>
      <t xml:space="preserve">Continuation
of
Prior Year
Pay 
Raises
</t>
    </r>
    <r>
      <rPr>
        <sz val="10"/>
        <color indexed="18"/>
        <rFont val="Arial"/>
        <family val="2"/>
      </rPr>
      <t>(90%)</t>
    </r>
  </si>
  <si>
    <r>
      <t xml:space="preserve">Levels 1, 2 &amp; 3
State Cost
Allocation
Per Pupil 
without
Pay Raise
</t>
    </r>
    <r>
      <rPr>
        <sz val="10"/>
        <color indexed="18"/>
        <rFont val="Arial"/>
        <family val="2"/>
      </rPr>
      <t>(Table 3, Col 29)
(90%)</t>
    </r>
  </si>
  <si>
    <r>
      <t xml:space="preserve">Continuation
of
Prior Year
Pay Raises
Per Pupil
Amount
</t>
    </r>
    <r>
      <rPr>
        <sz val="10"/>
        <color indexed="18"/>
        <rFont val="Arial"/>
        <family val="2"/>
      </rPr>
      <t>(90%)</t>
    </r>
  </si>
  <si>
    <t>Return 
of 10%
to State</t>
  </si>
  <si>
    <t>KIPP McDonogh 15 Sch. For the Creative Arts (KIPP N.O.)</t>
  </si>
  <si>
    <t>Local
Revenue
Representation
due to
Office of
Juvenile
Justice
Table 5A3</t>
  </si>
  <si>
    <t>Local Revenue Representation
due to
RSD LA
Table 5B2</t>
  </si>
  <si>
    <t>Local Revenue Representation
due to
RSD 
Orleans
Table 5B1</t>
  </si>
  <si>
    <t>Local Revenue Representation 
due to
Madison 
Prep
(CSAL)
Table 5C1A</t>
  </si>
  <si>
    <t>Local Revenue Representation
due to
D'Arbonne
Woods
Table 5C1B</t>
  </si>
  <si>
    <t>Local Revenue Representation
due to
Int'l H. S.
(VIBE)
Table 5C1C</t>
  </si>
  <si>
    <t>Local Revenue Representation
due to
N.O.
Military/
Maritime
Table 5C1D</t>
  </si>
  <si>
    <t>Local Revenue Representation
due to
Lycee
Francais
Table 5C1E</t>
  </si>
  <si>
    <t>Local Revenue Representation
due to
Lake 
Charles Academy
Table 5C1F</t>
  </si>
  <si>
    <t>Local Revenue Representation
due to
J. S. Clark
Leader-
ship
Academy
Table 5C1G</t>
  </si>
  <si>
    <t>Local Revenue Representation
due to
Southwest
LA
Charter
Table 5C1H</t>
  </si>
  <si>
    <t>Local Revenue Representation
due to
LA Key Academy
Table 5C1I</t>
  </si>
  <si>
    <t>Local Revenue Representation
due to
Jefferson Chamber
Fdtn
Table 5C1J</t>
  </si>
  <si>
    <t>Local Revenue Representation
due to
Tallulah Charter
Table 5C1K</t>
  </si>
  <si>
    <t>Local Revenue Representation
due to
Northshore Charter
Table 5C1L</t>
  </si>
  <si>
    <t>Local Revenue Representation
due to
Baton Rouge Charter Admy
Table 5C1M</t>
  </si>
  <si>
    <t>Local Revenue Representation
due to
Delta Charter
Table 5C1N</t>
  </si>
  <si>
    <t>Local Revenue Representation
due to
Impact
Charter
Table 5C1O</t>
  </si>
  <si>
    <t>Local Revenue Representation
due to
Vision
Academy
Table 5C1P</t>
  </si>
  <si>
    <t>Local Revenue Representation
due to
Advantage
Charter
Academy
Table 5C1Q</t>
  </si>
  <si>
    <t>Local Revenue Representation
due to
Iberville
Charter
Academy
Table 5C1R</t>
  </si>
  <si>
    <t>Local Revenue Representation
due to
Lake
Charles
College
Preparatory
Table 5C1S</t>
  </si>
  <si>
    <t>Local Revenue Representation
due to
Northeast Claiborne
Charter
Table 5C1T</t>
  </si>
  <si>
    <t>Local Revenue Representation
due to
Acadiana
Renaissance
Table 5C1U</t>
  </si>
  <si>
    <t>Local Revenue Representation
due to
Lafayette
Renaissance
Table 5C1V</t>
  </si>
  <si>
    <t>Local Revenue Representation
due to
Willow
Charter
Academy
Table 5C1W</t>
  </si>
  <si>
    <t>Local Revenue Representation
due to
LAVCA
Table 5C2</t>
  </si>
  <si>
    <t>Local Revenue Representation
due to
LA 
Connections
Table 5C3</t>
  </si>
  <si>
    <t>Total
Local Revenue Representation
 due to 
other
LEAs</t>
  </si>
  <si>
    <r>
      <t xml:space="preserve">Total MFP
Payment 
Amount </t>
    </r>
    <r>
      <rPr>
        <b/>
        <sz val="10"/>
        <color rgb="FFFF0000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Revenue
Representation
due to other
LEAs</t>
    </r>
  </si>
  <si>
    <t>Local Revenue Representation
due monthly
 to the
Office of
Juvenile
Justice
Table 5A3</t>
  </si>
  <si>
    <t>Local Revenue Representation
due monthly 
to RSD LA
Table 5B2
RSD_LA</t>
  </si>
  <si>
    <t>Local Revenue Representation 
due monthly
to RSD Orleans
Table 5B1</t>
  </si>
  <si>
    <t>Local Revenue Representation 
due monthly
to Madison 
Prep (CSAL)
Table 5C1A</t>
  </si>
  <si>
    <t>Local Revenue Representation 
due monthly 
to D'Arbonne
Woods
Table 5C1B</t>
  </si>
  <si>
    <t>Local Revenue Representation
due monthly to
Int'l H. S.
(VIBE)
Table 5C1C</t>
  </si>
  <si>
    <t>Local Revenue Representation 
due monthly to
N.O.
Military/
Maritime
Table 5C1D</t>
  </si>
  <si>
    <t>Local Revenue Representation
due monthly to
Lycee
Francais
Table 5C1E</t>
  </si>
  <si>
    <t>Local Revenue Representation
due monthly to
Lake Charles Academy
Table 5C1F</t>
  </si>
  <si>
    <t>Local Revenue Representation
due monthly to
J. S. Clark
Leadership
Academy
Table 5C1G</t>
  </si>
  <si>
    <t>Local Revenue Representation
due monthly to
Southwest
LA
Charter
Table 5C1H</t>
  </si>
  <si>
    <t>Local Revenue Representation
due monthly to
LA Key Academy
Table 5C1I</t>
  </si>
  <si>
    <t>Local Revenue Representation
due monthly to
Jefferson Chamber Fdtn
Table 5C1J</t>
  </si>
  <si>
    <t>Local Revenue Representation
due monthly to
Tallulah Charter
Table 5C1K</t>
  </si>
  <si>
    <t>Local Revenue Representation
due monthly to
Northshore Charter
Table 5C1L</t>
  </si>
  <si>
    <t>Local Revenue Representation
due monthly to
Baton Rouge Charter Admy
Table 5C1M</t>
  </si>
  <si>
    <t>Local Revenue Representation
due monthly to
Delta Charter
Table 5C1N</t>
  </si>
  <si>
    <t>Local Revenue Representation
due monthly to
Impact
Charter
Table 5C1O</t>
  </si>
  <si>
    <t>Local Revenue Representation
due monthly to
Vision
Academy
Table 5C1P</t>
  </si>
  <si>
    <t>Local Revenue Representation
due monthly to
Advantage
Charter
Academy
Table 5C1Q</t>
  </si>
  <si>
    <t>Local Revenue Representation
due monthly to
Iberville
Charter
Academy
Table 5C1R</t>
  </si>
  <si>
    <t>Local Revenue Representation
due monthly to
Lake
Charles
College
Preparatory
Table 5C1S</t>
  </si>
  <si>
    <t>Local Revenue Representation
due monthly to
Northeast Claiborne
Charter
Table 5C1T</t>
  </si>
  <si>
    <t>Local Revenue Representation
due monthly to
Acadiana
Renaissance
Table 5C1U</t>
  </si>
  <si>
    <t>Local Revenue Representation
due monthly to
Lafayette
Renaissance
Table 5C1V</t>
  </si>
  <si>
    <t>Local Revenue Representation
due monthly to
Willow
Charter
Academy
Table 5C1W</t>
  </si>
  <si>
    <t>Local Revenue Representation
due monthly to
LAVCA
Table 5C-2</t>
  </si>
  <si>
    <t>Local Revenue Representation
due monthly to
LA 
Connections
Table 5C-3</t>
  </si>
  <si>
    <t>Total MFP
Payment
Amount minus
Local Revenue Representation 
to RSD and 
Type 2 Charters</t>
  </si>
  <si>
    <t>MFP Local Revenue Representation 
for Youth in Secure Care</t>
  </si>
  <si>
    <r>
      <t xml:space="preserve">Levels 1
and 2
Local 
Revenue
Representation
</t>
    </r>
    <r>
      <rPr>
        <sz val="10"/>
        <color indexed="18"/>
        <rFont val="Arial"/>
        <family val="2"/>
      </rPr>
      <t>(Table 3,
Col 36)</t>
    </r>
  </si>
  <si>
    <t>Adjusted
Local
Revenue
Representation
Per Pupil
including
OJJ</t>
  </si>
  <si>
    <t>Local
Revenue
Representation
 for OJJ 
Secure Care
Students</t>
  </si>
  <si>
    <t>Total 
Local
Revenue
Representation
+/- Mid-Year Adjustment
for Students
+/- Audit
Adjustments</t>
  </si>
  <si>
    <t xml:space="preserve">Local 
Revenue
Representation
Monthly
Payment
</t>
  </si>
  <si>
    <t>Total
State
Cost
Allocation
and
Local
Revenue
Representation
Payment</t>
  </si>
  <si>
    <t xml:space="preserve">State
Cost
Allocation
and 
Local
Revenue
Representation
Monthly
Payment
</t>
  </si>
  <si>
    <t>State Cost
Allocation
Per Pupil 
without
Pay Raise</t>
  </si>
  <si>
    <t>State Cost
Allocation</t>
  </si>
  <si>
    <t>MFP Local Revenue Representation</t>
  </si>
  <si>
    <t>Total
Local 
Revenue
Representation</t>
  </si>
  <si>
    <t>October
2014
Mid-Year
Adjustment
for
Students</t>
  </si>
  <si>
    <r>
      <t xml:space="preserve">February
2015
Mid-Year
Adjustment
for
Students
</t>
    </r>
    <r>
      <rPr>
        <sz val="10"/>
        <color indexed="18"/>
        <rFont val="Arial"/>
        <family val="2"/>
      </rPr>
      <t>(one-half the per-pupil amount)</t>
    </r>
  </si>
  <si>
    <r>
      <t xml:space="preserve">Change in
Funded
Student
Count Per
October
2014
Mid-Year
Adjustment
</t>
    </r>
    <r>
      <rPr>
        <sz val="10"/>
        <color indexed="18"/>
        <rFont val="Arial"/>
        <family val="2"/>
      </rPr>
      <t>(See Col. 3
of Oct.
Midyear Adj)</t>
    </r>
  </si>
  <si>
    <r>
      <t xml:space="preserve">Change in
Funded
Student
Count Per
February
2015
Mid-Year
Adjustment
</t>
    </r>
    <r>
      <rPr>
        <sz val="10"/>
        <color indexed="18"/>
        <rFont val="Arial"/>
        <family val="2"/>
      </rPr>
      <t>(See Col. 3
of Feb.
Midyear Adj)</t>
    </r>
  </si>
  <si>
    <t>Total
Local
Revenue
Representation
+/- Mid-Year Adjustment
for Students</t>
  </si>
  <si>
    <t>Total
Local
Revenue
Representation
+/- Mid-Year Adjustment
for Students
- Admin Fee</t>
  </si>
  <si>
    <t>Total
Local
Revenue
Representation
+/- Mid-Year
Adjustment
for Students
- Admin Fee
+/- Building
&amp; Audit
Adjustments</t>
  </si>
  <si>
    <t xml:space="preserve">Local
Revenue
Representation
Monthly
Payment
</t>
  </si>
  <si>
    <r>
      <t xml:space="preserve">February
2015
Mid-Year
Adjustment
for
Students
</t>
    </r>
    <r>
      <rPr>
        <sz val="10"/>
        <color indexed="18"/>
        <rFont val="Arial"/>
        <family val="2"/>
      </rPr>
      <t>(one-half the
per-pupil
amount)</t>
    </r>
  </si>
  <si>
    <t>Total
Local
Revenue
Representation</t>
  </si>
  <si>
    <t>Local
Revenue
Representation
Monthly
Payment</t>
  </si>
  <si>
    <t xml:space="preserve">Total
State Cost
Allocation
and
Local
Revenue
Representation
Monthly 
Payment
</t>
  </si>
  <si>
    <t xml:space="preserve">Total
State Cost
Allocation
and
Local
Revenue
Representation
Payment
</t>
  </si>
  <si>
    <t>Local 
Revenue
Representation</t>
  </si>
  <si>
    <t>Total
Local Revenue
Representation
+/- Mid-Year Adjustment
for Students</t>
  </si>
  <si>
    <t>Total
Local Revenue
Representation
+/- Mid-Year Adjustment
for Students
- Admin Fee</t>
  </si>
  <si>
    <t>Total
Local
Revenue
Representation
+/- Mid-Year Adjustment
for Students
- Admin Fee
+/- Audit
Adjustments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</si>
  <si>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</si>
  <si>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</si>
  <si>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</si>
  <si>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t>Baton Rouge University Prep
(Baton Rouge University Prep)</t>
  </si>
  <si>
    <t>weighted add on special ed students 2/1/09</t>
  </si>
  <si>
    <t>14.1% of L1 &amp; L2 dollars x 354%</t>
  </si>
  <si>
    <t>Local Cost Allocation
of Level 1
with 75% max Local Cost Allocation
(Deduction for Property &amp; Sales and Other Revenues)</t>
  </si>
  <si>
    <t>Total
Local Revenue Representation
due monthly
to Other
Entities</t>
  </si>
  <si>
    <t xml:space="preserve">Local Revenue 
Under
Level 1 </t>
  </si>
  <si>
    <t xml:space="preserve">Local
Revenue
 Limit on 
Level 2
State
Support </t>
  </si>
  <si>
    <t>ELIGIBLE
 LOCAL
REVENUE
 LEVEL 2</t>
  </si>
  <si>
    <r>
      <t xml:space="preserve">Level 3 
State 
Funding
</t>
    </r>
    <r>
      <rPr>
        <b/>
        <sz val="10"/>
        <color indexed="10"/>
        <rFont val="Arial"/>
        <family val="2"/>
      </rPr>
      <t xml:space="preserve">with 
Continuation
of Prior Year
Pay Raises </t>
    </r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</si>
  <si>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</si>
  <si>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 3 State 
Funding 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</si>
  <si>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</si>
  <si>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Levels 1 and 2
Local Cost
Allocation</t>
  </si>
  <si>
    <r>
      <rPr>
        <b/>
        <sz val="10"/>
        <color indexed="10"/>
        <rFont val="Arial Narrow"/>
        <family val="2"/>
      </rPr>
      <t xml:space="preserve">Total State </t>
    </r>
    <r>
      <rPr>
        <b/>
        <sz val="10"/>
        <color indexed="18"/>
        <rFont val="Arial Narrow"/>
        <family val="2"/>
      </rPr>
      <t xml:space="preserve">
(with
Continuation
of Prior Year
Pay Raises)
and
</t>
    </r>
    <r>
      <rPr>
        <b/>
        <sz val="10"/>
        <color indexed="10"/>
        <rFont val="Arial Narrow"/>
        <family val="2"/>
      </rPr>
      <t>Local</t>
    </r>
    <r>
      <rPr>
        <b/>
        <sz val="10"/>
        <color indexed="18"/>
        <rFont val="Arial Narrow"/>
        <family val="2"/>
      </rPr>
      <t xml:space="preserve"> Cost
Allocation   
Levels 1 and 2</t>
    </r>
  </si>
  <si>
    <r>
      <t xml:space="preserve">MFP
State
Average
 Per Pupil
(L1,L2+L3)
</t>
    </r>
    <r>
      <rPr>
        <sz val="10"/>
        <color indexed="18"/>
        <rFont val="Arial"/>
        <family val="2"/>
      </rPr>
      <t>(Table 3,
col.29)</t>
    </r>
  </si>
  <si>
    <t>Total
State Cost
Allocation
+ Pay Raises
+/- Mid-Year
Adjustment
for Students
- Admin Fee
 +/- Audit
Adjustments</t>
  </si>
  <si>
    <t>State Cost
Allocation
Monthly
Payment</t>
  </si>
  <si>
    <t>Total
Local
Revenue
Representation
+/- Mid-Year Adjustment
for Students
- Admin Fee
 +/- Audit
Adjustments</t>
  </si>
  <si>
    <t>ADM for OJJ</t>
  </si>
  <si>
    <t>Career
Development
Fund
Allocation</t>
  </si>
  <si>
    <t>High Cost
Services
Allocation</t>
  </si>
  <si>
    <t>Number
of Units in
Qualifying
Courses</t>
  </si>
  <si>
    <t>Allocation
Based on
6% Adder</t>
  </si>
  <si>
    <t>Career Development
Fund (CDF)</t>
  </si>
  <si>
    <t>3AP003</t>
  </si>
  <si>
    <t>Celerity
(Celerity Dalton Charter School)</t>
  </si>
  <si>
    <t>Madison Prep</t>
  </si>
  <si>
    <r>
      <t xml:space="preserve">Milestone Academy
</t>
    </r>
    <r>
      <rPr>
        <sz val="10"/>
        <rFont val="Arial"/>
        <family val="2"/>
      </rPr>
      <t>Orleans Parish
(Not in a district bldg)</t>
    </r>
  </si>
  <si>
    <t>Oct. 1, 2014
MFP Funded
Membership
(Per SIS)</t>
  </si>
  <si>
    <r>
      <t xml:space="preserve">Lake Charles
College Prep
</t>
    </r>
    <r>
      <rPr>
        <sz val="10"/>
        <color indexed="18"/>
        <rFont val="Arial"/>
        <family val="2"/>
      </rPr>
      <t>(Site Code 328002)
(Opened 14/15)
(Not in a District Building)</t>
    </r>
  </si>
  <si>
    <t>Grades
9 - 12
10.1.14 SIS</t>
  </si>
  <si>
    <r>
      <t xml:space="preserve">New Vision Learning
</t>
    </r>
    <r>
      <rPr>
        <sz val="10"/>
        <rFont val="Arial"/>
        <family val="2"/>
      </rPr>
      <t>City of Monroe
(Not in a district bldg)</t>
    </r>
  </si>
  <si>
    <r>
      <t xml:space="preserve">Glencoe Charter School
</t>
    </r>
    <r>
      <rPr>
        <sz val="10"/>
        <rFont val="Arial"/>
        <family val="2"/>
      </rPr>
      <t>St. Mary Parish
(Not in a district bldg)</t>
    </r>
  </si>
  <si>
    <r>
      <t xml:space="preserve">International School of LA
</t>
    </r>
    <r>
      <rPr>
        <sz val="10"/>
        <rFont val="Arial"/>
        <family val="2"/>
      </rPr>
      <t>Orleans Parish
(In a district bldg.)</t>
    </r>
  </si>
  <si>
    <r>
      <t xml:space="preserve">International School of LA
</t>
    </r>
    <r>
      <rPr>
        <sz val="10"/>
        <rFont val="Arial"/>
        <family val="2"/>
      </rPr>
      <t>Orleans Parish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(Not in a district bldg.)</t>
    </r>
  </si>
  <si>
    <r>
      <t xml:space="preserve">International School of LA
</t>
    </r>
    <r>
      <rPr>
        <sz val="10"/>
        <rFont val="Arial"/>
        <family val="2"/>
      </rPr>
      <t>Orleans Parish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(Total Funding)</t>
    </r>
  </si>
  <si>
    <r>
      <t xml:space="preserve">Avoyelles Public Charter
</t>
    </r>
    <r>
      <rPr>
        <sz val="10"/>
        <rFont val="Arial"/>
        <family val="2"/>
      </rPr>
      <t>Avoyelles Parish
(Not in a district bldg)</t>
    </r>
  </si>
  <si>
    <r>
      <t>Delhi Charter School</t>
    </r>
    <r>
      <rPr>
        <sz val="10"/>
        <rFont val="Arial"/>
        <family val="2"/>
      </rPr>
      <t xml:space="preserve">
Richland Parish
(Not in a district bldg)</t>
    </r>
  </si>
  <si>
    <r>
      <t xml:space="preserve">Belle Chasse Academy
</t>
    </r>
    <r>
      <rPr>
        <sz val="10"/>
        <rFont val="Arial"/>
        <family val="2"/>
      </rPr>
      <t>Plaquemines Parish
(Not in a district bldg)</t>
    </r>
  </si>
  <si>
    <r>
      <t xml:space="preserve">Maxine Giardina
</t>
    </r>
    <r>
      <rPr>
        <sz val="10"/>
        <rFont val="Arial"/>
        <family val="2"/>
      </rPr>
      <t>Lafourche Parish
(Not in a district bldg)</t>
    </r>
  </si>
  <si>
    <t>October 2014
Midyear
Adjustment
for Students</t>
  </si>
  <si>
    <r>
      <t xml:space="preserve">ADM
for Youth in
Secure Care 
</t>
    </r>
    <r>
      <rPr>
        <sz val="10"/>
        <color indexed="18"/>
        <rFont val="Arial"/>
        <family val="2"/>
      </rPr>
      <t xml:space="preserve">
(13/14
ADM Data)</t>
    </r>
    <r>
      <rPr>
        <b/>
        <sz val="10"/>
        <color indexed="56"/>
        <rFont val="Arial"/>
        <family val="2"/>
      </rPr>
      <t/>
    </r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</si>
  <si>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 xml:space="preserve">FY2013-14 Average Daily Membership (ADM) </t>
    </r>
  </si>
  <si>
    <t>High
Cost
Services
Allocations</t>
  </si>
  <si>
    <r>
      <t xml:space="preserve">Final
FY14-15
Local
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</si>
  <si>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Final
FY14-15
Local
Revenue
Representation
Per Pupil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 xml:space="preserve">
(per
Calculation)</t>
    </r>
  </si>
  <si>
    <t>Initial
Funding
for SCA</t>
  </si>
  <si>
    <t>Pierre A. Capdau Learning Acdmy</t>
  </si>
  <si>
    <t>Medard H. Nelson Elem</t>
  </si>
  <si>
    <t>Lake Area New Tech Early College</t>
  </si>
  <si>
    <t>Gentilly Terrace Elem</t>
  </si>
  <si>
    <t>The NET Charter School</t>
  </si>
  <si>
    <t>Crescent Leadership Acdmy</t>
  </si>
  <si>
    <t>Harriet Tubman Charter School</t>
  </si>
  <si>
    <t>Paul Habans Elem</t>
  </si>
  <si>
    <t>Fannie C. Williams Charter School</t>
  </si>
  <si>
    <t>Lagniappe Academies of N.O.</t>
  </si>
  <si>
    <t>Edgar P. Harney Spirit of Excellence Acdmy</t>
  </si>
  <si>
    <t>Morris Jeff Community School</t>
  </si>
  <si>
    <t>ReNEW Cultural Arts Acdmy.</t>
  </si>
  <si>
    <t>ReNEW SciTech Acdmy.</t>
  </si>
  <si>
    <t>ReNEW Delores T. Aaron Elem</t>
  </si>
  <si>
    <t>ReNEW Accelerated High, City Park</t>
  </si>
  <si>
    <t>ReNEW Accelerated High, West Bank</t>
  </si>
  <si>
    <t>ReNEW Schaumburg Elem</t>
  </si>
  <si>
    <t>Arise Academy</t>
  </si>
  <si>
    <t>Mildred Osborne Elem</t>
  </si>
  <si>
    <t>Success Preparatory Academy</t>
  </si>
  <si>
    <t>Akili Academy of N.O.</t>
  </si>
  <si>
    <t>Sci Academy</t>
  </si>
  <si>
    <t>G.W. Carver Collegiate Acdmy</t>
  </si>
  <si>
    <t>G.W. Carver Prep Acdmy</t>
  </si>
  <si>
    <t>Miller McCoy Academy</t>
  </si>
  <si>
    <t>Sylvanie Williams College Prep</t>
  </si>
  <si>
    <t>Cohen College Prep</t>
  </si>
  <si>
    <t>Crocker College Prep</t>
  </si>
  <si>
    <t>Andrew H. Wilson Charter</t>
  </si>
  <si>
    <t>James M. Singleton Charter</t>
  </si>
  <si>
    <t>Dr. MLK, Jr Charter for Sci &amp; Tech</t>
  </si>
  <si>
    <t>Joseph A. Craig</t>
  </si>
  <si>
    <t>McDonogh #28 City Park Acdmy</t>
  </si>
  <si>
    <t>Lafayette Academy</t>
  </si>
  <si>
    <t>Esperanza Charter</t>
  </si>
  <si>
    <t>McDonogh #42 Elem Charter</t>
  </si>
  <si>
    <t>Martin Behrman</t>
  </si>
  <si>
    <t>Dwight D. Eisenhower</t>
  </si>
  <si>
    <t>William J. Fischer</t>
  </si>
  <si>
    <t>McDonogh #32 Elem</t>
  </si>
  <si>
    <t>LB Landry-OP Walker College &amp; Career Prep</t>
  </si>
  <si>
    <t>Algiers Technology Acdmy</t>
  </si>
  <si>
    <t>Sophie B. Wright Learning Acdmy</t>
  </si>
  <si>
    <t>KIPP Believe College Prep</t>
  </si>
  <si>
    <t>KIPP McDonogh 15 Sch. for the Creative Arts</t>
  </si>
  <si>
    <t>KIPP Central City Acdmy</t>
  </si>
  <si>
    <t>KIPP Central City Primary</t>
  </si>
  <si>
    <t>KIPP Renaissance High</t>
  </si>
  <si>
    <t>KIPP N.O. Leadership Acdmy</t>
  </si>
  <si>
    <t>KIPP East</t>
  </si>
  <si>
    <t>S.J. Green Charter</t>
  </si>
  <si>
    <t>Arthur Ashe Charter</t>
  </si>
  <si>
    <t>Joseph Clark High</t>
  </si>
  <si>
    <t>John Dibert Community</t>
  </si>
  <si>
    <t>Langston Hughes Acdmy</t>
  </si>
  <si>
    <t>Mary D. Coghill Accelerated</t>
  </si>
  <si>
    <t>Kenilworth Science and Tech</t>
  </si>
  <si>
    <t>Celerity Lanier Charter School</t>
  </si>
  <si>
    <t>Celerity Crestworth Charter School</t>
  </si>
  <si>
    <t>Celerity Dalton Charter School</t>
  </si>
  <si>
    <t>Baton Rouge University Prep</t>
  </si>
  <si>
    <t>Capitol High School</t>
  </si>
  <si>
    <t>Linwood Public Charter</t>
  </si>
  <si>
    <t>LA School for Math, Science and the Arts</t>
  </si>
  <si>
    <t>New Orleans Center for Creative Arts</t>
  </si>
  <si>
    <t>New Vision Learning</t>
  </si>
  <si>
    <t>Glencoe Charter School</t>
  </si>
  <si>
    <t>International School of LA</t>
  </si>
  <si>
    <t>Avoyelles Public Charter School</t>
  </si>
  <si>
    <t>Delhi Charter School</t>
  </si>
  <si>
    <t>Belle Chasse Academy</t>
  </si>
  <si>
    <t>Milestone Academy</t>
  </si>
  <si>
    <t>The MAX Charter School</t>
  </si>
  <si>
    <t>Louisiana Virtual Charter Academy</t>
  </si>
  <si>
    <t>Number of
Foreign
Associate/
Escadrille
Teachers
2.1.14</t>
  </si>
  <si>
    <t>Total New Type 2 Charter Schools</t>
  </si>
  <si>
    <t>March  
2015
Payment
Amount</t>
  </si>
  <si>
    <t>March ONLY:
Local
Revenue
Representation
Admin. Fee
Payable 
to RSD
(1.75%)
RSD LA</t>
  </si>
  <si>
    <t>March ONLY:
Local
Revenue
Representation
Admin. Fee
Payable 
to DOE
(.25%)
RSD LA</t>
  </si>
  <si>
    <t>March ONLY:
Local
Revenue
Representation
Admin. Fee
Payable 
to DOE
(.25%)
RSD Orleans</t>
  </si>
  <si>
    <t>March ONLY:
Local
Revenue
Representation
Admin. Fee
Payable 
to DOE
(.25%)
Madison 
Prep</t>
  </si>
  <si>
    <t>March ONLY:
Local
Revenue
Representation
Admin. Fee
Payable 
to DOE
(.25%)
D'Arbonne
Woods</t>
  </si>
  <si>
    <t>March ONLY:
Local
Revenue
Representation
Admin. Fee
Payable 
to DOE
(.25%)
Int'l H. S.</t>
  </si>
  <si>
    <t>March ONLY:
Local
Revenue
Representation
Admin. Fee
Payable 
to DOE
(.25%)
N.O.
Military</t>
  </si>
  <si>
    <t>March ONLY:
Local
Revenue
Representation
Admin. Fee
Payable 
to DOE
(.25%)
Lycee Francais</t>
  </si>
  <si>
    <t>March ONLY:
Local
Revenue
Representation
Admin. Fee
Payable 
to DOE
(.25%)
Lake Charles
Academy</t>
  </si>
  <si>
    <t>March ONLY:
Local
Revenue
Representation
Admin. Fee
Payable 
to DOE
(.25%)
Clark
Leadership</t>
  </si>
  <si>
    <t>March ONLY:
Local
Revenue
Representation
Admin. Fee
Payable 
to DOE
(.25%)
Southwest
LA Charter</t>
  </si>
  <si>
    <t>March ONLY:
Local
Revenue
Representation
Admin. Fee
Payable 
to DOE
(.25%)
LA Key Admy</t>
  </si>
  <si>
    <t>March ONLY:
Local
Revenue
Representation
Admin. Fee
Payable 
to DOE
(.25%)
Jefferson Chamber Fdtn</t>
  </si>
  <si>
    <t>March ONLY:
Local
Revenue
Representation
Admin. Fee
Payable 
to DOE
(.25%)
Tallulah Charter</t>
  </si>
  <si>
    <t>March ONLY:
Local
Revenue
Representation
Admin. Fee
Payable 
to DOE
(.25%)
Northshore Charter</t>
  </si>
  <si>
    <t>March ONLY:
Local
Revenue
Representation
Admin. Fee
Payable 
to DOE
(.25%)
B.R. Charter</t>
  </si>
  <si>
    <t>March ONLY:
Local
Revenue
Representation
Admin. Fee
Payable 
to DOE
(.25%)
Delta Charter</t>
  </si>
  <si>
    <t>March ONLY:
Local
Revenue
Representation
Admin. Fee
Payable 
to DOE
(.25%)
Impact</t>
  </si>
  <si>
    <t>March ONLY:
Local
Revenue
Representation
Admin. Fee
Payable 
to DOE
(.25%)
Vision</t>
  </si>
  <si>
    <t>March ONLY:
Local
Revenue
Representation
Admin. Fee
Payable 
to DOE
(.25%)
Advantage</t>
  </si>
  <si>
    <t>March ONLY:
Local
Revenue
Representation
Admin. Fee
Payable 
to DOE
(.25%)
Iberville</t>
  </si>
  <si>
    <t>March ONLY:
Local
Revenue
Representation
Admin. Fee
Payable 
to DOE
(.25%)
L.C. College Prep</t>
  </si>
  <si>
    <t>March ONLY:
Local
Revenue
Representation
Admin. Fee
Payable 
to DOE
(.25%)
Northeast</t>
  </si>
  <si>
    <t>March ONLY:
Local
Revenue
Representation
Admin. Fee
Payable 
to DOE
(.25%)
Acadiana Renaissance</t>
  </si>
  <si>
    <t>March ONLY:
Local
Revenue
Representation
Admin. Fee
Payable 
to DOE
(.25%)
Lafayette Renaissance</t>
  </si>
  <si>
    <t>March ONLY:
Local
Revenue
Representation
Admin. Fee
Payable 
to DOE
(.25%)
Willow Charter</t>
  </si>
  <si>
    <t>March ONLY:
Local
Revenue
Representation
Admin. Fee
Payable 
to DOE
(.25%
LAVCA</t>
  </si>
  <si>
    <t>March ONLY:
Local
Revenue
Representation
Admin. Fee
Payable 
to DOE
(.25%)
LA Conn.</t>
  </si>
  <si>
    <r>
      <t xml:space="preserve">Morris Jeff Community School (Morris Jeff Comm. School)
</t>
    </r>
    <r>
      <rPr>
        <b/>
        <sz val="10"/>
        <color rgb="FFFF0000"/>
        <rFont val="Arial"/>
        <family val="2"/>
      </rPr>
      <t>Total</t>
    </r>
  </si>
  <si>
    <r>
      <t xml:space="preserve">Morris Jeff Community School (Morris Jeff Comm. School)
</t>
    </r>
    <r>
      <rPr>
        <sz val="10"/>
        <color rgb="FFFF0000"/>
        <rFont val="Arial"/>
        <family val="2"/>
      </rPr>
      <t>In a District Building</t>
    </r>
  </si>
  <si>
    <t>Finalized
State Cost
Allocation
and
Mid-Year
Adjustment
for Students</t>
  </si>
  <si>
    <t>Finalized
Local Revenue
Representation
Allocation
and
Mid-Year
Adjustment
for Students</t>
  </si>
  <si>
    <t>Finalized Allocation and Mid-Year Adjustment</t>
  </si>
  <si>
    <t>Finalized Allocation and
Mid-Year Adjustment</t>
  </si>
  <si>
    <t>Finalized
State Cost
Allocation
Using
Oct. 1, 2014
SIS Data</t>
  </si>
  <si>
    <t>Finalized
Local Revenue
Representation
Allocation
Using
Oct. 1, 2014
SIS Data</t>
  </si>
  <si>
    <t>Local
Admin Fee
to the 
Dept. of
Education
July Fee</t>
  </si>
  <si>
    <t>Local
Admin Fee
to the 
Dept. of
Education
March Fee</t>
  </si>
  <si>
    <t>Local
Admin Fee
to the
Dept. of
Education
July Fee</t>
  </si>
  <si>
    <t>Local
Admin Fee
to the
Dept. of
Education
March Fee</t>
  </si>
  <si>
    <t>Monthly Pmts Remaining</t>
  </si>
  <si>
    <t>Paid in July</t>
  </si>
  <si>
    <t>Balance Due:</t>
  </si>
  <si>
    <t>EBR</t>
  </si>
  <si>
    <t>Stipends for Foreign Associate/Escadrille Teachers</t>
  </si>
  <si>
    <r>
      <t xml:space="preserve">Madison Prep Academy 
(CSAL:  Community Schools for Apprenticeship 
Learning)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</si>
  <si>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Pelican Foundation
(Kenilworth Middle)</t>
  </si>
  <si>
    <t>Shreveport Charter, Inc.
(Linwood Middle)</t>
  </si>
  <si>
    <t>Final
FY14-15
Local
Revenue
Representation
Per Pupil
(per charter law)</t>
  </si>
  <si>
    <r>
      <t xml:space="preserve">State
Allocation
Per Pupil 
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(Final
per pupil
for 14/15)</t>
    </r>
  </si>
  <si>
    <t>Final
Local
Revenue
Representation
Per Pupil
Amount
(In a
District
Building)</t>
  </si>
  <si>
    <t>Final
Local
Revenue
Representation
Per Pupil
Amount
(Not In a
District
Building)</t>
  </si>
  <si>
    <r>
      <t xml:space="preserve">RSD Operated
</t>
    </r>
    <r>
      <rPr>
        <sz val="10"/>
        <color rgb="FFFF0000"/>
        <rFont val="Arial"/>
        <family val="2"/>
      </rPr>
      <t>Not in a District Building</t>
    </r>
  </si>
  <si>
    <t>Balance Due</t>
  </si>
  <si>
    <t>Due in 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</si>
</sst>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000000"/>
    <numFmt numFmtId="167" formatCode="&quot;$&quot;#,##0;[Red]&quot;$&quot;#,##0"/>
    <numFmt numFmtId="168" formatCode="0.000%"/>
    <numFmt numFmtId="169" formatCode="&quot;$&quot;#,##0.00"/>
    <numFmt numFmtId="170" formatCode="0_);[Red]\(0\)"/>
    <numFmt numFmtId="171" formatCode="#,##0.0"/>
  </numFmts>
  <fonts count="1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8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b/>
      <sz val="10"/>
      <color indexed="20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62"/>
      <name val="Arial"/>
      <family val="2"/>
    </font>
    <font>
      <sz val="10"/>
      <name val="CG Times"/>
      <family val="1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color indexed="20"/>
      <name val="Arial Narrow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4"/>
      <color indexed="10"/>
      <name val="Arial"/>
      <family val="2"/>
    </font>
    <font>
      <b/>
      <sz val="11"/>
      <name val="Arial Narrow"/>
      <family val="2"/>
    </font>
    <font>
      <b/>
      <sz val="10"/>
      <color indexed="18"/>
      <name val="Arial Narrow"/>
      <family val="2"/>
    </font>
    <font>
      <sz val="10"/>
      <color indexed="12"/>
      <name val="Arial"/>
      <family val="2"/>
    </font>
    <font>
      <sz val="16"/>
      <color indexed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b/>
      <sz val="12"/>
      <color indexed="20"/>
      <name val="Arial"/>
      <family val="2"/>
    </font>
    <font>
      <sz val="12"/>
      <name val="Futura Lt BT"/>
      <family val="2"/>
    </font>
    <font>
      <b/>
      <sz val="11"/>
      <name val="Arial"/>
      <family val="2"/>
    </font>
    <font>
      <b/>
      <sz val="10"/>
      <color indexed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10"/>
      <name val="Futura Lt BT"/>
      <family val="2"/>
    </font>
    <font>
      <b/>
      <sz val="11"/>
      <color indexed="18"/>
      <name val="Arial"/>
      <family val="2"/>
    </font>
    <font>
      <b/>
      <sz val="12"/>
      <name val="Futura Lt BT"/>
      <family val="2"/>
    </font>
    <font>
      <b/>
      <sz val="9"/>
      <name val="Futura Lt BT"/>
      <family val="2"/>
    </font>
    <font>
      <b/>
      <sz val="10"/>
      <name val="Futura Lt BT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color rgb="FF000082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8"/>
      <color indexed="18"/>
      <name val="Arial"/>
      <family val="2"/>
    </font>
    <font>
      <sz val="9"/>
      <color indexed="18"/>
      <name val="Arial"/>
      <family val="2"/>
    </font>
    <font>
      <sz val="14"/>
      <name val="Arial"/>
      <family val="2"/>
    </font>
    <font>
      <b/>
      <sz val="10"/>
      <color rgb="FF000066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2"/>
      <color rgb="FFC00000"/>
      <name val="Arial"/>
      <family val="2"/>
    </font>
    <font>
      <b/>
      <sz val="10"/>
      <color indexed="22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sz val="11"/>
      <color theme="1"/>
      <name val="Futura Lt BT"/>
      <family val="2"/>
    </font>
    <font>
      <i/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B7DEE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66"/>
        <bgColor indexed="64"/>
      </patternFill>
    </fill>
  </fills>
  <borders count="3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3"/>
      </top>
      <bottom style="thin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double">
        <color indexed="64"/>
      </top>
      <bottom/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/>
      <right style="thin">
        <color indexed="63"/>
      </right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theme="0" tint="-0.249977111117893"/>
      </bottom>
      <diagonal/>
    </border>
  </borders>
  <cellStyleXfs count="47824">
    <xf numFmtId="0" fontId="0" fillId="0" borderId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5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9" borderId="0" applyNumberFormat="0" applyBorder="0" applyAlignment="0" applyProtection="0"/>
    <xf numFmtId="0" fontId="58" fillId="3" borderId="0" applyNumberFormat="0" applyBorder="0" applyAlignment="0" applyProtection="0"/>
    <xf numFmtId="0" fontId="59" fillId="20" borderId="1" applyNumberFormat="0" applyAlignment="0" applyProtection="0"/>
    <xf numFmtId="0" fontId="60" fillId="21" borderId="2" applyNumberFormat="0" applyAlignment="0" applyProtection="0"/>
    <xf numFmtId="43" fontId="16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63" fillId="0" borderId="3" applyNumberFormat="0" applyFill="0" applyAlignment="0" applyProtection="0"/>
    <xf numFmtId="0" fontId="64" fillId="0" borderId="4" applyNumberFormat="0" applyFill="0" applyAlignment="0" applyProtection="0"/>
    <xf numFmtId="0" fontId="65" fillId="0" borderId="5" applyNumberFormat="0" applyFill="0" applyAlignment="0" applyProtection="0"/>
    <xf numFmtId="0" fontId="65" fillId="0" borderId="0" applyNumberFormat="0" applyFill="0" applyBorder="0" applyAlignment="0" applyProtection="0"/>
    <xf numFmtId="0" fontId="66" fillId="7" borderId="1" applyNumberFormat="0" applyAlignment="0" applyProtection="0"/>
    <xf numFmtId="0" fontId="67" fillId="0" borderId="6" applyNumberFormat="0" applyFill="0" applyAlignment="0" applyProtection="0"/>
    <xf numFmtId="0" fontId="68" fillId="22" borderId="0" applyNumberFormat="0" applyBorder="0" applyAlignment="0" applyProtection="0"/>
    <xf numFmtId="0" fontId="18" fillId="0" borderId="0"/>
    <xf numFmtId="0" fontId="36" fillId="0" borderId="0"/>
    <xf numFmtId="0" fontId="18" fillId="23" borderId="7" applyNumberFormat="0" applyFont="0" applyAlignment="0" applyProtection="0"/>
    <xf numFmtId="0" fontId="69" fillId="20" borderId="8" applyNumberFormat="0" applyAlignment="0" applyProtection="0"/>
    <xf numFmtId="9" fontId="16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9" applyNumberFormat="0" applyFill="0" applyAlignment="0" applyProtection="0"/>
    <xf numFmtId="0" fontId="72" fillId="0" borderId="0" applyNumberForma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43" fontId="12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1" fillId="0" borderId="0"/>
    <xf numFmtId="0" fontId="36" fillId="0" borderId="0"/>
    <xf numFmtId="0" fontId="36" fillId="0" borderId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6" fillId="0" borderId="0"/>
    <xf numFmtId="0" fontId="92" fillId="0" borderId="0"/>
    <xf numFmtId="43" fontId="9" fillId="0" borderId="0" applyFont="0" applyFill="0" applyBorder="0" applyAlignment="0" applyProtection="0"/>
    <xf numFmtId="0" fontId="66" fillId="7" borderId="87" applyNumberFormat="0" applyAlignment="0" applyProtection="0"/>
    <xf numFmtId="0" fontId="16" fillId="23" borderId="101" applyNumberFormat="0" applyFont="0" applyAlignment="0" applyProtection="0"/>
    <xf numFmtId="0" fontId="16" fillId="23" borderId="78" applyNumberFormat="0" applyFont="0" applyAlignment="0" applyProtection="0"/>
    <xf numFmtId="0" fontId="59" fillId="20" borderId="66" applyNumberFormat="0" applyAlignment="0" applyProtection="0"/>
    <xf numFmtId="0" fontId="71" fillId="0" borderId="80" applyNumberFormat="0" applyFill="0" applyAlignment="0" applyProtection="0"/>
    <xf numFmtId="0" fontId="59" fillId="20" borderId="87" applyNumberFormat="0" applyAlignment="0" applyProtection="0"/>
    <xf numFmtId="0" fontId="69" fillId="20" borderId="122" applyNumberFormat="0" applyAlignment="0" applyProtection="0"/>
    <xf numFmtId="0" fontId="69" fillId="20" borderId="112" applyNumberFormat="0" applyAlignment="0" applyProtection="0"/>
    <xf numFmtId="0" fontId="59" fillId="20" borderId="96" applyNumberFormat="0" applyAlignment="0" applyProtection="0"/>
    <xf numFmtId="0" fontId="66" fillId="7" borderId="71" applyNumberFormat="0" applyAlignment="0" applyProtection="0"/>
    <xf numFmtId="0" fontId="16" fillId="23" borderId="88" applyNumberFormat="0" applyFont="0" applyAlignment="0" applyProtection="0"/>
    <xf numFmtId="0" fontId="69" fillId="20" borderId="98" applyNumberFormat="0" applyAlignment="0" applyProtection="0"/>
    <xf numFmtId="0" fontId="16" fillId="23" borderId="72" applyNumberFormat="0" applyFont="0" applyAlignment="0" applyProtection="0"/>
    <xf numFmtId="0" fontId="69" fillId="20" borderId="73" applyNumberFormat="0" applyAlignment="0" applyProtection="0"/>
    <xf numFmtId="0" fontId="59" fillId="20" borderId="58" applyNumberFormat="0" applyAlignment="0" applyProtection="0"/>
    <xf numFmtId="0" fontId="71" fillId="0" borderId="74" applyNumberFormat="0" applyFill="0" applyAlignment="0" applyProtection="0"/>
    <xf numFmtId="0" fontId="59" fillId="20" borderId="100" applyNumberFormat="0" applyAlignment="0" applyProtection="0"/>
    <xf numFmtId="0" fontId="71" fillId="0" borderId="90" applyNumberFormat="0" applyFill="0" applyAlignment="0" applyProtection="0"/>
    <xf numFmtId="43" fontId="16" fillId="0" borderId="0" applyFont="0" applyFill="0" applyBorder="0" applyAlignment="0" applyProtection="0"/>
    <xf numFmtId="0" fontId="69" fillId="20" borderId="79" applyNumberFormat="0" applyAlignment="0" applyProtection="0"/>
    <xf numFmtId="0" fontId="66" fillId="7" borderId="58" applyNumberFormat="0" applyAlignment="0" applyProtection="0"/>
    <xf numFmtId="0" fontId="16" fillId="23" borderId="59" applyNumberFormat="0" applyFont="0" applyAlignment="0" applyProtection="0"/>
    <xf numFmtId="0" fontId="69" fillId="20" borderId="60" applyNumberFormat="0" applyAlignment="0" applyProtection="0"/>
    <xf numFmtId="0" fontId="71" fillId="0" borderId="61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6" fillId="23" borderId="93" applyNumberFormat="0" applyFont="0" applyAlignment="0" applyProtection="0"/>
    <xf numFmtId="0" fontId="66" fillId="7" borderId="66" applyNumberFormat="0" applyAlignment="0" applyProtection="0"/>
    <xf numFmtId="0" fontId="59" fillId="20" borderId="77" applyNumberFormat="0" applyAlignment="0" applyProtection="0"/>
    <xf numFmtId="0" fontId="69" fillId="20" borderId="94" applyNumberFormat="0" applyAlignment="0" applyProtection="0"/>
    <xf numFmtId="0" fontId="66" fillId="7" borderId="100" applyNumberFormat="0" applyAlignment="0" applyProtection="0"/>
    <xf numFmtId="0" fontId="16" fillId="23" borderId="67" applyNumberFormat="0" applyFont="0" applyAlignment="0" applyProtection="0"/>
    <xf numFmtId="0" fontId="69" fillId="20" borderId="68" applyNumberFormat="0" applyAlignment="0" applyProtection="0"/>
    <xf numFmtId="0" fontId="71" fillId="0" borderId="69" applyNumberFormat="0" applyFill="0" applyAlignment="0" applyProtection="0"/>
    <xf numFmtId="0" fontId="71" fillId="0" borderId="95" applyNumberFormat="0" applyFill="0" applyAlignment="0" applyProtection="0"/>
    <xf numFmtId="0" fontId="69" fillId="20" borderId="89" applyNumberFormat="0" applyAlignment="0" applyProtection="0"/>
    <xf numFmtId="0" fontId="59" fillId="20" borderId="120" applyNumberFormat="0" applyAlignment="0" applyProtection="0"/>
    <xf numFmtId="0" fontId="66" fillId="7" borderId="77" applyNumberFormat="0" applyAlignment="0" applyProtection="0"/>
    <xf numFmtId="0" fontId="71" fillId="0" borderId="103" applyNumberFormat="0" applyFill="0" applyAlignment="0" applyProtection="0"/>
    <xf numFmtId="0" fontId="59" fillId="20" borderId="71" applyNumberFormat="0" applyAlignment="0" applyProtection="0"/>
    <xf numFmtId="0" fontId="66" fillId="7" borderId="96" applyNumberFormat="0" applyAlignment="0" applyProtection="0"/>
    <xf numFmtId="0" fontId="69" fillId="20" borderId="102" applyNumberFormat="0" applyAlignment="0" applyProtection="0"/>
    <xf numFmtId="0" fontId="59" fillId="20" borderId="105" applyNumberFormat="0" applyAlignment="0" applyProtection="0"/>
    <xf numFmtId="0" fontId="59" fillId="20" borderId="92" applyNumberFormat="0" applyAlignment="0" applyProtection="0"/>
    <xf numFmtId="0" fontId="66" fillId="7" borderId="110" applyNumberFormat="0" applyAlignment="0" applyProtection="0"/>
    <xf numFmtId="0" fontId="66" fillId="7" borderId="92" applyNumberFormat="0" applyAlignment="0" applyProtection="0"/>
    <xf numFmtId="0" fontId="71" fillId="0" borderId="135" applyNumberFormat="0" applyFill="0" applyAlignment="0" applyProtection="0"/>
    <xf numFmtId="0" fontId="71" fillId="0" borderId="113" applyNumberFormat="0" applyFill="0" applyAlignment="0" applyProtection="0"/>
    <xf numFmtId="0" fontId="16" fillId="23" borderId="97" applyNumberFormat="0" applyFont="0" applyAlignment="0" applyProtection="0"/>
    <xf numFmtId="0" fontId="71" fillId="0" borderId="99" applyNumberFormat="0" applyFill="0" applyAlignment="0" applyProtection="0"/>
    <xf numFmtId="0" fontId="59" fillId="20" borderId="128" applyNumberFormat="0" applyAlignment="0" applyProtection="0"/>
    <xf numFmtId="0" fontId="16" fillId="23" borderId="133" applyNumberFormat="0" applyFont="0" applyAlignment="0" applyProtection="0"/>
    <xf numFmtId="0" fontId="66" fillId="7" borderId="105" applyNumberFormat="0" applyAlignment="0" applyProtection="0"/>
    <xf numFmtId="0" fontId="16" fillId="23" borderId="111" applyNumberFormat="0" applyFont="0" applyAlignment="0" applyProtection="0"/>
    <xf numFmtId="0" fontId="16" fillId="23" borderId="106" applyNumberFormat="0" applyFont="0" applyAlignment="0" applyProtection="0"/>
    <xf numFmtId="0" fontId="69" fillId="20" borderId="107" applyNumberFormat="0" applyAlignment="0" applyProtection="0"/>
    <xf numFmtId="0" fontId="71" fillId="0" borderId="108" applyNumberFormat="0" applyFill="0" applyAlignment="0" applyProtection="0"/>
    <xf numFmtId="0" fontId="66" fillId="7" borderId="147" applyNumberFormat="0" applyAlignment="0" applyProtection="0"/>
    <xf numFmtId="0" fontId="66" fillId="7" borderId="120" applyNumberFormat="0" applyAlignment="0" applyProtection="0"/>
    <xf numFmtId="0" fontId="71" fillId="0" borderId="139" applyNumberFormat="0" applyFill="0" applyAlignment="0" applyProtection="0"/>
    <xf numFmtId="0" fontId="59" fillId="20" borderId="110" applyNumberFormat="0" applyAlignment="0" applyProtection="0"/>
    <xf numFmtId="0" fontId="16" fillId="23" borderId="121" applyNumberFormat="0" applyFont="0" applyAlignment="0" applyProtection="0"/>
    <xf numFmtId="0" fontId="71" fillId="0" borderId="123" applyNumberFormat="0" applyFill="0" applyAlignment="0" applyProtection="0"/>
    <xf numFmtId="0" fontId="69" fillId="20" borderId="134" applyNumberFormat="0" applyAlignment="0" applyProtection="0"/>
    <xf numFmtId="0" fontId="16" fillId="23" borderId="137" applyNumberFormat="0" applyFont="0" applyAlignment="0" applyProtection="0"/>
    <xf numFmtId="0" fontId="59" fillId="20" borderId="136" applyNumberFormat="0" applyAlignment="0" applyProtection="0"/>
    <xf numFmtId="0" fontId="66" fillId="7" borderId="128" applyNumberFormat="0" applyAlignment="0" applyProtection="0"/>
    <xf numFmtId="0" fontId="66" fillId="7" borderId="140" applyNumberFormat="0" applyAlignment="0" applyProtection="0"/>
    <xf numFmtId="0" fontId="16" fillId="23" borderId="129" applyNumberFormat="0" applyFont="0" applyAlignment="0" applyProtection="0"/>
    <xf numFmtId="0" fontId="69" fillId="20" borderId="130" applyNumberFormat="0" applyAlignment="0" applyProtection="0"/>
    <xf numFmtId="0" fontId="71" fillId="0" borderId="131" applyNumberFormat="0" applyFill="0" applyAlignment="0" applyProtection="0"/>
    <xf numFmtId="0" fontId="69" fillId="20" borderId="138" applyNumberFormat="0" applyAlignment="0" applyProtection="0"/>
    <xf numFmtId="0" fontId="59" fillId="20" borderId="132" applyNumberFormat="0" applyAlignment="0" applyProtection="0"/>
    <xf numFmtId="0" fontId="16" fillId="23" borderId="148" applyNumberFormat="0" applyFont="0" applyAlignment="0" applyProtection="0"/>
    <xf numFmtId="0" fontId="59" fillId="20" borderId="140" applyNumberFormat="0" applyAlignment="0" applyProtection="0"/>
    <xf numFmtId="0" fontId="71" fillId="0" borderId="150" applyNumberFormat="0" applyFill="0" applyAlignment="0" applyProtection="0"/>
    <xf numFmtId="0" fontId="69" fillId="20" borderId="149" applyNumberFormat="0" applyAlignment="0" applyProtection="0"/>
    <xf numFmtId="0" fontId="66" fillId="7" borderId="132" applyNumberFormat="0" applyAlignment="0" applyProtection="0"/>
    <xf numFmtId="0" fontId="71" fillId="0" borderId="143" applyNumberFormat="0" applyFill="0" applyAlignment="0" applyProtection="0"/>
    <xf numFmtId="0" fontId="66" fillId="7" borderId="136" applyNumberFormat="0" applyAlignment="0" applyProtection="0"/>
    <xf numFmtId="0" fontId="16" fillId="23" borderId="141" applyNumberFormat="0" applyFont="0" applyAlignment="0" applyProtection="0"/>
    <xf numFmtId="0" fontId="69" fillId="20" borderId="142" applyNumberFormat="0" applyAlignment="0" applyProtection="0"/>
    <xf numFmtId="0" fontId="59" fillId="20" borderId="147" applyNumberFormat="0" applyAlignment="0" applyProtection="0"/>
    <xf numFmtId="0" fontId="66" fillId="7" borderId="167" applyNumberFormat="0" applyAlignment="0" applyProtection="0"/>
    <xf numFmtId="0" fontId="69" fillId="20" borderId="162" applyNumberFormat="0" applyAlignment="0" applyProtection="0"/>
    <xf numFmtId="0" fontId="66" fillId="7" borderId="159" applyNumberFormat="0" applyAlignment="0" applyProtection="0"/>
    <xf numFmtId="0" fontId="59" fillId="20" borderId="155" applyNumberFormat="0" applyAlignment="0" applyProtection="0"/>
    <xf numFmtId="0" fontId="66" fillId="7" borderId="160" applyNumberFormat="0" applyAlignment="0" applyProtection="0"/>
    <xf numFmtId="0" fontId="66" fillId="7" borderId="155" applyNumberFormat="0" applyAlignment="0" applyProtection="0"/>
    <xf numFmtId="0" fontId="16" fillId="23" borderId="161" applyNumberFormat="0" applyFont="0" applyAlignment="0" applyProtection="0"/>
    <xf numFmtId="0" fontId="16" fillId="23" borderId="156" applyNumberFormat="0" applyFont="0" applyAlignment="0" applyProtection="0"/>
    <xf numFmtId="0" fontId="69" fillId="20" borderId="157" applyNumberFormat="0" applyAlignment="0" applyProtection="0"/>
    <xf numFmtId="0" fontId="71" fillId="0" borderId="158" applyNumberFormat="0" applyFill="0" applyAlignment="0" applyProtection="0"/>
    <xf numFmtId="0" fontId="71" fillId="0" borderId="163" applyNumberFormat="0" applyFill="0" applyAlignment="0" applyProtection="0"/>
    <xf numFmtId="0" fontId="59" fillId="20" borderId="167" applyNumberFormat="0" applyAlignment="0" applyProtection="0"/>
    <xf numFmtId="0" fontId="59" fillId="20" borderId="159" applyNumberFormat="0" applyAlignment="0" applyProtection="0"/>
    <xf numFmtId="0" fontId="59" fillId="20" borderId="160" applyNumberFormat="0" applyAlignment="0" applyProtection="0"/>
    <xf numFmtId="0" fontId="16" fillId="23" borderId="168" applyNumberFormat="0" applyFont="0" applyAlignment="0" applyProtection="0"/>
    <xf numFmtId="0" fontId="69" fillId="20" borderId="169" applyNumberFormat="0" applyAlignment="0" applyProtection="0"/>
    <xf numFmtId="0" fontId="71" fillId="0" borderId="170" applyNumberFormat="0" applyFill="0" applyAlignment="0" applyProtection="0"/>
    <xf numFmtId="0" fontId="66" fillId="7" borderId="211" applyNumberFormat="0" applyAlignment="0" applyProtection="0"/>
    <xf numFmtId="0" fontId="69" fillId="20" borderId="185" applyNumberFormat="0" applyAlignment="0" applyProtection="0"/>
    <xf numFmtId="0" fontId="66" fillId="7" borderId="207" applyNumberFormat="0" applyAlignment="0" applyProtection="0"/>
    <xf numFmtId="0" fontId="16" fillId="23" borderId="184" applyNumberFormat="0" applyFont="0" applyAlignment="0" applyProtection="0"/>
    <xf numFmtId="0" fontId="71" fillId="0" borderId="221" applyNumberFormat="0" applyFill="0" applyAlignment="0" applyProtection="0"/>
    <xf numFmtId="0" fontId="16" fillId="23" borderId="176" applyNumberFormat="0" applyFont="0" applyAlignment="0" applyProtection="0"/>
    <xf numFmtId="0" fontId="71" fillId="0" borderId="202" applyNumberFormat="0" applyFill="0" applyAlignment="0" applyProtection="0"/>
    <xf numFmtId="0" fontId="66" fillId="7" borderId="175" applyNumberFormat="0" applyAlignment="0" applyProtection="0"/>
    <xf numFmtId="0" fontId="69" fillId="20" borderId="209" applyNumberFormat="0" applyAlignment="0" applyProtection="0"/>
    <xf numFmtId="0" fontId="59" fillId="20" borderId="207" applyNumberFormat="0" applyAlignment="0" applyProtection="0"/>
    <xf numFmtId="0" fontId="71" fillId="0" borderId="210" applyNumberFormat="0" applyFill="0" applyAlignment="0" applyProtection="0"/>
    <xf numFmtId="0" fontId="66" fillId="7" borderId="218" applyNumberFormat="0" applyAlignment="0" applyProtection="0"/>
    <xf numFmtId="0" fontId="66" fillId="7" borderId="195" applyNumberFormat="0" applyAlignment="0" applyProtection="0"/>
    <xf numFmtId="0" fontId="59" fillId="20" borderId="179" applyNumberFormat="0" applyAlignment="0" applyProtection="0"/>
    <xf numFmtId="0" fontId="69" fillId="20" borderId="193" applyNumberFormat="0" applyAlignment="0" applyProtection="0"/>
    <xf numFmtId="0" fontId="16" fillId="23" borderId="196" applyNumberFormat="0" applyFont="0" applyAlignment="0" applyProtection="0"/>
    <xf numFmtId="0" fontId="71" fillId="0" borderId="186" applyNumberFormat="0" applyFill="0" applyAlignment="0" applyProtection="0"/>
    <xf numFmtId="0" fontId="71" fillId="0" borderId="174" applyNumberFormat="0" applyFill="0" applyAlignment="0" applyProtection="0"/>
    <xf numFmtId="0" fontId="16" fillId="23" borderId="204" applyNumberFormat="0" applyFont="0" applyAlignment="0" applyProtection="0"/>
    <xf numFmtId="0" fontId="69" fillId="20" borderId="173" applyNumberFormat="0" applyAlignment="0" applyProtection="0"/>
    <xf numFmtId="0" fontId="16" fillId="23" borderId="172" applyNumberFormat="0" applyFont="0" applyAlignment="0" applyProtection="0"/>
    <xf numFmtId="0" fontId="66" fillId="7" borderId="183" applyNumberFormat="0" applyAlignment="0" applyProtection="0"/>
    <xf numFmtId="0" fontId="66" fillId="7" borderId="171" applyNumberFormat="0" applyAlignment="0" applyProtection="0"/>
    <xf numFmtId="0" fontId="16" fillId="23" borderId="219" applyNumberFormat="0" applyFont="0" applyAlignment="0" applyProtection="0"/>
    <xf numFmtId="0" fontId="71" fillId="0" borderId="194" applyNumberFormat="0" applyFill="0" applyAlignment="0" applyProtection="0"/>
    <xf numFmtId="0" fontId="16" fillId="23" borderId="192" applyNumberFormat="0" applyFont="0" applyAlignment="0" applyProtection="0"/>
    <xf numFmtId="0" fontId="69" fillId="20" borderId="201" applyNumberFormat="0" applyAlignment="0" applyProtection="0"/>
    <xf numFmtId="0" fontId="69" fillId="20" borderId="177" applyNumberFormat="0" applyAlignment="0" applyProtection="0"/>
    <xf numFmtId="0" fontId="59" fillId="20" borderId="171" applyNumberFormat="0" applyAlignment="0" applyProtection="0"/>
    <xf numFmtId="0" fontId="71" fillId="0" borderId="178" applyNumberFormat="0" applyFill="0" applyAlignment="0" applyProtection="0"/>
    <xf numFmtId="0" fontId="16" fillId="23" borderId="200" applyNumberFormat="0" applyFont="0" applyAlignment="0" applyProtection="0"/>
    <xf numFmtId="0" fontId="16" fillId="23" borderId="180" applyNumberFormat="0" applyFont="0" applyAlignment="0" applyProtection="0"/>
    <xf numFmtId="0" fontId="71" fillId="0" borderId="206" applyNumberFormat="0" applyFill="0" applyAlignment="0" applyProtection="0"/>
    <xf numFmtId="0" fontId="71" fillId="0" borderId="182" applyNumberFormat="0" applyFill="0" applyAlignment="0" applyProtection="0"/>
    <xf numFmtId="0" fontId="59" fillId="20" borderId="175" applyNumberFormat="0" applyAlignment="0" applyProtection="0"/>
    <xf numFmtId="0" fontId="59" fillId="20" borderId="195" applyNumberFormat="0" applyAlignment="0" applyProtection="0"/>
    <xf numFmtId="0" fontId="69" fillId="20" borderId="205" applyNumberFormat="0" applyAlignment="0" applyProtection="0"/>
    <xf numFmtId="0" fontId="66" fillId="7" borderId="187" applyNumberFormat="0" applyAlignment="0" applyProtection="0"/>
    <xf numFmtId="0" fontId="69" fillId="20" borderId="220" applyNumberFormat="0" applyAlignment="0" applyProtection="0"/>
    <xf numFmtId="0" fontId="66" fillId="7" borderId="179" applyNumberFormat="0" applyAlignment="0" applyProtection="0"/>
    <xf numFmtId="0" fontId="59" fillId="20" borderId="191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59" fillId="20" borderId="214" applyNumberFormat="0" applyAlignment="0" applyProtection="0"/>
    <xf numFmtId="0" fontId="59" fillId="20" borderId="187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9" fillId="20" borderId="183" applyNumberFormat="0" applyAlignment="0" applyProtection="0"/>
    <xf numFmtId="0" fontId="69" fillId="20" borderId="181" applyNumberFormat="0" applyAlignment="0" applyProtection="0"/>
    <xf numFmtId="0" fontId="59" fillId="20" borderId="218" applyNumberFormat="0" applyAlignment="0" applyProtection="0"/>
    <xf numFmtId="0" fontId="16" fillId="23" borderId="215" applyNumberFormat="0" applyFont="0" applyAlignment="0" applyProtection="0"/>
    <xf numFmtId="0" fontId="69" fillId="20" borderId="197" applyNumberFormat="0" applyAlignment="0" applyProtection="0"/>
    <xf numFmtId="0" fontId="66" fillId="7" borderId="203" applyNumberFormat="0" applyAlignment="0" applyProtection="0"/>
    <xf numFmtId="0" fontId="66" fillId="7" borderId="191" applyNumberFormat="0" applyAlignment="0" applyProtection="0"/>
    <xf numFmtId="0" fontId="66" fillId="7" borderId="199" applyNumberFormat="0" applyAlignment="0" applyProtection="0"/>
    <xf numFmtId="0" fontId="16" fillId="23" borderId="188" applyNumberFormat="0" applyFont="0" applyAlignment="0" applyProtection="0"/>
    <xf numFmtId="0" fontId="69" fillId="20" borderId="189" applyNumberFormat="0" applyAlignment="0" applyProtection="0"/>
    <xf numFmtId="0" fontId="71" fillId="0" borderId="190" applyNumberFormat="0" applyFill="0" applyAlignment="0" applyProtection="0"/>
    <xf numFmtId="0" fontId="16" fillId="23" borderId="208" applyNumberFormat="0" applyFont="0" applyAlignment="0" applyProtection="0"/>
    <xf numFmtId="0" fontId="59" fillId="20" borderId="203" applyNumberFormat="0" applyAlignment="0" applyProtection="0"/>
    <xf numFmtId="0" fontId="66" fillId="7" borderId="214" applyNumberFormat="0" applyAlignment="0" applyProtection="0"/>
    <xf numFmtId="0" fontId="71" fillId="0" borderId="213" applyNumberFormat="0" applyFill="0" applyAlignment="0" applyProtection="0"/>
    <xf numFmtId="0" fontId="59" fillId="20" borderId="199" applyNumberFormat="0" applyAlignment="0" applyProtection="0"/>
    <xf numFmtId="0" fontId="59" fillId="20" borderId="211" applyNumberFormat="0" applyAlignment="0" applyProtection="0"/>
    <xf numFmtId="0" fontId="71" fillId="0" borderId="198" applyNumberFormat="0" applyFill="0" applyAlignment="0" applyProtection="0"/>
    <xf numFmtId="0" fontId="69" fillId="20" borderId="216" applyNumberFormat="0" applyAlignment="0" applyProtection="0"/>
    <xf numFmtId="0" fontId="16" fillId="23" borderId="212" applyNumberFormat="0" applyFont="0" applyAlignment="0" applyProtection="0"/>
    <xf numFmtId="0" fontId="71" fillId="0" borderId="217" applyNumberFormat="0" applyFill="0" applyAlignment="0" applyProtection="0"/>
    <xf numFmtId="0" fontId="8" fillId="0" borderId="0"/>
    <xf numFmtId="0" fontId="16" fillId="0" borderId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5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9" borderId="0" applyNumberFormat="0" applyBorder="0" applyAlignment="0" applyProtection="0"/>
    <xf numFmtId="0" fontId="58" fillId="3" borderId="0" applyNumberFormat="0" applyBorder="0" applyAlignment="0" applyProtection="0"/>
    <xf numFmtId="0" fontId="59" fillId="20" borderId="218" applyNumberFormat="0" applyAlignment="0" applyProtection="0"/>
    <xf numFmtId="0" fontId="60" fillId="21" borderId="2" applyNumberFormat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63" fillId="0" borderId="3" applyNumberFormat="0" applyFill="0" applyAlignment="0" applyProtection="0"/>
    <xf numFmtId="0" fontId="64" fillId="0" borderId="4" applyNumberFormat="0" applyFill="0" applyAlignment="0" applyProtection="0"/>
    <xf numFmtId="0" fontId="65" fillId="0" borderId="5" applyNumberFormat="0" applyFill="0" applyAlignment="0" applyProtection="0"/>
    <xf numFmtId="0" fontId="65" fillId="0" borderId="0" applyNumberFormat="0" applyFill="0" applyBorder="0" applyAlignment="0" applyProtection="0"/>
    <xf numFmtId="0" fontId="66" fillId="7" borderId="218" applyNumberFormat="0" applyAlignment="0" applyProtection="0"/>
    <xf numFmtId="0" fontId="67" fillId="0" borderId="6" applyNumberFormat="0" applyFill="0" applyAlignment="0" applyProtection="0"/>
    <xf numFmtId="0" fontId="68" fillId="22" borderId="0" applyNumberFormat="0" applyBorder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9" fontId="16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21" applyNumberFormat="0" applyFill="0" applyAlignment="0" applyProtection="0"/>
    <xf numFmtId="0" fontId="72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16" fillId="23" borderId="219" applyNumberFormat="0" applyFon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16" fillId="23" borderId="219" applyNumberFormat="0" applyFont="0" applyAlignment="0" applyProtection="0"/>
    <xf numFmtId="0" fontId="66" fillId="7" borderId="218" applyNumberFormat="0" applyAlignment="0" applyProtection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16" fillId="23" borderId="219" applyNumberFormat="0" applyFon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16" fillId="23" borderId="219" applyNumberFormat="0" applyFon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59" fillId="20" borderId="218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9" fillId="20" borderId="218" applyNumberFormat="0" applyAlignment="0" applyProtection="0"/>
    <xf numFmtId="0" fontId="59" fillId="20" borderId="218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16" fillId="23" borderId="219" applyNumberFormat="0" applyFon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66" fillId="7" borderId="218" applyNumberFormat="0" applyAlignment="0" applyProtection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16" fillId="23" borderId="219" applyNumberFormat="0" applyFon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16" fillId="23" borderId="219" applyNumberFormat="0" applyFon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69" fillId="20" borderId="220" applyNumberFormat="0" applyAlignment="0" applyProtection="0"/>
    <xf numFmtId="0" fontId="59" fillId="20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66" fillId="7" borderId="218" applyNumberFormat="0" applyAlignment="0" applyProtection="0"/>
    <xf numFmtId="0" fontId="16" fillId="23" borderId="219" applyNumberFormat="0" applyFont="0" applyAlignment="0" applyProtection="0"/>
    <xf numFmtId="0" fontId="69" fillId="20" borderId="220" applyNumberFormat="0" applyAlignment="0" applyProtection="0"/>
    <xf numFmtId="0" fontId="71" fillId="0" borderId="221" applyNumberFormat="0" applyFill="0" applyAlignment="0" applyProtection="0"/>
    <xf numFmtId="0" fontId="16" fillId="23" borderId="219" applyNumberFormat="0" applyFont="0" applyAlignment="0" applyProtection="0"/>
    <xf numFmtId="0" fontId="59" fillId="20" borderId="218" applyNumberFormat="0" applyAlignment="0" applyProtection="0"/>
    <xf numFmtId="0" fontId="66" fillId="7" borderId="218" applyNumberFormat="0" applyAlignment="0" applyProtection="0"/>
    <xf numFmtId="0" fontId="71" fillId="0" borderId="221" applyNumberFormat="0" applyFill="0" applyAlignment="0" applyProtection="0"/>
    <xf numFmtId="0" fontId="59" fillId="20" borderId="218" applyNumberFormat="0" applyAlignment="0" applyProtection="0"/>
    <xf numFmtId="0" fontId="59" fillId="20" borderId="218" applyNumberFormat="0" applyAlignment="0" applyProtection="0"/>
    <xf numFmtId="0" fontId="71" fillId="0" borderId="221" applyNumberFormat="0" applyFill="0" applyAlignment="0" applyProtection="0"/>
    <xf numFmtId="0" fontId="69" fillId="20" borderId="220" applyNumberFormat="0" applyAlignment="0" applyProtection="0"/>
    <xf numFmtId="0" fontId="16" fillId="23" borderId="219" applyNumberFormat="0" applyFont="0" applyAlignment="0" applyProtection="0"/>
    <xf numFmtId="0" fontId="71" fillId="0" borderId="221" applyNumberFormat="0" applyFill="0" applyAlignment="0" applyProtection="0"/>
    <xf numFmtId="0" fontId="71" fillId="0" borderId="228" applyNumberFormat="0" applyFill="0" applyAlignment="0" applyProtection="0"/>
    <xf numFmtId="0" fontId="69" fillId="20" borderId="227" applyNumberFormat="0" applyAlignment="0" applyProtection="0"/>
    <xf numFmtId="0" fontId="16" fillId="23" borderId="226" applyNumberFormat="0" applyFont="0" applyAlignment="0" applyProtection="0"/>
    <xf numFmtId="0" fontId="66" fillId="7" borderId="225" applyNumberFormat="0" applyAlignment="0" applyProtection="0"/>
    <xf numFmtId="0" fontId="59" fillId="20" borderId="225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16" fillId="0" borderId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5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9" borderId="0" applyNumberFormat="0" applyBorder="0" applyAlignment="0" applyProtection="0"/>
    <xf numFmtId="0" fontId="58" fillId="3" borderId="0" applyNumberFormat="0" applyBorder="0" applyAlignment="0" applyProtection="0"/>
    <xf numFmtId="0" fontId="59" fillId="20" borderId="229" applyNumberFormat="0" applyAlignment="0" applyProtection="0"/>
    <xf numFmtId="0" fontId="60" fillId="21" borderId="2" applyNumberFormat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63" fillId="0" borderId="3" applyNumberFormat="0" applyFill="0" applyAlignment="0" applyProtection="0"/>
    <xf numFmtId="0" fontId="64" fillId="0" borderId="4" applyNumberFormat="0" applyFill="0" applyAlignment="0" applyProtection="0"/>
    <xf numFmtId="0" fontId="65" fillId="0" borderId="5" applyNumberFormat="0" applyFill="0" applyAlignment="0" applyProtection="0"/>
    <xf numFmtId="0" fontId="65" fillId="0" borderId="0" applyNumberFormat="0" applyFill="0" applyBorder="0" applyAlignment="0" applyProtection="0"/>
    <xf numFmtId="0" fontId="66" fillId="7" borderId="229" applyNumberFormat="0" applyAlignment="0" applyProtection="0"/>
    <xf numFmtId="0" fontId="67" fillId="0" borderId="6" applyNumberFormat="0" applyFill="0" applyAlignment="0" applyProtection="0"/>
    <xf numFmtId="0" fontId="68" fillId="22" borderId="0" applyNumberFormat="0" applyBorder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9" fontId="16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31" applyNumberFormat="0" applyFill="0" applyAlignment="0" applyProtection="0"/>
    <xf numFmtId="0" fontId="72" fillId="0" borderId="0" applyNumberFormat="0" applyFill="0" applyBorder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9" fillId="20" borderId="229" applyNumberFormat="0" applyAlignment="0" applyProtection="0"/>
    <xf numFmtId="0" fontId="59" fillId="20" borderId="229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" fillId="0" borderId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59" fillId="20" borderId="229" applyNumberFormat="0" applyAlignment="0" applyProtection="0"/>
    <xf numFmtId="0" fontId="59" fillId="20" borderId="229" applyNumberFormat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0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0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0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" fillId="0" borderId="0"/>
    <xf numFmtId="0" fontId="69" fillId="20" borderId="227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" fillId="0" borderId="0"/>
    <xf numFmtId="0" fontId="69" fillId="20" borderId="227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16" fillId="0" borderId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9" fillId="20" borderId="227" applyNumberFormat="0" applyAlignment="0" applyProtection="0"/>
    <xf numFmtId="0" fontId="59" fillId="20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16" fillId="23" borderId="230" applyNumberFormat="0" applyFon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71" fillId="0" borderId="231" applyNumberFormat="0" applyFill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69" fillId="20" borderId="227" applyNumberFormat="0" applyAlignment="0" applyProtection="0"/>
    <xf numFmtId="0" fontId="16" fillId="23" borderId="230" applyNumberFormat="0" applyFont="0" applyAlignment="0" applyProtection="0"/>
    <xf numFmtId="0" fontId="66" fillId="7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59" fillId="20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66" fillId="7" borderId="229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16" fillId="23" borderId="230" applyNumberFormat="0" applyFon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69" fillId="20" borderId="227" applyNumberFormat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71" fillId="0" borderId="231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9" fontId="5" fillId="0" borderId="0" applyFont="0" applyFill="0" applyBorder="0" applyAlignment="0" applyProtection="0"/>
    <xf numFmtId="0" fontId="59" fillId="20" borderId="234" applyNumberFormat="0" applyAlignment="0" applyProtection="0"/>
    <xf numFmtId="0" fontId="5" fillId="0" borderId="0"/>
    <xf numFmtId="0" fontId="59" fillId="20" borderId="234" applyNumberFormat="0" applyAlignment="0" applyProtection="0"/>
    <xf numFmtId="0" fontId="59" fillId="20" borderId="234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9" fontId="5" fillId="0" borderId="0" applyFont="0" applyFill="0" applyBorder="0" applyAlignment="0" applyProtection="0"/>
    <xf numFmtId="0" fontId="5" fillId="0" borderId="0"/>
    <xf numFmtId="0" fontId="59" fillId="20" borderId="234" applyNumberFormat="0" applyAlignment="0" applyProtection="0"/>
    <xf numFmtId="0" fontId="59" fillId="20" borderId="234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" fillId="0" borderId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9" fontId="5" fillId="0" borderId="0" applyFont="0" applyFill="0" applyBorder="0" applyAlignment="0" applyProtection="0"/>
    <xf numFmtId="0" fontId="5" fillId="0" borderId="0"/>
    <xf numFmtId="0" fontId="59" fillId="20" borderId="234" applyNumberFormat="0" applyAlignment="0" applyProtection="0"/>
    <xf numFmtId="0" fontId="59" fillId="20" borderId="234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9" fontId="5" fillId="0" borderId="0" applyFont="0" applyFill="0" applyBorder="0" applyAlignment="0" applyProtection="0"/>
    <xf numFmtId="0" fontId="5" fillId="0" borderId="0"/>
    <xf numFmtId="0" fontId="59" fillId="20" borderId="234" applyNumberFormat="0" applyAlignment="0" applyProtection="0"/>
    <xf numFmtId="0" fontId="59" fillId="20" borderId="234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" fillId="0" borderId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9" fontId="5" fillId="0" borderId="0" applyFont="0" applyFill="0" applyBorder="0" applyAlignment="0" applyProtection="0"/>
    <xf numFmtId="0" fontId="5" fillId="0" borderId="0"/>
    <xf numFmtId="0" fontId="59" fillId="20" borderId="234" applyNumberFormat="0" applyAlignment="0" applyProtection="0"/>
    <xf numFmtId="0" fontId="59" fillId="20" borderId="234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" fillId="0" borderId="0"/>
    <xf numFmtId="0" fontId="69" fillId="20" borderId="236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" fillId="0" borderId="0"/>
    <xf numFmtId="0" fontId="69" fillId="20" borderId="236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9" fillId="20" borderId="236" applyNumberFormat="0" applyAlignment="0" applyProtection="0"/>
    <xf numFmtId="0" fontId="59" fillId="20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71" fillId="0" borderId="237" applyNumberFormat="0" applyFill="0" applyAlignment="0" applyProtection="0"/>
    <xf numFmtId="0" fontId="16" fillId="23" borderId="235" applyNumberFormat="0" applyFon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71" fillId="0" borderId="237" applyNumberFormat="0" applyFill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71" fillId="0" borderId="237" applyNumberFormat="0" applyFill="0" applyAlignment="0" applyProtection="0"/>
    <xf numFmtId="0" fontId="71" fillId="0" borderId="237" applyNumberFormat="0" applyFill="0" applyAlignment="0" applyProtection="0"/>
    <xf numFmtId="0" fontId="69" fillId="20" borderId="236" applyNumberFormat="0" applyAlignment="0" applyProtection="0"/>
    <xf numFmtId="0" fontId="16" fillId="23" borderId="235" applyNumberFormat="0" applyFont="0" applyAlignment="0" applyProtection="0"/>
    <xf numFmtId="0" fontId="66" fillId="7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59" fillId="20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66" fillId="7" borderId="234" applyNumberForma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16" fillId="23" borderId="235" applyNumberFormat="0" applyFon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69" fillId="20" borderId="236" applyNumberFormat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4" fillId="0" borderId="0"/>
    <xf numFmtId="0" fontId="93" fillId="0" borderId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5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9" borderId="0" applyNumberFormat="0" applyBorder="0" applyAlignment="0" applyProtection="0"/>
    <xf numFmtId="0" fontId="58" fillId="3" borderId="0" applyNumberFormat="0" applyBorder="0" applyAlignment="0" applyProtection="0"/>
    <xf numFmtId="0" fontId="59" fillId="20" borderId="238" applyNumberFormat="0" applyAlignment="0" applyProtection="0"/>
    <xf numFmtId="0" fontId="60" fillId="21" borderId="2" applyNumberFormat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63" fillId="0" borderId="3" applyNumberFormat="0" applyFill="0" applyAlignment="0" applyProtection="0"/>
    <xf numFmtId="0" fontId="64" fillId="0" borderId="4" applyNumberFormat="0" applyFill="0" applyAlignment="0" applyProtection="0"/>
    <xf numFmtId="0" fontId="65" fillId="0" borderId="5" applyNumberFormat="0" applyFill="0" applyAlignment="0" applyProtection="0"/>
    <xf numFmtId="0" fontId="65" fillId="0" borderId="0" applyNumberFormat="0" applyFill="0" applyBorder="0" applyAlignment="0" applyProtection="0"/>
    <xf numFmtId="0" fontId="66" fillId="7" borderId="238" applyNumberFormat="0" applyAlignment="0" applyProtection="0"/>
    <xf numFmtId="0" fontId="67" fillId="0" borderId="6" applyNumberFormat="0" applyFill="0" applyAlignment="0" applyProtection="0"/>
    <xf numFmtId="0" fontId="68" fillId="22" borderId="0" applyNumberFormat="0" applyBorder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9" fontId="16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41" applyNumberFormat="0" applyFill="0" applyAlignment="0" applyProtection="0"/>
    <xf numFmtId="0" fontId="7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6" fillId="0" borderId="0"/>
    <xf numFmtId="0" fontId="93" fillId="0" borderId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93" fillId="0" borderId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69" fillId="20" borderId="240" applyNumberFormat="0" applyAlignment="0" applyProtection="0"/>
    <xf numFmtId="0" fontId="59" fillId="20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66" fillId="7" borderId="238" applyNumberFormat="0" applyAlignment="0" applyProtection="0"/>
    <xf numFmtId="0" fontId="16" fillId="23" borderId="239" applyNumberFormat="0" applyFont="0" applyAlignment="0" applyProtection="0"/>
    <xf numFmtId="0" fontId="69" fillId="20" borderId="240" applyNumberFormat="0" applyAlignment="0" applyProtection="0"/>
    <xf numFmtId="0" fontId="71" fillId="0" borderId="241" applyNumberFormat="0" applyFill="0" applyAlignment="0" applyProtection="0"/>
    <xf numFmtId="0" fontId="16" fillId="23" borderId="239" applyNumberFormat="0" applyFont="0" applyAlignment="0" applyProtection="0"/>
    <xf numFmtId="0" fontId="59" fillId="20" borderId="238" applyNumberFormat="0" applyAlignment="0" applyProtection="0"/>
    <xf numFmtId="0" fontId="66" fillId="7" borderId="238" applyNumberFormat="0" applyAlignment="0" applyProtection="0"/>
    <xf numFmtId="0" fontId="71" fillId="0" borderId="241" applyNumberFormat="0" applyFill="0" applyAlignment="0" applyProtection="0"/>
    <xf numFmtId="0" fontId="59" fillId="20" borderId="238" applyNumberFormat="0" applyAlignment="0" applyProtection="0"/>
    <xf numFmtId="0" fontId="59" fillId="20" borderId="238" applyNumberFormat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71" fillId="0" borderId="241" applyNumberFormat="0" applyFill="0" applyAlignment="0" applyProtection="0"/>
    <xf numFmtId="0" fontId="71" fillId="0" borderId="241" applyNumberFormat="0" applyFill="0" applyAlignment="0" applyProtection="0"/>
    <xf numFmtId="0" fontId="69" fillId="20" borderId="240" applyNumberFormat="0" applyAlignment="0" applyProtection="0"/>
    <xf numFmtId="0" fontId="16" fillId="23" borderId="239" applyNumberFormat="0" applyFont="0" applyAlignment="0" applyProtection="0"/>
    <xf numFmtId="0" fontId="66" fillId="7" borderId="238" applyNumberFormat="0" applyAlignment="0" applyProtection="0"/>
    <xf numFmtId="0" fontId="59" fillId="20" borderId="238" applyNumberFormat="0" applyAlignment="0" applyProtection="0"/>
    <xf numFmtId="0" fontId="93" fillId="0" borderId="0"/>
    <xf numFmtId="0" fontId="16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3" fillId="0" borderId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3" fillId="0" borderId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3" fillId="0" borderId="0"/>
    <xf numFmtId="0" fontId="69" fillId="20" borderId="244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3" fillId="0" borderId="0"/>
    <xf numFmtId="0" fontId="69" fillId="20" borderId="244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3" fillId="0" borderId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3" fillId="0" borderId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0" fontId="59" fillId="20" borderId="242" applyNumberFormat="0" applyAlignment="0" applyProtection="0"/>
    <xf numFmtId="0" fontId="59" fillId="20" borderId="242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3" fillId="0" borderId="0"/>
    <xf numFmtId="0" fontId="69" fillId="20" borderId="244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3" fillId="0" borderId="0"/>
    <xf numFmtId="0" fontId="69" fillId="20" borderId="244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3" fillId="0" borderId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69" fillId="20" borderId="244" applyNumberFormat="0" applyAlignment="0" applyProtection="0"/>
    <xf numFmtId="0" fontId="59" fillId="20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66" fillId="7" borderId="242" applyNumberFormat="0" applyAlignment="0" applyProtection="0"/>
    <xf numFmtId="0" fontId="16" fillId="23" borderId="243" applyNumberFormat="0" applyFont="0" applyAlignment="0" applyProtection="0"/>
    <xf numFmtId="0" fontId="69" fillId="20" borderId="244" applyNumberFormat="0" applyAlignment="0" applyProtection="0"/>
    <xf numFmtId="0" fontId="71" fillId="0" borderId="245" applyNumberFormat="0" applyFill="0" applyAlignment="0" applyProtection="0"/>
    <xf numFmtId="0" fontId="16" fillId="23" borderId="243" applyNumberFormat="0" applyFont="0" applyAlignment="0" applyProtection="0"/>
    <xf numFmtId="0" fontId="59" fillId="20" borderId="242" applyNumberFormat="0" applyAlignment="0" applyProtection="0"/>
    <xf numFmtId="0" fontId="66" fillId="7" borderId="242" applyNumberFormat="0" applyAlignment="0" applyProtection="0"/>
    <xf numFmtId="0" fontId="71" fillId="0" borderId="245" applyNumberFormat="0" applyFill="0" applyAlignment="0" applyProtection="0"/>
    <xf numFmtId="0" fontId="59" fillId="20" borderId="242" applyNumberFormat="0" applyAlignment="0" applyProtection="0"/>
    <xf numFmtId="0" fontId="59" fillId="20" borderId="242" applyNumberFormat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71" fillId="0" borderId="245" applyNumberFormat="0" applyFill="0" applyAlignment="0" applyProtection="0"/>
    <xf numFmtId="0" fontId="71" fillId="0" borderId="245" applyNumberFormat="0" applyFill="0" applyAlignment="0" applyProtection="0"/>
    <xf numFmtId="0" fontId="69" fillId="20" borderId="244" applyNumberFormat="0" applyAlignment="0" applyProtection="0"/>
    <xf numFmtId="0" fontId="16" fillId="23" borderId="243" applyNumberFormat="0" applyFont="0" applyAlignment="0" applyProtection="0"/>
    <xf numFmtId="0" fontId="66" fillId="7" borderId="242" applyNumberFormat="0" applyAlignment="0" applyProtection="0"/>
    <xf numFmtId="0" fontId="59" fillId="20" borderId="242" applyNumberFormat="0" applyAlignment="0" applyProtection="0"/>
    <xf numFmtId="0" fontId="16" fillId="0" borderId="0"/>
    <xf numFmtId="0" fontId="59" fillId="20" borderId="267" applyNumberFormat="0" applyAlignment="0" applyProtection="0"/>
    <xf numFmtId="0" fontId="66" fillId="7" borderId="267" applyNumberFormat="0" applyAlignment="0" applyProtection="0"/>
    <xf numFmtId="0" fontId="16" fillId="23" borderId="268" applyNumberFormat="0" applyFont="0" applyAlignment="0" applyProtection="0"/>
    <xf numFmtId="0" fontId="69" fillId="20" borderId="269" applyNumberFormat="0" applyAlignment="0" applyProtection="0"/>
    <xf numFmtId="0" fontId="71" fillId="0" borderId="270" applyNumberFormat="0" applyFill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1647">
    <xf numFmtId="0" fontId="0" fillId="0" borderId="0" xfId="0"/>
    <xf numFmtId="0" fontId="18" fillId="0" borderId="0" xfId="0" applyFont="1" applyBorder="1" applyAlignment="1" applyProtection="1">
      <alignment horizontal="center"/>
    </xf>
    <xf numFmtId="0" fontId="18" fillId="0" borderId="20" xfId="0" applyFont="1" applyFill="1" applyBorder="1" applyProtection="1"/>
    <xf numFmtId="0" fontId="18" fillId="0" borderId="21" xfId="0" applyFont="1" applyFill="1" applyBorder="1" applyProtection="1"/>
    <xf numFmtId="0" fontId="20" fillId="0" borderId="25" xfId="0" applyFont="1" applyBorder="1" applyAlignment="1" applyProtection="1">
      <alignment horizontal="center"/>
    </xf>
    <xf numFmtId="5" fontId="27" fillId="0" borderId="0" xfId="0" applyNumberFormat="1" applyFont="1" applyFill="1" applyBorder="1" applyProtection="1"/>
    <xf numFmtId="0" fontId="18" fillId="0" borderId="33" xfId="0" applyFont="1" applyFill="1" applyBorder="1" applyProtection="1"/>
    <xf numFmtId="0" fontId="18" fillId="0" borderId="34" xfId="0" applyFont="1" applyFill="1" applyBorder="1" applyProtection="1"/>
    <xf numFmtId="1" fontId="24" fillId="26" borderId="36" xfId="0" quotePrefix="1" applyNumberFormat="1" applyFont="1" applyFill="1" applyBorder="1" applyAlignment="1" applyProtection="1">
      <alignment horizontal="center"/>
    </xf>
    <xf numFmtId="5" fontId="18" fillId="0" borderId="35" xfId="0" applyNumberFormat="1" applyFont="1" applyFill="1" applyBorder="1" applyProtection="1"/>
    <xf numFmtId="6" fontId="18" fillId="0" borderId="35" xfId="0" applyNumberFormat="1" applyFont="1" applyFill="1" applyBorder="1" applyProtection="1"/>
    <xf numFmtId="0" fontId="20" fillId="0" borderId="0" xfId="0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right" vertical="center"/>
    </xf>
    <xf numFmtId="0" fontId="18" fillId="0" borderId="0" xfId="0" applyFont="1" applyFill="1" applyBorder="1" applyAlignment="1" applyProtection="1"/>
    <xf numFmtId="6" fontId="18" fillId="36" borderId="35" xfId="0" applyNumberFormat="1" applyFont="1" applyFill="1" applyBorder="1" applyProtection="1"/>
    <xf numFmtId="5" fontId="73" fillId="0" borderId="0" xfId="0" applyNumberFormat="1" applyFont="1" applyFill="1" applyBorder="1" applyProtection="1"/>
    <xf numFmtId="6" fontId="73" fillId="0" borderId="0" xfId="0" applyNumberFormat="1" applyFont="1" applyFill="1" applyBorder="1" applyProtection="1"/>
    <xf numFmtId="164" fontId="73" fillId="0" borderId="0" xfId="28" applyNumberFormat="1" applyFont="1" applyFill="1" applyBorder="1" applyProtection="1"/>
    <xf numFmtId="164" fontId="27" fillId="0" borderId="0" xfId="28" applyNumberFormat="1" applyFont="1" applyFill="1" applyBorder="1" applyProtection="1"/>
    <xf numFmtId="6" fontId="27" fillId="0" borderId="0" xfId="28" applyNumberFormat="1" applyFont="1" applyFill="1" applyBorder="1" applyProtection="1"/>
    <xf numFmtId="1" fontId="16" fillId="26" borderId="11" xfId="53" applyNumberFormat="1" applyFont="1" applyFill="1" applyBorder="1" applyAlignment="1" applyProtection="1">
      <alignment horizontal="center"/>
    </xf>
    <xf numFmtId="1" fontId="20" fillId="26" borderId="11" xfId="53" applyNumberFormat="1" applyFont="1" applyFill="1" applyBorder="1" applyAlignment="1" applyProtection="1">
      <alignment horizontal="center"/>
    </xf>
    <xf numFmtId="1" fontId="24" fillId="26" borderId="10" xfId="53" quotePrefix="1" applyNumberFormat="1" applyFont="1" applyFill="1" applyBorder="1" applyAlignment="1" applyProtection="1">
      <alignment horizontal="center"/>
    </xf>
    <xf numFmtId="165" fontId="16" fillId="0" borderId="44" xfId="53" applyNumberFormat="1" applyFont="1" applyFill="1" applyBorder="1" applyAlignment="1" applyProtection="1">
      <alignment horizontal="right"/>
    </xf>
    <xf numFmtId="165" fontId="16" fillId="0" borderId="46" xfId="53" applyNumberFormat="1" applyFont="1" applyFill="1" applyBorder="1" applyAlignment="1" applyProtection="1">
      <alignment horizontal="right"/>
    </xf>
    <xf numFmtId="165" fontId="16" fillId="0" borderId="42" xfId="53" applyNumberFormat="1" applyFont="1" applyFill="1" applyBorder="1" applyAlignment="1" applyProtection="1">
      <alignment horizontal="right"/>
    </xf>
    <xf numFmtId="171" fontId="27" fillId="34" borderId="39" xfId="54" applyNumberFormat="1" applyFont="1" applyFill="1" applyBorder="1" applyAlignment="1" applyProtection="1">
      <alignment horizontal="right"/>
    </xf>
    <xf numFmtId="165" fontId="27" fillId="0" borderId="40" xfId="54" applyNumberFormat="1" applyFont="1" applyFill="1" applyBorder="1" applyAlignment="1" applyProtection="1">
      <alignment horizontal="right"/>
    </xf>
    <xf numFmtId="1" fontId="31" fillId="26" borderId="15" xfId="53" applyNumberFormat="1" applyFont="1" applyFill="1" applyBorder="1" applyAlignment="1" applyProtection="1">
      <alignment horizontal="center"/>
    </xf>
    <xf numFmtId="1" fontId="83" fillId="26" borderId="15" xfId="53" applyNumberFormat="1" applyFont="1" applyFill="1" applyBorder="1" applyAlignment="1" applyProtection="1">
      <alignment horizontal="center"/>
    </xf>
    <xf numFmtId="165" fontId="20" fillId="0" borderId="48" xfId="53" applyNumberFormat="1" applyFont="1" applyFill="1" applyBorder="1" applyAlignment="1" applyProtection="1">
      <alignment horizontal="right"/>
    </xf>
    <xf numFmtId="165" fontId="16" fillId="34" borderId="44" xfId="53" applyNumberFormat="1" applyFont="1" applyFill="1" applyBorder="1" applyAlignment="1" applyProtection="1">
      <alignment horizontal="right"/>
    </xf>
    <xf numFmtId="165" fontId="16" fillId="34" borderId="46" xfId="53" applyNumberFormat="1" applyFont="1" applyFill="1" applyBorder="1" applyAlignment="1" applyProtection="1">
      <alignment horizontal="right"/>
    </xf>
    <xf numFmtId="165" fontId="16" fillId="34" borderId="42" xfId="53" applyNumberFormat="1" applyFont="1" applyFill="1" applyBorder="1" applyAlignment="1" applyProtection="1">
      <alignment horizontal="right"/>
    </xf>
    <xf numFmtId="165" fontId="27" fillId="34" borderId="40" xfId="54" applyNumberFormat="1" applyFont="1" applyFill="1" applyBorder="1" applyAlignment="1" applyProtection="1">
      <alignment horizontal="right"/>
    </xf>
    <xf numFmtId="6" fontId="27" fillId="34" borderId="40" xfId="54" applyNumberFormat="1" applyFont="1" applyFill="1" applyBorder="1" applyAlignment="1" applyProtection="1">
      <alignment horizontal="right"/>
    </xf>
    <xf numFmtId="6" fontId="27" fillId="34" borderId="39" xfId="54" applyNumberFormat="1" applyFont="1" applyFill="1" applyBorder="1" applyAlignment="1" applyProtection="1">
      <alignment horizontal="right"/>
    </xf>
    <xf numFmtId="3" fontId="16" fillId="34" borderId="43" xfId="53" applyNumberFormat="1" applyFont="1" applyFill="1" applyBorder="1" applyAlignment="1" applyProtection="1">
      <alignment horizontal="right"/>
    </xf>
    <xf numFmtId="3" fontId="16" fillId="34" borderId="45" xfId="53" applyNumberFormat="1" applyFont="1" applyFill="1" applyBorder="1" applyAlignment="1" applyProtection="1">
      <alignment horizontal="right"/>
    </xf>
    <xf numFmtId="3" fontId="16" fillId="34" borderId="41" xfId="53" applyNumberFormat="1" applyFont="1" applyFill="1" applyBorder="1" applyAlignment="1" applyProtection="1">
      <alignment horizontal="right"/>
    </xf>
    <xf numFmtId="5" fontId="18" fillId="0" borderId="0" xfId="0" applyNumberFormat="1" applyFont="1" applyFill="1" applyBorder="1" applyProtection="1"/>
    <xf numFmtId="6" fontId="18" fillId="0" borderId="0" xfId="0" applyNumberFormat="1" applyFont="1" applyFill="1" applyBorder="1" applyProtection="1"/>
    <xf numFmtId="6" fontId="18" fillId="0" borderId="56" xfId="0" applyNumberFormat="1" applyFont="1" applyFill="1" applyBorder="1" applyProtection="1"/>
    <xf numFmtId="1" fontId="24" fillId="0" borderId="0" xfId="0" applyNumberFormat="1" applyFont="1" applyFill="1" applyBorder="1" applyAlignment="1" applyProtection="1">
      <alignment horizontal="center"/>
    </xf>
    <xf numFmtId="6" fontId="18" fillId="0" borderId="57" xfId="0" applyNumberFormat="1" applyFont="1" applyFill="1" applyBorder="1" applyProtection="1"/>
    <xf numFmtId="1" fontId="83" fillId="26" borderId="116" xfId="53" applyNumberFormat="1" applyFont="1" applyFill="1" applyBorder="1" applyAlignment="1" applyProtection="1">
      <alignment horizontal="center"/>
    </xf>
    <xf numFmtId="1" fontId="83" fillId="26" borderId="62" xfId="53" applyNumberFormat="1" applyFont="1" applyFill="1" applyBorder="1" applyAlignment="1" applyProtection="1">
      <alignment horizontal="center"/>
    </xf>
    <xf numFmtId="1" fontId="83" fillId="26" borderId="104" xfId="53" applyNumberFormat="1" applyFont="1" applyFill="1" applyBorder="1" applyAlignment="1" applyProtection="1">
      <alignment horizontal="center"/>
    </xf>
    <xf numFmtId="1" fontId="83" fillId="26" borderId="76" xfId="53" applyNumberFormat="1" applyFont="1" applyFill="1" applyBorder="1" applyAlignment="1" applyProtection="1">
      <alignment horizontal="center"/>
    </xf>
    <xf numFmtId="1" fontId="83" fillId="26" borderId="86" xfId="53" applyNumberFormat="1" applyFont="1" applyFill="1" applyBorder="1" applyAlignment="1" applyProtection="1">
      <alignment horizontal="center"/>
    </xf>
    <xf numFmtId="1" fontId="83" fillId="26" borderId="118" xfId="53" applyNumberFormat="1" applyFont="1" applyFill="1" applyBorder="1" applyAlignment="1" applyProtection="1">
      <alignment horizontal="center"/>
    </xf>
    <xf numFmtId="1" fontId="83" fillId="26" borderId="126" xfId="53" applyNumberFormat="1" applyFont="1" applyFill="1" applyBorder="1" applyAlignment="1" applyProtection="1">
      <alignment horizontal="center"/>
    </xf>
    <xf numFmtId="1" fontId="83" fillId="26" borderId="146" xfId="53" applyNumberFormat="1" applyFont="1" applyFill="1" applyBorder="1" applyAlignment="1" applyProtection="1">
      <alignment horizontal="center"/>
    </xf>
    <xf numFmtId="5" fontId="18" fillId="0" borderId="57" xfId="0" applyNumberFormat="1" applyFont="1" applyFill="1" applyBorder="1" applyProtection="1"/>
    <xf numFmtId="1" fontId="83" fillId="26" borderId="166" xfId="53" applyNumberFormat="1" applyFont="1" applyFill="1" applyBorder="1" applyAlignment="1" applyProtection="1">
      <alignment horizontal="center"/>
    </xf>
    <xf numFmtId="6" fontId="27" fillId="36" borderId="151" xfId="54" applyNumberFormat="1" applyFont="1" applyFill="1" applyBorder="1" applyAlignment="1" applyProtection="1">
      <alignment horizontal="right"/>
    </xf>
    <xf numFmtId="1" fontId="18" fillId="26" borderId="232" xfId="0" applyNumberFormat="1" applyFont="1" applyFill="1" applyBorder="1" applyAlignment="1" applyProtection="1">
      <alignment horizontal="center" vertical="center"/>
    </xf>
    <xf numFmtId="1" fontId="20" fillId="26" borderId="33" xfId="0" applyNumberFormat="1" applyFont="1" applyFill="1" applyBorder="1" applyAlignment="1" applyProtection="1">
      <alignment horizontal="center" vertical="center"/>
    </xf>
    <xf numFmtId="1" fontId="24" fillId="26" borderId="57" xfId="0" applyNumberFormat="1" applyFont="1" applyFill="1" applyBorder="1" applyAlignment="1" applyProtection="1">
      <alignment horizontal="center" vertical="center"/>
    </xf>
    <xf numFmtId="6" fontId="27" fillId="36" borderId="127" xfId="54" applyNumberFormat="1" applyFont="1" applyFill="1" applyBorder="1" applyAlignment="1" applyProtection="1">
      <alignment horizontal="right"/>
    </xf>
    <xf numFmtId="6" fontId="27" fillId="36" borderId="114" xfId="54" applyNumberFormat="1" applyFont="1" applyFill="1" applyBorder="1" applyAlignment="1" applyProtection="1">
      <alignment horizontal="right"/>
    </xf>
    <xf numFmtId="6" fontId="27" fillId="36" borderId="65" xfId="54" applyNumberFormat="1" applyFont="1" applyFill="1" applyBorder="1" applyAlignment="1" applyProtection="1">
      <alignment horizontal="right"/>
    </xf>
    <xf numFmtId="6" fontId="27" fillId="36" borderId="144" xfId="54" applyNumberFormat="1" applyFont="1" applyFill="1" applyBorder="1" applyAlignment="1" applyProtection="1">
      <alignment horizontal="right"/>
    </xf>
    <xf numFmtId="6" fontId="16" fillId="0" borderId="42" xfId="54" applyNumberFormat="1" applyFont="1" applyFill="1" applyBorder="1" applyAlignment="1" applyProtection="1">
      <alignment horizontal="right"/>
    </xf>
    <xf numFmtId="6" fontId="16" fillId="0" borderId="42" xfId="53" applyNumberFormat="1" applyFont="1" applyFill="1" applyBorder="1" applyAlignment="1" applyProtection="1">
      <alignment horizontal="right"/>
    </xf>
    <xf numFmtId="6" fontId="27" fillId="0" borderId="40" xfId="54" applyNumberFormat="1" applyFont="1" applyFill="1" applyBorder="1" applyAlignment="1" applyProtection="1">
      <alignment horizontal="right"/>
    </xf>
    <xf numFmtId="6" fontId="16" fillId="0" borderId="63" xfId="53" applyNumberFormat="1" applyFont="1" applyFill="1" applyBorder="1" applyAlignment="1" applyProtection="1">
      <alignment horizontal="right"/>
    </xf>
    <xf numFmtId="6" fontId="16" fillId="0" borderId="64" xfId="53" applyNumberFormat="1" applyFont="1" applyFill="1" applyBorder="1" applyAlignment="1" applyProtection="1">
      <alignment horizontal="right"/>
    </xf>
    <xf numFmtId="6" fontId="27" fillId="0" borderId="65" xfId="54" applyNumberFormat="1" applyFont="1" applyFill="1" applyBorder="1" applyAlignment="1" applyProtection="1">
      <alignment horizontal="right"/>
    </xf>
    <xf numFmtId="6" fontId="27" fillId="0" borderId="151" xfId="54" applyNumberFormat="1" applyFont="1" applyFill="1" applyBorder="1" applyAlignment="1" applyProtection="1">
      <alignment horizontal="right"/>
    </xf>
    <xf numFmtId="6" fontId="27" fillId="0" borderId="127" xfId="54" applyNumberFormat="1" applyFont="1" applyFill="1" applyBorder="1" applyAlignment="1" applyProtection="1">
      <alignment horizontal="right"/>
    </xf>
    <xf numFmtId="6" fontId="27" fillId="0" borderId="114" xfId="54" applyNumberFormat="1" applyFont="1" applyFill="1" applyBorder="1" applyAlignment="1" applyProtection="1">
      <alignment horizontal="right"/>
    </xf>
    <xf numFmtId="6" fontId="27" fillId="0" borderId="84" xfId="54" applyNumberFormat="1" applyFont="1" applyFill="1" applyBorder="1" applyAlignment="1" applyProtection="1">
      <alignment horizontal="right"/>
    </xf>
    <xf numFmtId="38" fontId="27" fillId="0" borderId="144" xfId="54" applyNumberFormat="1" applyFont="1" applyFill="1" applyBorder="1" applyAlignment="1" applyProtection="1">
      <alignment horizontal="right"/>
    </xf>
    <xf numFmtId="6" fontId="27" fillId="0" borderId="144" xfId="54" applyNumberFormat="1" applyFont="1" applyFill="1" applyBorder="1" applyAlignment="1" applyProtection="1">
      <alignment horizontal="right"/>
    </xf>
    <xf numFmtId="6" fontId="27" fillId="0" borderId="124" xfId="54" applyNumberFormat="1" applyFont="1" applyFill="1" applyBorder="1" applyAlignment="1" applyProtection="1">
      <alignment horizontal="right"/>
    </xf>
    <xf numFmtId="38" fontId="27" fillId="0" borderId="117" xfId="54" applyNumberFormat="1" applyFont="1" applyFill="1" applyBorder="1" applyAlignment="1" applyProtection="1">
      <alignment horizontal="right"/>
    </xf>
    <xf numFmtId="6" fontId="27" fillId="0" borderId="117" xfId="54" applyNumberFormat="1" applyFont="1" applyFill="1" applyBorder="1" applyAlignment="1" applyProtection="1">
      <alignment horizontal="right"/>
    </xf>
    <xf numFmtId="6" fontId="16" fillId="0" borderId="222" xfId="54" applyNumberFormat="1" applyFont="1" applyFill="1" applyBorder="1" applyAlignment="1" applyProtection="1">
      <alignment horizontal="right"/>
    </xf>
    <xf numFmtId="6" fontId="16" fillId="0" borderId="82" xfId="53" applyNumberFormat="1" applyFont="1" applyFill="1" applyBorder="1" applyAlignment="1" applyProtection="1">
      <alignment horizontal="right"/>
    </xf>
    <xf numFmtId="6" fontId="16" fillId="0" borderId="83" xfId="53" applyNumberFormat="1" applyFont="1" applyFill="1" applyBorder="1" applyAlignment="1" applyProtection="1">
      <alignment horizontal="right"/>
    </xf>
    <xf numFmtId="6" fontId="27" fillId="0" borderId="81" xfId="54" applyNumberFormat="1" applyFont="1" applyFill="1" applyBorder="1" applyAlignment="1" applyProtection="1">
      <alignment horizontal="right"/>
    </xf>
    <xf numFmtId="6" fontId="20" fillId="0" borderId="48" xfId="53" applyNumberFormat="1" applyFont="1" applyFill="1" applyBorder="1" applyAlignment="1" applyProtection="1">
      <alignment horizontal="right"/>
    </xf>
    <xf numFmtId="6" fontId="27" fillId="0" borderId="119" xfId="54" applyNumberFormat="1" applyFont="1" applyFill="1" applyBorder="1" applyAlignment="1" applyProtection="1">
      <alignment horizontal="right"/>
    </xf>
    <xf numFmtId="6" fontId="27" fillId="0" borderId="39" xfId="54" applyNumberFormat="1" applyFont="1" applyFill="1" applyBorder="1" applyAlignment="1" applyProtection="1">
      <alignment horizontal="right"/>
    </xf>
    <xf numFmtId="6" fontId="27" fillId="0" borderId="109" xfId="54" applyNumberFormat="1" applyFont="1" applyFill="1" applyBorder="1" applyAlignment="1" applyProtection="1">
      <alignment horizontal="right"/>
    </xf>
    <xf numFmtId="165" fontId="27" fillId="0" borderId="151" xfId="54" applyNumberFormat="1" applyFont="1" applyFill="1" applyBorder="1" applyAlignment="1" applyProtection="1">
      <alignment horizontal="right"/>
    </xf>
    <xf numFmtId="165" fontId="27" fillId="0" borderId="39" xfId="54" applyNumberFormat="1" applyFont="1" applyFill="1" applyBorder="1" applyAlignment="1" applyProtection="1">
      <alignment horizontal="right"/>
    </xf>
    <xf numFmtId="0" fontId="16" fillId="0" borderId="249" xfId="64" applyFont="1" applyFill="1" applyBorder="1" applyAlignment="1" applyProtection="1">
      <alignment horizontal="left"/>
    </xf>
    <xf numFmtId="0" fontId="27" fillId="28" borderId="38" xfId="64" applyFont="1" applyFill="1" applyBorder="1" applyAlignment="1" applyProtection="1"/>
    <xf numFmtId="0" fontId="27" fillId="39" borderId="251" xfId="64" applyFont="1" applyFill="1" applyBorder="1" applyAlignment="1" applyProtection="1">
      <alignment horizontal="left"/>
    </xf>
    <xf numFmtId="0" fontId="27" fillId="39" borderId="253" xfId="64" applyFont="1" applyFill="1" applyBorder="1" applyAlignment="1" applyProtection="1">
      <alignment horizontal="left"/>
    </xf>
    <xf numFmtId="0" fontId="27" fillId="28" borderId="251" xfId="64" applyFont="1" applyFill="1" applyBorder="1" applyAlignment="1" applyProtection="1">
      <alignment horizontal="left"/>
    </xf>
    <xf numFmtId="0" fontId="16" fillId="34" borderId="248" xfId="64" applyNumberFormat="1" applyFont="1" applyFill="1" applyBorder="1" applyAlignment="1" applyProtection="1">
      <alignment horizontal="left"/>
    </xf>
    <xf numFmtId="0" fontId="27" fillId="28" borderId="25" xfId="64" applyFont="1" applyFill="1" applyBorder="1" applyAlignment="1" applyProtection="1">
      <alignment horizontal="left"/>
    </xf>
    <xf numFmtId="6" fontId="73" fillId="0" borderId="0" xfId="0" applyNumberFormat="1" applyFont="1" applyFill="1" applyBorder="1" applyAlignment="1" applyProtection="1">
      <alignment vertical="top" wrapText="1"/>
    </xf>
    <xf numFmtId="1" fontId="18" fillId="26" borderId="255" xfId="0" applyNumberFormat="1" applyFont="1" applyFill="1" applyBorder="1" applyAlignment="1" applyProtection="1">
      <alignment horizontal="center"/>
    </xf>
    <xf numFmtId="1" fontId="20" fillId="26" borderId="255" xfId="0" applyNumberFormat="1" applyFont="1" applyFill="1" applyBorder="1" applyAlignment="1" applyProtection="1">
      <alignment horizontal="center"/>
    </xf>
    <xf numFmtId="1" fontId="24" fillId="26" borderId="255" xfId="0" applyNumberFormat="1" applyFont="1" applyFill="1" applyBorder="1" applyAlignment="1" applyProtection="1">
      <alignment horizontal="center"/>
    </xf>
    <xf numFmtId="1" fontId="20" fillId="26" borderId="255" xfId="0" applyNumberFormat="1" applyFont="1" applyFill="1" applyBorder="1" applyAlignment="1" applyProtection="1">
      <alignment horizontal="center" vertical="center"/>
    </xf>
    <xf numFmtId="1" fontId="18" fillId="26" borderId="255" xfId="0" applyNumberFormat="1" applyFont="1" applyFill="1" applyBorder="1" applyAlignment="1" applyProtection="1">
      <alignment horizontal="center" vertical="center"/>
    </xf>
    <xf numFmtId="1" fontId="24" fillId="26" borderId="255" xfId="0" applyNumberFormat="1" applyFont="1" applyFill="1" applyBorder="1" applyAlignment="1" applyProtection="1">
      <alignment horizontal="center" vertical="center"/>
    </xf>
    <xf numFmtId="6" fontId="18" fillId="36" borderId="57" xfId="0" applyNumberFormat="1" applyFont="1" applyFill="1" applyBorder="1" applyProtection="1"/>
    <xf numFmtId="1" fontId="24" fillId="26" borderId="255" xfId="0" applyNumberFormat="1" applyFont="1" applyFill="1" applyBorder="1" applyAlignment="1" applyProtection="1">
      <alignment horizontal="center" vertical="center" wrapText="1"/>
    </xf>
    <xf numFmtId="6" fontId="16" fillId="0" borderId="35" xfId="0" applyNumberFormat="1" applyFont="1" applyFill="1" applyBorder="1" applyProtection="1"/>
    <xf numFmtId="164" fontId="16" fillId="0" borderId="35" xfId="28" applyNumberFormat="1" applyFont="1" applyFill="1" applyBorder="1" applyProtection="1"/>
    <xf numFmtId="165" fontId="16" fillId="0" borderId="35" xfId="28" applyNumberFormat="1" applyFont="1" applyFill="1" applyBorder="1" applyProtection="1"/>
    <xf numFmtId="5" fontId="16" fillId="0" borderId="35" xfId="0" applyNumberFormat="1" applyFont="1" applyFill="1" applyBorder="1" applyProtection="1"/>
    <xf numFmtId="1" fontId="18" fillId="26" borderId="255" xfId="0" applyNumberFormat="1" applyFont="1" applyFill="1" applyBorder="1" applyProtection="1"/>
    <xf numFmtId="1" fontId="20" fillId="26" borderId="255" xfId="0" applyNumberFormat="1" applyFont="1" applyFill="1" applyBorder="1" applyProtection="1"/>
    <xf numFmtId="5" fontId="16" fillId="0" borderId="57" xfId="0" applyNumberFormat="1" applyFont="1" applyFill="1" applyBorder="1" applyProtection="1"/>
    <xf numFmtId="0" fontId="27" fillId="25" borderId="233" xfId="0" applyFont="1" applyFill="1" applyBorder="1" applyAlignment="1" applyProtection="1">
      <alignment horizontal="center" vertical="center" wrapText="1"/>
    </xf>
    <xf numFmtId="1" fontId="24" fillId="26" borderId="273" xfId="0" applyNumberFormat="1" applyFont="1" applyFill="1" applyBorder="1" applyAlignment="1" applyProtection="1">
      <alignment horizontal="center"/>
    </xf>
    <xf numFmtId="1" fontId="83" fillId="26" borderId="273" xfId="53" applyNumberFormat="1" applyFont="1" applyFill="1" applyBorder="1" applyAlignment="1" applyProtection="1">
      <alignment horizontal="center"/>
    </xf>
    <xf numFmtId="1" fontId="24" fillId="26" borderId="260" xfId="53" quotePrefix="1" applyNumberFormat="1" applyFont="1" applyFill="1" applyBorder="1" applyAlignment="1" applyProtection="1">
      <alignment horizontal="center"/>
    </xf>
    <xf numFmtId="165" fontId="27" fillId="0" borderId="65" xfId="54" applyNumberFormat="1" applyFont="1" applyFill="1" applyBorder="1" applyAlignment="1" applyProtection="1">
      <alignment horizontal="right"/>
    </xf>
    <xf numFmtId="6" fontId="27" fillId="0" borderId="282" xfId="54" applyNumberFormat="1" applyFont="1" applyFill="1" applyBorder="1" applyAlignment="1" applyProtection="1">
      <alignment horizontal="right"/>
    </xf>
    <xf numFmtId="6" fontId="20" fillId="0" borderId="47" xfId="53" applyNumberFormat="1" applyFont="1" applyFill="1" applyBorder="1" applyAlignment="1" applyProtection="1">
      <alignment horizontal="right"/>
    </xf>
    <xf numFmtId="1" fontId="83" fillId="26" borderId="263" xfId="53" applyNumberFormat="1" applyFont="1" applyFill="1" applyBorder="1" applyAlignment="1" applyProtection="1">
      <alignment horizontal="center"/>
    </xf>
    <xf numFmtId="6" fontId="16" fillId="0" borderId="50" xfId="53" applyNumberFormat="1" applyFont="1" applyFill="1" applyBorder="1" applyAlignment="1" applyProtection="1">
      <alignment horizontal="right"/>
    </xf>
    <xf numFmtId="6" fontId="16" fillId="0" borderId="51" xfId="53" applyNumberFormat="1" applyFont="1" applyFill="1" applyBorder="1" applyAlignment="1" applyProtection="1">
      <alignment horizontal="right"/>
    </xf>
    <xf numFmtId="6" fontId="16" fillId="0" borderId="285" xfId="53" applyNumberFormat="1" applyFont="1" applyFill="1" applyBorder="1" applyAlignment="1" applyProtection="1">
      <alignment horizontal="right"/>
    </xf>
    <xf numFmtId="6" fontId="27" fillId="34" borderId="266" xfId="54" applyNumberFormat="1" applyFont="1" applyFill="1" applyBorder="1" applyAlignment="1" applyProtection="1">
      <alignment horizontal="right"/>
    </xf>
    <xf numFmtId="6" fontId="27" fillId="0" borderId="266" xfId="54" applyNumberFormat="1" applyFont="1" applyFill="1" applyBorder="1" applyAlignment="1" applyProtection="1">
      <alignment horizontal="right"/>
    </xf>
    <xf numFmtId="6" fontId="16" fillId="37" borderId="42" xfId="53" applyNumberFormat="1" applyFont="1" applyFill="1" applyBorder="1" applyAlignment="1" applyProtection="1">
      <alignment horizontal="right"/>
    </xf>
    <xf numFmtId="6" fontId="16" fillId="37" borderId="63" xfId="53" applyNumberFormat="1" applyFont="1" applyFill="1" applyBorder="1" applyAlignment="1" applyProtection="1">
      <alignment horizontal="right"/>
    </xf>
    <xf numFmtId="6" fontId="16" fillId="37" borderId="64" xfId="53" applyNumberFormat="1" applyFont="1" applyFill="1" applyBorder="1" applyAlignment="1" applyProtection="1">
      <alignment horizontal="right"/>
    </xf>
    <xf numFmtId="165" fontId="27" fillId="0" borderId="287" xfId="54" applyNumberFormat="1" applyFont="1" applyFill="1" applyBorder="1" applyAlignment="1" applyProtection="1">
      <alignment horizontal="right"/>
    </xf>
    <xf numFmtId="165" fontId="27" fillId="34" borderId="287" xfId="54" applyNumberFormat="1" applyFont="1" applyFill="1" applyBorder="1" applyAlignment="1" applyProtection="1">
      <alignment horizontal="right"/>
    </xf>
    <xf numFmtId="6" fontId="27" fillId="34" borderId="287" xfId="54" applyNumberFormat="1" applyFont="1" applyFill="1" applyBorder="1" applyAlignment="1" applyProtection="1">
      <alignment horizontal="right"/>
    </xf>
    <xf numFmtId="165" fontId="20" fillId="0" borderId="281" xfId="53" applyNumberFormat="1" applyFont="1" applyFill="1" applyBorder="1" applyAlignment="1" applyProtection="1">
      <alignment horizontal="right"/>
    </xf>
    <xf numFmtId="6" fontId="27" fillId="34" borderId="286" xfId="54" applyNumberFormat="1" applyFont="1" applyFill="1" applyBorder="1" applyAlignment="1" applyProtection="1">
      <alignment horizontal="right"/>
    </xf>
    <xf numFmtId="6" fontId="27" fillId="0" borderId="287" xfId="54" applyNumberFormat="1" applyFont="1" applyFill="1" applyBorder="1" applyAlignment="1" applyProtection="1">
      <alignment horizontal="right"/>
    </xf>
    <xf numFmtId="6" fontId="27" fillId="0" borderId="286" xfId="54" applyNumberFormat="1" applyFont="1" applyFill="1" applyBorder="1" applyAlignment="1" applyProtection="1">
      <alignment horizontal="right"/>
    </xf>
    <xf numFmtId="165" fontId="27" fillId="0" borderId="286" xfId="54" applyNumberFormat="1" applyFont="1" applyFill="1" applyBorder="1" applyAlignment="1" applyProtection="1">
      <alignment horizontal="right"/>
    </xf>
    <xf numFmtId="38" fontId="27" fillId="0" borderId="286" xfId="54" applyNumberFormat="1" applyFont="1" applyFill="1" applyBorder="1" applyAlignment="1" applyProtection="1">
      <alignment horizontal="right"/>
    </xf>
    <xf numFmtId="6" fontId="20" fillId="0" borderId="281" xfId="53" applyNumberFormat="1" applyFont="1" applyFill="1" applyBorder="1" applyAlignment="1" applyProtection="1">
      <alignment horizontal="right"/>
    </xf>
    <xf numFmtId="0" fontId="27" fillId="28" borderId="274" xfId="64" applyFont="1" applyFill="1" applyBorder="1" applyAlignment="1" applyProtection="1">
      <alignment horizontal="left"/>
    </xf>
    <xf numFmtId="1" fontId="24" fillId="26" borderId="0" xfId="0" applyNumberFormat="1" applyFont="1" applyFill="1" applyBorder="1" applyAlignment="1" applyProtection="1">
      <alignment horizontal="center"/>
    </xf>
    <xf numFmtId="1" fontId="16" fillId="26" borderId="291" xfId="64" applyNumberFormat="1" applyFont="1" applyFill="1" applyBorder="1" applyAlignment="1" applyProtection="1">
      <alignment horizontal="center"/>
    </xf>
    <xf numFmtId="0" fontId="16" fillId="0" borderId="27" xfId="64" applyFont="1" applyFill="1" applyBorder="1" applyAlignment="1" applyProtection="1">
      <alignment horizontal="center"/>
    </xf>
    <xf numFmtId="0" fontId="16" fillId="0" borderId="32" xfId="64" applyFont="1" applyFill="1" applyBorder="1" applyProtection="1"/>
    <xf numFmtId="0" fontId="20" fillId="0" borderId="286" xfId="64" applyFont="1" applyFill="1" applyBorder="1" applyAlignment="1" applyProtection="1">
      <alignment horizontal="center"/>
    </xf>
    <xf numFmtId="0" fontId="27" fillId="24" borderId="287" xfId="64" applyFont="1" applyFill="1" applyBorder="1" applyAlignment="1" applyProtection="1">
      <alignment horizontal="left"/>
    </xf>
    <xf numFmtId="0" fontId="16" fillId="0" borderId="286" xfId="64" applyFont="1" applyFill="1" applyBorder="1" applyAlignment="1" applyProtection="1">
      <alignment horizontal="center"/>
    </xf>
    <xf numFmtId="1" fontId="20" fillId="26" borderId="291" xfId="64" applyNumberFormat="1" applyFont="1" applyFill="1" applyBorder="1" applyProtection="1"/>
    <xf numFmtId="1" fontId="24" fillId="26" borderId="291" xfId="64" quotePrefix="1" applyNumberFormat="1" applyFont="1" applyFill="1" applyBorder="1" applyAlignment="1" applyProtection="1">
      <alignment horizontal="center"/>
    </xf>
    <xf numFmtId="0" fontId="16" fillId="0" borderId="32" xfId="64" applyFont="1" applyFill="1" applyBorder="1" applyAlignment="1" applyProtection="1">
      <alignment wrapText="1"/>
    </xf>
    <xf numFmtId="1" fontId="18" fillId="26" borderId="291" xfId="0" applyNumberFormat="1" applyFont="1" applyFill="1" applyBorder="1" applyAlignment="1" applyProtection="1">
      <alignment horizontal="center"/>
    </xf>
    <xf numFmtId="1" fontId="20" fillId="26" borderId="291" xfId="0" applyNumberFormat="1" applyFont="1" applyFill="1" applyBorder="1" applyAlignment="1" applyProtection="1">
      <alignment horizontal="center"/>
    </xf>
    <xf numFmtId="1" fontId="24" fillId="26" borderId="291" xfId="0" quotePrefix="1" applyNumberFormat="1" applyFont="1" applyFill="1" applyBorder="1" applyAlignment="1" applyProtection="1">
      <alignment horizontal="center"/>
    </xf>
    <xf numFmtId="1" fontId="18" fillId="26" borderId="57" xfId="0" applyNumberFormat="1" applyFont="1" applyFill="1" applyBorder="1" applyAlignment="1" applyProtection="1">
      <alignment horizontal="center"/>
    </xf>
    <xf numFmtId="1" fontId="20" fillId="26" borderId="57" xfId="0" applyNumberFormat="1" applyFont="1" applyFill="1" applyBorder="1" applyAlignment="1" applyProtection="1">
      <alignment horizontal="center"/>
    </xf>
    <xf numFmtId="1" fontId="24" fillId="26" borderId="57" xfId="0" applyNumberFormat="1" applyFont="1" applyFill="1" applyBorder="1" applyAlignment="1" applyProtection="1">
      <alignment horizontal="center"/>
    </xf>
    <xf numFmtId="1" fontId="24" fillId="26" borderId="57" xfId="0" applyNumberFormat="1" applyFont="1" applyFill="1" applyBorder="1" applyAlignment="1" applyProtection="1">
      <alignment horizontal="center" wrapText="1"/>
    </xf>
    <xf numFmtId="1" fontId="24" fillId="26" borderId="25" xfId="0" applyNumberFormat="1" applyFont="1" applyFill="1" applyBorder="1" applyAlignment="1" applyProtection="1">
      <alignment horizontal="center"/>
    </xf>
    <xf numFmtId="1" fontId="24" fillId="26" borderId="25" xfId="0" applyNumberFormat="1" applyFont="1" applyFill="1" applyBorder="1" applyAlignment="1" applyProtection="1">
      <alignment horizontal="center" wrapText="1"/>
    </xf>
    <xf numFmtId="0" fontId="18" fillId="0" borderId="27" xfId="0" applyFont="1" applyFill="1" applyBorder="1" applyProtection="1"/>
    <xf numFmtId="0" fontId="18" fillId="0" borderId="300" xfId="0" applyFont="1" applyFill="1" applyBorder="1" applyProtection="1"/>
    <xf numFmtId="171" fontId="18" fillId="34" borderId="300" xfId="30" applyNumberFormat="1" applyFont="1" applyFill="1" applyBorder="1" applyAlignment="1" applyProtection="1">
      <alignment horizontal="right"/>
    </xf>
    <xf numFmtId="165" fontId="18" fillId="0" borderId="249" xfId="30" applyNumberFormat="1" applyFont="1" applyFill="1" applyBorder="1" applyAlignment="1" applyProtection="1">
      <alignment horizontal="right"/>
    </xf>
    <xf numFmtId="6" fontId="18" fillId="0" borderId="249" xfId="30" applyNumberFormat="1" applyFont="1" applyFill="1" applyBorder="1" applyAlignment="1" applyProtection="1">
      <alignment horizontal="right"/>
    </xf>
    <xf numFmtId="165" fontId="18" fillId="0" borderId="284" xfId="0" applyNumberFormat="1" applyFont="1" applyFill="1" applyBorder="1" applyAlignment="1" applyProtection="1">
      <alignment horizontal="right"/>
    </xf>
    <xf numFmtId="3" fontId="18" fillId="34" borderId="300" xfId="30" applyNumberFormat="1" applyFont="1" applyFill="1" applyBorder="1" applyAlignment="1" applyProtection="1">
      <alignment horizontal="right"/>
    </xf>
    <xf numFmtId="165" fontId="18" fillId="0" borderId="300" xfId="0" applyNumberFormat="1" applyFont="1" applyFill="1" applyBorder="1" applyAlignment="1" applyProtection="1">
      <alignment horizontal="right"/>
    </xf>
    <xf numFmtId="6" fontId="18" fillId="0" borderId="300" xfId="0" applyNumberFormat="1" applyFont="1" applyFill="1" applyBorder="1" applyAlignment="1" applyProtection="1">
      <alignment horizontal="right"/>
    </xf>
    <xf numFmtId="0" fontId="18" fillId="0" borderId="302" xfId="0" applyFont="1" applyFill="1" applyBorder="1" applyProtection="1"/>
    <xf numFmtId="171" fontId="18" fillId="34" borderId="302" xfId="30" applyNumberFormat="1" applyFont="1" applyFill="1" applyBorder="1" applyAlignment="1" applyProtection="1">
      <alignment horizontal="right"/>
    </xf>
    <xf numFmtId="165" fontId="18" fillId="0" borderId="303" xfId="30" applyNumberFormat="1" applyFont="1" applyFill="1" applyBorder="1" applyAlignment="1" applyProtection="1">
      <alignment horizontal="right"/>
    </xf>
    <xf numFmtId="6" fontId="18" fillId="0" borderId="303" xfId="30" applyNumberFormat="1" applyFont="1" applyFill="1" applyBorder="1" applyAlignment="1" applyProtection="1">
      <alignment horizontal="right"/>
    </xf>
    <xf numFmtId="165" fontId="16" fillId="0" borderId="303" xfId="30" applyNumberFormat="1" applyFont="1" applyFill="1" applyBorder="1" applyAlignment="1" applyProtection="1">
      <alignment horizontal="right"/>
    </xf>
    <xf numFmtId="165" fontId="18" fillId="0" borderId="301" xfId="0" applyNumberFormat="1" applyFont="1" applyFill="1" applyBorder="1" applyAlignment="1" applyProtection="1">
      <alignment horizontal="right"/>
    </xf>
    <xf numFmtId="3" fontId="18" fillId="34" borderId="302" xfId="30" applyNumberFormat="1" applyFont="1" applyFill="1" applyBorder="1" applyAlignment="1" applyProtection="1">
      <alignment horizontal="right"/>
    </xf>
    <xf numFmtId="165" fontId="18" fillId="0" borderId="302" xfId="0" applyNumberFormat="1" applyFont="1" applyFill="1" applyBorder="1" applyAlignment="1" applyProtection="1">
      <alignment horizontal="right"/>
    </xf>
    <xf numFmtId="6" fontId="18" fillId="0" borderId="302" xfId="0" applyNumberFormat="1" applyFont="1" applyFill="1" applyBorder="1" applyAlignment="1" applyProtection="1">
      <alignment horizontal="right"/>
    </xf>
    <xf numFmtId="0" fontId="18" fillId="0" borderId="305" xfId="0" applyFont="1" applyFill="1" applyBorder="1" applyProtection="1"/>
    <xf numFmtId="171" fontId="18" fillId="34" borderId="305" xfId="30" applyNumberFormat="1" applyFont="1" applyFill="1" applyBorder="1" applyAlignment="1" applyProtection="1">
      <alignment horizontal="right"/>
    </xf>
    <xf numFmtId="165" fontId="18" fillId="0" borderId="306" xfId="30" applyNumberFormat="1" applyFont="1" applyFill="1" applyBorder="1" applyAlignment="1" applyProtection="1">
      <alignment horizontal="right"/>
    </xf>
    <xf numFmtId="6" fontId="18" fillId="0" borderId="306" xfId="30" applyNumberFormat="1" applyFont="1" applyFill="1" applyBorder="1" applyAlignment="1" applyProtection="1">
      <alignment horizontal="right"/>
    </xf>
    <xf numFmtId="165" fontId="18" fillId="0" borderId="304" xfId="0" applyNumberFormat="1" applyFont="1" applyFill="1" applyBorder="1" applyAlignment="1" applyProtection="1">
      <alignment horizontal="right"/>
    </xf>
    <xf numFmtId="3" fontId="18" fillId="34" borderId="305" xfId="30" applyNumberFormat="1" applyFont="1" applyFill="1" applyBorder="1" applyAlignment="1" applyProtection="1">
      <alignment horizontal="right"/>
    </xf>
    <xf numFmtId="165" fontId="18" fillId="0" borderId="305" xfId="0" applyNumberFormat="1" applyFont="1" applyFill="1" applyBorder="1" applyAlignment="1" applyProtection="1">
      <alignment horizontal="right"/>
    </xf>
    <xf numFmtId="6" fontId="18" fillId="0" borderId="305" xfId="0" applyNumberFormat="1" applyFont="1" applyFill="1" applyBorder="1" applyAlignment="1" applyProtection="1">
      <alignment horizontal="right"/>
    </xf>
    <xf numFmtId="0" fontId="18" fillId="0" borderId="307" xfId="0" applyFont="1" applyFill="1" applyBorder="1" applyProtection="1"/>
    <xf numFmtId="0" fontId="18" fillId="0" borderId="308" xfId="0" applyFont="1" applyFill="1" applyBorder="1" applyProtection="1"/>
    <xf numFmtId="3" fontId="16" fillId="34" borderId="316" xfId="53" applyNumberFormat="1" applyFont="1" applyFill="1" applyBorder="1" applyAlignment="1" applyProtection="1">
      <alignment horizontal="right"/>
    </xf>
    <xf numFmtId="0" fontId="18" fillId="0" borderId="318" xfId="0" applyFont="1" applyFill="1" applyBorder="1" applyProtection="1"/>
    <xf numFmtId="1" fontId="16" fillId="26" borderId="291" xfId="53" applyNumberFormat="1" applyFont="1" applyFill="1" applyBorder="1" applyAlignment="1" applyProtection="1">
      <alignment horizontal="center"/>
    </xf>
    <xf numFmtId="1" fontId="20" fillId="26" borderId="291" xfId="53" applyNumberFormat="1" applyFont="1" applyFill="1" applyBorder="1" applyAlignment="1" applyProtection="1">
      <alignment horizontal="center"/>
    </xf>
    <xf numFmtId="1" fontId="24" fillId="26" borderId="291" xfId="53" quotePrefix="1" applyNumberFormat="1" applyFont="1" applyFill="1" applyBorder="1" applyAlignment="1" applyProtection="1">
      <alignment horizontal="center"/>
    </xf>
    <xf numFmtId="0" fontId="16" fillId="0" borderId="27" xfId="53" applyFont="1" applyFill="1" applyBorder="1" applyProtection="1"/>
    <xf numFmtId="0" fontId="16" fillId="0" borderId="300" xfId="53" applyFont="1" applyFill="1" applyBorder="1" applyProtection="1"/>
    <xf numFmtId="3" fontId="16" fillId="34" borderId="300" xfId="54" applyNumberFormat="1" applyFont="1" applyFill="1" applyBorder="1" applyAlignment="1" applyProtection="1">
      <alignment horizontal="right"/>
    </xf>
    <xf numFmtId="165" fontId="16" fillId="0" borderId="249" xfId="54" applyNumberFormat="1" applyFont="1" applyFill="1" applyBorder="1" applyAlignment="1" applyProtection="1">
      <alignment horizontal="right"/>
    </xf>
    <xf numFmtId="165" fontId="16" fillId="34" borderId="249" xfId="54" applyNumberFormat="1" applyFont="1" applyFill="1" applyBorder="1" applyAlignment="1" applyProtection="1">
      <alignment horizontal="right"/>
    </xf>
    <xf numFmtId="6" fontId="16" fillId="0" borderId="249" xfId="54" applyNumberFormat="1" applyFont="1" applyFill="1" applyBorder="1" applyAlignment="1" applyProtection="1">
      <alignment horizontal="right"/>
    </xf>
    <xf numFmtId="6" fontId="16" fillId="36" borderId="249" xfId="54" applyNumberFormat="1" applyFont="1" applyFill="1" applyBorder="1" applyAlignment="1" applyProtection="1">
      <alignment horizontal="right"/>
    </xf>
    <xf numFmtId="0" fontId="16" fillId="0" borderId="321" xfId="53" applyFont="1" applyFill="1" applyBorder="1" applyProtection="1"/>
    <xf numFmtId="0" fontId="16" fillId="0" borderId="322" xfId="53" applyFont="1" applyFill="1" applyBorder="1" applyProtection="1"/>
    <xf numFmtId="3" fontId="16" fillId="34" borderId="322" xfId="54" applyNumberFormat="1" applyFont="1" applyFill="1" applyBorder="1" applyAlignment="1" applyProtection="1">
      <alignment horizontal="right"/>
    </xf>
    <xf numFmtId="165" fontId="16" fillId="0" borderId="323" xfId="54" applyNumberFormat="1" applyFont="1" applyFill="1" applyBorder="1" applyAlignment="1" applyProtection="1">
      <alignment horizontal="right"/>
    </xf>
    <xf numFmtId="165" fontId="16" fillId="34" borderId="323" xfId="54" applyNumberFormat="1" applyFont="1" applyFill="1" applyBorder="1" applyAlignment="1" applyProtection="1">
      <alignment horizontal="right"/>
    </xf>
    <xf numFmtId="6" fontId="16" fillId="0" borderId="323" xfId="54" applyNumberFormat="1" applyFont="1" applyFill="1" applyBorder="1" applyAlignment="1" applyProtection="1">
      <alignment horizontal="right"/>
    </xf>
    <xf numFmtId="6" fontId="16" fillId="36" borderId="323" xfId="54" applyNumberFormat="1" applyFont="1" applyFill="1" applyBorder="1" applyAlignment="1" applyProtection="1">
      <alignment horizontal="right"/>
    </xf>
    <xf numFmtId="0" fontId="16" fillId="0" borderId="324" xfId="53" applyFont="1" applyFill="1" applyBorder="1" applyProtection="1"/>
    <xf numFmtId="0" fontId="16" fillId="0" borderId="325" xfId="53" applyFont="1" applyFill="1" applyBorder="1" applyProtection="1"/>
    <xf numFmtId="3" fontId="16" fillId="34" borderId="325" xfId="54" applyNumberFormat="1" applyFont="1" applyFill="1" applyBorder="1" applyAlignment="1" applyProtection="1">
      <alignment horizontal="right"/>
    </xf>
    <xf numFmtId="165" fontId="16" fillId="0" borderId="326" xfId="54" applyNumberFormat="1" applyFont="1" applyFill="1" applyBorder="1" applyAlignment="1" applyProtection="1">
      <alignment horizontal="right"/>
    </xf>
    <xf numFmtId="165" fontId="16" fillId="34" borderId="326" xfId="54" applyNumberFormat="1" applyFont="1" applyFill="1" applyBorder="1" applyAlignment="1" applyProtection="1">
      <alignment horizontal="right"/>
    </xf>
    <xf numFmtId="6" fontId="16" fillId="0" borderId="326" xfId="54" applyNumberFormat="1" applyFont="1" applyFill="1" applyBorder="1" applyAlignment="1" applyProtection="1">
      <alignment horizontal="right"/>
    </xf>
    <xf numFmtId="6" fontId="16" fillId="36" borderId="326" xfId="54" applyNumberFormat="1" applyFont="1" applyFill="1" applyBorder="1" applyAlignment="1" applyProtection="1">
      <alignment horizontal="right"/>
    </xf>
    <xf numFmtId="0" fontId="16" fillId="0" borderId="298" xfId="53" applyFont="1" applyFill="1" applyBorder="1" applyProtection="1"/>
    <xf numFmtId="0" fontId="16" fillId="0" borderId="20" xfId="53" applyFont="1" applyFill="1" applyBorder="1" applyProtection="1"/>
    <xf numFmtId="3" fontId="16" fillId="34" borderId="20" xfId="53" applyNumberFormat="1" applyFont="1" applyFill="1" applyBorder="1" applyAlignment="1" applyProtection="1">
      <alignment horizontal="right"/>
    </xf>
    <xf numFmtId="165" fontId="16" fillId="0" borderId="254" xfId="53" applyNumberFormat="1" applyFont="1" applyFill="1" applyBorder="1" applyAlignment="1" applyProtection="1">
      <alignment horizontal="right"/>
    </xf>
    <xf numFmtId="165" fontId="16" fillId="34" borderId="254" xfId="53" applyNumberFormat="1" applyFont="1" applyFill="1" applyBorder="1" applyAlignment="1" applyProtection="1">
      <alignment horizontal="right"/>
    </xf>
    <xf numFmtId="6" fontId="16" fillId="0" borderId="254" xfId="53" applyNumberFormat="1" applyFont="1" applyFill="1" applyBorder="1" applyAlignment="1" applyProtection="1">
      <alignment horizontal="right"/>
    </xf>
    <xf numFmtId="6" fontId="16" fillId="36" borderId="254" xfId="53" applyNumberFormat="1" applyFont="1" applyFill="1" applyBorder="1" applyAlignment="1" applyProtection="1">
      <alignment horizontal="right"/>
    </xf>
    <xf numFmtId="3" fontId="16" fillId="34" borderId="322" xfId="53" applyNumberFormat="1" applyFont="1" applyFill="1" applyBorder="1" applyAlignment="1" applyProtection="1">
      <alignment horizontal="right"/>
    </xf>
    <xf numFmtId="165" fontId="16" fillId="0" borderId="323" xfId="53" applyNumberFormat="1" applyFont="1" applyFill="1" applyBorder="1" applyAlignment="1" applyProtection="1">
      <alignment horizontal="right"/>
    </xf>
    <xf numFmtId="165" fontId="16" fillId="34" borderId="323" xfId="53" applyNumberFormat="1" applyFont="1" applyFill="1" applyBorder="1" applyAlignment="1" applyProtection="1">
      <alignment horizontal="right"/>
    </xf>
    <xf numFmtId="6" fontId="16" fillId="0" borderId="323" xfId="53" applyNumberFormat="1" applyFont="1" applyFill="1" applyBorder="1" applyAlignment="1" applyProtection="1">
      <alignment horizontal="right"/>
    </xf>
    <xf numFmtId="6" fontId="16" fillId="36" borderId="323" xfId="53" applyNumberFormat="1" applyFont="1" applyFill="1" applyBorder="1" applyAlignment="1" applyProtection="1">
      <alignment horizontal="right"/>
    </xf>
    <xf numFmtId="0" fontId="18" fillId="0" borderId="322" xfId="0" applyFont="1" applyFill="1" applyBorder="1" applyProtection="1"/>
    <xf numFmtId="0" fontId="18" fillId="0" borderId="332" xfId="0" applyFont="1" applyFill="1" applyBorder="1" applyProtection="1"/>
    <xf numFmtId="5" fontId="18" fillId="0" borderId="320" xfId="0" applyNumberFormat="1" applyFont="1" applyFill="1" applyBorder="1" applyProtection="1"/>
    <xf numFmtId="6" fontId="18" fillId="0" borderId="320" xfId="0" applyNumberFormat="1" applyFont="1" applyFill="1" applyBorder="1" applyProtection="1"/>
    <xf numFmtId="0" fontId="18" fillId="0" borderId="333" xfId="0" applyFont="1" applyFill="1" applyBorder="1" applyProtection="1"/>
    <xf numFmtId="0" fontId="18" fillId="0" borderId="334" xfId="0" applyFont="1" applyFill="1" applyBorder="1" applyProtection="1"/>
    <xf numFmtId="5" fontId="18" fillId="0" borderId="335" xfId="0" applyNumberFormat="1" applyFont="1" applyFill="1" applyBorder="1" applyProtection="1"/>
    <xf numFmtId="6" fontId="18" fillId="0" borderId="335" xfId="0" applyNumberFormat="1" applyFont="1" applyFill="1" applyBorder="1" applyProtection="1"/>
    <xf numFmtId="0" fontId="18" fillId="0" borderId="336" xfId="0" applyFont="1" applyFill="1" applyBorder="1" applyProtection="1"/>
    <xf numFmtId="0" fontId="18" fillId="0" borderId="337" xfId="0" applyFont="1" applyFill="1" applyBorder="1" applyProtection="1"/>
    <xf numFmtId="5" fontId="18" fillId="0" borderId="338" xfId="0" applyNumberFormat="1" applyFont="1" applyFill="1" applyBorder="1" applyProtection="1"/>
    <xf numFmtId="6" fontId="18" fillId="0" borderId="338" xfId="0" applyNumberFormat="1" applyFont="1" applyFill="1" applyBorder="1" applyProtection="1"/>
    <xf numFmtId="0" fontId="20" fillId="0" borderId="286" xfId="0" applyFont="1" applyFill="1" applyBorder="1" applyProtection="1"/>
    <xf numFmtId="0" fontId="27" fillId="0" borderId="287" xfId="0" applyFont="1" applyFill="1" applyBorder="1" applyAlignment="1" applyProtection="1">
      <alignment horizontal="center"/>
    </xf>
    <xf numFmtId="6" fontId="27" fillId="0" borderId="12" xfId="28" applyNumberFormat="1" applyFont="1" applyFill="1" applyBorder="1" applyProtection="1"/>
    <xf numFmtId="6" fontId="27" fillId="27" borderId="12" xfId="28" applyNumberFormat="1" applyFont="1" applyFill="1" applyBorder="1" applyProtection="1"/>
    <xf numFmtId="0" fontId="18" fillId="0" borderId="325" xfId="0" applyFont="1" applyFill="1" applyBorder="1" applyProtection="1"/>
    <xf numFmtId="0" fontId="18" fillId="0" borderId="339" xfId="0" applyFont="1" applyFill="1" applyBorder="1" applyProtection="1"/>
    <xf numFmtId="5" fontId="18" fillId="0" borderId="319" xfId="0" applyNumberFormat="1" applyFont="1" applyFill="1" applyBorder="1" applyProtection="1"/>
    <xf numFmtId="6" fontId="18" fillId="0" borderId="319" xfId="0" applyNumberFormat="1" applyFont="1" applyFill="1" applyBorder="1" applyProtection="1"/>
    <xf numFmtId="6" fontId="18" fillId="36" borderId="319" xfId="0" applyNumberFormat="1" applyFont="1" applyFill="1" applyBorder="1" applyProtection="1"/>
    <xf numFmtId="1" fontId="18" fillId="26" borderId="291" xfId="0" applyNumberFormat="1" applyFont="1" applyFill="1" applyBorder="1" applyAlignment="1" applyProtection="1">
      <alignment horizontal="center" vertical="center"/>
    </xf>
    <xf numFmtId="1" fontId="20" fillId="26" borderId="291" xfId="0" applyNumberFormat="1" applyFont="1" applyFill="1" applyBorder="1" applyAlignment="1" applyProtection="1">
      <alignment horizontal="center" vertical="center"/>
    </xf>
    <xf numFmtId="1" fontId="24" fillId="26" borderId="291" xfId="0" applyNumberFormat="1" applyFont="1" applyFill="1" applyBorder="1" applyAlignment="1" applyProtection="1">
      <alignment horizontal="center" vertical="center"/>
    </xf>
    <xf numFmtId="6" fontId="18" fillId="36" borderId="320" xfId="0" applyNumberFormat="1" applyFont="1" applyFill="1" applyBorder="1" applyProtection="1"/>
    <xf numFmtId="6" fontId="18" fillId="36" borderId="335" xfId="0" applyNumberFormat="1" applyFont="1" applyFill="1" applyBorder="1" applyProtection="1"/>
    <xf numFmtId="6" fontId="18" fillId="36" borderId="338" xfId="0" applyNumberFormat="1" applyFont="1" applyFill="1" applyBorder="1" applyProtection="1"/>
    <xf numFmtId="6" fontId="27" fillId="0" borderId="12" xfId="31" applyNumberFormat="1" applyFont="1" applyFill="1" applyBorder="1" applyProtection="1"/>
    <xf numFmtId="6" fontId="27" fillId="36" borderId="12" xfId="31" applyNumberFormat="1" applyFont="1" applyFill="1" applyBorder="1" applyProtection="1"/>
    <xf numFmtId="5" fontId="16" fillId="0" borderId="320" xfId="0" applyNumberFormat="1" applyFont="1" applyFill="1" applyBorder="1" applyProtection="1"/>
    <xf numFmtId="6" fontId="16" fillId="0" borderId="340" xfId="0" applyNumberFormat="1" applyFont="1" applyFill="1" applyBorder="1" applyProtection="1"/>
    <xf numFmtId="165" fontId="16" fillId="0" borderId="320" xfId="28" applyNumberFormat="1" applyFont="1" applyFill="1" applyBorder="1" applyProtection="1"/>
    <xf numFmtId="6" fontId="16" fillId="0" borderId="320" xfId="0" applyNumberFormat="1" applyFont="1" applyFill="1" applyBorder="1" applyProtection="1"/>
    <xf numFmtId="164" fontId="16" fillId="0" borderId="320" xfId="28" applyNumberFormat="1" applyFont="1" applyFill="1" applyBorder="1" applyProtection="1"/>
    <xf numFmtId="6" fontId="16" fillId="46" borderId="340" xfId="0" applyNumberFormat="1" applyFont="1" applyFill="1" applyBorder="1" applyProtection="1"/>
    <xf numFmtId="165" fontId="16" fillId="0" borderId="57" xfId="28" applyNumberFormat="1" applyFont="1" applyFill="1" applyBorder="1" applyProtection="1"/>
    <xf numFmtId="6" fontId="16" fillId="0" borderId="57" xfId="0" applyNumberFormat="1" applyFont="1" applyFill="1" applyBorder="1" applyProtection="1"/>
    <xf numFmtId="164" fontId="16" fillId="0" borderId="57" xfId="28" applyNumberFormat="1" applyFont="1" applyFill="1" applyBorder="1" applyProtection="1"/>
    <xf numFmtId="5" fontId="73" fillId="0" borderId="12" xfId="0" applyNumberFormat="1" applyFont="1" applyFill="1" applyBorder="1" applyProtection="1"/>
    <xf numFmtId="6" fontId="73" fillId="0" borderId="12" xfId="0" applyNumberFormat="1" applyFont="1" applyFill="1" applyBorder="1" applyProtection="1"/>
    <xf numFmtId="164" fontId="73" fillId="0" borderId="12" xfId="28" applyNumberFormat="1" applyFont="1" applyFill="1" applyBorder="1" applyProtection="1"/>
    <xf numFmtId="164" fontId="27" fillId="0" borderId="12" xfId="28" applyNumberFormat="1" applyFont="1" applyFill="1" applyBorder="1" applyProtection="1"/>
    <xf numFmtId="5" fontId="27" fillId="0" borderId="12" xfId="0" applyNumberFormat="1" applyFont="1" applyFill="1" applyBorder="1" applyProtection="1"/>
    <xf numFmtId="0" fontId="16" fillId="0" borderId="324" xfId="64" applyFont="1" applyFill="1" applyBorder="1" applyAlignment="1" applyProtection="1">
      <alignment horizontal="center"/>
    </xf>
    <xf numFmtId="0" fontId="16" fillId="0" borderId="339" xfId="64" applyFont="1" applyFill="1" applyBorder="1" applyProtection="1"/>
    <xf numFmtId="0" fontId="16" fillId="0" borderId="321" xfId="64" applyFont="1" applyFill="1" applyBorder="1" applyAlignment="1" applyProtection="1">
      <alignment horizontal="center"/>
    </xf>
    <xf numFmtId="0" fontId="16" fillId="0" borderId="332" xfId="64" applyFont="1" applyFill="1" applyBorder="1" applyProtection="1"/>
    <xf numFmtId="0" fontId="16" fillId="0" borderId="332" xfId="64" applyFont="1" applyFill="1" applyBorder="1" applyAlignment="1" applyProtection="1">
      <alignment wrapText="1"/>
    </xf>
    <xf numFmtId="0" fontId="16" fillId="0" borderId="339" xfId="64" applyFont="1" applyFill="1" applyBorder="1" applyAlignment="1" applyProtection="1">
      <alignment wrapText="1"/>
    </xf>
    <xf numFmtId="6" fontId="16" fillId="34" borderId="326" xfId="54" applyNumberFormat="1" applyFont="1" applyFill="1" applyBorder="1" applyAlignment="1" applyProtection="1">
      <alignment horizontal="right"/>
    </xf>
    <xf numFmtId="6" fontId="16" fillId="0" borderId="345" xfId="53" applyNumberFormat="1" applyFont="1" applyFill="1" applyBorder="1" applyAlignment="1" applyProtection="1">
      <alignment horizontal="right"/>
    </xf>
    <xf numFmtId="6" fontId="16" fillId="36" borderId="325" xfId="53" applyNumberFormat="1" applyFont="1" applyFill="1" applyBorder="1" applyAlignment="1" applyProtection="1">
      <alignment horizontal="right"/>
    </xf>
    <xf numFmtId="6" fontId="16" fillId="0" borderId="325" xfId="53" applyNumberFormat="1" applyFont="1" applyFill="1" applyBorder="1" applyAlignment="1" applyProtection="1">
      <alignment horizontal="right"/>
    </xf>
    <xf numFmtId="6" fontId="16" fillId="42" borderId="325" xfId="53" applyNumberFormat="1" applyFont="1" applyFill="1" applyBorder="1" applyAlignment="1" applyProtection="1">
      <alignment horizontal="right"/>
    </xf>
    <xf numFmtId="6" fontId="16" fillId="34" borderId="325" xfId="53" applyNumberFormat="1" applyFont="1" applyFill="1" applyBorder="1" applyAlignment="1" applyProtection="1">
      <alignment horizontal="right"/>
    </xf>
    <xf numFmtId="165" fontId="16" fillId="0" borderId="325" xfId="53" applyNumberFormat="1" applyFont="1" applyFill="1" applyBorder="1" applyAlignment="1" applyProtection="1">
      <alignment horizontal="right"/>
    </xf>
    <xf numFmtId="165" fontId="16" fillId="0" borderId="345" xfId="53" applyNumberFormat="1" applyFont="1" applyFill="1" applyBorder="1" applyAlignment="1" applyProtection="1">
      <alignment horizontal="right"/>
    </xf>
    <xf numFmtId="6" fontId="16" fillId="0" borderId="284" xfId="53" applyNumberFormat="1" applyFont="1" applyFill="1" applyBorder="1" applyAlignment="1" applyProtection="1">
      <alignment horizontal="right"/>
    </xf>
    <xf numFmtId="6" fontId="16" fillId="0" borderId="300" xfId="53" applyNumberFormat="1" applyFont="1" applyFill="1" applyBorder="1" applyAlignment="1" applyProtection="1">
      <alignment horizontal="right"/>
    </xf>
    <xf numFmtId="6" fontId="16" fillId="36" borderId="300" xfId="53" applyNumberFormat="1" applyFont="1" applyFill="1" applyBorder="1" applyAlignment="1" applyProtection="1">
      <alignment horizontal="right"/>
    </xf>
    <xf numFmtId="165" fontId="16" fillId="0" borderId="300" xfId="53" applyNumberFormat="1" applyFont="1" applyFill="1" applyBorder="1" applyAlignment="1" applyProtection="1">
      <alignment horizontal="right"/>
    </xf>
    <xf numFmtId="165" fontId="16" fillId="0" borderId="284" xfId="53" applyNumberFormat="1" applyFont="1" applyFill="1" applyBorder="1" applyAlignment="1" applyProtection="1">
      <alignment horizontal="right"/>
    </xf>
    <xf numFmtId="6" fontId="16" fillId="34" borderId="323" xfId="54" applyNumberFormat="1" applyFont="1" applyFill="1" applyBorder="1" applyAlignment="1" applyProtection="1">
      <alignment horizontal="right"/>
    </xf>
    <xf numFmtId="6" fontId="16" fillId="0" borderId="347" xfId="53" applyNumberFormat="1" applyFont="1" applyFill="1" applyBorder="1" applyAlignment="1" applyProtection="1">
      <alignment horizontal="right"/>
    </xf>
    <xf numFmtId="6" fontId="16" fillId="36" borderId="322" xfId="53" applyNumberFormat="1" applyFont="1" applyFill="1" applyBorder="1" applyAlignment="1" applyProtection="1">
      <alignment horizontal="right"/>
    </xf>
    <xf numFmtId="38" fontId="16" fillId="0" borderId="322" xfId="53" applyNumberFormat="1" applyFont="1" applyFill="1" applyBorder="1" applyAlignment="1" applyProtection="1">
      <alignment horizontal="right"/>
    </xf>
    <xf numFmtId="6" fontId="16" fillId="0" borderId="322" xfId="53" applyNumberFormat="1" applyFont="1" applyFill="1" applyBorder="1" applyAlignment="1" applyProtection="1">
      <alignment horizontal="right"/>
    </xf>
    <xf numFmtId="6" fontId="16" fillId="42" borderId="322" xfId="53" applyNumberFormat="1" applyFont="1" applyFill="1" applyBorder="1" applyAlignment="1" applyProtection="1">
      <alignment horizontal="right"/>
    </xf>
    <xf numFmtId="6" fontId="16" fillId="34" borderId="322" xfId="53" applyNumberFormat="1" applyFont="1" applyFill="1" applyBorder="1" applyAlignment="1" applyProtection="1">
      <alignment horizontal="right"/>
    </xf>
    <xf numFmtId="165" fontId="16" fillId="0" borderId="322" xfId="53" applyNumberFormat="1" applyFont="1" applyFill="1" applyBorder="1" applyAlignment="1" applyProtection="1">
      <alignment horizontal="right"/>
    </xf>
    <xf numFmtId="165" fontId="16" fillId="0" borderId="347" xfId="53" applyNumberFormat="1" applyFont="1" applyFill="1" applyBorder="1" applyAlignment="1" applyProtection="1">
      <alignment horizontal="right"/>
    </xf>
    <xf numFmtId="6" fontId="16" fillId="37" borderId="323" xfId="53" applyNumberFormat="1" applyFont="1" applyFill="1" applyBorder="1" applyAlignment="1" applyProtection="1">
      <alignment horizontal="right"/>
    </xf>
    <xf numFmtId="6" fontId="16" fillId="34" borderId="249" xfId="54" applyNumberFormat="1" applyFont="1" applyFill="1" applyBorder="1" applyAlignment="1" applyProtection="1">
      <alignment horizontal="right"/>
    </xf>
    <xf numFmtId="6" fontId="16" fillId="42" borderId="300" xfId="53" applyNumberFormat="1" applyFont="1" applyFill="1" applyBorder="1" applyAlignment="1" applyProtection="1">
      <alignment horizontal="right"/>
    </xf>
    <xf numFmtId="6" fontId="16" fillId="34" borderId="300" xfId="53" applyNumberFormat="1" applyFont="1" applyFill="1" applyBorder="1" applyAlignment="1" applyProtection="1">
      <alignment horizontal="right"/>
    </xf>
    <xf numFmtId="165" fontId="16" fillId="37" borderId="323" xfId="53" applyNumberFormat="1" applyFont="1" applyFill="1" applyBorder="1" applyAlignment="1" applyProtection="1">
      <alignment horizontal="right"/>
    </xf>
    <xf numFmtId="6" fontId="16" fillId="34" borderId="254" xfId="53" applyNumberFormat="1" applyFont="1" applyFill="1" applyBorder="1" applyAlignment="1" applyProtection="1">
      <alignment horizontal="right"/>
    </xf>
    <xf numFmtId="38" fontId="16" fillId="0" borderId="20" xfId="53" applyNumberFormat="1" applyFont="1" applyFill="1" applyBorder="1" applyAlignment="1" applyProtection="1">
      <alignment horizontal="right"/>
    </xf>
    <xf numFmtId="6" fontId="16" fillId="0" borderId="20" xfId="53" applyNumberFormat="1" applyFont="1" applyFill="1" applyBorder="1" applyAlignment="1" applyProtection="1">
      <alignment horizontal="right"/>
    </xf>
    <xf numFmtId="165" fontId="16" fillId="0" borderId="346" xfId="53" applyNumberFormat="1" applyFont="1" applyFill="1" applyBorder="1" applyAlignment="1" applyProtection="1">
      <alignment horizontal="right"/>
    </xf>
    <xf numFmtId="165" fontId="16" fillId="34" borderId="346" xfId="53" applyNumberFormat="1" applyFont="1" applyFill="1" applyBorder="1" applyAlignment="1" applyProtection="1">
      <alignment horizontal="right"/>
    </xf>
    <xf numFmtId="6" fontId="16" fillId="0" borderId="346" xfId="53" applyNumberFormat="1" applyFont="1" applyFill="1" applyBorder="1" applyAlignment="1" applyProtection="1">
      <alignment horizontal="right"/>
    </xf>
    <xf numFmtId="6" fontId="16" fillId="0" borderId="265" xfId="53" applyNumberFormat="1" applyFont="1" applyFill="1" applyBorder="1" applyAlignment="1" applyProtection="1">
      <alignment horizontal="right"/>
    </xf>
    <xf numFmtId="165" fontId="16" fillId="0" borderId="20" xfId="53" applyNumberFormat="1" applyFont="1" applyFill="1" applyBorder="1" applyAlignment="1" applyProtection="1">
      <alignment horizontal="right"/>
    </xf>
    <xf numFmtId="6" fontId="16" fillId="0" borderId="232" xfId="53" applyNumberFormat="1" applyFont="1" applyFill="1" applyBorder="1" applyAlignment="1" applyProtection="1">
      <alignment horizontal="right"/>
    </xf>
    <xf numFmtId="165" fontId="16" fillId="0" borderId="232" xfId="53" applyNumberFormat="1" applyFont="1" applyFill="1" applyBorder="1" applyAlignment="1" applyProtection="1">
      <alignment horizontal="right"/>
    </xf>
    <xf numFmtId="6" fontId="16" fillId="34" borderId="323" xfId="53" applyNumberFormat="1" applyFont="1" applyFill="1" applyBorder="1" applyAlignment="1" applyProtection="1">
      <alignment horizontal="right"/>
    </xf>
    <xf numFmtId="6" fontId="16" fillId="0" borderId="331" xfId="53" applyNumberFormat="1" applyFont="1" applyFill="1" applyBorder="1" applyAlignment="1" applyProtection="1">
      <alignment horizontal="right"/>
    </xf>
    <xf numFmtId="165" fontId="16" fillId="0" borderId="320" xfId="53" applyNumberFormat="1" applyFont="1" applyFill="1" applyBorder="1" applyAlignment="1" applyProtection="1">
      <alignment horizontal="right"/>
    </xf>
    <xf numFmtId="165" fontId="16" fillId="0" borderId="331" xfId="53" applyNumberFormat="1" applyFont="1" applyFill="1" applyBorder="1" applyAlignment="1" applyProtection="1">
      <alignment horizontal="right"/>
    </xf>
    <xf numFmtId="6" fontId="16" fillId="34" borderId="320" xfId="53" applyNumberFormat="1" applyFont="1" applyFill="1" applyBorder="1" applyAlignment="1" applyProtection="1">
      <alignment horizontal="right"/>
    </xf>
    <xf numFmtId="6" fontId="27" fillId="0" borderId="310" xfId="54" applyNumberFormat="1" applyFont="1" applyFill="1" applyBorder="1" applyAlignment="1" applyProtection="1">
      <alignment horizontal="right"/>
    </xf>
    <xf numFmtId="6" fontId="27" fillId="36" borderId="286" xfId="54" applyNumberFormat="1" applyFont="1" applyFill="1" applyBorder="1" applyAlignment="1" applyProtection="1">
      <alignment horizontal="right"/>
    </xf>
    <xf numFmtId="6" fontId="16" fillId="42" borderId="326" xfId="53" applyNumberFormat="1" applyFont="1" applyFill="1" applyBorder="1" applyAlignment="1" applyProtection="1">
      <alignment horizontal="right"/>
    </xf>
    <xf numFmtId="6" fontId="16" fillId="42" borderId="323" xfId="53" applyNumberFormat="1" applyFont="1" applyFill="1" applyBorder="1" applyAlignment="1" applyProtection="1">
      <alignment horizontal="right"/>
    </xf>
    <xf numFmtId="6" fontId="16" fillId="42" borderId="249" xfId="53" applyNumberFormat="1" applyFont="1" applyFill="1" applyBorder="1" applyAlignment="1" applyProtection="1">
      <alignment horizontal="right"/>
    </xf>
    <xf numFmtId="165" fontId="27" fillId="42" borderId="286" xfId="54" applyNumberFormat="1" applyFont="1" applyFill="1" applyBorder="1" applyAlignment="1" applyProtection="1">
      <alignment horizontal="right"/>
    </xf>
    <xf numFmtId="165" fontId="16" fillId="42" borderId="322" xfId="53" applyNumberFormat="1" applyFont="1" applyFill="1" applyBorder="1" applyAlignment="1" applyProtection="1">
      <alignment horizontal="right"/>
    </xf>
    <xf numFmtId="165" fontId="16" fillId="42" borderId="20" xfId="53" applyNumberFormat="1" applyFont="1" applyFill="1" applyBorder="1" applyAlignment="1" applyProtection="1">
      <alignment horizontal="right"/>
    </xf>
    <xf numFmtId="165" fontId="16" fillId="50" borderId="325" xfId="53" applyNumberFormat="1" applyFont="1" applyFill="1" applyBorder="1" applyAlignment="1" applyProtection="1">
      <alignment horizontal="right"/>
    </xf>
    <xf numFmtId="165" fontId="16" fillId="50" borderId="322" xfId="53" applyNumberFormat="1" applyFont="1" applyFill="1" applyBorder="1" applyAlignment="1" applyProtection="1">
      <alignment horizontal="right"/>
    </xf>
    <xf numFmtId="165" fontId="16" fillId="50" borderId="300" xfId="53" applyNumberFormat="1" applyFont="1" applyFill="1" applyBorder="1" applyAlignment="1" applyProtection="1">
      <alignment horizontal="right"/>
    </xf>
    <xf numFmtId="165" fontId="27" fillId="50" borderId="39" xfId="54" applyNumberFormat="1" applyFont="1" applyFill="1" applyBorder="1" applyAlignment="1" applyProtection="1">
      <alignment horizontal="right"/>
    </xf>
    <xf numFmtId="6" fontId="16" fillId="50" borderId="325" xfId="53" applyNumberFormat="1" applyFont="1" applyFill="1" applyBorder="1" applyAlignment="1" applyProtection="1">
      <alignment horizontal="right"/>
    </xf>
    <xf numFmtId="6" fontId="16" fillId="50" borderId="322" xfId="53" applyNumberFormat="1" applyFont="1" applyFill="1" applyBorder="1" applyAlignment="1" applyProtection="1">
      <alignment horizontal="right"/>
    </xf>
    <xf numFmtId="6" fontId="16" fillId="50" borderId="300" xfId="53" applyNumberFormat="1" applyFont="1" applyFill="1" applyBorder="1" applyAlignment="1" applyProtection="1">
      <alignment horizontal="right"/>
    </xf>
    <xf numFmtId="6" fontId="27" fillId="50" borderId="39" xfId="54" applyNumberFormat="1" applyFont="1" applyFill="1" applyBorder="1" applyAlignment="1" applyProtection="1">
      <alignment horizontal="right"/>
    </xf>
    <xf numFmtId="165" fontId="27" fillId="50" borderId="144" xfId="54" applyNumberFormat="1" applyFont="1" applyFill="1" applyBorder="1" applyAlignment="1" applyProtection="1">
      <alignment horizontal="right"/>
    </xf>
    <xf numFmtId="6" fontId="27" fillId="50" borderId="144" xfId="54" applyNumberFormat="1" applyFont="1" applyFill="1" applyBorder="1" applyAlignment="1" applyProtection="1">
      <alignment horizontal="right"/>
    </xf>
    <xf numFmtId="6" fontId="27" fillId="50" borderId="124" xfId="54" applyNumberFormat="1" applyFont="1" applyFill="1" applyBorder="1" applyAlignment="1" applyProtection="1">
      <alignment horizontal="right"/>
    </xf>
    <xf numFmtId="165" fontId="27" fillId="50" borderId="124" xfId="54" applyNumberFormat="1" applyFont="1" applyFill="1" applyBorder="1" applyAlignment="1" applyProtection="1">
      <alignment horizontal="right"/>
    </xf>
    <xf numFmtId="6" fontId="27" fillId="50" borderId="117" xfId="54" applyNumberFormat="1" applyFont="1" applyFill="1" applyBorder="1" applyAlignment="1" applyProtection="1">
      <alignment horizontal="right"/>
    </xf>
    <xf numFmtId="6" fontId="27" fillId="50" borderId="84" xfId="54" applyNumberFormat="1" applyFont="1" applyFill="1" applyBorder="1" applyAlignment="1" applyProtection="1">
      <alignment horizontal="right"/>
    </xf>
    <xf numFmtId="165" fontId="16" fillId="42" borderId="325" xfId="53" applyNumberFormat="1" applyFont="1" applyFill="1" applyBorder="1" applyAlignment="1" applyProtection="1">
      <alignment horizontal="right"/>
    </xf>
    <xf numFmtId="165" fontId="16" fillId="42" borderId="300" xfId="53" applyNumberFormat="1" applyFont="1" applyFill="1" applyBorder="1" applyAlignment="1" applyProtection="1">
      <alignment horizontal="right"/>
    </xf>
    <xf numFmtId="165" fontId="27" fillId="42" borderId="39" xfId="54" applyNumberFormat="1" applyFont="1" applyFill="1" applyBorder="1" applyAlignment="1" applyProtection="1">
      <alignment horizontal="right"/>
    </xf>
    <xf numFmtId="6" fontId="16" fillId="42" borderId="21" xfId="53" applyNumberFormat="1" applyFont="1" applyFill="1" applyBorder="1" applyAlignment="1" applyProtection="1">
      <alignment horizontal="right"/>
    </xf>
    <xf numFmtId="165" fontId="16" fillId="42" borderId="326" xfId="53" applyNumberFormat="1" applyFont="1" applyFill="1" applyBorder="1" applyAlignment="1" applyProtection="1">
      <alignment horizontal="right"/>
    </xf>
    <xf numFmtId="165" fontId="16" fillId="42" borderId="323" xfId="53" applyNumberFormat="1" applyFont="1" applyFill="1" applyBorder="1" applyAlignment="1" applyProtection="1">
      <alignment horizontal="right"/>
    </xf>
    <xf numFmtId="165" fontId="16" fillId="42" borderId="249" xfId="53" applyNumberFormat="1" applyFont="1" applyFill="1" applyBorder="1" applyAlignment="1" applyProtection="1">
      <alignment horizontal="right"/>
    </xf>
    <xf numFmtId="165" fontId="16" fillId="37" borderId="326" xfId="54" applyNumberFormat="1" applyFont="1" applyFill="1" applyBorder="1" applyAlignment="1" applyProtection="1">
      <alignment horizontal="right"/>
    </xf>
    <xf numFmtId="165" fontId="16" fillId="37" borderId="323" xfId="54" applyNumberFormat="1" applyFont="1" applyFill="1" applyBorder="1" applyAlignment="1" applyProtection="1">
      <alignment horizontal="right"/>
    </xf>
    <xf numFmtId="165" fontId="16" fillId="37" borderId="249" xfId="54" applyNumberFormat="1" applyFont="1" applyFill="1" applyBorder="1" applyAlignment="1" applyProtection="1">
      <alignment horizontal="right"/>
    </xf>
    <xf numFmtId="165" fontId="16" fillId="37" borderId="254" xfId="53" applyNumberFormat="1" applyFont="1" applyFill="1" applyBorder="1" applyAlignment="1" applyProtection="1">
      <alignment horizontal="right"/>
    </xf>
    <xf numFmtId="165" fontId="27" fillId="37" borderId="40" xfId="54" applyNumberFormat="1" applyFont="1" applyFill="1" applyBorder="1" applyAlignment="1" applyProtection="1">
      <alignment horizontal="right"/>
    </xf>
    <xf numFmtId="165" fontId="27" fillId="37" borderId="287" xfId="54" applyNumberFormat="1" applyFont="1" applyFill="1" applyBorder="1" applyAlignment="1" applyProtection="1">
      <alignment horizontal="right"/>
    </xf>
    <xf numFmtId="6" fontId="16" fillId="37" borderId="326" xfId="54" applyNumberFormat="1" applyFont="1" applyFill="1" applyBorder="1" applyAlignment="1" applyProtection="1">
      <alignment horizontal="right"/>
    </xf>
    <xf numFmtId="6" fontId="16" fillId="37" borderId="323" xfId="54" applyNumberFormat="1" applyFont="1" applyFill="1" applyBorder="1" applyAlignment="1" applyProtection="1">
      <alignment horizontal="right"/>
    </xf>
    <xf numFmtId="6" fontId="16" fillId="37" borderId="249" xfId="54" applyNumberFormat="1" applyFont="1" applyFill="1" applyBorder="1" applyAlignment="1" applyProtection="1">
      <alignment horizontal="right"/>
    </xf>
    <xf numFmtId="6" fontId="16" fillId="37" borderId="254" xfId="53" applyNumberFormat="1" applyFont="1" applyFill="1" applyBorder="1" applyAlignment="1" applyProtection="1">
      <alignment horizontal="right"/>
    </xf>
    <xf numFmtId="6" fontId="27" fillId="37" borderId="40" xfId="54" applyNumberFormat="1" applyFont="1" applyFill="1" applyBorder="1" applyAlignment="1" applyProtection="1">
      <alignment horizontal="right"/>
    </xf>
    <xf numFmtId="6" fontId="27" fillId="37" borderId="287" xfId="54" applyNumberFormat="1" applyFont="1" applyFill="1" applyBorder="1" applyAlignment="1" applyProtection="1">
      <alignment horizontal="right"/>
    </xf>
    <xf numFmtId="6" fontId="16" fillId="37" borderId="248" xfId="54" applyNumberFormat="1" applyFont="1" applyFill="1" applyBorder="1" applyAlignment="1" applyProtection="1">
      <alignment horizontal="right"/>
    </xf>
    <xf numFmtId="6" fontId="16" fillId="37" borderId="42" xfId="54" applyNumberFormat="1" applyFont="1" applyFill="1" applyBorder="1" applyAlignment="1" applyProtection="1">
      <alignment horizontal="right"/>
    </xf>
    <xf numFmtId="6" fontId="16" fillId="37" borderId="57" xfId="54" applyNumberFormat="1" applyFont="1" applyFill="1" applyBorder="1" applyAlignment="1" applyProtection="1">
      <alignment horizontal="right"/>
    </xf>
    <xf numFmtId="165" fontId="16" fillId="37" borderId="248" xfId="54" applyNumberFormat="1" applyFont="1" applyFill="1" applyBorder="1" applyAlignment="1" applyProtection="1">
      <alignment horizontal="right"/>
    </xf>
    <xf numFmtId="165" fontId="16" fillId="37" borderId="57" xfId="54" applyNumberFormat="1" applyFont="1" applyFill="1" applyBorder="1" applyAlignment="1" applyProtection="1">
      <alignment horizontal="right"/>
    </xf>
    <xf numFmtId="6" fontId="16" fillId="37" borderId="319" xfId="54" applyNumberFormat="1" applyFont="1" applyFill="1" applyBorder="1" applyAlignment="1" applyProtection="1">
      <alignment horizontal="right"/>
    </xf>
    <xf numFmtId="6" fontId="16" fillId="37" borderId="320" xfId="54" applyNumberFormat="1" applyFont="1" applyFill="1" applyBorder="1" applyAlignment="1" applyProtection="1">
      <alignment horizontal="right"/>
    </xf>
    <xf numFmtId="6" fontId="27" fillId="37" borderId="261" xfId="54" applyNumberFormat="1" applyFont="1" applyFill="1" applyBorder="1" applyAlignment="1" applyProtection="1">
      <alignment horizontal="right"/>
    </xf>
    <xf numFmtId="165" fontId="27" fillId="37" borderId="151" xfId="54" applyNumberFormat="1" applyFont="1" applyFill="1" applyBorder="1" applyAlignment="1" applyProtection="1">
      <alignment horizontal="right"/>
    </xf>
    <xf numFmtId="6" fontId="27" fillId="37" borderId="151" xfId="54" applyNumberFormat="1" applyFont="1" applyFill="1" applyBorder="1" applyAlignment="1" applyProtection="1">
      <alignment horizontal="right"/>
    </xf>
    <xf numFmtId="165" fontId="27" fillId="37" borderId="127" xfId="54" applyNumberFormat="1" applyFont="1" applyFill="1" applyBorder="1" applyAlignment="1" applyProtection="1">
      <alignment horizontal="right"/>
    </xf>
    <xf numFmtId="165" fontId="27" fillId="37" borderId="114" xfId="54" applyNumberFormat="1" applyFont="1" applyFill="1" applyBorder="1" applyAlignment="1" applyProtection="1">
      <alignment horizontal="right"/>
    </xf>
    <xf numFmtId="165" fontId="27" fillId="37" borderId="65" xfId="54" applyNumberFormat="1" applyFont="1" applyFill="1" applyBorder="1" applyAlignment="1" applyProtection="1">
      <alignment horizontal="right"/>
    </xf>
    <xf numFmtId="165" fontId="27" fillId="50" borderId="286" xfId="54" applyNumberFormat="1" applyFont="1" applyFill="1" applyBorder="1" applyAlignment="1" applyProtection="1">
      <alignment horizontal="right"/>
    </xf>
    <xf numFmtId="165" fontId="27" fillId="36" borderId="151" xfId="54" applyNumberFormat="1" applyFont="1" applyFill="1" applyBorder="1" applyAlignment="1" applyProtection="1">
      <alignment horizontal="right"/>
    </xf>
    <xf numFmtId="6" fontId="16" fillId="37" borderId="347" xfId="53" applyNumberFormat="1" applyFont="1" applyFill="1" applyBorder="1" applyAlignment="1" applyProtection="1">
      <alignment horizontal="right"/>
    </xf>
    <xf numFmtId="6" fontId="16" fillId="37" borderId="232" xfId="53" applyNumberFormat="1" applyFont="1" applyFill="1" applyBorder="1" applyAlignment="1" applyProtection="1">
      <alignment horizontal="right"/>
    </xf>
    <xf numFmtId="6" fontId="20" fillId="37" borderId="281" xfId="53" applyNumberFormat="1" applyFont="1" applyFill="1" applyBorder="1" applyAlignment="1" applyProtection="1">
      <alignment horizontal="right"/>
    </xf>
    <xf numFmtId="6" fontId="20" fillId="37" borderId="48" xfId="53" applyNumberFormat="1" applyFont="1" applyFill="1" applyBorder="1" applyAlignment="1" applyProtection="1">
      <alignment horizontal="right"/>
    </xf>
    <xf numFmtId="38" fontId="27" fillId="50" borderId="144" xfId="54" applyNumberFormat="1" applyFont="1" applyFill="1" applyBorder="1" applyAlignment="1" applyProtection="1">
      <alignment horizontal="right"/>
    </xf>
    <xf numFmtId="165" fontId="18" fillId="37" borderId="303" xfId="30" applyNumberFormat="1" applyFont="1" applyFill="1" applyBorder="1" applyAlignment="1" applyProtection="1">
      <alignment horizontal="right"/>
    </xf>
    <xf numFmtId="165" fontId="18" fillId="37" borderId="306" xfId="30" applyNumberFormat="1" applyFont="1" applyFill="1" applyBorder="1" applyAlignment="1" applyProtection="1">
      <alignment horizontal="right"/>
    </xf>
    <xf numFmtId="165" fontId="18" fillId="37" borderId="249" xfId="30" applyNumberFormat="1" applyFont="1" applyFill="1" applyBorder="1" applyAlignment="1" applyProtection="1">
      <alignment horizontal="right"/>
    </xf>
    <xf numFmtId="6" fontId="27" fillId="37" borderId="65" xfId="54" applyNumberFormat="1" applyFont="1" applyFill="1" applyBorder="1" applyAlignment="1" applyProtection="1">
      <alignment horizontal="right"/>
    </xf>
    <xf numFmtId="165" fontId="16" fillId="37" borderId="303" xfId="30" applyNumberFormat="1" applyFont="1" applyFill="1" applyBorder="1" applyAlignment="1" applyProtection="1">
      <alignment horizontal="right"/>
    </xf>
    <xf numFmtId="6" fontId="16" fillId="37" borderId="152" xfId="53" applyNumberFormat="1" applyFont="1" applyFill="1" applyBorder="1" applyAlignment="1" applyProtection="1">
      <alignment horizontal="right"/>
    </xf>
    <xf numFmtId="6" fontId="16" fillId="37" borderId="153" xfId="53" applyNumberFormat="1" applyFont="1" applyFill="1" applyBorder="1" applyAlignment="1" applyProtection="1">
      <alignment horizontal="right"/>
    </xf>
    <xf numFmtId="165" fontId="18" fillId="50" borderId="302" xfId="0" applyNumberFormat="1" applyFont="1" applyFill="1" applyBorder="1" applyAlignment="1" applyProtection="1">
      <alignment horizontal="right"/>
    </xf>
    <xf numFmtId="165" fontId="18" fillId="50" borderId="305" xfId="0" applyNumberFormat="1" applyFont="1" applyFill="1" applyBorder="1" applyAlignment="1" applyProtection="1">
      <alignment horizontal="right"/>
    </xf>
    <xf numFmtId="165" fontId="18" fillId="50" borderId="300" xfId="0" applyNumberFormat="1" applyFont="1" applyFill="1" applyBorder="1" applyAlignment="1" applyProtection="1">
      <alignment horizontal="right"/>
    </xf>
    <xf numFmtId="6" fontId="16" fillId="0" borderId="299" xfId="53" applyNumberFormat="1" applyFont="1" applyFill="1" applyBorder="1" applyAlignment="1" applyProtection="1">
      <alignment horizontal="right"/>
    </xf>
    <xf numFmtId="6" fontId="16" fillId="42" borderId="64" xfId="53" applyNumberFormat="1" applyFont="1" applyFill="1" applyBorder="1" applyAlignment="1" applyProtection="1">
      <alignment horizontal="right"/>
    </xf>
    <xf numFmtId="6" fontId="16" fillId="42" borderId="311" xfId="53" applyNumberFormat="1" applyFont="1" applyFill="1" applyBorder="1" applyAlignment="1" applyProtection="1">
      <alignment horizontal="right"/>
    </xf>
    <xf numFmtId="38" fontId="27" fillId="42" borderId="84" xfId="54" applyNumberFormat="1" applyFont="1" applyFill="1" applyBorder="1" applyAlignment="1" applyProtection="1">
      <alignment horizontal="right"/>
    </xf>
    <xf numFmtId="6" fontId="27" fillId="42" borderId="310" xfId="54" applyNumberFormat="1" applyFont="1" applyFill="1" applyBorder="1" applyAlignment="1" applyProtection="1">
      <alignment horizontal="right"/>
    </xf>
    <xf numFmtId="6" fontId="16" fillId="42" borderId="42" xfId="53" applyNumberFormat="1" applyFont="1" applyFill="1" applyBorder="1" applyAlignment="1" applyProtection="1">
      <alignment horizontal="right"/>
    </xf>
    <xf numFmtId="6" fontId="16" fillId="42" borderId="63" xfId="53" applyNumberFormat="1" applyFont="1" applyFill="1" applyBorder="1" applyAlignment="1" applyProtection="1">
      <alignment horizontal="right"/>
    </xf>
    <xf numFmtId="165" fontId="18" fillId="42" borderId="302" xfId="0" applyNumberFormat="1" applyFont="1" applyFill="1" applyBorder="1" applyAlignment="1" applyProtection="1">
      <alignment horizontal="right"/>
    </xf>
    <xf numFmtId="165" fontId="18" fillId="42" borderId="303" xfId="0" applyNumberFormat="1" applyFont="1" applyFill="1" applyBorder="1" applyAlignment="1" applyProtection="1">
      <alignment horizontal="right"/>
    </xf>
    <xf numFmtId="165" fontId="18" fillId="42" borderId="305" xfId="0" applyNumberFormat="1" applyFont="1" applyFill="1" applyBorder="1" applyAlignment="1" applyProtection="1">
      <alignment horizontal="right"/>
    </xf>
    <xf numFmtId="165" fontId="18" fillId="42" borderId="306" xfId="0" applyNumberFormat="1" applyFont="1" applyFill="1" applyBorder="1" applyAlignment="1" applyProtection="1">
      <alignment horizontal="right"/>
    </xf>
    <xf numFmtId="165" fontId="18" fillId="42" borderId="300" xfId="0" applyNumberFormat="1" applyFont="1" applyFill="1" applyBorder="1" applyAlignment="1" applyProtection="1">
      <alignment horizontal="right"/>
    </xf>
    <xf numFmtId="165" fontId="18" fillId="42" borderId="249" xfId="0" applyNumberFormat="1" applyFont="1" applyFill="1" applyBorder="1" applyAlignment="1" applyProtection="1">
      <alignment horizontal="right"/>
    </xf>
    <xf numFmtId="0" fontId="50" fillId="33" borderId="14" xfId="0" applyFont="1" applyFill="1" applyBorder="1" applyAlignment="1" applyProtection="1">
      <alignment wrapText="1"/>
    </xf>
    <xf numFmtId="6" fontId="16" fillId="37" borderId="222" xfId="54" applyNumberFormat="1" applyFont="1" applyFill="1" applyBorder="1" applyAlignment="1" applyProtection="1">
      <alignment horizontal="right"/>
    </xf>
    <xf numFmtId="0" fontId="27" fillId="33" borderId="14" xfId="0" applyFont="1" applyFill="1" applyBorder="1" applyAlignment="1" applyProtection="1">
      <alignment vertical="center" wrapText="1"/>
    </xf>
    <xf numFmtId="0" fontId="27" fillId="33" borderId="14" xfId="0" quotePrefix="1" applyFont="1" applyFill="1" applyBorder="1" applyAlignment="1" applyProtection="1">
      <alignment vertical="center" wrapText="1"/>
    </xf>
    <xf numFmtId="0" fontId="50" fillId="33" borderId="14" xfId="0" applyFont="1" applyFill="1" applyBorder="1" applyAlignment="1" applyProtection="1">
      <alignment vertical="center" wrapText="1"/>
    </xf>
    <xf numFmtId="0" fontId="50" fillId="33" borderId="14" xfId="0" quotePrefix="1" applyFont="1" applyFill="1" applyBorder="1" applyAlignment="1" applyProtection="1">
      <alignment vertical="center" wrapText="1"/>
    </xf>
    <xf numFmtId="38" fontId="27" fillId="0" borderId="12" xfId="28" applyNumberFormat="1" applyFont="1" applyFill="1" applyBorder="1" applyProtection="1"/>
    <xf numFmtId="38" fontId="27" fillId="28" borderId="38" xfId="64" applyNumberFormat="1" applyFont="1" applyFill="1" applyBorder="1" applyAlignment="1" applyProtection="1">
      <alignment horizontal="left"/>
    </xf>
    <xf numFmtId="0" fontId="27" fillId="25" borderId="290" xfId="0" applyFont="1" applyFill="1" applyBorder="1" applyAlignment="1" applyProtection="1">
      <alignment horizontal="center" vertical="center" wrapText="1"/>
    </xf>
    <xf numFmtId="165" fontId="16" fillId="36" borderId="345" xfId="53" applyNumberFormat="1" applyFont="1" applyFill="1" applyBorder="1" applyAlignment="1" applyProtection="1">
      <alignment horizontal="right"/>
    </xf>
    <xf numFmtId="38" fontId="16" fillId="0" borderId="326" xfId="54" applyNumberFormat="1" applyFont="1" applyFill="1" applyBorder="1" applyAlignment="1" applyProtection="1">
      <alignment horizontal="right"/>
    </xf>
    <xf numFmtId="38" fontId="16" fillId="0" borderId="323" xfId="54" applyNumberFormat="1" applyFont="1" applyFill="1" applyBorder="1" applyAlignment="1" applyProtection="1">
      <alignment horizontal="right"/>
    </xf>
    <xf numFmtId="38" fontId="16" fillId="0" borderId="249" xfId="54" applyNumberFormat="1" applyFont="1" applyFill="1" applyBorder="1" applyAlignment="1" applyProtection="1">
      <alignment horizontal="right"/>
    </xf>
    <xf numFmtId="38" fontId="16" fillId="0" borderId="323" xfId="53" applyNumberFormat="1" applyFont="1" applyFill="1" applyBorder="1" applyAlignment="1" applyProtection="1">
      <alignment horizontal="right"/>
    </xf>
    <xf numFmtId="38" fontId="16" fillId="0" borderId="254" xfId="53" applyNumberFormat="1" applyFont="1" applyFill="1" applyBorder="1" applyAlignment="1" applyProtection="1">
      <alignment horizontal="right"/>
    </xf>
    <xf numFmtId="38" fontId="27" fillId="34" borderId="40" xfId="54" applyNumberFormat="1" applyFont="1" applyFill="1" applyBorder="1" applyAlignment="1" applyProtection="1">
      <alignment horizontal="right"/>
    </xf>
    <xf numFmtId="38" fontId="16" fillId="0" borderId="346" xfId="53" applyNumberFormat="1" applyFont="1" applyFill="1" applyBorder="1" applyAlignment="1" applyProtection="1">
      <alignment horizontal="right"/>
    </xf>
    <xf numFmtId="6" fontId="16" fillId="37" borderId="341" xfId="54" applyNumberFormat="1" applyFont="1" applyFill="1" applyBorder="1" applyAlignment="1" applyProtection="1">
      <alignment horizontal="right"/>
    </xf>
    <xf numFmtId="165" fontId="27" fillId="37" borderId="289" xfId="54" applyNumberFormat="1" applyFont="1" applyFill="1" applyBorder="1" applyAlignment="1" applyProtection="1">
      <alignment horizontal="right"/>
    </xf>
    <xf numFmtId="0" fontId="28" fillId="0" borderId="0" xfId="0" applyFont="1" applyBorder="1" applyAlignment="1" applyProtection="1">
      <alignment horizontal="center" vertical="center"/>
    </xf>
    <xf numFmtId="0" fontId="30" fillId="0" borderId="0" xfId="0" quotePrefix="1" applyFont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center"/>
    </xf>
    <xf numFmtId="0" fontId="20" fillId="0" borderId="0" xfId="0" applyFont="1" applyBorder="1" applyAlignment="1" applyProtection="1">
      <alignment horizontal="center"/>
    </xf>
    <xf numFmtId="0" fontId="18" fillId="0" borderId="0" xfId="0" applyFont="1" applyBorder="1" applyProtection="1"/>
    <xf numFmtId="0" fontId="20" fillId="0" borderId="0" xfId="0" applyFont="1" applyFill="1" applyBorder="1" applyAlignment="1" applyProtection="1">
      <alignment horizontal="center"/>
    </xf>
    <xf numFmtId="0" fontId="18" fillId="0" borderId="0" xfId="0" quotePrefix="1" applyFont="1" applyBorder="1" applyProtection="1"/>
    <xf numFmtId="0" fontId="18" fillId="0" borderId="0" xfId="0" applyFont="1" applyProtection="1"/>
    <xf numFmtId="0" fontId="35" fillId="0" borderId="0" xfId="0" quotePrefix="1" applyFont="1" applyBorder="1" applyAlignment="1" applyProtection="1">
      <alignment horizontal="left"/>
    </xf>
    <xf numFmtId="0" fontId="0" fillId="0" borderId="0" xfId="0" applyProtection="1"/>
    <xf numFmtId="0" fontId="30" fillId="0" borderId="0" xfId="0" applyFont="1" applyBorder="1" applyAlignment="1" applyProtection="1">
      <alignment horizontal="center" vertical="center" wrapText="1"/>
    </xf>
    <xf numFmtId="0" fontId="22" fillId="0" borderId="24" xfId="0" applyFont="1" applyBorder="1" applyAlignment="1" applyProtection="1">
      <alignment horizontal="center"/>
    </xf>
    <xf numFmtId="0" fontId="30" fillId="0" borderId="24" xfId="0" quotePrefix="1" applyFont="1" applyBorder="1" applyAlignment="1" applyProtection="1">
      <alignment horizontal="center" vertical="center" wrapText="1"/>
    </xf>
    <xf numFmtId="0" fontId="30" fillId="0" borderId="10" xfId="0" quotePrefix="1" applyFont="1" applyBorder="1" applyAlignment="1" applyProtection="1">
      <alignment horizontal="center" vertical="center" wrapText="1"/>
    </xf>
    <xf numFmtId="0" fontId="22" fillId="0" borderId="15" xfId="0" applyFont="1" applyBorder="1" applyAlignment="1" applyProtection="1">
      <alignment horizontal="center"/>
    </xf>
    <xf numFmtId="0" fontId="22" fillId="0" borderId="0" xfId="0" applyFont="1" applyBorder="1" applyAlignment="1" applyProtection="1">
      <alignment horizontal="center"/>
    </xf>
    <xf numFmtId="0" fontId="22" fillId="0" borderId="15" xfId="0" applyFont="1" applyBorder="1" applyAlignment="1" applyProtection="1">
      <alignment horizontal="center" wrapText="1"/>
    </xf>
    <xf numFmtId="0" fontId="22" fillId="0" borderId="15" xfId="0" applyFont="1" applyBorder="1" applyProtection="1"/>
    <xf numFmtId="0" fontId="34" fillId="25" borderId="10" xfId="0" applyFont="1" applyFill="1" applyBorder="1" applyAlignment="1" applyProtection="1">
      <alignment horizontal="center" vertical="center" wrapText="1"/>
    </xf>
    <xf numFmtId="9" fontId="24" fillId="27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164" fontId="18" fillId="26" borderId="15" xfId="28" applyNumberFormat="1" applyFont="1" applyFill="1" applyBorder="1" applyAlignment="1" applyProtection="1">
      <alignment horizontal="center"/>
    </xf>
    <xf numFmtId="0" fontId="24" fillId="26" borderId="15" xfId="28" quotePrefix="1" applyNumberFormat="1" applyFont="1" applyFill="1" applyBorder="1" applyAlignment="1" applyProtection="1">
      <alignment horizontal="center"/>
    </xf>
    <xf numFmtId="1" fontId="24" fillId="26" borderId="19" xfId="28" quotePrefix="1" applyNumberFormat="1" applyFont="1" applyFill="1" applyBorder="1" applyAlignment="1" applyProtection="1">
      <alignment horizontal="center"/>
    </xf>
    <xf numFmtId="1" fontId="24" fillId="26" borderId="19" xfId="28" applyNumberFormat="1" applyFont="1" applyFill="1" applyBorder="1" applyAlignment="1" applyProtection="1">
      <alignment horizontal="center"/>
    </xf>
    <xf numFmtId="1" fontId="24" fillId="26" borderId="15" xfId="28" applyNumberFormat="1" applyFont="1" applyFill="1" applyBorder="1" applyAlignment="1" applyProtection="1">
      <alignment horizontal="center"/>
    </xf>
    <xf numFmtId="1" fontId="24" fillId="26" borderId="15" xfId="28" quotePrefix="1" applyNumberFormat="1" applyFont="1" applyFill="1" applyBorder="1" applyAlignment="1" applyProtection="1">
      <alignment horizontal="center"/>
    </xf>
    <xf numFmtId="3" fontId="18" fillId="0" borderId="320" xfId="0" applyNumberFormat="1" applyFont="1" applyBorder="1" applyAlignment="1" applyProtection="1">
      <alignment horizontal="center"/>
    </xf>
    <xf numFmtId="3" fontId="18" fillId="0" borderId="343" xfId="0" applyNumberFormat="1" applyFont="1" applyBorder="1" applyProtection="1"/>
    <xf numFmtId="165" fontId="18" fillId="0" borderId="320" xfId="0" applyNumberFormat="1" applyFont="1" applyBorder="1" applyProtection="1"/>
    <xf numFmtId="10" fontId="18" fillId="0" borderId="320" xfId="48" applyNumberFormat="1" applyFont="1" applyFill="1" applyBorder="1" applyProtection="1"/>
    <xf numFmtId="6" fontId="18" fillId="0" borderId="320" xfId="32" applyNumberFormat="1" applyFont="1" applyFill="1" applyBorder="1" applyProtection="1"/>
    <xf numFmtId="2" fontId="36" fillId="0" borderId="320" xfId="45" applyNumberFormat="1" applyFont="1" applyFill="1" applyBorder="1" applyAlignment="1" applyProtection="1">
      <alignment horizontal="right" wrapText="1"/>
    </xf>
    <xf numFmtId="165" fontId="36" fillId="0" borderId="320" xfId="45" applyNumberFormat="1" applyFont="1" applyFill="1" applyBorder="1" applyAlignment="1" applyProtection="1">
      <alignment horizontal="right" wrapText="1"/>
    </xf>
    <xf numFmtId="0" fontId="36" fillId="0" borderId="320" xfId="45" applyFont="1" applyFill="1" applyBorder="1" applyAlignment="1" applyProtection="1">
      <alignment horizontal="right" wrapText="1"/>
    </xf>
    <xf numFmtId="1" fontId="36" fillId="0" borderId="320" xfId="45" applyNumberFormat="1" applyFont="1" applyFill="1" applyBorder="1" applyAlignment="1" applyProtection="1">
      <alignment horizontal="right" wrapText="1"/>
    </xf>
    <xf numFmtId="2" fontId="18" fillId="0" borderId="320" xfId="0" applyNumberFormat="1" applyFont="1" applyBorder="1" applyProtection="1"/>
    <xf numFmtId="4" fontId="18" fillId="0" borderId="320" xfId="28" applyNumberFormat="1" applyFont="1" applyBorder="1" applyProtection="1"/>
    <xf numFmtId="4" fontId="18" fillId="0" borderId="343" xfId="28" applyNumberFormat="1" applyFont="1" applyBorder="1" applyProtection="1"/>
    <xf numFmtId="40" fontId="18" fillId="0" borderId="320" xfId="0" applyNumberFormat="1" applyFont="1" applyFill="1" applyBorder="1" applyProtection="1"/>
    <xf numFmtId="165" fontId="18" fillId="0" borderId="320" xfId="0" applyNumberFormat="1" applyFont="1" applyFill="1" applyBorder="1" applyProtection="1"/>
    <xf numFmtId="10" fontId="18" fillId="0" borderId="320" xfId="0" applyNumberFormat="1" applyFont="1" applyFill="1" applyBorder="1" applyProtection="1"/>
    <xf numFmtId="167" fontId="18" fillId="0" borderId="320" xfId="48" applyNumberFormat="1" applyFont="1" applyFill="1" applyBorder="1" applyProtection="1"/>
    <xf numFmtId="10" fontId="18" fillId="34" borderId="320" xfId="0" applyNumberFormat="1" applyFont="1" applyFill="1" applyBorder="1" applyProtection="1"/>
    <xf numFmtId="165" fontId="18" fillId="34" borderId="320" xfId="0" applyNumberFormat="1" applyFont="1" applyFill="1" applyBorder="1" applyProtection="1"/>
    <xf numFmtId="3" fontId="18" fillId="0" borderId="13" xfId="0" applyNumberFormat="1" applyFont="1" applyBorder="1" applyAlignment="1" applyProtection="1">
      <alignment horizontal="center"/>
    </xf>
    <xf numFmtId="3" fontId="18" fillId="0" borderId="18" xfId="0" applyNumberFormat="1" applyFont="1" applyBorder="1" applyProtection="1"/>
    <xf numFmtId="165" fontId="18" fillId="0" borderId="13" xfId="0" applyNumberFormat="1" applyFont="1" applyBorder="1" applyProtection="1"/>
    <xf numFmtId="10" fontId="18" fillId="0" borderId="13" xfId="48" applyNumberFormat="1" applyFont="1" applyFill="1" applyBorder="1" applyProtection="1"/>
    <xf numFmtId="6" fontId="18" fillId="0" borderId="13" xfId="32" applyNumberFormat="1" applyFont="1" applyFill="1" applyBorder="1" applyProtection="1"/>
    <xf numFmtId="2" fontId="36" fillId="0" borderId="13" xfId="45" applyNumberFormat="1" applyFont="1" applyFill="1" applyBorder="1" applyAlignment="1" applyProtection="1">
      <alignment horizontal="right" wrapText="1"/>
    </xf>
    <xf numFmtId="165" fontId="36" fillId="0" borderId="13" xfId="45" applyNumberFormat="1" applyFont="1" applyFill="1" applyBorder="1" applyAlignment="1" applyProtection="1">
      <alignment horizontal="right" wrapText="1"/>
    </xf>
    <xf numFmtId="0" fontId="36" fillId="0" borderId="13" xfId="45" applyFont="1" applyFill="1" applyBorder="1" applyAlignment="1" applyProtection="1">
      <alignment horizontal="right" wrapText="1"/>
    </xf>
    <xf numFmtId="2" fontId="18" fillId="0" borderId="13" xfId="0" applyNumberFormat="1" applyFont="1" applyBorder="1" applyProtection="1"/>
    <xf numFmtId="4" fontId="18" fillId="0" borderId="13" xfId="28" applyNumberFormat="1" applyFont="1" applyBorder="1" applyProtection="1"/>
    <xf numFmtId="4" fontId="18" fillId="0" borderId="18" xfId="28" applyNumberFormat="1" applyFont="1" applyBorder="1" applyProtection="1"/>
    <xf numFmtId="40" fontId="18" fillId="0" borderId="13" xfId="0" applyNumberFormat="1" applyFont="1" applyFill="1" applyBorder="1" applyProtection="1"/>
    <xf numFmtId="165" fontId="18" fillId="0" borderId="13" xfId="0" applyNumberFormat="1" applyFont="1" applyFill="1" applyBorder="1" applyProtection="1"/>
    <xf numFmtId="10" fontId="18" fillId="0" borderId="13" xfId="0" applyNumberFormat="1" applyFont="1" applyFill="1" applyBorder="1" applyProtection="1"/>
    <xf numFmtId="6" fontId="18" fillId="0" borderId="13" xfId="0" applyNumberFormat="1" applyFont="1" applyFill="1" applyBorder="1" applyProtection="1"/>
    <xf numFmtId="167" fontId="18" fillId="0" borderId="13" xfId="48" applyNumberFormat="1" applyFont="1" applyFill="1" applyBorder="1" applyProtection="1"/>
    <xf numFmtId="0" fontId="0" fillId="0" borderId="0" xfId="0" applyFill="1" applyProtection="1"/>
    <xf numFmtId="3" fontId="18" fillId="0" borderId="11" xfId="0" applyNumberFormat="1" applyFont="1" applyFill="1" applyBorder="1" applyAlignment="1" applyProtection="1">
      <alignment horizontal="center"/>
    </xf>
    <xf numFmtId="3" fontId="18" fillId="0" borderId="17" xfId="0" applyNumberFormat="1" applyFont="1" applyFill="1" applyBorder="1" applyProtection="1"/>
    <xf numFmtId="165" fontId="18" fillId="0" borderId="11" xfId="0" applyNumberFormat="1" applyFont="1" applyFill="1" applyBorder="1" applyProtection="1"/>
    <xf numFmtId="165" fontId="18" fillId="0" borderId="17" xfId="0" applyNumberFormat="1" applyFont="1" applyFill="1" applyBorder="1" applyProtection="1"/>
    <xf numFmtId="10" fontId="18" fillId="0" borderId="17" xfId="48" applyNumberFormat="1" applyFont="1" applyFill="1" applyBorder="1" applyProtection="1"/>
    <xf numFmtId="6" fontId="18" fillId="0" borderId="11" xfId="32" applyNumberFormat="1" applyFont="1" applyFill="1" applyBorder="1" applyProtection="1"/>
    <xf numFmtId="2" fontId="18" fillId="0" borderId="11" xfId="0" applyNumberFormat="1" applyFont="1" applyFill="1" applyBorder="1" applyProtection="1"/>
    <xf numFmtId="1" fontId="18" fillId="0" borderId="11" xfId="0" applyNumberFormat="1" applyFont="1" applyFill="1" applyBorder="1" applyProtection="1"/>
    <xf numFmtId="3" fontId="18" fillId="0" borderId="11" xfId="0" applyNumberFormat="1" applyFont="1" applyFill="1" applyBorder="1" applyProtection="1"/>
    <xf numFmtId="165" fontId="18" fillId="31" borderId="11" xfId="0" applyNumberFormat="1" applyFont="1" applyFill="1" applyBorder="1" applyProtection="1"/>
    <xf numFmtId="4" fontId="18" fillId="31" borderId="11" xfId="28" applyNumberFormat="1" applyFont="1" applyFill="1" applyBorder="1" applyProtection="1"/>
    <xf numFmtId="4" fontId="18" fillId="31" borderId="17" xfId="28" applyNumberFormat="1" applyFont="1" applyFill="1" applyBorder="1" applyProtection="1"/>
    <xf numFmtId="40" fontId="18" fillId="31" borderId="11" xfId="0" applyNumberFormat="1" applyFont="1" applyFill="1" applyBorder="1" applyProtection="1"/>
    <xf numFmtId="10" fontId="18" fillId="0" borderId="11" xfId="0" applyNumberFormat="1" applyFont="1" applyFill="1" applyBorder="1" applyProtection="1"/>
    <xf numFmtId="6" fontId="18" fillId="0" borderId="11" xfId="0" applyNumberFormat="1" applyFont="1" applyFill="1" applyBorder="1" applyProtection="1"/>
    <xf numFmtId="167" fontId="18" fillId="0" borderId="11" xfId="48" applyNumberFormat="1" applyFont="1" applyFill="1" applyBorder="1" applyProtection="1"/>
    <xf numFmtId="10" fontId="18" fillId="0" borderId="11" xfId="48" applyNumberFormat="1" applyFont="1" applyFill="1" applyBorder="1" applyProtection="1"/>
    <xf numFmtId="0" fontId="18" fillId="0" borderId="0" xfId="0" applyFont="1" applyFill="1" applyProtection="1"/>
    <xf numFmtId="0" fontId="18" fillId="0" borderId="12" xfId="0" applyFont="1" applyBorder="1" applyAlignment="1" applyProtection="1">
      <alignment horizontal="right"/>
    </xf>
    <xf numFmtId="0" fontId="27" fillId="0" borderId="31" xfId="0" applyFont="1" applyBorder="1" applyAlignment="1" applyProtection="1">
      <alignment horizontal="right"/>
    </xf>
    <xf numFmtId="5" fontId="27" fillId="0" borderId="12" xfId="32" applyNumberFormat="1" applyFont="1" applyBorder="1" applyAlignment="1" applyProtection="1">
      <alignment horizontal="right"/>
    </xf>
    <xf numFmtId="5" fontId="27" fillId="0" borderId="37" xfId="32" applyNumberFormat="1" applyFont="1" applyBorder="1" applyAlignment="1" applyProtection="1">
      <alignment horizontal="right"/>
    </xf>
    <xf numFmtId="10" fontId="27" fillId="34" borderId="37" xfId="48" applyNumberFormat="1" applyFont="1" applyFill="1" applyBorder="1" applyAlignment="1" applyProtection="1">
      <alignment horizontal="right"/>
    </xf>
    <xf numFmtId="6" fontId="27" fillId="34" borderId="12" xfId="32" applyNumberFormat="1" applyFont="1" applyFill="1" applyBorder="1" applyAlignment="1" applyProtection="1">
      <alignment horizontal="right"/>
    </xf>
    <xf numFmtId="2" fontId="27" fillId="0" borderId="37" xfId="0" applyNumberFormat="1" applyFont="1" applyBorder="1" applyAlignment="1" applyProtection="1">
      <alignment horizontal="right"/>
    </xf>
    <xf numFmtId="0" fontId="27" fillId="0" borderId="12" xfId="0" applyFont="1" applyBorder="1" applyAlignment="1" applyProtection="1">
      <alignment horizontal="right"/>
    </xf>
    <xf numFmtId="0" fontId="27" fillId="0" borderId="12" xfId="0" applyFont="1" applyFill="1" applyBorder="1" applyAlignment="1" applyProtection="1">
      <alignment horizontal="right"/>
    </xf>
    <xf numFmtId="5" fontId="27" fillId="0" borderId="12" xfId="32" applyNumberFormat="1" applyFont="1" applyFill="1" applyBorder="1" applyAlignment="1" applyProtection="1">
      <alignment horizontal="right"/>
    </xf>
    <xf numFmtId="43" fontId="27" fillId="0" borderId="12" xfId="28" applyNumberFormat="1" applyFont="1" applyBorder="1" applyAlignment="1" applyProtection="1">
      <alignment horizontal="right"/>
    </xf>
    <xf numFmtId="43" fontId="27" fillId="0" borderId="12" xfId="28" applyFont="1" applyBorder="1" applyAlignment="1" applyProtection="1">
      <alignment horizontal="right"/>
    </xf>
    <xf numFmtId="43" fontId="27" fillId="0" borderId="31" xfId="28" applyNumberFormat="1" applyFont="1" applyBorder="1" applyAlignment="1" applyProtection="1">
      <alignment horizontal="right"/>
    </xf>
    <xf numFmtId="10" fontId="27" fillId="0" borderId="37" xfId="32" applyNumberFormat="1" applyFont="1" applyFill="1" applyBorder="1" applyAlignment="1" applyProtection="1">
      <alignment horizontal="right"/>
    </xf>
    <xf numFmtId="6" fontId="27" fillId="0" borderId="37" xfId="32" applyNumberFormat="1" applyFont="1" applyBorder="1" applyAlignment="1" applyProtection="1">
      <alignment horizontal="right"/>
    </xf>
    <xf numFmtId="10" fontId="27" fillId="0" borderId="12" xfId="0" applyNumberFormat="1" applyFont="1" applyBorder="1" applyAlignment="1" applyProtection="1">
      <alignment horizontal="right"/>
    </xf>
    <xf numFmtId="0" fontId="0" fillId="0" borderId="0" xfId="0" applyAlignment="1" applyProtection="1">
      <alignment horizontal="right"/>
    </xf>
    <xf numFmtId="10" fontId="0" fillId="0" borderId="0" xfId="0" applyNumberFormat="1" applyProtection="1"/>
    <xf numFmtId="0" fontId="42" fillId="0" borderId="0" xfId="0" applyFont="1" applyAlignment="1" applyProtection="1">
      <alignment horizontal="center"/>
    </xf>
    <xf numFmtId="9" fontId="0" fillId="0" borderId="0" xfId="0" applyNumberFormat="1" applyProtection="1"/>
    <xf numFmtId="0" fontId="23" fillId="0" borderId="0" xfId="0" applyFont="1" applyProtection="1"/>
    <xf numFmtId="5" fontId="0" fillId="0" borderId="0" xfId="0" applyNumberFormat="1" applyProtection="1"/>
    <xf numFmtId="10" fontId="0" fillId="0" borderId="0" xfId="48" applyNumberFormat="1" applyFont="1" applyProtection="1"/>
    <xf numFmtId="10" fontId="23" fillId="0" borderId="0" xfId="0" applyNumberFormat="1" applyFont="1" applyProtection="1"/>
    <xf numFmtId="167" fontId="42" fillId="0" borderId="0" xfId="0" applyNumberFormat="1" applyFont="1" applyAlignment="1" applyProtection="1">
      <alignment horizontal="center"/>
    </xf>
    <xf numFmtId="5" fontId="23" fillId="0" borderId="0" xfId="0" applyNumberFormat="1" applyFont="1" applyProtection="1"/>
    <xf numFmtId="2" fontId="0" fillId="0" borderId="0" xfId="0" applyNumberFormat="1" applyProtection="1"/>
    <xf numFmtId="0" fontId="46" fillId="0" borderId="0" xfId="0" applyFont="1" applyAlignment="1" applyProtection="1">
      <alignment horizontal="center"/>
    </xf>
    <xf numFmtId="3" fontId="0" fillId="0" borderId="0" xfId="0" applyNumberFormat="1" applyProtection="1"/>
    <xf numFmtId="3" fontId="18" fillId="0" borderId="0" xfId="0" applyNumberFormat="1" applyFont="1" applyFill="1" applyBorder="1" applyAlignment="1" applyProtection="1">
      <alignment horizontal="center"/>
    </xf>
    <xf numFmtId="3" fontId="18" fillId="0" borderId="0" xfId="0" applyNumberFormat="1" applyFont="1" applyFill="1" applyBorder="1" applyProtection="1"/>
    <xf numFmtId="0" fontId="0" fillId="0" borderId="0" xfId="0" applyBorder="1" applyProtection="1"/>
    <xf numFmtId="10" fontId="18" fillId="0" borderId="0" xfId="0" applyNumberFormat="1" applyFont="1" applyFill="1" applyBorder="1" applyProtection="1"/>
    <xf numFmtId="10" fontId="42" fillId="0" borderId="0" xfId="48" applyNumberFormat="1" applyFont="1" applyFill="1" applyBorder="1" applyProtection="1"/>
    <xf numFmtId="10" fontId="18" fillId="0" borderId="0" xfId="48" applyNumberFormat="1" applyFont="1" applyFill="1" applyBorder="1" applyProtection="1"/>
    <xf numFmtId="167" fontId="42" fillId="0" borderId="0" xfId="48" applyNumberFormat="1" applyFont="1" applyFill="1" applyBorder="1" applyProtection="1"/>
    <xf numFmtId="165" fontId="18" fillId="0" borderId="0" xfId="0" applyNumberFormat="1" applyFont="1" applyFill="1" applyBorder="1" applyProtection="1"/>
    <xf numFmtId="0" fontId="0" fillId="0" borderId="0" xfId="0" applyFill="1" applyBorder="1" applyProtection="1"/>
    <xf numFmtId="167" fontId="0" fillId="0" borderId="0" xfId="0" applyNumberFormat="1" applyBorder="1" applyProtection="1"/>
    <xf numFmtId="169" fontId="0" fillId="0" borderId="0" xfId="0" applyNumberFormat="1" applyBorder="1" applyProtection="1"/>
    <xf numFmtId="165" fontId="0" fillId="0" borderId="0" xfId="0" applyNumberFormat="1" applyBorder="1" applyProtection="1"/>
    <xf numFmtId="6" fontId="27" fillId="54" borderId="291" xfId="64" applyNumberFormat="1" applyFont="1" applyFill="1" applyBorder="1" applyAlignment="1" applyProtection="1">
      <alignment horizontal="center" vertical="center" wrapText="1"/>
    </xf>
    <xf numFmtId="38" fontId="16" fillId="0" borderId="12" xfId="28" applyNumberFormat="1" applyFont="1" applyFill="1" applyBorder="1" applyProtection="1"/>
    <xf numFmtId="165" fontId="16" fillId="0" borderId="248" xfId="54" applyNumberFormat="1" applyFont="1" applyFill="1" applyBorder="1" applyAlignment="1" applyProtection="1">
      <alignment horizontal="right"/>
    </xf>
    <xf numFmtId="6" fontId="16" fillId="0" borderId="248" xfId="53" applyNumberFormat="1" applyFont="1" applyFill="1" applyBorder="1" applyAlignment="1" applyProtection="1">
      <alignment horizontal="right"/>
    </xf>
    <xf numFmtId="6" fontId="16" fillId="34" borderId="248" xfId="53" applyNumberFormat="1" applyFont="1" applyFill="1" applyBorder="1" applyAlignment="1" applyProtection="1">
      <alignment horizontal="right"/>
    </xf>
    <xf numFmtId="0" fontId="27" fillId="25" borderId="15" xfId="0" applyFont="1" applyFill="1" applyBorder="1" applyAlignment="1" applyProtection="1">
      <alignment horizontal="center" vertical="center" wrapText="1"/>
    </xf>
    <xf numFmtId="0" fontId="27" fillId="25" borderId="10" xfId="0" applyFont="1" applyFill="1" applyBorder="1" applyAlignment="1" applyProtection="1">
      <alignment horizontal="center" vertical="center" wrapText="1"/>
    </xf>
    <xf numFmtId="0" fontId="16" fillId="0" borderId="0" xfId="64" applyProtection="1"/>
    <xf numFmtId="0" fontId="27" fillId="36" borderId="272" xfId="253" quotePrefix="1" applyFont="1" applyFill="1" applyBorder="1" applyAlignment="1" applyProtection="1">
      <alignment horizontal="center" vertical="center" wrapText="1"/>
    </xf>
    <xf numFmtId="0" fontId="27" fillId="36" borderId="272" xfId="253" applyFont="1" applyFill="1" applyBorder="1" applyAlignment="1" applyProtection="1">
      <alignment horizontal="center" vertical="center" wrapText="1"/>
    </xf>
    <xf numFmtId="0" fontId="27" fillId="50" borderId="272" xfId="64" applyFont="1" applyFill="1" applyBorder="1" applyAlignment="1" applyProtection="1">
      <alignment horizontal="center" vertical="center" wrapText="1"/>
    </xf>
    <xf numFmtId="0" fontId="27" fillId="37" borderId="57" xfId="64" applyFont="1" applyFill="1" applyBorder="1" applyAlignment="1" applyProtection="1">
      <alignment horizontal="center" vertical="center" wrapText="1"/>
    </xf>
    <xf numFmtId="0" fontId="27" fillId="46" borderId="272" xfId="64" applyFont="1" applyFill="1" applyBorder="1" applyAlignment="1" applyProtection="1">
      <alignment horizontal="center" vertical="center" wrapText="1"/>
    </xf>
    <xf numFmtId="0" fontId="27" fillId="36" borderId="248" xfId="253" quotePrefix="1" applyFont="1" applyFill="1" applyBorder="1" applyAlignment="1" applyProtection="1">
      <alignment vertical="center" wrapText="1"/>
    </xf>
    <xf numFmtId="165" fontId="24" fillId="53" borderId="279" xfId="253" applyNumberFormat="1" applyFont="1" applyFill="1" applyBorder="1" applyAlignment="1" applyProtection="1">
      <alignment horizontal="center" wrapText="1"/>
    </xf>
    <xf numFmtId="165" fontId="24" fillId="35" borderId="273" xfId="64" applyNumberFormat="1" applyFont="1" applyFill="1" applyBorder="1" applyAlignment="1" applyProtection="1">
      <alignment horizontal="center" wrapText="1"/>
    </xf>
    <xf numFmtId="8" fontId="27" fillId="38" borderId="272" xfId="64" applyNumberFormat="1" applyFont="1" applyFill="1" applyBorder="1" applyAlignment="1" applyProtection="1">
      <alignment horizontal="center" vertical="center" wrapText="1"/>
    </xf>
    <xf numFmtId="38" fontId="16" fillId="0" borderId="319" xfId="253" applyNumberFormat="1" applyFont="1" applyBorder="1" applyProtection="1"/>
    <xf numFmtId="38" fontId="16" fillId="0" borderId="320" xfId="253" applyNumberFormat="1" applyFont="1" applyBorder="1" applyProtection="1"/>
    <xf numFmtId="38" fontId="16" fillId="0" borderId="248" xfId="253" applyNumberFormat="1" applyFont="1" applyBorder="1" applyProtection="1"/>
    <xf numFmtId="6" fontId="20" fillId="36" borderId="319" xfId="253" applyNumberFormat="1" applyFont="1" applyFill="1" applyBorder="1" applyProtection="1"/>
    <xf numFmtId="0" fontId="16" fillId="0" borderId="335" xfId="64" applyNumberFormat="1" applyFont="1" applyFill="1" applyBorder="1" applyAlignment="1" applyProtection="1">
      <alignment horizontal="center"/>
    </xf>
    <xf numFmtId="3" fontId="16" fillId="0" borderId="317" xfId="64" applyNumberFormat="1" applyFont="1" applyFill="1" applyBorder="1" applyAlignment="1" applyProtection="1">
      <alignment horizontal="left"/>
    </xf>
    <xf numFmtId="38" fontId="16" fillId="0" borderId="335" xfId="253" applyNumberFormat="1" applyFont="1" applyBorder="1" applyProtection="1"/>
    <xf numFmtId="6" fontId="20" fillId="36" borderId="335" xfId="253" applyNumberFormat="1" applyFont="1" applyFill="1" applyBorder="1" applyProtection="1"/>
    <xf numFmtId="0" fontId="16" fillId="0" borderId="342" xfId="64" applyBorder="1" applyProtection="1"/>
    <xf numFmtId="0" fontId="16" fillId="0" borderId="320" xfId="64" applyNumberFormat="1" applyFont="1" applyFill="1" applyBorder="1" applyAlignment="1" applyProtection="1">
      <alignment horizontal="center"/>
    </xf>
    <xf numFmtId="6" fontId="20" fillId="36" borderId="320" xfId="253" applyNumberFormat="1" applyFont="1" applyFill="1" applyBorder="1" applyProtection="1"/>
    <xf numFmtId="0" fontId="16" fillId="0" borderId="248" xfId="64" applyNumberFormat="1" applyFont="1" applyFill="1" applyBorder="1" applyAlignment="1" applyProtection="1">
      <alignment horizontal="center"/>
    </xf>
    <xf numFmtId="6" fontId="20" fillId="36" borderId="248" xfId="253" applyNumberFormat="1" applyFont="1" applyFill="1" applyBorder="1" applyProtection="1"/>
    <xf numFmtId="0" fontId="16" fillId="28" borderId="246" xfId="64" applyFont="1" applyFill="1" applyBorder="1" applyAlignment="1" applyProtection="1">
      <alignment horizontal="center"/>
    </xf>
    <xf numFmtId="0" fontId="16" fillId="0" borderId="0" xfId="64" applyBorder="1" applyProtection="1"/>
    <xf numFmtId="0" fontId="16" fillId="0" borderId="319" xfId="64" applyNumberFormat="1" applyFont="1" applyFill="1" applyBorder="1" applyAlignment="1" applyProtection="1">
      <alignment horizontal="center"/>
    </xf>
    <xf numFmtId="0" fontId="16" fillId="0" borderId="319" xfId="64" applyFont="1" applyBorder="1" applyAlignment="1" applyProtection="1">
      <alignment horizontal="left"/>
    </xf>
    <xf numFmtId="0" fontId="16" fillId="0" borderId="57" xfId="64" applyNumberFormat="1" applyFont="1" applyFill="1" applyBorder="1" applyAlignment="1" applyProtection="1">
      <alignment horizontal="center"/>
    </xf>
    <xf numFmtId="0" fontId="16" fillId="39" borderId="250" xfId="64" applyFont="1" applyFill="1" applyBorder="1" applyAlignment="1" applyProtection="1">
      <alignment horizontal="center"/>
    </xf>
    <xf numFmtId="0" fontId="16" fillId="0" borderId="0" xfId="64" applyFont="1" applyProtection="1"/>
    <xf numFmtId="0" fontId="16" fillId="39" borderId="252" xfId="64" applyFont="1" applyFill="1" applyBorder="1" applyAlignment="1" applyProtection="1">
      <alignment horizontal="center"/>
    </xf>
    <xf numFmtId="0" fontId="16" fillId="28" borderId="278" xfId="64" applyFont="1" applyFill="1" applyBorder="1" applyAlignment="1" applyProtection="1">
      <alignment horizontal="center"/>
    </xf>
    <xf numFmtId="0" fontId="16" fillId="0" borderId="319" xfId="253" applyFont="1" applyFill="1" applyBorder="1" applyAlignment="1" applyProtection="1">
      <alignment horizontal="left" wrapText="1"/>
    </xf>
    <xf numFmtId="0" fontId="16" fillId="0" borderId="248" xfId="253" applyFont="1" applyFill="1" applyBorder="1" applyAlignment="1" applyProtection="1">
      <alignment horizontal="left" wrapText="1"/>
    </xf>
    <xf numFmtId="0" fontId="16" fillId="0" borderId="248" xfId="253" applyFont="1" applyFill="1" applyBorder="1" applyAlignment="1" applyProtection="1">
      <alignment horizontal="left"/>
    </xf>
    <xf numFmtId="38" fontId="16" fillId="0" borderId="273" xfId="253" applyNumberFormat="1" applyFont="1" applyBorder="1" applyProtection="1"/>
    <xf numFmtId="6" fontId="20" fillId="36" borderId="273" xfId="253" applyNumberFormat="1" applyFont="1" applyFill="1" applyBorder="1" applyProtection="1"/>
    <xf numFmtId="38" fontId="20" fillId="0" borderId="12" xfId="28" applyNumberFormat="1" applyFont="1" applyFill="1" applyBorder="1" applyProtection="1"/>
    <xf numFmtId="0" fontId="16" fillId="28" borderId="56" xfId="64" applyFont="1" applyFill="1" applyBorder="1" applyAlignment="1" applyProtection="1">
      <alignment horizontal="center"/>
    </xf>
    <xf numFmtId="0" fontId="16" fillId="0" borderId="0" xfId="64" applyFont="1" applyAlignment="1" applyProtection="1">
      <alignment horizontal="center"/>
    </xf>
    <xf numFmtId="0" fontId="16" fillId="0" borderId="0" xfId="64" applyFont="1" applyAlignment="1" applyProtection="1"/>
    <xf numFmtId="6" fontId="16" fillId="0" borderId="166" xfId="53" applyNumberFormat="1" applyFont="1" applyFill="1" applyBorder="1" applyAlignment="1" applyProtection="1">
      <alignment horizontal="right"/>
    </xf>
    <xf numFmtId="6" fontId="16" fillId="48" borderId="166" xfId="53" applyNumberFormat="1" applyFont="1" applyFill="1" applyBorder="1" applyAlignment="1" applyProtection="1">
      <alignment horizontal="right"/>
    </xf>
    <xf numFmtId="6" fontId="16" fillId="48" borderId="290" xfId="53" applyNumberFormat="1" applyFont="1" applyFill="1" applyBorder="1" applyAlignment="1" applyProtection="1">
      <alignment horizontal="right"/>
    </xf>
    <xf numFmtId="6" fontId="16" fillId="39" borderId="247" xfId="53" applyNumberFormat="1" applyFont="1" applyFill="1" applyBorder="1" applyAlignment="1" applyProtection="1">
      <alignment horizontal="right"/>
    </xf>
    <xf numFmtId="0" fontId="18" fillId="34" borderId="0" xfId="0" applyFont="1" applyFill="1" applyBorder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49" fontId="27" fillId="37" borderId="291" xfId="0" applyNumberFormat="1" applyFont="1" applyFill="1" applyBorder="1" applyAlignment="1" applyProtection="1">
      <alignment horizontal="center" vertical="center" wrapText="1"/>
    </xf>
    <xf numFmtId="10" fontId="27" fillId="33" borderId="291" xfId="49" applyNumberFormat="1" applyFont="1" applyFill="1" applyBorder="1" applyAlignment="1" applyProtection="1">
      <alignment horizontal="center" vertical="center" wrapText="1"/>
    </xf>
    <xf numFmtId="6" fontId="27" fillId="33" borderId="291" xfId="49" applyNumberFormat="1" applyFont="1" applyFill="1" applyBorder="1" applyAlignment="1" applyProtection="1">
      <alignment horizontal="center" vertical="center" wrapText="1"/>
    </xf>
    <xf numFmtId="1" fontId="18" fillId="0" borderId="0" xfId="0" applyNumberFormat="1" applyFont="1" applyAlignment="1" applyProtection="1">
      <alignment horizontal="center"/>
    </xf>
    <xf numFmtId="1" fontId="18" fillId="0" borderId="293" xfId="0" applyNumberFormat="1" applyFont="1" applyBorder="1" applyAlignment="1" applyProtection="1">
      <alignment horizontal="center"/>
    </xf>
    <xf numFmtId="1" fontId="18" fillId="0" borderId="15" xfId="0" applyNumberFormat="1" applyFont="1" applyBorder="1" applyAlignment="1" applyProtection="1">
      <alignment horizontal="center"/>
    </xf>
    <xf numFmtId="0" fontId="20" fillId="0" borderId="0" xfId="0" applyFont="1" applyProtection="1"/>
    <xf numFmtId="0" fontId="18" fillId="0" borderId="0" xfId="0" applyFont="1" applyAlignment="1" applyProtection="1">
      <alignment horizontal="center"/>
    </xf>
    <xf numFmtId="0" fontId="18" fillId="0" borderId="25" xfId="0" applyFont="1" applyBorder="1" applyAlignment="1" applyProtection="1">
      <alignment horizontal="center"/>
    </xf>
    <xf numFmtId="0" fontId="18" fillId="0" borderId="14" xfId="0" applyFont="1" applyBorder="1" applyProtection="1"/>
    <xf numFmtId="0" fontId="18" fillId="0" borderId="0" xfId="0" quotePrefix="1" applyFont="1" applyAlignment="1" applyProtection="1">
      <alignment horizontal="center"/>
    </xf>
    <xf numFmtId="0" fontId="18" fillId="34" borderId="0" xfId="0" quotePrefix="1" applyFont="1" applyFill="1" applyBorder="1" applyAlignment="1" applyProtection="1">
      <alignment horizontal="center"/>
    </xf>
    <xf numFmtId="0" fontId="18" fillId="0" borderId="25" xfId="0" quotePrefix="1" applyFont="1" applyBorder="1" applyAlignment="1" applyProtection="1">
      <alignment horizontal="center"/>
    </xf>
    <xf numFmtId="164" fontId="18" fillId="0" borderId="0" xfId="30" applyNumberFormat="1" applyFont="1" applyAlignment="1" applyProtection="1"/>
    <xf numFmtId="0" fontId="18" fillId="0" borderId="0" xfId="0" applyFont="1" applyAlignment="1" applyProtection="1">
      <alignment horizontal="left"/>
    </xf>
    <xf numFmtId="10" fontId="18" fillId="0" borderId="0" xfId="49" applyNumberFormat="1" applyFont="1" applyAlignment="1" applyProtection="1"/>
    <xf numFmtId="0" fontId="16" fillId="0" borderId="0" xfId="0" applyFont="1" applyAlignment="1" applyProtection="1">
      <alignment horizontal="left"/>
    </xf>
    <xf numFmtId="5" fontId="18" fillId="0" borderId="0" xfId="34" applyNumberFormat="1" applyFont="1" applyAlignment="1" applyProtection="1">
      <alignment horizontal="right"/>
    </xf>
    <xf numFmtId="0" fontId="18" fillId="0" borderId="0" xfId="0" applyFont="1" applyAlignment="1" applyProtection="1"/>
    <xf numFmtId="10" fontId="18" fillId="0" borderId="14" xfId="0" applyNumberFormat="1" applyFont="1" applyBorder="1" applyAlignment="1" applyProtection="1">
      <alignment horizontal="right"/>
    </xf>
    <xf numFmtId="165" fontId="18" fillId="0" borderId="0" xfId="0" applyNumberFormat="1" applyFont="1" applyAlignment="1" applyProtection="1">
      <alignment horizontal="right"/>
    </xf>
    <xf numFmtId="168" fontId="18" fillId="0" borderId="14" xfId="0" applyNumberFormat="1" applyFont="1" applyBorder="1" applyAlignment="1" applyProtection="1">
      <alignment horizontal="right"/>
    </xf>
    <xf numFmtId="0" fontId="16" fillId="0" borderId="0" xfId="0" quotePrefix="1" applyFont="1" applyAlignment="1" applyProtection="1"/>
    <xf numFmtId="164" fontId="18" fillId="0" borderId="14" xfId="0" applyNumberFormat="1" applyFont="1" applyBorder="1" applyAlignment="1" applyProtection="1">
      <alignment horizontal="right"/>
    </xf>
    <xf numFmtId="6" fontId="18" fillId="0" borderId="14" xfId="0" applyNumberFormat="1" applyFont="1" applyBorder="1" applyAlignment="1" applyProtection="1">
      <alignment horizontal="right"/>
    </xf>
    <xf numFmtId="6" fontId="18" fillId="0" borderId="0" xfId="0" applyNumberFormat="1" applyFont="1" applyAlignment="1" applyProtection="1">
      <alignment horizontal="right"/>
    </xf>
    <xf numFmtId="49" fontId="50" fillId="33" borderId="246" xfId="53" applyNumberFormat="1" applyFont="1" applyFill="1" applyBorder="1" applyAlignment="1" applyProtection="1">
      <alignment horizontal="center" vertical="center" wrapText="1"/>
    </xf>
    <xf numFmtId="49" fontId="50" fillId="33" borderId="14" xfId="53" applyNumberFormat="1" applyFont="1" applyFill="1" applyBorder="1" applyAlignment="1" applyProtection="1">
      <alignment horizontal="center" vertical="center" wrapText="1"/>
    </xf>
    <xf numFmtId="49" fontId="50" fillId="33" borderId="38" xfId="53" applyNumberFormat="1" applyFont="1" applyFill="1" applyBorder="1" applyAlignment="1" applyProtection="1">
      <alignment horizontal="center" vertical="center" wrapText="1"/>
    </xf>
    <xf numFmtId="6" fontId="16" fillId="0" borderId="248" xfId="54" applyNumberFormat="1" applyFont="1" applyFill="1" applyBorder="1" applyAlignment="1" applyProtection="1">
      <alignment horizontal="right"/>
    </xf>
    <xf numFmtId="0" fontId="99" fillId="0" borderId="0" xfId="0" applyFont="1" applyProtection="1"/>
    <xf numFmtId="0" fontId="97" fillId="0" borderId="56" xfId="0" applyFont="1" applyFill="1" applyBorder="1" applyAlignment="1" applyProtection="1">
      <alignment horizontal="center" vertical="center" wrapText="1"/>
    </xf>
    <xf numFmtId="0" fontId="97" fillId="25" borderId="272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6" fontId="27" fillId="0" borderId="0" xfId="0" applyNumberFormat="1" applyFont="1" applyBorder="1" applyProtection="1"/>
    <xf numFmtId="0" fontId="16" fillId="0" borderId="0" xfId="0" applyFont="1" applyAlignment="1" applyProtection="1">
      <alignment horizontal="right" wrapText="1"/>
    </xf>
    <xf numFmtId="0" fontId="27" fillId="27" borderId="224" xfId="0" applyFont="1" applyFill="1" applyBorder="1" applyAlignment="1" applyProtection="1">
      <alignment horizontal="center" vertical="center" wrapText="1"/>
    </xf>
    <xf numFmtId="0" fontId="27" fillId="41" borderId="224" xfId="0" applyFont="1" applyFill="1" applyBorder="1" applyAlignment="1" applyProtection="1">
      <alignment horizontal="center" vertical="center" wrapText="1"/>
    </xf>
    <xf numFmtId="0" fontId="27" fillId="51" borderId="224" xfId="0" applyFont="1" applyFill="1" applyBorder="1" applyAlignment="1" applyProtection="1">
      <alignment horizontal="center" vertical="center" wrapText="1"/>
    </xf>
    <xf numFmtId="0" fontId="27" fillId="36" borderId="224" xfId="0" applyFont="1" applyFill="1" applyBorder="1" applyAlignment="1" applyProtection="1">
      <alignment horizontal="center" vertical="center" wrapText="1"/>
    </xf>
    <xf numFmtId="0" fontId="27" fillId="36" borderId="260" xfId="0" applyFont="1" applyFill="1" applyBorder="1" applyAlignment="1" applyProtection="1">
      <alignment horizontal="center" vertical="center" wrapText="1"/>
    </xf>
    <xf numFmtId="0" fontId="27" fillId="51" borderId="10" xfId="0" applyFont="1" applyFill="1" applyBorder="1" applyAlignment="1" applyProtection="1">
      <alignment horizontal="center" vertical="center" wrapText="1"/>
    </xf>
    <xf numFmtId="0" fontId="27" fillId="3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89" fillId="0" borderId="0" xfId="0" applyFont="1" applyAlignment="1" applyProtection="1">
      <alignment wrapText="1"/>
    </xf>
    <xf numFmtId="0" fontId="27" fillId="27" borderId="290" xfId="0" applyFont="1" applyFill="1" applyBorder="1" applyAlignment="1" applyProtection="1">
      <alignment horizontal="center" vertical="center" wrapText="1"/>
    </xf>
    <xf numFmtId="0" fontId="27" fillId="41" borderId="290" xfId="0" applyFont="1" applyFill="1" applyBorder="1" applyAlignment="1" applyProtection="1">
      <alignment horizontal="center" vertical="center" wrapText="1"/>
    </xf>
    <xf numFmtId="0" fontId="27" fillId="51" borderId="290" xfId="0" applyFont="1" applyFill="1" applyBorder="1" applyAlignment="1" applyProtection="1">
      <alignment horizontal="center" vertical="center" wrapText="1"/>
    </xf>
    <xf numFmtId="0" fontId="27" fillId="50" borderId="290" xfId="0" applyFont="1" applyFill="1" applyBorder="1" applyAlignment="1" applyProtection="1">
      <alignment horizontal="center" vertical="center" wrapText="1"/>
    </xf>
    <xf numFmtId="0" fontId="27" fillId="36" borderId="290" xfId="0" applyFont="1" applyFill="1" applyBorder="1" applyAlignment="1" applyProtection="1">
      <alignment horizontal="center" vertical="center" wrapText="1"/>
    </xf>
    <xf numFmtId="0" fontId="27" fillId="27" borderId="291" xfId="0" applyFont="1" applyFill="1" applyBorder="1" applyAlignment="1" applyProtection="1">
      <alignment horizontal="center" vertical="center" wrapText="1"/>
    </xf>
    <xf numFmtId="0" fontId="27" fillId="36" borderId="291" xfId="0" applyFont="1" applyFill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/>
    </xf>
    <xf numFmtId="0" fontId="19" fillId="0" borderId="0" xfId="0" applyFont="1" applyFill="1" applyAlignment="1" applyProtection="1">
      <alignment horizontal="center"/>
    </xf>
    <xf numFmtId="164" fontId="25" fillId="27" borderId="53" xfId="28" applyNumberFormat="1" applyFont="1" applyFill="1" applyBorder="1" applyAlignment="1" applyProtection="1">
      <alignment horizontal="right"/>
    </xf>
    <xf numFmtId="164" fontId="25" fillId="27" borderId="30" xfId="28" applyNumberFormat="1" applyFont="1" applyFill="1" applyBorder="1" applyAlignment="1" applyProtection="1">
      <alignment horizontal="right"/>
    </xf>
    <xf numFmtId="165" fontId="25" fillId="27" borderId="53" xfId="28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wrapText="1"/>
    </xf>
    <xf numFmtId="9" fontId="25" fillId="27" borderId="53" xfId="28" applyNumberFormat="1" applyFont="1" applyFill="1" applyBorder="1" applyAlignment="1" applyProtection="1">
      <alignment horizontal="right"/>
    </xf>
    <xf numFmtId="9" fontId="44" fillId="0" borderId="0" xfId="0" applyNumberFormat="1" applyFont="1" applyFill="1" applyBorder="1" applyAlignment="1" applyProtection="1">
      <alignment horizontal="center"/>
    </xf>
    <xf numFmtId="0" fontId="44" fillId="0" borderId="0" xfId="0" applyFont="1" applyFill="1" applyBorder="1" applyAlignment="1" applyProtection="1"/>
    <xf numFmtId="0" fontId="19" fillId="0" borderId="0" xfId="0" applyFont="1" applyProtection="1"/>
    <xf numFmtId="9" fontId="25" fillId="27" borderId="53" xfId="0" applyNumberFormat="1" applyFont="1" applyFill="1" applyBorder="1" applyAlignment="1" applyProtection="1">
      <alignment horizontal="center"/>
    </xf>
    <xf numFmtId="39" fontId="25" fillId="27" borderId="53" xfId="28" applyNumberFormat="1" applyFont="1" applyFill="1" applyBorder="1" applyAlignment="1" applyProtection="1">
      <alignment horizontal="center"/>
    </xf>
    <xf numFmtId="9" fontId="25" fillId="0" borderId="23" xfId="0" applyNumberFormat="1" applyFont="1" applyFill="1" applyBorder="1" applyAlignment="1" applyProtection="1">
      <alignment horizontal="center"/>
    </xf>
    <xf numFmtId="0" fontId="27" fillId="25" borderId="291" xfId="0" applyFont="1" applyFill="1" applyBorder="1" applyAlignment="1" applyProtection="1">
      <alignment horizontal="center" vertical="center" wrapText="1"/>
    </xf>
    <xf numFmtId="166" fontId="27" fillId="25" borderId="291" xfId="0" applyNumberFormat="1" applyFont="1" applyFill="1" applyBorder="1" applyAlignment="1" applyProtection="1">
      <alignment horizontal="center" vertical="center" wrapText="1"/>
    </xf>
    <xf numFmtId="0" fontId="33" fillId="25" borderId="291" xfId="0" applyFont="1" applyFill="1" applyBorder="1" applyAlignment="1" applyProtection="1">
      <alignment horizontal="center" vertical="center" wrapText="1"/>
    </xf>
    <xf numFmtId="0" fontId="33" fillId="29" borderId="291" xfId="0" applyFont="1" applyFill="1" applyBorder="1" applyAlignment="1" applyProtection="1">
      <alignment horizontal="center" vertical="center" wrapText="1"/>
    </xf>
    <xf numFmtId="0" fontId="33" fillId="27" borderId="291" xfId="0" applyFont="1" applyFill="1" applyBorder="1" applyAlignment="1" applyProtection="1">
      <alignment horizontal="center" vertical="center" wrapText="1"/>
    </xf>
    <xf numFmtId="0" fontId="45" fillId="25" borderId="291" xfId="0" applyFont="1" applyFill="1" applyBorder="1" applyAlignment="1" applyProtection="1">
      <alignment horizontal="center" vertical="center" wrapText="1"/>
    </xf>
    <xf numFmtId="0" fontId="45" fillId="42" borderId="291" xfId="0" applyFont="1" applyFill="1" applyBorder="1" applyAlignment="1" applyProtection="1">
      <alignment horizontal="center" vertical="center" wrapText="1"/>
    </xf>
    <xf numFmtId="0" fontId="45" fillId="29" borderId="291" xfId="0" applyFont="1" applyFill="1" applyBorder="1" applyAlignment="1" applyProtection="1">
      <alignment horizontal="center" vertical="center" wrapText="1"/>
    </xf>
    <xf numFmtId="0" fontId="45" fillId="27" borderId="291" xfId="0" applyFont="1" applyFill="1" applyBorder="1" applyAlignment="1" applyProtection="1">
      <alignment horizontal="center" vertical="center" wrapText="1"/>
    </xf>
    <xf numFmtId="1" fontId="18" fillId="26" borderId="15" xfId="28" applyNumberFormat="1" applyFont="1" applyFill="1" applyBorder="1" applyAlignment="1" applyProtection="1">
      <alignment horizontal="center"/>
    </xf>
    <xf numFmtId="1" fontId="24" fillId="26" borderId="54" xfId="28" quotePrefix="1" applyNumberFormat="1" applyFont="1" applyFill="1" applyBorder="1" applyAlignment="1" applyProtection="1">
      <alignment horizontal="center"/>
    </xf>
    <xf numFmtId="1" fontId="24" fillId="26" borderId="54" xfId="28" applyNumberFormat="1" applyFont="1" applyFill="1" applyBorder="1" applyAlignment="1" applyProtection="1">
      <alignment horizontal="center"/>
    </xf>
    <xf numFmtId="1" fontId="0" fillId="0" borderId="0" xfId="0" applyNumberFormat="1" applyAlignment="1" applyProtection="1">
      <alignment horizontal="center"/>
    </xf>
    <xf numFmtId="1" fontId="18" fillId="0" borderId="0" xfId="28" applyNumberFormat="1" applyFont="1" applyAlignment="1" applyProtection="1">
      <alignment horizontal="center"/>
    </xf>
    <xf numFmtId="3" fontId="18" fillId="0" borderId="320" xfId="0" applyNumberFormat="1" applyFont="1" applyFill="1" applyBorder="1" applyAlignment="1" applyProtection="1">
      <alignment horizontal="center"/>
    </xf>
    <xf numFmtId="3" fontId="18" fillId="0" borderId="320" xfId="0" applyNumberFormat="1" applyFont="1" applyFill="1" applyBorder="1" applyProtection="1"/>
    <xf numFmtId="3" fontId="18" fillId="0" borderId="320" xfId="0" applyNumberFormat="1" applyFont="1" applyBorder="1" applyProtection="1"/>
    <xf numFmtId="3" fontId="18" fillId="0" borderId="320" xfId="28" applyNumberFormat="1" applyFont="1" applyBorder="1" applyProtection="1"/>
    <xf numFmtId="168" fontId="18" fillId="0" borderId="320" xfId="48" applyNumberFormat="1" applyFont="1" applyBorder="1" applyProtection="1"/>
    <xf numFmtId="165" fontId="18" fillId="0" borderId="331" xfId="0" applyNumberFormat="1" applyFont="1" applyBorder="1" applyProtection="1"/>
    <xf numFmtId="165" fontId="18" fillId="27" borderId="331" xfId="0" applyNumberFormat="1" applyFont="1" applyFill="1" applyBorder="1" applyProtection="1"/>
    <xf numFmtId="10" fontId="18" fillId="0" borderId="331" xfId="0" applyNumberFormat="1" applyFont="1" applyBorder="1" applyProtection="1"/>
    <xf numFmtId="6" fontId="18" fillId="0" borderId="331" xfId="32" applyNumberFormat="1" applyFont="1" applyBorder="1" applyProtection="1"/>
    <xf numFmtId="6" fontId="18" fillId="0" borderId="320" xfId="0" applyNumberFormat="1" applyFont="1" applyBorder="1" applyProtection="1"/>
    <xf numFmtId="165" fontId="18" fillId="27" borderId="320" xfId="0" applyNumberFormat="1" applyFont="1" applyFill="1" applyBorder="1" applyProtection="1"/>
    <xf numFmtId="10" fontId="18" fillId="0" borderId="320" xfId="48" applyNumberFormat="1" applyFont="1" applyBorder="1" applyProtection="1"/>
    <xf numFmtId="165" fontId="18" fillId="27" borderId="320" xfId="28" applyNumberFormat="1" applyFont="1" applyFill="1" applyBorder="1" applyProtection="1"/>
    <xf numFmtId="165" fontId="18" fillId="0" borderId="320" xfId="28" applyNumberFormat="1" applyFont="1" applyBorder="1" applyProtection="1"/>
    <xf numFmtId="164" fontId="18" fillId="0" borderId="320" xfId="28" applyNumberFormat="1" applyFont="1" applyBorder="1" applyProtection="1"/>
    <xf numFmtId="6" fontId="18" fillId="0" borderId="320" xfId="28" applyNumberFormat="1" applyFont="1" applyBorder="1" applyProtection="1"/>
    <xf numFmtId="6" fontId="18" fillId="0" borderId="11" xfId="0" applyNumberFormat="1" applyFont="1" applyBorder="1" applyProtection="1"/>
    <xf numFmtId="3" fontId="18" fillId="0" borderId="0" xfId="0" applyNumberFormat="1" applyFont="1" applyProtection="1"/>
    <xf numFmtId="3" fontId="18" fillId="0" borderId="13" xfId="0" applyNumberFormat="1" applyFont="1" applyFill="1" applyBorder="1" applyAlignment="1" applyProtection="1">
      <alignment horizontal="center"/>
    </xf>
    <xf numFmtId="3" fontId="18" fillId="0" borderId="13" xfId="0" applyNumberFormat="1" applyFont="1" applyFill="1" applyBorder="1" applyProtection="1"/>
    <xf numFmtId="3" fontId="18" fillId="0" borderId="13" xfId="0" applyNumberFormat="1" applyFont="1" applyBorder="1" applyProtection="1"/>
    <xf numFmtId="168" fontId="18" fillId="0" borderId="13" xfId="48" applyNumberFormat="1" applyFont="1" applyBorder="1" applyProtection="1"/>
    <xf numFmtId="3" fontId="18" fillId="0" borderId="341" xfId="0" applyNumberFormat="1" applyFont="1" applyBorder="1" applyProtection="1"/>
    <xf numFmtId="165" fontId="18" fillId="0" borderId="38" xfId="0" applyNumberFormat="1" applyFont="1" applyBorder="1" applyProtection="1"/>
    <xf numFmtId="165" fontId="18" fillId="27" borderId="38" xfId="0" applyNumberFormat="1" applyFont="1" applyFill="1" applyBorder="1" applyProtection="1"/>
    <xf numFmtId="10" fontId="18" fillId="0" borderId="13" xfId="0" applyNumberFormat="1" applyFont="1" applyBorder="1" applyProtection="1"/>
    <xf numFmtId="10" fontId="18" fillId="0" borderId="38" xfId="0" applyNumberFormat="1" applyFont="1" applyBorder="1" applyProtection="1"/>
    <xf numFmtId="6" fontId="18" fillId="0" borderId="38" xfId="32" applyNumberFormat="1" applyFont="1" applyBorder="1" applyProtection="1"/>
    <xf numFmtId="6" fontId="18" fillId="0" borderId="13" xfId="0" applyNumberFormat="1" applyFont="1" applyBorder="1" applyProtection="1"/>
    <xf numFmtId="165" fontId="18" fillId="27" borderId="13" xfId="0" applyNumberFormat="1" applyFont="1" applyFill="1" applyBorder="1" applyProtection="1"/>
    <xf numFmtId="10" fontId="18" fillId="0" borderId="13" xfId="48" applyNumberFormat="1" applyFont="1" applyBorder="1" applyProtection="1"/>
    <xf numFmtId="165" fontId="18" fillId="27" borderId="13" xfId="28" applyNumberFormat="1" applyFont="1" applyFill="1" applyBorder="1" applyProtection="1"/>
    <xf numFmtId="165" fontId="18" fillId="0" borderId="13" xfId="28" applyNumberFormat="1" applyFont="1" applyBorder="1" applyProtection="1"/>
    <xf numFmtId="164" fontId="18" fillId="0" borderId="13" xfId="28" applyNumberFormat="1" applyFont="1" applyBorder="1" applyProtection="1"/>
    <xf numFmtId="6" fontId="18" fillId="0" borderId="13" xfId="28" applyNumberFormat="1" applyFont="1" applyBorder="1" applyProtection="1"/>
    <xf numFmtId="3" fontId="18" fillId="0" borderId="14" xfId="0" applyNumberFormat="1" applyFont="1" applyBorder="1" applyProtection="1"/>
    <xf numFmtId="0" fontId="0" fillId="34" borderId="0" xfId="0" applyFill="1" applyProtection="1"/>
    <xf numFmtId="3" fontId="18" fillId="34" borderId="0" xfId="0" applyNumberFormat="1" applyFont="1" applyFill="1" applyProtection="1"/>
    <xf numFmtId="0" fontId="18" fillId="0" borderId="12" xfId="0" applyFont="1" applyFill="1" applyBorder="1" applyAlignment="1" applyProtection="1">
      <alignment horizontal="center"/>
    </xf>
    <xf numFmtId="0" fontId="27" fillId="0" borderId="12" xfId="0" applyFont="1" applyFill="1" applyBorder="1" applyProtection="1"/>
    <xf numFmtId="3" fontId="27" fillId="0" borderId="12" xfId="0" applyNumberFormat="1" applyFont="1" applyFill="1" applyBorder="1" applyProtection="1"/>
    <xf numFmtId="6" fontId="20" fillId="0" borderId="12" xfId="0" applyNumberFormat="1" applyFont="1" applyBorder="1" applyProtection="1"/>
    <xf numFmtId="6" fontId="20" fillId="27" borderId="12" xfId="0" applyNumberFormat="1" applyFont="1" applyFill="1" applyBorder="1" applyProtection="1"/>
    <xf numFmtId="10" fontId="20" fillId="27" borderId="12" xfId="0" applyNumberFormat="1" applyFont="1" applyFill="1" applyBorder="1" applyProtection="1"/>
    <xf numFmtId="10" fontId="20" fillId="27" borderId="309" xfId="0" applyNumberFormat="1" applyFont="1" applyFill="1" applyBorder="1" applyProtection="1"/>
    <xf numFmtId="6" fontId="20" fillId="0" borderId="12" xfId="32" applyNumberFormat="1" applyFont="1" applyBorder="1" applyProtection="1"/>
    <xf numFmtId="38" fontId="20" fillId="0" borderId="12" xfId="0" applyNumberFormat="1" applyFont="1" applyBorder="1" applyProtection="1"/>
    <xf numFmtId="6" fontId="20" fillId="0" borderId="288" xfId="0" applyNumberFormat="1" applyFont="1" applyBorder="1" applyProtection="1"/>
    <xf numFmtId="38" fontId="20" fillId="27" borderId="12" xfId="0" applyNumberFormat="1" applyFont="1" applyFill="1" applyBorder="1" applyProtection="1"/>
    <xf numFmtId="10" fontId="20" fillId="0" borderId="12" xfId="48" applyNumberFormat="1" applyFont="1" applyBorder="1" applyProtection="1"/>
    <xf numFmtId="165" fontId="20" fillId="27" borderId="12" xfId="0" applyNumberFormat="1" applyFont="1" applyFill="1" applyBorder="1" applyProtection="1"/>
    <xf numFmtId="165" fontId="20" fillId="0" borderId="309" xfId="0" applyNumberFormat="1" applyFont="1" applyBorder="1" applyProtection="1"/>
    <xf numFmtId="165" fontId="20" fillId="0" borderId="12" xfId="0" applyNumberFormat="1" applyFont="1" applyBorder="1" applyProtection="1"/>
    <xf numFmtId="10" fontId="20" fillId="0" borderId="309" xfId="48" applyNumberFormat="1" applyFont="1" applyBorder="1" applyProtection="1"/>
    <xf numFmtId="38" fontId="0" fillId="0" borderId="0" xfId="0" applyNumberFormat="1" applyProtection="1"/>
    <xf numFmtId="0" fontId="18" fillId="0" borderId="0" xfId="0" applyFont="1" applyFill="1" applyAlignment="1" applyProtection="1">
      <alignment horizontal="center"/>
    </xf>
    <xf numFmtId="166" fontId="18" fillId="0" borderId="0" xfId="0" applyNumberFormat="1" applyFont="1" applyProtection="1"/>
    <xf numFmtId="6" fontId="18" fillId="0" borderId="0" xfId="0" applyNumberFormat="1" applyFont="1" applyProtection="1"/>
    <xf numFmtId="0" fontId="18" fillId="0" borderId="0" xfId="0" applyFont="1" applyFill="1" applyBorder="1" applyProtection="1"/>
    <xf numFmtId="165" fontId="18" fillId="0" borderId="0" xfId="0" applyNumberFormat="1" applyFont="1" applyProtection="1"/>
    <xf numFmtId="0" fontId="47" fillId="0" borderId="0" xfId="0" applyFont="1" applyFill="1" applyBorder="1" applyProtection="1"/>
    <xf numFmtId="0" fontId="18" fillId="0" borderId="0" xfId="0" applyFont="1" applyFill="1" applyBorder="1" applyAlignment="1" applyProtection="1">
      <alignment wrapText="1"/>
    </xf>
    <xf numFmtId="166" fontId="18" fillId="0" borderId="0" xfId="0" applyNumberFormat="1" applyFont="1" applyFill="1" applyBorder="1" applyProtection="1"/>
    <xf numFmtId="0" fontId="42" fillId="0" borderId="0" xfId="0" applyFont="1" applyFill="1" applyBorder="1" applyAlignment="1" applyProtection="1">
      <alignment horizontal="center" vertical="center"/>
    </xf>
    <xf numFmtId="6" fontId="42" fillId="0" borderId="0" xfId="0" applyNumberFormat="1" applyFont="1" applyFill="1" applyBorder="1" applyAlignment="1" applyProtection="1">
      <alignment horizontal="center" vertical="center" wrapText="1"/>
    </xf>
    <xf numFmtId="5" fontId="18" fillId="0" borderId="0" xfId="0" applyNumberFormat="1" applyFont="1" applyProtection="1"/>
    <xf numFmtId="8" fontId="18" fillId="0" borderId="0" xfId="0" applyNumberFormat="1" applyFont="1" applyFill="1" applyProtection="1"/>
    <xf numFmtId="164" fontId="18" fillId="0" borderId="0" xfId="28" applyNumberFormat="1" applyFont="1" applyProtection="1"/>
    <xf numFmtId="0" fontId="32" fillId="0" borderId="10" xfId="0" quotePrefix="1" applyFont="1" applyBorder="1" applyAlignment="1" applyProtection="1">
      <alignment horizontal="center" vertical="center" wrapText="1"/>
    </xf>
    <xf numFmtId="0" fontId="32" fillId="0" borderId="0" xfId="0" quotePrefix="1" applyFont="1" applyBorder="1" applyAlignment="1" applyProtection="1">
      <alignment horizontal="center" vertical="center" wrapText="1"/>
    </xf>
    <xf numFmtId="8" fontId="24" fillId="25" borderId="255" xfId="0" applyNumberFormat="1" applyFont="1" applyFill="1" applyBorder="1" applyAlignment="1" applyProtection="1">
      <alignment horizontal="center" wrapText="1"/>
    </xf>
    <xf numFmtId="6" fontId="24" fillId="25" borderId="255" xfId="0" applyNumberFormat="1" applyFont="1" applyFill="1" applyBorder="1" applyAlignment="1" applyProtection="1">
      <alignment horizontal="center" wrapText="1"/>
    </xf>
    <xf numFmtId="1" fontId="18" fillId="0" borderId="0" xfId="0" applyNumberFormat="1" applyFont="1" applyProtection="1"/>
    <xf numFmtId="0" fontId="16" fillId="0" borderId="0" xfId="0" quotePrefix="1" applyFont="1" applyProtection="1"/>
    <xf numFmtId="0" fontId="16" fillId="0" borderId="0" xfId="0" applyFont="1" applyProtection="1"/>
    <xf numFmtId="6" fontId="27" fillId="0" borderId="12" xfId="0" applyNumberFormat="1" applyFont="1" applyBorder="1" applyProtection="1"/>
    <xf numFmtId="0" fontId="30" fillId="33" borderId="246" xfId="0" applyFont="1" applyFill="1" applyBorder="1" applyAlignment="1" applyProtection="1">
      <alignment horizontal="center" wrapText="1"/>
    </xf>
    <xf numFmtId="0" fontId="30" fillId="33" borderId="14" xfId="0" applyFont="1" applyFill="1" applyBorder="1" applyAlignment="1" applyProtection="1">
      <alignment horizontal="center" wrapText="1"/>
    </xf>
    <xf numFmtId="0" fontId="30" fillId="33" borderId="14" xfId="0" quotePrefix="1" applyFont="1" applyFill="1" applyBorder="1" applyAlignment="1" applyProtection="1">
      <alignment horizontal="center" wrapText="1"/>
    </xf>
    <xf numFmtId="0" fontId="0" fillId="33" borderId="14" xfId="0" applyFill="1" applyBorder="1" applyAlignment="1" applyProtection="1"/>
    <xf numFmtId="0" fontId="0" fillId="33" borderId="38" xfId="0" applyFill="1" applyBorder="1" applyAlignment="1" applyProtection="1"/>
    <xf numFmtId="0" fontId="0" fillId="0" borderId="0" xfId="0" applyAlignment="1" applyProtection="1"/>
    <xf numFmtId="0" fontId="27" fillId="37" borderId="297" xfId="0" applyFont="1" applyFill="1" applyBorder="1" applyAlignment="1" applyProtection="1">
      <alignment horizontal="center" vertical="center" wrapText="1"/>
    </xf>
    <xf numFmtId="0" fontId="27" fillId="37" borderId="10" xfId="0" applyFont="1" applyFill="1" applyBorder="1" applyAlignment="1" applyProtection="1">
      <alignment horizontal="center" vertical="center" wrapText="1"/>
    </xf>
    <xf numFmtId="0" fontId="27" fillId="37" borderId="165" xfId="0" applyFont="1" applyFill="1" applyBorder="1" applyAlignment="1" applyProtection="1">
      <alignment horizontal="center" vertical="center" wrapText="1"/>
    </xf>
    <xf numFmtId="0" fontId="27" fillId="36" borderId="233" xfId="0" applyFont="1" applyFill="1" applyBorder="1" applyAlignment="1" applyProtection="1">
      <alignment horizontal="center" vertical="center" wrapText="1"/>
    </xf>
    <xf numFmtId="0" fontId="27" fillId="43" borderId="57" xfId="0" applyFont="1" applyFill="1" applyBorder="1" applyAlignment="1" applyProtection="1">
      <alignment horizontal="center" vertical="center" wrapText="1"/>
    </xf>
    <xf numFmtId="0" fontId="27" fillId="37" borderId="57" xfId="0" applyFont="1" applyFill="1" applyBorder="1" applyAlignment="1" applyProtection="1">
      <alignment horizontal="center" vertical="center" wrapText="1"/>
    </xf>
    <xf numFmtId="0" fontId="0" fillId="26" borderId="291" xfId="0" applyFill="1" applyBorder="1" applyProtection="1"/>
    <xf numFmtId="0" fontId="0" fillId="26" borderId="15" xfId="0" applyFill="1" applyBorder="1" applyProtection="1"/>
    <xf numFmtId="1" fontId="24" fillId="26" borderId="15" xfId="0" quotePrefix="1" applyNumberFormat="1" applyFont="1" applyFill="1" applyBorder="1" applyAlignment="1" applyProtection="1">
      <alignment horizontal="center"/>
    </xf>
    <xf numFmtId="0" fontId="16" fillId="0" borderId="248" xfId="0" applyFont="1" applyBorder="1" applyAlignment="1" applyProtection="1">
      <alignment horizontal="center" wrapText="1"/>
    </xf>
    <xf numFmtId="0" fontId="20" fillId="0" borderId="13" xfId="0" applyFont="1" applyBorder="1" applyAlignment="1" applyProtection="1">
      <alignment wrapText="1"/>
    </xf>
    <xf numFmtId="3" fontId="0" fillId="0" borderId="13" xfId="0" applyNumberFormat="1" applyFill="1" applyBorder="1" applyProtection="1"/>
    <xf numFmtId="6" fontId="0" fillId="0" borderId="13" xfId="0" applyNumberFormat="1" applyBorder="1" applyProtection="1"/>
    <xf numFmtId="6" fontId="0" fillId="37" borderId="13" xfId="0" applyNumberFormat="1" applyFill="1" applyBorder="1" applyProtection="1"/>
    <xf numFmtId="6" fontId="0" fillId="0" borderId="13" xfId="0" applyNumberFormat="1" applyFill="1" applyBorder="1" applyProtection="1"/>
    <xf numFmtId="6" fontId="0" fillId="36" borderId="13" xfId="0" applyNumberFormat="1" applyFill="1" applyBorder="1" applyProtection="1"/>
    <xf numFmtId="6" fontId="0" fillId="0" borderId="248" xfId="0" applyNumberFormat="1" applyFill="1" applyBorder="1" applyProtection="1"/>
    <xf numFmtId="0" fontId="16" fillId="0" borderId="57" xfId="0" applyFont="1" applyBorder="1" applyAlignment="1" applyProtection="1">
      <alignment horizontal="center" wrapText="1"/>
    </xf>
    <xf numFmtId="0" fontId="20" fillId="0" borderId="11" xfId="0" applyFont="1" applyBorder="1" applyAlignment="1" applyProtection="1">
      <alignment horizontal="left" wrapText="1"/>
    </xf>
    <xf numFmtId="0" fontId="27" fillId="0" borderId="12" xfId="0" applyFont="1" applyBorder="1" applyProtection="1"/>
    <xf numFmtId="37" fontId="27" fillId="0" borderId="12" xfId="28" applyNumberFormat="1" applyFont="1" applyBorder="1" applyProtection="1"/>
    <xf numFmtId="8" fontId="27" fillId="0" borderId="12" xfId="0" applyNumberFormat="1" applyFont="1" applyBorder="1" applyProtection="1"/>
    <xf numFmtId="6" fontId="27" fillId="37" borderId="12" xfId="0" applyNumberFormat="1" applyFont="1" applyFill="1" applyBorder="1" applyProtection="1"/>
    <xf numFmtId="6" fontId="27" fillId="0" borderId="12" xfId="0" applyNumberFormat="1" applyFont="1" applyFill="1" applyBorder="1" applyProtection="1"/>
    <xf numFmtId="6" fontId="27" fillId="36" borderId="12" xfId="0" applyNumberFormat="1" applyFont="1" applyFill="1" applyBorder="1" applyProtection="1"/>
    <xf numFmtId="6" fontId="27" fillId="0" borderId="289" xfId="0" applyNumberFormat="1" applyFont="1" applyFill="1" applyBorder="1" applyProtection="1"/>
    <xf numFmtId="0" fontId="27" fillId="0" borderId="0" xfId="0" applyFont="1" applyBorder="1" applyProtection="1"/>
    <xf numFmtId="37" fontId="27" fillId="0" borderId="0" xfId="28" applyNumberFormat="1" applyFont="1" applyBorder="1" applyProtection="1"/>
    <xf numFmtId="8" fontId="27" fillId="0" borderId="0" xfId="0" applyNumberFormat="1" applyFont="1" applyBorder="1" applyProtection="1"/>
    <xf numFmtId="0" fontId="16" fillId="0" borderId="0" xfId="53" applyProtection="1"/>
    <xf numFmtId="0" fontId="16" fillId="33" borderId="246" xfId="53" applyFill="1" applyBorder="1" applyProtection="1"/>
    <xf numFmtId="0" fontId="16" fillId="33" borderId="14" xfId="53" applyFill="1" applyBorder="1" applyProtection="1"/>
    <xf numFmtId="0" fontId="16" fillId="33" borderId="38" xfId="53" applyFill="1" applyBorder="1" applyProtection="1"/>
    <xf numFmtId="0" fontId="27" fillId="37" borderId="290" xfId="53" applyFont="1" applyFill="1" applyBorder="1" applyAlignment="1" applyProtection="1">
      <alignment horizontal="center" vertical="center" wrapText="1"/>
    </xf>
    <xf numFmtId="6" fontId="97" fillId="37" borderId="290" xfId="53" applyNumberFormat="1" applyFont="1" applyFill="1" applyBorder="1" applyAlignment="1" applyProtection="1">
      <alignment horizontal="center" vertical="center" wrapText="1"/>
    </xf>
    <xf numFmtId="0" fontId="97" fillId="37" borderId="290" xfId="53" applyFont="1" applyFill="1" applyBorder="1" applyAlignment="1" applyProtection="1">
      <alignment horizontal="center" vertical="center" wrapText="1"/>
    </xf>
    <xf numFmtId="49" fontId="97" fillId="36" borderId="291" xfId="53" applyNumberFormat="1" applyFont="1" applyFill="1" applyBorder="1" applyAlignment="1" applyProtection="1">
      <alignment horizontal="center" vertical="center" wrapText="1"/>
    </xf>
    <xf numFmtId="49" fontId="97" fillId="37" borderId="290" xfId="53" applyNumberFormat="1" applyFont="1" applyFill="1" applyBorder="1" applyAlignment="1" applyProtection="1">
      <alignment horizontal="center" vertical="center" wrapText="1"/>
    </xf>
    <xf numFmtId="0" fontId="97" fillId="36" borderId="290" xfId="53" applyFont="1" applyFill="1" applyBorder="1" applyAlignment="1" applyProtection="1">
      <alignment horizontal="center" vertical="center" wrapText="1"/>
    </xf>
    <xf numFmtId="0" fontId="97" fillId="43" borderId="291" xfId="0" applyFont="1" applyFill="1" applyBorder="1" applyAlignment="1" applyProtection="1">
      <alignment horizontal="center" vertical="center" wrapText="1"/>
    </xf>
    <xf numFmtId="0" fontId="97" fillId="37" borderId="290" xfId="0" applyFont="1" applyFill="1" applyBorder="1" applyAlignment="1" applyProtection="1">
      <alignment horizontal="center" vertical="center" wrapText="1"/>
    </xf>
    <xf numFmtId="0" fontId="16" fillId="26" borderId="291" xfId="53" applyFont="1" applyFill="1" applyBorder="1" applyAlignment="1" applyProtection="1">
      <alignment horizontal="center" vertical="center"/>
    </xf>
    <xf numFmtId="0" fontId="16" fillId="26" borderId="291" xfId="53" applyFont="1" applyFill="1" applyBorder="1" applyAlignment="1" applyProtection="1">
      <alignment horizontal="center" vertical="center" wrapText="1"/>
    </xf>
    <xf numFmtId="0" fontId="20" fillId="0" borderId="54" xfId="53" quotePrefix="1" applyFont="1" applyFill="1" applyBorder="1" applyAlignment="1" applyProtection="1">
      <alignment horizontal="center" vertical="center" wrapText="1"/>
    </xf>
    <xf numFmtId="0" fontId="20" fillId="0" borderId="54" xfId="53" quotePrefix="1" applyFont="1" applyFill="1" applyBorder="1" applyAlignment="1" applyProtection="1">
      <alignment horizontal="left" wrapText="1"/>
    </xf>
    <xf numFmtId="38" fontId="16" fillId="34" borderId="54" xfId="53" applyNumberFormat="1" applyFont="1" applyFill="1" applyBorder="1" applyAlignment="1" applyProtection="1">
      <alignment horizontal="right"/>
    </xf>
    <xf numFmtId="6" fontId="16" fillId="34" borderId="54" xfId="53" applyNumberFormat="1" applyFont="1" applyFill="1" applyBorder="1" applyAlignment="1" applyProtection="1">
      <alignment horizontal="right"/>
    </xf>
    <xf numFmtId="6" fontId="16" fillId="37" borderId="54" xfId="53" applyNumberFormat="1" applyFont="1" applyFill="1" applyBorder="1" applyAlignment="1" applyProtection="1">
      <alignment horizontal="right"/>
    </xf>
    <xf numFmtId="6" fontId="16" fillId="0" borderId="54" xfId="53" applyNumberFormat="1" applyFont="1" applyBorder="1" applyAlignment="1" applyProtection="1">
      <alignment horizontal="right"/>
    </xf>
    <xf numFmtId="6" fontId="16" fillId="0" borderId="164" xfId="53" applyNumberFormat="1" applyFont="1" applyBorder="1" applyAlignment="1" applyProtection="1">
      <alignment horizontal="right"/>
    </xf>
    <xf numFmtId="6" fontId="16" fillId="36" borderId="164" xfId="53" applyNumberFormat="1" applyFont="1" applyFill="1" applyBorder="1" applyAlignment="1" applyProtection="1">
      <alignment horizontal="right"/>
    </xf>
    <xf numFmtId="6" fontId="16" fillId="37" borderId="164" xfId="53" applyNumberFormat="1" applyFont="1" applyFill="1" applyBorder="1" applyAlignment="1" applyProtection="1">
      <alignment horizontal="right"/>
    </xf>
    <xf numFmtId="6" fontId="16" fillId="0" borderId="54" xfId="53" applyNumberFormat="1" applyFont="1" applyBorder="1" applyAlignment="1" applyProtection="1">
      <alignment horizontal="right" wrapText="1"/>
    </xf>
    <xf numFmtId="6" fontId="16" fillId="0" borderId="291" xfId="53" applyNumberFormat="1" applyFont="1" applyFill="1" applyBorder="1" applyAlignment="1" applyProtection="1">
      <alignment horizontal="right"/>
    </xf>
    <xf numFmtId="6" fontId="16" fillId="37" borderId="291" xfId="53" applyNumberFormat="1" applyFont="1" applyFill="1" applyBorder="1" applyAlignment="1" applyProtection="1">
      <alignment horizontal="right"/>
    </xf>
    <xf numFmtId="6" fontId="16" fillId="0" borderId="54" xfId="53" applyNumberFormat="1" applyFont="1" applyFill="1" applyBorder="1" applyAlignment="1" applyProtection="1">
      <alignment horizontal="right"/>
    </xf>
    <xf numFmtId="0" fontId="20" fillId="0" borderId="54" xfId="53" applyFont="1" applyFill="1" applyBorder="1" applyAlignment="1" applyProtection="1">
      <alignment wrapText="1"/>
    </xf>
    <xf numFmtId="0" fontId="20" fillId="48" borderId="54" xfId="53" quotePrefix="1" applyFont="1" applyFill="1" applyBorder="1" applyAlignment="1" applyProtection="1">
      <alignment horizontal="right" vertical="center" wrapText="1"/>
    </xf>
    <xf numFmtId="0" fontId="20" fillId="48" borderId="54" xfId="53" applyFont="1" applyFill="1" applyBorder="1" applyAlignment="1" applyProtection="1">
      <alignment wrapText="1"/>
    </xf>
    <xf numFmtId="38" fontId="16" fillId="48" borderId="54" xfId="53" applyNumberFormat="1" applyFont="1" applyFill="1" applyBorder="1" applyAlignment="1" applyProtection="1">
      <alignment horizontal="right"/>
    </xf>
    <xf numFmtId="6" fontId="16" fillId="48" borderId="54" xfId="53" applyNumberFormat="1" applyFont="1" applyFill="1" applyBorder="1" applyAlignment="1" applyProtection="1">
      <alignment horizontal="right"/>
    </xf>
    <xf numFmtId="6" fontId="16" fillId="48" borderId="164" xfId="53" applyNumberFormat="1" applyFont="1" applyFill="1" applyBorder="1" applyAlignment="1" applyProtection="1">
      <alignment horizontal="right"/>
    </xf>
    <xf numFmtId="6" fontId="16" fillId="48" borderId="54" xfId="53" applyNumberFormat="1" applyFont="1" applyFill="1" applyBorder="1" applyAlignment="1" applyProtection="1">
      <alignment horizontal="right" wrapText="1"/>
    </xf>
    <xf numFmtId="6" fontId="16" fillId="48" borderId="291" xfId="53" applyNumberFormat="1" applyFont="1" applyFill="1" applyBorder="1" applyAlignment="1" applyProtection="1">
      <alignment horizontal="right"/>
    </xf>
    <xf numFmtId="0" fontId="20" fillId="48" borderId="290" xfId="53" applyFont="1" applyFill="1" applyBorder="1" applyAlignment="1" applyProtection="1">
      <alignment horizontal="right" vertical="center" wrapText="1"/>
    </xf>
    <xf numFmtId="0" fontId="20" fillId="48" borderId="290" xfId="53" applyFont="1" applyFill="1" applyBorder="1" applyAlignment="1" applyProtection="1">
      <alignment wrapText="1"/>
    </xf>
    <xf numFmtId="38" fontId="16" fillId="48" borderId="290" xfId="53" applyNumberFormat="1" applyFont="1" applyFill="1" applyBorder="1" applyAlignment="1" applyProtection="1">
      <alignment horizontal="right"/>
    </xf>
    <xf numFmtId="6" fontId="16" fillId="48" borderId="290" xfId="53" applyNumberFormat="1" applyFont="1" applyFill="1" applyBorder="1" applyAlignment="1" applyProtection="1">
      <alignment horizontal="right" wrapText="1"/>
    </xf>
    <xf numFmtId="0" fontId="20" fillId="39" borderId="349" xfId="53" applyFont="1" applyFill="1" applyBorder="1" applyAlignment="1" applyProtection="1">
      <alignment horizontal="center" vertical="center" wrapText="1"/>
    </xf>
    <xf numFmtId="0" fontId="20" fillId="39" borderId="247" xfId="53" applyFont="1" applyFill="1" applyBorder="1" applyAlignment="1" applyProtection="1">
      <alignment wrapText="1"/>
    </xf>
    <xf numFmtId="38" fontId="16" fillId="39" borderId="247" xfId="53" applyNumberFormat="1" applyFont="1" applyFill="1" applyBorder="1" applyAlignment="1" applyProtection="1">
      <alignment horizontal="right"/>
    </xf>
    <xf numFmtId="6" fontId="16" fillId="39" borderId="247" xfId="53" applyNumberFormat="1" applyFont="1" applyFill="1" applyBorder="1" applyAlignment="1" applyProtection="1">
      <alignment horizontal="right" wrapText="1"/>
    </xf>
    <xf numFmtId="6" fontId="16" fillId="39" borderId="350" xfId="53" applyNumberFormat="1" applyFont="1" applyFill="1" applyBorder="1" applyAlignment="1" applyProtection="1">
      <alignment horizontal="right"/>
    </xf>
    <xf numFmtId="0" fontId="20" fillId="0" borderId="248" xfId="53" quotePrefix="1" applyFont="1" applyFill="1" applyBorder="1" applyAlignment="1" applyProtection="1">
      <alignment horizontal="center" vertical="center" wrapText="1"/>
    </xf>
    <xf numFmtId="0" fontId="20" fillId="0" borderId="248" xfId="53" applyFont="1" applyFill="1" applyBorder="1" applyAlignment="1" applyProtection="1">
      <alignment wrapText="1"/>
    </xf>
    <xf numFmtId="38" fontId="16" fillId="34" borderId="248" xfId="53" applyNumberFormat="1" applyFont="1" applyFill="1" applyBorder="1" applyAlignment="1" applyProtection="1">
      <alignment horizontal="right"/>
    </xf>
    <xf numFmtId="6" fontId="16" fillId="37" borderId="248" xfId="53" applyNumberFormat="1" applyFont="1" applyFill="1" applyBorder="1" applyAlignment="1" applyProtection="1">
      <alignment horizontal="right"/>
    </xf>
    <xf numFmtId="6" fontId="16" fillId="0" borderId="248" xfId="53" applyNumberFormat="1" applyFont="1" applyBorder="1" applyAlignment="1" applyProtection="1">
      <alignment horizontal="right"/>
    </xf>
    <xf numFmtId="6" fontId="16" fillId="36" borderId="248" xfId="53" applyNumberFormat="1" applyFont="1" applyFill="1" applyBorder="1" applyAlignment="1" applyProtection="1">
      <alignment horizontal="right"/>
    </xf>
    <xf numFmtId="6" fontId="16" fillId="0" borderId="248" xfId="53" applyNumberFormat="1" applyFont="1" applyBorder="1" applyAlignment="1" applyProtection="1">
      <alignment horizontal="right" wrapText="1"/>
    </xf>
    <xf numFmtId="38" fontId="16" fillId="0" borderId="54" xfId="53" applyNumberFormat="1" applyFont="1" applyFill="1" applyBorder="1" applyAlignment="1" applyProtection="1">
      <alignment horizontal="right"/>
    </xf>
    <xf numFmtId="38" fontId="20" fillId="0" borderId="54" xfId="53" applyNumberFormat="1" applyFont="1" applyBorder="1" applyAlignment="1" applyProtection="1">
      <alignment horizontal="right"/>
    </xf>
    <xf numFmtId="6" fontId="20" fillId="0" borderId="54" xfId="53" applyNumberFormat="1" applyFont="1" applyBorder="1" applyAlignment="1" applyProtection="1">
      <alignment horizontal="right"/>
    </xf>
    <xf numFmtId="6" fontId="20" fillId="37" borderId="54" xfId="53" applyNumberFormat="1" applyFont="1" applyFill="1" applyBorder="1" applyAlignment="1" applyProtection="1">
      <alignment horizontal="right"/>
    </xf>
    <xf numFmtId="6" fontId="20" fillId="36" borderId="54" xfId="53" applyNumberFormat="1" applyFont="1" applyFill="1" applyBorder="1" applyAlignment="1" applyProtection="1">
      <alignment horizontal="right"/>
    </xf>
    <xf numFmtId="6" fontId="20" fillId="0" borderId="291" xfId="53" applyNumberFormat="1" applyFont="1" applyFill="1" applyBorder="1" applyAlignment="1" applyProtection="1">
      <alignment horizontal="right"/>
    </xf>
    <xf numFmtId="6" fontId="20" fillId="37" borderId="291" xfId="53" applyNumberFormat="1" applyFont="1" applyFill="1" applyBorder="1" applyAlignment="1" applyProtection="1">
      <alignment horizontal="right"/>
    </xf>
    <xf numFmtId="6" fontId="20" fillId="0" borderId="54" xfId="53" applyNumberFormat="1" applyFont="1" applyFill="1" applyBorder="1" applyAlignment="1" applyProtection="1">
      <alignment horizontal="right"/>
    </xf>
    <xf numFmtId="0" fontId="20" fillId="0" borderId="0" xfId="53" quotePrefix="1" applyFont="1" applyFill="1" applyBorder="1" applyAlignment="1" applyProtection="1">
      <alignment horizontal="left" wrapText="1"/>
    </xf>
    <xf numFmtId="6" fontId="20" fillId="0" borderId="0" xfId="53" applyNumberFormat="1" applyFont="1" applyBorder="1" applyAlignment="1" applyProtection="1">
      <alignment horizontal="right"/>
    </xf>
    <xf numFmtId="38" fontId="20" fillId="0" borderId="0" xfId="53" applyNumberFormat="1" applyFont="1" applyBorder="1" applyAlignment="1" applyProtection="1">
      <alignment horizontal="right"/>
    </xf>
    <xf numFmtId="6" fontId="16" fillId="0" borderId="0" xfId="53" applyNumberFormat="1" applyFont="1" applyBorder="1" applyAlignment="1" applyProtection="1">
      <alignment horizontal="right"/>
    </xf>
    <xf numFmtId="0" fontId="16" fillId="0" borderId="0" xfId="53" applyFont="1" applyProtection="1"/>
    <xf numFmtId="6" fontId="16" fillId="0" borderId="0" xfId="53" applyNumberFormat="1" applyFont="1" applyFill="1" applyBorder="1" applyAlignment="1" applyProtection="1">
      <alignment horizontal="center"/>
    </xf>
    <xf numFmtId="6" fontId="16" fillId="0" borderId="0" xfId="53" applyNumberFormat="1" applyFont="1" applyBorder="1" applyAlignment="1" applyProtection="1"/>
    <xf numFmtId="0" fontId="83" fillId="0" borderId="0" xfId="53" quotePrefix="1" applyFont="1" applyFill="1" applyBorder="1" applyAlignment="1" applyProtection="1">
      <alignment horizontal="left" wrapText="1"/>
    </xf>
    <xf numFmtId="6" fontId="48" fillId="0" borderId="0" xfId="53" applyNumberFormat="1" applyFont="1" applyFill="1" applyBorder="1" applyAlignment="1" applyProtection="1">
      <alignment horizontal="center"/>
    </xf>
    <xf numFmtId="165" fontId="25" fillId="33" borderId="14" xfId="28" applyNumberFormat="1" applyFont="1" applyFill="1" applyBorder="1" applyAlignment="1" applyProtection="1">
      <alignment horizontal="center"/>
    </xf>
    <xf numFmtId="0" fontId="0" fillId="33" borderId="14" xfId="0" applyFill="1" applyBorder="1" applyAlignment="1" applyProtection="1">
      <alignment horizontal="center"/>
    </xf>
    <xf numFmtId="0" fontId="0" fillId="33" borderId="38" xfId="0" applyFill="1" applyBorder="1" applyProtection="1"/>
    <xf numFmtId="0" fontId="0" fillId="33" borderId="14" xfId="0" applyFill="1" applyBorder="1" applyProtection="1"/>
    <xf numFmtId="0" fontId="39" fillId="33" borderId="14" xfId="0" applyFont="1" applyFill="1" applyBorder="1" applyAlignment="1" applyProtection="1">
      <alignment vertical="center"/>
    </xf>
    <xf numFmtId="0" fontId="39" fillId="33" borderId="14" xfId="0" applyFont="1" applyFill="1" applyBorder="1" applyAlignment="1" applyProtection="1">
      <alignment horizontal="center" vertical="center"/>
    </xf>
    <xf numFmtId="0" fontId="0" fillId="35" borderId="246" xfId="0" applyFill="1" applyBorder="1" applyProtection="1"/>
    <xf numFmtId="0" fontId="0" fillId="35" borderId="14" xfId="0" applyFill="1" applyBorder="1" applyProtection="1"/>
    <xf numFmtId="0" fontId="39" fillId="35" borderId="14" xfId="0" applyFont="1" applyFill="1" applyBorder="1" applyAlignment="1" applyProtection="1">
      <alignment vertical="center"/>
    </xf>
    <xf numFmtId="0" fontId="0" fillId="35" borderId="38" xfId="0" applyFill="1" applyBorder="1" applyProtection="1"/>
    <xf numFmtId="0" fontId="27" fillId="37" borderId="290" xfId="0" applyFont="1" applyFill="1" applyBorder="1" applyAlignment="1" applyProtection="1">
      <alignment horizontal="center" vertical="center" wrapText="1"/>
    </xf>
    <xf numFmtId="0" fontId="27" fillId="50" borderId="57" xfId="0" applyFont="1" applyFill="1" applyBorder="1" applyAlignment="1" applyProtection="1">
      <alignment horizontal="center" vertical="center" wrapText="1"/>
    </xf>
    <xf numFmtId="10" fontId="27" fillId="37" borderId="291" xfId="0" applyNumberFormat="1" applyFont="1" applyFill="1" applyBorder="1" applyAlignment="1" applyProtection="1">
      <alignment horizontal="center" vertical="center" wrapText="1"/>
    </xf>
    <xf numFmtId="0" fontId="27" fillId="37" borderId="13" xfId="0" applyFont="1" applyFill="1" applyBorder="1" applyAlignment="1" applyProtection="1">
      <alignment horizontal="center" vertical="center" wrapText="1"/>
    </xf>
    <xf numFmtId="0" fontId="27" fillId="50" borderId="13" xfId="0" applyFont="1" applyFill="1" applyBorder="1" applyAlignment="1" applyProtection="1">
      <alignment horizontal="center" vertical="center" wrapText="1"/>
    </xf>
    <xf numFmtId="10" fontId="27" fillId="35" borderId="291" xfId="0" applyNumberFormat="1" applyFont="1" applyFill="1" applyBorder="1" applyAlignment="1" applyProtection="1">
      <alignment horizontal="center" vertical="center" wrapText="1"/>
    </xf>
    <xf numFmtId="6" fontId="16" fillId="0" borderId="0" xfId="0" applyNumberFormat="1" applyFont="1" applyBorder="1" applyAlignment="1" applyProtection="1">
      <alignment horizontal="right"/>
    </xf>
    <xf numFmtId="0" fontId="54" fillId="0" borderId="0" xfId="0" applyFont="1" applyAlignment="1" applyProtection="1">
      <alignment horizontal="right" vertical="top"/>
    </xf>
    <xf numFmtId="0" fontId="20" fillId="0" borderId="0" xfId="0" applyFont="1" applyBorder="1" applyAlignment="1" applyProtection="1">
      <alignment horizontal="left" vertical="top" wrapText="1"/>
    </xf>
    <xf numFmtId="6" fontId="18" fillId="0" borderId="0" xfId="0" applyNumberFormat="1" applyFont="1" applyFill="1" applyBorder="1" applyAlignment="1" applyProtection="1">
      <alignment horizontal="right"/>
    </xf>
    <xf numFmtId="165" fontId="18" fillId="0" borderId="0" xfId="0" applyNumberFormat="1" applyFont="1" applyFill="1" applyBorder="1" applyAlignment="1" applyProtection="1">
      <alignment horizontal="right"/>
    </xf>
    <xf numFmtId="49" fontId="50" fillId="35" borderId="246" xfId="53" applyNumberFormat="1" applyFont="1" applyFill="1" applyBorder="1" applyAlignment="1" applyProtection="1">
      <alignment horizontal="center" vertical="center" wrapText="1"/>
    </xf>
    <xf numFmtId="49" fontId="50" fillId="35" borderId="14" xfId="53" applyNumberFormat="1" applyFont="1" applyFill="1" applyBorder="1" applyAlignment="1" applyProtection="1">
      <alignment horizontal="center" vertical="center" wrapText="1"/>
    </xf>
    <xf numFmtId="49" fontId="50" fillId="35" borderId="38" xfId="53" applyNumberFormat="1" applyFont="1" applyFill="1" applyBorder="1" applyAlignment="1" applyProtection="1">
      <alignment horizontal="center" vertical="center" wrapText="1"/>
    </xf>
    <xf numFmtId="49" fontId="27" fillId="37" borderId="10" xfId="53" applyNumberFormat="1" applyFont="1" applyFill="1" applyBorder="1" applyAlignment="1" applyProtection="1">
      <alignment horizontal="center" vertical="center" wrapText="1"/>
    </xf>
    <xf numFmtId="49" fontId="27" fillId="37" borderId="75" xfId="53" applyNumberFormat="1" applyFont="1" applyFill="1" applyBorder="1" applyAlignment="1" applyProtection="1">
      <alignment horizontal="center" vertical="center" wrapText="1"/>
    </xf>
    <xf numFmtId="49" fontId="27" fillId="50" borderId="10" xfId="53" applyNumberFormat="1" applyFont="1" applyFill="1" applyBorder="1" applyAlignment="1" applyProtection="1">
      <alignment horizontal="center" vertical="center" wrapText="1"/>
    </xf>
    <xf numFmtId="10" fontId="27" fillId="33" borderId="291" xfId="48" applyNumberFormat="1" applyFont="1" applyFill="1" applyBorder="1" applyAlignment="1" applyProtection="1">
      <alignment horizontal="center" vertical="center" wrapText="1"/>
    </xf>
    <xf numFmtId="49" fontId="27" fillId="37" borderId="13" xfId="53" applyNumberFormat="1" applyFont="1" applyFill="1" applyBorder="1" applyAlignment="1" applyProtection="1">
      <alignment horizontal="center" vertical="center" wrapText="1"/>
    </xf>
    <xf numFmtId="49" fontId="27" fillId="50" borderId="13" xfId="53" applyNumberFormat="1" applyFont="1" applyFill="1" applyBorder="1" applyAlignment="1" applyProtection="1">
      <alignment horizontal="center" vertical="center" wrapText="1"/>
    </xf>
    <xf numFmtId="10" fontId="27" fillId="35" borderId="291" xfId="48" applyNumberFormat="1" applyFont="1" applyFill="1" applyBorder="1" applyAlignment="1" applyProtection="1">
      <alignment horizontal="center" vertical="center" wrapText="1"/>
    </xf>
    <xf numFmtId="38" fontId="16" fillId="0" borderId="325" xfId="53" applyNumberFormat="1" applyFont="1" applyFill="1" applyBorder="1" applyAlignment="1" applyProtection="1">
      <alignment horizontal="right"/>
    </xf>
    <xf numFmtId="38" fontId="16" fillId="0" borderId="300" xfId="53" applyNumberFormat="1" applyFont="1" applyFill="1" applyBorder="1" applyAlignment="1" applyProtection="1">
      <alignment horizontal="right"/>
    </xf>
    <xf numFmtId="6" fontId="16" fillId="0" borderId="57" xfId="54" applyNumberFormat="1" applyFont="1" applyFill="1" applyBorder="1" applyAlignment="1" applyProtection="1">
      <alignment horizontal="right"/>
    </xf>
    <xf numFmtId="49" fontId="27" fillId="36" borderId="165" xfId="53" applyNumberFormat="1" applyFont="1" applyFill="1" applyBorder="1" applyAlignment="1" applyProtection="1">
      <alignment horizontal="center" vertical="center" wrapText="1"/>
    </xf>
    <xf numFmtId="49" fontId="27" fillId="36" borderId="13" xfId="53" applyNumberFormat="1" applyFont="1" applyFill="1" applyBorder="1" applyAlignment="1" applyProtection="1">
      <alignment horizontal="center" vertical="center" wrapText="1"/>
    </xf>
    <xf numFmtId="165" fontId="16" fillId="0" borderId="57" xfId="54" applyNumberFormat="1" applyFont="1" applyFill="1" applyBorder="1" applyAlignment="1" applyProtection="1">
      <alignment horizontal="right"/>
    </xf>
    <xf numFmtId="0" fontId="75" fillId="0" borderId="0" xfId="0" applyFont="1" applyBorder="1" applyProtection="1"/>
    <xf numFmtId="0" fontId="75" fillId="33" borderId="246" xfId="0" applyFont="1" applyFill="1" applyBorder="1" applyProtection="1"/>
    <xf numFmtId="0" fontId="75" fillId="33" borderId="14" xfId="0" applyFont="1" applyFill="1" applyBorder="1" applyProtection="1"/>
    <xf numFmtId="6" fontId="75" fillId="33" borderId="14" xfId="0" applyNumberFormat="1" applyFont="1" applyFill="1" applyBorder="1" applyProtection="1"/>
    <xf numFmtId="0" fontId="75" fillId="33" borderId="38" xfId="0" applyFont="1" applyFill="1" applyBorder="1" applyProtection="1"/>
    <xf numFmtId="0" fontId="75" fillId="35" borderId="246" xfId="0" applyFont="1" applyFill="1" applyBorder="1" applyProtection="1"/>
    <xf numFmtId="0" fontId="75" fillId="35" borderId="14" xfId="0" applyFont="1" applyFill="1" applyBorder="1" applyProtection="1"/>
    <xf numFmtId="0" fontId="75" fillId="35" borderId="38" xfId="0" applyFont="1" applyFill="1" applyBorder="1" applyProtection="1"/>
    <xf numFmtId="49" fontId="27" fillId="36" borderId="57" xfId="53" applyNumberFormat="1" applyFont="1" applyFill="1" applyBorder="1" applyAlignment="1" applyProtection="1">
      <alignment horizontal="center" vertical="center" wrapText="1"/>
    </xf>
    <xf numFmtId="10" fontId="27" fillId="33" borderId="291" xfId="0" applyNumberFormat="1" applyFont="1" applyFill="1" applyBorder="1" applyAlignment="1" applyProtection="1">
      <alignment horizontal="center" vertical="center" wrapText="1"/>
    </xf>
    <xf numFmtId="0" fontId="16" fillId="26" borderId="291" xfId="0" applyFont="1" applyFill="1" applyBorder="1" applyAlignment="1" applyProtection="1">
      <alignment horizontal="center" vertical="center"/>
    </xf>
    <xf numFmtId="0" fontId="16" fillId="26" borderId="291" xfId="0" applyFont="1" applyFill="1" applyBorder="1" applyAlignment="1" applyProtection="1">
      <alignment horizontal="center" vertical="center" wrapText="1"/>
    </xf>
    <xf numFmtId="0" fontId="75" fillId="0" borderId="0" xfId="0" applyFont="1" applyBorder="1" applyAlignment="1" applyProtection="1">
      <alignment horizontal="center" vertical="center"/>
    </xf>
    <xf numFmtId="0" fontId="16" fillId="26" borderId="290" xfId="0" applyFont="1" applyFill="1" applyBorder="1" applyAlignment="1" applyProtection="1">
      <alignment horizontal="center" vertical="center"/>
    </xf>
    <xf numFmtId="0" fontId="16" fillId="26" borderId="290" xfId="0" applyFont="1" applyFill="1" applyBorder="1" applyAlignment="1" applyProtection="1">
      <alignment horizontal="center" vertical="center" wrapText="1"/>
    </xf>
    <xf numFmtId="3" fontId="16" fillId="0" borderId="319" xfId="0" applyNumberFormat="1" applyFont="1" applyFill="1" applyBorder="1" applyAlignment="1" applyProtection="1">
      <alignment horizontal="center"/>
    </xf>
    <xf numFmtId="3" fontId="16" fillId="0" borderId="319" xfId="0" applyNumberFormat="1" applyFont="1" applyFill="1" applyBorder="1" applyProtection="1"/>
    <xf numFmtId="38" fontId="16" fillId="0" borderId="319" xfId="0" applyNumberFormat="1" applyFont="1" applyFill="1" applyBorder="1" applyAlignment="1" applyProtection="1">
      <alignment horizontal="right"/>
    </xf>
    <xf numFmtId="6" fontId="16" fillId="0" borderId="319" xfId="0" applyNumberFormat="1" applyFont="1" applyBorder="1" applyAlignment="1" applyProtection="1">
      <alignment horizontal="right"/>
    </xf>
    <xf numFmtId="6" fontId="16" fillId="0" borderId="319" xfId="0" applyNumberFormat="1" applyFont="1" applyFill="1" applyBorder="1" applyAlignment="1" applyProtection="1">
      <alignment horizontal="right"/>
    </xf>
    <xf numFmtId="6" fontId="16" fillId="37" borderId="319" xfId="0" applyNumberFormat="1" applyFont="1" applyFill="1" applyBorder="1" applyAlignment="1" applyProtection="1">
      <alignment horizontal="right"/>
    </xf>
    <xf numFmtId="6" fontId="16" fillId="36" borderId="319" xfId="0" applyNumberFormat="1" applyFont="1" applyFill="1" applyBorder="1" applyAlignment="1" applyProtection="1">
      <alignment horizontal="right"/>
    </xf>
    <xf numFmtId="6" fontId="16" fillId="34" borderId="319" xfId="0" applyNumberFormat="1" applyFont="1" applyFill="1" applyBorder="1" applyAlignment="1" applyProtection="1">
      <alignment horizontal="right"/>
    </xf>
    <xf numFmtId="6" fontId="16" fillId="34" borderId="319" xfId="0" applyNumberFormat="1" applyFont="1" applyFill="1" applyBorder="1" applyAlignment="1" applyProtection="1">
      <alignment horizontal="right" wrapText="1"/>
    </xf>
    <xf numFmtId="6" fontId="16" fillId="50" borderId="319" xfId="0" applyNumberFormat="1" applyFont="1" applyFill="1" applyBorder="1" applyAlignment="1" applyProtection="1">
      <alignment horizontal="right" wrapText="1"/>
    </xf>
    <xf numFmtId="6" fontId="16" fillId="0" borderId="319" xfId="0" applyNumberFormat="1" applyFont="1" applyFill="1" applyBorder="1" applyAlignment="1" applyProtection="1">
      <alignment horizontal="right" wrapText="1"/>
    </xf>
    <xf numFmtId="6" fontId="16" fillId="36" borderId="319" xfId="0" applyNumberFormat="1" applyFont="1" applyFill="1" applyBorder="1" applyAlignment="1" applyProtection="1">
      <alignment horizontal="right" wrapText="1"/>
    </xf>
    <xf numFmtId="6" fontId="16" fillId="42" borderId="319" xfId="0" applyNumberFormat="1" applyFont="1" applyFill="1" applyBorder="1" applyAlignment="1" applyProtection="1">
      <alignment horizontal="right" wrapText="1"/>
    </xf>
    <xf numFmtId="0" fontId="53" fillId="0" borderId="0" xfId="0" applyFont="1" applyBorder="1" applyProtection="1"/>
    <xf numFmtId="3" fontId="16" fillId="0" borderId="320" xfId="0" applyNumberFormat="1" applyFont="1" applyFill="1" applyBorder="1" applyAlignment="1" applyProtection="1">
      <alignment horizontal="center"/>
    </xf>
    <xf numFmtId="3" fontId="16" fillId="0" borderId="320" xfId="0" applyNumberFormat="1" applyFont="1" applyFill="1" applyBorder="1" applyProtection="1"/>
    <xf numFmtId="38" fontId="16" fillId="0" borderId="320" xfId="0" applyNumberFormat="1" applyFont="1" applyFill="1" applyBorder="1" applyAlignment="1" applyProtection="1">
      <alignment horizontal="right"/>
    </xf>
    <xf numFmtId="6" fontId="16" fillId="0" borderId="320" xfId="0" applyNumberFormat="1" applyFont="1" applyBorder="1" applyAlignment="1" applyProtection="1">
      <alignment horizontal="right"/>
    </xf>
    <xf numFmtId="6" fontId="16" fillId="0" borderId="320" xfId="0" applyNumberFormat="1" applyFont="1" applyFill="1" applyBorder="1" applyAlignment="1" applyProtection="1">
      <alignment horizontal="right"/>
    </xf>
    <xf numFmtId="6" fontId="16" fillId="37" borderId="320" xfId="0" applyNumberFormat="1" applyFont="1" applyFill="1" applyBorder="1" applyAlignment="1" applyProtection="1">
      <alignment horizontal="right"/>
    </xf>
    <xf numFmtId="6" fontId="16" fillId="36" borderId="320" xfId="0" applyNumberFormat="1" applyFont="1" applyFill="1" applyBorder="1" applyAlignment="1" applyProtection="1">
      <alignment horizontal="right"/>
    </xf>
    <xf numFmtId="6" fontId="16" fillId="34" borderId="320" xfId="0" applyNumberFormat="1" applyFont="1" applyFill="1" applyBorder="1" applyAlignment="1" applyProtection="1">
      <alignment horizontal="right"/>
    </xf>
    <xf numFmtId="6" fontId="16" fillId="34" borderId="320" xfId="0" applyNumberFormat="1" applyFont="1" applyFill="1" applyBorder="1" applyAlignment="1" applyProtection="1">
      <alignment horizontal="right" wrapText="1"/>
    </xf>
    <xf numFmtId="6" fontId="16" fillId="50" borderId="320" xfId="0" applyNumberFormat="1" applyFont="1" applyFill="1" applyBorder="1" applyAlignment="1" applyProtection="1">
      <alignment horizontal="right" wrapText="1"/>
    </xf>
    <xf numFmtId="6" fontId="16" fillId="0" borderId="320" xfId="0" applyNumberFormat="1" applyFont="1" applyFill="1" applyBorder="1" applyAlignment="1" applyProtection="1">
      <alignment horizontal="right" wrapText="1"/>
    </xf>
    <xf numFmtId="6" fontId="16" fillId="36" borderId="320" xfId="0" applyNumberFormat="1" applyFont="1" applyFill="1" applyBorder="1" applyAlignment="1" applyProtection="1">
      <alignment horizontal="right" wrapText="1"/>
    </xf>
    <xf numFmtId="6" fontId="16" fillId="42" borderId="320" xfId="0" applyNumberFormat="1" applyFont="1" applyFill="1" applyBorder="1" applyAlignment="1" applyProtection="1">
      <alignment horizontal="right" wrapText="1"/>
    </xf>
    <xf numFmtId="3" fontId="16" fillId="0" borderId="248" xfId="0" applyNumberFormat="1" applyFont="1" applyFill="1" applyBorder="1" applyAlignment="1" applyProtection="1">
      <alignment horizontal="center"/>
    </xf>
    <xf numFmtId="3" fontId="16" fillId="0" borderId="248" xfId="0" applyNumberFormat="1" applyFont="1" applyFill="1" applyBorder="1" applyProtection="1"/>
    <xf numFmtId="38" fontId="16" fillId="0" borderId="248" xfId="0" applyNumberFormat="1" applyFont="1" applyFill="1" applyBorder="1" applyAlignment="1" applyProtection="1">
      <alignment horizontal="right"/>
    </xf>
    <xf numFmtId="6" fontId="16" fillId="0" borderId="248" xfId="0" applyNumberFormat="1" applyFont="1" applyBorder="1" applyAlignment="1" applyProtection="1">
      <alignment horizontal="right"/>
    </xf>
    <xf numFmtId="6" fontId="16" fillId="0" borderId="248" xfId="0" applyNumberFormat="1" applyFont="1" applyFill="1" applyBorder="1" applyAlignment="1" applyProtection="1">
      <alignment horizontal="right"/>
    </xf>
    <xf numFmtId="6" fontId="16" fillId="37" borderId="248" xfId="0" applyNumberFormat="1" applyFont="1" applyFill="1" applyBorder="1" applyAlignment="1" applyProtection="1">
      <alignment horizontal="right"/>
    </xf>
    <xf numFmtId="6" fontId="16" fillId="36" borderId="248" xfId="0" applyNumberFormat="1" applyFont="1" applyFill="1" applyBorder="1" applyAlignment="1" applyProtection="1">
      <alignment horizontal="right"/>
    </xf>
    <xf numFmtId="6" fontId="16" fillId="34" borderId="248" xfId="0" applyNumberFormat="1" applyFont="1" applyFill="1" applyBorder="1" applyAlignment="1" applyProtection="1">
      <alignment horizontal="right"/>
    </xf>
    <xf numFmtId="6" fontId="16" fillId="34" borderId="248" xfId="0" applyNumberFormat="1" applyFont="1" applyFill="1" applyBorder="1" applyAlignment="1" applyProtection="1">
      <alignment horizontal="right" wrapText="1"/>
    </xf>
    <xf numFmtId="6" fontId="16" fillId="50" borderId="248" xfId="0" applyNumberFormat="1" applyFont="1" applyFill="1" applyBorder="1" applyAlignment="1" applyProtection="1">
      <alignment horizontal="right" wrapText="1"/>
    </xf>
    <xf numFmtId="6" fontId="16" fillId="0" borderId="248" xfId="0" applyNumberFormat="1" applyFont="1" applyFill="1" applyBorder="1" applyAlignment="1" applyProtection="1">
      <alignment horizontal="right" wrapText="1"/>
    </xf>
    <xf numFmtId="6" fontId="16" fillId="36" borderId="248" xfId="0" applyNumberFormat="1" applyFont="1" applyFill="1" applyBorder="1" applyAlignment="1" applyProtection="1">
      <alignment horizontal="right" wrapText="1"/>
    </xf>
    <xf numFmtId="6" fontId="16" fillId="42" borderId="248" xfId="0" applyNumberFormat="1" applyFont="1" applyFill="1" applyBorder="1" applyAlignment="1" applyProtection="1">
      <alignment horizontal="right" wrapText="1"/>
    </xf>
    <xf numFmtId="6" fontId="16" fillId="0" borderId="223" xfId="0" applyNumberFormat="1" applyFont="1" applyFill="1" applyBorder="1" applyAlignment="1" applyProtection="1">
      <alignment horizontal="right"/>
    </xf>
    <xf numFmtId="0" fontId="77" fillId="0" borderId="0" xfId="0" applyFont="1" applyBorder="1" applyProtection="1"/>
    <xf numFmtId="0" fontId="78" fillId="0" borderId="0" xfId="0" quotePrefix="1" applyFont="1" applyFill="1" applyBorder="1" applyAlignment="1" applyProtection="1">
      <alignment horizontal="left" wrapText="1"/>
    </xf>
    <xf numFmtId="6" fontId="79" fillId="0" borderId="0" xfId="0" applyNumberFormat="1" applyFont="1" applyBorder="1" applyAlignment="1" applyProtection="1">
      <alignment horizontal="right"/>
    </xf>
    <xf numFmtId="38" fontId="79" fillId="0" borderId="0" xfId="0" applyNumberFormat="1" applyFont="1" applyBorder="1" applyAlignment="1" applyProtection="1">
      <alignment horizontal="right"/>
    </xf>
    <xf numFmtId="6" fontId="75" fillId="0" borderId="0" xfId="0" applyNumberFormat="1" applyFont="1" applyBorder="1" applyProtection="1"/>
    <xf numFmtId="0" fontId="75" fillId="34" borderId="0" xfId="0" applyFont="1" applyFill="1" applyBorder="1" applyProtection="1"/>
    <xf numFmtId="0" fontId="77" fillId="34" borderId="0" xfId="0" applyFont="1" applyFill="1" applyBorder="1" applyAlignment="1" applyProtection="1">
      <alignment horizontal="left" wrapText="1"/>
    </xf>
    <xf numFmtId="6" fontId="77" fillId="34" borderId="0" xfId="0" applyNumberFormat="1" applyFont="1" applyFill="1" applyBorder="1" applyAlignment="1" applyProtection="1">
      <alignment horizontal="center" wrapText="1"/>
    </xf>
    <xf numFmtId="0" fontId="16" fillId="26" borderId="13" xfId="0" applyFont="1" applyFill="1" applyBorder="1" applyAlignment="1" applyProtection="1">
      <alignment horizontal="center" vertical="center"/>
    </xf>
    <xf numFmtId="0" fontId="16" fillId="26" borderId="15" xfId="0" applyFont="1" applyFill="1" applyBorder="1" applyAlignment="1" applyProtection="1">
      <alignment horizontal="center" vertical="center"/>
    </xf>
    <xf numFmtId="0" fontId="16" fillId="26" borderId="15" xfId="0" applyFont="1" applyFill="1" applyBorder="1" applyAlignment="1" applyProtection="1">
      <alignment horizontal="center" vertical="center" wrapText="1"/>
    </xf>
    <xf numFmtId="0" fontId="16" fillId="26" borderId="57" xfId="0" applyFont="1" applyFill="1" applyBorder="1" applyAlignment="1" applyProtection="1">
      <alignment horizontal="center" vertical="center"/>
    </xf>
    <xf numFmtId="43" fontId="18" fillId="0" borderId="0" xfId="0" applyNumberFormat="1" applyFont="1" applyProtection="1"/>
    <xf numFmtId="10" fontId="18" fillId="0" borderId="0" xfId="0" applyNumberFormat="1" applyFont="1" applyProtection="1"/>
    <xf numFmtId="2" fontId="97" fillId="43" borderId="291" xfId="0" applyNumberFormat="1" applyFont="1" applyFill="1" applyBorder="1" applyAlignment="1" applyProtection="1">
      <alignment horizontal="center" wrapText="1"/>
    </xf>
    <xf numFmtId="10" fontId="97" fillId="35" borderId="291" xfId="0" applyNumberFormat="1" applyFont="1" applyFill="1" applyBorder="1" applyAlignment="1" applyProtection="1">
      <alignment horizontal="center" wrapText="1"/>
    </xf>
    <xf numFmtId="165" fontId="18" fillId="0" borderId="343" xfId="0" applyNumberFormat="1" applyFont="1" applyBorder="1" applyProtection="1"/>
    <xf numFmtId="165" fontId="18" fillId="42" borderId="320" xfId="0" applyNumberFormat="1" applyFont="1" applyFill="1" applyBorder="1" applyProtection="1"/>
    <xf numFmtId="165" fontId="18" fillId="0" borderId="18" xfId="0" applyNumberFormat="1" applyFont="1" applyBorder="1" applyProtection="1"/>
    <xf numFmtId="165" fontId="18" fillId="42" borderId="13" xfId="0" applyNumberFormat="1" applyFont="1" applyFill="1" applyBorder="1" applyProtection="1"/>
    <xf numFmtId="3" fontId="18" fillId="0" borderId="319" xfId="0" applyNumberFormat="1" applyFont="1" applyBorder="1" applyAlignment="1" applyProtection="1">
      <alignment horizontal="center"/>
    </xf>
    <xf numFmtId="3" fontId="18" fillId="0" borderId="319" xfId="0" applyNumberFormat="1" applyFont="1" applyBorder="1" applyProtection="1"/>
    <xf numFmtId="165" fontId="18" fillId="0" borderId="319" xfId="0" applyNumberFormat="1" applyFont="1" applyBorder="1" applyProtection="1"/>
    <xf numFmtId="6" fontId="18" fillId="0" borderId="319" xfId="0" applyNumberFormat="1" applyFont="1" applyBorder="1" applyProtection="1"/>
    <xf numFmtId="165" fontId="18" fillId="0" borderId="344" xfId="0" applyNumberFormat="1" applyFont="1" applyBorder="1" applyProtection="1"/>
    <xf numFmtId="165" fontId="18" fillId="42" borderId="319" xfId="0" applyNumberFormat="1" applyFont="1" applyFill="1" applyBorder="1" applyProtection="1"/>
    <xf numFmtId="0" fontId="18" fillId="0" borderId="11" xfId="0" applyFont="1" applyBorder="1" applyAlignment="1" applyProtection="1">
      <alignment horizontal="center"/>
    </xf>
    <xf numFmtId="165" fontId="18" fillId="0" borderId="11" xfId="0" applyNumberFormat="1" applyFont="1" applyBorder="1" applyProtection="1"/>
    <xf numFmtId="165" fontId="18" fillId="0" borderId="17" xfId="0" applyNumberFormat="1" applyFont="1" applyBorder="1" applyProtection="1"/>
    <xf numFmtId="165" fontId="18" fillId="42" borderId="11" xfId="0" applyNumberFormat="1" applyFont="1" applyFill="1" applyBorder="1" applyProtection="1"/>
    <xf numFmtId="0" fontId="18" fillId="0" borderId="12" xfId="0" applyFont="1" applyBorder="1" applyAlignment="1" applyProtection="1">
      <alignment horizontal="center"/>
    </xf>
    <xf numFmtId="6" fontId="27" fillId="0" borderId="31" xfId="0" applyNumberFormat="1" applyFont="1" applyBorder="1" applyProtection="1"/>
    <xf numFmtId="6" fontId="27" fillId="42" borderId="12" xfId="0" applyNumberFormat="1" applyFont="1" applyFill="1" applyBorder="1" applyProtection="1"/>
    <xf numFmtId="0" fontId="43" fillId="0" borderId="0" xfId="0" applyFont="1" applyProtection="1"/>
    <xf numFmtId="0" fontId="40" fillId="0" borderId="0" xfId="0" applyFont="1" applyProtection="1"/>
    <xf numFmtId="0" fontId="27" fillId="25" borderId="290" xfId="53" applyFont="1" applyFill="1" applyBorder="1" applyAlignment="1" applyProtection="1">
      <alignment horizontal="center" vertical="center" wrapText="1"/>
    </xf>
    <xf numFmtId="0" fontId="27" fillId="29" borderId="290" xfId="53" applyFont="1" applyFill="1" applyBorder="1" applyAlignment="1" applyProtection="1">
      <alignment horizontal="center" vertical="center" wrapText="1"/>
    </xf>
    <xf numFmtId="0" fontId="16" fillId="0" borderId="0" xfId="64" applyAlignment="1" applyProtection="1">
      <alignment horizontal="center"/>
    </xf>
    <xf numFmtId="6" fontId="18" fillId="27" borderId="320" xfId="0" applyNumberFormat="1" applyFont="1" applyFill="1" applyBorder="1" applyProtection="1"/>
    <xf numFmtId="6" fontId="18" fillId="27" borderId="335" xfId="0" applyNumberFormat="1" applyFont="1" applyFill="1" applyBorder="1" applyProtection="1"/>
    <xf numFmtId="6" fontId="18" fillId="27" borderId="35" xfId="0" applyNumberFormat="1" applyFont="1" applyFill="1" applyBorder="1" applyProtection="1"/>
    <xf numFmtId="6" fontId="18" fillId="27" borderId="57" xfId="0" applyNumberFormat="1" applyFont="1" applyFill="1" applyBorder="1" applyProtection="1"/>
    <xf numFmtId="49" fontId="27" fillId="36" borderId="13" xfId="53" applyNumberFormat="1" applyFont="1" applyFill="1" applyBorder="1" applyAlignment="1" applyProtection="1">
      <alignment horizontal="center" vertical="center" wrapText="1"/>
    </xf>
    <xf numFmtId="49" fontId="27" fillId="36" borderId="165" xfId="53" applyNumberFormat="1" applyFont="1" applyFill="1" applyBorder="1" applyAlignment="1" applyProtection="1">
      <alignment horizontal="center" vertical="center" wrapText="1"/>
    </xf>
    <xf numFmtId="6" fontId="16" fillId="0" borderId="0" xfId="53" applyNumberFormat="1" applyProtection="1"/>
    <xf numFmtId="6" fontId="16" fillId="34" borderId="325" xfId="54" applyNumberFormat="1" applyFont="1" applyFill="1" applyBorder="1" applyAlignment="1" applyProtection="1">
      <alignment horizontal="right"/>
    </xf>
    <xf numFmtId="6" fontId="16" fillId="34" borderId="322" xfId="54" applyNumberFormat="1" applyFont="1" applyFill="1" applyBorder="1" applyAlignment="1" applyProtection="1">
      <alignment horizontal="right"/>
    </xf>
    <xf numFmtId="6" fontId="16" fillId="34" borderId="300" xfId="54" applyNumberFormat="1" applyFont="1" applyFill="1" applyBorder="1" applyAlignment="1" applyProtection="1">
      <alignment horizontal="right"/>
    </xf>
    <xf numFmtId="6" fontId="27" fillId="36" borderId="287" xfId="54" applyNumberFormat="1" applyFont="1" applyFill="1" applyBorder="1" applyAlignment="1" applyProtection="1">
      <alignment horizontal="right"/>
    </xf>
    <xf numFmtId="38" fontId="16" fillId="34" borderId="325" xfId="54" applyNumberFormat="1" applyFont="1" applyFill="1" applyBorder="1" applyAlignment="1" applyProtection="1">
      <alignment horizontal="right"/>
    </xf>
    <xf numFmtId="38" fontId="16" fillId="34" borderId="322" xfId="54" applyNumberFormat="1" applyFont="1" applyFill="1" applyBorder="1" applyAlignment="1" applyProtection="1">
      <alignment horizontal="right"/>
    </xf>
    <xf numFmtId="38" fontId="16" fillId="34" borderId="300" xfId="54" applyNumberFormat="1" applyFont="1" applyFill="1" applyBorder="1" applyAlignment="1" applyProtection="1">
      <alignment horizontal="right"/>
    </xf>
    <xf numFmtId="38" fontId="27" fillId="34" borderId="286" xfId="54" applyNumberFormat="1" applyFont="1" applyFill="1" applyBorder="1" applyAlignment="1" applyProtection="1">
      <alignment horizontal="right"/>
    </xf>
    <xf numFmtId="38" fontId="16" fillId="0" borderId="331" xfId="53" applyNumberFormat="1" applyFont="1" applyFill="1" applyBorder="1" applyAlignment="1" applyProtection="1">
      <alignment horizontal="right"/>
    </xf>
    <xf numFmtId="38" fontId="16" fillId="0" borderId="347" xfId="53" applyNumberFormat="1" applyFont="1" applyFill="1" applyBorder="1" applyAlignment="1" applyProtection="1">
      <alignment horizontal="right"/>
    </xf>
    <xf numFmtId="38" fontId="16" fillId="0" borderId="232" xfId="53" applyNumberFormat="1" applyFont="1" applyFill="1" applyBorder="1" applyAlignment="1" applyProtection="1">
      <alignment horizontal="right"/>
    </xf>
    <xf numFmtId="38" fontId="27" fillId="34" borderId="39" xfId="54" applyNumberFormat="1" applyFont="1" applyFill="1" applyBorder="1" applyAlignment="1" applyProtection="1">
      <alignment horizontal="right"/>
    </xf>
    <xf numFmtId="38" fontId="16" fillId="34" borderId="322" xfId="53" applyNumberFormat="1" applyFont="1" applyFill="1" applyBorder="1" applyAlignment="1" applyProtection="1">
      <alignment horizontal="right"/>
    </xf>
    <xf numFmtId="38" fontId="16" fillId="34" borderId="21" xfId="53" applyNumberFormat="1" applyFont="1" applyFill="1" applyBorder="1" applyAlignment="1" applyProtection="1">
      <alignment horizontal="right"/>
    </xf>
    <xf numFmtId="38" fontId="16" fillId="0" borderId="0" xfId="53" applyNumberFormat="1" applyProtection="1"/>
    <xf numFmtId="38" fontId="16" fillId="0" borderId="319" xfId="0" applyNumberFormat="1" applyFont="1" applyFill="1" applyBorder="1" applyAlignment="1" applyProtection="1">
      <alignment horizontal="right" wrapText="1"/>
    </xf>
    <xf numFmtId="38" fontId="16" fillId="0" borderId="320" xfId="0" applyNumberFormat="1" applyFont="1" applyFill="1" applyBorder="1" applyAlignment="1" applyProtection="1">
      <alignment horizontal="right" wrapText="1"/>
    </xf>
    <xf numFmtId="38" fontId="16" fillId="0" borderId="248" xfId="0" applyNumberFormat="1" applyFont="1" applyFill="1" applyBorder="1" applyAlignment="1" applyProtection="1">
      <alignment horizontal="right" wrapText="1"/>
    </xf>
    <xf numFmtId="0" fontId="27" fillId="37" borderId="290" xfId="0" applyFont="1" applyFill="1" applyBorder="1" applyAlignment="1" applyProtection="1">
      <alignment horizontal="center" vertical="center" wrapText="1"/>
    </xf>
    <xf numFmtId="0" fontId="27" fillId="37" borderId="10" xfId="0" applyFont="1" applyFill="1" applyBorder="1" applyAlignment="1" applyProtection="1">
      <alignment horizontal="center" vertical="center" wrapText="1"/>
    </xf>
    <xf numFmtId="49" fontId="27" fillId="36" borderId="13" xfId="53" applyNumberFormat="1" applyFont="1" applyFill="1" applyBorder="1" applyAlignment="1" applyProtection="1">
      <alignment horizontal="center" vertical="center" wrapText="1"/>
    </xf>
    <xf numFmtId="38" fontId="27" fillId="0" borderId="40" xfId="54" applyNumberFormat="1" applyFont="1" applyFill="1" applyBorder="1" applyAlignment="1" applyProtection="1">
      <alignment horizontal="right"/>
    </xf>
    <xf numFmtId="38" fontId="16" fillId="0" borderId="42" xfId="53" applyNumberFormat="1" applyFont="1" applyFill="1" applyBorder="1" applyAlignment="1" applyProtection="1">
      <alignment horizontal="right"/>
    </xf>
    <xf numFmtId="38" fontId="16" fillId="0" borderId="63" xfId="53" applyNumberFormat="1" applyFont="1" applyFill="1" applyBorder="1" applyAlignment="1" applyProtection="1">
      <alignment horizontal="right"/>
    </xf>
    <xf numFmtId="38" fontId="16" fillId="0" borderId="64" xfId="53" applyNumberFormat="1" applyFont="1" applyFill="1" applyBorder="1" applyAlignment="1" applyProtection="1">
      <alignment horizontal="right"/>
    </xf>
    <xf numFmtId="0" fontId="16" fillId="33" borderId="246" xfId="0" applyFont="1" applyFill="1" applyBorder="1" applyAlignment="1" applyProtection="1">
      <alignment horizontal="center" wrapText="1"/>
    </xf>
    <xf numFmtId="0" fontId="16" fillId="33" borderId="14" xfId="0" applyFont="1" applyFill="1" applyBorder="1" applyProtection="1"/>
    <xf numFmtId="0" fontId="16" fillId="33" borderId="38" xfId="0" applyFont="1" applyFill="1" applyBorder="1" applyProtection="1"/>
    <xf numFmtId="0" fontId="20" fillId="33" borderId="14" xfId="0" applyFont="1" applyFill="1" applyBorder="1" applyAlignment="1" applyProtection="1">
      <alignment vertical="center"/>
    </xf>
    <xf numFmtId="0" fontId="20" fillId="33" borderId="14" xfId="0" applyFont="1" applyFill="1" applyBorder="1" applyAlignment="1" applyProtection="1">
      <alignment horizontal="center" vertical="center"/>
    </xf>
    <xf numFmtId="0" fontId="16" fillId="33" borderId="14" xfId="0" quotePrefix="1" applyFont="1" applyFill="1" applyBorder="1" applyAlignment="1" applyProtection="1">
      <alignment horizontal="center" wrapText="1"/>
    </xf>
    <xf numFmtId="0" fontId="16" fillId="33" borderId="38" xfId="0" quotePrefix="1" applyFont="1" applyFill="1" applyBorder="1" applyAlignment="1" applyProtection="1">
      <alignment horizontal="center" wrapText="1"/>
    </xf>
    <xf numFmtId="0" fontId="16" fillId="33" borderId="248" xfId="0" quotePrefix="1" applyFont="1" applyFill="1" applyBorder="1" applyAlignment="1" applyProtection="1">
      <alignment horizontal="center" wrapText="1"/>
    </xf>
    <xf numFmtId="0" fontId="16" fillId="35" borderId="14" xfId="0" quotePrefix="1" applyFont="1" applyFill="1" applyBorder="1" applyAlignment="1" applyProtection="1">
      <alignment horizontal="center" wrapText="1"/>
    </xf>
    <xf numFmtId="0" fontId="16" fillId="35" borderId="38" xfId="0" quotePrefix="1" applyFont="1" applyFill="1" applyBorder="1" applyAlignment="1" applyProtection="1">
      <alignment horizontal="center" wrapText="1"/>
    </xf>
    <xf numFmtId="49" fontId="27" fillId="35" borderId="38" xfId="53" applyNumberFormat="1" applyFont="1" applyFill="1" applyBorder="1" applyAlignment="1" applyProtection="1">
      <alignment horizontal="center" vertical="center" wrapText="1"/>
    </xf>
    <xf numFmtId="0" fontId="16" fillId="35" borderId="246" xfId="0" quotePrefix="1" applyFont="1" applyFill="1" applyBorder="1" applyAlignment="1" applyProtection="1">
      <alignment horizontal="center" wrapText="1"/>
    </xf>
    <xf numFmtId="0" fontId="27" fillId="50" borderId="255" xfId="0" applyFont="1" applyFill="1" applyBorder="1" applyAlignment="1" applyProtection="1">
      <alignment horizontal="center" vertical="center" wrapText="1"/>
    </xf>
    <xf numFmtId="49" fontId="27" fillId="36" borderId="233" xfId="53" applyNumberFormat="1" applyFont="1" applyFill="1" applyBorder="1" applyAlignment="1" applyProtection="1">
      <alignment horizontal="center" vertical="center" wrapText="1"/>
    </xf>
    <xf numFmtId="0" fontId="27" fillId="50" borderId="10" xfId="0" applyFont="1" applyFill="1" applyBorder="1" applyAlignment="1" applyProtection="1">
      <alignment horizontal="center" vertical="center" wrapText="1"/>
    </xf>
    <xf numFmtId="165" fontId="24" fillId="33" borderId="291" xfId="28" applyNumberFormat="1" applyFont="1" applyFill="1" applyBorder="1" applyAlignment="1" applyProtection="1">
      <alignment horizontal="center"/>
    </xf>
    <xf numFmtId="10" fontId="27" fillId="33" borderId="15" xfId="0" applyNumberFormat="1" applyFont="1" applyFill="1" applyBorder="1" applyAlignment="1" applyProtection="1">
      <alignment horizontal="center" vertical="center" wrapText="1"/>
    </xf>
    <xf numFmtId="6" fontId="27" fillId="35" borderId="255" xfId="0" applyNumberFormat="1" applyFont="1" applyFill="1" applyBorder="1" applyAlignment="1" applyProtection="1">
      <alignment horizontal="center" vertical="center" wrapText="1"/>
    </xf>
    <xf numFmtId="10" fontId="27" fillId="35" borderId="15" xfId="0" applyNumberFormat="1" applyFont="1" applyFill="1" applyBorder="1" applyAlignment="1" applyProtection="1">
      <alignment horizontal="center" vertical="center" wrapText="1"/>
    </xf>
    <xf numFmtId="0" fontId="16" fillId="26" borderId="15" xfId="0" applyFont="1" applyFill="1" applyBorder="1" applyAlignment="1" applyProtection="1">
      <alignment vertical="center"/>
    </xf>
    <xf numFmtId="0" fontId="16" fillId="26" borderId="291" xfId="0" applyFont="1" applyFill="1" applyBorder="1" applyProtection="1"/>
    <xf numFmtId="1" fontId="24" fillId="26" borderId="248" xfId="0" quotePrefix="1" applyNumberFormat="1" applyFont="1" applyFill="1" applyBorder="1" applyAlignment="1" applyProtection="1">
      <alignment horizontal="center"/>
    </xf>
    <xf numFmtId="0" fontId="16" fillId="0" borderId="290" xfId="0" applyFont="1" applyBorder="1" applyAlignment="1" applyProtection="1">
      <alignment horizontal="left" vertical="center" wrapText="1"/>
    </xf>
    <xf numFmtId="0" fontId="20" fillId="0" borderId="290" xfId="0" applyFont="1" applyBorder="1" applyAlignment="1" applyProtection="1">
      <alignment horizontal="left" vertical="center" wrapText="1"/>
    </xf>
    <xf numFmtId="3" fontId="16" fillId="0" borderId="57" xfId="0" applyNumberFormat="1" applyFont="1" applyFill="1" applyBorder="1" applyAlignment="1" applyProtection="1">
      <alignment vertical="center"/>
    </xf>
    <xf numFmtId="6" fontId="16" fillId="0" borderId="57" xfId="0" applyNumberFormat="1" applyFont="1" applyBorder="1" applyAlignment="1" applyProtection="1">
      <alignment vertical="center"/>
    </xf>
    <xf numFmtId="6" fontId="16" fillId="37" borderId="57" xfId="0" applyNumberFormat="1" applyFont="1" applyFill="1" applyBorder="1" applyAlignment="1" applyProtection="1">
      <alignment vertical="center"/>
    </xf>
    <xf numFmtId="6" fontId="16" fillId="0" borderId="57" xfId="0" applyNumberFormat="1" applyFont="1" applyFill="1" applyBorder="1" applyAlignment="1" applyProtection="1">
      <alignment vertical="center"/>
    </xf>
    <xf numFmtId="6" fontId="16" fillId="36" borderId="57" xfId="0" applyNumberFormat="1" applyFont="1" applyFill="1" applyBorder="1" applyAlignment="1" applyProtection="1">
      <alignment vertical="center"/>
    </xf>
    <xf numFmtId="6" fontId="16" fillId="49" borderId="57" xfId="0" applyNumberFormat="1" applyFont="1" applyFill="1" applyBorder="1" applyAlignment="1" applyProtection="1">
      <alignment vertical="center"/>
    </xf>
    <xf numFmtId="6" fontId="16" fillId="49" borderId="57" xfId="0" applyNumberFormat="1" applyFont="1" applyFill="1" applyBorder="1" applyAlignment="1" applyProtection="1">
      <alignment horizontal="center" vertical="center" wrapText="1"/>
    </xf>
    <xf numFmtId="6" fontId="16" fillId="49" borderId="57" xfId="0" applyNumberFormat="1" applyFont="1" applyFill="1" applyBorder="1" applyAlignment="1" applyProtection="1">
      <alignment horizontal="center" vertical="center"/>
    </xf>
    <xf numFmtId="6" fontId="16" fillId="49" borderId="290" xfId="0" applyNumberFormat="1" applyFont="1" applyFill="1" applyBorder="1" applyAlignment="1" applyProtection="1">
      <alignment horizontal="center" vertical="center"/>
    </xf>
    <xf numFmtId="0" fontId="16" fillId="0" borderId="0" xfId="0" applyFont="1" applyAlignment="1" applyProtection="1">
      <alignment vertical="center"/>
    </xf>
    <xf numFmtId="0" fontId="16" fillId="39" borderId="291" xfId="0" applyFont="1" applyFill="1" applyBorder="1" applyAlignment="1" applyProtection="1">
      <alignment horizontal="right" vertical="center"/>
    </xf>
    <xf numFmtId="0" fontId="95" fillId="28" borderId="291" xfId="0" applyFont="1" applyFill="1" applyBorder="1" applyAlignment="1" applyProtection="1">
      <alignment vertical="center" wrapText="1"/>
    </xf>
    <xf numFmtId="6" fontId="95" fillId="28" borderId="291" xfId="0" applyNumberFormat="1" applyFont="1" applyFill="1" applyBorder="1" applyAlignment="1" applyProtection="1">
      <alignment vertical="center" wrapText="1"/>
    </xf>
    <xf numFmtId="0" fontId="95" fillId="28" borderId="291" xfId="0" applyFont="1" applyFill="1" applyBorder="1" applyAlignment="1" applyProtection="1">
      <alignment horizontal="center" vertical="center" wrapText="1"/>
    </xf>
    <xf numFmtId="0" fontId="16" fillId="0" borderId="291" xfId="0" applyFont="1" applyBorder="1" applyAlignment="1" applyProtection="1">
      <alignment vertical="center" wrapText="1"/>
    </xf>
    <xf numFmtId="3" fontId="16" fillId="34" borderId="291" xfId="0" applyNumberFormat="1" applyFont="1" applyFill="1" applyBorder="1" applyAlignment="1" applyProtection="1">
      <alignment vertical="center"/>
    </xf>
    <xf numFmtId="6" fontId="16" fillId="0" borderId="291" xfId="0" applyNumberFormat="1" applyFont="1" applyBorder="1" applyAlignment="1" applyProtection="1">
      <alignment vertical="center"/>
    </xf>
    <xf numFmtId="6" fontId="16" fillId="37" borderId="291" xfId="0" applyNumberFormat="1" applyFont="1" applyFill="1" applyBorder="1" applyAlignment="1" applyProtection="1">
      <alignment vertical="center"/>
    </xf>
    <xf numFmtId="6" fontId="16" fillId="0" borderId="291" xfId="0" applyNumberFormat="1" applyFont="1" applyFill="1" applyBorder="1" applyAlignment="1" applyProtection="1">
      <alignment vertical="center"/>
    </xf>
    <xf numFmtId="6" fontId="16" fillId="36" borderId="291" xfId="0" applyNumberFormat="1" applyFont="1" applyFill="1" applyBorder="1" applyAlignment="1" applyProtection="1">
      <alignment vertical="center"/>
    </xf>
    <xf numFmtId="6" fontId="16" fillId="50" borderId="291" xfId="0" applyNumberFormat="1" applyFont="1" applyFill="1" applyBorder="1" applyAlignment="1" applyProtection="1">
      <alignment vertical="center"/>
    </xf>
    <xf numFmtId="38" fontId="16" fillId="0" borderId="291" xfId="0" applyNumberFormat="1" applyFont="1" applyFill="1" applyBorder="1" applyAlignment="1" applyProtection="1">
      <alignment vertical="center"/>
    </xf>
    <xf numFmtId="6" fontId="16" fillId="34" borderId="291" xfId="0" applyNumberFormat="1" applyFont="1" applyFill="1" applyBorder="1" applyAlignment="1" applyProtection="1">
      <alignment vertical="center"/>
    </xf>
    <xf numFmtId="0" fontId="16" fillId="39" borderId="290" xfId="0" applyFont="1" applyFill="1" applyBorder="1" applyAlignment="1" applyProtection="1">
      <alignment vertical="center"/>
    </xf>
    <xf numFmtId="0" fontId="95" fillId="28" borderId="290" xfId="0" applyFont="1" applyFill="1" applyBorder="1" applyAlignment="1" applyProtection="1">
      <alignment vertical="center" wrapText="1"/>
    </xf>
    <xf numFmtId="6" fontId="95" fillId="28" borderId="290" xfId="0" applyNumberFormat="1" applyFont="1" applyFill="1" applyBorder="1" applyAlignment="1" applyProtection="1">
      <alignment vertical="center" wrapText="1"/>
    </xf>
    <xf numFmtId="0" fontId="20" fillId="0" borderId="291" xfId="0" applyFont="1" applyBorder="1" applyAlignment="1" applyProtection="1">
      <alignment vertical="center" wrapText="1"/>
    </xf>
    <xf numFmtId="3" fontId="16" fillId="0" borderId="291" xfId="0" applyNumberFormat="1" applyFont="1" applyFill="1" applyBorder="1" applyAlignment="1" applyProtection="1">
      <alignment vertical="center"/>
    </xf>
    <xf numFmtId="1" fontId="16" fillId="0" borderId="319" xfId="0" applyNumberFormat="1" applyFont="1" applyFill="1" applyBorder="1" applyAlignment="1" applyProtection="1">
      <alignment horizontal="left" vertical="center" wrapText="1"/>
    </xf>
    <xf numFmtId="0" fontId="96" fillId="0" borderId="319" xfId="0" applyFont="1" applyFill="1" applyBorder="1" applyAlignment="1" applyProtection="1">
      <alignment horizontal="left" vertical="center" wrapText="1"/>
    </xf>
    <xf numFmtId="38" fontId="16" fillId="34" borderId="319" xfId="0" applyNumberFormat="1" applyFont="1" applyFill="1" applyBorder="1" applyAlignment="1" applyProtection="1">
      <alignment vertical="center" wrapText="1"/>
    </xf>
    <xf numFmtId="6" fontId="16" fillId="0" borderId="319" xfId="0" applyNumberFormat="1" applyFont="1" applyBorder="1" applyAlignment="1" applyProtection="1">
      <alignment vertical="center"/>
    </xf>
    <xf numFmtId="6" fontId="16" fillId="37" borderId="319" xfId="0" applyNumberFormat="1" applyFont="1" applyFill="1" applyBorder="1" applyAlignment="1" applyProtection="1">
      <alignment vertical="center"/>
    </xf>
    <xf numFmtId="6" fontId="16" fillId="0" borderId="330" xfId="0" applyNumberFormat="1" applyFont="1" applyFill="1" applyBorder="1" applyAlignment="1" applyProtection="1">
      <alignment vertical="center"/>
    </xf>
    <xf numFmtId="6" fontId="16" fillId="0" borderId="319" xfId="0" applyNumberFormat="1" applyFont="1" applyFill="1" applyBorder="1" applyAlignment="1" applyProtection="1">
      <alignment vertical="center"/>
    </xf>
    <xf numFmtId="6" fontId="16" fillId="36" borderId="319" xfId="0" applyNumberFormat="1" applyFont="1" applyFill="1" applyBorder="1" applyAlignment="1" applyProtection="1">
      <alignment vertical="center"/>
    </xf>
    <xf numFmtId="6" fontId="16" fillId="34" borderId="319" xfId="0" applyNumberFormat="1" applyFont="1" applyFill="1" applyBorder="1" applyAlignment="1" applyProtection="1">
      <alignment vertical="center"/>
    </xf>
    <xf numFmtId="6" fontId="16" fillId="50" borderId="330" xfId="0" applyNumberFormat="1" applyFont="1" applyFill="1" applyBorder="1" applyAlignment="1" applyProtection="1">
      <alignment vertical="center"/>
    </xf>
    <xf numFmtId="38" fontId="16" fillId="0" borderId="319" xfId="0" applyNumberFormat="1" applyFont="1" applyFill="1" applyBorder="1" applyAlignment="1" applyProtection="1">
      <alignment vertical="center"/>
    </xf>
    <xf numFmtId="6" fontId="16" fillId="50" borderId="319" xfId="0" applyNumberFormat="1" applyFont="1" applyFill="1" applyBorder="1" applyAlignment="1" applyProtection="1">
      <alignment vertical="center"/>
    </xf>
    <xf numFmtId="1" fontId="16" fillId="0" borderId="320" xfId="0" applyNumberFormat="1" applyFont="1" applyFill="1" applyBorder="1" applyAlignment="1" applyProtection="1">
      <alignment horizontal="left" vertical="center" wrapText="1"/>
    </xf>
    <xf numFmtId="0" fontId="96" fillId="0" borderId="320" xfId="0" applyFont="1" applyFill="1" applyBorder="1" applyAlignment="1" applyProtection="1">
      <alignment horizontal="left" vertical="center" wrapText="1"/>
    </xf>
    <xf numFmtId="38" fontId="16" fillId="34" borderId="320" xfId="0" applyNumberFormat="1" applyFont="1" applyFill="1" applyBorder="1" applyAlignment="1" applyProtection="1">
      <alignment vertical="center" wrapText="1"/>
    </xf>
    <xf numFmtId="6" fontId="16" fillId="0" borderId="320" xfId="0" applyNumberFormat="1" applyFont="1" applyBorder="1" applyAlignment="1" applyProtection="1">
      <alignment vertical="center"/>
    </xf>
    <xf numFmtId="6" fontId="16" fillId="37" borderId="320" xfId="0" applyNumberFormat="1" applyFont="1" applyFill="1" applyBorder="1" applyAlignment="1" applyProtection="1">
      <alignment vertical="center"/>
    </xf>
    <xf numFmtId="6" fontId="16" fillId="0" borderId="331" xfId="0" applyNumberFormat="1" applyFont="1" applyFill="1" applyBorder="1" applyAlignment="1" applyProtection="1">
      <alignment vertical="center"/>
    </xf>
    <xf numFmtId="6" fontId="16" fillId="0" borderId="320" xfId="0" applyNumberFormat="1" applyFont="1" applyFill="1" applyBorder="1" applyAlignment="1" applyProtection="1">
      <alignment vertical="center"/>
    </xf>
    <xf numFmtId="6" fontId="16" fillId="36" borderId="320" xfId="0" applyNumberFormat="1" applyFont="1" applyFill="1" applyBorder="1" applyAlignment="1" applyProtection="1">
      <alignment vertical="center"/>
    </xf>
    <xf numFmtId="6" fontId="16" fillId="34" borderId="320" xfId="0" applyNumberFormat="1" applyFont="1" applyFill="1" applyBorder="1" applyAlignment="1" applyProtection="1">
      <alignment vertical="center"/>
    </xf>
    <xf numFmtId="6" fontId="16" fillId="50" borderId="331" xfId="0" applyNumberFormat="1" applyFont="1" applyFill="1" applyBorder="1" applyAlignment="1" applyProtection="1">
      <alignment vertical="center"/>
    </xf>
    <xf numFmtId="38" fontId="16" fillId="0" borderId="320" xfId="0" applyNumberFormat="1" applyFont="1" applyFill="1" applyBorder="1" applyAlignment="1" applyProtection="1">
      <alignment vertical="center"/>
    </xf>
    <xf numFmtId="6" fontId="16" fillId="50" borderId="320" xfId="0" applyNumberFormat="1" applyFont="1" applyFill="1" applyBorder="1" applyAlignment="1" applyProtection="1">
      <alignment vertical="center"/>
    </xf>
    <xf numFmtId="1" fontId="16" fillId="34" borderId="320" xfId="0" applyNumberFormat="1" applyFont="1" applyFill="1" applyBorder="1" applyAlignment="1" applyProtection="1">
      <alignment horizontal="left" vertical="center" wrapText="1"/>
    </xf>
    <xf numFmtId="0" fontId="96" fillId="34" borderId="320" xfId="0" applyFont="1" applyFill="1" applyBorder="1" applyAlignment="1" applyProtection="1">
      <alignment horizontal="left" vertical="center" wrapText="1"/>
    </xf>
    <xf numFmtId="1" fontId="16" fillId="0" borderId="248" xfId="0" applyNumberFormat="1" applyFont="1" applyFill="1" applyBorder="1" applyAlignment="1" applyProtection="1">
      <alignment horizontal="left" vertical="center" wrapText="1"/>
    </xf>
    <xf numFmtId="0" fontId="96" fillId="0" borderId="248" xfId="0" applyFont="1" applyFill="1" applyBorder="1" applyAlignment="1" applyProtection="1">
      <alignment horizontal="left" vertical="center" wrapText="1"/>
    </xf>
    <xf numFmtId="38" fontId="16" fillId="0" borderId="248" xfId="0" applyNumberFormat="1" applyFont="1" applyFill="1" applyBorder="1" applyAlignment="1" applyProtection="1">
      <alignment vertical="center" wrapText="1"/>
    </xf>
    <xf numFmtId="6" fontId="16" fillId="0" borderId="248" xfId="0" applyNumberFormat="1" applyFont="1" applyBorder="1" applyAlignment="1" applyProtection="1">
      <alignment vertical="center"/>
    </xf>
    <xf numFmtId="6" fontId="16" fillId="34" borderId="248" xfId="0" applyNumberFormat="1" applyFont="1" applyFill="1" applyBorder="1" applyAlignment="1" applyProtection="1">
      <alignment vertical="center"/>
    </xf>
    <xf numFmtId="6" fontId="16" fillId="37" borderId="248" xfId="0" applyNumberFormat="1" applyFont="1" applyFill="1" applyBorder="1" applyAlignment="1" applyProtection="1">
      <alignment vertical="center"/>
    </xf>
    <xf numFmtId="6" fontId="16" fillId="0" borderId="38" xfId="0" applyNumberFormat="1" applyFont="1" applyFill="1" applyBorder="1" applyAlignment="1" applyProtection="1">
      <alignment vertical="center"/>
    </xf>
    <xf numFmtId="6" fontId="16" fillId="0" borderId="248" xfId="0" applyNumberFormat="1" applyFont="1" applyFill="1" applyBorder="1" applyAlignment="1" applyProtection="1">
      <alignment vertical="center"/>
    </xf>
    <xf numFmtId="6" fontId="16" fillId="36" borderId="248" xfId="0" applyNumberFormat="1" applyFont="1" applyFill="1" applyBorder="1" applyAlignment="1" applyProtection="1">
      <alignment vertical="center"/>
    </xf>
    <xf numFmtId="6" fontId="16" fillId="50" borderId="38" xfId="0" applyNumberFormat="1" applyFont="1" applyFill="1" applyBorder="1" applyAlignment="1" applyProtection="1">
      <alignment vertical="center"/>
    </xf>
    <xf numFmtId="38" fontId="16" fillId="0" borderId="248" xfId="0" applyNumberFormat="1" applyFont="1" applyFill="1" applyBorder="1" applyAlignment="1" applyProtection="1">
      <alignment vertical="center"/>
    </xf>
    <xf numFmtId="6" fontId="16" fillId="50" borderId="248" xfId="0" applyNumberFormat="1" applyFont="1" applyFill="1" applyBorder="1" applyAlignment="1" applyProtection="1">
      <alignment vertical="center"/>
    </xf>
    <xf numFmtId="1" fontId="16" fillId="48" borderId="57" xfId="0" applyNumberFormat="1" applyFont="1" applyFill="1" applyBorder="1" applyAlignment="1" applyProtection="1">
      <alignment horizontal="right" vertical="center" wrapText="1"/>
    </xf>
    <xf numFmtId="0" fontId="96" fillId="48" borderId="57" xfId="0" applyFont="1" applyFill="1" applyBorder="1" applyAlignment="1" applyProtection="1">
      <alignment horizontal="left" vertical="center" wrapText="1"/>
    </xf>
    <xf numFmtId="38" fontId="16" fillId="48" borderId="57" xfId="0" applyNumberFormat="1" applyFont="1" applyFill="1" applyBorder="1" applyAlignment="1" applyProtection="1">
      <alignment vertical="center" wrapText="1"/>
    </xf>
    <xf numFmtId="6" fontId="16" fillId="48" borderId="57" xfId="0" applyNumberFormat="1" applyFont="1" applyFill="1" applyBorder="1" applyAlignment="1" applyProtection="1">
      <alignment vertical="center"/>
    </xf>
    <xf numFmtId="6" fontId="16" fillId="48" borderId="25" xfId="0" applyNumberFormat="1" applyFont="1" applyFill="1" applyBorder="1" applyAlignment="1" applyProtection="1">
      <alignment vertical="center"/>
    </xf>
    <xf numFmtId="38" fontId="16" fillId="48" borderId="57" xfId="0" applyNumberFormat="1" applyFont="1" applyFill="1" applyBorder="1" applyAlignment="1" applyProtection="1">
      <alignment vertical="center"/>
    </xf>
    <xf numFmtId="1" fontId="16" fillId="39" borderId="349" xfId="0" applyNumberFormat="1" applyFont="1" applyFill="1" applyBorder="1" applyAlignment="1" applyProtection="1">
      <alignment horizontal="left" vertical="center" wrapText="1"/>
    </xf>
    <xf numFmtId="0" fontId="96" fillId="39" borderId="247" xfId="0" applyFont="1" applyFill="1" applyBorder="1" applyAlignment="1" applyProtection="1">
      <alignment horizontal="left" vertical="center" wrapText="1"/>
    </xf>
    <xf numFmtId="38" fontId="16" fillId="39" borderId="247" xfId="0" applyNumberFormat="1" applyFont="1" applyFill="1" applyBorder="1" applyAlignment="1" applyProtection="1">
      <alignment vertical="center" wrapText="1"/>
    </xf>
    <xf numFmtId="6" fontId="16" fillId="39" borderId="247" xfId="0" applyNumberFormat="1" applyFont="1" applyFill="1" applyBorder="1" applyAlignment="1" applyProtection="1">
      <alignment vertical="center"/>
    </xf>
    <xf numFmtId="6" fontId="16" fillId="39" borderId="52" xfId="0" applyNumberFormat="1" applyFont="1" applyFill="1" applyBorder="1" applyAlignment="1" applyProtection="1">
      <alignment vertical="center"/>
    </xf>
    <xf numFmtId="38" fontId="16" fillId="39" borderId="247" xfId="0" applyNumberFormat="1" applyFont="1" applyFill="1" applyBorder="1" applyAlignment="1" applyProtection="1">
      <alignment vertical="center"/>
    </xf>
    <xf numFmtId="6" fontId="16" fillId="39" borderId="350" xfId="0" applyNumberFormat="1" applyFont="1" applyFill="1" applyBorder="1" applyAlignment="1" applyProtection="1">
      <alignment vertical="center"/>
    </xf>
    <xf numFmtId="0" fontId="16" fillId="39" borderId="0" xfId="0" applyFont="1" applyFill="1" applyAlignment="1" applyProtection="1">
      <alignment vertical="center"/>
    </xf>
    <xf numFmtId="0" fontId="20" fillId="0" borderId="13" xfId="0" applyFont="1" applyBorder="1" applyAlignment="1" applyProtection="1">
      <alignment vertical="center" wrapText="1"/>
    </xf>
    <xf numFmtId="0" fontId="20" fillId="0" borderId="248" xfId="0" applyFont="1" applyBorder="1" applyAlignment="1" applyProtection="1">
      <alignment vertical="center" wrapText="1"/>
    </xf>
    <xf numFmtId="3" fontId="20" fillId="0" borderId="13" xfId="0" applyNumberFormat="1" applyFont="1" applyFill="1" applyBorder="1" applyAlignment="1" applyProtection="1">
      <alignment vertical="center"/>
    </xf>
    <xf numFmtId="6" fontId="20" fillId="0" borderId="13" xfId="0" applyNumberFormat="1" applyFont="1" applyBorder="1" applyAlignment="1" applyProtection="1">
      <alignment vertical="center"/>
    </xf>
    <xf numFmtId="6" fontId="20" fillId="0" borderId="13" xfId="0" applyNumberFormat="1" applyFont="1" applyFill="1" applyBorder="1" applyAlignment="1" applyProtection="1">
      <alignment vertical="center"/>
    </xf>
    <xf numFmtId="6" fontId="20" fillId="37" borderId="13" xfId="0" applyNumberFormat="1" applyFont="1" applyFill="1" applyBorder="1" applyAlignment="1" applyProtection="1">
      <alignment vertical="center"/>
    </xf>
    <xf numFmtId="6" fontId="20" fillId="36" borderId="13" xfId="0" applyNumberFormat="1" applyFont="1" applyFill="1" applyBorder="1" applyAlignment="1" applyProtection="1">
      <alignment vertical="center"/>
    </xf>
    <xf numFmtId="6" fontId="20" fillId="0" borderId="248" xfId="0" applyNumberFormat="1" applyFont="1" applyFill="1" applyBorder="1" applyAlignment="1" applyProtection="1">
      <alignment vertical="center"/>
    </xf>
    <xf numFmtId="6" fontId="20" fillId="37" borderId="248" xfId="0" applyNumberFormat="1" applyFont="1" applyFill="1" applyBorder="1" applyAlignment="1" applyProtection="1">
      <alignment vertical="center"/>
    </xf>
    <xf numFmtId="6" fontId="20" fillId="50" borderId="15" xfId="0" applyNumberFormat="1" applyFont="1" applyFill="1" applyBorder="1" applyAlignment="1" applyProtection="1">
      <alignment vertical="center"/>
    </xf>
    <xf numFmtId="38" fontId="20" fillId="0" borderId="166" xfId="0" applyNumberFormat="1" applyFont="1" applyFill="1" applyBorder="1" applyAlignment="1" applyProtection="1">
      <alignment vertical="center"/>
    </xf>
    <xf numFmtId="6" fontId="20" fillId="0" borderId="166" xfId="0" applyNumberFormat="1" applyFont="1" applyFill="1" applyBorder="1" applyAlignment="1" applyProtection="1">
      <alignment vertical="center"/>
    </xf>
    <xf numFmtId="6" fontId="20" fillId="36" borderId="166" xfId="0" applyNumberFormat="1" applyFont="1" applyFill="1" applyBorder="1" applyAlignment="1" applyProtection="1">
      <alignment vertical="center"/>
    </xf>
    <xf numFmtId="6" fontId="20" fillId="50" borderId="166" xfId="0" applyNumberFormat="1" applyFont="1" applyFill="1" applyBorder="1" applyAlignment="1" applyProtection="1">
      <alignment vertical="center"/>
    </xf>
    <xf numFmtId="6" fontId="20" fillId="0" borderId="15" xfId="0" applyNumberFormat="1" applyFont="1" applyFill="1" applyBorder="1" applyAlignment="1" applyProtection="1">
      <alignment vertical="center"/>
    </xf>
    <xf numFmtId="0" fontId="20" fillId="0" borderId="0" xfId="0" applyFont="1" applyAlignment="1" applyProtection="1">
      <alignment vertical="center"/>
    </xf>
    <xf numFmtId="6" fontId="20" fillId="0" borderId="15" xfId="0" applyNumberFormat="1" applyFont="1" applyBorder="1" applyAlignment="1" applyProtection="1">
      <alignment vertical="center"/>
    </xf>
    <xf numFmtId="6" fontId="20" fillId="37" borderId="15" xfId="0" applyNumberFormat="1" applyFont="1" applyFill="1" applyBorder="1" applyAlignment="1" applyProtection="1">
      <alignment vertical="center"/>
    </xf>
    <xf numFmtId="6" fontId="20" fillId="0" borderId="291" xfId="0" applyNumberFormat="1" applyFont="1" applyBorder="1" applyAlignment="1" applyProtection="1">
      <alignment vertical="center"/>
    </xf>
    <xf numFmtId="6" fontId="20" fillId="37" borderId="291" xfId="0" applyNumberFormat="1" applyFont="1" applyFill="1" applyBorder="1" applyAlignment="1" applyProtection="1">
      <alignment vertical="center"/>
    </xf>
    <xf numFmtId="6" fontId="20" fillId="34" borderId="15" xfId="0" applyNumberFormat="1" applyFont="1" applyFill="1" applyBorder="1" applyAlignment="1" applyProtection="1">
      <alignment vertical="center"/>
    </xf>
    <xf numFmtId="0" fontId="20" fillId="28" borderId="291" xfId="0" applyFont="1" applyFill="1" applyBorder="1" applyAlignment="1" applyProtection="1">
      <alignment horizontal="left" vertical="center" wrapText="1"/>
    </xf>
    <xf numFmtId="164" fontId="20" fillId="28" borderId="291" xfId="28" applyNumberFormat="1" applyFont="1" applyFill="1" applyBorder="1" applyAlignment="1" applyProtection="1">
      <alignment vertical="center"/>
    </xf>
    <xf numFmtId="6" fontId="16" fillId="28" borderId="291" xfId="0" applyNumberFormat="1" applyFont="1" applyFill="1" applyBorder="1" applyAlignment="1" applyProtection="1">
      <alignment vertical="center"/>
    </xf>
    <xf numFmtId="6" fontId="20" fillId="28" borderId="291" xfId="0" applyNumberFormat="1" applyFont="1" applyFill="1" applyBorder="1" applyAlignment="1" applyProtection="1">
      <alignment vertical="center"/>
    </xf>
    <xf numFmtId="6" fontId="20" fillId="39" borderId="291" xfId="0" applyNumberFormat="1" applyFont="1" applyFill="1" applyBorder="1" applyAlignment="1" applyProtection="1">
      <alignment vertical="center"/>
    </xf>
    <xf numFmtId="38" fontId="20" fillId="39" borderId="291" xfId="0" applyNumberFormat="1" applyFont="1" applyFill="1" applyBorder="1" applyAlignment="1" applyProtection="1">
      <alignment vertical="center"/>
    </xf>
    <xf numFmtId="0" fontId="20" fillId="0" borderId="12" xfId="0" applyFont="1" applyBorder="1" applyAlignment="1" applyProtection="1">
      <alignment horizontal="right" vertical="center" wrapText="1"/>
    </xf>
    <xf numFmtId="3" fontId="20" fillId="0" borderId="12" xfId="0" applyNumberFormat="1" applyFont="1" applyFill="1" applyBorder="1" applyAlignment="1" applyProtection="1">
      <alignment vertical="center"/>
    </xf>
    <xf numFmtId="8" fontId="20" fillId="0" borderId="12" xfId="0" applyNumberFormat="1" applyFont="1" applyBorder="1" applyAlignment="1" applyProtection="1">
      <alignment vertical="center"/>
    </xf>
    <xf numFmtId="165" fontId="20" fillId="0" borderId="12" xfId="0" applyNumberFormat="1" applyFont="1" applyBorder="1" applyAlignment="1" applyProtection="1">
      <alignment vertical="center"/>
    </xf>
    <xf numFmtId="6" fontId="20" fillId="0" borderId="12" xfId="0" applyNumberFormat="1" applyFont="1" applyBorder="1" applyAlignment="1" applyProtection="1">
      <alignment vertical="center"/>
    </xf>
    <xf numFmtId="6" fontId="20" fillId="37" borderId="12" xfId="0" applyNumberFormat="1" applyFont="1" applyFill="1" applyBorder="1" applyAlignment="1" applyProtection="1">
      <alignment vertical="center"/>
    </xf>
    <xf numFmtId="6" fontId="20" fillId="0" borderId="12" xfId="0" applyNumberFormat="1" applyFont="1" applyFill="1" applyBorder="1" applyAlignment="1" applyProtection="1">
      <alignment vertical="center"/>
    </xf>
    <xf numFmtId="6" fontId="20" fillId="36" borderId="12" xfId="0" applyNumberFormat="1" applyFont="1" applyFill="1" applyBorder="1" applyAlignment="1" applyProtection="1">
      <alignment vertical="center"/>
    </xf>
    <xf numFmtId="6" fontId="20" fillId="49" borderId="12" xfId="0" applyNumberFormat="1" applyFont="1" applyFill="1" applyBorder="1" applyAlignment="1" applyProtection="1">
      <alignment vertical="center"/>
    </xf>
    <xf numFmtId="165" fontId="20" fillId="49" borderId="12" xfId="0" applyNumberFormat="1" applyFont="1" applyFill="1" applyBorder="1" applyAlignment="1" applyProtection="1">
      <alignment vertical="center"/>
    </xf>
    <xf numFmtId="38" fontId="20" fillId="49" borderId="12" xfId="0" applyNumberFormat="1" applyFont="1" applyFill="1" applyBorder="1" applyAlignment="1" applyProtection="1">
      <alignment vertical="center"/>
    </xf>
    <xf numFmtId="0" fontId="20" fillId="0" borderId="0" xfId="0" applyFont="1" applyBorder="1" applyAlignment="1" applyProtection="1">
      <alignment vertical="center" wrapText="1"/>
    </xf>
    <xf numFmtId="0" fontId="20" fillId="0" borderId="0" xfId="0" applyFont="1" applyBorder="1" applyAlignment="1" applyProtection="1">
      <alignment wrapText="1"/>
    </xf>
    <xf numFmtId="3" fontId="16" fillId="0" borderId="0" xfId="0" applyNumberFormat="1" applyFont="1" applyFill="1" applyBorder="1" applyProtection="1"/>
    <xf numFmtId="8" fontId="16" fillId="0" borderId="0" xfId="0" applyNumberFormat="1" applyFont="1" applyBorder="1" applyProtection="1"/>
    <xf numFmtId="6" fontId="16" fillId="0" borderId="0" xfId="0" applyNumberFormat="1" applyFont="1" applyBorder="1" applyProtection="1"/>
    <xf numFmtId="1" fontId="16" fillId="0" borderId="0" xfId="0" applyNumberFormat="1" applyFont="1" applyBorder="1" applyProtection="1"/>
    <xf numFmtId="6" fontId="16" fillId="0" borderId="49" xfId="0" applyNumberFormat="1" applyFont="1" applyFill="1" applyBorder="1" applyAlignment="1" applyProtection="1">
      <alignment horizontal="center"/>
    </xf>
    <xf numFmtId="0" fontId="20" fillId="0" borderId="0" xfId="0" applyFont="1" applyBorder="1" applyAlignment="1" applyProtection="1">
      <alignment horizontal="left" wrapText="1"/>
    </xf>
    <xf numFmtId="0" fontId="51" fillId="0" borderId="0" xfId="0" applyFont="1" applyBorder="1" applyAlignment="1" applyProtection="1"/>
    <xf numFmtId="0" fontId="51" fillId="0" borderId="0" xfId="0" applyFont="1" applyBorder="1" applyAlignment="1" applyProtection="1">
      <alignment wrapText="1"/>
    </xf>
    <xf numFmtId="0" fontId="51" fillId="0" borderId="0" xfId="0" applyFont="1" applyBorder="1" applyAlignment="1" applyProtection="1">
      <alignment horizontal="left" wrapText="1"/>
    </xf>
    <xf numFmtId="0" fontId="86" fillId="0" borderId="0" xfId="0" applyFont="1" applyAlignment="1" applyProtection="1">
      <alignment horizontal="left"/>
    </xf>
    <xf numFmtId="1" fontId="16" fillId="0" borderId="0" xfId="0" applyNumberFormat="1" applyFont="1" applyProtection="1"/>
    <xf numFmtId="1" fontId="48" fillId="0" borderId="13" xfId="0" applyNumberFormat="1" applyFont="1" applyBorder="1" applyProtection="1"/>
    <xf numFmtId="6" fontId="16" fillId="0" borderId="319" xfId="64" applyNumberFormat="1" applyFont="1" applyFill="1" applyBorder="1" applyProtection="1"/>
    <xf numFmtId="6" fontId="20" fillId="43" borderId="319" xfId="64" applyNumberFormat="1" applyFont="1" applyFill="1" applyBorder="1" applyProtection="1"/>
    <xf numFmtId="6" fontId="16" fillId="0" borderId="320" xfId="64" applyNumberFormat="1" applyFont="1" applyFill="1" applyBorder="1" applyProtection="1"/>
    <xf numFmtId="6" fontId="20" fillId="43" borderId="320" xfId="64" applyNumberFormat="1" applyFont="1" applyFill="1" applyBorder="1" applyProtection="1"/>
    <xf numFmtId="6" fontId="16" fillId="0" borderId="248" xfId="64" applyNumberFormat="1" applyFont="1" applyFill="1" applyBorder="1" applyProtection="1"/>
    <xf numFmtId="6" fontId="20" fillId="43" borderId="248" xfId="64" applyNumberFormat="1" applyFont="1" applyFill="1" applyBorder="1" applyProtection="1"/>
    <xf numFmtId="6" fontId="16" fillId="0" borderId="335" xfId="64" applyNumberFormat="1" applyFont="1" applyFill="1" applyBorder="1" applyProtection="1"/>
    <xf numFmtId="6" fontId="20" fillId="43" borderId="335" xfId="64" applyNumberFormat="1" applyFont="1" applyFill="1" applyBorder="1" applyProtection="1"/>
    <xf numFmtId="6" fontId="26" fillId="0" borderId="12" xfId="64" applyNumberFormat="1" applyFont="1" applyFill="1" applyBorder="1" applyProtection="1"/>
    <xf numFmtId="6" fontId="27" fillId="43" borderId="12" xfId="64" applyNumberFormat="1" applyFont="1" applyFill="1" applyBorder="1" applyProtection="1"/>
    <xf numFmtId="6" fontId="26" fillId="28" borderId="38" xfId="64" applyNumberFormat="1" applyFont="1" applyFill="1" applyBorder="1" applyAlignment="1" applyProtection="1">
      <alignment horizontal="left"/>
    </xf>
    <xf numFmtId="6" fontId="27" fillId="28" borderId="38" xfId="64" applyNumberFormat="1" applyFont="1" applyFill="1" applyBorder="1" applyAlignment="1" applyProtection="1">
      <alignment horizontal="left"/>
    </xf>
    <xf numFmtId="6" fontId="16" fillId="0" borderId="12" xfId="64" applyNumberFormat="1" applyFont="1" applyFill="1" applyBorder="1" applyProtection="1"/>
    <xf numFmtId="6" fontId="20" fillId="43" borderId="12" xfId="64" applyNumberFormat="1" applyFont="1" applyFill="1" applyBorder="1" applyProtection="1"/>
    <xf numFmtId="6" fontId="16" fillId="0" borderId="273" xfId="64" applyNumberFormat="1" applyFont="1" applyFill="1" applyBorder="1" applyProtection="1"/>
    <xf numFmtId="6" fontId="20" fillId="43" borderId="273" xfId="64" applyNumberFormat="1" applyFont="1" applyFill="1" applyBorder="1" applyProtection="1"/>
    <xf numFmtId="6" fontId="27" fillId="0" borderId="12" xfId="64" applyNumberFormat="1" applyFont="1" applyFill="1" applyBorder="1" applyProtection="1"/>
    <xf numFmtId="6" fontId="20" fillId="37" borderId="319" xfId="64" applyNumberFormat="1" applyFont="1" applyFill="1" applyBorder="1" applyProtection="1"/>
    <xf numFmtId="6" fontId="20" fillId="41" borderId="319" xfId="64" applyNumberFormat="1" applyFont="1" applyFill="1" applyBorder="1" applyProtection="1"/>
    <xf numFmtId="6" fontId="20" fillId="37" borderId="320" xfId="64" applyNumberFormat="1" applyFont="1" applyFill="1" applyBorder="1" applyProtection="1"/>
    <xf numFmtId="6" fontId="20" fillId="41" borderId="320" xfId="64" applyNumberFormat="1" applyFont="1" applyFill="1" applyBorder="1" applyProtection="1"/>
    <xf numFmtId="6" fontId="20" fillId="37" borderId="248" xfId="64" applyNumberFormat="1" applyFont="1" applyFill="1" applyBorder="1" applyProtection="1"/>
    <xf numFmtId="6" fontId="20" fillId="41" borderId="248" xfId="64" applyNumberFormat="1" applyFont="1" applyFill="1" applyBorder="1" applyProtection="1"/>
    <xf numFmtId="6" fontId="20" fillId="37" borderId="335" xfId="64" applyNumberFormat="1" applyFont="1" applyFill="1" applyBorder="1" applyProtection="1"/>
    <xf numFmtId="6" fontId="20" fillId="41" borderId="335" xfId="64" applyNumberFormat="1" applyFont="1" applyFill="1" applyBorder="1" applyProtection="1"/>
    <xf numFmtId="6" fontId="27" fillId="37" borderId="12" xfId="64" applyNumberFormat="1" applyFont="1" applyFill="1" applyBorder="1" applyProtection="1"/>
    <xf numFmtId="6" fontId="27" fillId="41" borderId="12" xfId="64" applyNumberFormat="1" applyFont="1" applyFill="1" applyBorder="1" applyProtection="1"/>
    <xf numFmtId="6" fontId="20" fillId="37" borderId="12" xfId="64" applyNumberFormat="1" applyFont="1" applyFill="1" applyBorder="1" applyProtection="1"/>
    <xf numFmtId="6" fontId="20" fillId="41" borderId="12" xfId="64" applyNumberFormat="1" applyFont="1" applyFill="1" applyBorder="1" applyProtection="1"/>
    <xf numFmtId="6" fontId="20" fillId="37" borderId="273" xfId="64" applyNumberFormat="1" applyFont="1" applyFill="1" applyBorder="1" applyProtection="1"/>
    <xf numFmtId="6" fontId="20" fillId="41" borderId="273" xfId="64" applyNumberFormat="1" applyFont="1" applyFill="1" applyBorder="1" applyProtection="1"/>
    <xf numFmtId="6" fontId="20" fillId="50" borderId="319" xfId="64" applyNumberFormat="1" applyFont="1" applyFill="1" applyBorder="1" applyProtection="1"/>
    <xf numFmtId="6" fontId="20" fillId="50" borderId="320" xfId="64" applyNumberFormat="1" applyFont="1" applyFill="1" applyBorder="1" applyProtection="1"/>
    <xf numFmtId="6" fontId="20" fillId="50" borderId="248" xfId="64" applyNumberFormat="1" applyFont="1" applyFill="1" applyBorder="1" applyProtection="1"/>
    <xf numFmtId="6" fontId="20" fillId="50" borderId="335" xfId="64" applyNumberFormat="1" applyFont="1" applyFill="1" applyBorder="1" applyProtection="1"/>
    <xf numFmtId="6" fontId="27" fillId="50" borderId="12" xfId="64" applyNumberFormat="1" applyFont="1" applyFill="1" applyBorder="1" applyProtection="1"/>
    <xf numFmtId="6" fontId="20" fillId="50" borderId="12" xfId="64" applyNumberFormat="1" applyFont="1" applyFill="1" applyBorder="1" applyProtection="1"/>
    <xf numFmtId="6" fontId="20" fillId="50" borderId="273" xfId="64" applyNumberFormat="1" applyFont="1" applyFill="1" applyBorder="1" applyProtection="1"/>
    <xf numFmtId="6" fontId="20" fillId="36" borderId="319" xfId="64" applyNumberFormat="1" applyFont="1" applyFill="1" applyBorder="1" applyProtection="1"/>
    <xf numFmtId="6" fontId="20" fillId="36" borderId="320" xfId="64" applyNumberFormat="1" applyFont="1" applyFill="1" applyBorder="1" applyProtection="1"/>
    <xf numFmtId="6" fontId="20" fillId="36" borderId="248" xfId="64" applyNumberFormat="1" applyFont="1" applyFill="1" applyBorder="1" applyProtection="1"/>
    <xf numFmtId="6" fontId="27" fillId="36" borderId="12" xfId="253" applyNumberFormat="1" applyFont="1" applyFill="1" applyBorder="1" applyProtection="1"/>
    <xf numFmtId="6" fontId="20" fillId="36" borderId="12" xfId="253" applyNumberFormat="1" applyFont="1" applyFill="1" applyBorder="1" applyProtection="1"/>
    <xf numFmtId="49" fontId="27" fillId="36" borderId="13" xfId="53" applyNumberFormat="1" applyFont="1" applyFill="1" applyBorder="1" applyAlignment="1" applyProtection="1">
      <alignment horizontal="center" vertical="center" wrapText="1"/>
    </xf>
    <xf numFmtId="49" fontId="27" fillId="36" borderId="165" xfId="53" applyNumberFormat="1" applyFont="1" applyFill="1" applyBorder="1" applyAlignment="1" applyProtection="1">
      <alignment horizontal="center" vertical="center" wrapText="1"/>
    </xf>
    <xf numFmtId="6" fontId="102" fillId="0" borderId="291" xfId="0" applyNumberFormat="1" applyFont="1" applyBorder="1"/>
    <xf numFmtId="0" fontId="20" fillId="0" borderId="0" xfId="0" applyFont="1" applyBorder="1" applyAlignment="1" applyProtection="1">
      <alignment vertical="top" wrapText="1"/>
    </xf>
    <xf numFmtId="0" fontId="16" fillId="0" borderId="0" xfId="0" applyFont="1"/>
    <xf numFmtId="0" fontId="27" fillId="25" borderId="246" xfId="0" applyFont="1" applyFill="1" applyBorder="1" applyAlignment="1" applyProtection="1">
      <alignment horizontal="center" vertical="center" wrapText="1"/>
    </xf>
    <xf numFmtId="0" fontId="27" fillId="25" borderId="38" xfId="0" applyFont="1" applyFill="1" applyBorder="1" applyAlignment="1" applyProtection="1">
      <alignment horizontal="center" vertical="center" wrapText="1"/>
    </xf>
    <xf numFmtId="164" fontId="18" fillId="26" borderId="291" xfId="28" applyNumberFormat="1" applyFont="1" applyFill="1" applyBorder="1" applyAlignment="1" applyProtection="1">
      <alignment horizontal="center"/>
    </xf>
    <xf numFmtId="0" fontId="16" fillId="0" borderId="18" xfId="0" applyFont="1" applyBorder="1" applyAlignment="1" applyProtection="1">
      <alignment horizontal="left" wrapText="1"/>
    </xf>
    <xf numFmtId="0" fontId="16" fillId="0" borderId="18" xfId="0" applyFont="1" applyFill="1" applyBorder="1" applyAlignment="1" applyProtection="1">
      <alignment horizontal="left" wrapText="1"/>
    </xf>
    <xf numFmtId="3" fontId="16" fillId="0" borderId="18" xfId="0" applyNumberFormat="1" applyFont="1" applyFill="1" applyBorder="1" applyAlignment="1" applyProtection="1">
      <alignment horizontal="right"/>
    </xf>
    <xf numFmtId="6" fontId="16" fillId="0" borderId="18" xfId="0" applyNumberFormat="1" applyFont="1" applyBorder="1" applyAlignment="1" applyProtection="1">
      <alignment horizontal="right"/>
    </xf>
    <xf numFmtId="6" fontId="16" fillId="0" borderId="13" xfId="0" applyNumberFormat="1" applyFont="1" applyBorder="1" applyAlignment="1" applyProtection="1">
      <alignment horizontal="right"/>
    </xf>
    <xf numFmtId="6" fontId="16" fillId="0" borderId="13" xfId="0" applyNumberFormat="1" applyFont="1" applyFill="1" applyBorder="1" applyAlignment="1" applyProtection="1">
      <alignment horizontal="right"/>
    </xf>
    <xf numFmtId="6" fontId="16" fillId="37" borderId="13" xfId="0" applyNumberFormat="1" applyFont="1" applyFill="1" applyBorder="1" applyAlignment="1" applyProtection="1">
      <alignment horizontal="right"/>
    </xf>
    <xf numFmtId="6" fontId="16" fillId="34" borderId="13" xfId="0" applyNumberFormat="1" applyFont="1" applyFill="1" applyBorder="1" applyAlignment="1" applyProtection="1">
      <alignment horizontal="right"/>
    </xf>
    <xf numFmtId="6" fontId="16" fillId="36" borderId="13" xfId="0" applyNumberFormat="1" applyFont="1" applyFill="1" applyBorder="1" applyAlignment="1" applyProtection="1">
      <alignment horizontal="right"/>
    </xf>
    <xf numFmtId="6" fontId="16" fillId="50" borderId="13" xfId="0" applyNumberFormat="1" applyFont="1" applyFill="1" applyBorder="1" applyAlignment="1" applyProtection="1">
      <alignment horizontal="right"/>
    </xf>
    <xf numFmtId="38" fontId="16" fillId="0" borderId="13" xfId="0" applyNumberFormat="1" applyFont="1" applyBorder="1" applyAlignment="1" applyProtection="1">
      <alignment horizontal="right"/>
    </xf>
    <xf numFmtId="6" fontId="16" fillId="42" borderId="13" xfId="0" applyNumberFormat="1" applyFont="1" applyFill="1" applyBorder="1" applyAlignment="1" applyProtection="1">
      <alignment horizontal="right"/>
    </xf>
    <xf numFmtId="6" fontId="16" fillId="0" borderId="18" xfId="0" applyNumberFormat="1" applyFont="1" applyFill="1" applyBorder="1" applyAlignment="1" applyProtection="1">
      <alignment horizontal="right"/>
    </xf>
    <xf numFmtId="0" fontId="20" fillId="0" borderId="18" xfId="0" applyFont="1" applyBorder="1" applyAlignment="1" applyProtection="1">
      <alignment horizontal="right" wrapText="1"/>
    </xf>
    <xf numFmtId="3" fontId="20" fillId="0" borderId="18" xfId="0" applyNumberFormat="1" applyFont="1" applyFill="1" applyBorder="1" applyAlignment="1" applyProtection="1">
      <alignment horizontal="right"/>
    </xf>
    <xf numFmtId="6" fontId="20" fillId="0" borderId="18" xfId="0" applyNumberFormat="1" applyFont="1" applyBorder="1" applyAlignment="1" applyProtection="1">
      <alignment horizontal="right"/>
    </xf>
    <xf numFmtId="6" fontId="20" fillId="0" borderId="13" xfId="0" applyNumberFormat="1" applyFont="1" applyBorder="1" applyAlignment="1" applyProtection="1">
      <alignment horizontal="right"/>
    </xf>
    <xf numFmtId="6" fontId="20" fillId="37" borderId="13" xfId="0" applyNumberFormat="1" applyFont="1" applyFill="1" applyBorder="1" applyAlignment="1" applyProtection="1">
      <alignment horizontal="right"/>
    </xf>
    <xf numFmtId="6" fontId="20" fillId="0" borderId="18" xfId="0" applyNumberFormat="1" applyFont="1" applyFill="1" applyBorder="1" applyAlignment="1" applyProtection="1">
      <alignment horizontal="right"/>
    </xf>
    <xf numFmtId="6" fontId="20" fillId="34" borderId="13" xfId="0" applyNumberFormat="1" applyFont="1" applyFill="1" applyBorder="1" applyAlignment="1" applyProtection="1">
      <alignment horizontal="right"/>
    </xf>
    <xf numFmtId="6" fontId="20" fillId="36" borderId="13" xfId="0" applyNumberFormat="1" applyFont="1" applyFill="1" applyBorder="1" applyAlignment="1" applyProtection="1">
      <alignment horizontal="right"/>
    </xf>
    <xf numFmtId="6" fontId="20" fillId="37" borderId="248" xfId="0" applyNumberFormat="1" applyFont="1" applyFill="1" applyBorder="1" applyAlignment="1" applyProtection="1">
      <alignment horizontal="right"/>
    </xf>
    <xf numFmtId="6" fontId="20" fillId="50" borderId="13" xfId="0" applyNumberFormat="1" applyFont="1" applyFill="1" applyBorder="1" applyAlignment="1" applyProtection="1">
      <alignment horizontal="right"/>
    </xf>
    <xf numFmtId="170" fontId="20" fillId="0" borderId="13" xfId="0" applyNumberFormat="1" applyFont="1" applyBorder="1" applyAlignment="1" applyProtection="1">
      <alignment horizontal="right"/>
    </xf>
    <xf numFmtId="38" fontId="20" fillId="0" borderId="13" xfId="0" applyNumberFormat="1" applyFont="1" applyBorder="1" applyAlignment="1" applyProtection="1">
      <alignment horizontal="right"/>
    </xf>
    <xf numFmtId="6" fontId="20" fillId="0" borderId="13" xfId="0" applyNumberFormat="1" applyFont="1" applyFill="1" applyBorder="1" applyAlignment="1" applyProtection="1">
      <alignment horizontal="right"/>
    </xf>
    <xf numFmtId="6" fontId="20" fillId="42" borderId="13" xfId="0" applyNumberFormat="1" applyFont="1" applyFill="1" applyBorder="1" applyAlignment="1" applyProtection="1">
      <alignment horizontal="right"/>
    </xf>
    <xf numFmtId="0" fontId="20" fillId="52" borderId="18" xfId="0" applyFont="1" applyFill="1" applyBorder="1" applyAlignment="1" applyProtection="1">
      <alignment horizontal="right" wrapText="1"/>
    </xf>
    <xf numFmtId="3" fontId="16" fillId="52" borderId="14" xfId="0" applyNumberFormat="1" applyFont="1" applyFill="1" applyBorder="1" applyAlignment="1" applyProtection="1">
      <alignment horizontal="right"/>
    </xf>
    <xf numFmtId="6" fontId="16" fillId="52" borderId="14" xfId="0" applyNumberFormat="1" applyFont="1" applyFill="1" applyBorder="1" applyAlignment="1" applyProtection="1">
      <alignment horizontal="right"/>
    </xf>
    <xf numFmtId="38" fontId="16" fillId="52" borderId="14" xfId="0" applyNumberFormat="1" applyFont="1" applyFill="1" applyBorder="1" applyAlignment="1" applyProtection="1">
      <alignment horizontal="right"/>
    </xf>
    <xf numFmtId="5" fontId="16" fillId="34" borderId="13" xfId="0" applyNumberFormat="1" applyFont="1" applyFill="1" applyBorder="1" applyAlignment="1" applyProtection="1">
      <alignment horizontal="right" wrapText="1"/>
    </xf>
    <xf numFmtId="3" fontId="20" fillId="0" borderId="15" xfId="0" applyNumberFormat="1" applyFont="1" applyFill="1" applyBorder="1" applyAlignment="1" applyProtection="1">
      <alignment horizontal="right"/>
    </xf>
    <xf numFmtId="38" fontId="20" fillId="0" borderId="15" xfId="0" applyNumberFormat="1" applyFont="1" applyBorder="1" applyAlignment="1" applyProtection="1">
      <alignment horizontal="left"/>
    </xf>
    <xf numFmtId="6" fontId="20" fillId="0" borderId="15" xfId="0" applyNumberFormat="1" applyFont="1" applyFill="1" applyBorder="1" applyAlignment="1" applyProtection="1">
      <alignment horizontal="right"/>
    </xf>
    <xf numFmtId="6" fontId="20" fillId="37" borderId="15" xfId="0" applyNumberFormat="1" applyFont="1" applyFill="1" applyBorder="1" applyAlignment="1" applyProtection="1">
      <alignment horizontal="right"/>
    </xf>
    <xf numFmtId="6" fontId="20" fillId="34" borderId="166" xfId="0" applyNumberFormat="1" applyFont="1" applyFill="1" applyBorder="1" applyAlignment="1" applyProtection="1">
      <alignment horizontal="right"/>
    </xf>
    <xf numFmtId="6" fontId="20" fillId="36" borderId="166" xfId="0" applyNumberFormat="1" applyFont="1" applyFill="1" applyBorder="1" applyAlignment="1" applyProtection="1">
      <alignment horizontal="right"/>
    </xf>
    <xf numFmtId="6" fontId="20" fillId="34" borderId="15" xfId="0" applyNumberFormat="1" applyFont="1" applyFill="1" applyBorder="1" applyAlignment="1" applyProtection="1">
      <alignment horizontal="right"/>
    </xf>
    <xf numFmtId="6" fontId="20" fillId="37" borderId="291" xfId="0" applyNumberFormat="1" applyFont="1" applyFill="1" applyBorder="1" applyAlignment="1" applyProtection="1">
      <alignment horizontal="right"/>
    </xf>
    <xf numFmtId="6" fontId="20" fillId="50" borderId="15" xfId="0" applyNumberFormat="1" applyFont="1" applyFill="1" applyBorder="1" applyAlignment="1" applyProtection="1">
      <alignment horizontal="right"/>
    </xf>
    <xf numFmtId="170" fontId="20" fillId="0" borderId="166" xfId="0" applyNumberFormat="1" applyFont="1" applyFill="1" applyBorder="1" applyAlignment="1" applyProtection="1">
      <alignment horizontal="right"/>
    </xf>
    <xf numFmtId="6" fontId="20" fillId="0" borderId="166" xfId="0" applyNumberFormat="1" applyFont="1" applyFill="1" applyBorder="1" applyAlignment="1" applyProtection="1">
      <alignment horizontal="right"/>
    </xf>
    <xf numFmtId="38" fontId="20" fillId="0" borderId="166" xfId="0" applyNumberFormat="1" applyFont="1" applyFill="1" applyBorder="1" applyAlignment="1" applyProtection="1">
      <alignment horizontal="right"/>
    </xf>
    <xf numFmtId="6" fontId="20" fillId="42" borderId="15" xfId="0" applyNumberFormat="1" applyFont="1" applyFill="1" applyBorder="1" applyAlignment="1" applyProtection="1">
      <alignment horizontal="right"/>
    </xf>
    <xf numFmtId="6" fontId="16" fillId="0" borderId="0" xfId="0" applyNumberFormat="1" applyFont="1" applyProtection="1"/>
    <xf numFmtId="1" fontId="16" fillId="0" borderId="0" xfId="0" applyNumberFormat="1" applyFont="1" applyBorder="1" applyAlignment="1" applyProtection="1">
      <alignment horizontal="right"/>
    </xf>
    <xf numFmtId="0" fontId="27" fillId="0" borderId="0" xfId="0" applyFont="1" applyBorder="1" applyAlignment="1" applyProtection="1">
      <alignment horizontal="left" wrapText="1"/>
    </xf>
    <xf numFmtId="0" fontId="27" fillId="0" borderId="0" xfId="0" applyFont="1" applyBorder="1" applyAlignment="1" applyProtection="1">
      <alignment wrapText="1"/>
    </xf>
    <xf numFmtId="0" fontId="16" fillId="0" borderId="0" xfId="0" applyFont="1" applyAlignment="1">
      <alignment vertical="center"/>
    </xf>
    <xf numFmtId="6" fontId="16" fillId="0" borderId="0" xfId="0" applyNumberFormat="1" applyFont="1" applyAlignment="1">
      <alignment vertical="center"/>
    </xf>
    <xf numFmtId="0" fontId="16" fillId="0" borderId="0" xfId="53" applyFont="1" applyBorder="1" applyAlignment="1" applyProtection="1">
      <alignment horizontal="center"/>
    </xf>
    <xf numFmtId="0" fontId="16" fillId="0" borderId="0" xfId="53" applyFont="1" applyBorder="1" applyAlignment="1" applyProtection="1"/>
    <xf numFmtId="0" fontId="36" fillId="0" borderId="319" xfId="45" applyFont="1" applyBorder="1" applyAlignment="1" applyProtection="1">
      <alignment horizontal="left"/>
    </xf>
    <xf numFmtId="0" fontId="36" fillId="0" borderId="319" xfId="45" applyFont="1" applyBorder="1" applyProtection="1"/>
    <xf numFmtId="0" fontId="36" fillId="0" borderId="320" xfId="45" applyFont="1" applyBorder="1" applyAlignment="1" applyProtection="1">
      <alignment horizontal="left"/>
    </xf>
    <xf numFmtId="0" fontId="36" fillId="0" borderId="320" xfId="45" applyFont="1" applyBorder="1" applyProtection="1"/>
    <xf numFmtId="0" fontId="36" fillId="0" borderId="248" xfId="45" applyFont="1" applyBorder="1" applyAlignment="1" applyProtection="1">
      <alignment horizontal="left"/>
    </xf>
    <xf numFmtId="0" fontId="36" fillId="0" borderId="248" xfId="45" applyFont="1" applyBorder="1" applyProtection="1"/>
    <xf numFmtId="0" fontId="36" fillId="0" borderId="248" xfId="45" applyFont="1" applyBorder="1" applyAlignment="1" applyProtection="1">
      <alignment horizontal="left" wrapText="1"/>
    </xf>
    <xf numFmtId="0" fontId="96" fillId="0" borderId="0" xfId="47823" applyFont="1" applyBorder="1" applyAlignment="1" applyProtection="1">
      <alignment horizontal="center"/>
    </xf>
    <xf numFmtId="0" fontId="96" fillId="0" borderId="0" xfId="47823" applyFont="1" applyBorder="1" applyAlignment="1" applyProtection="1">
      <alignment horizontal="center" wrapText="1"/>
    </xf>
    <xf numFmtId="0" fontId="96" fillId="0" borderId="0" xfId="47823" applyFont="1" applyBorder="1" applyProtection="1"/>
    <xf numFmtId="0" fontId="97" fillId="47" borderId="290" xfId="70" applyFont="1" applyFill="1" applyBorder="1" applyAlignment="1" applyProtection="1">
      <alignment horizontal="center" wrapText="1"/>
    </xf>
    <xf numFmtId="0" fontId="97" fillId="0" borderId="290" xfId="71" applyFont="1" applyFill="1" applyBorder="1" applyAlignment="1" applyProtection="1">
      <alignment horizontal="center" wrapText="1"/>
    </xf>
    <xf numFmtId="0" fontId="97" fillId="0" borderId="290" xfId="70" applyFont="1" applyFill="1" applyBorder="1" applyAlignment="1" applyProtection="1">
      <alignment horizontal="center" wrapText="1"/>
    </xf>
    <xf numFmtId="0" fontId="97" fillId="0" borderId="295" xfId="70" applyFont="1" applyFill="1" applyBorder="1" applyAlignment="1" applyProtection="1">
      <alignment horizontal="center" wrapText="1"/>
    </xf>
    <xf numFmtId="0" fontId="96" fillId="0" borderId="0" xfId="47823" applyFont="1" applyProtection="1"/>
    <xf numFmtId="0" fontId="96" fillId="0" borderId="0" xfId="47823" applyFont="1" applyFill="1" applyProtection="1"/>
    <xf numFmtId="0" fontId="96" fillId="0" borderId="57" xfId="47823" applyFont="1" applyBorder="1" applyProtection="1"/>
    <xf numFmtId="3" fontId="104" fillId="0" borderId="12" xfId="47823" applyNumberFormat="1" applyFont="1" applyBorder="1" applyProtection="1"/>
    <xf numFmtId="3" fontId="96" fillId="0" borderId="0" xfId="47823" applyNumberFormat="1" applyFont="1" applyProtection="1"/>
    <xf numFmtId="3" fontId="96" fillId="0" borderId="0" xfId="47823" applyNumberFormat="1" applyFont="1" applyAlignment="1" applyProtection="1">
      <alignment horizontal="right"/>
    </xf>
    <xf numFmtId="0" fontId="105" fillId="0" borderId="0" xfId="71" applyFont="1" applyFill="1" applyBorder="1" applyAlignment="1" applyProtection="1">
      <alignment horizontal="center" wrapText="1"/>
    </xf>
    <xf numFmtId="3" fontId="104" fillId="0" borderId="0" xfId="47823" applyNumberFormat="1" applyFont="1" applyProtection="1"/>
    <xf numFmtId="3" fontId="96" fillId="0" borderId="264" xfId="47823" applyNumberFormat="1" applyFont="1" applyBorder="1" applyProtection="1"/>
    <xf numFmtId="0" fontId="106" fillId="0" borderId="0" xfId="71" applyFont="1" applyFill="1" applyBorder="1" applyAlignment="1" applyProtection="1">
      <alignment horizontal="center" wrapText="1"/>
    </xf>
    <xf numFmtId="0" fontId="16" fillId="0" borderId="334" xfId="0" applyFont="1" applyFill="1" applyBorder="1" applyProtection="1"/>
    <xf numFmtId="38" fontId="16" fillId="50" borderId="320" xfId="253" applyNumberFormat="1" applyFont="1" applyFill="1" applyBorder="1" applyProtection="1"/>
    <xf numFmtId="6" fontId="20" fillId="0" borderId="291" xfId="0" applyNumberFormat="1" applyFont="1" applyFill="1" applyBorder="1" applyAlignment="1">
      <alignment vertical="center"/>
    </xf>
    <xf numFmtId="6" fontId="51" fillId="0" borderId="0" xfId="0" applyNumberFormat="1" applyFont="1" applyBorder="1" applyAlignment="1" applyProtection="1">
      <alignment wrapText="1"/>
    </xf>
    <xf numFmtId="0" fontId="20" fillId="0" borderId="0" xfId="0" applyFont="1" applyBorder="1" applyAlignment="1" applyProtection="1"/>
    <xf numFmtId="6" fontId="20" fillId="0" borderId="248" xfId="0" applyNumberFormat="1" applyFont="1" applyFill="1" applyBorder="1" applyAlignment="1">
      <alignment vertical="center"/>
    </xf>
    <xf numFmtId="165" fontId="18" fillId="0" borderId="331" xfId="0" applyNumberFormat="1" applyFont="1" applyFill="1" applyBorder="1" applyProtection="1"/>
    <xf numFmtId="0" fontId="97" fillId="43" borderId="57" xfId="0" quotePrefix="1" applyFont="1" applyFill="1" applyBorder="1" applyAlignment="1" applyProtection="1">
      <alignment horizontal="center" vertical="center" wrapText="1"/>
    </xf>
    <xf numFmtId="0" fontId="97" fillId="43" borderId="248" xfId="0" applyFont="1" applyFill="1" applyBorder="1" applyAlignment="1" applyProtection="1">
      <alignment horizontal="center" vertical="center" wrapText="1"/>
    </xf>
    <xf numFmtId="0" fontId="97" fillId="43" borderId="57" xfId="0" applyFont="1" applyFill="1" applyBorder="1" applyAlignment="1" applyProtection="1">
      <alignment horizontal="center" vertical="center" wrapText="1"/>
    </xf>
    <xf numFmtId="0" fontId="97" fillId="40" borderId="292" xfId="0" applyFont="1" applyFill="1" applyBorder="1" applyAlignment="1" applyProtection="1">
      <alignment horizontal="center" vertical="center" wrapText="1"/>
    </xf>
    <xf numFmtId="0" fontId="97" fillId="40" borderId="294" xfId="0" applyFont="1" applyFill="1" applyBorder="1" applyAlignment="1" applyProtection="1">
      <alignment horizontal="center" vertical="center" wrapText="1"/>
    </xf>
    <xf numFmtId="0" fontId="97" fillId="27" borderId="255" xfId="0" applyFont="1" applyFill="1" applyBorder="1" applyAlignment="1" applyProtection="1">
      <alignment horizontal="center" vertical="center" wrapText="1"/>
    </xf>
    <xf numFmtId="0" fontId="100" fillId="25" borderId="278" xfId="0" applyFont="1" applyFill="1" applyBorder="1" applyAlignment="1" applyProtection="1">
      <alignment horizontal="center" vertical="center" wrapText="1"/>
    </xf>
    <xf numFmtId="0" fontId="100" fillId="25" borderId="279" xfId="0" applyFont="1" applyFill="1" applyBorder="1" applyAlignment="1" applyProtection="1">
      <alignment horizontal="center" vertical="center"/>
    </xf>
    <xf numFmtId="0" fontId="100" fillId="25" borderId="274" xfId="0" applyFont="1" applyFill="1" applyBorder="1" applyAlignment="1" applyProtection="1">
      <alignment horizontal="center" vertical="center"/>
    </xf>
    <xf numFmtId="0" fontId="97" fillId="36" borderId="255" xfId="0" applyFont="1" applyFill="1" applyBorder="1" applyAlignment="1" applyProtection="1">
      <alignment horizontal="center" vertical="center" wrapText="1"/>
    </xf>
    <xf numFmtId="0" fontId="97" fillId="45" borderId="260" xfId="0" applyFont="1" applyFill="1" applyBorder="1" applyAlignment="1" applyProtection="1">
      <alignment horizontal="center" vertical="center" wrapText="1"/>
    </xf>
    <xf numFmtId="0" fontId="97" fillId="45" borderId="57" xfId="0" applyFont="1" applyFill="1" applyBorder="1" applyAlignment="1" applyProtection="1">
      <alignment horizontal="center" vertical="center" wrapText="1"/>
    </xf>
    <xf numFmtId="0" fontId="100" fillId="33" borderId="262" xfId="0" applyFont="1" applyFill="1" applyBorder="1" applyAlignment="1" applyProtection="1">
      <alignment horizontal="center"/>
    </xf>
    <xf numFmtId="0" fontId="100" fillId="33" borderId="259" xfId="0" applyFont="1" applyFill="1" applyBorder="1" applyAlignment="1" applyProtection="1">
      <alignment horizontal="center"/>
    </xf>
    <xf numFmtId="0" fontId="100" fillId="33" borderId="263" xfId="0" applyFont="1" applyFill="1" applyBorder="1" applyAlignment="1" applyProtection="1">
      <alignment horizontal="center"/>
    </xf>
    <xf numFmtId="0" fontId="97" fillId="25" borderId="260" xfId="0" applyFont="1" applyFill="1" applyBorder="1" applyAlignment="1" applyProtection="1">
      <alignment horizontal="center" vertical="center" wrapText="1"/>
    </xf>
    <xf numFmtId="0" fontId="97" fillId="25" borderId="57" xfId="0" applyFont="1" applyFill="1" applyBorder="1" applyAlignment="1" applyProtection="1">
      <alignment horizontal="center" vertical="center" wrapText="1"/>
    </xf>
    <xf numFmtId="0" fontId="97" fillId="33" borderId="260" xfId="0" applyFont="1" applyFill="1" applyBorder="1" applyAlignment="1" applyProtection="1">
      <alignment horizontal="center" vertical="center" wrapText="1"/>
    </xf>
    <xf numFmtId="0" fontId="97" fillId="33" borderId="57" xfId="0" applyFont="1" applyFill="1" applyBorder="1" applyAlignment="1" applyProtection="1">
      <alignment horizontal="center" vertical="center" wrapText="1"/>
    </xf>
    <xf numFmtId="0" fontId="97" fillId="36" borderId="260" xfId="0" applyFont="1" applyFill="1" applyBorder="1" applyAlignment="1" applyProtection="1">
      <alignment horizontal="center" vertical="center" wrapText="1"/>
    </xf>
    <xf numFmtId="0" fontId="97" fillId="36" borderId="57" xfId="0" applyFont="1" applyFill="1" applyBorder="1" applyAlignment="1" applyProtection="1">
      <alignment horizontal="center" vertical="center" wrapText="1"/>
    </xf>
    <xf numFmtId="0" fontId="100" fillId="33" borderId="278" xfId="0" applyFont="1" applyFill="1" applyBorder="1" applyAlignment="1" applyProtection="1">
      <alignment horizontal="center" vertical="center"/>
    </xf>
    <xf numFmtId="0" fontId="100" fillId="33" borderId="279" xfId="0" applyFont="1" applyFill="1" applyBorder="1" applyAlignment="1" applyProtection="1">
      <alignment horizontal="center" vertical="center"/>
    </xf>
    <xf numFmtId="0" fontId="100" fillId="33" borderId="274" xfId="0" applyFont="1" applyFill="1" applyBorder="1" applyAlignment="1" applyProtection="1">
      <alignment horizontal="center" vertical="center"/>
    </xf>
    <xf numFmtId="0" fontId="97" fillId="25" borderId="260" xfId="0" applyFont="1" applyFill="1" applyBorder="1" applyAlignment="1" applyProtection="1">
      <alignment horizontal="center" vertical="center"/>
    </xf>
    <xf numFmtId="0" fontId="97" fillId="25" borderId="57" xfId="0" applyFont="1" applyFill="1" applyBorder="1" applyAlignment="1" applyProtection="1">
      <alignment horizontal="center" vertical="center"/>
    </xf>
    <xf numFmtId="0" fontId="97" fillId="25" borderId="255" xfId="0" applyFont="1" applyFill="1" applyBorder="1" applyAlignment="1" applyProtection="1">
      <alignment horizontal="center" vertical="center" wrapText="1"/>
    </xf>
    <xf numFmtId="0" fontId="97" fillId="27" borderId="260" xfId="0" applyFont="1" applyFill="1" applyBorder="1" applyAlignment="1" applyProtection="1">
      <alignment horizontal="center" vertical="center" wrapText="1"/>
    </xf>
    <xf numFmtId="0" fontId="97" fillId="27" borderId="57" xfId="0" applyFont="1" applyFill="1" applyBorder="1" applyAlignment="1" applyProtection="1">
      <alignment horizontal="center" vertical="center" wrapText="1"/>
    </xf>
    <xf numFmtId="0" fontId="33" fillId="32" borderId="28" xfId="0" applyFont="1" applyFill="1" applyBorder="1" applyAlignment="1" applyProtection="1">
      <alignment horizontal="center"/>
    </xf>
    <xf numFmtId="0" fontId="33" fillId="32" borderId="29" xfId="0" applyFont="1" applyFill="1" applyBorder="1" applyAlignment="1" applyProtection="1">
      <alignment horizontal="center"/>
    </xf>
    <xf numFmtId="0" fontId="33" fillId="32" borderId="30" xfId="0" applyFont="1" applyFill="1" applyBorder="1" applyAlignment="1" applyProtection="1">
      <alignment horizontal="center"/>
    </xf>
    <xf numFmtId="0" fontId="33" fillId="30" borderId="28" xfId="0" applyFont="1" applyFill="1" applyBorder="1" applyAlignment="1" applyProtection="1">
      <alignment horizontal="center"/>
    </xf>
    <xf numFmtId="0" fontId="33" fillId="30" borderId="29" xfId="0" applyFont="1" applyFill="1" applyBorder="1" applyAlignment="1" applyProtection="1">
      <alignment horizontal="center"/>
    </xf>
    <xf numFmtId="0" fontId="33" fillId="30" borderId="30" xfId="0" applyFont="1" applyFill="1" applyBorder="1" applyAlignment="1" applyProtection="1">
      <alignment horizontal="center"/>
    </xf>
    <xf numFmtId="9" fontId="25" fillId="27" borderId="295" xfId="48" applyFont="1" applyFill="1" applyBorder="1" applyAlignment="1" applyProtection="1">
      <alignment horizontal="center"/>
    </xf>
    <xf numFmtId="9" fontId="25" fillId="27" borderId="297" xfId="48" applyFont="1" applyFill="1" applyBorder="1" applyAlignment="1" applyProtection="1">
      <alignment horizontal="center"/>
    </xf>
    <xf numFmtId="9" fontId="25" fillId="27" borderId="295" xfId="0" applyNumberFormat="1" applyFont="1" applyFill="1" applyBorder="1" applyAlignment="1" applyProtection="1">
      <alignment horizontal="center"/>
    </xf>
    <xf numFmtId="9" fontId="25" fillId="27" borderId="297" xfId="0" applyNumberFormat="1" applyFont="1" applyFill="1" applyBorder="1" applyAlignment="1" applyProtection="1">
      <alignment horizontal="center"/>
    </xf>
    <xf numFmtId="0" fontId="87" fillId="0" borderId="56" xfId="0" applyFont="1" applyFill="1" applyBorder="1" applyAlignment="1" applyProtection="1">
      <alignment horizontal="center" vertical="center" wrapText="1"/>
    </xf>
    <xf numFmtId="0" fontId="87" fillId="0" borderId="0" xfId="0" applyFont="1" applyFill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left" wrapText="1"/>
    </xf>
    <xf numFmtId="0" fontId="27" fillId="27" borderId="10" xfId="0" applyFont="1" applyFill="1" applyBorder="1" applyAlignment="1" applyProtection="1">
      <alignment horizontal="center" vertical="center" wrapText="1"/>
    </xf>
    <xf numFmtId="0" fontId="27" fillId="27" borderId="11" xfId="0" applyFont="1" applyFill="1" applyBorder="1" applyAlignment="1" applyProtection="1">
      <alignment horizontal="center" vertical="center" wrapText="1"/>
    </xf>
    <xf numFmtId="0" fontId="27" fillId="27" borderId="13" xfId="0" applyFont="1" applyFill="1" applyBorder="1" applyAlignment="1" applyProtection="1">
      <alignment horizontal="center" vertical="center" wrapText="1"/>
    </xf>
    <xf numFmtId="0" fontId="27" fillId="42" borderId="10" xfId="0" applyFont="1" applyFill="1" applyBorder="1" applyAlignment="1" applyProtection="1">
      <alignment horizontal="center" vertical="center" wrapText="1"/>
    </xf>
    <xf numFmtId="0" fontId="27" fillId="42" borderId="13" xfId="0" applyFont="1" applyFill="1" applyBorder="1" applyAlignment="1" applyProtection="1">
      <alignment horizontal="center" vertical="center" wrapText="1"/>
    </xf>
    <xf numFmtId="0" fontId="50" fillId="44" borderId="262" xfId="0" applyFont="1" applyFill="1" applyBorder="1" applyAlignment="1" applyProtection="1">
      <alignment horizontal="center" vertical="center" wrapText="1"/>
    </xf>
    <xf numFmtId="0" fontId="50" fillId="44" borderId="259" xfId="0" applyFont="1" applyFill="1" applyBorder="1" applyAlignment="1" applyProtection="1">
      <alignment horizontal="center" vertical="center" wrapText="1"/>
    </xf>
    <xf numFmtId="0" fontId="50" fillId="44" borderId="263" xfId="0" applyFont="1" applyFill="1" applyBorder="1" applyAlignment="1" applyProtection="1">
      <alignment horizontal="center" vertical="center" wrapText="1"/>
    </xf>
    <xf numFmtId="0" fontId="27" fillId="25" borderId="10" xfId="0" applyFont="1" applyFill="1" applyBorder="1" applyAlignment="1" applyProtection="1">
      <alignment horizontal="center" vertical="center" wrapText="1"/>
    </xf>
    <xf numFmtId="0" fontId="27" fillId="25" borderId="13" xfId="0" applyFont="1" applyFill="1" applyBorder="1" applyAlignment="1" applyProtection="1">
      <alignment horizontal="center" vertical="center" wrapText="1"/>
    </xf>
    <xf numFmtId="0" fontId="50" fillId="27" borderId="19" xfId="0" applyFont="1" applyFill="1" applyBorder="1" applyAlignment="1" applyProtection="1">
      <alignment horizontal="center" vertical="center" wrapText="1"/>
    </xf>
    <xf numFmtId="0" fontId="50" fillId="27" borderId="22" xfId="0" applyFont="1" applyFill="1" applyBorder="1" applyAlignment="1" applyProtection="1">
      <alignment horizontal="center" vertical="center" wrapText="1"/>
    </xf>
    <xf numFmtId="0" fontId="27" fillId="25" borderId="15" xfId="0" applyFont="1" applyFill="1" applyBorder="1" applyAlignment="1" applyProtection="1">
      <alignment horizontal="center" vertical="center" wrapText="1"/>
    </xf>
    <xf numFmtId="0" fontId="27" fillId="25" borderId="15" xfId="0" applyFont="1" applyFill="1" applyBorder="1" applyAlignment="1" applyProtection="1">
      <alignment horizontal="center" vertical="center"/>
    </xf>
    <xf numFmtId="0" fontId="27" fillId="25" borderId="255" xfId="0" applyFont="1" applyFill="1" applyBorder="1" applyAlignment="1" applyProtection="1">
      <alignment horizontal="center" vertical="center" wrapText="1"/>
    </xf>
    <xf numFmtId="0" fontId="27" fillId="25" borderId="255" xfId="0" applyFont="1" applyFill="1" applyBorder="1" applyAlignment="1" applyProtection="1">
      <alignment horizontal="center" vertical="center"/>
    </xf>
    <xf numFmtId="0" fontId="37" fillId="25" borderId="260" xfId="0" applyFont="1" applyFill="1" applyBorder="1" applyAlignment="1" applyProtection="1">
      <alignment horizontal="center" vertical="center" wrapText="1"/>
    </xf>
    <xf numFmtId="0" fontId="37" fillId="25" borderId="248" xfId="0" applyFont="1" applyFill="1" applyBorder="1" applyAlignment="1" applyProtection="1">
      <alignment horizontal="center" vertical="center" wrapText="1"/>
    </xf>
    <xf numFmtId="0" fontId="27" fillId="25" borderId="260" xfId="0" applyFont="1" applyFill="1" applyBorder="1" applyAlignment="1" applyProtection="1">
      <alignment horizontal="center" vertical="center" wrapText="1"/>
    </xf>
    <xf numFmtId="0" fontId="27" fillId="25" borderId="248" xfId="0" applyFont="1" applyFill="1" applyBorder="1" applyAlignment="1" applyProtection="1">
      <alignment horizontal="center" vertical="center" wrapText="1"/>
    </xf>
    <xf numFmtId="0" fontId="39" fillId="33" borderId="262" xfId="0" applyFont="1" applyFill="1" applyBorder="1" applyAlignment="1" applyProtection="1">
      <alignment horizontal="center" vertical="center" wrapText="1"/>
    </xf>
    <xf numFmtId="0" fontId="39" fillId="33" borderId="263" xfId="0" applyFont="1" applyFill="1" applyBorder="1" applyAlignment="1" applyProtection="1">
      <alignment horizontal="center" vertical="center" wrapText="1"/>
    </xf>
    <xf numFmtId="0" fontId="27" fillId="38" borderId="292" xfId="64" applyFont="1" applyFill="1" applyBorder="1" applyAlignment="1" applyProtection="1">
      <alignment horizontal="center" vertical="center" wrapText="1"/>
    </xf>
    <xf numFmtId="0" fontId="27" fillId="38" borderId="294" xfId="64" applyFont="1" applyFill="1" applyBorder="1" applyAlignment="1" applyProtection="1">
      <alignment horizontal="center" vertical="center" wrapText="1"/>
    </xf>
    <xf numFmtId="0" fontId="27" fillId="37" borderId="290" xfId="64" applyFont="1" applyFill="1" applyBorder="1" applyAlignment="1" applyProtection="1">
      <alignment horizontal="center" vertical="center" wrapText="1"/>
    </xf>
    <xf numFmtId="0" fontId="27" fillId="37" borderId="248" xfId="64" applyFont="1" applyFill="1" applyBorder="1" applyAlignment="1" applyProtection="1">
      <alignment horizontal="center" vertical="center"/>
    </xf>
    <xf numFmtId="0" fontId="27" fillId="43" borderId="272" xfId="64" quotePrefix="1" applyFont="1" applyFill="1" applyBorder="1" applyAlignment="1" applyProtection="1">
      <alignment horizontal="center" vertical="center" wrapText="1"/>
    </xf>
    <xf numFmtId="0" fontId="27" fillId="43" borderId="57" xfId="64" quotePrefix="1" applyFont="1" applyFill="1" applyBorder="1" applyAlignment="1" applyProtection="1">
      <alignment horizontal="center" vertical="center" wrapText="1"/>
    </xf>
    <xf numFmtId="0" fontId="27" fillId="43" borderId="248" xfId="64" quotePrefix="1" applyFont="1" applyFill="1" applyBorder="1" applyAlignment="1" applyProtection="1">
      <alignment horizontal="center" vertical="center" wrapText="1"/>
    </xf>
    <xf numFmtId="0" fontId="27" fillId="46" borderId="272" xfId="64" applyFont="1" applyFill="1" applyBorder="1" applyAlignment="1" applyProtection="1">
      <alignment horizontal="center" vertical="center" wrapText="1"/>
    </xf>
    <xf numFmtId="0" fontId="27" fillId="46" borderId="248" xfId="64" applyFont="1" applyFill="1" applyBorder="1" applyAlignment="1" applyProtection="1">
      <alignment horizontal="center" vertical="center" wrapText="1"/>
    </xf>
    <xf numFmtId="0" fontId="27" fillId="25" borderId="290" xfId="64" applyFont="1" applyFill="1" applyBorder="1" applyAlignment="1" applyProtection="1">
      <alignment horizontal="center" vertical="center" wrapText="1"/>
    </xf>
    <xf numFmtId="0" fontId="27" fillId="25" borderId="57" xfId="64" applyFont="1" applyFill="1" applyBorder="1" applyAlignment="1" applyProtection="1">
      <alignment horizontal="center" vertical="center" wrapText="1"/>
    </xf>
    <xf numFmtId="0" fontId="27" fillId="25" borderId="248" xfId="64" applyFont="1" applyFill="1" applyBorder="1" applyAlignment="1" applyProtection="1">
      <alignment horizontal="center" vertical="center" wrapText="1"/>
    </xf>
    <xf numFmtId="0" fontId="27" fillId="53" borderId="278" xfId="253" quotePrefix="1" applyFont="1" applyFill="1" applyBorder="1" applyAlignment="1" applyProtection="1">
      <alignment horizontal="center" vertical="center" wrapText="1"/>
    </xf>
    <xf numFmtId="0" fontId="27" fillId="53" borderId="274" xfId="253" quotePrefix="1" applyFont="1" applyFill="1" applyBorder="1" applyAlignment="1" applyProtection="1">
      <alignment horizontal="center" vertical="center" wrapText="1"/>
    </xf>
    <xf numFmtId="0" fontId="54" fillId="35" borderId="278" xfId="64" applyFont="1" applyFill="1" applyBorder="1" applyAlignment="1" applyProtection="1">
      <alignment horizontal="center" vertical="center" wrapText="1"/>
    </xf>
    <xf numFmtId="0" fontId="54" fillId="35" borderId="279" xfId="64" applyFont="1" applyFill="1" applyBorder="1" applyAlignment="1" applyProtection="1">
      <alignment horizontal="center" vertical="center" wrapText="1"/>
    </xf>
    <xf numFmtId="0" fontId="54" fillId="35" borderId="274" xfId="64" applyFont="1" applyFill="1" applyBorder="1" applyAlignment="1" applyProtection="1">
      <alignment horizontal="center" vertical="center" wrapText="1"/>
    </xf>
    <xf numFmtId="0" fontId="27" fillId="41" borderId="272" xfId="64" applyFont="1" applyFill="1" applyBorder="1" applyAlignment="1" applyProtection="1">
      <alignment horizontal="center" vertical="center" wrapText="1"/>
    </xf>
    <xf numFmtId="0" fontId="27" fillId="41" borderId="57" xfId="64" applyFont="1" applyFill="1" applyBorder="1" applyAlignment="1" applyProtection="1">
      <alignment horizontal="center" vertical="center" wrapText="1"/>
    </xf>
    <xf numFmtId="0" fontId="27" fillId="41" borderId="248" xfId="64" applyFont="1" applyFill="1" applyBorder="1" applyAlignment="1" applyProtection="1">
      <alignment horizontal="center" vertical="center" wrapText="1"/>
    </xf>
    <xf numFmtId="0" fontId="27" fillId="50" borderId="272" xfId="64" quotePrefix="1" applyFont="1" applyFill="1" applyBorder="1" applyAlignment="1" applyProtection="1">
      <alignment horizontal="center" vertical="center" wrapText="1"/>
    </xf>
    <xf numFmtId="0" fontId="27" fillId="50" borderId="248" xfId="64" quotePrefix="1" applyFont="1" applyFill="1" applyBorder="1" applyAlignment="1" applyProtection="1">
      <alignment horizontal="center" vertical="center" wrapText="1"/>
    </xf>
    <xf numFmtId="0" fontId="27" fillId="54" borderId="292" xfId="64" applyFont="1" applyFill="1" applyBorder="1" applyAlignment="1" applyProtection="1">
      <alignment horizontal="center" vertical="center" wrapText="1"/>
    </xf>
    <xf numFmtId="0" fontId="27" fillId="54" borderId="293" xfId="64" applyFont="1" applyFill="1" applyBorder="1" applyAlignment="1" applyProtection="1">
      <alignment horizontal="center" vertical="center"/>
    </xf>
    <xf numFmtId="0" fontId="27" fillId="43" borderId="292" xfId="0" applyFont="1" applyFill="1" applyBorder="1" applyAlignment="1" applyProtection="1">
      <alignment horizontal="center" wrapText="1"/>
    </xf>
    <xf numFmtId="0" fontId="27" fillId="43" borderId="294" xfId="0" applyFont="1" applyFill="1" applyBorder="1" applyAlignment="1" applyProtection="1">
      <alignment horizontal="center" wrapText="1"/>
    </xf>
    <xf numFmtId="0" fontId="27" fillId="43" borderId="293" xfId="0" applyFont="1" applyFill="1" applyBorder="1" applyAlignment="1" applyProtection="1">
      <alignment horizontal="center" wrapText="1"/>
    </xf>
    <xf numFmtId="0" fontId="27" fillId="36" borderId="292" xfId="0" applyFont="1" applyFill="1" applyBorder="1" applyAlignment="1" applyProtection="1">
      <alignment horizontal="center" wrapText="1"/>
    </xf>
    <xf numFmtId="0" fontId="27" fillId="36" borderId="294" xfId="0" applyFont="1" applyFill="1" applyBorder="1" applyAlignment="1" applyProtection="1">
      <alignment horizontal="center" wrapText="1"/>
    </xf>
    <xf numFmtId="0" fontId="27" fillId="36" borderId="293" xfId="0" applyFont="1" applyFill="1" applyBorder="1" applyAlignment="1" applyProtection="1">
      <alignment horizontal="center" wrapText="1"/>
    </xf>
    <xf numFmtId="0" fontId="27" fillId="25" borderId="290" xfId="0" applyFont="1" applyFill="1" applyBorder="1" applyAlignment="1" applyProtection="1">
      <alignment horizontal="center" vertical="center" wrapText="1"/>
    </xf>
    <xf numFmtId="0" fontId="27" fillId="25" borderId="57" xfId="0" applyFont="1" applyFill="1" applyBorder="1" applyAlignment="1" applyProtection="1">
      <alignment horizontal="center" vertical="center" wrapText="1"/>
    </xf>
    <xf numFmtId="49" fontId="50" fillId="33" borderId="295" xfId="53" applyNumberFormat="1" applyFont="1" applyFill="1" applyBorder="1" applyAlignment="1" applyProtection="1">
      <alignment horizontal="center" vertical="center" wrapText="1"/>
    </xf>
    <xf numFmtId="49" fontId="50" fillId="33" borderId="296" xfId="53" applyNumberFormat="1" applyFont="1" applyFill="1" applyBorder="1" applyAlignment="1" applyProtection="1">
      <alignment horizontal="center" vertical="center" wrapText="1"/>
    </xf>
    <xf numFmtId="49" fontId="50" fillId="33" borderId="297" xfId="53" applyNumberFormat="1" applyFont="1" applyFill="1" applyBorder="1" applyAlignment="1" applyProtection="1">
      <alignment horizontal="center" vertical="center" wrapText="1"/>
    </xf>
    <xf numFmtId="0" fontId="20" fillId="0" borderId="0" xfId="53" applyFont="1" applyFill="1" applyBorder="1" applyAlignment="1" applyProtection="1">
      <alignment horizontal="left"/>
    </xf>
    <xf numFmtId="0" fontId="27" fillId="43" borderId="291" xfId="0" applyFont="1" applyFill="1" applyBorder="1" applyAlignment="1" applyProtection="1">
      <alignment horizontal="center" vertical="center" wrapText="1"/>
    </xf>
    <xf numFmtId="0" fontId="76" fillId="25" borderId="290" xfId="53" applyFont="1" applyFill="1" applyBorder="1" applyAlignment="1" applyProtection="1">
      <alignment horizontal="center" vertical="center" wrapText="1"/>
    </xf>
    <xf numFmtId="0" fontId="76" fillId="25" borderId="57" xfId="53" applyFont="1" applyFill="1" applyBorder="1" applyAlignment="1" applyProtection="1">
      <alignment horizontal="center" vertical="center"/>
    </xf>
    <xf numFmtId="0" fontId="76" fillId="25" borderId="248" xfId="53" applyFont="1" applyFill="1" applyBorder="1" applyAlignment="1" applyProtection="1">
      <alignment horizontal="center" vertical="center"/>
    </xf>
    <xf numFmtId="0" fontId="76" fillId="25" borderId="290" xfId="53" applyFont="1" applyFill="1" applyBorder="1" applyAlignment="1" applyProtection="1">
      <alignment horizontal="center" vertical="center"/>
    </xf>
    <xf numFmtId="49" fontId="76" fillId="36" borderId="291" xfId="53" applyNumberFormat="1" applyFont="1" applyFill="1" applyBorder="1" applyAlignment="1" applyProtection="1">
      <alignment horizontal="center" vertical="center" wrapText="1"/>
    </xf>
    <xf numFmtId="0" fontId="16" fillId="0" borderId="314" xfId="0" applyFont="1" applyBorder="1" applyAlignment="1" applyProtection="1">
      <alignment horizontal="left" indent="2"/>
    </xf>
    <xf numFmtId="0" fontId="16" fillId="0" borderId="315" xfId="0" applyFont="1" applyBorder="1" applyAlignment="1" applyProtection="1">
      <alignment horizontal="left" indent="2"/>
    </xf>
    <xf numFmtId="0" fontId="27" fillId="0" borderId="31" xfId="53" applyFont="1" applyFill="1" applyBorder="1" applyAlignment="1" applyProtection="1">
      <alignment horizontal="left"/>
    </xf>
    <xf numFmtId="0" fontId="27" fillId="0" borderId="281" xfId="53" applyFont="1" applyFill="1" applyBorder="1" applyAlignment="1" applyProtection="1">
      <alignment horizontal="left"/>
    </xf>
    <xf numFmtId="49" fontId="27" fillId="37" borderId="291" xfId="0" applyNumberFormat="1" applyFont="1" applyFill="1" applyBorder="1" applyAlignment="1" applyProtection="1">
      <alignment horizontal="center" vertical="center" wrapText="1"/>
    </xf>
    <xf numFmtId="49" fontId="50" fillId="27" borderId="291" xfId="0" applyNumberFormat="1" applyFont="1" applyFill="1" applyBorder="1" applyAlignment="1" applyProtection="1">
      <alignment horizontal="center" vertical="center" wrapText="1"/>
    </xf>
    <xf numFmtId="0" fontId="16" fillId="0" borderId="271" xfId="0" applyFont="1" applyBorder="1" applyAlignment="1" applyProtection="1">
      <alignment horizontal="left" indent="2"/>
    </xf>
    <xf numFmtId="0" fontId="16" fillId="0" borderId="283" xfId="0" applyFont="1" applyBorder="1" applyAlignment="1" applyProtection="1">
      <alignment horizontal="left" indent="2"/>
    </xf>
    <xf numFmtId="0" fontId="16" fillId="0" borderId="317" xfId="0" applyFont="1" applyBorder="1" applyAlignment="1" applyProtection="1">
      <alignment horizontal="left" indent="2"/>
    </xf>
    <xf numFmtId="0" fontId="16" fillId="0" borderId="348" xfId="0" applyFont="1" applyBorder="1" applyAlignment="1" applyProtection="1">
      <alignment horizontal="left" indent="2"/>
    </xf>
    <xf numFmtId="0" fontId="16" fillId="0" borderId="312" xfId="0" applyFont="1" applyBorder="1" applyAlignment="1" applyProtection="1">
      <alignment horizontal="left" indent="2"/>
    </xf>
    <xf numFmtId="0" fontId="16" fillId="0" borderId="313" xfId="0" applyFont="1" applyBorder="1" applyAlignment="1" applyProtection="1">
      <alignment horizontal="left" indent="2"/>
    </xf>
    <xf numFmtId="0" fontId="27" fillId="25" borderId="295" xfId="0" applyFont="1" applyFill="1" applyBorder="1" applyAlignment="1" applyProtection="1">
      <alignment horizontal="center" vertical="center" wrapText="1"/>
    </xf>
    <xf numFmtId="0" fontId="27" fillId="25" borderId="297" xfId="0" applyFont="1" applyFill="1" applyBorder="1" applyAlignment="1" applyProtection="1">
      <alignment horizontal="center" vertical="center" wrapText="1"/>
    </xf>
    <xf numFmtId="0" fontId="27" fillId="25" borderId="56" xfId="0" applyFont="1" applyFill="1" applyBorder="1" applyAlignment="1" applyProtection="1">
      <alignment horizontal="center" vertical="center" wrapText="1"/>
    </xf>
    <xf numFmtId="0" fontId="27" fillId="25" borderId="25" xfId="0" applyFont="1" applyFill="1" applyBorder="1" applyAlignment="1" applyProtection="1">
      <alignment horizontal="center" vertical="center" wrapText="1"/>
    </xf>
    <xf numFmtId="49" fontId="27" fillId="36" borderId="291" xfId="0" applyNumberFormat="1" applyFont="1" applyFill="1" applyBorder="1" applyAlignment="1" applyProtection="1">
      <alignment horizontal="center" vertical="center" wrapText="1"/>
    </xf>
    <xf numFmtId="49" fontId="27" fillId="50" borderId="291" xfId="0" applyNumberFormat="1" applyFont="1" applyFill="1" applyBorder="1" applyAlignment="1" applyProtection="1">
      <alignment horizontal="center" vertical="center" wrapText="1"/>
    </xf>
    <xf numFmtId="49" fontId="27" fillId="42" borderId="291" xfId="0" applyNumberFormat="1" applyFont="1" applyFill="1" applyBorder="1" applyAlignment="1" applyProtection="1">
      <alignment horizontal="center" vertical="center" wrapText="1"/>
    </xf>
    <xf numFmtId="49" fontId="50" fillId="35" borderId="292" xfId="0" applyNumberFormat="1" applyFont="1" applyFill="1" applyBorder="1" applyAlignment="1" applyProtection="1">
      <alignment horizontal="center" vertical="center" wrapText="1"/>
    </xf>
    <xf numFmtId="49" fontId="50" fillId="35" borderId="294" xfId="0" applyNumberFormat="1" applyFont="1" applyFill="1" applyBorder="1" applyAlignment="1" applyProtection="1">
      <alignment horizontal="center" vertical="center" wrapText="1"/>
    </xf>
    <xf numFmtId="49" fontId="50" fillId="35" borderId="293" xfId="0" applyNumberFormat="1" applyFont="1" applyFill="1" applyBorder="1" applyAlignment="1" applyProtection="1">
      <alignment horizontal="center" vertical="center" wrapText="1"/>
    </xf>
    <xf numFmtId="0" fontId="101" fillId="33" borderId="295" xfId="0" applyFont="1" applyFill="1" applyBorder="1" applyAlignment="1" applyProtection="1">
      <alignment horizontal="center"/>
    </xf>
    <xf numFmtId="0" fontId="101" fillId="33" borderId="296" xfId="0" applyFont="1" applyFill="1" applyBorder="1" applyAlignment="1" applyProtection="1">
      <alignment horizontal="center"/>
    </xf>
    <xf numFmtId="0" fontId="101" fillId="33" borderId="297" xfId="0" applyFont="1" applyFill="1" applyBorder="1" applyAlignment="1" applyProtection="1">
      <alignment horizontal="center"/>
    </xf>
    <xf numFmtId="0" fontId="16" fillId="0" borderId="329" xfId="0" applyFont="1" applyBorder="1" applyAlignment="1" applyProtection="1">
      <alignment horizontal="left" indent="2"/>
    </xf>
    <xf numFmtId="0" fontId="16" fillId="0" borderId="246" xfId="0" applyFont="1" applyBorder="1" applyAlignment="1" applyProtection="1">
      <alignment horizontal="left" indent="2"/>
    </xf>
    <xf numFmtId="0" fontId="16" fillId="0" borderId="284" xfId="0" applyFont="1" applyBorder="1" applyAlignment="1" applyProtection="1">
      <alignment horizontal="left" indent="2"/>
    </xf>
    <xf numFmtId="49" fontId="27" fillId="36" borderId="291" xfId="53" applyNumberFormat="1" applyFont="1" applyFill="1" applyBorder="1" applyAlignment="1" applyProtection="1">
      <alignment horizontal="center" vertical="center" wrapText="1"/>
    </xf>
    <xf numFmtId="49" fontId="27" fillId="37" borderId="291" xfId="53" applyNumberFormat="1" applyFont="1" applyFill="1" applyBorder="1" applyAlignment="1" applyProtection="1">
      <alignment horizontal="center" vertical="center" wrapText="1"/>
    </xf>
    <xf numFmtId="0" fontId="27" fillId="0" borderId="280" xfId="53" applyFont="1" applyFill="1" applyBorder="1" applyAlignment="1" applyProtection="1">
      <alignment horizontal="left"/>
    </xf>
    <xf numFmtId="0" fontId="16" fillId="0" borderId="327" xfId="0" applyFont="1" applyBorder="1" applyAlignment="1" applyProtection="1">
      <alignment horizontal="left" indent="2"/>
    </xf>
    <xf numFmtId="0" fontId="16" fillId="0" borderId="328" xfId="0" applyFont="1" applyBorder="1" applyAlignment="1" applyProtection="1">
      <alignment horizontal="left" indent="2"/>
    </xf>
    <xf numFmtId="49" fontId="27" fillId="37" borderId="290" xfId="53" applyNumberFormat="1" applyFont="1" applyFill="1" applyBorder="1" applyAlignment="1" applyProtection="1">
      <alignment horizontal="center" vertical="center" wrapText="1"/>
    </xf>
    <xf numFmtId="49" fontId="27" fillId="37" borderId="248" xfId="53" applyNumberFormat="1" applyFont="1" applyFill="1" applyBorder="1" applyAlignment="1" applyProtection="1">
      <alignment horizontal="center" vertical="center" wrapText="1"/>
    </xf>
    <xf numFmtId="0" fontId="76" fillId="25" borderId="291" xfId="0" applyFont="1" applyFill="1" applyBorder="1" applyAlignment="1" applyProtection="1">
      <alignment horizontal="center" vertical="center" wrapText="1"/>
    </xf>
    <xf numFmtId="49" fontId="76" fillId="36" borderId="292" xfId="53" applyNumberFormat="1" applyFont="1" applyFill="1" applyBorder="1" applyAlignment="1" applyProtection="1">
      <alignment horizontal="center" vertical="center" wrapText="1"/>
    </xf>
    <xf numFmtId="49" fontId="76" fillId="36" borderId="294" xfId="53" applyNumberFormat="1" applyFont="1" applyFill="1" applyBorder="1" applyAlignment="1" applyProtection="1">
      <alignment horizontal="center" vertical="center" wrapText="1"/>
    </xf>
    <xf numFmtId="49" fontId="76" fillId="36" borderId="293" xfId="53" applyNumberFormat="1" applyFont="1" applyFill="1" applyBorder="1" applyAlignment="1" applyProtection="1">
      <alignment horizontal="center" vertical="center" wrapText="1"/>
    </xf>
    <xf numFmtId="49" fontId="27" fillId="37" borderId="293" xfId="53" applyNumberFormat="1" applyFont="1" applyFill="1" applyBorder="1" applyAlignment="1" applyProtection="1">
      <alignment horizontal="center" vertical="center" wrapText="1"/>
    </xf>
    <xf numFmtId="0" fontId="76" fillId="25" borderId="295" xfId="0" applyFont="1" applyFill="1" applyBorder="1" applyAlignment="1" applyProtection="1">
      <alignment horizontal="center" vertical="center" wrapText="1"/>
    </xf>
    <xf numFmtId="0" fontId="76" fillId="25" borderId="297" xfId="0" applyFont="1" applyFill="1" applyBorder="1" applyAlignment="1" applyProtection="1">
      <alignment horizontal="center" vertical="center" wrapText="1"/>
    </xf>
    <xf numFmtId="0" fontId="76" fillId="25" borderId="56" xfId="0" applyFont="1" applyFill="1" applyBorder="1" applyAlignment="1" applyProtection="1">
      <alignment horizontal="center" vertical="center" wrapText="1"/>
    </xf>
    <xf numFmtId="0" fontId="76" fillId="25" borderId="25" xfId="0" applyFont="1" applyFill="1" applyBorder="1" applyAlignment="1" applyProtection="1">
      <alignment horizontal="center" vertical="center" wrapText="1"/>
    </xf>
    <xf numFmtId="0" fontId="76" fillId="25" borderId="246" xfId="0" applyFont="1" applyFill="1" applyBorder="1" applyAlignment="1" applyProtection="1">
      <alignment horizontal="center" vertical="center" wrapText="1"/>
    </xf>
    <xf numFmtId="0" fontId="76" fillId="25" borderId="38" xfId="0" applyFont="1" applyFill="1" applyBorder="1" applyAlignment="1" applyProtection="1">
      <alignment horizontal="center" vertical="center" wrapText="1"/>
    </xf>
    <xf numFmtId="0" fontId="51" fillId="0" borderId="0" xfId="0" applyFont="1" applyBorder="1" applyAlignment="1" applyProtection="1">
      <alignment horizontal="left" vertical="center" wrapText="1"/>
    </xf>
    <xf numFmtId="0" fontId="94" fillId="33" borderId="295" xfId="0" applyFont="1" applyFill="1" applyBorder="1" applyAlignment="1" applyProtection="1">
      <alignment horizontal="center" vertical="center" wrapText="1"/>
    </xf>
    <xf numFmtId="0" fontId="94" fillId="33" borderId="296" xfId="0" applyFont="1" applyFill="1" applyBorder="1" applyAlignment="1" applyProtection="1">
      <alignment horizontal="center" vertical="center" wrapText="1"/>
    </xf>
    <xf numFmtId="0" fontId="94" fillId="33" borderId="297" xfId="0" applyFont="1" applyFill="1" applyBorder="1" applyAlignment="1" applyProtection="1">
      <alignment horizontal="center" vertical="center" wrapText="1"/>
    </xf>
    <xf numFmtId="0" fontId="27" fillId="37" borderId="290" xfId="0" applyFont="1" applyFill="1" applyBorder="1" applyAlignment="1" applyProtection="1">
      <alignment horizontal="center" vertical="center" wrapText="1"/>
    </xf>
    <xf numFmtId="0" fontId="27" fillId="37" borderId="248" xfId="0" applyFont="1" applyFill="1" applyBorder="1" applyAlignment="1" applyProtection="1">
      <alignment horizontal="center" vertical="center" wrapText="1"/>
    </xf>
    <xf numFmtId="0" fontId="27" fillId="43" borderId="292" xfId="0" applyFont="1" applyFill="1" applyBorder="1" applyAlignment="1" applyProtection="1">
      <alignment horizontal="center" vertical="center" wrapText="1"/>
    </xf>
    <xf numFmtId="0" fontId="27" fillId="43" borderId="293" xfId="0" applyFont="1" applyFill="1" applyBorder="1" applyAlignment="1" applyProtection="1">
      <alignment horizontal="center" vertical="center" wrapText="1"/>
    </xf>
    <xf numFmtId="0" fontId="27" fillId="43" borderId="290" xfId="0" applyFont="1" applyFill="1" applyBorder="1" applyAlignment="1" applyProtection="1">
      <alignment horizontal="center" vertical="center" wrapText="1"/>
    </xf>
    <xf numFmtId="0" fontId="27" fillId="43" borderId="248" xfId="0" applyFont="1" applyFill="1" applyBorder="1" applyAlignment="1" applyProtection="1">
      <alignment horizontal="center" vertical="center" wrapText="1"/>
    </xf>
    <xf numFmtId="0" fontId="27" fillId="43" borderId="294" xfId="0" applyFont="1" applyFill="1" applyBorder="1" applyAlignment="1" applyProtection="1">
      <alignment horizontal="center" vertical="center" wrapText="1"/>
    </xf>
    <xf numFmtId="49" fontId="27" fillId="36" borderId="233" xfId="53" applyNumberFormat="1" applyFont="1" applyFill="1" applyBorder="1" applyAlignment="1" applyProtection="1">
      <alignment horizontal="center" vertical="center" wrapText="1"/>
    </xf>
    <xf numFmtId="49" fontId="27" fillId="36" borderId="13" xfId="53" applyNumberFormat="1" applyFont="1" applyFill="1" applyBorder="1" applyAlignment="1" applyProtection="1">
      <alignment horizontal="center" vertical="center" wrapText="1"/>
    </xf>
    <xf numFmtId="0" fontId="84" fillId="50" borderId="10" xfId="0" applyFont="1" applyFill="1" applyBorder="1" applyAlignment="1" applyProtection="1">
      <alignment horizontal="center" vertical="center" wrapText="1"/>
    </xf>
    <xf numFmtId="0" fontId="84" fillId="50" borderId="13" xfId="0" applyFont="1" applyFill="1" applyBorder="1" applyAlignment="1" applyProtection="1">
      <alignment horizontal="center" vertical="center" wrapText="1"/>
    </xf>
    <xf numFmtId="0" fontId="86" fillId="0" borderId="0" xfId="0" applyFont="1" applyAlignment="1" applyProtection="1">
      <alignment horizontal="left" wrapText="1"/>
    </xf>
    <xf numFmtId="0" fontId="86" fillId="0" borderId="0" xfId="0" applyFont="1" applyAlignment="1" applyProtection="1">
      <alignment horizontal="left"/>
    </xf>
    <xf numFmtId="0" fontId="27" fillId="37" borderId="10" xfId="0" applyFont="1" applyFill="1" applyBorder="1" applyAlignment="1" applyProtection="1">
      <alignment horizontal="center" vertical="center" wrapText="1"/>
    </xf>
    <xf numFmtId="0" fontId="27" fillId="37" borderId="13" xfId="0" applyFont="1" applyFill="1" applyBorder="1" applyAlignment="1" applyProtection="1">
      <alignment horizontal="center" vertical="center" wrapText="1"/>
    </xf>
    <xf numFmtId="0" fontId="27" fillId="37" borderId="297" xfId="0" applyFont="1" applyFill="1" applyBorder="1" applyAlignment="1" applyProtection="1">
      <alignment horizontal="center" vertical="center" wrapText="1"/>
    </xf>
    <xf numFmtId="0" fontId="27" fillId="37" borderId="14" xfId="0" applyFont="1" applyFill="1" applyBorder="1" applyAlignment="1" applyProtection="1">
      <alignment horizontal="center" vertical="center" wrapText="1"/>
    </xf>
    <xf numFmtId="0" fontId="27" fillId="37" borderId="38" xfId="0" applyFont="1" applyFill="1" applyBorder="1" applyAlignment="1" applyProtection="1">
      <alignment horizontal="center" vertical="center" wrapText="1"/>
    </xf>
    <xf numFmtId="0" fontId="27" fillId="36" borderId="10" xfId="0" applyFont="1" applyFill="1" applyBorder="1" applyAlignment="1" applyProtection="1">
      <alignment horizontal="center" vertical="center" wrapText="1"/>
    </xf>
    <xf numFmtId="0" fontId="27" fillId="36" borderId="13" xfId="0" applyFont="1" applyFill="1" applyBorder="1" applyAlignment="1" applyProtection="1">
      <alignment horizontal="center" vertical="center" wrapText="1"/>
    </xf>
    <xf numFmtId="1" fontId="27" fillId="37" borderId="290" xfId="0" applyNumberFormat="1" applyFont="1" applyFill="1" applyBorder="1" applyAlignment="1" applyProtection="1">
      <alignment horizontal="center" vertical="center" wrapText="1"/>
    </xf>
    <xf numFmtId="1" fontId="27" fillId="37" borderId="248" xfId="0" applyNumberFormat="1" applyFont="1" applyFill="1" applyBorder="1" applyAlignment="1" applyProtection="1">
      <alignment horizontal="center" vertical="center" wrapText="1"/>
    </xf>
    <xf numFmtId="0" fontId="27" fillId="37" borderId="233" xfId="0" applyFont="1" applyFill="1" applyBorder="1" applyAlignment="1" applyProtection="1">
      <alignment horizontal="center" vertical="center" wrapText="1"/>
    </xf>
    <xf numFmtId="0" fontId="27" fillId="50" borderId="10" xfId="0" applyFont="1" applyFill="1" applyBorder="1" applyAlignment="1" applyProtection="1">
      <alignment horizontal="center" vertical="center" wrapText="1"/>
    </xf>
    <xf numFmtId="0" fontId="27" fillId="50" borderId="13" xfId="0" applyFont="1" applyFill="1" applyBorder="1" applyAlignment="1" applyProtection="1">
      <alignment horizontal="center" vertical="center" wrapText="1"/>
    </xf>
    <xf numFmtId="49" fontId="50" fillId="35" borderId="296" xfId="53" applyNumberFormat="1" applyFont="1" applyFill="1" applyBorder="1" applyAlignment="1" applyProtection="1">
      <alignment horizontal="center" vertical="center" wrapText="1"/>
    </xf>
    <xf numFmtId="49" fontId="50" fillId="35" borderId="297" xfId="53" applyNumberFormat="1" applyFont="1" applyFill="1" applyBorder="1" applyAlignment="1" applyProtection="1">
      <alignment horizontal="center" vertical="center" wrapText="1"/>
    </xf>
    <xf numFmtId="49" fontId="50" fillId="35" borderId="295" xfId="53" applyNumberFormat="1" applyFont="1" applyFill="1" applyBorder="1" applyAlignment="1" applyProtection="1">
      <alignment horizontal="center" vertical="center" wrapText="1"/>
    </xf>
    <xf numFmtId="0" fontId="27" fillId="36" borderId="292" xfId="253" applyFont="1" applyFill="1" applyBorder="1" applyAlignment="1" applyProtection="1">
      <alignment horizontal="center" vertical="center" wrapText="1"/>
    </xf>
    <xf numFmtId="0" fontId="27" fillId="36" borderId="294" xfId="253" applyFont="1" applyFill="1" applyBorder="1" applyAlignment="1" applyProtection="1">
      <alignment horizontal="center" vertical="center" wrapText="1"/>
    </xf>
    <xf numFmtId="0" fontId="27" fillId="36" borderId="293" xfId="253" applyFont="1" applyFill="1" applyBorder="1" applyAlignment="1" applyProtection="1">
      <alignment horizontal="center" vertical="center" wrapText="1"/>
    </xf>
    <xf numFmtId="0" fontId="27" fillId="36" borderId="260" xfId="253" applyFont="1" applyFill="1" applyBorder="1" applyAlignment="1" applyProtection="1">
      <alignment horizontal="center" vertical="center" wrapText="1"/>
    </xf>
    <xf numFmtId="0" fontId="27" fillId="36" borderId="248" xfId="253" applyFont="1" applyFill="1" applyBorder="1" applyAlignment="1" applyProtection="1">
      <alignment horizontal="center" vertical="center" wrapText="1"/>
    </xf>
    <xf numFmtId="0" fontId="27" fillId="36" borderId="233" xfId="253" applyFont="1" applyFill="1" applyBorder="1" applyAlignment="1" applyProtection="1">
      <alignment horizontal="center" vertical="center" wrapText="1"/>
    </xf>
    <xf numFmtId="0" fontId="27" fillId="36" borderId="13" xfId="253" applyFont="1" applyFill="1" applyBorder="1" applyAlignment="1" applyProtection="1">
      <alignment horizontal="center" vertical="center" wrapText="1"/>
    </xf>
    <xf numFmtId="0" fontId="84" fillId="50" borderId="233" xfId="0" applyFont="1" applyFill="1" applyBorder="1" applyAlignment="1" applyProtection="1">
      <alignment horizontal="center" vertical="center" wrapText="1"/>
    </xf>
    <xf numFmtId="49" fontId="27" fillId="50" borderId="233" xfId="53" applyNumberFormat="1" applyFont="1" applyFill="1" applyBorder="1" applyAlignment="1" applyProtection="1">
      <alignment horizontal="center" vertical="center" wrapText="1"/>
    </xf>
    <xf numFmtId="49" fontId="27" fillId="50" borderId="13" xfId="53" applyNumberFormat="1" applyFont="1" applyFill="1" applyBorder="1" applyAlignment="1" applyProtection="1">
      <alignment horizontal="center" vertical="center" wrapText="1"/>
    </xf>
    <xf numFmtId="0" fontId="27" fillId="43" borderId="295" xfId="0" applyFont="1" applyFill="1" applyBorder="1" applyAlignment="1" applyProtection="1">
      <alignment horizontal="center" vertical="center" wrapText="1"/>
    </xf>
    <xf numFmtId="0" fontId="27" fillId="43" borderId="246" xfId="0" applyFont="1" applyFill="1" applyBorder="1" applyAlignment="1" applyProtection="1">
      <alignment horizontal="center" vertical="center" wrapText="1"/>
    </xf>
    <xf numFmtId="0" fontId="27" fillId="0" borderId="0" xfId="0" applyFont="1" applyBorder="1" applyAlignment="1" applyProtection="1">
      <alignment horizontal="left" wrapText="1"/>
    </xf>
    <xf numFmtId="15" fontId="27" fillId="37" borderId="297" xfId="0" applyNumberFormat="1" applyFont="1" applyFill="1" applyBorder="1" applyAlignment="1" applyProtection="1">
      <alignment horizontal="center" vertical="center" wrapText="1"/>
    </xf>
    <xf numFmtId="15" fontId="27" fillId="37" borderId="38" xfId="0" applyNumberFormat="1" applyFont="1" applyFill="1" applyBorder="1" applyAlignment="1" applyProtection="1">
      <alignment horizontal="center" vertical="center" wrapText="1"/>
    </xf>
    <xf numFmtId="0" fontId="27" fillId="37" borderId="272" xfId="253" applyFont="1" applyFill="1" applyBorder="1" applyAlignment="1" applyProtection="1">
      <alignment horizontal="center" vertical="center" wrapText="1"/>
    </xf>
    <xf numFmtId="0" fontId="27" fillId="37" borderId="248" xfId="253" applyFont="1" applyFill="1" applyBorder="1" applyAlignment="1" applyProtection="1">
      <alignment horizontal="center" vertical="center" wrapText="1"/>
    </xf>
    <xf numFmtId="49" fontId="27" fillId="36" borderId="165" xfId="53" applyNumberFormat="1" applyFont="1" applyFill="1" applyBorder="1" applyAlignment="1" applyProtection="1">
      <alignment horizontal="center" vertical="center" wrapText="1"/>
    </xf>
    <xf numFmtId="0" fontId="27" fillId="50" borderId="57" xfId="253" applyFont="1" applyFill="1" applyBorder="1" applyAlignment="1" applyProtection="1">
      <alignment horizontal="center" vertical="center" wrapText="1"/>
    </xf>
    <xf numFmtId="0" fontId="27" fillId="50" borderId="13" xfId="253" applyFont="1" applyFill="1" applyBorder="1" applyAlignment="1" applyProtection="1">
      <alignment horizontal="center" vertical="center" wrapText="1"/>
    </xf>
    <xf numFmtId="0" fontId="27" fillId="50" borderId="57" xfId="0" applyFont="1" applyFill="1" applyBorder="1" applyAlignment="1" applyProtection="1">
      <alignment horizontal="center" vertical="center" wrapText="1"/>
    </xf>
    <xf numFmtId="0" fontId="27" fillId="50" borderId="248" xfId="0" applyFont="1" applyFill="1" applyBorder="1" applyAlignment="1" applyProtection="1">
      <alignment horizontal="center" vertical="center" wrapText="1"/>
    </xf>
    <xf numFmtId="0" fontId="27" fillId="36" borderId="57" xfId="0" applyFont="1" applyFill="1" applyBorder="1" applyAlignment="1" applyProtection="1">
      <alignment horizontal="center" vertical="center" wrapText="1"/>
    </xf>
    <xf numFmtId="0" fontId="27" fillId="50" borderId="290" xfId="0" applyFont="1" applyFill="1" applyBorder="1" applyAlignment="1" applyProtection="1">
      <alignment horizontal="center" vertical="center" wrapText="1"/>
    </xf>
    <xf numFmtId="0" fontId="27" fillId="42" borderId="57" xfId="0" applyFont="1" applyFill="1" applyBorder="1" applyAlignment="1" applyProtection="1">
      <alignment horizontal="center" vertical="center" wrapText="1"/>
    </xf>
    <xf numFmtId="49" fontId="27" fillId="37" borderId="260" xfId="53" applyNumberFormat="1" applyFont="1" applyFill="1" applyBorder="1" applyAlignment="1" applyProtection="1">
      <alignment horizontal="center" vertical="center" wrapText="1"/>
    </xf>
    <xf numFmtId="0" fontId="16" fillId="0" borderId="343" xfId="0" applyFont="1" applyBorder="1" applyAlignment="1" applyProtection="1">
      <alignment horizontal="left" indent="2"/>
    </xf>
    <xf numFmtId="0" fontId="16" fillId="0" borderId="347" xfId="0" applyFont="1" applyBorder="1" applyAlignment="1" applyProtection="1">
      <alignment horizontal="left" indent="2"/>
    </xf>
    <xf numFmtId="49" fontId="27" fillId="36" borderId="91" xfId="53" applyNumberFormat="1" applyFont="1" applyFill="1" applyBorder="1" applyAlignment="1" applyProtection="1">
      <alignment horizontal="center" vertical="center" wrapText="1"/>
    </xf>
    <xf numFmtId="49" fontId="27" fillId="37" borderId="70" xfId="53" applyNumberFormat="1" applyFont="1" applyFill="1" applyBorder="1" applyAlignment="1" applyProtection="1">
      <alignment horizontal="center" vertical="center" wrapText="1"/>
    </xf>
    <xf numFmtId="49" fontId="27" fillId="37" borderId="13" xfId="53" applyNumberFormat="1" applyFont="1" applyFill="1" applyBorder="1" applyAlignment="1" applyProtection="1">
      <alignment horizontal="center" vertical="center" wrapText="1"/>
    </xf>
    <xf numFmtId="49" fontId="27" fillId="42" borderId="10" xfId="53" applyNumberFormat="1" applyFont="1" applyFill="1" applyBorder="1" applyAlignment="1" applyProtection="1">
      <alignment horizontal="center" vertical="center" wrapText="1"/>
    </xf>
    <xf numFmtId="49" fontId="27" fillId="42" borderId="57" xfId="53" applyNumberFormat="1" applyFont="1" applyFill="1" applyBorder="1" applyAlignment="1" applyProtection="1">
      <alignment horizontal="center" vertical="center" wrapText="1"/>
    </xf>
    <xf numFmtId="49" fontId="27" fillId="42" borderId="11" xfId="53" applyNumberFormat="1" applyFont="1" applyFill="1" applyBorder="1" applyAlignment="1" applyProtection="1">
      <alignment horizontal="center" vertical="center" wrapText="1"/>
    </xf>
    <xf numFmtId="49" fontId="27" fillId="42" borderId="13" xfId="53" applyNumberFormat="1" applyFont="1" applyFill="1" applyBorder="1" applyAlignment="1" applyProtection="1">
      <alignment horizontal="center" vertical="center" wrapText="1"/>
    </xf>
    <xf numFmtId="49" fontId="27" fillId="37" borderId="10" xfId="53" applyNumberFormat="1" applyFont="1" applyFill="1" applyBorder="1" applyAlignment="1" applyProtection="1">
      <alignment horizontal="center" vertical="center" wrapText="1"/>
    </xf>
    <xf numFmtId="49" fontId="27" fillId="36" borderId="10" xfId="53" applyNumberFormat="1" applyFont="1" applyFill="1" applyBorder="1" applyAlignment="1" applyProtection="1">
      <alignment horizontal="center" vertical="center" wrapText="1"/>
    </xf>
    <xf numFmtId="49" fontId="27" fillId="37" borderId="55" xfId="53" applyNumberFormat="1" applyFont="1" applyFill="1" applyBorder="1" applyAlignment="1" applyProtection="1">
      <alignment horizontal="center" vertical="center" wrapText="1"/>
    </xf>
    <xf numFmtId="49" fontId="27" fillId="50" borderId="10" xfId="53" applyNumberFormat="1" applyFont="1" applyFill="1" applyBorder="1" applyAlignment="1" applyProtection="1">
      <alignment horizontal="center" vertical="center" wrapText="1"/>
    </xf>
    <xf numFmtId="49" fontId="27" fillId="50" borderId="258" xfId="53" applyNumberFormat="1" applyFont="1" applyFill="1" applyBorder="1" applyAlignment="1" applyProtection="1">
      <alignment horizontal="center" vertical="center" wrapText="1"/>
    </xf>
    <xf numFmtId="49" fontId="27" fillId="50" borderId="38" xfId="53" applyNumberFormat="1" applyFont="1" applyFill="1" applyBorder="1" applyAlignment="1" applyProtection="1">
      <alignment horizontal="center" vertical="center" wrapText="1"/>
    </xf>
    <xf numFmtId="49" fontId="27" fillId="50" borderId="85" xfId="53" applyNumberFormat="1" applyFont="1" applyFill="1" applyBorder="1" applyAlignment="1" applyProtection="1">
      <alignment horizontal="center" vertical="center" wrapText="1"/>
    </xf>
    <xf numFmtId="49" fontId="76" fillId="36" borderId="262" xfId="53" applyNumberFormat="1" applyFont="1" applyFill="1" applyBorder="1" applyAlignment="1" applyProtection="1">
      <alignment horizontal="center" vertical="center" wrapText="1"/>
    </xf>
    <xf numFmtId="49" fontId="76" fillId="36" borderId="259" xfId="53" applyNumberFormat="1" applyFont="1" applyFill="1" applyBorder="1" applyAlignment="1" applyProtection="1">
      <alignment horizontal="center" vertical="center" wrapText="1"/>
    </xf>
    <xf numFmtId="49" fontId="76" fillId="36" borderId="263" xfId="53" applyNumberFormat="1" applyFont="1" applyFill="1" applyBorder="1" applyAlignment="1" applyProtection="1">
      <alignment horizontal="center" vertical="center" wrapText="1"/>
    </xf>
    <xf numFmtId="0" fontId="76" fillId="25" borderId="16" xfId="0" applyFont="1" applyFill="1" applyBorder="1" applyAlignment="1" applyProtection="1">
      <alignment horizontal="center" vertical="center" wrapText="1"/>
    </xf>
    <xf numFmtId="0" fontId="76" fillId="25" borderId="24" xfId="0" applyFont="1" applyFill="1" applyBorder="1" applyAlignment="1" applyProtection="1">
      <alignment horizontal="center" vertical="center" wrapText="1"/>
    </xf>
    <xf numFmtId="0" fontId="76" fillId="25" borderId="17" xfId="0" applyFont="1" applyFill="1" applyBorder="1" applyAlignment="1" applyProtection="1">
      <alignment horizontal="center" vertical="center" wrapText="1"/>
    </xf>
    <xf numFmtId="0" fontId="76" fillId="25" borderId="18" xfId="0" applyFont="1" applyFill="1" applyBorder="1" applyAlignment="1" applyProtection="1">
      <alignment horizontal="center" vertical="center" wrapText="1"/>
    </xf>
    <xf numFmtId="49" fontId="27" fillId="37" borderId="15" xfId="53" applyNumberFormat="1" applyFont="1" applyFill="1" applyBorder="1" applyAlignment="1" applyProtection="1">
      <alignment horizontal="center" vertical="center" wrapText="1"/>
    </xf>
    <xf numFmtId="49" fontId="50" fillId="33" borderId="256" xfId="53" applyNumberFormat="1" applyFont="1" applyFill="1" applyBorder="1" applyAlignment="1" applyProtection="1">
      <alignment horizontal="center" vertical="center" wrapText="1"/>
    </xf>
    <xf numFmtId="49" fontId="50" fillId="33" borderId="257" xfId="53" applyNumberFormat="1" applyFont="1" applyFill="1" applyBorder="1" applyAlignment="1" applyProtection="1">
      <alignment horizontal="center" vertical="center" wrapText="1"/>
    </xf>
    <xf numFmtId="49" fontId="50" fillId="33" borderId="258" xfId="53" applyNumberFormat="1" applyFont="1" applyFill="1" applyBorder="1" applyAlignment="1" applyProtection="1">
      <alignment horizontal="center" vertical="center" wrapText="1"/>
    </xf>
    <xf numFmtId="49" fontId="27" fillId="50" borderId="290" xfId="53" applyNumberFormat="1" applyFont="1" applyFill="1" applyBorder="1" applyAlignment="1" applyProtection="1">
      <alignment horizontal="center" vertical="center" wrapText="1"/>
    </xf>
    <xf numFmtId="49" fontId="27" fillId="50" borderId="248" xfId="53" applyNumberFormat="1" applyFont="1" applyFill="1" applyBorder="1" applyAlignment="1" applyProtection="1">
      <alignment horizontal="center" vertical="center" wrapText="1"/>
    </xf>
    <xf numFmtId="0" fontId="16" fillId="0" borderId="246" xfId="53" applyFont="1" applyFill="1" applyBorder="1" applyAlignment="1" applyProtection="1">
      <alignment horizontal="left" indent="1"/>
    </xf>
    <xf numFmtId="0" fontId="16" fillId="0" borderId="38" xfId="53" applyFont="1" applyFill="1" applyBorder="1" applyAlignment="1" applyProtection="1">
      <alignment horizontal="left" indent="1"/>
    </xf>
    <xf numFmtId="0" fontId="16" fillId="0" borderId="327" xfId="53" applyFont="1" applyFill="1" applyBorder="1" applyAlignment="1" applyProtection="1">
      <alignment horizontal="left" indent="1"/>
    </xf>
    <xf numFmtId="0" fontId="16" fillId="0" borderId="351" xfId="53" applyFont="1" applyFill="1" applyBorder="1" applyAlignment="1" applyProtection="1">
      <alignment horizontal="left" indent="1"/>
    </xf>
    <xf numFmtId="0" fontId="16" fillId="0" borderId="343" xfId="53" applyFont="1" applyFill="1" applyBorder="1" applyAlignment="1" applyProtection="1">
      <alignment horizontal="left" indent="1"/>
    </xf>
    <xf numFmtId="0" fontId="16" fillId="0" borderId="331" xfId="53" applyFont="1" applyFill="1" applyBorder="1" applyAlignment="1" applyProtection="1">
      <alignment horizontal="left" indent="1"/>
    </xf>
    <xf numFmtId="49" fontId="27" fillId="37" borderId="272" xfId="53" applyNumberFormat="1" applyFont="1" applyFill="1" applyBorder="1" applyAlignment="1" applyProtection="1">
      <alignment horizontal="center" vertical="center" wrapText="1"/>
    </xf>
    <xf numFmtId="0" fontId="16" fillId="0" borderId="328" xfId="53" applyFont="1" applyFill="1" applyBorder="1" applyAlignment="1" applyProtection="1">
      <alignment horizontal="left" indent="1"/>
    </xf>
    <xf numFmtId="0" fontId="16" fillId="0" borderId="347" xfId="53" applyFont="1" applyFill="1" applyBorder="1" applyAlignment="1" applyProtection="1">
      <alignment horizontal="left" indent="1"/>
    </xf>
    <xf numFmtId="0" fontId="16" fillId="0" borderId="56" xfId="53" applyFont="1" applyFill="1" applyBorder="1" applyAlignment="1" applyProtection="1">
      <alignment horizontal="left" indent="1"/>
    </xf>
    <xf numFmtId="0" fontId="16" fillId="0" borderId="232" xfId="53" applyFont="1" applyFill="1" applyBorder="1" applyAlignment="1" applyProtection="1">
      <alignment horizontal="left" indent="1"/>
    </xf>
    <xf numFmtId="0" fontId="76" fillId="36" borderId="16" xfId="0" applyFont="1" applyFill="1" applyBorder="1" applyAlignment="1" applyProtection="1">
      <alignment horizontal="center" vertical="center" wrapText="1"/>
    </xf>
    <xf numFmtId="0" fontId="76" fillId="36" borderId="24" xfId="0" applyFont="1" applyFill="1" applyBorder="1" applyAlignment="1" applyProtection="1">
      <alignment horizontal="center" vertical="center" wrapText="1"/>
    </xf>
    <xf numFmtId="0" fontId="76" fillId="36" borderId="56" xfId="0" applyFont="1" applyFill="1" applyBorder="1" applyAlignment="1" applyProtection="1">
      <alignment horizontal="center" vertical="center" wrapText="1"/>
    </xf>
    <xf numFmtId="0" fontId="76" fillId="36" borderId="25" xfId="0" applyFont="1" applyFill="1" applyBorder="1" applyAlignment="1" applyProtection="1">
      <alignment horizontal="center" vertical="center" wrapText="1"/>
    </xf>
    <xf numFmtId="0" fontId="76" fillId="36" borderId="17" xfId="0" applyFont="1" applyFill="1" applyBorder="1" applyAlignment="1" applyProtection="1">
      <alignment horizontal="center" vertical="center" wrapText="1"/>
    </xf>
    <xf numFmtId="0" fontId="76" fillId="36" borderId="18" xfId="0" applyFont="1" applyFill="1" applyBorder="1" applyAlignment="1" applyProtection="1">
      <alignment horizontal="center" vertical="center" wrapText="1"/>
    </xf>
    <xf numFmtId="0" fontId="76" fillId="36" borderId="38" xfId="0" applyFont="1" applyFill="1" applyBorder="1" applyAlignment="1" applyProtection="1">
      <alignment horizontal="center" vertical="center" wrapText="1"/>
    </xf>
    <xf numFmtId="49" fontId="50" fillId="33" borderId="275" xfId="53" applyNumberFormat="1" applyFont="1" applyFill="1" applyBorder="1" applyAlignment="1" applyProtection="1">
      <alignment horizontal="center" vertical="center" wrapText="1"/>
    </xf>
    <xf numFmtId="49" fontId="50" fillId="33" borderId="276" xfId="53" applyNumberFormat="1" applyFont="1" applyFill="1" applyBorder="1" applyAlignment="1" applyProtection="1">
      <alignment horizontal="center" vertical="center" wrapText="1"/>
    </xf>
    <xf numFmtId="49" fontId="50" fillId="33" borderId="277" xfId="53" applyNumberFormat="1" applyFont="1" applyFill="1" applyBorder="1" applyAlignment="1" applyProtection="1">
      <alignment horizontal="center" vertical="center" wrapText="1"/>
    </xf>
    <xf numFmtId="0" fontId="76" fillId="42" borderId="16" xfId="0" applyFont="1" applyFill="1" applyBorder="1" applyAlignment="1" applyProtection="1">
      <alignment horizontal="center" vertical="center" wrapText="1"/>
    </xf>
    <xf numFmtId="0" fontId="76" fillId="42" borderId="24" xfId="0" applyFont="1" applyFill="1" applyBorder="1" applyAlignment="1" applyProtection="1">
      <alignment horizontal="center" vertical="center" wrapText="1"/>
    </xf>
    <xf numFmtId="0" fontId="76" fillId="42" borderId="56" xfId="0" applyFont="1" applyFill="1" applyBorder="1" applyAlignment="1" applyProtection="1">
      <alignment horizontal="center" vertical="center" wrapText="1"/>
    </xf>
    <xf numFmtId="0" fontId="76" fillId="42" borderId="25" xfId="0" applyFont="1" applyFill="1" applyBorder="1" applyAlignment="1" applyProtection="1">
      <alignment horizontal="center" vertical="center" wrapText="1"/>
    </xf>
    <xf numFmtId="0" fontId="76" fillId="42" borderId="17" xfId="0" applyFont="1" applyFill="1" applyBorder="1" applyAlignment="1" applyProtection="1">
      <alignment horizontal="center" vertical="center" wrapText="1"/>
    </xf>
    <xf numFmtId="0" fontId="76" fillId="42" borderId="18" xfId="0" applyFont="1" applyFill="1" applyBorder="1" applyAlignment="1" applyProtection="1">
      <alignment horizontal="center" vertical="center" wrapText="1"/>
    </xf>
    <xf numFmtId="0" fontId="76" fillId="42" borderId="38" xfId="0" applyFont="1" applyFill="1" applyBorder="1" applyAlignment="1" applyProtection="1">
      <alignment horizontal="center" vertical="center" wrapText="1"/>
    </xf>
    <xf numFmtId="49" fontId="27" fillId="37" borderId="115" xfId="53" applyNumberFormat="1" applyFont="1" applyFill="1" applyBorder="1" applyAlignment="1" applyProtection="1">
      <alignment horizontal="center" vertical="center" wrapText="1"/>
    </xf>
    <xf numFmtId="49" fontId="27" fillId="42" borderId="55" xfId="53" applyNumberFormat="1" applyFont="1" applyFill="1" applyBorder="1" applyAlignment="1" applyProtection="1">
      <alignment horizontal="center" vertical="center" wrapText="1"/>
    </xf>
    <xf numFmtId="49" fontId="27" fillId="50" borderId="125" xfId="53" applyNumberFormat="1" applyFont="1" applyFill="1" applyBorder="1" applyAlignment="1" applyProtection="1">
      <alignment horizontal="center" vertical="center" wrapText="1"/>
    </xf>
    <xf numFmtId="0" fontId="76" fillId="25" borderId="16" xfId="53" applyFont="1" applyFill="1" applyBorder="1" applyAlignment="1" applyProtection="1">
      <alignment horizontal="center" vertical="center" wrapText="1"/>
    </xf>
    <xf numFmtId="0" fontId="76" fillId="25" borderId="24" xfId="53" applyFont="1" applyFill="1" applyBorder="1" applyAlignment="1" applyProtection="1">
      <alignment horizontal="center" vertical="center" wrapText="1"/>
    </xf>
    <xf numFmtId="0" fontId="76" fillId="25" borderId="56" xfId="53" applyFont="1" applyFill="1" applyBorder="1" applyAlignment="1" applyProtection="1">
      <alignment horizontal="center" vertical="center" wrapText="1"/>
    </xf>
    <xf numFmtId="0" fontId="76" fillId="25" borderId="25" xfId="53" applyFont="1" applyFill="1" applyBorder="1" applyAlignment="1" applyProtection="1">
      <alignment horizontal="center" vertical="center" wrapText="1"/>
    </xf>
    <xf numFmtId="0" fontId="76" fillId="25" borderId="17" xfId="53" applyFont="1" applyFill="1" applyBorder="1" applyAlignment="1" applyProtection="1">
      <alignment horizontal="center" vertical="center" wrapText="1"/>
    </xf>
    <xf numFmtId="0" fontId="76" fillId="25" borderId="18" xfId="53" applyFont="1" applyFill="1" applyBorder="1" applyAlignment="1" applyProtection="1">
      <alignment horizontal="center" vertical="center" wrapText="1"/>
    </xf>
    <xf numFmtId="0" fontId="76" fillId="25" borderId="38" xfId="53" applyFont="1" applyFill="1" applyBorder="1" applyAlignment="1" applyProtection="1">
      <alignment horizontal="center" vertical="center" wrapText="1"/>
    </xf>
    <xf numFmtId="49" fontId="27" fillId="37" borderId="165" xfId="53" applyNumberFormat="1" applyFont="1" applyFill="1" applyBorder="1" applyAlignment="1" applyProtection="1">
      <alignment horizontal="center" vertical="center" wrapText="1"/>
    </xf>
    <xf numFmtId="0" fontId="16" fillId="0" borderId="0" xfId="53" applyAlignment="1" applyProtection="1">
      <alignment horizontal="center" vertical="top" wrapText="1"/>
    </xf>
    <xf numFmtId="49" fontId="97" fillId="36" borderId="290" xfId="53" applyNumberFormat="1" applyFont="1" applyFill="1" applyBorder="1" applyAlignment="1" applyProtection="1">
      <alignment horizontal="center" vertical="center" wrapText="1"/>
    </xf>
    <xf numFmtId="49" fontId="97" fillId="36" borderId="248" xfId="53" applyNumberFormat="1" applyFont="1" applyFill="1" applyBorder="1" applyAlignment="1" applyProtection="1">
      <alignment horizontal="center" vertical="center" wrapText="1"/>
    </xf>
    <xf numFmtId="49" fontId="27" fillId="36" borderId="290" xfId="53" applyNumberFormat="1" applyFont="1" applyFill="1" applyBorder="1" applyAlignment="1" applyProtection="1">
      <alignment horizontal="center" vertical="center" wrapText="1"/>
    </xf>
    <xf numFmtId="49" fontId="27" fillId="36" borderId="248" xfId="53" applyNumberFormat="1" applyFont="1" applyFill="1" applyBorder="1" applyAlignment="1" applyProtection="1">
      <alignment horizontal="center" vertical="center" wrapText="1"/>
    </xf>
    <xf numFmtId="0" fontId="84" fillId="50" borderId="57" xfId="0" applyFont="1" applyFill="1" applyBorder="1" applyAlignment="1" applyProtection="1">
      <alignment horizontal="center" vertical="center" wrapText="1"/>
    </xf>
    <xf numFmtId="0" fontId="27" fillId="37" borderId="154" xfId="0" quotePrefix="1" applyFont="1" applyFill="1" applyBorder="1" applyAlignment="1" applyProtection="1">
      <alignment horizontal="center" vertical="center" wrapText="1"/>
    </xf>
    <xf numFmtId="0" fontId="27" fillId="37" borderId="13" xfId="0" quotePrefix="1" applyFont="1" applyFill="1" applyBorder="1" applyAlignment="1" applyProtection="1">
      <alignment horizontal="center" vertical="center" wrapText="1"/>
    </xf>
    <xf numFmtId="49" fontId="27" fillId="50" borderId="57" xfId="53" applyNumberFormat="1" applyFont="1" applyFill="1" applyBorder="1" applyAlignment="1" applyProtection="1">
      <alignment horizontal="center" vertical="center" wrapText="1"/>
    </xf>
    <xf numFmtId="49" fontId="27" fillId="36" borderId="57" xfId="53" applyNumberFormat="1" applyFont="1" applyFill="1" applyBorder="1" applyAlignment="1" applyProtection="1">
      <alignment horizontal="center" vertical="center" wrapText="1"/>
    </xf>
    <xf numFmtId="0" fontId="84" fillId="50" borderId="290" xfId="0" applyFont="1" applyFill="1" applyBorder="1" applyAlignment="1" applyProtection="1">
      <alignment horizontal="center" vertical="center" wrapText="1"/>
    </xf>
    <xf numFmtId="0" fontId="84" fillId="50" borderId="248" xfId="0" applyFont="1" applyFill="1" applyBorder="1" applyAlignment="1" applyProtection="1">
      <alignment horizontal="center" vertical="center" wrapText="1"/>
    </xf>
    <xf numFmtId="49" fontId="50" fillId="36" borderId="292" xfId="53" applyNumberFormat="1" applyFont="1" applyFill="1" applyBorder="1" applyAlignment="1" applyProtection="1">
      <alignment horizontal="center" vertical="center" wrapText="1"/>
    </xf>
    <xf numFmtId="49" fontId="50" fillId="36" borderId="294" xfId="53" applyNumberFormat="1" applyFont="1" applyFill="1" applyBorder="1" applyAlignment="1" applyProtection="1">
      <alignment horizontal="center" vertical="center" wrapText="1"/>
    </xf>
    <xf numFmtId="49" fontId="50" fillId="36" borderId="293" xfId="53" applyNumberFormat="1" applyFont="1" applyFill="1" applyBorder="1" applyAlignment="1" applyProtection="1">
      <alignment horizontal="center" vertical="center" wrapText="1"/>
    </xf>
    <xf numFmtId="49" fontId="50" fillId="27" borderId="295" xfId="53" applyNumberFormat="1" applyFont="1" applyFill="1" applyBorder="1" applyAlignment="1" applyProtection="1">
      <alignment horizontal="center" vertical="center" wrapText="1"/>
    </xf>
    <xf numFmtId="49" fontId="50" fillId="27" borderId="296" xfId="53" applyNumberFormat="1" applyFont="1" applyFill="1" applyBorder="1" applyAlignment="1" applyProtection="1">
      <alignment horizontal="center" vertical="center" wrapText="1"/>
    </xf>
    <xf numFmtId="49" fontId="50" fillId="27" borderId="297" xfId="53" applyNumberFormat="1" applyFont="1" applyFill="1" applyBorder="1" applyAlignment="1" applyProtection="1">
      <alignment horizontal="center" vertical="center" wrapText="1"/>
    </xf>
    <xf numFmtId="15" fontId="27" fillId="37" borderId="10" xfId="0" applyNumberFormat="1" applyFont="1" applyFill="1" applyBorder="1" applyAlignment="1" applyProtection="1">
      <alignment horizontal="center" vertical="center" wrapText="1"/>
    </xf>
    <xf numFmtId="15" fontId="27" fillId="37" borderId="13" xfId="0" applyNumberFormat="1" applyFont="1" applyFill="1" applyBorder="1" applyAlignment="1" applyProtection="1">
      <alignment horizontal="center" vertical="center" wrapText="1"/>
    </xf>
    <xf numFmtId="0" fontId="27" fillId="37" borderId="290" xfId="0" quotePrefix="1" applyFont="1" applyFill="1" applyBorder="1" applyAlignment="1" applyProtection="1">
      <alignment horizontal="center" vertical="center" wrapText="1"/>
    </xf>
    <xf numFmtId="0" fontId="27" fillId="37" borderId="248" xfId="0" quotePrefix="1" applyFont="1" applyFill="1" applyBorder="1" applyAlignment="1" applyProtection="1">
      <alignment horizontal="center" vertical="center" wrapText="1"/>
    </xf>
    <xf numFmtId="0" fontId="27" fillId="37" borderId="15" xfId="0" quotePrefix="1" applyFont="1" applyFill="1" applyBorder="1" applyAlignment="1" applyProtection="1">
      <alignment horizontal="center" vertical="center" wrapText="1"/>
    </xf>
    <xf numFmtId="49" fontId="27" fillId="37" borderId="145" xfId="53" applyNumberFormat="1" applyFont="1" applyFill="1" applyBorder="1" applyAlignment="1" applyProtection="1">
      <alignment horizontal="center" vertical="center" wrapText="1"/>
    </xf>
    <xf numFmtId="0" fontId="27" fillId="36" borderId="224" xfId="0" applyFont="1" applyFill="1" applyBorder="1" applyAlignment="1" applyProtection="1">
      <alignment horizontal="center" vertical="center" wrapText="1"/>
    </xf>
    <xf numFmtId="15" fontId="27" fillId="37" borderId="224" xfId="0" applyNumberFormat="1" applyFont="1" applyFill="1" applyBorder="1" applyAlignment="1" applyProtection="1">
      <alignment horizontal="center" vertical="center" wrapText="1"/>
    </xf>
    <xf numFmtId="0" fontId="27" fillId="37" borderId="224" xfId="0" quotePrefix="1" applyFont="1" applyFill="1" applyBorder="1" applyAlignment="1" applyProtection="1">
      <alignment horizontal="center" vertical="center" wrapText="1"/>
    </xf>
    <xf numFmtId="0" fontId="27" fillId="37" borderId="224" xfId="0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/>
    </xf>
    <xf numFmtId="0" fontId="27" fillId="25" borderId="13" xfId="0" applyFont="1" applyFill="1" applyBorder="1" applyAlignment="1" applyProtection="1">
      <alignment horizontal="center" vertical="center"/>
    </xf>
    <xf numFmtId="0" fontId="98" fillId="43" borderId="292" xfId="0" applyFont="1" applyFill="1" applyBorder="1" applyAlignment="1" applyProtection="1">
      <alignment horizontal="center" vertical="center" wrapText="1"/>
    </xf>
    <xf numFmtId="0" fontId="98" fillId="43" borderId="294" xfId="0" applyFont="1" applyFill="1" applyBorder="1" applyAlignment="1" applyProtection="1">
      <alignment horizontal="center" vertical="center" wrapText="1"/>
    </xf>
    <xf numFmtId="0" fontId="98" fillId="43" borderId="293" xfId="0" applyFont="1" applyFill="1" applyBorder="1" applyAlignment="1" applyProtection="1">
      <alignment horizontal="center" vertical="center" wrapText="1"/>
    </xf>
    <xf numFmtId="0" fontId="27" fillId="51" borderId="291" xfId="0" applyFont="1" applyFill="1" applyBorder="1" applyAlignment="1" applyProtection="1">
      <alignment horizontal="center" vertical="center" wrapText="1"/>
    </xf>
    <xf numFmtId="0" fontId="27" fillId="50" borderId="291" xfId="0" applyFont="1" applyFill="1" applyBorder="1" applyAlignment="1" applyProtection="1">
      <alignment horizontal="center" vertical="center" wrapText="1"/>
    </xf>
    <xf numFmtId="0" fontId="98" fillId="35" borderId="292" xfId="0" applyFont="1" applyFill="1" applyBorder="1" applyAlignment="1" applyProtection="1">
      <alignment horizontal="center" vertical="center" wrapText="1"/>
    </xf>
    <xf numFmtId="0" fontId="98" fillId="35" borderId="294" xfId="0" applyFont="1" applyFill="1" applyBorder="1" applyAlignment="1" applyProtection="1">
      <alignment horizontal="center" vertical="center" wrapText="1"/>
    </xf>
    <xf numFmtId="0" fontId="98" fillId="35" borderId="293" xfId="0" applyFont="1" applyFill="1" applyBorder="1" applyAlignment="1" applyProtection="1">
      <alignment horizontal="center" vertical="center" wrapText="1"/>
    </xf>
    <xf numFmtId="0" fontId="27" fillId="36" borderId="290" xfId="0" applyFont="1" applyFill="1" applyBorder="1" applyAlignment="1" applyProtection="1">
      <alignment horizontal="center" vertical="center" wrapText="1"/>
    </xf>
    <xf numFmtId="0" fontId="27" fillId="36" borderId="248" xfId="0" applyFont="1" applyFill="1" applyBorder="1" applyAlignment="1" applyProtection="1">
      <alignment horizontal="center" vertical="center" wrapText="1"/>
    </xf>
    <xf numFmtId="0" fontId="24" fillId="25" borderId="10" xfId="0" applyFont="1" applyFill="1" applyBorder="1" applyAlignment="1" applyProtection="1">
      <alignment horizontal="center" vertical="center" wrapText="1"/>
    </xf>
    <xf numFmtId="0" fontId="24" fillId="25" borderId="11" xfId="0" applyFont="1" applyFill="1" applyBorder="1" applyAlignment="1" applyProtection="1">
      <alignment horizontal="center" vertical="center" wrapText="1"/>
    </xf>
    <xf numFmtId="0" fontId="24" fillId="25" borderId="13" xfId="0" applyFont="1" applyFill="1" applyBorder="1" applyAlignment="1" applyProtection="1">
      <alignment horizontal="center" vertical="center"/>
    </xf>
    <xf numFmtId="0" fontId="38" fillId="27" borderId="19" xfId="0" applyFont="1" applyFill="1" applyBorder="1" applyAlignment="1" applyProtection="1">
      <alignment horizontal="center" vertical="center"/>
    </xf>
    <xf numFmtId="0" fontId="38" fillId="27" borderId="26" xfId="0" applyFont="1" applyFill="1" applyBorder="1" applyAlignment="1" applyProtection="1">
      <alignment horizontal="center" vertical="center"/>
    </xf>
    <xf numFmtId="0" fontId="38" fillId="27" borderId="22" xfId="0" applyFont="1" applyFill="1" applyBorder="1" applyAlignment="1" applyProtection="1">
      <alignment horizontal="center" vertical="center"/>
    </xf>
    <xf numFmtId="0" fontId="34" fillId="25" borderId="15" xfId="0" applyFont="1" applyFill="1" applyBorder="1" applyAlignment="1" applyProtection="1">
      <alignment horizontal="center" vertical="center" wrapText="1"/>
    </xf>
    <xf numFmtId="0" fontId="30" fillId="0" borderId="19" xfId="0" applyFont="1" applyBorder="1" applyAlignment="1" applyProtection="1">
      <alignment horizontal="center" vertical="center" wrapText="1"/>
    </xf>
    <xf numFmtId="0" fontId="30" fillId="0" borderId="22" xfId="0" applyFont="1" applyBorder="1" applyAlignment="1" applyProtection="1">
      <alignment horizontal="center" vertical="center" wrapText="1"/>
    </xf>
    <xf numFmtId="0" fontId="38" fillId="27" borderId="19" xfId="0" applyFont="1" applyFill="1" applyBorder="1" applyAlignment="1" applyProtection="1">
      <alignment horizontal="center" vertical="center" wrapText="1"/>
    </xf>
    <xf numFmtId="0" fontId="38" fillId="27" borderId="22" xfId="0" applyFont="1" applyFill="1" applyBorder="1" applyAlignment="1" applyProtection="1">
      <alignment horizontal="center" vertical="center" wrapText="1"/>
    </xf>
    <xf numFmtId="0" fontId="52" fillId="27" borderId="19" xfId="0" quotePrefix="1" applyFont="1" applyFill="1" applyBorder="1" applyAlignment="1" applyProtection="1">
      <alignment horizontal="center" vertical="center"/>
    </xf>
    <xf numFmtId="0" fontId="52" fillId="27" borderId="26" xfId="0" quotePrefix="1" applyFont="1" applyFill="1" applyBorder="1" applyAlignment="1" applyProtection="1">
      <alignment horizontal="center" vertical="center"/>
    </xf>
    <xf numFmtId="0" fontId="48" fillId="0" borderId="26" xfId="0" applyFont="1" applyBorder="1" applyAlignment="1" applyProtection="1">
      <alignment horizontal="center" vertical="center"/>
    </xf>
    <xf numFmtId="0" fontId="48" fillId="0" borderId="22" xfId="0" applyFont="1" applyBorder="1" applyAlignment="1" applyProtection="1">
      <alignment horizontal="center" vertical="center"/>
    </xf>
    <xf numFmtId="0" fontId="34" fillId="27" borderId="10" xfId="0" applyFont="1" applyFill="1" applyBorder="1" applyAlignment="1" applyProtection="1">
      <alignment horizontal="center" vertical="center" wrapText="1"/>
    </xf>
    <xf numFmtId="0" fontId="49" fillId="27" borderId="11" xfId="0" applyFont="1" applyFill="1" applyBorder="1" applyAlignment="1" applyProtection="1">
      <alignment vertical="center"/>
    </xf>
    <xf numFmtId="0" fontId="49" fillId="27" borderId="13" xfId="0" applyFont="1" applyFill="1" applyBorder="1" applyAlignment="1" applyProtection="1">
      <alignment vertical="center"/>
    </xf>
    <xf numFmtId="0" fontId="34" fillId="27" borderId="10" xfId="0" quotePrefix="1" applyFont="1" applyFill="1" applyBorder="1" applyAlignment="1" applyProtection="1">
      <alignment horizontal="center" vertical="center" wrapText="1"/>
    </xf>
    <xf numFmtId="0" fontId="25" fillId="25" borderId="290" xfId="0" applyFont="1" applyFill="1" applyBorder="1" applyAlignment="1" applyProtection="1">
      <alignment horizontal="center" vertical="center" wrapText="1"/>
    </xf>
    <xf numFmtId="0" fontId="25" fillId="25" borderId="57" xfId="0" applyFont="1" applyFill="1" applyBorder="1" applyAlignment="1" applyProtection="1">
      <alignment horizontal="center" vertical="center" wrapText="1"/>
    </xf>
    <xf numFmtId="0" fontId="29" fillId="25" borderId="248" xfId="0" applyFont="1" applyFill="1" applyBorder="1" applyAlignment="1" applyProtection="1">
      <alignment horizontal="center" vertical="center" wrapText="1"/>
    </xf>
    <xf numFmtId="0" fontId="103" fillId="0" borderId="0" xfId="47823" applyFont="1" applyBorder="1" applyAlignment="1" applyProtection="1"/>
  </cellXfs>
  <cellStyles count="47824">
    <cellStyle name="20% - Accent1" xfId="1" builtinId="30" customBuiltin="1"/>
    <cellStyle name="20% - Accent1 2" xfId="254"/>
    <cellStyle name="20% - Accent1 3" xfId="658"/>
    <cellStyle name="20% - Accent1 4" xfId="15972"/>
    <cellStyle name="20% - Accent2" xfId="2" builtinId="34" customBuiltin="1"/>
    <cellStyle name="20% - Accent2 2" xfId="255"/>
    <cellStyle name="20% - Accent2 3" xfId="659"/>
    <cellStyle name="20% - Accent2 4" xfId="15973"/>
    <cellStyle name="20% - Accent3" xfId="3" builtinId="38" customBuiltin="1"/>
    <cellStyle name="20% - Accent3 2" xfId="256"/>
    <cellStyle name="20% - Accent3 3" xfId="660"/>
    <cellStyle name="20% - Accent3 4" xfId="15974"/>
    <cellStyle name="20% - Accent4" xfId="4" builtinId="42" customBuiltin="1"/>
    <cellStyle name="20% - Accent4 2" xfId="257"/>
    <cellStyle name="20% - Accent4 3" xfId="661"/>
    <cellStyle name="20% - Accent4 4" xfId="15975"/>
    <cellStyle name="20% - Accent5" xfId="5" builtinId="46" customBuiltin="1"/>
    <cellStyle name="20% - Accent5 2" xfId="258"/>
    <cellStyle name="20% - Accent5 3" xfId="662"/>
    <cellStyle name="20% - Accent5 4" xfId="15976"/>
    <cellStyle name="20% - Accent6" xfId="6" builtinId="50" customBuiltin="1"/>
    <cellStyle name="20% - Accent6 2" xfId="259"/>
    <cellStyle name="20% - Accent6 3" xfId="663"/>
    <cellStyle name="20% - Accent6 4" xfId="15977"/>
    <cellStyle name="40% - Accent1" xfId="7" builtinId="31" customBuiltin="1"/>
    <cellStyle name="40% - Accent1 2" xfId="260"/>
    <cellStyle name="40% - Accent1 3" xfId="664"/>
    <cellStyle name="40% - Accent1 4" xfId="15978"/>
    <cellStyle name="40% - Accent2" xfId="8" builtinId="35" customBuiltin="1"/>
    <cellStyle name="40% - Accent2 2" xfId="261"/>
    <cellStyle name="40% - Accent2 3" xfId="665"/>
    <cellStyle name="40% - Accent2 4" xfId="15979"/>
    <cellStyle name="40% - Accent3" xfId="9" builtinId="39" customBuiltin="1"/>
    <cellStyle name="40% - Accent3 2" xfId="262"/>
    <cellStyle name="40% - Accent3 3" xfId="666"/>
    <cellStyle name="40% - Accent3 4" xfId="15980"/>
    <cellStyle name="40% - Accent4" xfId="10" builtinId="43" customBuiltin="1"/>
    <cellStyle name="40% - Accent4 2" xfId="263"/>
    <cellStyle name="40% - Accent4 3" xfId="667"/>
    <cellStyle name="40% - Accent4 4" xfId="15981"/>
    <cellStyle name="40% - Accent5" xfId="11" builtinId="47" customBuiltin="1"/>
    <cellStyle name="40% - Accent5 2" xfId="264"/>
    <cellStyle name="40% - Accent5 3" xfId="668"/>
    <cellStyle name="40% - Accent5 4" xfId="15982"/>
    <cellStyle name="40% - Accent6" xfId="12" builtinId="51" customBuiltin="1"/>
    <cellStyle name="40% - Accent6 2" xfId="265"/>
    <cellStyle name="40% - Accent6 3" xfId="669"/>
    <cellStyle name="40% - Accent6 4" xfId="15983"/>
    <cellStyle name="60% - Accent1" xfId="13" builtinId="32" customBuiltin="1"/>
    <cellStyle name="60% - Accent1 2" xfId="266"/>
    <cellStyle name="60% - Accent1 3" xfId="670"/>
    <cellStyle name="60% - Accent1 4" xfId="15984"/>
    <cellStyle name="60% - Accent2" xfId="14" builtinId="36" customBuiltin="1"/>
    <cellStyle name="60% - Accent2 2" xfId="267"/>
    <cellStyle name="60% - Accent2 3" xfId="671"/>
    <cellStyle name="60% - Accent2 4" xfId="15985"/>
    <cellStyle name="60% - Accent3" xfId="15" builtinId="40" customBuiltin="1"/>
    <cellStyle name="60% - Accent3 2" xfId="268"/>
    <cellStyle name="60% - Accent3 3" xfId="672"/>
    <cellStyle name="60% - Accent3 4" xfId="15986"/>
    <cellStyle name="60% - Accent4" xfId="16" builtinId="44" customBuiltin="1"/>
    <cellStyle name="60% - Accent4 2" xfId="269"/>
    <cellStyle name="60% - Accent4 3" xfId="673"/>
    <cellStyle name="60% - Accent4 4" xfId="15987"/>
    <cellStyle name="60% - Accent5" xfId="17" builtinId="48" customBuiltin="1"/>
    <cellStyle name="60% - Accent5 2" xfId="270"/>
    <cellStyle name="60% - Accent5 3" xfId="674"/>
    <cellStyle name="60% - Accent5 4" xfId="15988"/>
    <cellStyle name="60% - Accent6" xfId="18" builtinId="52" customBuiltin="1"/>
    <cellStyle name="60% - Accent6 2" xfId="271"/>
    <cellStyle name="60% - Accent6 3" xfId="675"/>
    <cellStyle name="60% - Accent6 4" xfId="15989"/>
    <cellStyle name="Accent1" xfId="19" builtinId="29" customBuiltin="1"/>
    <cellStyle name="Accent1 2" xfId="272"/>
    <cellStyle name="Accent1 3" xfId="676"/>
    <cellStyle name="Accent1 4" xfId="15990"/>
    <cellStyle name="Accent2" xfId="20" builtinId="33" customBuiltin="1"/>
    <cellStyle name="Accent2 2" xfId="273"/>
    <cellStyle name="Accent2 3" xfId="677"/>
    <cellStyle name="Accent2 4" xfId="15991"/>
    <cellStyle name="Accent3" xfId="21" builtinId="37" customBuiltin="1"/>
    <cellStyle name="Accent3 2" xfId="274"/>
    <cellStyle name="Accent3 3" xfId="678"/>
    <cellStyle name="Accent3 4" xfId="15992"/>
    <cellStyle name="Accent4" xfId="22" builtinId="41" customBuiltin="1"/>
    <cellStyle name="Accent4 2" xfId="275"/>
    <cellStyle name="Accent4 3" xfId="679"/>
    <cellStyle name="Accent4 4" xfId="15993"/>
    <cellStyle name="Accent5" xfId="23" builtinId="45" customBuiltin="1"/>
    <cellStyle name="Accent5 2" xfId="276"/>
    <cellStyle name="Accent5 3" xfId="680"/>
    <cellStyle name="Accent5 4" xfId="15994"/>
    <cellStyle name="Accent6" xfId="24" builtinId="49" customBuiltin="1"/>
    <cellStyle name="Accent6 2" xfId="277"/>
    <cellStyle name="Accent6 3" xfId="681"/>
    <cellStyle name="Accent6 4" xfId="15995"/>
    <cellStyle name="Bad" xfId="25" builtinId="27" customBuiltin="1"/>
    <cellStyle name="Bad 2" xfId="278"/>
    <cellStyle name="Bad 3" xfId="682"/>
    <cellStyle name="Bad 4" xfId="15996"/>
    <cellStyle name="Calculation" xfId="26" builtinId="22" customBuiltin="1"/>
    <cellStyle name="Calculation 10" xfId="124"/>
    <cellStyle name="Calculation 10 10" xfId="26679"/>
    <cellStyle name="Calculation 10 2" xfId="517"/>
    <cellStyle name="Calculation 10 2 2" xfId="1494"/>
    <cellStyle name="Calculation 10 2 2 2" xfId="2764"/>
    <cellStyle name="Calculation 10 2 2 2 2" xfId="6325"/>
    <cellStyle name="Calculation 10 2 2 2 2 2" xfId="14519"/>
    <cellStyle name="Calculation 10 2 2 2 2 2 2" xfId="26491"/>
    <cellStyle name="Calculation 10 2 2 2 2 2 2 2" xfId="47677"/>
    <cellStyle name="Calculation 10 2 2 2 2 2 3" xfId="37073"/>
    <cellStyle name="Calculation 10 2 2 2 2 3" xfId="21378"/>
    <cellStyle name="Calculation 10 2 2 2 2 3 2" xfId="42565"/>
    <cellStyle name="Calculation 10 2 2 2 2 4" xfId="31981"/>
    <cellStyle name="Calculation 10 2 2 2 2_Table 2A-1_EFT (Annual)" xfId="14898"/>
    <cellStyle name="Calculation 10 2 2 2 3" xfId="11861"/>
    <cellStyle name="Calculation 10 2 2 2 3 2" xfId="23945"/>
    <cellStyle name="Calculation 10 2 2 2 3 2 2" xfId="45131"/>
    <cellStyle name="Calculation 10 2 2 2 3 3" xfId="34527"/>
    <cellStyle name="Calculation 10 2 2 2 4" xfId="18832"/>
    <cellStyle name="Calculation 10 2 2 2 4 2" xfId="40019"/>
    <cellStyle name="Calculation 10 2 2 2 5" xfId="29238"/>
    <cellStyle name="Calculation 10 2 2 2_Table 2A-1_EFT (Annual)" xfId="4261"/>
    <cellStyle name="Calculation 10 2 2 3" xfId="5055"/>
    <cellStyle name="Calculation 10 2 2 3 2" xfId="13315"/>
    <cellStyle name="Calculation 10 2 2 3 2 2" xfId="25321"/>
    <cellStyle name="Calculation 10 2 2 3 2 2 2" xfId="46507"/>
    <cellStyle name="Calculation 10 2 2 3 2 3" xfId="35903"/>
    <cellStyle name="Calculation 10 2 2 3 3" xfId="20208"/>
    <cellStyle name="Calculation 10 2 2 3 3 2" xfId="41395"/>
    <cellStyle name="Calculation 10 2 2 3 4" xfId="30712"/>
    <cellStyle name="Calculation 10 2 2 3_Table 2A-1_EFT (Annual)" xfId="14897"/>
    <cellStyle name="Calculation 10 2 2 4" xfId="10659"/>
    <cellStyle name="Calculation 10 2 2 4 2" xfId="22775"/>
    <cellStyle name="Calculation 10 2 2 4 2 2" xfId="43961"/>
    <cellStyle name="Calculation 10 2 2 4 3" xfId="33357"/>
    <cellStyle name="Calculation 10 2 2 5" xfId="17662"/>
    <cellStyle name="Calculation 10 2 2 5 2" xfId="38849"/>
    <cellStyle name="Calculation 10 2 2 6" xfId="27969"/>
    <cellStyle name="Calculation 10 2 2_Table 2A-1_EFT (Annual)" xfId="3644"/>
    <cellStyle name="Calculation 10 2 3" xfId="1027"/>
    <cellStyle name="Calculation 10 2 3 2" xfId="4588"/>
    <cellStyle name="Calculation 10 2 3 2 2" xfId="12848"/>
    <cellStyle name="Calculation 10 2 3 2 2 2" xfId="24854"/>
    <cellStyle name="Calculation 10 2 3 2 2 2 2" xfId="46040"/>
    <cellStyle name="Calculation 10 2 3 2 2 3" xfId="35436"/>
    <cellStyle name="Calculation 10 2 3 2 3" xfId="19741"/>
    <cellStyle name="Calculation 10 2 3 2 3 2" xfId="40928"/>
    <cellStyle name="Calculation 10 2 3 2 4" xfId="30245"/>
    <cellStyle name="Calculation 10 2 3 2_Table 2A-1_EFT (Annual)" xfId="14896"/>
    <cellStyle name="Calculation 10 2 3 3" xfId="10192"/>
    <cellStyle name="Calculation 10 2 3 3 2" xfId="22308"/>
    <cellStyle name="Calculation 10 2 3 3 2 2" xfId="43494"/>
    <cellStyle name="Calculation 10 2 3 3 3" xfId="32890"/>
    <cellStyle name="Calculation 10 2 3 4" xfId="17195"/>
    <cellStyle name="Calculation 10 2 3 4 2" xfId="38382"/>
    <cellStyle name="Calculation 10 2 3 5" xfId="27502"/>
    <cellStyle name="Calculation 10 2 3_Table 2A-1_EFT (Annual)" xfId="3866"/>
    <cellStyle name="Calculation 10 2 4" xfId="2233"/>
    <cellStyle name="Calculation 10 2 4 2" xfId="5794"/>
    <cellStyle name="Calculation 10 2 4 2 2" xfId="14009"/>
    <cellStyle name="Calculation 10 2 4 2 2 2" xfId="25997"/>
    <cellStyle name="Calculation 10 2 4 2 2 2 2" xfId="47183"/>
    <cellStyle name="Calculation 10 2 4 2 2 3" xfId="36579"/>
    <cellStyle name="Calculation 10 2 4 2 3" xfId="20884"/>
    <cellStyle name="Calculation 10 2 4 2 3 2" xfId="42071"/>
    <cellStyle name="Calculation 10 2 4 2 4" xfId="31451"/>
    <cellStyle name="Calculation 10 2 4 2_Table 2A-1_EFT (Annual)" xfId="14895"/>
    <cellStyle name="Calculation 10 2 4 3" xfId="11353"/>
    <cellStyle name="Calculation 10 2 4 3 2" xfId="23451"/>
    <cellStyle name="Calculation 10 2 4 3 2 2" xfId="44637"/>
    <cellStyle name="Calculation 10 2 4 3 3" xfId="34033"/>
    <cellStyle name="Calculation 10 2 4 4" xfId="18338"/>
    <cellStyle name="Calculation 10 2 4 4 2" xfId="39525"/>
    <cellStyle name="Calculation 10 2 4 5" xfId="28708"/>
    <cellStyle name="Calculation 10 2 4_Table 2A-1_EFT (Annual)" xfId="3643"/>
    <cellStyle name="Calculation 10 2 5" xfId="4087"/>
    <cellStyle name="Calculation 10 2 5 2" xfId="12411"/>
    <cellStyle name="Calculation 10 2 5 2 2" xfId="24433"/>
    <cellStyle name="Calculation 10 2 5 2 2 2" xfId="45619"/>
    <cellStyle name="Calculation 10 2 5 2 3" xfId="35015"/>
    <cellStyle name="Calculation 10 2 5 3" xfId="19320"/>
    <cellStyle name="Calculation 10 2 5 3 2" xfId="40507"/>
    <cellStyle name="Calculation 10 2 5 4" xfId="29775"/>
    <cellStyle name="Calculation 10 2 5_Table 2A-1_EFT (Annual)" xfId="14894"/>
    <cellStyle name="Calculation 10 2 6" xfId="9750"/>
    <cellStyle name="Calculation 10 2 6 2" xfId="21887"/>
    <cellStyle name="Calculation 10 2 6 2 2" xfId="43073"/>
    <cellStyle name="Calculation 10 2 6 3" xfId="32469"/>
    <cellStyle name="Calculation 10 2 7" xfId="16774"/>
    <cellStyle name="Calculation 10 2 7 2" xfId="37961"/>
    <cellStyle name="Calculation 10 2 8" xfId="27032"/>
    <cellStyle name="Calculation 10 2_Table 2A-1_EFT (Annual)" xfId="2892"/>
    <cellStyle name="Calculation 10 3" xfId="355"/>
    <cellStyle name="Calculation 10 3 2" xfId="1338"/>
    <cellStyle name="Calculation 10 3 2 2" xfId="2608"/>
    <cellStyle name="Calculation 10 3 2 2 2" xfId="6169"/>
    <cellStyle name="Calculation 10 3 2 2 2 2" xfId="14363"/>
    <cellStyle name="Calculation 10 3 2 2 2 2 2" xfId="26335"/>
    <cellStyle name="Calculation 10 3 2 2 2 2 2 2" xfId="47521"/>
    <cellStyle name="Calculation 10 3 2 2 2 2 3" xfId="36917"/>
    <cellStyle name="Calculation 10 3 2 2 2 3" xfId="21222"/>
    <cellStyle name="Calculation 10 3 2 2 2 3 2" xfId="42409"/>
    <cellStyle name="Calculation 10 3 2 2 2 4" xfId="31825"/>
    <cellStyle name="Calculation 10 3 2 2 2_Table 2A-1_EFT (Annual)" xfId="14893"/>
    <cellStyle name="Calculation 10 3 2 2 3" xfId="11705"/>
    <cellStyle name="Calculation 10 3 2 2 3 2" xfId="23789"/>
    <cellStyle name="Calculation 10 3 2 2 3 2 2" xfId="44975"/>
    <cellStyle name="Calculation 10 3 2 2 3 3" xfId="34371"/>
    <cellStyle name="Calculation 10 3 2 2 4" xfId="18676"/>
    <cellStyle name="Calculation 10 3 2 2 4 2" xfId="39863"/>
    <cellStyle name="Calculation 10 3 2 2 5" xfId="29082"/>
    <cellStyle name="Calculation 10 3 2 2_Table 2A-1_EFT (Annual)" xfId="3642"/>
    <cellStyle name="Calculation 10 3 2 3" xfId="4899"/>
    <cellStyle name="Calculation 10 3 2 3 2" xfId="13159"/>
    <cellStyle name="Calculation 10 3 2 3 2 2" xfId="25165"/>
    <cellStyle name="Calculation 10 3 2 3 2 2 2" xfId="46351"/>
    <cellStyle name="Calculation 10 3 2 3 2 3" xfId="35747"/>
    <cellStyle name="Calculation 10 3 2 3 3" xfId="20052"/>
    <cellStyle name="Calculation 10 3 2 3 3 2" xfId="41239"/>
    <cellStyle name="Calculation 10 3 2 3 4" xfId="30556"/>
    <cellStyle name="Calculation 10 3 2 3_Table 2A-1_EFT (Annual)" xfId="14892"/>
    <cellStyle name="Calculation 10 3 2 4" xfId="10503"/>
    <cellStyle name="Calculation 10 3 2 4 2" xfId="22619"/>
    <cellStyle name="Calculation 10 3 2 4 2 2" xfId="43805"/>
    <cellStyle name="Calculation 10 3 2 4 3" xfId="33201"/>
    <cellStyle name="Calculation 10 3 2 5" xfId="17506"/>
    <cellStyle name="Calculation 10 3 2 5 2" xfId="38693"/>
    <cellStyle name="Calculation 10 3 2 6" xfId="27813"/>
    <cellStyle name="Calculation 10 3 2_Table 2A-1_EFT (Annual)" xfId="3647"/>
    <cellStyle name="Calculation 10 3 3" xfId="895"/>
    <cellStyle name="Calculation 10 3 3 2" xfId="4456"/>
    <cellStyle name="Calculation 10 3 3 2 2" xfId="12718"/>
    <cellStyle name="Calculation 10 3 3 2 2 2" xfId="24728"/>
    <cellStyle name="Calculation 10 3 3 2 2 2 2" xfId="45914"/>
    <cellStyle name="Calculation 10 3 3 2 2 3" xfId="35310"/>
    <cellStyle name="Calculation 10 3 3 2 3" xfId="19615"/>
    <cellStyle name="Calculation 10 3 3 2 3 2" xfId="40802"/>
    <cellStyle name="Calculation 10 3 3 2 4" xfId="30113"/>
    <cellStyle name="Calculation 10 3 3 2_Table 2A-1_EFT (Annual)" xfId="14891"/>
    <cellStyle name="Calculation 10 3 3 3" xfId="10065"/>
    <cellStyle name="Calculation 10 3 3 3 2" xfId="22182"/>
    <cellStyle name="Calculation 10 3 3 3 2 2" xfId="43368"/>
    <cellStyle name="Calculation 10 3 3 3 3" xfId="32764"/>
    <cellStyle name="Calculation 10 3 3 4" xfId="17069"/>
    <cellStyle name="Calculation 10 3 3 4 2" xfId="38256"/>
    <cellStyle name="Calculation 10 3 3 5" xfId="27370"/>
    <cellStyle name="Calculation 10 3 3_Table 2A-1_EFT (Annual)" xfId="3641"/>
    <cellStyle name="Calculation 10 3 4" xfId="2077"/>
    <cellStyle name="Calculation 10 3 4 2" xfId="5638"/>
    <cellStyle name="Calculation 10 3 4 2 2" xfId="13853"/>
    <cellStyle name="Calculation 10 3 4 2 2 2" xfId="25841"/>
    <cellStyle name="Calculation 10 3 4 2 2 2 2" xfId="47027"/>
    <cellStyle name="Calculation 10 3 4 2 2 3" xfId="36423"/>
    <cellStyle name="Calculation 10 3 4 2 3" xfId="20728"/>
    <cellStyle name="Calculation 10 3 4 2 3 2" xfId="41915"/>
    <cellStyle name="Calculation 10 3 4 2 4" xfId="31295"/>
    <cellStyle name="Calculation 10 3 4 2_Table 2A-1_EFT (Annual)" xfId="14890"/>
    <cellStyle name="Calculation 10 3 4 3" xfId="11197"/>
    <cellStyle name="Calculation 10 3 4 3 2" xfId="23295"/>
    <cellStyle name="Calculation 10 3 4 3 2 2" xfId="44481"/>
    <cellStyle name="Calculation 10 3 4 3 3" xfId="33877"/>
    <cellStyle name="Calculation 10 3 4 4" xfId="18182"/>
    <cellStyle name="Calculation 10 3 4 4 2" xfId="39369"/>
    <cellStyle name="Calculation 10 3 4 5" xfId="28552"/>
    <cellStyle name="Calculation 10 3 4_Table 2A-1_EFT (Annual)" xfId="3640"/>
    <cellStyle name="Calculation 10 3 5" xfId="3925"/>
    <cellStyle name="Calculation 10 3 5 2" xfId="12253"/>
    <cellStyle name="Calculation 10 3 5 2 2" xfId="24277"/>
    <cellStyle name="Calculation 10 3 5 2 2 2" xfId="45463"/>
    <cellStyle name="Calculation 10 3 5 2 3" xfId="34859"/>
    <cellStyle name="Calculation 10 3 5 3" xfId="19164"/>
    <cellStyle name="Calculation 10 3 5 3 2" xfId="40351"/>
    <cellStyle name="Calculation 10 3 5 4" xfId="29613"/>
    <cellStyle name="Calculation 10 3 5_Table 2A-1_EFT (Annual)" xfId="14889"/>
    <cellStyle name="Calculation 10 3 6" xfId="9590"/>
    <cellStyle name="Calculation 10 3 6 2" xfId="21731"/>
    <cellStyle name="Calculation 10 3 6 2 2" xfId="42917"/>
    <cellStyle name="Calculation 10 3 6 3" xfId="32313"/>
    <cellStyle name="Calculation 10 3 7" xfId="16618"/>
    <cellStyle name="Calculation 10 3 7 2" xfId="37805"/>
    <cellStyle name="Calculation 10 3 8" xfId="26870"/>
    <cellStyle name="Calculation 10 3_Table 2A-1_EFT (Annual)" xfId="2893"/>
    <cellStyle name="Calculation 10 4" xfId="1172"/>
    <cellStyle name="Calculation 10 4 2" xfId="2442"/>
    <cellStyle name="Calculation 10 4 2 2" xfId="6003"/>
    <cellStyle name="Calculation 10 4 2 2 2" xfId="14197"/>
    <cellStyle name="Calculation 10 4 2 2 2 2" xfId="26169"/>
    <cellStyle name="Calculation 10 4 2 2 2 2 2" xfId="47355"/>
    <cellStyle name="Calculation 10 4 2 2 2 3" xfId="36751"/>
    <cellStyle name="Calculation 10 4 2 2 3" xfId="21056"/>
    <cellStyle name="Calculation 10 4 2 2 3 2" xfId="42243"/>
    <cellStyle name="Calculation 10 4 2 2 4" xfId="31659"/>
    <cellStyle name="Calculation 10 4 2 2_Table 2A-1_EFT (Annual)" xfId="14888"/>
    <cellStyle name="Calculation 10 4 2 3" xfId="11539"/>
    <cellStyle name="Calculation 10 4 2 3 2" xfId="23623"/>
    <cellStyle name="Calculation 10 4 2 3 2 2" xfId="44809"/>
    <cellStyle name="Calculation 10 4 2 3 3" xfId="34205"/>
    <cellStyle name="Calculation 10 4 2 4" xfId="18510"/>
    <cellStyle name="Calculation 10 4 2 4 2" xfId="39697"/>
    <cellStyle name="Calculation 10 4 2 5" xfId="28916"/>
    <cellStyle name="Calculation 10 4 2_Table 2A-1_EFT (Annual)" xfId="3655"/>
    <cellStyle name="Calculation 10 4 3" xfId="4733"/>
    <cellStyle name="Calculation 10 4 3 2" xfId="12993"/>
    <cellStyle name="Calculation 10 4 3 2 2" xfId="24999"/>
    <cellStyle name="Calculation 10 4 3 2 2 2" xfId="46185"/>
    <cellStyle name="Calculation 10 4 3 2 3" xfId="35581"/>
    <cellStyle name="Calculation 10 4 3 3" xfId="19886"/>
    <cellStyle name="Calculation 10 4 3 3 2" xfId="41073"/>
    <cellStyle name="Calculation 10 4 3 4" xfId="30390"/>
    <cellStyle name="Calculation 10 4 3_Table 2A-1_EFT (Annual)" xfId="14887"/>
    <cellStyle name="Calculation 10 4 4" xfId="10337"/>
    <cellStyle name="Calculation 10 4 4 2" xfId="22453"/>
    <cellStyle name="Calculation 10 4 4 2 2" xfId="43639"/>
    <cellStyle name="Calculation 10 4 4 3" xfId="33035"/>
    <cellStyle name="Calculation 10 4 5" xfId="17340"/>
    <cellStyle name="Calculation 10 4 5 2" xfId="38527"/>
    <cellStyle name="Calculation 10 4 6" xfId="27647"/>
    <cellStyle name="Calculation 10 4_Table 2A-1_EFT (Annual)" xfId="3661"/>
    <cellStyle name="Calculation 10 5" xfId="736"/>
    <cellStyle name="Calculation 10 5 2" xfId="4297"/>
    <cellStyle name="Calculation 10 5 2 2" xfId="12577"/>
    <cellStyle name="Calculation 10 5 2 2 2" xfId="24594"/>
    <cellStyle name="Calculation 10 5 2 2 2 2" xfId="45780"/>
    <cellStyle name="Calculation 10 5 2 2 3" xfId="35176"/>
    <cellStyle name="Calculation 10 5 2 3" xfId="19481"/>
    <cellStyle name="Calculation 10 5 2 3 2" xfId="40668"/>
    <cellStyle name="Calculation 10 5 2 4" xfId="29954"/>
    <cellStyle name="Calculation 10 5 2_Table 2A-1_EFT (Annual)" xfId="14886"/>
    <cellStyle name="Calculation 10 5 3" xfId="9925"/>
    <cellStyle name="Calculation 10 5 3 2" xfId="22048"/>
    <cellStyle name="Calculation 10 5 3 2 2" xfId="43234"/>
    <cellStyle name="Calculation 10 5 3 3" xfId="32630"/>
    <cellStyle name="Calculation 10 5 4" xfId="16935"/>
    <cellStyle name="Calculation 10 5 4 2" xfId="38122"/>
    <cellStyle name="Calculation 10 5 5" xfId="27211"/>
    <cellStyle name="Calculation 10 5_Table 2A-1_EFT (Annual)" xfId="3662"/>
    <cellStyle name="Calculation 10 6" xfId="1862"/>
    <cellStyle name="Calculation 10 6 2" xfId="5423"/>
    <cellStyle name="Calculation 10 6 2 2" xfId="13638"/>
    <cellStyle name="Calculation 10 6 2 2 2" xfId="25626"/>
    <cellStyle name="Calculation 10 6 2 2 2 2" xfId="46812"/>
    <cellStyle name="Calculation 10 6 2 2 3" xfId="36208"/>
    <cellStyle name="Calculation 10 6 2 3" xfId="20513"/>
    <cellStyle name="Calculation 10 6 2 3 2" xfId="41700"/>
    <cellStyle name="Calculation 10 6 2 4" xfId="31080"/>
    <cellStyle name="Calculation 10 6 2_Table 2A-1_EFT (Annual)" xfId="14885"/>
    <cellStyle name="Calculation 10 6 3" xfId="10982"/>
    <cellStyle name="Calculation 10 6 3 2" xfId="23080"/>
    <cellStyle name="Calculation 10 6 3 2 2" xfId="44266"/>
    <cellStyle name="Calculation 10 6 3 3" xfId="33662"/>
    <cellStyle name="Calculation 10 6 4" xfId="17967"/>
    <cellStyle name="Calculation 10 6 4 2" xfId="39154"/>
    <cellStyle name="Calculation 10 6 5" xfId="28337"/>
    <cellStyle name="Calculation 10 6_Table 2A-1_EFT (Annual)" xfId="3639"/>
    <cellStyle name="Calculation 10 7" xfId="3713"/>
    <cellStyle name="Calculation 10 7 2" xfId="12081"/>
    <cellStyle name="Calculation 10 7 2 2" xfId="24111"/>
    <cellStyle name="Calculation 10 7 2 2 2" xfId="45297"/>
    <cellStyle name="Calculation 10 7 2 3" xfId="34693"/>
    <cellStyle name="Calculation 10 7 3" xfId="18998"/>
    <cellStyle name="Calculation 10 7 3 2" xfId="40185"/>
    <cellStyle name="Calculation 10 7 4" xfId="29422"/>
    <cellStyle name="Calculation 10 7_Table 2A-1_EFT (Annual)" xfId="14884"/>
    <cellStyle name="Calculation 10 8" xfId="9400"/>
    <cellStyle name="Calculation 10 8 2" xfId="21565"/>
    <cellStyle name="Calculation 10 8 2 2" xfId="42751"/>
    <cellStyle name="Calculation 10 8 3" xfId="32147"/>
    <cellStyle name="Calculation 10 9" xfId="16452"/>
    <cellStyle name="Calculation 10 9 2" xfId="37639"/>
    <cellStyle name="Calculation 10_Table 2A-1_EFT (Annual)" xfId="2891"/>
    <cellStyle name="Calculation 11" xfId="142"/>
    <cellStyle name="Calculation 11 10" xfId="26697"/>
    <cellStyle name="Calculation 11 2" xfId="535"/>
    <cellStyle name="Calculation 11 2 2" xfId="1512"/>
    <cellStyle name="Calculation 11 2 2 2" xfId="2782"/>
    <cellStyle name="Calculation 11 2 2 2 2" xfId="6343"/>
    <cellStyle name="Calculation 11 2 2 2 2 2" xfId="14537"/>
    <cellStyle name="Calculation 11 2 2 2 2 2 2" xfId="26509"/>
    <cellStyle name="Calculation 11 2 2 2 2 2 2 2" xfId="47695"/>
    <cellStyle name="Calculation 11 2 2 2 2 2 3" xfId="37091"/>
    <cellStyle name="Calculation 11 2 2 2 2 3" xfId="21396"/>
    <cellStyle name="Calculation 11 2 2 2 2 3 2" xfId="42583"/>
    <cellStyle name="Calculation 11 2 2 2 2 4" xfId="31999"/>
    <cellStyle name="Calculation 11 2 2 2 2_Table 2A-1_EFT (Annual)" xfId="14883"/>
    <cellStyle name="Calculation 11 2 2 2 3" xfId="11879"/>
    <cellStyle name="Calculation 11 2 2 2 3 2" xfId="23963"/>
    <cellStyle name="Calculation 11 2 2 2 3 2 2" xfId="45149"/>
    <cellStyle name="Calculation 11 2 2 2 3 3" xfId="34545"/>
    <cellStyle name="Calculation 11 2 2 2 4" xfId="18850"/>
    <cellStyle name="Calculation 11 2 2 2 4 2" xfId="40037"/>
    <cellStyle name="Calculation 11 2 2 2 5" xfId="29256"/>
    <cellStyle name="Calculation 11 2 2 2_Table 2A-1_EFT (Annual)" xfId="6491"/>
    <cellStyle name="Calculation 11 2 2 3" xfId="5073"/>
    <cellStyle name="Calculation 11 2 2 3 2" xfId="13333"/>
    <cellStyle name="Calculation 11 2 2 3 2 2" xfId="25339"/>
    <cellStyle name="Calculation 11 2 2 3 2 2 2" xfId="46525"/>
    <cellStyle name="Calculation 11 2 2 3 2 3" xfId="35921"/>
    <cellStyle name="Calculation 11 2 2 3 3" xfId="20226"/>
    <cellStyle name="Calculation 11 2 2 3 3 2" xfId="41413"/>
    <cellStyle name="Calculation 11 2 2 3 4" xfId="30730"/>
    <cellStyle name="Calculation 11 2 2 3_Table 2A-1_EFT (Annual)" xfId="14882"/>
    <cellStyle name="Calculation 11 2 2 4" xfId="10677"/>
    <cellStyle name="Calculation 11 2 2 4 2" xfId="22793"/>
    <cellStyle name="Calculation 11 2 2 4 2 2" xfId="43979"/>
    <cellStyle name="Calculation 11 2 2 4 3" xfId="33375"/>
    <cellStyle name="Calculation 11 2 2 5" xfId="17680"/>
    <cellStyle name="Calculation 11 2 2 5 2" xfId="38867"/>
    <cellStyle name="Calculation 11 2 2 6" xfId="27987"/>
    <cellStyle name="Calculation 11 2 2_Table 2A-1_EFT (Annual)" xfId="6494"/>
    <cellStyle name="Calculation 11 2 3" xfId="1044"/>
    <cellStyle name="Calculation 11 2 3 2" xfId="4605"/>
    <cellStyle name="Calculation 11 2 3 2 2" xfId="12865"/>
    <cellStyle name="Calculation 11 2 3 2 2 2" xfId="24871"/>
    <cellStyle name="Calculation 11 2 3 2 2 2 2" xfId="46057"/>
    <cellStyle name="Calculation 11 2 3 2 2 3" xfId="35453"/>
    <cellStyle name="Calculation 11 2 3 2 3" xfId="19758"/>
    <cellStyle name="Calculation 11 2 3 2 3 2" xfId="40945"/>
    <cellStyle name="Calculation 11 2 3 2 4" xfId="30262"/>
    <cellStyle name="Calculation 11 2 3 2_Table 2A-1_EFT (Annual)" xfId="14881"/>
    <cellStyle name="Calculation 11 2 3 3" xfId="10209"/>
    <cellStyle name="Calculation 11 2 3 3 2" xfId="22325"/>
    <cellStyle name="Calculation 11 2 3 3 2 2" xfId="43511"/>
    <cellStyle name="Calculation 11 2 3 3 3" xfId="32907"/>
    <cellStyle name="Calculation 11 2 3 4" xfId="17212"/>
    <cellStyle name="Calculation 11 2 3 4 2" xfId="38399"/>
    <cellStyle name="Calculation 11 2 3 5" xfId="27519"/>
    <cellStyle name="Calculation 11 2 3_Table 2A-1_EFT (Annual)" xfId="6493"/>
    <cellStyle name="Calculation 11 2 4" xfId="2251"/>
    <cellStyle name="Calculation 11 2 4 2" xfId="5812"/>
    <cellStyle name="Calculation 11 2 4 2 2" xfId="14027"/>
    <cellStyle name="Calculation 11 2 4 2 2 2" xfId="26015"/>
    <cellStyle name="Calculation 11 2 4 2 2 2 2" xfId="47201"/>
    <cellStyle name="Calculation 11 2 4 2 2 3" xfId="36597"/>
    <cellStyle name="Calculation 11 2 4 2 3" xfId="20902"/>
    <cellStyle name="Calculation 11 2 4 2 3 2" xfId="42089"/>
    <cellStyle name="Calculation 11 2 4 2 4" xfId="31469"/>
    <cellStyle name="Calculation 11 2 4 2_Table 2A-1_EFT (Annual)" xfId="14880"/>
    <cellStyle name="Calculation 11 2 4 3" xfId="11371"/>
    <cellStyle name="Calculation 11 2 4 3 2" xfId="23469"/>
    <cellStyle name="Calculation 11 2 4 3 2 2" xfId="44655"/>
    <cellStyle name="Calculation 11 2 4 3 3" xfId="34051"/>
    <cellStyle name="Calculation 11 2 4 4" xfId="18356"/>
    <cellStyle name="Calculation 11 2 4 4 2" xfId="39543"/>
    <cellStyle name="Calculation 11 2 4 5" xfId="28726"/>
    <cellStyle name="Calculation 11 2 4_Table 2A-1_EFT (Annual)" xfId="6492"/>
    <cellStyle name="Calculation 11 2 5" xfId="4105"/>
    <cellStyle name="Calculation 11 2 5 2" xfId="12429"/>
    <cellStyle name="Calculation 11 2 5 2 2" xfId="24451"/>
    <cellStyle name="Calculation 11 2 5 2 2 2" xfId="45637"/>
    <cellStyle name="Calculation 11 2 5 2 3" xfId="35033"/>
    <cellStyle name="Calculation 11 2 5 3" xfId="19338"/>
    <cellStyle name="Calculation 11 2 5 3 2" xfId="40525"/>
    <cellStyle name="Calculation 11 2 5 4" xfId="29793"/>
    <cellStyle name="Calculation 11 2 5_Table 2A-1_EFT (Annual)" xfId="14879"/>
    <cellStyle name="Calculation 11 2 6" xfId="9768"/>
    <cellStyle name="Calculation 11 2 6 2" xfId="21905"/>
    <cellStyle name="Calculation 11 2 6 2 2" xfId="43091"/>
    <cellStyle name="Calculation 11 2 6 3" xfId="32487"/>
    <cellStyle name="Calculation 11 2 7" xfId="16792"/>
    <cellStyle name="Calculation 11 2 7 2" xfId="37979"/>
    <cellStyle name="Calculation 11 2 8" xfId="27050"/>
    <cellStyle name="Calculation 11 2_Table 2A-1_EFT (Annual)" xfId="2895"/>
    <cellStyle name="Calculation 11 3" xfId="373"/>
    <cellStyle name="Calculation 11 3 2" xfId="1356"/>
    <cellStyle name="Calculation 11 3 2 2" xfId="2626"/>
    <cellStyle name="Calculation 11 3 2 2 2" xfId="6187"/>
    <cellStyle name="Calculation 11 3 2 2 2 2" xfId="14381"/>
    <cellStyle name="Calculation 11 3 2 2 2 2 2" xfId="26353"/>
    <cellStyle name="Calculation 11 3 2 2 2 2 2 2" xfId="47539"/>
    <cellStyle name="Calculation 11 3 2 2 2 2 3" xfId="36935"/>
    <cellStyle name="Calculation 11 3 2 2 2 3" xfId="21240"/>
    <cellStyle name="Calculation 11 3 2 2 2 3 2" xfId="42427"/>
    <cellStyle name="Calculation 11 3 2 2 2 4" xfId="31843"/>
    <cellStyle name="Calculation 11 3 2 2 2_Table 2A-1_EFT (Annual)" xfId="14878"/>
    <cellStyle name="Calculation 11 3 2 2 3" xfId="11723"/>
    <cellStyle name="Calculation 11 3 2 2 3 2" xfId="23807"/>
    <cellStyle name="Calculation 11 3 2 2 3 2 2" xfId="44993"/>
    <cellStyle name="Calculation 11 3 2 2 3 3" xfId="34389"/>
    <cellStyle name="Calculation 11 3 2 2 4" xfId="18694"/>
    <cellStyle name="Calculation 11 3 2 2 4 2" xfId="39881"/>
    <cellStyle name="Calculation 11 3 2 2 5" xfId="29100"/>
    <cellStyle name="Calculation 11 3 2 2_Table 2A-1_EFT (Annual)" xfId="6490"/>
    <cellStyle name="Calculation 11 3 2 3" xfId="4917"/>
    <cellStyle name="Calculation 11 3 2 3 2" xfId="13177"/>
    <cellStyle name="Calculation 11 3 2 3 2 2" xfId="25183"/>
    <cellStyle name="Calculation 11 3 2 3 2 2 2" xfId="46369"/>
    <cellStyle name="Calculation 11 3 2 3 2 3" xfId="35765"/>
    <cellStyle name="Calculation 11 3 2 3 3" xfId="20070"/>
    <cellStyle name="Calculation 11 3 2 3 3 2" xfId="41257"/>
    <cellStyle name="Calculation 11 3 2 3 4" xfId="30574"/>
    <cellStyle name="Calculation 11 3 2 3_Table 2A-1_EFT (Annual)" xfId="14877"/>
    <cellStyle name="Calculation 11 3 2 4" xfId="10521"/>
    <cellStyle name="Calculation 11 3 2 4 2" xfId="22637"/>
    <cellStyle name="Calculation 11 3 2 4 2 2" xfId="43823"/>
    <cellStyle name="Calculation 11 3 2 4 3" xfId="33219"/>
    <cellStyle name="Calculation 11 3 2 5" xfId="17524"/>
    <cellStyle name="Calculation 11 3 2 5 2" xfId="38711"/>
    <cellStyle name="Calculation 11 3 2 6" xfId="27831"/>
    <cellStyle name="Calculation 11 3 2_Table 2A-1_EFT (Annual)" xfId="6484"/>
    <cellStyle name="Calculation 11 3 3" xfId="912"/>
    <cellStyle name="Calculation 11 3 3 2" xfId="4473"/>
    <cellStyle name="Calculation 11 3 3 2 2" xfId="12735"/>
    <cellStyle name="Calculation 11 3 3 2 2 2" xfId="24745"/>
    <cellStyle name="Calculation 11 3 3 2 2 2 2" xfId="45931"/>
    <cellStyle name="Calculation 11 3 3 2 2 3" xfId="35327"/>
    <cellStyle name="Calculation 11 3 3 2 3" xfId="19632"/>
    <cellStyle name="Calculation 11 3 3 2 3 2" xfId="40819"/>
    <cellStyle name="Calculation 11 3 3 2 4" xfId="30130"/>
    <cellStyle name="Calculation 11 3 3 2_Table 2A-1_EFT (Annual)" xfId="14876"/>
    <cellStyle name="Calculation 11 3 3 3" xfId="10082"/>
    <cellStyle name="Calculation 11 3 3 3 2" xfId="22199"/>
    <cellStyle name="Calculation 11 3 3 3 2 2" xfId="43385"/>
    <cellStyle name="Calculation 11 3 3 3 3" xfId="32781"/>
    <cellStyle name="Calculation 11 3 3 4" xfId="17086"/>
    <cellStyle name="Calculation 11 3 3 4 2" xfId="38273"/>
    <cellStyle name="Calculation 11 3 3 5" xfId="27387"/>
    <cellStyle name="Calculation 11 3 3_Table 2A-1_EFT (Annual)" xfId="6488"/>
    <cellStyle name="Calculation 11 3 4" xfId="2095"/>
    <cellStyle name="Calculation 11 3 4 2" xfId="5656"/>
    <cellStyle name="Calculation 11 3 4 2 2" xfId="13871"/>
    <cellStyle name="Calculation 11 3 4 2 2 2" xfId="25859"/>
    <cellStyle name="Calculation 11 3 4 2 2 2 2" xfId="47045"/>
    <cellStyle name="Calculation 11 3 4 2 2 3" xfId="36441"/>
    <cellStyle name="Calculation 11 3 4 2 3" xfId="20746"/>
    <cellStyle name="Calculation 11 3 4 2 3 2" xfId="41933"/>
    <cellStyle name="Calculation 11 3 4 2 4" xfId="31313"/>
    <cellStyle name="Calculation 11 3 4 2_Table 2A-1_EFT (Annual)" xfId="14875"/>
    <cellStyle name="Calculation 11 3 4 3" xfId="11215"/>
    <cellStyle name="Calculation 11 3 4 3 2" xfId="23313"/>
    <cellStyle name="Calculation 11 3 4 3 2 2" xfId="44499"/>
    <cellStyle name="Calculation 11 3 4 3 3" xfId="33895"/>
    <cellStyle name="Calculation 11 3 4 4" xfId="18200"/>
    <cellStyle name="Calculation 11 3 4 4 2" xfId="39387"/>
    <cellStyle name="Calculation 11 3 4 5" xfId="28570"/>
    <cellStyle name="Calculation 11 3 4_Table 2A-1_EFT (Annual)" xfId="6489"/>
    <cellStyle name="Calculation 11 3 5" xfId="3943"/>
    <cellStyle name="Calculation 11 3 5 2" xfId="12271"/>
    <cellStyle name="Calculation 11 3 5 2 2" xfId="24295"/>
    <cellStyle name="Calculation 11 3 5 2 2 2" xfId="45481"/>
    <cellStyle name="Calculation 11 3 5 2 3" xfId="34877"/>
    <cellStyle name="Calculation 11 3 5 3" xfId="19182"/>
    <cellStyle name="Calculation 11 3 5 3 2" xfId="40369"/>
    <cellStyle name="Calculation 11 3 5 4" xfId="29631"/>
    <cellStyle name="Calculation 11 3 5_Table 2A-1_EFT (Annual)" xfId="14874"/>
    <cellStyle name="Calculation 11 3 6" xfId="9608"/>
    <cellStyle name="Calculation 11 3 6 2" xfId="21749"/>
    <cellStyle name="Calculation 11 3 6 2 2" xfId="42935"/>
    <cellStyle name="Calculation 11 3 6 3" xfId="32331"/>
    <cellStyle name="Calculation 11 3 7" xfId="16636"/>
    <cellStyle name="Calculation 11 3 7 2" xfId="37823"/>
    <cellStyle name="Calculation 11 3 8" xfId="26888"/>
    <cellStyle name="Calculation 11 3_Table 2A-1_EFT (Annual)" xfId="2896"/>
    <cellStyle name="Calculation 11 4" xfId="1190"/>
    <cellStyle name="Calculation 11 4 2" xfId="2460"/>
    <cellStyle name="Calculation 11 4 2 2" xfId="6021"/>
    <cellStyle name="Calculation 11 4 2 2 2" xfId="14215"/>
    <cellStyle name="Calculation 11 4 2 2 2 2" xfId="26187"/>
    <cellStyle name="Calculation 11 4 2 2 2 2 2" xfId="47373"/>
    <cellStyle name="Calculation 11 4 2 2 2 3" xfId="36769"/>
    <cellStyle name="Calculation 11 4 2 2 3" xfId="21074"/>
    <cellStyle name="Calculation 11 4 2 2 3 2" xfId="42261"/>
    <cellStyle name="Calculation 11 4 2 2 4" xfId="31677"/>
    <cellStyle name="Calculation 11 4 2 2_Table 2A-1_EFT (Annual)" xfId="14873"/>
    <cellStyle name="Calculation 11 4 2 3" xfId="11557"/>
    <cellStyle name="Calculation 11 4 2 3 2" xfId="23641"/>
    <cellStyle name="Calculation 11 4 2 3 2 2" xfId="44827"/>
    <cellStyle name="Calculation 11 4 2 3 3" xfId="34223"/>
    <cellStyle name="Calculation 11 4 2 4" xfId="18528"/>
    <cellStyle name="Calculation 11 4 2 4 2" xfId="39715"/>
    <cellStyle name="Calculation 11 4 2 5" xfId="28934"/>
    <cellStyle name="Calculation 11 4 2_Table 2A-1_EFT (Annual)" xfId="6485"/>
    <cellStyle name="Calculation 11 4 3" xfId="4751"/>
    <cellStyle name="Calculation 11 4 3 2" xfId="13011"/>
    <cellStyle name="Calculation 11 4 3 2 2" xfId="25017"/>
    <cellStyle name="Calculation 11 4 3 2 2 2" xfId="46203"/>
    <cellStyle name="Calculation 11 4 3 2 3" xfId="35599"/>
    <cellStyle name="Calculation 11 4 3 3" xfId="19904"/>
    <cellStyle name="Calculation 11 4 3 3 2" xfId="41091"/>
    <cellStyle name="Calculation 11 4 3 4" xfId="30408"/>
    <cellStyle name="Calculation 11 4 3_Table 2A-1_EFT (Annual)" xfId="14872"/>
    <cellStyle name="Calculation 11 4 4" xfId="10355"/>
    <cellStyle name="Calculation 11 4 4 2" xfId="22471"/>
    <cellStyle name="Calculation 11 4 4 2 2" xfId="43657"/>
    <cellStyle name="Calculation 11 4 4 3" xfId="33053"/>
    <cellStyle name="Calculation 11 4 5" xfId="17358"/>
    <cellStyle name="Calculation 11 4 5 2" xfId="38545"/>
    <cellStyle name="Calculation 11 4 6" xfId="27665"/>
    <cellStyle name="Calculation 11 4_Table 2A-1_EFT (Annual)" xfId="6487"/>
    <cellStyle name="Calculation 11 5" xfId="753"/>
    <cellStyle name="Calculation 11 5 2" xfId="4314"/>
    <cellStyle name="Calculation 11 5 2 2" xfId="12594"/>
    <cellStyle name="Calculation 11 5 2 2 2" xfId="24611"/>
    <cellStyle name="Calculation 11 5 2 2 2 2" xfId="45797"/>
    <cellStyle name="Calculation 11 5 2 2 3" xfId="35193"/>
    <cellStyle name="Calculation 11 5 2 3" xfId="19498"/>
    <cellStyle name="Calculation 11 5 2 3 2" xfId="40685"/>
    <cellStyle name="Calculation 11 5 2 4" xfId="29971"/>
    <cellStyle name="Calculation 11 5 2_Table 2A-1_EFT (Annual)" xfId="14871"/>
    <cellStyle name="Calculation 11 5 3" xfId="9942"/>
    <cellStyle name="Calculation 11 5 3 2" xfId="22065"/>
    <cellStyle name="Calculation 11 5 3 2 2" xfId="43251"/>
    <cellStyle name="Calculation 11 5 3 3" xfId="32647"/>
    <cellStyle name="Calculation 11 5 4" xfId="16952"/>
    <cellStyle name="Calculation 11 5 4 2" xfId="38139"/>
    <cellStyle name="Calculation 11 5 5" xfId="27228"/>
    <cellStyle name="Calculation 11 5_Table 2A-1_EFT (Annual)" xfId="6486"/>
    <cellStyle name="Calculation 11 6" xfId="1853"/>
    <cellStyle name="Calculation 11 6 2" xfId="5414"/>
    <cellStyle name="Calculation 11 6 2 2" xfId="13629"/>
    <cellStyle name="Calculation 11 6 2 2 2" xfId="25617"/>
    <cellStyle name="Calculation 11 6 2 2 2 2" xfId="46803"/>
    <cellStyle name="Calculation 11 6 2 2 3" xfId="36199"/>
    <cellStyle name="Calculation 11 6 2 3" xfId="20504"/>
    <cellStyle name="Calculation 11 6 2 3 2" xfId="41691"/>
    <cellStyle name="Calculation 11 6 2 4" xfId="31071"/>
    <cellStyle name="Calculation 11 6 2_Table 2A-1_EFT (Annual)" xfId="14870"/>
    <cellStyle name="Calculation 11 6 3" xfId="10973"/>
    <cellStyle name="Calculation 11 6 3 2" xfId="23071"/>
    <cellStyle name="Calculation 11 6 3 2 2" xfId="44257"/>
    <cellStyle name="Calculation 11 6 3 3" xfId="33653"/>
    <cellStyle name="Calculation 11 6 4" xfId="17958"/>
    <cellStyle name="Calculation 11 6 4 2" xfId="39145"/>
    <cellStyle name="Calculation 11 6 5" xfId="28328"/>
    <cellStyle name="Calculation 11 6_Table 2A-1_EFT (Annual)" xfId="6479"/>
    <cellStyle name="Calculation 11 7" xfId="3731"/>
    <cellStyle name="Calculation 11 7 2" xfId="12099"/>
    <cellStyle name="Calculation 11 7 2 2" xfId="24129"/>
    <cellStyle name="Calculation 11 7 2 2 2" xfId="45315"/>
    <cellStyle name="Calculation 11 7 2 3" xfId="34711"/>
    <cellStyle name="Calculation 11 7 3" xfId="19016"/>
    <cellStyle name="Calculation 11 7 3 2" xfId="40203"/>
    <cellStyle name="Calculation 11 7 4" xfId="29440"/>
    <cellStyle name="Calculation 11 7_Table 2A-1_EFT (Annual)" xfId="14869"/>
    <cellStyle name="Calculation 11 8" xfId="9418"/>
    <cellStyle name="Calculation 11 8 2" xfId="21583"/>
    <cellStyle name="Calculation 11 8 2 2" xfId="42769"/>
    <cellStyle name="Calculation 11 8 3" xfId="32165"/>
    <cellStyle name="Calculation 11 9" xfId="16470"/>
    <cellStyle name="Calculation 11 9 2" xfId="37657"/>
    <cellStyle name="Calculation 11_Table 2A-1_EFT (Annual)" xfId="2894"/>
    <cellStyle name="Calculation 12" xfId="118"/>
    <cellStyle name="Calculation 12 10" xfId="26673"/>
    <cellStyle name="Calculation 12 2" xfId="511"/>
    <cellStyle name="Calculation 12 2 2" xfId="1488"/>
    <cellStyle name="Calculation 12 2 2 2" xfId="2758"/>
    <cellStyle name="Calculation 12 2 2 2 2" xfId="6319"/>
    <cellStyle name="Calculation 12 2 2 2 2 2" xfId="14513"/>
    <cellStyle name="Calculation 12 2 2 2 2 2 2" xfId="26485"/>
    <cellStyle name="Calculation 12 2 2 2 2 2 2 2" xfId="47671"/>
    <cellStyle name="Calculation 12 2 2 2 2 2 3" xfId="37067"/>
    <cellStyle name="Calculation 12 2 2 2 2 3" xfId="21372"/>
    <cellStyle name="Calculation 12 2 2 2 2 3 2" xfId="42559"/>
    <cellStyle name="Calculation 12 2 2 2 2 4" xfId="31975"/>
    <cellStyle name="Calculation 12 2 2 2 2_Table 2A-1_EFT (Annual)" xfId="14868"/>
    <cellStyle name="Calculation 12 2 2 2 3" xfId="11855"/>
    <cellStyle name="Calculation 12 2 2 2 3 2" xfId="23939"/>
    <cellStyle name="Calculation 12 2 2 2 3 2 2" xfId="45125"/>
    <cellStyle name="Calculation 12 2 2 2 3 3" xfId="34521"/>
    <cellStyle name="Calculation 12 2 2 2 4" xfId="18826"/>
    <cellStyle name="Calculation 12 2 2 2 4 2" xfId="40013"/>
    <cellStyle name="Calculation 12 2 2 2 5" xfId="29232"/>
    <cellStyle name="Calculation 12 2 2 2_Table 2A-1_EFT (Annual)" xfId="6483"/>
    <cellStyle name="Calculation 12 2 2 3" xfId="5049"/>
    <cellStyle name="Calculation 12 2 2 3 2" xfId="13309"/>
    <cellStyle name="Calculation 12 2 2 3 2 2" xfId="25315"/>
    <cellStyle name="Calculation 12 2 2 3 2 2 2" xfId="46501"/>
    <cellStyle name="Calculation 12 2 2 3 2 3" xfId="35897"/>
    <cellStyle name="Calculation 12 2 2 3 3" xfId="20202"/>
    <cellStyle name="Calculation 12 2 2 3 3 2" xfId="41389"/>
    <cellStyle name="Calculation 12 2 2 3 4" xfId="30706"/>
    <cellStyle name="Calculation 12 2 2 3_Table 2A-1_EFT (Annual)" xfId="14867"/>
    <cellStyle name="Calculation 12 2 2 4" xfId="10653"/>
    <cellStyle name="Calculation 12 2 2 4 2" xfId="22769"/>
    <cellStyle name="Calculation 12 2 2 4 2 2" xfId="43955"/>
    <cellStyle name="Calculation 12 2 2 4 3" xfId="33351"/>
    <cellStyle name="Calculation 12 2 2 5" xfId="17656"/>
    <cellStyle name="Calculation 12 2 2 5 2" xfId="38843"/>
    <cellStyle name="Calculation 12 2 2 6" xfId="27963"/>
    <cellStyle name="Calculation 12 2 2_Table 2A-1_EFT (Annual)" xfId="6480"/>
    <cellStyle name="Calculation 12 2 3" xfId="1022"/>
    <cellStyle name="Calculation 12 2 3 2" xfId="4583"/>
    <cellStyle name="Calculation 12 2 3 2 2" xfId="12843"/>
    <cellStyle name="Calculation 12 2 3 2 2 2" xfId="24849"/>
    <cellStyle name="Calculation 12 2 3 2 2 2 2" xfId="46035"/>
    <cellStyle name="Calculation 12 2 3 2 2 3" xfId="35431"/>
    <cellStyle name="Calculation 12 2 3 2 3" xfId="19736"/>
    <cellStyle name="Calculation 12 2 3 2 3 2" xfId="40923"/>
    <cellStyle name="Calculation 12 2 3 2 4" xfId="30240"/>
    <cellStyle name="Calculation 12 2 3 2_Table 2A-1_EFT (Annual)" xfId="14866"/>
    <cellStyle name="Calculation 12 2 3 3" xfId="10187"/>
    <cellStyle name="Calculation 12 2 3 3 2" xfId="22303"/>
    <cellStyle name="Calculation 12 2 3 3 2 2" xfId="43489"/>
    <cellStyle name="Calculation 12 2 3 3 3" xfId="32885"/>
    <cellStyle name="Calculation 12 2 3 4" xfId="17190"/>
    <cellStyle name="Calculation 12 2 3 4 2" xfId="38377"/>
    <cellStyle name="Calculation 12 2 3 5" xfId="27497"/>
    <cellStyle name="Calculation 12 2 3_Table 2A-1_EFT (Annual)" xfId="6481"/>
    <cellStyle name="Calculation 12 2 4" xfId="2227"/>
    <cellStyle name="Calculation 12 2 4 2" xfId="5788"/>
    <cellStyle name="Calculation 12 2 4 2 2" xfId="14003"/>
    <cellStyle name="Calculation 12 2 4 2 2 2" xfId="25991"/>
    <cellStyle name="Calculation 12 2 4 2 2 2 2" xfId="47177"/>
    <cellStyle name="Calculation 12 2 4 2 2 3" xfId="36573"/>
    <cellStyle name="Calculation 12 2 4 2 3" xfId="20878"/>
    <cellStyle name="Calculation 12 2 4 2 3 2" xfId="42065"/>
    <cellStyle name="Calculation 12 2 4 2 4" xfId="31445"/>
    <cellStyle name="Calculation 12 2 4 2_Table 2A-1_EFT (Annual)" xfId="14865"/>
    <cellStyle name="Calculation 12 2 4 3" xfId="11347"/>
    <cellStyle name="Calculation 12 2 4 3 2" xfId="23445"/>
    <cellStyle name="Calculation 12 2 4 3 2 2" xfId="44631"/>
    <cellStyle name="Calculation 12 2 4 3 3" xfId="34027"/>
    <cellStyle name="Calculation 12 2 4 4" xfId="18332"/>
    <cellStyle name="Calculation 12 2 4 4 2" xfId="39519"/>
    <cellStyle name="Calculation 12 2 4 5" xfId="28702"/>
    <cellStyle name="Calculation 12 2 4_Table 2A-1_EFT (Annual)" xfId="6482"/>
    <cellStyle name="Calculation 12 2 5" xfId="4081"/>
    <cellStyle name="Calculation 12 2 5 2" xfId="12405"/>
    <cellStyle name="Calculation 12 2 5 2 2" xfId="24427"/>
    <cellStyle name="Calculation 12 2 5 2 2 2" xfId="45613"/>
    <cellStyle name="Calculation 12 2 5 2 3" xfId="35009"/>
    <cellStyle name="Calculation 12 2 5 3" xfId="19314"/>
    <cellStyle name="Calculation 12 2 5 3 2" xfId="40501"/>
    <cellStyle name="Calculation 12 2 5 4" xfId="29769"/>
    <cellStyle name="Calculation 12 2 5_Table 2A-1_EFT (Annual)" xfId="14864"/>
    <cellStyle name="Calculation 12 2 6" xfId="9744"/>
    <cellStyle name="Calculation 12 2 6 2" xfId="21881"/>
    <cellStyle name="Calculation 12 2 6 2 2" xfId="43067"/>
    <cellStyle name="Calculation 12 2 6 3" xfId="32463"/>
    <cellStyle name="Calculation 12 2 7" xfId="16768"/>
    <cellStyle name="Calculation 12 2 7 2" xfId="37955"/>
    <cellStyle name="Calculation 12 2 8" xfId="27026"/>
    <cellStyle name="Calculation 12 2_Table 2A-1_EFT (Annual)" xfId="2898"/>
    <cellStyle name="Calculation 12 3" xfId="349"/>
    <cellStyle name="Calculation 12 3 2" xfId="1332"/>
    <cellStyle name="Calculation 12 3 2 2" xfId="2602"/>
    <cellStyle name="Calculation 12 3 2 2 2" xfId="6163"/>
    <cellStyle name="Calculation 12 3 2 2 2 2" xfId="14357"/>
    <cellStyle name="Calculation 12 3 2 2 2 2 2" xfId="26329"/>
    <cellStyle name="Calculation 12 3 2 2 2 2 2 2" xfId="47515"/>
    <cellStyle name="Calculation 12 3 2 2 2 2 3" xfId="36911"/>
    <cellStyle name="Calculation 12 3 2 2 2 3" xfId="21216"/>
    <cellStyle name="Calculation 12 3 2 2 2 3 2" xfId="42403"/>
    <cellStyle name="Calculation 12 3 2 2 2 4" xfId="31819"/>
    <cellStyle name="Calculation 12 3 2 2 2_Table 2A-1_EFT (Annual)" xfId="14863"/>
    <cellStyle name="Calculation 12 3 2 2 3" xfId="11699"/>
    <cellStyle name="Calculation 12 3 2 2 3 2" xfId="23783"/>
    <cellStyle name="Calculation 12 3 2 2 3 2 2" xfId="44969"/>
    <cellStyle name="Calculation 12 3 2 2 3 3" xfId="34365"/>
    <cellStyle name="Calculation 12 3 2 2 4" xfId="18670"/>
    <cellStyle name="Calculation 12 3 2 2 4 2" xfId="39857"/>
    <cellStyle name="Calculation 12 3 2 2 5" xfId="29076"/>
    <cellStyle name="Calculation 12 3 2 2_Table 2A-1_EFT (Annual)" xfId="6478"/>
    <cellStyle name="Calculation 12 3 2 3" xfId="4893"/>
    <cellStyle name="Calculation 12 3 2 3 2" xfId="13153"/>
    <cellStyle name="Calculation 12 3 2 3 2 2" xfId="25159"/>
    <cellStyle name="Calculation 12 3 2 3 2 2 2" xfId="46345"/>
    <cellStyle name="Calculation 12 3 2 3 2 3" xfId="35741"/>
    <cellStyle name="Calculation 12 3 2 3 3" xfId="20046"/>
    <cellStyle name="Calculation 12 3 2 3 3 2" xfId="41233"/>
    <cellStyle name="Calculation 12 3 2 3 4" xfId="30550"/>
    <cellStyle name="Calculation 12 3 2 3_Table 2A-1_EFT (Annual)" xfId="14862"/>
    <cellStyle name="Calculation 12 3 2 4" xfId="10497"/>
    <cellStyle name="Calculation 12 3 2 4 2" xfId="22613"/>
    <cellStyle name="Calculation 12 3 2 4 2 2" xfId="43799"/>
    <cellStyle name="Calculation 12 3 2 4 3" xfId="33195"/>
    <cellStyle name="Calculation 12 3 2 5" xfId="17500"/>
    <cellStyle name="Calculation 12 3 2 5 2" xfId="38687"/>
    <cellStyle name="Calculation 12 3 2 6" xfId="27807"/>
    <cellStyle name="Calculation 12 3 2_Table 2A-1_EFT (Annual)" xfId="6477"/>
    <cellStyle name="Calculation 12 3 3" xfId="890"/>
    <cellStyle name="Calculation 12 3 3 2" xfId="4451"/>
    <cellStyle name="Calculation 12 3 3 2 2" xfId="12713"/>
    <cellStyle name="Calculation 12 3 3 2 2 2" xfId="24723"/>
    <cellStyle name="Calculation 12 3 3 2 2 2 2" xfId="45909"/>
    <cellStyle name="Calculation 12 3 3 2 2 3" xfId="35305"/>
    <cellStyle name="Calculation 12 3 3 2 3" xfId="19610"/>
    <cellStyle name="Calculation 12 3 3 2 3 2" xfId="40797"/>
    <cellStyle name="Calculation 12 3 3 2 4" xfId="30108"/>
    <cellStyle name="Calculation 12 3 3 2_Table 2A-1_EFT (Annual)" xfId="14861"/>
    <cellStyle name="Calculation 12 3 3 3" xfId="10060"/>
    <cellStyle name="Calculation 12 3 3 3 2" xfId="22177"/>
    <cellStyle name="Calculation 12 3 3 3 2 2" xfId="43363"/>
    <cellStyle name="Calculation 12 3 3 3 3" xfId="32759"/>
    <cellStyle name="Calculation 12 3 3 4" xfId="17064"/>
    <cellStyle name="Calculation 12 3 3 4 2" xfId="38251"/>
    <cellStyle name="Calculation 12 3 3 5" xfId="27365"/>
    <cellStyle name="Calculation 12 3 3_Table 2A-1_EFT (Annual)" xfId="6474"/>
    <cellStyle name="Calculation 12 3 4" xfId="2071"/>
    <cellStyle name="Calculation 12 3 4 2" xfId="5632"/>
    <cellStyle name="Calculation 12 3 4 2 2" xfId="13847"/>
    <cellStyle name="Calculation 12 3 4 2 2 2" xfId="25835"/>
    <cellStyle name="Calculation 12 3 4 2 2 2 2" xfId="47021"/>
    <cellStyle name="Calculation 12 3 4 2 2 3" xfId="36417"/>
    <cellStyle name="Calculation 12 3 4 2 3" xfId="20722"/>
    <cellStyle name="Calculation 12 3 4 2 3 2" xfId="41909"/>
    <cellStyle name="Calculation 12 3 4 2 4" xfId="31289"/>
    <cellStyle name="Calculation 12 3 4 2_Table 2A-1_EFT (Annual)" xfId="14860"/>
    <cellStyle name="Calculation 12 3 4 3" xfId="11191"/>
    <cellStyle name="Calculation 12 3 4 3 2" xfId="23289"/>
    <cellStyle name="Calculation 12 3 4 3 2 2" xfId="44475"/>
    <cellStyle name="Calculation 12 3 4 3 3" xfId="33871"/>
    <cellStyle name="Calculation 12 3 4 4" xfId="18176"/>
    <cellStyle name="Calculation 12 3 4 4 2" xfId="39363"/>
    <cellStyle name="Calculation 12 3 4 5" xfId="28546"/>
    <cellStyle name="Calculation 12 3 4_Table 2A-1_EFT (Annual)" xfId="6476"/>
    <cellStyle name="Calculation 12 3 5" xfId="3919"/>
    <cellStyle name="Calculation 12 3 5 2" xfId="12247"/>
    <cellStyle name="Calculation 12 3 5 2 2" xfId="24271"/>
    <cellStyle name="Calculation 12 3 5 2 2 2" xfId="45457"/>
    <cellStyle name="Calculation 12 3 5 2 3" xfId="34853"/>
    <cellStyle name="Calculation 12 3 5 3" xfId="19158"/>
    <cellStyle name="Calculation 12 3 5 3 2" xfId="40345"/>
    <cellStyle name="Calculation 12 3 5 4" xfId="29607"/>
    <cellStyle name="Calculation 12 3 5_Table 2A-1_EFT (Annual)" xfId="14859"/>
    <cellStyle name="Calculation 12 3 6" xfId="9584"/>
    <cellStyle name="Calculation 12 3 6 2" xfId="21725"/>
    <cellStyle name="Calculation 12 3 6 2 2" xfId="42911"/>
    <cellStyle name="Calculation 12 3 6 3" xfId="32307"/>
    <cellStyle name="Calculation 12 3 7" xfId="16612"/>
    <cellStyle name="Calculation 12 3 7 2" xfId="37799"/>
    <cellStyle name="Calculation 12 3 8" xfId="26864"/>
    <cellStyle name="Calculation 12 3_Table 2A-1_EFT (Annual)" xfId="2899"/>
    <cellStyle name="Calculation 12 4" xfId="1166"/>
    <cellStyle name="Calculation 12 4 2" xfId="2436"/>
    <cellStyle name="Calculation 12 4 2 2" xfId="5997"/>
    <cellStyle name="Calculation 12 4 2 2 2" xfId="14191"/>
    <cellStyle name="Calculation 12 4 2 2 2 2" xfId="26163"/>
    <cellStyle name="Calculation 12 4 2 2 2 2 2" xfId="47349"/>
    <cellStyle name="Calculation 12 4 2 2 2 3" xfId="36745"/>
    <cellStyle name="Calculation 12 4 2 2 3" xfId="21050"/>
    <cellStyle name="Calculation 12 4 2 2 3 2" xfId="42237"/>
    <cellStyle name="Calculation 12 4 2 2 4" xfId="31653"/>
    <cellStyle name="Calculation 12 4 2 2_Table 2A-1_EFT (Annual)" xfId="14858"/>
    <cellStyle name="Calculation 12 4 2 3" xfId="11533"/>
    <cellStyle name="Calculation 12 4 2 3 2" xfId="23617"/>
    <cellStyle name="Calculation 12 4 2 3 2 2" xfId="44803"/>
    <cellStyle name="Calculation 12 4 2 3 3" xfId="34199"/>
    <cellStyle name="Calculation 12 4 2 4" xfId="18504"/>
    <cellStyle name="Calculation 12 4 2 4 2" xfId="39691"/>
    <cellStyle name="Calculation 12 4 2 5" xfId="28910"/>
    <cellStyle name="Calculation 12 4 2_Table 2A-1_EFT (Annual)" xfId="6469"/>
    <cellStyle name="Calculation 12 4 3" xfId="4727"/>
    <cellStyle name="Calculation 12 4 3 2" xfId="12987"/>
    <cellStyle name="Calculation 12 4 3 2 2" xfId="24993"/>
    <cellStyle name="Calculation 12 4 3 2 2 2" xfId="46179"/>
    <cellStyle name="Calculation 12 4 3 2 3" xfId="35575"/>
    <cellStyle name="Calculation 12 4 3 3" xfId="19880"/>
    <cellStyle name="Calculation 12 4 3 3 2" xfId="41067"/>
    <cellStyle name="Calculation 12 4 3 4" xfId="30384"/>
    <cellStyle name="Calculation 12 4 3_Table 2A-1_EFT (Annual)" xfId="14857"/>
    <cellStyle name="Calculation 12 4 4" xfId="10331"/>
    <cellStyle name="Calculation 12 4 4 2" xfId="22447"/>
    <cellStyle name="Calculation 12 4 4 2 2" xfId="43633"/>
    <cellStyle name="Calculation 12 4 4 3" xfId="33029"/>
    <cellStyle name="Calculation 12 4 5" xfId="17334"/>
    <cellStyle name="Calculation 12 4 5 2" xfId="38521"/>
    <cellStyle name="Calculation 12 4 6" xfId="27641"/>
    <cellStyle name="Calculation 12 4_Table 2A-1_EFT (Annual)" xfId="6475"/>
    <cellStyle name="Calculation 12 5" xfId="731"/>
    <cellStyle name="Calculation 12 5 2" xfId="4292"/>
    <cellStyle name="Calculation 12 5 2 2" xfId="12572"/>
    <cellStyle name="Calculation 12 5 2 2 2" xfId="24589"/>
    <cellStyle name="Calculation 12 5 2 2 2 2" xfId="45775"/>
    <cellStyle name="Calculation 12 5 2 2 3" xfId="35171"/>
    <cellStyle name="Calculation 12 5 2 3" xfId="19476"/>
    <cellStyle name="Calculation 12 5 2 3 2" xfId="40663"/>
    <cellStyle name="Calculation 12 5 2 4" xfId="29949"/>
    <cellStyle name="Calculation 12 5 2_Table 2A-1_EFT (Annual)" xfId="14856"/>
    <cellStyle name="Calculation 12 5 3" xfId="9920"/>
    <cellStyle name="Calculation 12 5 3 2" xfId="22043"/>
    <cellStyle name="Calculation 12 5 3 2 2" xfId="43229"/>
    <cellStyle name="Calculation 12 5 3 3" xfId="32625"/>
    <cellStyle name="Calculation 12 5 4" xfId="16930"/>
    <cellStyle name="Calculation 12 5 4 2" xfId="38117"/>
    <cellStyle name="Calculation 12 5 5" xfId="27206"/>
    <cellStyle name="Calculation 12 5_Table 2A-1_EFT (Annual)" xfId="6473"/>
    <cellStyle name="Calculation 12 6" xfId="1865"/>
    <cellStyle name="Calculation 12 6 2" xfId="5426"/>
    <cellStyle name="Calculation 12 6 2 2" xfId="13641"/>
    <cellStyle name="Calculation 12 6 2 2 2" xfId="25629"/>
    <cellStyle name="Calculation 12 6 2 2 2 2" xfId="46815"/>
    <cellStyle name="Calculation 12 6 2 2 3" xfId="36211"/>
    <cellStyle name="Calculation 12 6 2 3" xfId="20516"/>
    <cellStyle name="Calculation 12 6 2 3 2" xfId="41703"/>
    <cellStyle name="Calculation 12 6 2 4" xfId="31083"/>
    <cellStyle name="Calculation 12 6 2_Table 2A-1_EFT (Annual)" xfId="14855"/>
    <cellStyle name="Calculation 12 6 3" xfId="10985"/>
    <cellStyle name="Calculation 12 6 3 2" xfId="23083"/>
    <cellStyle name="Calculation 12 6 3 2 2" xfId="44269"/>
    <cellStyle name="Calculation 12 6 3 3" xfId="33665"/>
    <cellStyle name="Calculation 12 6 4" xfId="17970"/>
    <cellStyle name="Calculation 12 6 4 2" xfId="39157"/>
    <cellStyle name="Calculation 12 6 5" xfId="28340"/>
    <cellStyle name="Calculation 12 6_Table 2A-1_EFT (Annual)" xfId="6472"/>
    <cellStyle name="Calculation 12 7" xfId="3707"/>
    <cellStyle name="Calculation 12 7 2" xfId="12075"/>
    <cellStyle name="Calculation 12 7 2 2" xfId="24105"/>
    <cellStyle name="Calculation 12 7 2 2 2" xfId="45291"/>
    <cellStyle name="Calculation 12 7 2 3" xfId="34687"/>
    <cellStyle name="Calculation 12 7 3" xfId="18992"/>
    <cellStyle name="Calculation 12 7 3 2" xfId="40179"/>
    <cellStyle name="Calculation 12 7 4" xfId="29416"/>
    <cellStyle name="Calculation 12 7_Table 2A-1_EFT (Annual)" xfId="14854"/>
    <cellStyle name="Calculation 12 8" xfId="9394"/>
    <cellStyle name="Calculation 12 8 2" xfId="21559"/>
    <cellStyle name="Calculation 12 8 2 2" xfId="42745"/>
    <cellStyle name="Calculation 12 8 3" xfId="32141"/>
    <cellStyle name="Calculation 12 9" xfId="16446"/>
    <cellStyle name="Calculation 12 9 2" xfId="37633"/>
    <cellStyle name="Calculation 12_Table 2A-1_EFT (Annual)" xfId="2897"/>
    <cellStyle name="Calculation 13" xfId="132"/>
    <cellStyle name="Calculation 13 10" xfId="26687"/>
    <cellStyle name="Calculation 13 2" xfId="525"/>
    <cellStyle name="Calculation 13 2 2" xfId="1502"/>
    <cellStyle name="Calculation 13 2 2 2" xfId="2772"/>
    <cellStyle name="Calculation 13 2 2 2 2" xfId="6333"/>
    <cellStyle name="Calculation 13 2 2 2 2 2" xfId="14527"/>
    <cellStyle name="Calculation 13 2 2 2 2 2 2" xfId="26499"/>
    <cellStyle name="Calculation 13 2 2 2 2 2 2 2" xfId="47685"/>
    <cellStyle name="Calculation 13 2 2 2 2 2 3" xfId="37081"/>
    <cellStyle name="Calculation 13 2 2 2 2 3" xfId="21386"/>
    <cellStyle name="Calculation 13 2 2 2 2 3 2" xfId="42573"/>
    <cellStyle name="Calculation 13 2 2 2 2 4" xfId="31989"/>
    <cellStyle name="Calculation 13 2 2 2 2_Table 2A-1_EFT (Annual)" xfId="14853"/>
    <cellStyle name="Calculation 13 2 2 2 3" xfId="11869"/>
    <cellStyle name="Calculation 13 2 2 2 3 2" xfId="23953"/>
    <cellStyle name="Calculation 13 2 2 2 3 2 2" xfId="45139"/>
    <cellStyle name="Calculation 13 2 2 2 3 3" xfId="34535"/>
    <cellStyle name="Calculation 13 2 2 2 4" xfId="18840"/>
    <cellStyle name="Calculation 13 2 2 2 4 2" xfId="40027"/>
    <cellStyle name="Calculation 13 2 2 2 5" xfId="29246"/>
    <cellStyle name="Calculation 13 2 2 2_Table 2A-1_EFT (Annual)" xfId="6471"/>
    <cellStyle name="Calculation 13 2 2 3" xfId="5063"/>
    <cellStyle name="Calculation 13 2 2 3 2" xfId="13323"/>
    <cellStyle name="Calculation 13 2 2 3 2 2" xfId="25329"/>
    <cellStyle name="Calculation 13 2 2 3 2 2 2" xfId="46515"/>
    <cellStyle name="Calculation 13 2 2 3 2 3" xfId="35911"/>
    <cellStyle name="Calculation 13 2 2 3 3" xfId="20216"/>
    <cellStyle name="Calculation 13 2 2 3 3 2" xfId="41403"/>
    <cellStyle name="Calculation 13 2 2 3 4" xfId="30720"/>
    <cellStyle name="Calculation 13 2 2 3_Table 2A-1_EFT (Annual)" xfId="14852"/>
    <cellStyle name="Calculation 13 2 2 4" xfId="10667"/>
    <cellStyle name="Calculation 13 2 2 4 2" xfId="22783"/>
    <cellStyle name="Calculation 13 2 2 4 2 2" xfId="43969"/>
    <cellStyle name="Calculation 13 2 2 4 3" xfId="33365"/>
    <cellStyle name="Calculation 13 2 2 5" xfId="17670"/>
    <cellStyle name="Calculation 13 2 2 5 2" xfId="38857"/>
    <cellStyle name="Calculation 13 2 2 6" xfId="27977"/>
    <cellStyle name="Calculation 13 2 2_Table 2A-1_EFT (Annual)" xfId="6470"/>
    <cellStyle name="Calculation 13 2 3" xfId="1035"/>
    <cellStyle name="Calculation 13 2 3 2" xfId="4596"/>
    <cellStyle name="Calculation 13 2 3 2 2" xfId="12856"/>
    <cellStyle name="Calculation 13 2 3 2 2 2" xfId="24862"/>
    <cellStyle name="Calculation 13 2 3 2 2 2 2" xfId="46048"/>
    <cellStyle name="Calculation 13 2 3 2 2 3" xfId="35444"/>
    <cellStyle name="Calculation 13 2 3 2 3" xfId="19749"/>
    <cellStyle name="Calculation 13 2 3 2 3 2" xfId="40936"/>
    <cellStyle name="Calculation 13 2 3 2 4" xfId="30253"/>
    <cellStyle name="Calculation 13 2 3 2_Table 2A-1_EFT (Annual)" xfId="14851"/>
    <cellStyle name="Calculation 13 2 3 3" xfId="10200"/>
    <cellStyle name="Calculation 13 2 3 3 2" xfId="22316"/>
    <cellStyle name="Calculation 13 2 3 3 2 2" xfId="43502"/>
    <cellStyle name="Calculation 13 2 3 3 3" xfId="32898"/>
    <cellStyle name="Calculation 13 2 3 4" xfId="17203"/>
    <cellStyle name="Calculation 13 2 3 4 2" xfId="38390"/>
    <cellStyle name="Calculation 13 2 3 5" xfId="27510"/>
    <cellStyle name="Calculation 13 2 3_Table 2A-1_EFT (Annual)" xfId="3645"/>
    <cellStyle name="Calculation 13 2 4" xfId="2241"/>
    <cellStyle name="Calculation 13 2 4 2" xfId="5802"/>
    <cellStyle name="Calculation 13 2 4 2 2" xfId="14017"/>
    <cellStyle name="Calculation 13 2 4 2 2 2" xfId="26005"/>
    <cellStyle name="Calculation 13 2 4 2 2 2 2" xfId="47191"/>
    <cellStyle name="Calculation 13 2 4 2 2 3" xfId="36587"/>
    <cellStyle name="Calculation 13 2 4 2 3" xfId="20892"/>
    <cellStyle name="Calculation 13 2 4 2 3 2" xfId="42079"/>
    <cellStyle name="Calculation 13 2 4 2 4" xfId="31459"/>
    <cellStyle name="Calculation 13 2 4 2_Table 2A-1_EFT (Annual)" xfId="14850"/>
    <cellStyle name="Calculation 13 2 4 3" xfId="11361"/>
    <cellStyle name="Calculation 13 2 4 3 2" xfId="23459"/>
    <cellStyle name="Calculation 13 2 4 3 2 2" xfId="44645"/>
    <cellStyle name="Calculation 13 2 4 3 3" xfId="34041"/>
    <cellStyle name="Calculation 13 2 4 4" xfId="18346"/>
    <cellStyle name="Calculation 13 2 4 4 2" xfId="39533"/>
    <cellStyle name="Calculation 13 2 4 5" xfId="28716"/>
    <cellStyle name="Calculation 13 2 4_Table 2A-1_EFT (Annual)" xfId="6468"/>
    <cellStyle name="Calculation 13 2 5" xfId="4095"/>
    <cellStyle name="Calculation 13 2 5 2" xfId="12419"/>
    <cellStyle name="Calculation 13 2 5 2 2" xfId="24441"/>
    <cellStyle name="Calculation 13 2 5 2 2 2" xfId="45627"/>
    <cellStyle name="Calculation 13 2 5 2 3" xfId="35023"/>
    <cellStyle name="Calculation 13 2 5 3" xfId="19328"/>
    <cellStyle name="Calculation 13 2 5 3 2" xfId="40515"/>
    <cellStyle name="Calculation 13 2 5 4" xfId="29783"/>
    <cellStyle name="Calculation 13 2 5_Table 2A-1_EFT (Annual)" xfId="14849"/>
    <cellStyle name="Calculation 13 2 6" xfId="9758"/>
    <cellStyle name="Calculation 13 2 6 2" xfId="21895"/>
    <cellStyle name="Calculation 13 2 6 2 2" xfId="43081"/>
    <cellStyle name="Calculation 13 2 6 3" xfId="32477"/>
    <cellStyle name="Calculation 13 2 7" xfId="16782"/>
    <cellStyle name="Calculation 13 2 7 2" xfId="37969"/>
    <cellStyle name="Calculation 13 2 8" xfId="27040"/>
    <cellStyle name="Calculation 13 2_Table 2A-1_EFT (Annual)" xfId="2901"/>
    <cellStyle name="Calculation 13 3" xfId="363"/>
    <cellStyle name="Calculation 13 3 2" xfId="1346"/>
    <cellStyle name="Calculation 13 3 2 2" xfId="2616"/>
    <cellStyle name="Calculation 13 3 2 2 2" xfId="6177"/>
    <cellStyle name="Calculation 13 3 2 2 2 2" xfId="14371"/>
    <cellStyle name="Calculation 13 3 2 2 2 2 2" xfId="26343"/>
    <cellStyle name="Calculation 13 3 2 2 2 2 2 2" xfId="47529"/>
    <cellStyle name="Calculation 13 3 2 2 2 2 3" xfId="36925"/>
    <cellStyle name="Calculation 13 3 2 2 2 3" xfId="21230"/>
    <cellStyle name="Calculation 13 3 2 2 2 3 2" xfId="42417"/>
    <cellStyle name="Calculation 13 3 2 2 2 4" xfId="31833"/>
    <cellStyle name="Calculation 13 3 2 2 2_Table 2A-1_EFT (Annual)" xfId="14848"/>
    <cellStyle name="Calculation 13 3 2 2 3" xfId="11713"/>
    <cellStyle name="Calculation 13 3 2 2 3 2" xfId="23797"/>
    <cellStyle name="Calculation 13 3 2 2 3 2 2" xfId="44983"/>
    <cellStyle name="Calculation 13 3 2 2 3 3" xfId="34379"/>
    <cellStyle name="Calculation 13 3 2 2 4" xfId="18684"/>
    <cellStyle name="Calculation 13 3 2 2 4 2" xfId="39871"/>
    <cellStyle name="Calculation 13 3 2 2 5" xfId="29090"/>
    <cellStyle name="Calculation 13 3 2 2_Table 2A-1_EFT (Annual)" xfId="3638"/>
    <cellStyle name="Calculation 13 3 2 3" xfId="4907"/>
    <cellStyle name="Calculation 13 3 2 3 2" xfId="13167"/>
    <cellStyle name="Calculation 13 3 2 3 2 2" xfId="25173"/>
    <cellStyle name="Calculation 13 3 2 3 2 2 2" xfId="46359"/>
    <cellStyle name="Calculation 13 3 2 3 2 3" xfId="35755"/>
    <cellStyle name="Calculation 13 3 2 3 3" xfId="20060"/>
    <cellStyle name="Calculation 13 3 2 3 3 2" xfId="41247"/>
    <cellStyle name="Calculation 13 3 2 3 4" xfId="30564"/>
    <cellStyle name="Calculation 13 3 2 3_Table 2A-1_EFT (Annual)" xfId="14847"/>
    <cellStyle name="Calculation 13 3 2 4" xfId="10511"/>
    <cellStyle name="Calculation 13 3 2 4 2" xfId="22627"/>
    <cellStyle name="Calculation 13 3 2 4 2 2" xfId="43813"/>
    <cellStyle name="Calculation 13 3 2 4 3" xfId="33209"/>
    <cellStyle name="Calculation 13 3 2 5" xfId="17514"/>
    <cellStyle name="Calculation 13 3 2 5 2" xfId="38701"/>
    <cellStyle name="Calculation 13 3 2 6" xfId="27821"/>
    <cellStyle name="Calculation 13 3 2_Table 2A-1_EFT (Annual)" xfId="3656"/>
    <cellStyle name="Calculation 13 3 3" xfId="903"/>
    <cellStyle name="Calculation 13 3 3 2" xfId="4464"/>
    <cellStyle name="Calculation 13 3 3 2 2" xfId="12726"/>
    <cellStyle name="Calculation 13 3 3 2 2 2" xfId="24736"/>
    <cellStyle name="Calculation 13 3 3 2 2 2 2" xfId="45922"/>
    <cellStyle name="Calculation 13 3 3 2 2 3" xfId="35318"/>
    <cellStyle name="Calculation 13 3 3 2 3" xfId="19623"/>
    <cellStyle name="Calculation 13 3 3 2 3 2" xfId="40810"/>
    <cellStyle name="Calculation 13 3 3 2 4" xfId="30121"/>
    <cellStyle name="Calculation 13 3 3 2_Table 2A-1_EFT (Annual)" xfId="14846"/>
    <cellStyle name="Calculation 13 3 3 3" xfId="10073"/>
    <cellStyle name="Calculation 13 3 3 3 2" xfId="22190"/>
    <cellStyle name="Calculation 13 3 3 3 2 2" xfId="43376"/>
    <cellStyle name="Calculation 13 3 3 3 3" xfId="32772"/>
    <cellStyle name="Calculation 13 3 3 4" xfId="17077"/>
    <cellStyle name="Calculation 13 3 3 4 2" xfId="38264"/>
    <cellStyle name="Calculation 13 3 3 5" xfId="27378"/>
    <cellStyle name="Calculation 13 3 3_Table 2A-1_EFT (Annual)" xfId="5921"/>
    <cellStyle name="Calculation 13 3 4" xfId="2085"/>
    <cellStyle name="Calculation 13 3 4 2" xfId="5646"/>
    <cellStyle name="Calculation 13 3 4 2 2" xfId="13861"/>
    <cellStyle name="Calculation 13 3 4 2 2 2" xfId="25849"/>
    <cellStyle name="Calculation 13 3 4 2 2 2 2" xfId="47035"/>
    <cellStyle name="Calculation 13 3 4 2 2 3" xfId="36431"/>
    <cellStyle name="Calculation 13 3 4 2 3" xfId="20736"/>
    <cellStyle name="Calculation 13 3 4 2 3 2" xfId="41923"/>
    <cellStyle name="Calculation 13 3 4 2 4" xfId="31303"/>
    <cellStyle name="Calculation 13 3 4 2_Table 2A-1_EFT (Annual)" xfId="14845"/>
    <cellStyle name="Calculation 13 3 4 3" xfId="11205"/>
    <cellStyle name="Calculation 13 3 4 3 2" xfId="23303"/>
    <cellStyle name="Calculation 13 3 4 3 2 2" xfId="44489"/>
    <cellStyle name="Calculation 13 3 4 3 3" xfId="33885"/>
    <cellStyle name="Calculation 13 3 4 4" xfId="18190"/>
    <cellStyle name="Calculation 13 3 4 4 2" xfId="39377"/>
    <cellStyle name="Calculation 13 3 4 5" xfId="28560"/>
    <cellStyle name="Calculation 13 3 4_Table 2A-1_EFT (Annual)" xfId="4227"/>
    <cellStyle name="Calculation 13 3 5" xfId="3933"/>
    <cellStyle name="Calculation 13 3 5 2" xfId="12261"/>
    <cellStyle name="Calculation 13 3 5 2 2" xfId="24285"/>
    <cellStyle name="Calculation 13 3 5 2 2 2" xfId="45471"/>
    <cellStyle name="Calculation 13 3 5 2 3" xfId="34867"/>
    <cellStyle name="Calculation 13 3 5 3" xfId="19172"/>
    <cellStyle name="Calculation 13 3 5 3 2" xfId="40359"/>
    <cellStyle name="Calculation 13 3 5 4" xfId="29621"/>
    <cellStyle name="Calculation 13 3 5_Table 2A-1_EFT (Annual)" xfId="14844"/>
    <cellStyle name="Calculation 13 3 6" xfId="9598"/>
    <cellStyle name="Calculation 13 3 6 2" xfId="21739"/>
    <cellStyle name="Calculation 13 3 6 2 2" xfId="42925"/>
    <cellStyle name="Calculation 13 3 6 3" xfId="32321"/>
    <cellStyle name="Calculation 13 3 7" xfId="16626"/>
    <cellStyle name="Calculation 13 3 7 2" xfId="37813"/>
    <cellStyle name="Calculation 13 3 8" xfId="26878"/>
    <cellStyle name="Calculation 13 3_Table 2A-1_EFT (Annual)" xfId="2902"/>
    <cellStyle name="Calculation 13 4" xfId="1180"/>
    <cellStyle name="Calculation 13 4 2" xfId="2450"/>
    <cellStyle name="Calculation 13 4 2 2" xfId="6011"/>
    <cellStyle name="Calculation 13 4 2 2 2" xfId="14205"/>
    <cellStyle name="Calculation 13 4 2 2 2 2" xfId="26177"/>
    <cellStyle name="Calculation 13 4 2 2 2 2 2" xfId="47363"/>
    <cellStyle name="Calculation 13 4 2 2 2 3" xfId="36759"/>
    <cellStyle name="Calculation 13 4 2 2 3" xfId="21064"/>
    <cellStyle name="Calculation 13 4 2 2 3 2" xfId="42251"/>
    <cellStyle name="Calculation 13 4 2 2 4" xfId="31667"/>
    <cellStyle name="Calculation 13 4 2 2_Table 2A-1_EFT (Annual)" xfId="14843"/>
    <cellStyle name="Calculation 13 4 2 3" xfId="11547"/>
    <cellStyle name="Calculation 13 4 2 3 2" xfId="23631"/>
    <cellStyle name="Calculation 13 4 2 3 2 2" xfId="44817"/>
    <cellStyle name="Calculation 13 4 2 3 3" xfId="34213"/>
    <cellStyle name="Calculation 13 4 2 4" xfId="18518"/>
    <cellStyle name="Calculation 13 4 2 4 2" xfId="39705"/>
    <cellStyle name="Calculation 13 4 2 5" xfId="28924"/>
    <cellStyle name="Calculation 13 4 2_Table 2A-1_EFT (Annual)" xfId="3842"/>
    <cellStyle name="Calculation 13 4 3" xfId="4741"/>
    <cellStyle name="Calculation 13 4 3 2" xfId="13001"/>
    <cellStyle name="Calculation 13 4 3 2 2" xfId="25007"/>
    <cellStyle name="Calculation 13 4 3 2 2 2" xfId="46193"/>
    <cellStyle name="Calculation 13 4 3 2 3" xfId="35589"/>
    <cellStyle name="Calculation 13 4 3 3" xfId="19894"/>
    <cellStyle name="Calculation 13 4 3 3 2" xfId="41081"/>
    <cellStyle name="Calculation 13 4 3 4" xfId="30398"/>
    <cellStyle name="Calculation 13 4 3_Table 2A-1_EFT (Annual)" xfId="14842"/>
    <cellStyle name="Calculation 13 4 4" xfId="10345"/>
    <cellStyle name="Calculation 13 4 4 2" xfId="22461"/>
    <cellStyle name="Calculation 13 4 4 2 2" xfId="43647"/>
    <cellStyle name="Calculation 13 4 4 3" xfId="33043"/>
    <cellStyle name="Calculation 13 4 5" xfId="17348"/>
    <cellStyle name="Calculation 13 4 5 2" xfId="38535"/>
    <cellStyle name="Calculation 13 4 6" xfId="27655"/>
    <cellStyle name="Calculation 13 4_Table 2A-1_EFT (Annual)" xfId="6467"/>
    <cellStyle name="Calculation 13 5" xfId="744"/>
    <cellStyle name="Calculation 13 5 2" xfId="4305"/>
    <cellStyle name="Calculation 13 5 2 2" xfId="12585"/>
    <cellStyle name="Calculation 13 5 2 2 2" xfId="24602"/>
    <cellStyle name="Calculation 13 5 2 2 2 2" xfId="45788"/>
    <cellStyle name="Calculation 13 5 2 2 3" xfId="35184"/>
    <cellStyle name="Calculation 13 5 2 3" xfId="19489"/>
    <cellStyle name="Calculation 13 5 2 3 2" xfId="40676"/>
    <cellStyle name="Calculation 13 5 2 4" xfId="29962"/>
    <cellStyle name="Calculation 13 5 2_Table 2A-1_EFT (Annual)" xfId="14841"/>
    <cellStyle name="Calculation 13 5 3" xfId="9933"/>
    <cellStyle name="Calculation 13 5 3 2" xfId="22056"/>
    <cellStyle name="Calculation 13 5 3 2 2" xfId="43242"/>
    <cellStyle name="Calculation 13 5 3 3" xfId="32638"/>
    <cellStyle name="Calculation 13 5 4" xfId="16943"/>
    <cellStyle name="Calculation 13 5 4 2" xfId="38130"/>
    <cellStyle name="Calculation 13 5 5" xfId="27219"/>
    <cellStyle name="Calculation 13 5_Table 2A-1_EFT (Annual)" xfId="6462"/>
    <cellStyle name="Calculation 13 6" xfId="1858"/>
    <cellStyle name="Calculation 13 6 2" xfId="5419"/>
    <cellStyle name="Calculation 13 6 2 2" xfId="13634"/>
    <cellStyle name="Calculation 13 6 2 2 2" xfId="25622"/>
    <cellStyle name="Calculation 13 6 2 2 2 2" xfId="46808"/>
    <cellStyle name="Calculation 13 6 2 2 3" xfId="36204"/>
    <cellStyle name="Calculation 13 6 2 3" xfId="20509"/>
    <cellStyle name="Calculation 13 6 2 3 2" xfId="41696"/>
    <cellStyle name="Calculation 13 6 2 4" xfId="31076"/>
    <cellStyle name="Calculation 13 6 2_Table 2A-1_EFT (Annual)" xfId="14840"/>
    <cellStyle name="Calculation 13 6 3" xfId="10978"/>
    <cellStyle name="Calculation 13 6 3 2" xfId="23076"/>
    <cellStyle name="Calculation 13 6 3 2 2" xfId="44262"/>
    <cellStyle name="Calculation 13 6 3 3" xfId="33658"/>
    <cellStyle name="Calculation 13 6 4" xfId="17963"/>
    <cellStyle name="Calculation 13 6 4 2" xfId="39150"/>
    <cellStyle name="Calculation 13 6 5" xfId="28333"/>
    <cellStyle name="Calculation 13 6_Table 2A-1_EFT (Annual)" xfId="6466"/>
    <cellStyle name="Calculation 13 7" xfId="3721"/>
    <cellStyle name="Calculation 13 7 2" xfId="12089"/>
    <cellStyle name="Calculation 13 7 2 2" xfId="24119"/>
    <cellStyle name="Calculation 13 7 2 2 2" xfId="45305"/>
    <cellStyle name="Calculation 13 7 2 3" xfId="34701"/>
    <cellStyle name="Calculation 13 7 3" xfId="19006"/>
    <cellStyle name="Calculation 13 7 3 2" xfId="40193"/>
    <cellStyle name="Calculation 13 7 4" xfId="29430"/>
    <cellStyle name="Calculation 13 7_Table 2A-1_EFT (Annual)" xfId="14839"/>
    <cellStyle name="Calculation 13 8" xfId="9408"/>
    <cellStyle name="Calculation 13 8 2" xfId="21573"/>
    <cellStyle name="Calculation 13 8 2 2" xfId="42759"/>
    <cellStyle name="Calculation 13 8 3" xfId="32155"/>
    <cellStyle name="Calculation 13 9" xfId="16460"/>
    <cellStyle name="Calculation 13 9 2" xfId="37647"/>
    <cellStyle name="Calculation 13_Table 2A-1_EFT (Annual)" xfId="2900"/>
    <cellStyle name="Calculation 14" xfId="154"/>
    <cellStyle name="Calculation 14 10" xfId="26709"/>
    <cellStyle name="Calculation 14 2" xfId="547"/>
    <cellStyle name="Calculation 14 2 2" xfId="1524"/>
    <cellStyle name="Calculation 14 2 2 2" xfId="2794"/>
    <cellStyle name="Calculation 14 2 2 2 2" xfId="6355"/>
    <cellStyle name="Calculation 14 2 2 2 2 2" xfId="14549"/>
    <cellStyle name="Calculation 14 2 2 2 2 2 2" xfId="26521"/>
    <cellStyle name="Calculation 14 2 2 2 2 2 2 2" xfId="47707"/>
    <cellStyle name="Calculation 14 2 2 2 2 2 3" xfId="37103"/>
    <cellStyle name="Calculation 14 2 2 2 2 3" xfId="21408"/>
    <cellStyle name="Calculation 14 2 2 2 2 3 2" xfId="42595"/>
    <cellStyle name="Calculation 14 2 2 2 2 4" xfId="32011"/>
    <cellStyle name="Calculation 14 2 2 2 2_Table 2A-1_EFT (Annual)" xfId="14838"/>
    <cellStyle name="Calculation 14 2 2 2 3" xfId="11891"/>
    <cellStyle name="Calculation 14 2 2 2 3 2" xfId="23975"/>
    <cellStyle name="Calculation 14 2 2 2 3 2 2" xfId="45161"/>
    <cellStyle name="Calculation 14 2 2 2 3 3" xfId="34557"/>
    <cellStyle name="Calculation 14 2 2 2 4" xfId="18862"/>
    <cellStyle name="Calculation 14 2 2 2 4 2" xfId="40049"/>
    <cellStyle name="Calculation 14 2 2 2 5" xfId="29268"/>
    <cellStyle name="Calculation 14 2 2 2_Table 2A-1_EFT (Annual)" xfId="6463"/>
    <cellStyle name="Calculation 14 2 2 3" xfId="5085"/>
    <cellStyle name="Calculation 14 2 2 3 2" xfId="13345"/>
    <cellStyle name="Calculation 14 2 2 3 2 2" xfId="25351"/>
    <cellStyle name="Calculation 14 2 2 3 2 2 2" xfId="46537"/>
    <cellStyle name="Calculation 14 2 2 3 2 3" xfId="35933"/>
    <cellStyle name="Calculation 14 2 2 3 3" xfId="20238"/>
    <cellStyle name="Calculation 14 2 2 3 3 2" xfId="41425"/>
    <cellStyle name="Calculation 14 2 2 3 4" xfId="30742"/>
    <cellStyle name="Calculation 14 2 2 3_Table 2A-1_EFT (Annual)" xfId="14837"/>
    <cellStyle name="Calculation 14 2 2 4" xfId="10689"/>
    <cellStyle name="Calculation 14 2 2 4 2" xfId="22805"/>
    <cellStyle name="Calculation 14 2 2 4 2 2" xfId="43991"/>
    <cellStyle name="Calculation 14 2 2 4 3" xfId="33387"/>
    <cellStyle name="Calculation 14 2 2 5" xfId="17692"/>
    <cellStyle name="Calculation 14 2 2 5 2" xfId="38879"/>
    <cellStyle name="Calculation 14 2 2 6" xfId="27999"/>
    <cellStyle name="Calculation 14 2 2_Table 2A-1_EFT (Annual)" xfId="6465"/>
    <cellStyle name="Calculation 14 2 3" xfId="1053"/>
    <cellStyle name="Calculation 14 2 3 2" xfId="4614"/>
    <cellStyle name="Calculation 14 2 3 2 2" xfId="12874"/>
    <cellStyle name="Calculation 14 2 3 2 2 2" xfId="24880"/>
    <cellStyle name="Calculation 14 2 3 2 2 2 2" xfId="46066"/>
    <cellStyle name="Calculation 14 2 3 2 2 3" xfId="35462"/>
    <cellStyle name="Calculation 14 2 3 2 3" xfId="19767"/>
    <cellStyle name="Calculation 14 2 3 2 3 2" xfId="40954"/>
    <cellStyle name="Calculation 14 2 3 2 4" xfId="30271"/>
    <cellStyle name="Calculation 14 2 3 2_Table 2A-1_EFT (Annual)" xfId="14836"/>
    <cellStyle name="Calculation 14 2 3 3" xfId="10218"/>
    <cellStyle name="Calculation 14 2 3 3 2" xfId="22334"/>
    <cellStyle name="Calculation 14 2 3 3 2 2" xfId="43520"/>
    <cellStyle name="Calculation 14 2 3 3 3" xfId="32916"/>
    <cellStyle name="Calculation 14 2 3 4" xfId="17221"/>
    <cellStyle name="Calculation 14 2 3 4 2" xfId="38408"/>
    <cellStyle name="Calculation 14 2 3 5" xfId="27528"/>
    <cellStyle name="Calculation 14 2 3_Table 2A-1_EFT (Annual)" xfId="6464"/>
    <cellStyle name="Calculation 14 2 4" xfId="2263"/>
    <cellStyle name="Calculation 14 2 4 2" xfId="5824"/>
    <cellStyle name="Calculation 14 2 4 2 2" xfId="14039"/>
    <cellStyle name="Calculation 14 2 4 2 2 2" xfId="26027"/>
    <cellStyle name="Calculation 14 2 4 2 2 2 2" xfId="47213"/>
    <cellStyle name="Calculation 14 2 4 2 2 3" xfId="36609"/>
    <cellStyle name="Calculation 14 2 4 2 3" xfId="20914"/>
    <cellStyle name="Calculation 14 2 4 2 3 2" xfId="42101"/>
    <cellStyle name="Calculation 14 2 4 2 4" xfId="31481"/>
    <cellStyle name="Calculation 14 2 4 2_Table 2A-1_EFT (Annual)" xfId="14835"/>
    <cellStyle name="Calculation 14 2 4 3" xfId="11383"/>
    <cellStyle name="Calculation 14 2 4 3 2" xfId="23481"/>
    <cellStyle name="Calculation 14 2 4 3 2 2" xfId="44667"/>
    <cellStyle name="Calculation 14 2 4 3 3" xfId="34063"/>
    <cellStyle name="Calculation 14 2 4 4" xfId="18368"/>
    <cellStyle name="Calculation 14 2 4 4 2" xfId="39555"/>
    <cellStyle name="Calculation 14 2 4 5" xfId="28738"/>
    <cellStyle name="Calculation 14 2 4_Table 2A-1_EFT (Annual)" xfId="6457"/>
    <cellStyle name="Calculation 14 2 5" xfId="4117"/>
    <cellStyle name="Calculation 14 2 5 2" xfId="12441"/>
    <cellStyle name="Calculation 14 2 5 2 2" xfId="24463"/>
    <cellStyle name="Calculation 14 2 5 2 2 2" xfId="45649"/>
    <cellStyle name="Calculation 14 2 5 2 3" xfId="35045"/>
    <cellStyle name="Calculation 14 2 5 3" xfId="19350"/>
    <cellStyle name="Calculation 14 2 5 3 2" xfId="40537"/>
    <cellStyle name="Calculation 14 2 5 4" xfId="29805"/>
    <cellStyle name="Calculation 14 2 5_Table 2A-1_EFT (Annual)" xfId="14834"/>
    <cellStyle name="Calculation 14 2 6" xfId="9780"/>
    <cellStyle name="Calculation 14 2 6 2" xfId="21917"/>
    <cellStyle name="Calculation 14 2 6 2 2" xfId="43103"/>
    <cellStyle name="Calculation 14 2 6 3" xfId="32499"/>
    <cellStyle name="Calculation 14 2 7" xfId="16804"/>
    <cellStyle name="Calculation 14 2 7 2" xfId="37991"/>
    <cellStyle name="Calculation 14 2 8" xfId="27062"/>
    <cellStyle name="Calculation 14 2_Table 2A-1_EFT (Annual)" xfId="2904"/>
    <cellStyle name="Calculation 14 3" xfId="385"/>
    <cellStyle name="Calculation 14 3 2" xfId="1368"/>
    <cellStyle name="Calculation 14 3 2 2" xfId="2638"/>
    <cellStyle name="Calculation 14 3 2 2 2" xfId="6199"/>
    <cellStyle name="Calculation 14 3 2 2 2 2" xfId="14393"/>
    <cellStyle name="Calculation 14 3 2 2 2 2 2" xfId="26365"/>
    <cellStyle name="Calculation 14 3 2 2 2 2 2 2" xfId="47551"/>
    <cellStyle name="Calculation 14 3 2 2 2 2 3" xfId="36947"/>
    <cellStyle name="Calculation 14 3 2 2 2 3" xfId="21252"/>
    <cellStyle name="Calculation 14 3 2 2 2 3 2" xfId="42439"/>
    <cellStyle name="Calculation 14 3 2 2 2 4" xfId="31855"/>
    <cellStyle name="Calculation 14 3 2 2 2_Table 2A-1_EFT (Annual)" xfId="14833"/>
    <cellStyle name="Calculation 14 3 2 2 3" xfId="11735"/>
    <cellStyle name="Calculation 14 3 2 2 3 2" xfId="23819"/>
    <cellStyle name="Calculation 14 3 2 2 3 2 2" xfId="45005"/>
    <cellStyle name="Calculation 14 3 2 2 3 3" xfId="34401"/>
    <cellStyle name="Calculation 14 3 2 2 4" xfId="18706"/>
    <cellStyle name="Calculation 14 3 2 2 4 2" xfId="39893"/>
    <cellStyle name="Calculation 14 3 2 2 5" xfId="29112"/>
    <cellStyle name="Calculation 14 3 2 2_Table 2A-1_EFT (Annual)" xfId="6458"/>
    <cellStyle name="Calculation 14 3 2 3" xfId="4929"/>
    <cellStyle name="Calculation 14 3 2 3 2" xfId="13189"/>
    <cellStyle name="Calculation 14 3 2 3 2 2" xfId="25195"/>
    <cellStyle name="Calculation 14 3 2 3 2 2 2" xfId="46381"/>
    <cellStyle name="Calculation 14 3 2 3 2 3" xfId="35777"/>
    <cellStyle name="Calculation 14 3 2 3 3" xfId="20082"/>
    <cellStyle name="Calculation 14 3 2 3 3 2" xfId="41269"/>
    <cellStyle name="Calculation 14 3 2 3 4" xfId="30586"/>
    <cellStyle name="Calculation 14 3 2 3_Table 2A-1_EFT (Annual)" xfId="14832"/>
    <cellStyle name="Calculation 14 3 2 4" xfId="10533"/>
    <cellStyle name="Calculation 14 3 2 4 2" xfId="22649"/>
    <cellStyle name="Calculation 14 3 2 4 2 2" xfId="43835"/>
    <cellStyle name="Calculation 14 3 2 4 3" xfId="33231"/>
    <cellStyle name="Calculation 14 3 2 5" xfId="17536"/>
    <cellStyle name="Calculation 14 3 2 5 2" xfId="38723"/>
    <cellStyle name="Calculation 14 3 2 6" xfId="27843"/>
    <cellStyle name="Calculation 14 3 2_Table 2A-1_EFT (Annual)" xfId="6461"/>
    <cellStyle name="Calculation 14 3 3" xfId="921"/>
    <cellStyle name="Calculation 14 3 3 2" xfId="4482"/>
    <cellStyle name="Calculation 14 3 3 2 2" xfId="12744"/>
    <cellStyle name="Calculation 14 3 3 2 2 2" xfId="24754"/>
    <cellStyle name="Calculation 14 3 3 2 2 2 2" xfId="45940"/>
    <cellStyle name="Calculation 14 3 3 2 2 3" xfId="35336"/>
    <cellStyle name="Calculation 14 3 3 2 3" xfId="19641"/>
    <cellStyle name="Calculation 14 3 3 2 3 2" xfId="40828"/>
    <cellStyle name="Calculation 14 3 3 2 4" xfId="30139"/>
    <cellStyle name="Calculation 14 3 3 2_Table 2A-1_EFT (Annual)" xfId="14831"/>
    <cellStyle name="Calculation 14 3 3 3" xfId="10091"/>
    <cellStyle name="Calculation 14 3 3 3 2" xfId="22208"/>
    <cellStyle name="Calculation 14 3 3 3 2 2" xfId="43394"/>
    <cellStyle name="Calculation 14 3 3 3 3" xfId="32790"/>
    <cellStyle name="Calculation 14 3 3 4" xfId="17095"/>
    <cellStyle name="Calculation 14 3 3 4 2" xfId="38282"/>
    <cellStyle name="Calculation 14 3 3 5" xfId="27396"/>
    <cellStyle name="Calculation 14 3 3_Table 2A-1_EFT (Annual)" xfId="6460"/>
    <cellStyle name="Calculation 14 3 4" xfId="2107"/>
    <cellStyle name="Calculation 14 3 4 2" xfId="5668"/>
    <cellStyle name="Calculation 14 3 4 2 2" xfId="13883"/>
    <cellStyle name="Calculation 14 3 4 2 2 2" xfId="25871"/>
    <cellStyle name="Calculation 14 3 4 2 2 2 2" xfId="47057"/>
    <cellStyle name="Calculation 14 3 4 2 2 3" xfId="36453"/>
    <cellStyle name="Calculation 14 3 4 2 3" xfId="20758"/>
    <cellStyle name="Calculation 14 3 4 2 3 2" xfId="41945"/>
    <cellStyle name="Calculation 14 3 4 2 4" xfId="31325"/>
    <cellStyle name="Calculation 14 3 4 2_Table 2A-1_EFT (Annual)" xfId="14830"/>
    <cellStyle name="Calculation 14 3 4 3" xfId="11227"/>
    <cellStyle name="Calculation 14 3 4 3 2" xfId="23325"/>
    <cellStyle name="Calculation 14 3 4 3 2 2" xfId="44511"/>
    <cellStyle name="Calculation 14 3 4 3 3" xfId="33907"/>
    <cellStyle name="Calculation 14 3 4 4" xfId="18212"/>
    <cellStyle name="Calculation 14 3 4 4 2" xfId="39399"/>
    <cellStyle name="Calculation 14 3 4 5" xfId="28582"/>
    <cellStyle name="Calculation 14 3 4_Table 2A-1_EFT (Annual)" xfId="6459"/>
    <cellStyle name="Calculation 14 3 5" xfId="3955"/>
    <cellStyle name="Calculation 14 3 5 2" xfId="12283"/>
    <cellStyle name="Calculation 14 3 5 2 2" xfId="24307"/>
    <cellStyle name="Calculation 14 3 5 2 2 2" xfId="45493"/>
    <cellStyle name="Calculation 14 3 5 2 3" xfId="34889"/>
    <cellStyle name="Calculation 14 3 5 3" xfId="19194"/>
    <cellStyle name="Calculation 14 3 5 3 2" xfId="40381"/>
    <cellStyle name="Calculation 14 3 5 4" xfId="29643"/>
    <cellStyle name="Calculation 14 3 5_Table 2A-1_EFT (Annual)" xfId="14829"/>
    <cellStyle name="Calculation 14 3 6" xfId="9620"/>
    <cellStyle name="Calculation 14 3 6 2" xfId="21761"/>
    <cellStyle name="Calculation 14 3 6 2 2" xfId="42947"/>
    <cellStyle name="Calculation 14 3 6 3" xfId="32343"/>
    <cellStyle name="Calculation 14 3 7" xfId="16648"/>
    <cellStyle name="Calculation 14 3 7 2" xfId="37835"/>
    <cellStyle name="Calculation 14 3 8" xfId="26900"/>
    <cellStyle name="Calculation 14 3_Table 2A-1_EFT (Annual)" xfId="2905"/>
    <cellStyle name="Calculation 14 4" xfId="1202"/>
    <cellStyle name="Calculation 14 4 2" xfId="2472"/>
    <cellStyle name="Calculation 14 4 2 2" xfId="6033"/>
    <cellStyle name="Calculation 14 4 2 2 2" xfId="14227"/>
    <cellStyle name="Calculation 14 4 2 2 2 2" xfId="26199"/>
    <cellStyle name="Calculation 14 4 2 2 2 2 2" xfId="47385"/>
    <cellStyle name="Calculation 14 4 2 2 2 3" xfId="36781"/>
    <cellStyle name="Calculation 14 4 2 2 3" xfId="21086"/>
    <cellStyle name="Calculation 14 4 2 2 3 2" xfId="42273"/>
    <cellStyle name="Calculation 14 4 2 2 4" xfId="31689"/>
    <cellStyle name="Calculation 14 4 2 2_Table 2A-1_EFT (Annual)" xfId="14828"/>
    <cellStyle name="Calculation 14 4 2 3" xfId="11569"/>
    <cellStyle name="Calculation 14 4 2 3 2" xfId="23653"/>
    <cellStyle name="Calculation 14 4 2 3 2 2" xfId="44839"/>
    <cellStyle name="Calculation 14 4 2 3 3" xfId="34235"/>
    <cellStyle name="Calculation 14 4 2 4" xfId="18540"/>
    <cellStyle name="Calculation 14 4 2 4 2" xfId="39727"/>
    <cellStyle name="Calculation 14 4 2 5" xfId="28946"/>
    <cellStyle name="Calculation 14 4 2_Table 2A-1_EFT (Annual)" xfId="6456"/>
    <cellStyle name="Calculation 14 4 3" xfId="4763"/>
    <cellStyle name="Calculation 14 4 3 2" xfId="13023"/>
    <cellStyle name="Calculation 14 4 3 2 2" xfId="25029"/>
    <cellStyle name="Calculation 14 4 3 2 2 2" xfId="46215"/>
    <cellStyle name="Calculation 14 4 3 2 3" xfId="35611"/>
    <cellStyle name="Calculation 14 4 3 3" xfId="19916"/>
    <cellStyle name="Calculation 14 4 3 3 2" xfId="41103"/>
    <cellStyle name="Calculation 14 4 3 4" xfId="30420"/>
    <cellStyle name="Calculation 14 4 3_Table 2A-1_EFT (Annual)" xfId="14827"/>
    <cellStyle name="Calculation 14 4 4" xfId="10367"/>
    <cellStyle name="Calculation 14 4 4 2" xfId="22483"/>
    <cellStyle name="Calculation 14 4 4 2 2" xfId="43669"/>
    <cellStyle name="Calculation 14 4 4 3" xfId="33065"/>
    <cellStyle name="Calculation 14 4 5" xfId="17370"/>
    <cellStyle name="Calculation 14 4 5 2" xfId="38557"/>
    <cellStyle name="Calculation 14 4 6" xfId="27677"/>
    <cellStyle name="Calculation 14 4_Table 2A-1_EFT (Annual)" xfId="6452"/>
    <cellStyle name="Calculation 14 5" xfId="762"/>
    <cellStyle name="Calculation 14 5 2" xfId="4323"/>
    <cellStyle name="Calculation 14 5 2 2" xfId="12603"/>
    <cellStyle name="Calculation 14 5 2 2 2" xfId="24620"/>
    <cellStyle name="Calculation 14 5 2 2 2 2" xfId="45806"/>
    <cellStyle name="Calculation 14 5 2 2 3" xfId="35202"/>
    <cellStyle name="Calculation 14 5 2 3" xfId="19507"/>
    <cellStyle name="Calculation 14 5 2 3 2" xfId="40694"/>
    <cellStyle name="Calculation 14 5 2 4" xfId="29980"/>
    <cellStyle name="Calculation 14 5 2_Table 2A-1_EFT (Annual)" xfId="14826"/>
    <cellStyle name="Calculation 14 5 3" xfId="9951"/>
    <cellStyle name="Calculation 14 5 3 2" xfId="22074"/>
    <cellStyle name="Calculation 14 5 3 2 2" xfId="43260"/>
    <cellStyle name="Calculation 14 5 3 3" xfId="32656"/>
    <cellStyle name="Calculation 14 5 4" xfId="16961"/>
    <cellStyle name="Calculation 14 5 4 2" xfId="38148"/>
    <cellStyle name="Calculation 14 5 5" xfId="27237"/>
    <cellStyle name="Calculation 14 5_Table 2A-1_EFT (Annual)" xfId="6454"/>
    <cellStyle name="Calculation 14 6" xfId="1847"/>
    <cellStyle name="Calculation 14 6 2" xfId="5408"/>
    <cellStyle name="Calculation 14 6 2 2" xfId="13623"/>
    <cellStyle name="Calculation 14 6 2 2 2" xfId="25611"/>
    <cellStyle name="Calculation 14 6 2 2 2 2" xfId="46797"/>
    <cellStyle name="Calculation 14 6 2 2 3" xfId="36193"/>
    <cellStyle name="Calculation 14 6 2 3" xfId="20498"/>
    <cellStyle name="Calculation 14 6 2 3 2" xfId="41685"/>
    <cellStyle name="Calculation 14 6 2 4" xfId="31065"/>
    <cellStyle name="Calculation 14 6 2_Table 2A-1_EFT (Annual)" xfId="14825"/>
    <cellStyle name="Calculation 14 6 3" xfId="10967"/>
    <cellStyle name="Calculation 14 6 3 2" xfId="23065"/>
    <cellStyle name="Calculation 14 6 3 2 2" xfId="44251"/>
    <cellStyle name="Calculation 14 6 3 3" xfId="33647"/>
    <cellStyle name="Calculation 14 6 4" xfId="17952"/>
    <cellStyle name="Calculation 14 6 4 2" xfId="39139"/>
    <cellStyle name="Calculation 14 6 5" xfId="28322"/>
    <cellStyle name="Calculation 14 6_Table 2A-1_EFT (Annual)" xfId="6455"/>
    <cellStyle name="Calculation 14 7" xfId="3743"/>
    <cellStyle name="Calculation 14 7 2" xfId="12111"/>
    <cellStyle name="Calculation 14 7 2 2" xfId="24141"/>
    <cellStyle name="Calculation 14 7 2 2 2" xfId="45327"/>
    <cellStyle name="Calculation 14 7 2 3" xfId="34723"/>
    <cellStyle name="Calculation 14 7 3" xfId="19028"/>
    <cellStyle name="Calculation 14 7 3 2" xfId="40215"/>
    <cellStyle name="Calculation 14 7 4" xfId="29452"/>
    <cellStyle name="Calculation 14 7_Table 2A-1_EFT (Annual)" xfId="14824"/>
    <cellStyle name="Calculation 14 8" xfId="9430"/>
    <cellStyle name="Calculation 14 8 2" xfId="21595"/>
    <cellStyle name="Calculation 14 8 2 2" xfId="42781"/>
    <cellStyle name="Calculation 14 8 3" xfId="32177"/>
    <cellStyle name="Calculation 14 9" xfId="16482"/>
    <cellStyle name="Calculation 14 9 2" xfId="37669"/>
    <cellStyle name="Calculation 14_Table 2A-1_EFT (Annual)" xfId="2903"/>
    <cellStyle name="Calculation 15" xfId="147"/>
    <cellStyle name="Calculation 15 10" xfId="26702"/>
    <cellStyle name="Calculation 15 2" xfId="540"/>
    <cellStyle name="Calculation 15 2 2" xfId="1517"/>
    <cellStyle name="Calculation 15 2 2 2" xfId="2787"/>
    <cellStyle name="Calculation 15 2 2 2 2" xfId="6348"/>
    <cellStyle name="Calculation 15 2 2 2 2 2" xfId="14542"/>
    <cellStyle name="Calculation 15 2 2 2 2 2 2" xfId="26514"/>
    <cellStyle name="Calculation 15 2 2 2 2 2 2 2" xfId="47700"/>
    <cellStyle name="Calculation 15 2 2 2 2 2 3" xfId="37096"/>
    <cellStyle name="Calculation 15 2 2 2 2 3" xfId="21401"/>
    <cellStyle name="Calculation 15 2 2 2 2 3 2" xfId="42588"/>
    <cellStyle name="Calculation 15 2 2 2 2 4" xfId="32004"/>
    <cellStyle name="Calculation 15 2 2 2 2_Table 2A-1_EFT (Annual)" xfId="14823"/>
    <cellStyle name="Calculation 15 2 2 2 3" xfId="11884"/>
    <cellStyle name="Calculation 15 2 2 2 3 2" xfId="23968"/>
    <cellStyle name="Calculation 15 2 2 2 3 2 2" xfId="45154"/>
    <cellStyle name="Calculation 15 2 2 2 3 3" xfId="34550"/>
    <cellStyle name="Calculation 15 2 2 2 4" xfId="18855"/>
    <cellStyle name="Calculation 15 2 2 2 4 2" xfId="40042"/>
    <cellStyle name="Calculation 15 2 2 2 5" xfId="29261"/>
    <cellStyle name="Calculation 15 2 2 2_Table 2A-1_EFT (Annual)" xfId="3608"/>
    <cellStyle name="Calculation 15 2 2 3" xfId="5078"/>
    <cellStyle name="Calculation 15 2 2 3 2" xfId="13338"/>
    <cellStyle name="Calculation 15 2 2 3 2 2" xfId="25344"/>
    <cellStyle name="Calculation 15 2 2 3 2 2 2" xfId="46530"/>
    <cellStyle name="Calculation 15 2 2 3 2 3" xfId="35926"/>
    <cellStyle name="Calculation 15 2 2 3 3" xfId="20231"/>
    <cellStyle name="Calculation 15 2 2 3 3 2" xfId="41418"/>
    <cellStyle name="Calculation 15 2 2 3 4" xfId="30735"/>
    <cellStyle name="Calculation 15 2 2 3_Table 2A-1_EFT (Annual)" xfId="14822"/>
    <cellStyle name="Calculation 15 2 2 4" xfId="10682"/>
    <cellStyle name="Calculation 15 2 2 4 2" xfId="22798"/>
    <cellStyle name="Calculation 15 2 2 4 2 2" xfId="43984"/>
    <cellStyle name="Calculation 15 2 2 4 3" xfId="33380"/>
    <cellStyle name="Calculation 15 2 2 5" xfId="17685"/>
    <cellStyle name="Calculation 15 2 2 5 2" xfId="38872"/>
    <cellStyle name="Calculation 15 2 2 6" xfId="27992"/>
    <cellStyle name="Calculation 15 2 2_Table 2A-1_EFT (Annual)" xfId="6453"/>
    <cellStyle name="Calculation 15 2 3" xfId="1048"/>
    <cellStyle name="Calculation 15 2 3 2" xfId="4609"/>
    <cellStyle name="Calculation 15 2 3 2 2" xfId="12869"/>
    <cellStyle name="Calculation 15 2 3 2 2 2" xfId="24875"/>
    <cellStyle name="Calculation 15 2 3 2 2 2 2" xfId="46061"/>
    <cellStyle name="Calculation 15 2 3 2 2 3" xfId="35457"/>
    <cellStyle name="Calculation 15 2 3 2 3" xfId="19762"/>
    <cellStyle name="Calculation 15 2 3 2 3 2" xfId="40949"/>
    <cellStyle name="Calculation 15 2 3 2 4" xfId="30266"/>
    <cellStyle name="Calculation 15 2 3 2_Table 2A-1_EFT (Annual)" xfId="14821"/>
    <cellStyle name="Calculation 15 2 3 3" xfId="10213"/>
    <cellStyle name="Calculation 15 2 3 3 2" xfId="22329"/>
    <cellStyle name="Calculation 15 2 3 3 2 2" xfId="43515"/>
    <cellStyle name="Calculation 15 2 3 3 3" xfId="32911"/>
    <cellStyle name="Calculation 15 2 3 4" xfId="17216"/>
    <cellStyle name="Calculation 15 2 3 4 2" xfId="38403"/>
    <cellStyle name="Calculation 15 2 3 5" xfId="27523"/>
    <cellStyle name="Calculation 15 2 3_Table 2A-1_EFT (Annual)" xfId="4258"/>
    <cellStyle name="Calculation 15 2 4" xfId="2256"/>
    <cellStyle name="Calculation 15 2 4 2" xfId="5817"/>
    <cellStyle name="Calculation 15 2 4 2 2" xfId="14032"/>
    <cellStyle name="Calculation 15 2 4 2 2 2" xfId="26020"/>
    <cellStyle name="Calculation 15 2 4 2 2 2 2" xfId="47206"/>
    <cellStyle name="Calculation 15 2 4 2 2 3" xfId="36602"/>
    <cellStyle name="Calculation 15 2 4 2 3" xfId="20907"/>
    <cellStyle name="Calculation 15 2 4 2 3 2" xfId="42094"/>
    <cellStyle name="Calculation 15 2 4 2 4" xfId="31474"/>
    <cellStyle name="Calculation 15 2 4 2_Table 2A-1_EFT (Annual)" xfId="14820"/>
    <cellStyle name="Calculation 15 2 4 3" xfId="11376"/>
    <cellStyle name="Calculation 15 2 4 3 2" xfId="23474"/>
    <cellStyle name="Calculation 15 2 4 3 2 2" xfId="44660"/>
    <cellStyle name="Calculation 15 2 4 3 3" xfId="34056"/>
    <cellStyle name="Calculation 15 2 4 4" xfId="18361"/>
    <cellStyle name="Calculation 15 2 4 4 2" xfId="39548"/>
    <cellStyle name="Calculation 15 2 4 5" xfId="28731"/>
    <cellStyle name="Calculation 15 2 4_Table 2A-1_EFT (Annual)" xfId="3863"/>
    <cellStyle name="Calculation 15 2 5" xfId="4110"/>
    <cellStyle name="Calculation 15 2 5 2" xfId="12434"/>
    <cellStyle name="Calculation 15 2 5 2 2" xfId="24456"/>
    <cellStyle name="Calculation 15 2 5 2 2 2" xfId="45642"/>
    <cellStyle name="Calculation 15 2 5 2 3" xfId="35038"/>
    <cellStyle name="Calculation 15 2 5 3" xfId="19343"/>
    <cellStyle name="Calculation 15 2 5 3 2" xfId="40530"/>
    <cellStyle name="Calculation 15 2 5 4" xfId="29798"/>
    <cellStyle name="Calculation 15 2 5_Table 2A-1_EFT (Annual)" xfId="14819"/>
    <cellStyle name="Calculation 15 2 6" xfId="9773"/>
    <cellStyle name="Calculation 15 2 6 2" xfId="21910"/>
    <cellStyle name="Calculation 15 2 6 2 2" xfId="43096"/>
    <cellStyle name="Calculation 15 2 6 3" xfId="32492"/>
    <cellStyle name="Calculation 15 2 7" xfId="16797"/>
    <cellStyle name="Calculation 15 2 7 2" xfId="37984"/>
    <cellStyle name="Calculation 15 2 8" xfId="27055"/>
    <cellStyle name="Calculation 15 2_Table 2A-1_EFT (Annual)" xfId="2907"/>
    <cellStyle name="Calculation 15 3" xfId="378"/>
    <cellStyle name="Calculation 15 3 2" xfId="1361"/>
    <cellStyle name="Calculation 15 3 2 2" xfId="2631"/>
    <cellStyle name="Calculation 15 3 2 2 2" xfId="6192"/>
    <cellStyle name="Calculation 15 3 2 2 2 2" xfId="14386"/>
    <cellStyle name="Calculation 15 3 2 2 2 2 2" xfId="26358"/>
    <cellStyle name="Calculation 15 3 2 2 2 2 2 2" xfId="47544"/>
    <cellStyle name="Calculation 15 3 2 2 2 2 3" xfId="36940"/>
    <cellStyle name="Calculation 15 3 2 2 2 3" xfId="21245"/>
    <cellStyle name="Calculation 15 3 2 2 2 3 2" xfId="42432"/>
    <cellStyle name="Calculation 15 3 2 2 2 4" xfId="31848"/>
    <cellStyle name="Calculation 15 3 2 2 2_Table 2A-1_EFT (Annual)" xfId="14818"/>
    <cellStyle name="Calculation 15 3 2 2 3" xfId="11728"/>
    <cellStyle name="Calculation 15 3 2 2 3 2" xfId="23812"/>
    <cellStyle name="Calculation 15 3 2 2 3 2 2" xfId="44998"/>
    <cellStyle name="Calculation 15 3 2 2 3 3" xfId="34394"/>
    <cellStyle name="Calculation 15 3 2 2 4" xfId="18699"/>
    <cellStyle name="Calculation 15 3 2 2 4 2" xfId="39886"/>
    <cellStyle name="Calculation 15 3 2 2 5" xfId="29105"/>
    <cellStyle name="Calculation 15 3 2 2_Table 2A-1_EFT (Annual)" xfId="3637"/>
    <cellStyle name="Calculation 15 3 2 3" xfId="4922"/>
    <cellStyle name="Calculation 15 3 2 3 2" xfId="13182"/>
    <cellStyle name="Calculation 15 3 2 3 2 2" xfId="25188"/>
    <cellStyle name="Calculation 15 3 2 3 2 2 2" xfId="46374"/>
    <cellStyle name="Calculation 15 3 2 3 2 3" xfId="35770"/>
    <cellStyle name="Calculation 15 3 2 3 3" xfId="20075"/>
    <cellStyle name="Calculation 15 3 2 3 3 2" xfId="41262"/>
    <cellStyle name="Calculation 15 3 2 3 4" xfId="30579"/>
    <cellStyle name="Calculation 15 3 2 3_Table 2A-1_EFT (Annual)" xfId="14817"/>
    <cellStyle name="Calculation 15 3 2 4" xfId="10526"/>
    <cellStyle name="Calculation 15 3 2 4 2" xfId="22642"/>
    <cellStyle name="Calculation 15 3 2 4 2 2" xfId="43828"/>
    <cellStyle name="Calculation 15 3 2 4 3" xfId="33224"/>
    <cellStyle name="Calculation 15 3 2 5" xfId="17529"/>
    <cellStyle name="Calculation 15 3 2 5 2" xfId="38716"/>
    <cellStyle name="Calculation 15 3 2 6" xfId="27836"/>
    <cellStyle name="Calculation 15 3 2_Table 2A-1_EFT (Annual)" xfId="3862"/>
    <cellStyle name="Calculation 15 3 3" xfId="916"/>
    <cellStyle name="Calculation 15 3 3 2" xfId="4477"/>
    <cellStyle name="Calculation 15 3 3 2 2" xfId="12739"/>
    <cellStyle name="Calculation 15 3 3 2 2 2" xfId="24749"/>
    <cellStyle name="Calculation 15 3 3 2 2 2 2" xfId="45935"/>
    <cellStyle name="Calculation 15 3 3 2 2 3" xfId="35331"/>
    <cellStyle name="Calculation 15 3 3 2 3" xfId="19636"/>
    <cellStyle name="Calculation 15 3 3 2 3 2" xfId="40823"/>
    <cellStyle name="Calculation 15 3 3 2 4" xfId="30134"/>
    <cellStyle name="Calculation 15 3 3 2_Table 2A-1_EFT (Annual)" xfId="14816"/>
    <cellStyle name="Calculation 15 3 3 3" xfId="10086"/>
    <cellStyle name="Calculation 15 3 3 3 2" xfId="22203"/>
    <cellStyle name="Calculation 15 3 3 3 2 2" xfId="43389"/>
    <cellStyle name="Calculation 15 3 3 3 3" xfId="32785"/>
    <cellStyle name="Calculation 15 3 3 4" xfId="17090"/>
    <cellStyle name="Calculation 15 3 3 4 2" xfId="38277"/>
    <cellStyle name="Calculation 15 3 3 5" xfId="27391"/>
    <cellStyle name="Calculation 15 3 3_Table 2A-1_EFT (Annual)" xfId="3636"/>
    <cellStyle name="Calculation 15 3 4" xfId="2100"/>
    <cellStyle name="Calculation 15 3 4 2" xfId="5661"/>
    <cellStyle name="Calculation 15 3 4 2 2" xfId="13876"/>
    <cellStyle name="Calculation 15 3 4 2 2 2" xfId="25864"/>
    <cellStyle name="Calculation 15 3 4 2 2 2 2" xfId="47050"/>
    <cellStyle name="Calculation 15 3 4 2 2 3" xfId="36446"/>
    <cellStyle name="Calculation 15 3 4 2 3" xfId="20751"/>
    <cellStyle name="Calculation 15 3 4 2 3 2" xfId="41938"/>
    <cellStyle name="Calculation 15 3 4 2 4" xfId="31318"/>
    <cellStyle name="Calculation 15 3 4 2_Table 2A-1_EFT (Annual)" xfId="14815"/>
    <cellStyle name="Calculation 15 3 4 3" xfId="11220"/>
    <cellStyle name="Calculation 15 3 4 3 2" xfId="23318"/>
    <cellStyle name="Calculation 15 3 4 3 2 2" xfId="44504"/>
    <cellStyle name="Calculation 15 3 4 3 3" xfId="33900"/>
    <cellStyle name="Calculation 15 3 4 4" xfId="18205"/>
    <cellStyle name="Calculation 15 3 4 4 2" xfId="39392"/>
    <cellStyle name="Calculation 15 3 4 5" xfId="28575"/>
    <cellStyle name="Calculation 15 3 4_Table 2A-1_EFT (Annual)" xfId="4256"/>
    <cellStyle name="Calculation 15 3 5" xfId="3948"/>
    <cellStyle name="Calculation 15 3 5 2" xfId="12276"/>
    <cellStyle name="Calculation 15 3 5 2 2" xfId="24300"/>
    <cellStyle name="Calculation 15 3 5 2 2 2" xfId="45486"/>
    <cellStyle name="Calculation 15 3 5 2 3" xfId="34882"/>
    <cellStyle name="Calculation 15 3 5 3" xfId="19187"/>
    <cellStyle name="Calculation 15 3 5 3 2" xfId="40374"/>
    <cellStyle name="Calculation 15 3 5 4" xfId="29636"/>
    <cellStyle name="Calculation 15 3 5_Table 2A-1_EFT (Annual)" xfId="14814"/>
    <cellStyle name="Calculation 15 3 6" xfId="9613"/>
    <cellStyle name="Calculation 15 3 6 2" xfId="21754"/>
    <cellStyle name="Calculation 15 3 6 2 2" xfId="42940"/>
    <cellStyle name="Calculation 15 3 6 3" xfId="32336"/>
    <cellStyle name="Calculation 15 3 7" xfId="16641"/>
    <cellStyle name="Calculation 15 3 7 2" xfId="37828"/>
    <cellStyle name="Calculation 15 3 8" xfId="26893"/>
    <cellStyle name="Calculation 15 3_Table 2A-1_EFT (Annual)" xfId="2908"/>
    <cellStyle name="Calculation 15 4" xfId="1195"/>
    <cellStyle name="Calculation 15 4 2" xfId="2465"/>
    <cellStyle name="Calculation 15 4 2 2" xfId="6026"/>
    <cellStyle name="Calculation 15 4 2 2 2" xfId="14220"/>
    <cellStyle name="Calculation 15 4 2 2 2 2" xfId="26192"/>
    <cellStyle name="Calculation 15 4 2 2 2 2 2" xfId="47378"/>
    <cellStyle name="Calculation 15 4 2 2 2 3" xfId="36774"/>
    <cellStyle name="Calculation 15 4 2 2 3" xfId="21079"/>
    <cellStyle name="Calculation 15 4 2 2 3 2" xfId="42266"/>
    <cellStyle name="Calculation 15 4 2 2 4" xfId="31682"/>
    <cellStyle name="Calculation 15 4 2 2_Table 2A-1_EFT (Annual)" xfId="14813"/>
    <cellStyle name="Calculation 15 4 2 3" xfId="11562"/>
    <cellStyle name="Calculation 15 4 2 3 2" xfId="23646"/>
    <cellStyle name="Calculation 15 4 2 3 2 2" xfId="44832"/>
    <cellStyle name="Calculation 15 4 2 3 3" xfId="34228"/>
    <cellStyle name="Calculation 15 4 2 4" xfId="18533"/>
    <cellStyle name="Calculation 15 4 2 4 2" xfId="39720"/>
    <cellStyle name="Calculation 15 4 2 5" xfId="28939"/>
    <cellStyle name="Calculation 15 4 2_Table 2A-1_EFT (Annual)" xfId="4255"/>
    <cellStyle name="Calculation 15 4 3" xfId="4756"/>
    <cellStyle name="Calculation 15 4 3 2" xfId="13016"/>
    <cellStyle name="Calculation 15 4 3 2 2" xfId="25022"/>
    <cellStyle name="Calculation 15 4 3 2 2 2" xfId="46208"/>
    <cellStyle name="Calculation 15 4 3 2 3" xfId="35604"/>
    <cellStyle name="Calculation 15 4 3 3" xfId="19909"/>
    <cellStyle name="Calculation 15 4 3 3 2" xfId="41096"/>
    <cellStyle name="Calculation 15 4 3 4" xfId="30413"/>
    <cellStyle name="Calculation 15 4 3_Table 2A-1_EFT (Annual)" xfId="14812"/>
    <cellStyle name="Calculation 15 4 4" xfId="10360"/>
    <cellStyle name="Calculation 15 4 4 2" xfId="22476"/>
    <cellStyle name="Calculation 15 4 4 2 2" xfId="43662"/>
    <cellStyle name="Calculation 15 4 4 3" xfId="33058"/>
    <cellStyle name="Calculation 15 4 5" xfId="17363"/>
    <cellStyle name="Calculation 15 4 5 2" xfId="38550"/>
    <cellStyle name="Calculation 15 4 6" xfId="27670"/>
    <cellStyle name="Calculation 15 4_Table 2A-1_EFT (Annual)" xfId="3635"/>
    <cellStyle name="Calculation 15 5" xfId="757"/>
    <cellStyle name="Calculation 15 5 2" xfId="4318"/>
    <cellStyle name="Calculation 15 5 2 2" xfId="12598"/>
    <cellStyle name="Calculation 15 5 2 2 2" xfId="24615"/>
    <cellStyle name="Calculation 15 5 2 2 2 2" xfId="45801"/>
    <cellStyle name="Calculation 15 5 2 2 3" xfId="35197"/>
    <cellStyle name="Calculation 15 5 2 3" xfId="19502"/>
    <cellStyle name="Calculation 15 5 2 3 2" xfId="40689"/>
    <cellStyle name="Calculation 15 5 2 4" xfId="29975"/>
    <cellStyle name="Calculation 15 5 2_Table 2A-1_EFT (Annual)" xfId="14811"/>
    <cellStyle name="Calculation 15 5 3" xfId="9946"/>
    <cellStyle name="Calculation 15 5 3 2" xfId="22069"/>
    <cellStyle name="Calculation 15 5 3 2 2" xfId="43255"/>
    <cellStyle name="Calculation 15 5 3 3" xfId="32651"/>
    <cellStyle name="Calculation 15 5 4" xfId="16956"/>
    <cellStyle name="Calculation 15 5 4 2" xfId="38143"/>
    <cellStyle name="Calculation 15 5 5" xfId="27232"/>
    <cellStyle name="Calculation 15 5_Table 2A-1_EFT (Annual)" xfId="3860"/>
    <cellStyle name="Calculation 15 6" xfId="1783"/>
    <cellStyle name="Calculation 15 6 2" xfId="5344"/>
    <cellStyle name="Calculation 15 6 2 2" xfId="13559"/>
    <cellStyle name="Calculation 15 6 2 2 2" xfId="25547"/>
    <cellStyle name="Calculation 15 6 2 2 2 2" xfId="46733"/>
    <cellStyle name="Calculation 15 6 2 2 3" xfId="36129"/>
    <cellStyle name="Calculation 15 6 2 3" xfId="20434"/>
    <cellStyle name="Calculation 15 6 2 3 2" xfId="41621"/>
    <cellStyle name="Calculation 15 6 2 4" xfId="31001"/>
    <cellStyle name="Calculation 15 6 2_Table 2A-1_EFT (Annual)" xfId="14810"/>
    <cellStyle name="Calculation 15 6 3" xfId="10903"/>
    <cellStyle name="Calculation 15 6 3 2" xfId="23001"/>
    <cellStyle name="Calculation 15 6 3 2 2" xfId="44187"/>
    <cellStyle name="Calculation 15 6 3 3" xfId="33583"/>
    <cellStyle name="Calculation 15 6 4" xfId="17888"/>
    <cellStyle name="Calculation 15 6 4 2" xfId="39075"/>
    <cellStyle name="Calculation 15 6 5" xfId="28258"/>
    <cellStyle name="Calculation 15 6_Table 2A-1_EFT (Annual)" xfId="3634"/>
    <cellStyle name="Calculation 15 7" xfId="3736"/>
    <cellStyle name="Calculation 15 7 2" xfId="12104"/>
    <cellStyle name="Calculation 15 7 2 2" xfId="24134"/>
    <cellStyle name="Calculation 15 7 2 2 2" xfId="45320"/>
    <cellStyle name="Calculation 15 7 2 3" xfId="34716"/>
    <cellStyle name="Calculation 15 7 3" xfId="19021"/>
    <cellStyle name="Calculation 15 7 3 2" xfId="40208"/>
    <cellStyle name="Calculation 15 7 4" xfId="29445"/>
    <cellStyle name="Calculation 15 7_Table 2A-1_EFT (Annual)" xfId="14809"/>
    <cellStyle name="Calculation 15 8" xfId="9423"/>
    <cellStyle name="Calculation 15 8 2" xfId="21588"/>
    <cellStyle name="Calculation 15 8 2 2" xfId="42774"/>
    <cellStyle name="Calculation 15 8 3" xfId="32170"/>
    <cellStyle name="Calculation 15 9" xfId="16475"/>
    <cellStyle name="Calculation 15 9 2" xfId="37662"/>
    <cellStyle name="Calculation 15_Table 2A-1_EFT (Annual)" xfId="2906"/>
    <cellStyle name="Calculation 16" xfId="156"/>
    <cellStyle name="Calculation 16 10" xfId="26711"/>
    <cellStyle name="Calculation 16 2" xfId="549"/>
    <cellStyle name="Calculation 16 2 2" xfId="1526"/>
    <cellStyle name="Calculation 16 2 2 2" xfId="2796"/>
    <cellStyle name="Calculation 16 2 2 2 2" xfId="6357"/>
    <cellStyle name="Calculation 16 2 2 2 2 2" xfId="14551"/>
    <cellStyle name="Calculation 16 2 2 2 2 2 2" xfId="26523"/>
    <cellStyle name="Calculation 16 2 2 2 2 2 2 2" xfId="47709"/>
    <cellStyle name="Calculation 16 2 2 2 2 2 3" xfId="37105"/>
    <cellStyle name="Calculation 16 2 2 2 2 3" xfId="21410"/>
    <cellStyle name="Calculation 16 2 2 2 2 3 2" xfId="42597"/>
    <cellStyle name="Calculation 16 2 2 2 2 4" xfId="32013"/>
    <cellStyle name="Calculation 16 2 2 2 2_Table 2A-1_EFT (Annual)" xfId="14808"/>
    <cellStyle name="Calculation 16 2 2 2 3" xfId="11893"/>
    <cellStyle name="Calculation 16 2 2 2 3 2" xfId="23977"/>
    <cellStyle name="Calculation 16 2 2 2 3 2 2" xfId="45163"/>
    <cellStyle name="Calculation 16 2 2 2 3 3" xfId="34559"/>
    <cellStyle name="Calculation 16 2 2 2 4" xfId="18864"/>
    <cellStyle name="Calculation 16 2 2 2 4 2" xfId="40051"/>
    <cellStyle name="Calculation 16 2 2 2 5" xfId="29270"/>
    <cellStyle name="Calculation 16 2 2 2_Table 2A-1_EFT (Annual)" xfId="3859"/>
    <cellStyle name="Calculation 16 2 2 3" xfId="5087"/>
    <cellStyle name="Calculation 16 2 2 3 2" xfId="13347"/>
    <cellStyle name="Calculation 16 2 2 3 2 2" xfId="25353"/>
    <cellStyle name="Calculation 16 2 2 3 2 2 2" xfId="46539"/>
    <cellStyle name="Calculation 16 2 2 3 2 3" xfId="35935"/>
    <cellStyle name="Calculation 16 2 2 3 3" xfId="20240"/>
    <cellStyle name="Calculation 16 2 2 3 3 2" xfId="41427"/>
    <cellStyle name="Calculation 16 2 2 3 4" xfId="30744"/>
    <cellStyle name="Calculation 16 2 2 3_Table 2A-1_EFT (Annual)" xfId="14807"/>
    <cellStyle name="Calculation 16 2 2 4" xfId="10691"/>
    <cellStyle name="Calculation 16 2 2 4 2" xfId="22807"/>
    <cellStyle name="Calculation 16 2 2 4 2 2" xfId="43993"/>
    <cellStyle name="Calculation 16 2 2 4 3" xfId="33389"/>
    <cellStyle name="Calculation 16 2 2 5" xfId="17694"/>
    <cellStyle name="Calculation 16 2 2 5 2" xfId="38881"/>
    <cellStyle name="Calculation 16 2 2 6" xfId="28001"/>
    <cellStyle name="Calculation 16 2 2_Table 2A-1_EFT (Annual)" xfId="4254"/>
    <cellStyle name="Calculation 16 2 3" xfId="1055"/>
    <cellStyle name="Calculation 16 2 3 2" xfId="4616"/>
    <cellStyle name="Calculation 16 2 3 2 2" xfId="12876"/>
    <cellStyle name="Calculation 16 2 3 2 2 2" xfId="24882"/>
    <cellStyle name="Calculation 16 2 3 2 2 2 2" xfId="46068"/>
    <cellStyle name="Calculation 16 2 3 2 2 3" xfId="35464"/>
    <cellStyle name="Calculation 16 2 3 2 3" xfId="19769"/>
    <cellStyle name="Calculation 16 2 3 2 3 2" xfId="40956"/>
    <cellStyle name="Calculation 16 2 3 2 4" xfId="30273"/>
    <cellStyle name="Calculation 16 2 3 2_Table 2A-1_EFT (Annual)" xfId="14806"/>
    <cellStyle name="Calculation 16 2 3 3" xfId="10220"/>
    <cellStyle name="Calculation 16 2 3 3 2" xfId="22336"/>
    <cellStyle name="Calculation 16 2 3 3 2 2" xfId="43522"/>
    <cellStyle name="Calculation 16 2 3 3 3" xfId="32918"/>
    <cellStyle name="Calculation 16 2 3 4" xfId="17223"/>
    <cellStyle name="Calculation 16 2 3 4 2" xfId="38410"/>
    <cellStyle name="Calculation 16 2 3 5" xfId="27530"/>
    <cellStyle name="Calculation 16 2 3_Table 2A-1_EFT (Annual)" xfId="3633"/>
    <cellStyle name="Calculation 16 2 4" xfId="2265"/>
    <cellStyle name="Calculation 16 2 4 2" xfId="5826"/>
    <cellStyle name="Calculation 16 2 4 2 2" xfId="14041"/>
    <cellStyle name="Calculation 16 2 4 2 2 2" xfId="26029"/>
    <cellStyle name="Calculation 16 2 4 2 2 2 2" xfId="47215"/>
    <cellStyle name="Calculation 16 2 4 2 2 3" xfId="36611"/>
    <cellStyle name="Calculation 16 2 4 2 3" xfId="20916"/>
    <cellStyle name="Calculation 16 2 4 2 3 2" xfId="42103"/>
    <cellStyle name="Calculation 16 2 4 2 4" xfId="31483"/>
    <cellStyle name="Calculation 16 2 4 2_Table 2A-1_EFT (Annual)" xfId="14805"/>
    <cellStyle name="Calculation 16 2 4 3" xfId="11385"/>
    <cellStyle name="Calculation 16 2 4 3 2" xfId="23483"/>
    <cellStyle name="Calculation 16 2 4 3 2 2" xfId="44669"/>
    <cellStyle name="Calculation 16 2 4 3 3" xfId="34065"/>
    <cellStyle name="Calculation 16 2 4 4" xfId="18370"/>
    <cellStyle name="Calculation 16 2 4 4 2" xfId="39557"/>
    <cellStyle name="Calculation 16 2 4 5" xfId="28740"/>
    <cellStyle name="Calculation 16 2 4_Table 2A-1_EFT (Annual)" xfId="4253"/>
    <cellStyle name="Calculation 16 2 5" xfId="4119"/>
    <cellStyle name="Calculation 16 2 5 2" xfId="12443"/>
    <cellStyle name="Calculation 16 2 5 2 2" xfId="24465"/>
    <cellStyle name="Calculation 16 2 5 2 2 2" xfId="45651"/>
    <cellStyle name="Calculation 16 2 5 2 3" xfId="35047"/>
    <cellStyle name="Calculation 16 2 5 3" xfId="19352"/>
    <cellStyle name="Calculation 16 2 5 3 2" xfId="40539"/>
    <cellStyle name="Calculation 16 2 5 4" xfId="29807"/>
    <cellStyle name="Calculation 16 2 5_Table 2A-1_EFT (Annual)" xfId="14804"/>
    <cellStyle name="Calculation 16 2 6" xfId="9782"/>
    <cellStyle name="Calculation 16 2 6 2" xfId="21919"/>
    <cellStyle name="Calculation 16 2 6 2 2" xfId="43105"/>
    <cellStyle name="Calculation 16 2 6 3" xfId="32501"/>
    <cellStyle name="Calculation 16 2 7" xfId="16806"/>
    <cellStyle name="Calculation 16 2 7 2" xfId="37993"/>
    <cellStyle name="Calculation 16 2 8" xfId="27064"/>
    <cellStyle name="Calculation 16 2_Table 2A-1_EFT (Annual)" xfId="2910"/>
    <cellStyle name="Calculation 16 3" xfId="387"/>
    <cellStyle name="Calculation 16 3 2" xfId="1370"/>
    <cellStyle name="Calculation 16 3 2 2" xfId="2640"/>
    <cellStyle name="Calculation 16 3 2 2 2" xfId="6201"/>
    <cellStyle name="Calculation 16 3 2 2 2 2" xfId="14395"/>
    <cellStyle name="Calculation 16 3 2 2 2 2 2" xfId="26367"/>
    <cellStyle name="Calculation 16 3 2 2 2 2 2 2" xfId="47553"/>
    <cellStyle name="Calculation 16 3 2 2 2 2 3" xfId="36949"/>
    <cellStyle name="Calculation 16 3 2 2 2 3" xfId="21254"/>
    <cellStyle name="Calculation 16 3 2 2 2 3 2" xfId="42441"/>
    <cellStyle name="Calculation 16 3 2 2 2 4" xfId="31857"/>
    <cellStyle name="Calculation 16 3 2 2 2_Table 2A-1_EFT (Annual)" xfId="14803"/>
    <cellStyle name="Calculation 16 3 2 2 3" xfId="11737"/>
    <cellStyle name="Calculation 16 3 2 2 3 2" xfId="23821"/>
    <cellStyle name="Calculation 16 3 2 2 3 2 2" xfId="45007"/>
    <cellStyle name="Calculation 16 3 2 2 3 3" xfId="34403"/>
    <cellStyle name="Calculation 16 3 2 2 4" xfId="18708"/>
    <cellStyle name="Calculation 16 3 2 2 4 2" xfId="39895"/>
    <cellStyle name="Calculation 16 3 2 2 5" xfId="29114"/>
    <cellStyle name="Calculation 16 3 2 2_Table 2A-1_EFT (Annual)" xfId="3858"/>
    <cellStyle name="Calculation 16 3 2 3" xfId="4931"/>
    <cellStyle name="Calculation 16 3 2 3 2" xfId="13191"/>
    <cellStyle name="Calculation 16 3 2 3 2 2" xfId="25197"/>
    <cellStyle name="Calculation 16 3 2 3 2 2 2" xfId="46383"/>
    <cellStyle name="Calculation 16 3 2 3 2 3" xfId="35779"/>
    <cellStyle name="Calculation 16 3 2 3 3" xfId="20084"/>
    <cellStyle name="Calculation 16 3 2 3 3 2" xfId="41271"/>
    <cellStyle name="Calculation 16 3 2 3 4" xfId="30588"/>
    <cellStyle name="Calculation 16 3 2 3_Table 2A-1_EFT (Annual)" xfId="14802"/>
    <cellStyle name="Calculation 16 3 2 4" xfId="10535"/>
    <cellStyle name="Calculation 16 3 2 4 2" xfId="22651"/>
    <cellStyle name="Calculation 16 3 2 4 2 2" xfId="43837"/>
    <cellStyle name="Calculation 16 3 2 4 3" xfId="33233"/>
    <cellStyle name="Calculation 16 3 2 5" xfId="17538"/>
    <cellStyle name="Calculation 16 3 2 5 2" xfId="38725"/>
    <cellStyle name="Calculation 16 3 2 6" xfId="27845"/>
    <cellStyle name="Calculation 16 3 2_Table 2A-1_EFT (Annual)" xfId="4252"/>
    <cellStyle name="Calculation 16 3 3" xfId="923"/>
    <cellStyle name="Calculation 16 3 3 2" xfId="4484"/>
    <cellStyle name="Calculation 16 3 3 2 2" xfId="12746"/>
    <cellStyle name="Calculation 16 3 3 2 2 2" xfId="24756"/>
    <cellStyle name="Calculation 16 3 3 2 2 2 2" xfId="45942"/>
    <cellStyle name="Calculation 16 3 3 2 2 3" xfId="35338"/>
    <cellStyle name="Calculation 16 3 3 2 3" xfId="19643"/>
    <cellStyle name="Calculation 16 3 3 2 3 2" xfId="40830"/>
    <cellStyle name="Calculation 16 3 3 2 4" xfId="30141"/>
    <cellStyle name="Calculation 16 3 3 2_Table 2A-1_EFT (Annual)" xfId="14801"/>
    <cellStyle name="Calculation 16 3 3 3" xfId="10093"/>
    <cellStyle name="Calculation 16 3 3 3 2" xfId="22210"/>
    <cellStyle name="Calculation 16 3 3 3 2 2" xfId="43396"/>
    <cellStyle name="Calculation 16 3 3 3 3" xfId="32792"/>
    <cellStyle name="Calculation 16 3 3 4" xfId="17097"/>
    <cellStyle name="Calculation 16 3 3 4 2" xfId="38284"/>
    <cellStyle name="Calculation 16 3 3 5" xfId="27398"/>
    <cellStyle name="Calculation 16 3 3_Table 2A-1_EFT (Annual)" xfId="3632"/>
    <cellStyle name="Calculation 16 3 4" xfId="2109"/>
    <cellStyle name="Calculation 16 3 4 2" xfId="5670"/>
    <cellStyle name="Calculation 16 3 4 2 2" xfId="13885"/>
    <cellStyle name="Calculation 16 3 4 2 2 2" xfId="25873"/>
    <cellStyle name="Calculation 16 3 4 2 2 2 2" xfId="47059"/>
    <cellStyle name="Calculation 16 3 4 2 2 3" xfId="36455"/>
    <cellStyle name="Calculation 16 3 4 2 3" xfId="20760"/>
    <cellStyle name="Calculation 16 3 4 2 3 2" xfId="41947"/>
    <cellStyle name="Calculation 16 3 4 2 4" xfId="31327"/>
    <cellStyle name="Calculation 16 3 4 2_Table 2A-1_EFT (Annual)" xfId="14800"/>
    <cellStyle name="Calculation 16 3 4 3" xfId="11229"/>
    <cellStyle name="Calculation 16 3 4 3 2" xfId="23327"/>
    <cellStyle name="Calculation 16 3 4 3 2 2" xfId="44513"/>
    <cellStyle name="Calculation 16 3 4 3 3" xfId="33909"/>
    <cellStyle name="Calculation 16 3 4 4" xfId="18214"/>
    <cellStyle name="Calculation 16 3 4 4 2" xfId="39401"/>
    <cellStyle name="Calculation 16 3 4 5" xfId="28584"/>
    <cellStyle name="Calculation 16 3 4_Table 2A-1_EFT (Annual)" xfId="4251"/>
    <cellStyle name="Calculation 16 3 5" xfId="3957"/>
    <cellStyle name="Calculation 16 3 5 2" xfId="12285"/>
    <cellStyle name="Calculation 16 3 5 2 2" xfId="24309"/>
    <cellStyle name="Calculation 16 3 5 2 2 2" xfId="45495"/>
    <cellStyle name="Calculation 16 3 5 2 3" xfId="34891"/>
    <cellStyle name="Calculation 16 3 5 3" xfId="19196"/>
    <cellStyle name="Calculation 16 3 5 3 2" xfId="40383"/>
    <cellStyle name="Calculation 16 3 5 4" xfId="29645"/>
    <cellStyle name="Calculation 16 3 5_Table 2A-1_EFT (Annual)" xfId="14799"/>
    <cellStyle name="Calculation 16 3 6" xfId="9622"/>
    <cellStyle name="Calculation 16 3 6 2" xfId="21763"/>
    <cellStyle name="Calculation 16 3 6 2 2" xfId="42949"/>
    <cellStyle name="Calculation 16 3 6 3" xfId="32345"/>
    <cellStyle name="Calculation 16 3 7" xfId="16650"/>
    <cellStyle name="Calculation 16 3 7 2" xfId="37837"/>
    <cellStyle name="Calculation 16 3 8" xfId="26902"/>
    <cellStyle name="Calculation 16 3_Table 2A-1_EFT (Annual)" xfId="2911"/>
    <cellStyle name="Calculation 16 4" xfId="1204"/>
    <cellStyle name="Calculation 16 4 2" xfId="2474"/>
    <cellStyle name="Calculation 16 4 2 2" xfId="6035"/>
    <cellStyle name="Calculation 16 4 2 2 2" xfId="14229"/>
    <cellStyle name="Calculation 16 4 2 2 2 2" xfId="26201"/>
    <cellStyle name="Calculation 16 4 2 2 2 2 2" xfId="47387"/>
    <cellStyle name="Calculation 16 4 2 2 2 3" xfId="36783"/>
    <cellStyle name="Calculation 16 4 2 2 3" xfId="21088"/>
    <cellStyle name="Calculation 16 4 2 2 3 2" xfId="42275"/>
    <cellStyle name="Calculation 16 4 2 2 4" xfId="31691"/>
    <cellStyle name="Calculation 16 4 2 2_Table 2A-1_EFT (Annual)" xfId="14798"/>
    <cellStyle name="Calculation 16 4 2 3" xfId="11571"/>
    <cellStyle name="Calculation 16 4 2 3 2" xfId="23655"/>
    <cellStyle name="Calculation 16 4 2 3 2 2" xfId="44841"/>
    <cellStyle name="Calculation 16 4 2 3 3" xfId="34237"/>
    <cellStyle name="Calculation 16 4 2 4" xfId="18542"/>
    <cellStyle name="Calculation 16 4 2 4 2" xfId="39729"/>
    <cellStyle name="Calculation 16 4 2 5" xfId="28948"/>
    <cellStyle name="Calculation 16 4 2_Table 2A-1_EFT (Annual)" xfId="3631"/>
    <cellStyle name="Calculation 16 4 3" xfId="4765"/>
    <cellStyle name="Calculation 16 4 3 2" xfId="13025"/>
    <cellStyle name="Calculation 16 4 3 2 2" xfId="25031"/>
    <cellStyle name="Calculation 16 4 3 2 2 2" xfId="46217"/>
    <cellStyle name="Calculation 16 4 3 2 3" xfId="35613"/>
    <cellStyle name="Calculation 16 4 3 3" xfId="19918"/>
    <cellStyle name="Calculation 16 4 3 3 2" xfId="41105"/>
    <cellStyle name="Calculation 16 4 3 4" xfId="30422"/>
    <cellStyle name="Calculation 16 4 3_Table 2A-1_EFT (Annual)" xfId="14797"/>
    <cellStyle name="Calculation 16 4 4" xfId="10369"/>
    <cellStyle name="Calculation 16 4 4 2" xfId="22485"/>
    <cellStyle name="Calculation 16 4 4 2 2" xfId="43671"/>
    <cellStyle name="Calculation 16 4 4 3" xfId="33067"/>
    <cellStyle name="Calculation 16 4 5" xfId="17372"/>
    <cellStyle name="Calculation 16 4 5 2" xfId="38559"/>
    <cellStyle name="Calculation 16 4 6" xfId="27679"/>
    <cellStyle name="Calculation 16 4_Table 2A-1_EFT (Annual)" xfId="3648"/>
    <cellStyle name="Calculation 16 5" xfId="764"/>
    <cellStyle name="Calculation 16 5 2" xfId="4325"/>
    <cellStyle name="Calculation 16 5 2 2" xfId="12605"/>
    <cellStyle name="Calculation 16 5 2 2 2" xfId="24622"/>
    <cellStyle name="Calculation 16 5 2 2 2 2" xfId="45808"/>
    <cellStyle name="Calculation 16 5 2 2 3" xfId="35204"/>
    <cellStyle name="Calculation 16 5 2 3" xfId="19509"/>
    <cellStyle name="Calculation 16 5 2 3 2" xfId="40696"/>
    <cellStyle name="Calculation 16 5 2 4" xfId="29982"/>
    <cellStyle name="Calculation 16 5 2_Table 2A-1_EFT (Annual)" xfId="14796"/>
    <cellStyle name="Calculation 16 5 3" xfId="9953"/>
    <cellStyle name="Calculation 16 5 3 2" xfId="22076"/>
    <cellStyle name="Calculation 16 5 3 2 2" xfId="43262"/>
    <cellStyle name="Calculation 16 5 3 3" xfId="32658"/>
    <cellStyle name="Calculation 16 5 4" xfId="16963"/>
    <cellStyle name="Calculation 16 5 4 2" xfId="38150"/>
    <cellStyle name="Calculation 16 5 5" xfId="27239"/>
    <cellStyle name="Calculation 16 5_Table 2A-1_EFT (Annual)" xfId="3659"/>
    <cellStyle name="Calculation 16 6" xfId="1846"/>
    <cellStyle name="Calculation 16 6 2" xfId="5407"/>
    <cellStyle name="Calculation 16 6 2 2" xfId="13622"/>
    <cellStyle name="Calculation 16 6 2 2 2" xfId="25610"/>
    <cellStyle name="Calculation 16 6 2 2 2 2" xfId="46796"/>
    <cellStyle name="Calculation 16 6 2 2 3" xfId="36192"/>
    <cellStyle name="Calculation 16 6 2 3" xfId="20497"/>
    <cellStyle name="Calculation 16 6 2 3 2" xfId="41684"/>
    <cellStyle name="Calculation 16 6 2 4" xfId="31064"/>
    <cellStyle name="Calculation 16 6 2_Table 2A-1_EFT (Annual)" xfId="14795"/>
    <cellStyle name="Calculation 16 6 3" xfId="10966"/>
    <cellStyle name="Calculation 16 6 3 2" xfId="23064"/>
    <cellStyle name="Calculation 16 6 3 2 2" xfId="44250"/>
    <cellStyle name="Calculation 16 6 3 3" xfId="33646"/>
    <cellStyle name="Calculation 16 6 4" xfId="17951"/>
    <cellStyle name="Calculation 16 6 4 2" xfId="39138"/>
    <cellStyle name="Calculation 16 6 5" xfId="28321"/>
    <cellStyle name="Calculation 16 6_Table 2A-1_EFT (Annual)" xfId="3630"/>
    <cellStyle name="Calculation 16 7" xfId="3745"/>
    <cellStyle name="Calculation 16 7 2" xfId="12113"/>
    <cellStyle name="Calculation 16 7 2 2" xfId="24143"/>
    <cellStyle name="Calculation 16 7 2 2 2" xfId="45329"/>
    <cellStyle name="Calculation 16 7 2 3" xfId="34725"/>
    <cellStyle name="Calculation 16 7 3" xfId="19030"/>
    <cellStyle name="Calculation 16 7 3 2" xfId="40217"/>
    <cellStyle name="Calculation 16 7 4" xfId="29454"/>
    <cellStyle name="Calculation 16 7_Table 2A-1_EFT (Annual)" xfId="14794"/>
    <cellStyle name="Calculation 16 8" xfId="9432"/>
    <cellStyle name="Calculation 16 8 2" xfId="21597"/>
    <cellStyle name="Calculation 16 8 2 2" xfId="42783"/>
    <cellStyle name="Calculation 16 8 3" xfId="32179"/>
    <cellStyle name="Calculation 16 9" xfId="16484"/>
    <cellStyle name="Calculation 16 9 2" xfId="37671"/>
    <cellStyle name="Calculation 16_Table 2A-1_EFT (Annual)" xfId="2909"/>
    <cellStyle name="Calculation 17" xfId="164"/>
    <cellStyle name="Calculation 17 10" xfId="26719"/>
    <cellStyle name="Calculation 17 2" xfId="557"/>
    <cellStyle name="Calculation 17 2 2" xfId="1534"/>
    <cellStyle name="Calculation 17 2 2 2" xfId="2804"/>
    <cellStyle name="Calculation 17 2 2 2 2" xfId="6365"/>
    <cellStyle name="Calculation 17 2 2 2 2 2" xfId="14559"/>
    <cellStyle name="Calculation 17 2 2 2 2 2 2" xfId="26531"/>
    <cellStyle name="Calculation 17 2 2 2 2 2 2 2" xfId="47717"/>
    <cellStyle name="Calculation 17 2 2 2 2 2 3" xfId="37113"/>
    <cellStyle name="Calculation 17 2 2 2 2 3" xfId="21418"/>
    <cellStyle name="Calculation 17 2 2 2 2 3 2" xfId="42605"/>
    <cellStyle name="Calculation 17 2 2 2 2 4" xfId="32021"/>
    <cellStyle name="Calculation 17 2 2 2 2_Table 2A-1_EFT (Annual)" xfId="14793"/>
    <cellStyle name="Calculation 17 2 2 2 3" xfId="11901"/>
    <cellStyle name="Calculation 17 2 2 2 3 2" xfId="23985"/>
    <cellStyle name="Calculation 17 2 2 2 3 2 2" xfId="45171"/>
    <cellStyle name="Calculation 17 2 2 2 3 3" xfId="34567"/>
    <cellStyle name="Calculation 17 2 2 2 4" xfId="18872"/>
    <cellStyle name="Calculation 17 2 2 2 4 2" xfId="40059"/>
    <cellStyle name="Calculation 17 2 2 2 5" xfId="29278"/>
    <cellStyle name="Calculation 17 2 2 2_Table 2A-1_EFT (Annual)" xfId="3686"/>
    <cellStyle name="Calculation 17 2 2 3" xfId="5095"/>
    <cellStyle name="Calculation 17 2 2 3 2" xfId="13355"/>
    <cellStyle name="Calculation 17 2 2 3 2 2" xfId="25361"/>
    <cellStyle name="Calculation 17 2 2 3 2 2 2" xfId="46547"/>
    <cellStyle name="Calculation 17 2 2 3 2 3" xfId="35943"/>
    <cellStyle name="Calculation 17 2 2 3 3" xfId="20248"/>
    <cellStyle name="Calculation 17 2 2 3 3 2" xfId="41435"/>
    <cellStyle name="Calculation 17 2 2 3 4" xfId="30752"/>
    <cellStyle name="Calculation 17 2 2 3_Table 2A-1_EFT (Annual)" xfId="14792"/>
    <cellStyle name="Calculation 17 2 2 4" xfId="10699"/>
    <cellStyle name="Calculation 17 2 2 4 2" xfId="22815"/>
    <cellStyle name="Calculation 17 2 2 4 2 2" xfId="44001"/>
    <cellStyle name="Calculation 17 2 2 4 3" xfId="33397"/>
    <cellStyle name="Calculation 17 2 2 5" xfId="17702"/>
    <cellStyle name="Calculation 17 2 2 5 2" xfId="38889"/>
    <cellStyle name="Calculation 17 2 2 6" xfId="28009"/>
    <cellStyle name="Calculation 17 2 2_Table 2A-1_EFT (Annual)" xfId="3657"/>
    <cellStyle name="Calculation 17 2 3" xfId="1061"/>
    <cellStyle name="Calculation 17 2 3 2" xfId="4622"/>
    <cellStyle name="Calculation 17 2 3 2 2" xfId="12882"/>
    <cellStyle name="Calculation 17 2 3 2 2 2" xfId="24888"/>
    <cellStyle name="Calculation 17 2 3 2 2 2 2" xfId="46074"/>
    <cellStyle name="Calculation 17 2 3 2 2 3" xfId="35470"/>
    <cellStyle name="Calculation 17 2 3 2 3" xfId="19775"/>
    <cellStyle name="Calculation 17 2 3 2 3 2" xfId="40962"/>
    <cellStyle name="Calculation 17 2 3 2 4" xfId="30279"/>
    <cellStyle name="Calculation 17 2 3 2_Table 2A-1_EFT (Annual)" xfId="14791"/>
    <cellStyle name="Calculation 17 2 3 3" xfId="10226"/>
    <cellStyle name="Calculation 17 2 3 3 2" xfId="22342"/>
    <cellStyle name="Calculation 17 2 3 3 2 2" xfId="43528"/>
    <cellStyle name="Calculation 17 2 3 3 3" xfId="32924"/>
    <cellStyle name="Calculation 17 2 3 4" xfId="17229"/>
    <cellStyle name="Calculation 17 2 3 4 2" xfId="38416"/>
    <cellStyle name="Calculation 17 2 3 5" xfId="27536"/>
    <cellStyle name="Calculation 17 2 3_Table 2A-1_EFT (Annual)" xfId="3629"/>
    <cellStyle name="Calculation 17 2 4" xfId="2273"/>
    <cellStyle name="Calculation 17 2 4 2" xfId="5834"/>
    <cellStyle name="Calculation 17 2 4 2 2" xfId="14049"/>
    <cellStyle name="Calculation 17 2 4 2 2 2" xfId="26037"/>
    <cellStyle name="Calculation 17 2 4 2 2 2 2" xfId="47223"/>
    <cellStyle name="Calculation 17 2 4 2 2 3" xfId="36619"/>
    <cellStyle name="Calculation 17 2 4 2 3" xfId="20924"/>
    <cellStyle name="Calculation 17 2 4 2 3 2" xfId="42111"/>
    <cellStyle name="Calculation 17 2 4 2 4" xfId="31491"/>
    <cellStyle name="Calculation 17 2 4 2_Table 2A-1_EFT (Annual)" xfId="14790"/>
    <cellStyle name="Calculation 17 2 4 3" xfId="11393"/>
    <cellStyle name="Calculation 17 2 4 3 2" xfId="23491"/>
    <cellStyle name="Calculation 17 2 4 3 2 2" xfId="44677"/>
    <cellStyle name="Calculation 17 2 4 3 3" xfId="34073"/>
    <cellStyle name="Calculation 17 2 4 4" xfId="18378"/>
    <cellStyle name="Calculation 17 2 4 4 2" xfId="39565"/>
    <cellStyle name="Calculation 17 2 4 5" xfId="28748"/>
    <cellStyle name="Calculation 17 2 4_Table 2A-1_EFT (Annual)" xfId="3646"/>
    <cellStyle name="Calculation 17 2 5" xfId="4127"/>
    <cellStyle name="Calculation 17 2 5 2" xfId="12451"/>
    <cellStyle name="Calculation 17 2 5 2 2" xfId="24473"/>
    <cellStyle name="Calculation 17 2 5 2 2 2" xfId="45659"/>
    <cellStyle name="Calculation 17 2 5 2 3" xfId="35055"/>
    <cellStyle name="Calculation 17 2 5 3" xfId="19360"/>
    <cellStyle name="Calculation 17 2 5 3 2" xfId="40547"/>
    <cellStyle name="Calculation 17 2 5 4" xfId="29815"/>
    <cellStyle name="Calculation 17 2 5_Table 2A-1_EFT (Annual)" xfId="14789"/>
    <cellStyle name="Calculation 17 2 6" xfId="9790"/>
    <cellStyle name="Calculation 17 2 6 2" xfId="21927"/>
    <cellStyle name="Calculation 17 2 6 2 2" xfId="43113"/>
    <cellStyle name="Calculation 17 2 6 3" xfId="32509"/>
    <cellStyle name="Calculation 17 2 7" xfId="16814"/>
    <cellStyle name="Calculation 17 2 7 2" xfId="38001"/>
    <cellStyle name="Calculation 17 2 8" xfId="27072"/>
    <cellStyle name="Calculation 17 2_Table 2A-1_EFT (Annual)" xfId="2913"/>
    <cellStyle name="Calculation 17 3" xfId="395"/>
    <cellStyle name="Calculation 17 3 2" xfId="1378"/>
    <cellStyle name="Calculation 17 3 2 2" xfId="2648"/>
    <cellStyle name="Calculation 17 3 2 2 2" xfId="6209"/>
    <cellStyle name="Calculation 17 3 2 2 2 2" xfId="14403"/>
    <cellStyle name="Calculation 17 3 2 2 2 2 2" xfId="26375"/>
    <cellStyle name="Calculation 17 3 2 2 2 2 2 2" xfId="47561"/>
    <cellStyle name="Calculation 17 3 2 2 2 2 3" xfId="36957"/>
    <cellStyle name="Calculation 17 3 2 2 2 3" xfId="21262"/>
    <cellStyle name="Calculation 17 3 2 2 2 3 2" xfId="42449"/>
    <cellStyle name="Calculation 17 3 2 2 2 4" xfId="31865"/>
    <cellStyle name="Calculation 17 3 2 2 2_Table 2A-1_EFT (Annual)" xfId="14788"/>
    <cellStyle name="Calculation 17 3 2 2 3" xfId="11745"/>
    <cellStyle name="Calculation 17 3 2 2 3 2" xfId="23829"/>
    <cellStyle name="Calculation 17 3 2 2 3 2 2" xfId="45015"/>
    <cellStyle name="Calculation 17 3 2 2 3 3" xfId="34411"/>
    <cellStyle name="Calculation 17 3 2 2 4" xfId="18716"/>
    <cellStyle name="Calculation 17 3 2 2 4 2" xfId="39903"/>
    <cellStyle name="Calculation 17 3 2 2 5" xfId="29122"/>
    <cellStyle name="Calculation 17 3 2 2_Table 2A-1_EFT (Annual)" xfId="3627"/>
    <cellStyle name="Calculation 17 3 2 3" xfId="4939"/>
    <cellStyle name="Calculation 17 3 2 3 2" xfId="13199"/>
    <cellStyle name="Calculation 17 3 2 3 2 2" xfId="25205"/>
    <cellStyle name="Calculation 17 3 2 3 2 2 2" xfId="46391"/>
    <cellStyle name="Calculation 17 3 2 3 2 3" xfId="35787"/>
    <cellStyle name="Calculation 17 3 2 3 3" xfId="20092"/>
    <cellStyle name="Calculation 17 3 2 3 3 2" xfId="41279"/>
    <cellStyle name="Calculation 17 3 2 3 4" xfId="30596"/>
    <cellStyle name="Calculation 17 3 2 3_Table 2A-1_EFT (Annual)" xfId="14787"/>
    <cellStyle name="Calculation 17 3 2 4" xfId="10543"/>
    <cellStyle name="Calculation 17 3 2 4 2" xfId="22659"/>
    <cellStyle name="Calculation 17 3 2 4 2 2" xfId="43845"/>
    <cellStyle name="Calculation 17 3 2 4 3" xfId="33241"/>
    <cellStyle name="Calculation 17 3 2 5" xfId="17546"/>
    <cellStyle name="Calculation 17 3 2 5 2" xfId="38733"/>
    <cellStyle name="Calculation 17 3 2 6" xfId="27853"/>
    <cellStyle name="Calculation 17 3 2_Table 2A-1_EFT (Annual)" xfId="3628"/>
    <cellStyle name="Calculation 17 3 3" xfId="929"/>
    <cellStyle name="Calculation 17 3 3 2" xfId="4490"/>
    <cellStyle name="Calculation 17 3 3 2 2" xfId="12752"/>
    <cellStyle name="Calculation 17 3 3 2 2 2" xfId="24762"/>
    <cellStyle name="Calculation 17 3 3 2 2 2 2" xfId="45948"/>
    <cellStyle name="Calculation 17 3 3 2 2 3" xfId="35344"/>
    <cellStyle name="Calculation 17 3 3 2 3" xfId="19649"/>
    <cellStyle name="Calculation 17 3 3 2 3 2" xfId="40836"/>
    <cellStyle name="Calculation 17 3 3 2 4" xfId="30147"/>
    <cellStyle name="Calculation 17 3 3 2_Table 2A-1_EFT (Annual)" xfId="14786"/>
    <cellStyle name="Calculation 17 3 3 3" xfId="10099"/>
    <cellStyle name="Calculation 17 3 3 3 2" xfId="22216"/>
    <cellStyle name="Calculation 17 3 3 3 2 2" xfId="43402"/>
    <cellStyle name="Calculation 17 3 3 3 3" xfId="32798"/>
    <cellStyle name="Calculation 17 3 3 4" xfId="17103"/>
    <cellStyle name="Calculation 17 3 3 4 2" xfId="38290"/>
    <cellStyle name="Calculation 17 3 3 5" xfId="27404"/>
    <cellStyle name="Calculation 17 3 3_Table 2A-1_EFT (Annual)" xfId="4250"/>
    <cellStyle name="Calculation 17 3 4" xfId="2117"/>
    <cellStyle name="Calculation 17 3 4 2" xfId="5678"/>
    <cellStyle name="Calculation 17 3 4 2 2" xfId="13893"/>
    <cellStyle name="Calculation 17 3 4 2 2 2" xfId="25881"/>
    <cellStyle name="Calculation 17 3 4 2 2 2 2" xfId="47067"/>
    <cellStyle name="Calculation 17 3 4 2 2 3" xfId="36463"/>
    <cellStyle name="Calculation 17 3 4 2 3" xfId="20768"/>
    <cellStyle name="Calculation 17 3 4 2 3 2" xfId="41955"/>
    <cellStyle name="Calculation 17 3 4 2 4" xfId="31335"/>
    <cellStyle name="Calculation 17 3 4 2_Table 2A-1_EFT (Annual)" xfId="14785"/>
    <cellStyle name="Calculation 17 3 4 3" xfId="11237"/>
    <cellStyle name="Calculation 17 3 4 3 2" xfId="23335"/>
    <cellStyle name="Calculation 17 3 4 3 2 2" xfId="44521"/>
    <cellStyle name="Calculation 17 3 4 3 3" xfId="33917"/>
    <cellStyle name="Calculation 17 3 4 4" xfId="18222"/>
    <cellStyle name="Calculation 17 3 4 4 2" xfId="39409"/>
    <cellStyle name="Calculation 17 3 4 5" xfId="28592"/>
    <cellStyle name="Calculation 17 3 4_Table 2A-1_EFT (Annual)" xfId="3857"/>
    <cellStyle name="Calculation 17 3 5" xfId="3965"/>
    <cellStyle name="Calculation 17 3 5 2" xfId="12293"/>
    <cellStyle name="Calculation 17 3 5 2 2" xfId="24317"/>
    <cellStyle name="Calculation 17 3 5 2 2 2" xfId="45503"/>
    <cellStyle name="Calculation 17 3 5 2 3" xfId="34899"/>
    <cellStyle name="Calculation 17 3 5 3" xfId="19204"/>
    <cellStyle name="Calculation 17 3 5 3 2" xfId="40391"/>
    <cellStyle name="Calculation 17 3 5 4" xfId="29653"/>
    <cellStyle name="Calculation 17 3 5_Table 2A-1_EFT (Annual)" xfId="14784"/>
    <cellStyle name="Calculation 17 3 6" xfId="9630"/>
    <cellStyle name="Calculation 17 3 6 2" xfId="21771"/>
    <cellStyle name="Calculation 17 3 6 2 2" xfId="42957"/>
    <cellStyle name="Calculation 17 3 6 3" xfId="32353"/>
    <cellStyle name="Calculation 17 3 7" xfId="16658"/>
    <cellStyle name="Calculation 17 3 7 2" xfId="37845"/>
    <cellStyle name="Calculation 17 3 8" xfId="26910"/>
    <cellStyle name="Calculation 17 3_Table 2A-1_EFT (Annual)" xfId="2914"/>
    <cellStyle name="Calculation 17 4" xfId="1212"/>
    <cellStyle name="Calculation 17 4 2" xfId="2482"/>
    <cellStyle name="Calculation 17 4 2 2" xfId="6043"/>
    <cellStyle name="Calculation 17 4 2 2 2" xfId="14237"/>
    <cellStyle name="Calculation 17 4 2 2 2 2" xfId="26209"/>
    <cellStyle name="Calculation 17 4 2 2 2 2 2" xfId="47395"/>
    <cellStyle name="Calculation 17 4 2 2 2 3" xfId="36791"/>
    <cellStyle name="Calculation 17 4 2 2 3" xfId="21096"/>
    <cellStyle name="Calculation 17 4 2 2 3 2" xfId="42283"/>
    <cellStyle name="Calculation 17 4 2 2 4" xfId="31699"/>
    <cellStyle name="Calculation 17 4 2 2_Table 2A-1_EFT (Annual)" xfId="14783"/>
    <cellStyle name="Calculation 17 4 2 3" xfId="11579"/>
    <cellStyle name="Calculation 17 4 2 3 2" xfId="23663"/>
    <cellStyle name="Calculation 17 4 2 3 2 2" xfId="44849"/>
    <cellStyle name="Calculation 17 4 2 3 3" xfId="34245"/>
    <cellStyle name="Calculation 17 4 2 4" xfId="18550"/>
    <cellStyle name="Calculation 17 4 2 4 2" xfId="39737"/>
    <cellStyle name="Calculation 17 4 2 5" xfId="28956"/>
    <cellStyle name="Calculation 17 4 2_Table 2A-1_EFT (Annual)" xfId="4248"/>
    <cellStyle name="Calculation 17 4 3" xfId="4773"/>
    <cellStyle name="Calculation 17 4 3 2" xfId="13033"/>
    <cellStyle name="Calculation 17 4 3 2 2" xfId="25039"/>
    <cellStyle name="Calculation 17 4 3 2 2 2" xfId="46225"/>
    <cellStyle name="Calculation 17 4 3 2 3" xfId="35621"/>
    <cellStyle name="Calculation 17 4 3 3" xfId="19926"/>
    <cellStyle name="Calculation 17 4 3 3 2" xfId="41113"/>
    <cellStyle name="Calculation 17 4 3 4" xfId="30430"/>
    <cellStyle name="Calculation 17 4 3_Table 2A-1_EFT (Annual)" xfId="14782"/>
    <cellStyle name="Calculation 17 4 4" xfId="10377"/>
    <cellStyle name="Calculation 17 4 4 2" xfId="22493"/>
    <cellStyle name="Calculation 17 4 4 2 2" xfId="43679"/>
    <cellStyle name="Calculation 17 4 4 3" xfId="33075"/>
    <cellStyle name="Calculation 17 4 5" xfId="17380"/>
    <cellStyle name="Calculation 17 4 5 2" xfId="38567"/>
    <cellStyle name="Calculation 17 4 6" xfId="27687"/>
    <cellStyle name="Calculation 17 4_Table 2A-1_EFT (Annual)" xfId="3626"/>
    <cellStyle name="Calculation 17 5" xfId="770"/>
    <cellStyle name="Calculation 17 5 2" xfId="4331"/>
    <cellStyle name="Calculation 17 5 2 2" xfId="12611"/>
    <cellStyle name="Calculation 17 5 2 2 2" xfId="24628"/>
    <cellStyle name="Calculation 17 5 2 2 2 2" xfId="45814"/>
    <cellStyle name="Calculation 17 5 2 2 3" xfId="35210"/>
    <cellStyle name="Calculation 17 5 2 3" xfId="19515"/>
    <cellStyle name="Calculation 17 5 2 3 2" xfId="40702"/>
    <cellStyle name="Calculation 17 5 2 4" xfId="29988"/>
    <cellStyle name="Calculation 17 5 2_Table 2A-1_EFT (Annual)" xfId="14781"/>
    <cellStyle name="Calculation 17 5 3" xfId="9959"/>
    <cellStyle name="Calculation 17 5 3 2" xfId="22082"/>
    <cellStyle name="Calculation 17 5 3 2 2" xfId="43268"/>
    <cellStyle name="Calculation 17 5 3 3" xfId="32664"/>
    <cellStyle name="Calculation 17 5 4" xfId="16969"/>
    <cellStyle name="Calculation 17 5 4 2" xfId="38156"/>
    <cellStyle name="Calculation 17 5 5" xfId="27245"/>
    <cellStyle name="Calculation 17 5_Table 2A-1_EFT (Annual)" xfId="3855"/>
    <cellStyle name="Calculation 17 6" xfId="1951"/>
    <cellStyle name="Calculation 17 6 2" xfId="5512"/>
    <cellStyle name="Calculation 17 6 2 2" xfId="13727"/>
    <cellStyle name="Calculation 17 6 2 2 2" xfId="25715"/>
    <cellStyle name="Calculation 17 6 2 2 2 2" xfId="46901"/>
    <cellStyle name="Calculation 17 6 2 2 3" xfId="36297"/>
    <cellStyle name="Calculation 17 6 2 3" xfId="20602"/>
    <cellStyle name="Calculation 17 6 2 3 2" xfId="41789"/>
    <cellStyle name="Calculation 17 6 2 4" xfId="31169"/>
    <cellStyle name="Calculation 17 6 2_Table 2A-1_EFT (Annual)" xfId="14780"/>
    <cellStyle name="Calculation 17 6 3" xfId="11071"/>
    <cellStyle name="Calculation 17 6 3 2" xfId="23169"/>
    <cellStyle name="Calculation 17 6 3 2 2" xfId="44355"/>
    <cellStyle name="Calculation 17 6 3 3" xfId="33751"/>
    <cellStyle name="Calculation 17 6 4" xfId="18056"/>
    <cellStyle name="Calculation 17 6 4 2" xfId="39243"/>
    <cellStyle name="Calculation 17 6 5" xfId="28426"/>
    <cellStyle name="Calculation 17 6_Table 2A-1_EFT (Annual)" xfId="3625"/>
    <cellStyle name="Calculation 17 7" xfId="3753"/>
    <cellStyle name="Calculation 17 7 2" xfId="12121"/>
    <cellStyle name="Calculation 17 7 2 2" xfId="24151"/>
    <cellStyle name="Calculation 17 7 2 2 2" xfId="45337"/>
    <cellStyle name="Calculation 17 7 2 3" xfId="34733"/>
    <cellStyle name="Calculation 17 7 3" xfId="19038"/>
    <cellStyle name="Calculation 17 7 3 2" xfId="40225"/>
    <cellStyle name="Calculation 17 7 4" xfId="29462"/>
    <cellStyle name="Calculation 17 7_Table 2A-1_EFT (Annual)" xfId="14779"/>
    <cellStyle name="Calculation 17 8" xfId="9440"/>
    <cellStyle name="Calculation 17 8 2" xfId="21605"/>
    <cellStyle name="Calculation 17 8 2 2" xfId="42791"/>
    <cellStyle name="Calculation 17 8 3" xfId="32187"/>
    <cellStyle name="Calculation 17 9" xfId="16492"/>
    <cellStyle name="Calculation 17 9 2" xfId="37679"/>
    <cellStyle name="Calculation 17_Table 2A-1_EFT (Annual)" xfId="2912"/>
    <cellStyle name="Calculation 18" xfId="168"/>
    <cellStyle name="Calculation 18 10" xfId="26723"/>
    <cellStyle name="Calculation 18 2" xfId="561"/>
    <cellStyle name="Calculation 18 2 2" xfId="1538"/>
    <cellStyle name="Calculation 18 2 2 2" xfId="2808"/>
    <cellStyle name="Calculation 18 2 2 2 2" xfId="6369"/>
    <cellStyle name="Calculation 18 2 2 2 2 2" xfId="14563"/>
    <cellStyle name="Calculation 18 2 2 2 2 2 2" xfId="26535"/>
    <cellStyle name="Calculation 18 2 2 2 2 2 2 2" xfId="47721"/>
    <cellStyle name="Calculation 18 2 2 2 2 2 3" xfId="37117"/>
    <cellStyle name="Calculation 18 2 2 2 2 3" xfId="21422"/>
    <cellStyle name="Calculation 18 2 2 2 2 3 2" xfId="42609"/>
    <cellStyle name="Calculation 18 2 2 2 2 4" xfId="32025"/>
    <cellStyle name="Calculation 18 2 2 2 2_Table 2A-1_EFT (Annual)" xfId="14778"/>
    <cellStyle name="Calculation 18 2 2 2 3" xfId="11905"/>
    <cellStyle name="Calculation 18 2 2 2 3 2" xfId="23989"/>
    <cellStyle name="Calculation 18 2 2 2 3 2 2" xfId="45175"/>
    <cellStyle name="Calculation 18 2 2 2 3 3" xfId="34571"/>
    <cellStyle name="Calculation 18 2 2 2 4" xfId="18876"/>
    <cellStyle name="Calculation 18 2 2 2 4 2" xfId="40063"/>
    <cellStyle name="Calculation 18 2 2 2 5" xfId="29282"/>
    <cellStyle name="Calculation 18 2 2 2_Table 2A-1_EFT (Annual)" xfId="3854"/>
    <cellStyle name="Calculation 18 2 2 3" xfId="5099"/>
    <cellStyle name="Calculation 18 2 2 3 2" xfId="13359"/>
    <cellStyle name="Calculation 18 2 2 3 2 2" xfId="25365"/>
    <cellStyle name="Calculation 18 2 2 3 2 2 2" xfId="46551"/>
    <cellStyle name="Calculation 18 2 2 3 2 3" xfId="35947"/>
    <cellStyle name="Calculation 18 2 2 3 3" xfId="20252"/>
    <cellStyle name="Calculation 18 2 2 3 3 2" xfId="41439"/>
    <cellStyle name="Calculation 18 2 2 3 4" xfId="30756"/>
    <cellStyle name="Calculation 18 2 2 3_Table 2A-1_EFT (Annual)" xfId="14777"/>
    <cellStyle name="Calculation 18 2 2 4" xfId="10703"/>
    <cellStyle name="Calculation 18 2 2 4 2" xfId="22819"/>
    <cellStyle name="Calculation 18 2 2 4 2 2" xfId="44005"/>
    <cellStyle name="Calculation 18 2 2 4 3" xfId="33401"/>
    <cellStyle name="Calculation 18 2 2 5" xfId="17706"/>
    <cellStyle name="Calculation 18 2 2 5 2" xfId="38893"/>
    <cellStyle name="Calculation 18 2 2 6" xfId="28013"/>
    <cellStyle name="Calculation 18 2 2_Table 2A-1_EFT (Annual)" xfId="4247"/>
    <cellStyle name="Calculation 18 2 3" xfId="1064"/>
    <cellStyle name="Calculation 18 2 3 2" xfId="4625"/>
    <cellStyle name="Calculation 18 2 3 2 2" xfId="12885"/>
    <cellStyle name="Calculation 18 2 3 2 2 2" xfId="24891"/>
    <cellStyle name="Calculation 18 2 3 2 2 2 2" xfId="46077"/>
    <cellStyle name="Calculation 18 2 3 2 2 3" xfId="35473"/>
    <cellStyle name="Calculation 18 2 3 2 3" xfId="19778"/>
    <cellStyle name="Calculation 18 2 3 2 3 2" xfId="40965"/>
    <cellStyle name="Calculation 18 2 3 2 4" xfId="30282"/>
    <cellStyle name="Calculation 18 2 3 2_Table 2A-1_EFT (Annual)" xfId="14776"/>
    <cellStyle name="Calculation 18 2 3 3" xfId="10229"/>
    <cellStyle name="Calculation 18 2 3 3 2" xfId="22345"/>
    <cellStyle name="Calculation 18 2 3 3 2 2" xfId="43531"/>
    <cellStyle name="Calculation 18 2 3 3 3" xfId="32927"/>
    <cellStyle name="Calculation 18 2 3 4" xfId="17232"/>
    <cellStyle name="Calculation 18 2 3 4 2" xfId="38419"/>
    <cellStyle name="Calculation 18 2 3 5" xfId="27539"/>
    <cellStyle name="Calculation 18 2 3_Table 2A-1_EFT (Annual)" xfId="3624"/>
    <cellStyle name="Calculation 18 2 4" xfId="2277"/>
    <cellStyle name="Calculation 18 2 4 2" xfId="5838"/>
    <cellStyle name="Calculation 18 2 4 2 2" xfId="14053"/>
    <cellStyle name="Calculation 18 2 4 2 2 2" xfId="26041"/>
    <cellStyle name="Calculation 18 2 4 2 2 2 2" xfId="47227"/>
    <cellStyle name="Calculation 18 2 4 2 2 3" xfId="36623"/>
    <cellStyle name="Calculation 18 2 4 2 3" xfId="20928"/>
    <cellStyle name="Calculation 18 2 4 2 3 2" xfId="42115"/>
    <cellStyle name="Calculation 18 2 4 2 4" xfId="31495"/>
    <cellStyle name="Calculation 18 2 4 2_Table 2A-1_EFT (Annual)" xfId="14775"/>
    <cellStyle name="Calculation 18 2 4 3" xfId="11397"/>
    <cellStyle name="Calculation 18 2 4 3 2" xfId="23495"/>
    <cellStyle name="Calculation 18 2 4 3 2 2" xfId="44681"/>
    <cellStyle name="Calculation 18 2 4 3 3" xfId="34077"/>
    <cellStyle name="Calculation 18 2 4 4" xfId="18382"/>
    <cellStyle name="Calculation 18 2 4 4 2" xfId="39569"/>
    <cellStyle name="Calculation 18 2 4 5" xfId="28752"/>
    <cellStyle name="Calculation 18 2 4_Table 2A-1_EFT (Annual)" xfId="4246"/>
    <cellStyle name="Calculation 18 2 5" xfId="4131"/>
    <cellStyle name="Calculation 18 2 5 2" xfId="12455"/>
    <cellStyle name="Calculation 18 2 5 2 2" xfId="24477"/>
    <cellStyle name="Calculation 18 2 5 2 2 2" xfId="45663"/>
    <cellStyle name="Calculation 18 2 5 2 3" xfId="35059"/>
    <cellStyle name="Calculation 18 2 5 3" xfId="19364"/>
    <cellStyle name="Calculation 18 2 5 3 2" xfId="40551"/>
    <cellStyle name="Calculation 18 2 5 4" xfId="29819"/>
    <cellStyle name="Calculation 18 2 5_Table 2A-1_EFT (Annual)" xfId="14774"/>
    <cellStyle name="Calculation 18 2 6" xfId="9794"/>
    <cellStyle name="Calculation 18 2 6 2" xfId="21931"/>
    <cellStyle name="Calculation 18 2 6 2 2" xfId="43117"/>
    <cellStyle name="Calculation 18 2 6 3" xfId="32513"/>
    <cellStyle name="Calculation 18 2 7" xfId="16818"/>
    <cellStyle name="Calculation 18 2 7 2" xfId="38005"/>
    <cellStyle name="Calculation 18 2 8" xfId="27076"/>
    <cellStyle name="Calculation 18 2_Table 2A-1_EFT (Annual)" xfId="2916"/>
    <cellStyle name="Calculation 18 3" xfId="399"/>
    <cellStyle name="Calculation 18 3 2" xfId="1382"/>
    <cellStyle name="Calculation 18 3 2 2" xfId="2652"/>
    <cellStyle name="Calculation 18 3 2 2 2" xfId="6213"/>
    <cellStyle name="Calculation 18 3 2 2 2 2" xfId="14407"/>
    <cellStyle name="Calculation 18 3 2 2 2 2 2" xfId="26379"/>
    <cellStyle name="Calculation 18 3 2 2 2 2 2 2" xfId="47565"/>
    <cellStyle name="Calculation 18 3 2 2 2 2 3" xfId="36961"/>
    <cellStyle name="Calculation 18 3 2 2 2 3" xfId="21266"/>
    <cellStyle name="Calculation 18 3 2 2 2 3 2" xfId="42453"/>
    <cellStyle name="Calculation 18 3 2 2 2 4" xfId="31869"/>
    <cellStyle name="Calculation 18 3 2 2 2_Table 2A-1_EFT (Annual)" xfId="14773"/>
    <cellStyle name="Calculation 18 3 2 2 3" xfId="11749"/>
    <cellStyle name="Calculation 18 3 2 2 3 2" xfId="23833"/>
    <cellStyle name="Calculation 18 3 2 2 3 2 2" xfId="45019"/>
    <cellStyle name="Calculation 18 3 2 2 3 3" xfId="34415"/>
    <cellStyle name="Calculation 18 3 2 2 4" xfId="18720"/>
    <cellStyle name="Calculation 18 3 2 2 4 2" xfId="39907"/>
    <cellStyle name="Calculation 18 3 2 2 5" xfId="29126"/>
    <cellStyle name="Calculation 18 3 2 2_Table 2A-1_EFT (Annual)" xfId="3853"/>
    <cellStyle name="Calculation 18 3 2 3" xfId="4943"/>
    <cellStyle name="Calculation 18 3 2 3 2" xfId="13203"/>
    <cellStyle name="Calculation 18 3 2 3 2 2" xfId="25209"/>
    <cellStyle name="Calculation 18 3 2 3 2 2 2" xfId="46395"/>
    <cellStyle name="Calculation 18 3 2 3 2 3" xfId="35791"/>
    <cellStyle name="Calculation 18 3 2 3 3" xfId="20096"/>
    <cellStyle name="Calculation 18 3 2 3 3 2" xfId="41283"/>
    <cellStyle name="Calculation 18 3 2 3 4" xfId="30600"/>
    <cellStyle name="Calculation 18 3 2 3_Table 2A-1_EFT (Annual)" xfId="14772"/>
    <cellStyle name="Calculation 18 3 2 4" xfId="10547"/>
    <cellStyle name="Calculation 18 3 2 4 2" xfId="22663"/>
    <cellStyle name="Calculation 18 3 2 4 2 2" xfId="43849"/>
    <cellStyle name="Calculation 18 3 2 4 3" xfId="33245"/>
    <cellStyle name="Calculation 18 3 2 5" xfId="17550"/>
    <cellStyle name="Calculation 18 3 2 5 2" xfId="38737"/>
    <cellStyle name="Calculation 18 3 2 6" xfId="27857"/>
    <cellStyle name="Calculation 18 3 2_Table 2A-1_EFT (Annual)" xfId="4245"/>
    <cellStyle name="Calculation 18 3 3" xfId="932"/>
    <cellStyle name="Calculation 18 3 3 2" xfId="4493"/>
    <cellStyle name="Calculation 18 3 3 2 2" xfId="12755"/>
    <cellStyle name="Calculation 18 3 3 2 2 2" xfId="24765"/>
    <cellStyle name="Calculation 18 3 3 2 2 2 2" xfId="45951"/>
    <cellStyle name="Calculation 18 3 3 2 2 3" xfId="35347"/>
    <cellStyle name="Calculation 18 3 3 2 3" xfId="19652"/>
    <cellStyle name="Calculation 18 3 3 2 3 2" xfId="40839"/>
    <cellStyle name="Calculation 18 3 3 2 4" xfId="30150"/>
    <cellStyle name="Calculation 18 3 3 2_Table 2A-1_EFT (Annual)" xfId="14771"/>
    <cellStyle name="Calculation 18 3 3 3" xfId="10102"/>
    <cellStyle name="Calculation 18 3 3 3 2" xfId="22219"/>
    <cellStyle name="Calculation 18 3 3 3 2 2" xfId="43405"/>
    <cellStyle name="Calculation 18 3 3 3 3" xfId="32801"/>
    <cellStyle name="Calculation 18 3 3 4" xfId="17106"/>
    <cellStyle name="Calculation 18 3 3 4 2" xfId="38293"/>
    <cellStyle name="Calculation 18 3 3 5" xfId="27407"/>
    <cellStyle name="Calculation 18 3 3_Table 2A-1_EFT (Annual)" xfId="3623"/>
    <cellStyle name="Calculation 18 3 4" xfId="2121"/>
    <cellStyle name="Calculation 18 3 4 2" xfId="5682"/>
    <cellStyle name="Calculation 18 3 4 2 2" xfId="13897"/>
    <cellStyle name="Calculation 18 3 4 2 2 2" xfId="25885"/>
    <cellStyle name="Calculation 18 3 4 2 2 2 2" xfId="47071"/>
    <cellStyle name="Calculation 18 3 4 2 2 3" xfId="36467"/>
    <cellStyle name="Calculation 18 3 4 2 3" xfId="20772"/>
    <cellStyle name="Calculation 18 3 4 2 3 2" xfId="41959"/>
    <cellStyle name="Calculation 18 3 4 2 4" xfId="31339"/>
    <cellStyle name="Calculation 18 3 4 2_Table 2A-1_EFT (Annual)" xfId="14770"/>
    <cellStyle name="Calculation 18 3 4 3" xfId="11241"/>
    <cellStyle name="Calculation 18 3 4 3 2" xfId="23339"/>
    <cellStyle name="Calculation 18 3 4 3 2 2" xfId="44525"/>
    <cellStyle name="Calculation 18 3 4 3 3" xfId="33921"/>
    <cellStyle name="Calculation 18 3 4 4" xfId="18226"/>
    <cellStyle name="Calculation 18 3 4 4 2" xfId="39413"/>
    <cellStyle name="Calculation 18 3 4 5" xfId="28596"/>
    <cellStyle name="Calculation 18 3 4_Table 2A-1_EFT (Annual)" xfId="4244"/>
    <cellStyle name="Calculation 18 3 5" xfId="3969"/>
    <cellStyle name="Calculation 18 3 5 2" xfId="12297"/>
    <cellStyle name="Calculation 18 3 5 2 2" xfId="24321"/>
    <cellStyle name="Calculation 18 3 5 2 2 2" xfId="45507"/>
    <cellStyle name="Calculation 18 3 5 2 3" xfId="34903"/>
    <cellStyle name="Calculation 18 3 5 3" xfId="19208"/>
    <cellStyle name="Calculation 18 3 5 3 2" xfId="40395"/>
    <cellStyle name="Calculation 18 3 5 4" xfId="29657"/>
    <cellStyle name="Calculation 18 3 5_Table 2A-1_EFT (Annual)" xfId="14769"/>
    <cellStyle name="Calculation 18 3 6" xfId="9634"/>
    <cellStyle name="Calculation 18 3 6 2" xfId="21775"/>
    <cellStyle name="Calculation 18 3 6 2 2" xfId="42961"/>
    <cellStyle name="Calculation 18 3 6 3" xfId="32357"/>
    <cellStyle name="Calculation 18 3 7" xfId="16662"/>
    <cellStyle name="Calculation 18 3 7 2" xfId="37849"/>
    <cellStyle name="Calculation 18 3 8" xfId="26914"/>
    <cellStyle name="Calculation 18 3_Table 2A-1_EFT (Annual)" xfId="2917"/>
    <cellStyle name="Calculation 18 4" xfId="1216"/>
    <cellStyle name="Calculation 18 4 2" xfId="2486"/>
    <cellStyle name="Calculation 18 4 2 2" xfId="6047"/>
    <cellStyle name="Calculation 18 4 2 2 2" xfId="14241"/>
    <cellStyle name="Calculation 18 4 2 2 2 2" xfId="26213"/>
    <cellStyle name="Calculation 18 4 2 2 2 2 2" xfId="47399"/>
    <cellStyle name="Calculation 18 4 2 2 2 3" xfId="36795"/>
    <cellStyle name="Calculation 18 4 2 2 3" xfId="21100"/>
    <cellStyle name="Calculation 18 4 2 2 3 2" xfId="42287"/>
    <cellStyle name="Calculation 18 4 2 2 4" xfId="31703"/>
    <cellStyle name="Calculation 18 4 2 2_Table 2A-1_EFT (Annual)" xfId="9892"/>
    <cellStyle name="Calculation 18 4 2 3" xfId="11583"/>
    <cellStyle name="Calculation 18 4 2 3 2" xfId="23667"/>
    <cellStyle name="Calculation 18 4 2 3 2 2" xfId="44853"/>
    <cellStyle name="Calculation 18 4 2 3 3" xfId="34249"/>
    <cellStyle name="Calculation 18 4 2 4" xfId="18554"/>
    <cellStyle name="Calculation 18 4 2 4 2" xfId="39741"/>
    <cellStyle name="Calculation 18 4 2 5" xfId="28960"/>
    <cellStyle name="Calculation 18 4 2_Table 2A-1_EFT (Annual)" xfId="4243"/>
    <cellStyle name="Calculation 18 4 3" xfId="4777"/>
    <cellStyle name="Calculation 18 4 3 2" xfId="13037"/>
    <cellStyle name="Calculation 18 4 3 2 2" xfId="25043"/>
    <cellStyle name="Calculation 18 4 3 2 2 2" xfId="46229"/>
    <cellStyle name="Calculation 18 4 3 2 3" xfId="35625"/>
    <cellStyle name="Calculation 18 4 3 3" xfId="19930"/>
    <cellStyle name="Calculation 18 4 3 3 2" xfId="41117"/>
    <cellStyle name="Calculation 18 4 3 4" xfId="30434"/>
    <cellStyle name="Calculation 18 4 3_Table 2A-1_EFT (Annual)" xfId="9352"/>
    <cellStyle name="Calculation 18 4 4" xfId="10381"/>
    <cellStyle name="Calculation 18 4 4 2" xfId="22497"/>
    <cellStyle name="Calculation 18 4 4 2 2" xfId="43683"/>
    <cellStyle name="Calculation 18 4 4 3" xfId="33079"/>
    <cellStyle name="Calculation 18 4 5" xfId="17384"/>
    <cellStyle name="Calculation 18 4 5 2" xfId="38571"/>
    <cellStyle name="Calculation 18 4 6" xfId="27691"/>
    <cellStyle name="Calculation 18 4_Table 2A-1_EFT (Annual)" xfId="3622"/>
    <cellStyle name="Calculation 18 5" xfId="773"/>
    <cellStyle name="Calculation 18 5 2" xfId="4334"/>
    <cellStyle name="Calculation 18 5 2 2" xfId="12614"/>
    <cellStyle name="Calculation 18 5 2 2 2" xfId="24631"/>
    <cellStyle name="Calculation 18 5 2 2 2 2" xfId="45817"/>
    <cellStyle name="Calculation 18 5 2 2 3" xfId="35213"/>
    <cellStyle name="Calculation 18 5 2 3" xfId="19518"/>
    <cellStyle name="Calculation 18 5 2 3 2" xfId="40705"/>
    <cellStyle name="Calculation 18 5 2 4" xfId="29991"/>
    <cellStyle name="Calculation 18 5 2_Table 2A-1_EFT (Annual)" xfId="14761"/>
    <cellStyle name="Calculation 18 5 3" xfId="9962"/>
    <cellStyle name="Calculation 18 5 3 2" xfId="22085"/>
    <cellStyle name="Calculation 18 5 3 2 2" xfId="43271"/>
    <cellStyle name="Calculation 18 5 3 3" xfId="32667"/>
    <cellStyle name="Calculation 18 5 4" xfId="16972"/>
    <cellStyle name="Calculation 18 5 4 2" xfId="38159"/>
    <cellStyle name="Calculation 18 5 5" xfId="27248"/>
    <cellStyle name="Calculation 18 5_Table 2A-1_EFT (Annual)" xfId="3852"/>
    <cellStyle name="Calculation 18 6" xfId="1955"/>
    <cellStyle name="Calculation 18 6 2" xfId="5516"/>
    <cellStyle name="Calculation 18 6 2 2" xfId="13731"/>
    <cellStyle name="Calculation 18 6 2 2 2" xfId="25719"/>
    <cellStyle name="Calculation 18 6 2 2 2 2" xfId="46905"/>
    <cellStyle name="Calculation 18 6 2 2 3" xfId="36301"/>
    <cellStyle name="Calculation 18 6 2 3" xfId="20606"/>
    <cellStyle name="Calculation 18 6 2 3 2" xfId="41793"/>
    <cellStyle name="Calculation 18 6 2 4" xfId="31173"/>
    <cellStyle name="Calculation 18 6 2_Table 2A-1_EFT (Annual)" xfId="13445"/>
    <cellStyle name="Calculation 18 6 3" xfId="11075"/>
    <cellStyle name="Calculation 18 6 3 2" xfId="23173"/>
    <cellStyle name="Calculation 18 6 3 2 2" xfId="44359"/>
    <cellStyle name="Calculation 18 6 3 3" xfId="33755"/>
    <cellStyle name="Calculation 18 6 4" xfId="18060"/>
    <cellStyle name="Calculation 18 6 4 2" xfId="39247"/>
    <cellStyle name="Calculation 18 6 5" xfId="28430"/>
    <cellStyle name="Calculation 18 6_Table 2A-1_EFT (Annual)" xfId="3621"/>
    <cellStyle name="Calculation 18 7" xfId="3757"/>
    <cellStyle name="Calculation 18 7 2" xfId="12125"/>
    <cellStyle name="Calculation 18 7 2 2" xfId="24155"/>
    <cellStyle name="Calculation 18 7 2 2 2" xfId="45341"/>
    <cellStyle name="Calculation 18 7 2 3" xfId="34737"/>
    <cellStyle name="Calculation 18 7 3" xfId="19042"/>
    <cellStyle name="Calculation 18 7 3 2" xfId="40229"/>
    <cellStyle name="Calculation 18 7 4" xfId="29466"/>
    <cellStyle name="Calculation 18 7_Table 2A-1_EFT (Annual)" xfId="14768"/>
    <cellStyle name="Calculation 18 8" xfId="9444"/>
    <cellStyle name="Calculation 18 8 2" xfId="21609"/>
    <cellStyle name="Calculation 18 8 2 2" xfId="42795"/>
    <cellStyle name="Calculation 18 8 3" xfId="32191"/>
    <cellStyle name="Calculation 18 9" xfId="16496"/>
    <cellStyle name="Calculation 18 9 2" xfId="37683"/>
    <cellStyle name="Calculation 18_Table 2A-1_EFT (Annual)" xfId="2915"/>
    <cellStyle name="Calculation 19" xfId="177"/>
    <cellStyle name="Calculation 19 10" xfId="26732"/>
    <cellStyle name="Calculation 19 2" xfId="570"/>
    <cellStyle name="Calculation 19 2 2" xfId="1547"/>
    <cellStyle name="Calculation 19 2 2 2" xfId="2817"/>
    <cellStyle name="Calculation 19 2 2 2 2" xfId="6378"/>
    <cellStyle name="Calculation 19 2 2 2 2 2" xfId="14572"/>
    <cellStyle name="Calculation 19 2 2 2 2 2 2" xfId="26544"/>
    <cellStyle name="Calculation 19 2 2 2 2 2 2 2" xfId="47730"/>
    <cellStyle name="Calculation 19 2 2 2 2 2 3" xfId="37126"/>
    <cellStyle name="Calculation 19 2 2 2 2 3" xfId="21431"/>
    <cellStyle name="Calculation 19 2 2 2 2 3 2" xfId="42618"/>
    <cellStyle name="Calculation 19 2 2 2 2 4" xfId="32034"/>
    <cellStyle name="Calculation 19 2 2 2 2_Table 2A-1_EFT (Annual)" xfId="14765"/>
    <cellStyle name="Calculation 19 2 2 2 3" xfId="11914"/>
    <cellStyle name="Calculation 19 2 2 2 3 2" xfId="23998"/>
    <cellStyle name="Calculation 19 2 2 2 3 2 2" xfId="45184"/>
    <cellStyle name="Calculation 19 2 2 2 3 3" xfId="34580"/>
    <cellStyle name="Calculation 19 2 2 2 4" xfId="18885"/>
    <cellStyle name="Calculation 19 2 2 2 4 2" xfId="40072"/>
    <cellStyle name="Calculation 19 2 2 2 5" xfId="29291"/>
    <cellStyle name="Calculation 19 2 2 2_Table 2A-1_EFT (Annual)" xfId="3851"/>
    <cellStyle name="Calculation 19 2 2 3" xfId="5108"/>
    <cellStyle name="Calculation 19 2 2 3 2" xfId="13368"/>
    <cellStyle name="Calculation 19 2 2 3 2 2" xfId="25374"/>
    <cellStyle name="Calculation 19 2 2 3 2 2 2" xfId="46560"/>
    <cellStyle name="Calculation 19 2 2 3 2 3" xfId="35956"/>
    <cellStyle name="Calculation 19 2 2 3 3" xfId="20261"/>
    <cellStyle name="Calculation 19 2 2 3 3 2" xfId="41448"/>
    <cellStyle name="Calculation 19 2 2 3 4" xfId="30765"/>
    <cellStyle name="Calculation 19 2 2 3_Table 2A-1_EFT (Annual)" xfId="14767"/>
    <cellStyle name="Calculation 19 2 2 4" xfId="10712"/>
    <cellStyle name="Calculation 19 2 2 4 2" xfId="22828"/>
    <cellStyle name="Calculation 19 2 2 4 2 2" xfId="44014"/>
    <cellStyle name="Calculation 19 2 2 4 3" xfId="33410"/>
    <cellStyle name="Calculation 19 2 2 5" xfId="17715"/>
    <cellStyle name="Calculation 19 2 2 5 2" xfId="38902"/>
    <cellStyle name="Calculation 19 2 2 6" xfId="28022"/>
    <cellStyle name="Calculation 19 2 2_Table 2A-1_EFT (Annual)" xfId="4242"/>
    <cellStyle name="Calculation 19 2 3" xfId="1072"/>
    <cellStyle name="Calculation 19 2 3 2" xfId="4633"/>
    <cellStyle name="Calculation 19 2 3 2 2" xfId="12893"/>
    <cellStyle name="Calculation 19 2 3 2 2 2" xfId="24899"/>
    <cellStyle name="Calculation 19 2 3 2 2 2 2" xfId="46085"/>
    <cellStyle name="Calculation 19 2 3 2 2 3" xfId="35481"/>
    <cellStyle name="Calculation 19 2 3 2 3" xfId="19786"/>
    <cellStyle name="Calculation 19 2 3 2 3 2" xfId="40973"/>
    <cellStyle name="Calculation 19 2 3 2 4" xfId="30290"/>
    <cellStyle name="Calculation 19 2 3 2_Table 2A-1_EFT (Annual)" xfId="14766"/>
    <cellStyle name="Calculation 19 2 3 3" xfId="10237"/>
    <cellStyle name="Calculation 19 2 3 3 2" xfId="22353"/>
    <cellStyle name="Calculation 19 2 3 3 2 2" xfId="43539"/>
    <cellStyle name="Calculation 19 2 3 3 3" xfId="32935"/>
    <cellStyle name="Calculation 19 2 3 4" xfId="17240"/>
    <cellStyle name="Calculation 19 2 3 4 2" xfId="38427"/>
    <cellStyle name="Calculation 19 2 3 5" xfId="27547"/>
    <cellStyle name="Calculation 19 2 3_Table 2A-1_EFT (Annual)" xfId="3620"/>
    <cellStyle name="Calculation 19 2 4" xfId="2286"/>
    <cellStyle name="Calculation 19 2 4 2" xfId="5847"/>
    <cellStyle name="Calculation 19 2 4 2 2" xfId="14062"/>
    <cellStyle name="Calculation 19 2 4 2 2 2" xfId="26050"/>
    <cellStyle name="Calculation 19 2 4 2 2 2 2" xfId="47236"/>
    <cellStyle name="Calculation 19 2 4 2 2 3" xfId="36632"/>
    <cellStyle name="Calculation 19 2 4 2 3" xfId="20937"/>
    <cellStyle name="Calculation 19 2 4 2 3 2" xfId="42124"/>
    <cellStyle name="Calculation 19 2 4 2 4" xfId="31504"/>
    <cellStyle name="Calculation 19 2 4 2_Table 2A-1_EFT (Annual)" xfId="14147"/>
    <cellStyle name="Calculation 19 2 4 3" xfId="11406"/>
    <cellStyle name="Calculation 19 2 4 3 2" xfId="23504"/>
    <cellStyle name="Calculation 19 2 4 3 2 2" xfId="44690"/>
    <cellStyle name="Calculation 19 2 4 3 3" xfId="34086"/>
    <cellStyle name="Calculation 19 2 4 4" xfId="18391"/>
    <cellStyle name="Calculation 19 2 4 4 2" xfId="39578"/>
    <cellStyle name="Calculation 19 2 4 5" xfId="28761"/>
    <cellStyle name="Calculation 19 2 4_Table 2A-1_EFT (Annual)" xfId="4241"/>
    <cellStyle name="Calculation 19 2 5" xfId="4140"/>
    <cellStyle name="Calculation 19 2 5 2" xfId="12464"/>
    <cellStyle name="Calculation 19 2 5 2 2" xfId="24486"/>
    <cellStyle name="Calculation 19 2 5 2 2 2" xfId="45672"/>
    <cellStyle name="Calculation 19 2 5 2 3" xfId="35068"/>
    <cellStyle name="Calculation 19 2 5 3" xfId="19373"/>
    <cellStyle name="Calculation 19 2 5 3 2" xfId="40560"/>
    <cellStyle name="Calculation 19 2 5 4" xfId="29828"/>
    <cellStyle name="Calculation 19 2 5_Table 2A-1_EFT (Annual)" xfId="10031"/>
    <cellStyle name="Calculation 19 2 6" xfId="9803"/>
    <cellStyle name="Calculation 19 2 6 2" xfId="21940"/>
    <cellStyle name="Calculation 19 2 6 2 2" xfId="43126"/>
    <cellStyle name="Calculation 19 2 6 3" xfId="32522"/>
    <cellStyle name="Calculation 19 2 7" xfId="16827"/>
    <cellStyle name="Calculation 19 2 7 2" xfId="38014"/>
    <cellStyle name="Calculation 19 2 8" xfId="27085"/>
    <cellStyle name="Calculation 19 2_Table 2A-1_EFT (Annual)" xfId="2919"/>
    <cellStyle name="Calculation 19 3" xfId="408"/>
    <cellStyle name="Calculation 19 3 2" xfId="1391"/>
    <cellStyle name="Calculation 19 3 2 2" xfId="2661"/>
    <cellStyle name="Calculation 19 3 2 2 2" xfId="6222"/>
    <cellStyle name="Calculation 19 3 2 2 2 2" xfId="14416"/>
    <cellStyle name="Calculation 19 3 2 2 2 2 2" xfId="26388"/>
    <cellStyle name="Calculation 19 3 2 2 2 2 2 2" xfId="47574"/>
    <cellStyle name="Calculation 19 3 2 2 2 2 3" xfId="36970"/>
    <cellStyle name="Calculation 19 3 2 2 2 3" xfId="21275"/>
    <cellStyle name="Calculation 19 3 2 2 2 3 2" xfId="42462"/>
    <cellStyle name="Calculation 19 3 2 2 2 4" xfId="31878"/>
    <cellStyle name="Calculation 19 3 2 2 2_Table 2A-1_EFT (Annual)" xfId="13476"/>
    <cellStyle name="Calculation 19 3 2 2 3" xfId="11758"/>
    <cellStyle name="Calculation 19 3 2 2 3 2" xfId="23842"/>
    <cellStyle name="Calculation 19 3 2 2 3 2 2" xfId="45028"/>
    <cellStyle name="Calculation 19 3 2 2 3 3" xfId="34424"/>
    <cellStyle name="Calculation 19 3 2 2 4" xfId="18729"/>
    <cellStyle name="Calculation 19 3 2 2 4 2" xfId="39916"/>
    <cellStyle name="Calculation 19 3 2 2 5" xfId="29135"/>
    <cellStyle name="Calculation 19 3 2 2_Table 2A-1_EFT (Annual)" xfId="3850"/>
    <cellStyle name="Calculation 19 3 2 3" xfId="4952"/>
    <cellStyle name="Calculation 19 3 2 3 2" xfId="13212"/>
    <cellStyle name="Calculation 19 3 2 3 2 2" xfId="25218"/>
    <cellStyle name="Calculation 19 3 2 3 2 2 2" xfId="46404"/>
    <cellStyle name="Calculation 19 3 2 3 2 3" xfId="35800"/>
    <cellStyle name="Calculation 19 3 2 3 3" xfId="20105"/>
    <cellStyle name="Calculation 19 3 2 3 3 2" xfId="41292"/>
    <cellStyle name="Calculation 19 3 2 3 4" xfId="30609"/>
    <cellStyle name="Calculation 19 3 2 3_Table 2A-1_EFT (Annual)" xfId="14764"/>
    <cellStyle name="Calculation 19 3 2 4" xfId="10556"/>
    <cellStyle name="Calculation 19 3 2 4 2" xfId="22672"/>
    <cellStyle name="Calculation 19 3 2 4 2 2" xfId="43858"/>
    <cellStyle name="Calculation 19 3 2 4 3" xfId="33254"/>
    <cellStyle name="Calculation 19 3 2 5" xfId="17559"/>
    <cellStyle name="Calculation 19 3 2 5 2" xfId="38746"/>
    <cellStyle name="Calculation 19 3 2 6" xfId="27866"/>
    <cellStyle name="Calculation 19 3 2_Table 2A-1_EFT (Annual)" xfId="4240"/>
    <cellStyle name="Calculation 19 3 3" xfId="940"/>
    <cellStyle name="Calculation 19 3 3 2" xfId="4501"/>
    <cellStyle name="Calculation 19 3 3 2 2" xfId="12763"/>
    <cellStyle name="Calculation 19 3 3 2 2 2" xfId="24773"/>
    <cellStyle name="Calculation 19 3 3 2 2 2 2" xfId="45959"/>
    <cellStyle name="Calculation 19 3 3 2 2 3" xfId="35355"/>
    <cellStyle name="Calculation 19 3 3 2 3" xfId="19660"/>
    <cellStyle name="Calculation 19 3 3 2 3 2" xfId="40847"/>
    <cellStyle name="Calculation 19 3 3 2 4" xfId="30158"/>
    <cellStyle name="Calculation 19 3 3 2_Table 2A-1_EFT (Annual)" xfId="14143"/>
    <cellStyle name="Calculation 19 3 3 3" xfId="10110"/>
    <cellStyle name="Calculation 19 3 3 3 2" xfId="22227"/>
    <cellStyle name="Calculation 19 3 3 3 2 2" xfId="43413"/>
    <cellStyle name="Calculation 19 3 3 3 3" xfId="32809"/>
    <cellStyle name="Calculation 19 3 3 4" xfId="17114"/>
    <cellStyle name="Calculation 19 3 3 4 2" xfId="38301"/>
    <cellStyle name="Calculation 19 3 3 5" xfId="27415"/>
    <cellStyle name="Calculation 19 3 3_Table 2A-1_EFT (Annual)" xfId="3619"/>
    <cellStyle name="Calculation 19 3 4" xfId="2130"/>
    <cellStyle name="Calculation 19 3 4 2" xfId="5691"/>
    <cellStyle name="Calculation 19 3 4 2 2" xfId="13906"/>
    <cellStyle name="Calculation 19 3 4 2 2 2" xfId="25894"/>
    <cellStyle name="Calculation 19 3 4 2 2 2 2" xfId="47080"/>
    <cellStyle name="Calculation 19 3 4 2 2 3" xfId="36476"/>
    <cellStyle name="Calculation 19 3 4 2 3" xfId="20781"/>
    <cellStyle name="Calculation 19 3 4 2 3 2" xfId="41968"/>
    <cellStyle name="Calculation 19 3 4 2 4" xfId="31348"/>
    <cellStyle name="Calculation 19 3 4 2_Table 2A-1_EFT (Annual)" xfId="14762"/>
    <cellStyle name="Calculation 19 3 4 3" xfId="11250"/>
    <cellStyle name="Calculation 19 3 4 3 2" xfId="23348"/>
    <cellStyle name="Calculation 19 3 4 3 2 2" xfId="44534"/>
    <cellStyle name="Calculation 19 3 4 3 3" xfId="33930"/>
    <cellStyle name="Calculation 19 3 4 4" xfId="18235"/>
    <cellStyle name="Calculation 19 3 4 4 2" xfId="39422"/>
    <cellStyle name="Calculation 19 3 4 5" xfId="28605"/>
    <cellStyle name="Calculation 19 3 4_Table 2A-1_EFT (Annual)" xfId="4239"/>
    <cellStyle name="Calculation 19 3 5" xfId="3978"/>
    <cellStyle name="Calculation 19 3 5 2" xfId="12306"/>
    <cellStyle name="Calculation 19 3 5 2 2" xfId="24330"/>
    <cellStyle name="Calculation 19 3 5 2 2 2" xfId="45516"/>
    <cellStyle name="Calculation 19 3 5 2 3" xfId="34912"/>
    <cellStyle name="Calculation 19 3 5 3" xfId="19217"/>
    <cellStyle name="Calculation 19 3 5 3 2" xfId="40404"/>
    <cellStyle name="Calculation 19 3 5 4" xfId="29666"/>
    <cellStyle name="Calculation 19 3 5_Table 2A-1_EFT (Annual)" xfId="14763"/>
    <cellStyle name="Calculation 19 3 6" xfId="9643"/>
    <cellStyle name="Calculation 19 3 6 2" xfId="21784"/>
    <cellStyle name="Calculation 19 3 6 2 2" xfId="42970"/>
    <cellStyle name="Calculation 19 3 6 3" xfId="32366"/>
    <cellStyle name="Calculation 19 3 7" xfId="16671"/>
    <cellStyle name="Calculation 19 3 7 2" xfId="37858"/>
    <cellStyle name="Calculation 19 3 8" xfId="26923"/>
    <cellStyle name="Calculation 19 3_Table 2A-1_EFT (Annual)" xfId="2920"/>
    <cellStyle name="Calculation 19 4" xfId="1225"/>
    <cellStyle name="Calculation 19 4 2" xfId="2495"/>
    <cellStyle name="Calculation 19 4 2 2" xfId="6056"/>
    <cellStyle name="Calculation 19 4 2 2 2" xfId="14250"/>
    <cellStyle name="Calculation 19 4 2 2 2 2" xfId="26222"/>
    <cellStyle name="Calculation 19 4 2 2 2 2 2" xfId="47408"/>
    <cellStyle name="Calculation 19 4 2 2 2 3" xfId="36804"/>
    <cellStyle name="Calculation 19 4 2 2 3" xfId="21109"/>
    <cellStyle name="Calculation 19 4 2 2 3 2" xfId="42296"/>
    <cellStyle name="Calculation 19 4 2 2 4" xfId="31712"/>
    <cellStyle name="Calculation 19 4 2 2_Table 2A-1_EFT (Annual)" xfId="12797"/>
    <cellStyle name="Calculation 19 4 2 3" xfId="11592"/>
    <cellStyle name="Calculation 19 4 2 3 2" xfId="23676"/>
    <cellStyle name="Calculation 19 4 2 3 2 2" xfId="44862"/>
    <cellStyle name="Calculation 19 4 2 3 3" xfId="34258"/>
    <cellStyle name="Calculation 19 4 2 4" xfId="18563"/>
    <cellStyle name="Calculation 19 4 2 4 2" xfId="39750"/>
    <cellStyle name="Calculation 19 4 2 5" xfId="28969"/>
    <cellStyle name="Calculation 19 4 2_Table 2A-1_EFT (Annual)" xfId="4238"/>
    <cellStyle name="Calculation 19 4 3" xfId="4786"/>
    <cellStyle name="Calculation 19 4 3 2" xfId="13046"/>
    <cellStyle name="Calculation 19 4 3 2 2" xfId="25052"/>
    <cellStyle name="Calculation 19 4 3 2 2 2" xfId="46238"/>
    <cellStyle name="Calculation 19 4 3 2 3" xfId="35634"/>
    <cellStyle name="Calculation 19 4 3 3" xfId="19939"/>
    <cellStyle name="Calculation 19 4 3 3 2" xfId="41126"/>
    <cellStyle name="Calculation 19 4 3 4" xfId="30443"/>
    <cellStyle name="Calculation 19 4 3_Table 2A-1_EFT (Annual)" xfId="14153"/>
    <cellStyle name="Calculation 19 4 4" xfId="10390"/>
    <cellStyle name="Calculation 19 4 4 2" xfId="22506"/>
    <cellStyle name="Calculation 19 4 4 2 2" xfId="43692"/>
    <cellStyle name="Calculation 19 4 4 3" xfId="33088"/>
    <cellStyle name="Calculation 19 4 5" xfId="17393"/>
    <cellStyle name="Calculation 19 4 5 2" xfId="38580"/>
    <cellStyle name="Calculation 19 4 6" xfId="27700"/>
    <cellStyle name="Calculation 19 4_Table 2A-1_EFT (Annual)" xfId="3618"/>
    <cellStyle name="Calculation 19 5" xfId="781"/>
    <cellStyle name="Calculation 19 5 2" xfId="4342"/>
    <cellStyle name="Calculation 19 5 2 2" xfId="12622"/>
    <cellStyle name="Calculation 19 5 2 2 2" xfId="24639"/>
    <cellStyle name="Calculation 19 5 2 2 2 2" xfId="45825"/>
    <cellStyle name="Calculation 19 5 2 2 3" xfId="35221"/>
    <cellStyle name="Calculation 19 5 2 3" xfId="19526"/>
    <cellStyle name="Calculation 19 5 2 3 2" xfId="40713"/>
    <cellStyle name="Calculation 19 5 2 4" xfId="29999"/>
    <cellStyle name="Calculation 19 5 2_Table 2A-1_EFT (Annual)" xfId="9685"/>
    <cellStyle name="Calculation 19 5 3" xfId="9970"/>
    <cellStyle name="Calculation 19 5 3 2" xfId="22093"/>
    <cellStyle name="Calculation 19 5 3 2 2" xfId="43279"/>
    <cellStyle name="Calculation 19 5 3 3" xfId="32675"/>
    <cellStyle name="Calculation 19 5 4" xfId="16980"/>
    <cellStyle name="Calculation 19 5 4 2" xfId="38167"/>
    <cellStyle name="Calculation 19 5 5" xfId="27256"/>
    <cellStyle name="Calculation 19 5_Table 2A-1_EFT (Annual)" xfId="3849"/>
    <cellStyle name="Calculation 19 6" xfId="1964"/>
    <cellStyle name="Calculation 19 6 2" xfId="5525"/>
    <cellStyle name="Calculation 19 6 2 2" xfId="13740"/>
    <cellStyle name="Calculation 19 6 2 2 2" xfId="25728"/>
    <cellStyle name="Calculation 19 6 2 2 2 2" xfId="46914"/>
    <cellStyle name="Calculation 19 6 2 2 3" xfId="36310"/>
    <cellStyle name="Calculation 19 6 2 3" xfId="20615"/>
    <cellStyle name="Calculation 19 6 2 3 2" xfId="41802"/>
    <cellStyle name="Calculation 19 6 2 4" xfId="31182"/>
    <cellStyle name="Calculation 19 6 2_Table 2A-1_EFT (Annual)" xfId="14760"/>
    <cellStyle name="Calculation 19 6 3" xfId="11084"/>
    <cellStyle name="Calculation 19 6 3 2" xfId="23182"/>
    <cellStyle name="Calculation 19 6 3 2 2" xfId="44368"/>
    <cellStyle name="Calculation 19 6 3 3" xfId="33764"/>
    <cellStyle name="Calculation 19 6 4" xfId="18069"/>
    <cellStyle name="Calculation 19 6 4 2" xfId="39256"/>
    <cellStyle name="Calculation 19 6 5" xfId="28439"/>
    <cellStyle name="Calculation 19 6_Table 2A-1_EFT (Annual)" xfId="3617"/>
    <cellStyle name="Calculation 19 7" xfId="3766"/>
    <cellStyle name="Calculation 19 7 2" xfId="12134"/>
    <cellStyle name="Calculation 19 7 2 2" xfId="24164"/>
    <cellStyle name="Calculation 19 7 2 2 2" xfId="45350"/>
    <cellStyle name="Calculation 19 7 2 3" xfId="34746"/>
    <cellStyle name="Calculation 19 7 3" xfId="19051"/>
    <cellStyle name="Calculation 19 7 3 2" xfId="40238"/>
    <cellStyle name="Calculation 19 7 4" xfId="29475"/>
    <cellStyle name="Calculation 19 7_Table 2A-1_EFT (Annual)" xfId="9351"/>
    <cellStyle name="Calculation 19 8" xfId="9453"/>
    <cellStyle name="Calculation 19 8 2" xfId="21618"/>
    <cellStyle name="Calculation 19 8 2 2" xfId="42804"/>
    <cellStyle name="Calculation 19 8 3" xfId="32200"/>
    <cellStyle name="Calculation 19 9" xfId="16505"/>
    <cellStyle name="Calculation 19 9 2" xfId="37692"/>
    <cellStyle name="Calculation 19_Table 2A-1_EFT (Annual)" xfId="2918"/>
    <cellStyle name="Calculation 2" xfId="93"/>
    <cellStyle name="Calculation 2 10" xfId="21517"/>
    <cellStyle name="Calculation 2 10 2" xfId="42704"/>
    <cellStyle name="Calculation 2 11" xfId="26649"/>
    <cellStyle name="Calculation 2 2" xfId="492"/>
    <cellStyle name="Calculation 2 2 2" xfId="1469"/>
    <cellStyle name="Calculation 2 2 2 2" xfId="2739"/>
    <cellStyle name="Calculation 2 2 2 2 2" xfId="6300"/>
    <cellStyle name="Calculation 2 2 2 2 2 2" xfId="14494"/>
    <cellStyle name="Calculation 2 2 2 2 2 2 2" xfId="26466"/>
    <cellStyle name="Calculation 2 2 2 2 2 2 2 2" xfId="47652"/>
    <cellStyle name="Calculation 2 2 2 2 2 2 3" xfId="37048"/>
    <cellStyle name="Calculation 2 2 2 2 2 3" xfId="21353"/>
    <cellStyle name="Calculation 2 2 2 2 2 3 2" xfId="42540"/>
    <cellStyle name="Calculation 2 2 2 2 2 4" xfId="31956"/>
    <cellStyle name="Calculation 2 2 2 2 2_Table 2A-1_EFT (Annual)" xfId="14759"/>
    <cellStyle name="Calculation 2 2 2 2 3" xfId="11836"/>
    <cellStyle name="Calculation 2 2 2 2 3 2" xfId="23920"/>
    <cellStyle name="Calculation 2 2 2 2 3 2 2" xfId="45106"/>
    <cellStyle name="Calculation 2 2 2 2 3 3" xfId="34502"/>
    <cellStyle name="Calculation 2 2 2 2 4" xfId="18807"/>
    <cellStyle name="Calculation 2 2 2 2 4 2" xfId="39994"/>
    <cellStyle name="Calculation 2 2 2 2 5" xfId="29213"/>
    <cellStyle name="Calculation 2 2 2 2_Table 2A-1_EFT (Annual)" xfId="3848"/>
    <cellStyle name="Calculation 2 2 2 3" xfId="5030"/>
    <cellStyle name="Calculation 2 2 2 3 2" xfId="13290"/>
    <cellStyle name="Calculation 2 2 2 3 2 2" xfId="25296"/>
    <cellStyle name="Calculation 2 2 2 3 2 2 2" xfId="46482"/>
    <cellStyle name="Calculation 2 2 2 3 2 3" xfId="35878"/>
    <cellStyle name="Calculation 2 2 2 3 3" xfId="20183"/>
    <cellStyle name="Calculation 2 2 2 3 3 2" xfId="41370"/>
    <cellStyle name="Calculation 2 2 2 3 4" xfId="30687"/>
    <cellStyle name="Calculation 2 2 2 3_Table 2A-1_EFT (Annual)" xfId="14758"/>
    <cellStyle name="Calculation 2 2 2 4" xfId="10634"/>
    <cellStyle name="Calculation 2 2 2 4 2" xfId="22750"/>
    <cellStyle name="Calculation 2 2 2 4 2 2" xfId="43936"/>
    <cellStyle name="Calculation 2 2 2 4 3" xfId="33332"/>
    <cellStyle name="Calculation 2 2 2 5" xfId="17637"/>
    <cellStyle name="Calculation 2 2 2 5 2" xfId="38824"/>
    <cellStyle name="Calculation 2 2 2 6" xfId="27944"/>
    <cellStyle name="Calculation 2 2 2_Table 2A-1_EFT (Annual)" xfId="4237"/>
    <cellStyle name="Calculation 2 2 3" xfId="1008"/>
    <cellStyle name="Calculation 2 2 3 2" xfId="4569"/>
    <cellStyle name="Calculation 2 2 3 2 2" xfId="12829"/>
    <cellStyle name="Calculation 2 2 3 2 2 2" xfId="24835"/>
    <cellStyle name="Calculation 2 2 3 2 2 2 2" xfId="46021"/>
    <cellStyle name="Calculation 2 2 3 2 2 3" xfId="35417"/>
    <cellStyle name="Calculation 2 2 3 2 3" xfId="19722"/>
    <cellStyle name="Calculation 2 2 3 2 3 2" xfId="40909"/>
    <cellStyle name="Calculation 2 2 3 2 4" xfId="30226"/>
    <cellStyle name="Calculation 2 2 3 2_Table 2A-1_EFT (Annual)" xfId="14757"/>
    <cellStyle name="Calculation 2 2 3 3" xfId="10173"/>
    <cellStyle name="Calculation 2 2 3 3 2" xfId="22289"/>
    <cellStyle name="Calculation 2 2 3 3 2 2" xfId="43475"/>
    <cellStyle name="Calculation 2 2 3 3 3" xfId="32871"/>
    <cellStyle name="Calculation 2 2 3 4" xfId="17176"/>
    <cellStyle name="Calculation 2 2 3 4 2" xfId="38363"/>
    <cellStyle name="Calculation 2 2 3 5" xfId="27483"/>
    <cellStyle name="Calculation 2 2 3_Table 2A-1_EFT (Annual)" xfId="3616"/>
    <cellStyle name="Calculation 2 2 4" xfId="2208"/>
    <cellStyle name="Calculation 2 2 4 2" xfId="5769"/>
    <cellStyle name="Calculation 2 2 4 2 2" xfId="13984"/>
    <cellStyle name="Calculation 2 2 4 2 2 2" xfId="25972"/>
    <cellStyle name="Calculation 2 2 4 2 2 2 2" xfId="47158"/>
    <cellStyle name="Calculation 2 2 4 2 2 3" xfId="36554"/>
    <cellStyle name="Calculation 2 2 4 2 3" xfId="20859"/>
    <cellStyle name="Calculation 2 2 4 2 3 2" xfId="42046"/>
    <cellStyle name="Calculation 2 2 4 2 4" xfId="31426"/>
    <cellStyle name="Calculation 2 2 4 2_Table 2A-1_EFT (Annual)" xfId="14756"/>
    <cellStyle name="Calculation 2 2 4 3" xfId="11328"/>
    <cellStyle name="Calculation 2 2 4 3 2" xfId="23426"/>
    <cellStyle name="Calculation 2 2 4 3 2 2" xfId="44612"/>
    <cellStyle name="Calculation 2 2 4 3 3" xfId="34008"/>
    <cellStyle name="Calculation 2 2 4 4" xfId="18313"/>
    <cellStyle name="Calculation 2 2 4 4 2" xfId="39500"/>
    <cellStyle name="Calculation 2 2 4 5" xfId="28683"/>
    <cellStyle name="Calculation 2 2 4_Table 2A-1_EFT (Annual)" xfId="4236"/>
    <cellStyle name="Calculation 2 2 5" xfId="4062"/>
    <cellStyle name="Calculation 2 2 5 2" xfId="12386"/>
    <cellStyle name="Calculation 2 2 5 2 2" xfId="24408"/>
    <cellStyle name="Calculation 2 2 5 2 2 2" xfId="45594"/>
    <cellStyle name="Calculation 2 2 5 2 3" xfId="34990"/>
    <cellStyle name="Calculation 2 2 5 3" xfId="19295"/>
    <cellStyle name="Calculation 2 2 5 3 2" xfId="40482"/>
    <cellStyle name="Calculation 2 2 5 4" xfId="29750"/>
    <cellStyle name="Calculation 2 2 5_Table 2A-1_EFT (Annual)" xfId="14755"/>
    <cellStyle name="Calculation 2 2 6" xfId="9725"/>
    <cellStyle name="Calculation 2 2 6 2" xfId="21862"/>
    <cellStyle name="Calculation 2 2 6 2 2" xfId="43048"/>
    <cellStyle name="Calculation 2 2 6 3" xfId="32444"/>
    <cellStyle name="Calculation 2 2 7" xfId="16749"/>
    <cellStyle name="Calculation 2 2 7 2" xfId="37936"/>
    <cellStyle name="Calculation 2 2 8" xfId="27007"/>
    <cellStyle name="Calculation 2 2_Table 2A-1_EFT (Annual)" xfId="2922"/>
    <cellStyle name="Calculation 2 3" xfId="325"/>
    <cellStyle name="Calculation 2 3 2" xfId="1313"/>
    <cellStyle name="Calculation 2 3 2 2" xfId="2583"/>
    <cellStyle name="Calculation 2 3 2 2 2" xfId="6144"/>
    <cellStyle name="Calculation 2 3 2 2 2 2" xfId="14338"/>
    <cellStyle name="Calculation 2 3 2 2 2 2 2" xfId="26310"/>
    <cellStyle name="Calculation 2 3 2 2 2 2 2 2" xfId="47496"/>
    <cellStyle name="Calculation 2 3 2 2 2 2 3" xfId="36892"/>
    <cellStyle name="Calculation 2 3 2 2 2 3" xfId="21197"/>
    <cellStyle name="Calculation 2 3 2 2 2 3 2" xfId="42384"/>
    <cellStyle name="Calculation 2 3 2 2 2 4" xfId="31800"/>
    <cellStyle name="Calculation 2 3 2 2 2_Table 2A-1_EFT (Annual)" xfId="14754"/>
    <cellStyle name="Calculation 2 3 2 2 3" xfId="11680"/>
    <cellStyle name="Calculation 2 3 2 2 3 2" xfId="23764"/>
    <cellStyle name="Calculation 2 3 2 2 3 2 2" xfId="44950"/>
    <cellStyle name="Calculation 2 3 2 2 3 3" xfId="34346"/>
    <cellStyle name="Calculation 2 3 2 2 4" xfId="18651"/>
    <cellStyle name="Calculation 2 3 2 2 4 2" xfId="39838"/>
    <cellStyle name="Calculation 2 3 2 2 5" xfId="29057"/>
    <cellStyle name="Calculation 2 3 2 2_Table 2A-1_EFT (Annual)" xfId="3847"/>
    <cellStyle name="Calculation 2 3 2 3" xfId="4874"/>
    <cellStyle name="Calculation 2 3 2 3 2" xfId="13134"/>
    <cellStyle name="Calculation 2 3 2 3 2 2" xfId="25140"/>
    <cellStyle name="Calculation 2 3 2 3 2 2 2" xfId="46326"/>
    <cellStyle name="Calculation 2 3 2 3 2 3" xfId="35722"/>
    <cellStyle name="Calculation 2 3 2 3 3" xfId="20027"/>
    <cellStyle name="Calculation 2 3 2 3 3 2" xfId="41214"/>
    <cellStyle name="Calculation 2 3 2 3 4" xfId="30531"/>
    <cellStyle name="Calculation 2 3 2 3_Table 2A-1_EFT (Annual)" xfId="14753"/>
    <cellStyle name="Calculation 2 3 2 4" xfId="10478"/>
    <cellStyle name="Calculation 2 3 2 4 2" xfId="22594"/>
    <cellStyle name="Calculation 2 3 2 4 2 2" xfId="43780"/>
    <cellStyle name="Calculation 2 3 2 4 3" xfId="33176"/>
    <cellStyle name="Calculation 2 3 2 5" xfId="17481"/>
    <cellStyle name="Calculation 2 3 2 5 2" xfId="38668"/>
    <cellStyle name="Calculation 2 3 2 6" xfId="27788"/>
    <cellStyle name="Calculation 2 3 2_Table 2A-1_EFT (Annual)" xfId="4235"/>
    <cellStyle name="Calculation 2 3 3" xfId="871"/>
    <cellStyle name="Calculation 2 3 3 2" xfId="4432"/>
    <cellStyle name="Calculation 2 3 3 2 2" xfId="12697"/>
    <cellStyle name="Calculation 2 3 3 2 2 2" xfId="24709"/>
    <cellStyle name="Calculation 2 3 3 2 2 2 2" xfId="45895"/>
    <cellStyle name="Calculation 2 3 3 2 2 3" xfId="35291"/>
    <cellStyle name="Calculation 2 3 3 2 3" xfId="19596"/>
    <cellStyle name="Calculation 2 3 3 2 3 2" xfId="40783"/>
    <cellStyle name="Calculation 2 3 3 2 4" xfId="30089"/>
    <cellStyle name="Calculation 2 3 3 2_Table 2A-1_EFT (Annual)" xfId="14752"/>
    <cellStyle name="Calculation 2 3 3 3" xfId="10044"/>
    <cellStyle name="Calculation 2 3 3 3 2" xfId="22163"/>
    <cellStyle name="Calculation 2 3 3 3 2 2" xfId="43349"/>
    <cellStyle name="Calculation 2 3 3 3 3" xfId="32745"/>
    <cellStyle name="Calculation 2 3 3 4" xfId="17050"/>
    <cellStyle name="Calculation 2 3 3 4 2" xfId="38237"/>
    <cellStyle name="Calculation 2 3 3 5" xfId="27346"/>
    <cellStyle name="Calculation 2 3 3_Table 2A-1_EFT (Annual)" xfId="3615"/>
    <cellStyle name="Calculation 2 3 4" xfId="2052"/>
    <cellStyle name="Calculation 2 3 4 2" xfId="5613"/>
    <cellStyle name="Calculation 2 3 4 2 2" xfId="13828"/>
    <cellStyle name="Calculation 2 3 4 2 2 2" xfId="25816"/>
    <cellStyle name="Calculation 2 3 4 2 2 2 2" xfId="47002"/>
    <cellStyle name="Calculation 2 3 4 2 2 3" xfId="36398"/>
    <cellStyle name="Calculation 2 3 4 2 3" xfId="20703"/>
    <cellStyle name="Calculation 2 3 4 2 3 2" xfId="41890"/>
    <cellStyle name="Calculation 2 3 4 2 4" xfId="31270"/>
    <cellStyle name="Calculation 2 3 4 2_Table 2A-1_EFT (Annual)" xfId="14751"/>
    <cellStyle name="Calculation 2 3 4 3" xfId="11172"/>
    <cellStyle name="Calculation 2 3 4 3 2" xfId="23270"/>
    <cellStyle name="Calculation 2 3 4 3 2 2" xfId="44456"/>
    <cellStyle name="Calculation 2 3 4 3 3" xfId="33852"/>
    <cellStyle name="Calculation 2 3 4 4" xfId="18157"/>
    <cellStyle name="Calculation 2 3 4 4 2" xfId="39344"/>
    <cellStyle name="Calculation 2 3 4 5" xfId="28527"/>
    <cellStyle name="Calculation 2 3 4_Table 2A-1_EFT (Annual)" xfId="4234"/>
    <cellStyle name="Calculation 2 3 5" xfId="3895"/>
    <cellStyle name="Calculation 2 3 5 2" xfId="12227"/>
    <cellStyle name="Calculation 2 3 5 2 2" xfId="24252"/>
    <cellStyle name="Calculation 2 3 5 2 2 2" xfId="45438"/>
    <cellStyle name="Calculation 2 3 5 2 3" xfId="34834"/>
    <cellStyle name="Calculation 2 3 5 3" xfId="19139"/>
    <cellStyle name="Calculation 2 3 5 3 2" xfId="40326"/>
    <cellStyle name="Calculation 2 3 5 4" xfId="29583"/>
    <cellStyle name="Calculation 2 3 5_Table 2A-1_EFT (Annual)" xfId="14750"/>
    <cellStyle name="Calculation 2 3 6" xfId="9564"/>
    <cellStyle name="Calculation 2 3 6 2" xfId="21706"/>
    <cellStyle name="Calculation 2 3 6 2 2" xfId="42892"/>
    <cellStyle name="Calculation 2 3 6 3" xfId="32288"/>
    <cellStyle name="Calculation 2 3 7" xfId="16593"/>
    <cellStyle name="Calculation 2 3 7 2" xfId="37780"/>
    <cellStyle name="Calculation 2 3 8" xfId="26840"/>
    <cellStyle name="Calculation 2 3_Table 2A-1_EFT (Annual)" xfId="2923"/>
    <cellStyle name="Calculation 2 4" xfId="1147"/>
    <cellStyle name="Calculation 2 4 2" xfId="2417"/>
    <cellStyle name="Calculation 2 4 2 2" xfId="5978"/>
    <cellStyle name="Calculation 2 4 2 2 2" xfId="14172"/>
    <cellStyle name="Calculation 2 4 2 2 2 2" xfId="26144"/>
    <cellStyle name="Calculation 2 4 2 2 2 2 2" xfId="47330"/>
    <cellStyle name="Calculation 2 4 2 2 2 3" xfId="36726"/>
    <cellStyle name="Calculation 2 4 2 2 3" xfId="21031"/>
    <cellStyle name="Calculation 2 4 2 2 3 2" xfId="42218"/>
    <cellStyle name="Calculation 2 4 2 2 4" xfId="31634"/>
    <cellStyle name="Calculation 2 4 2 2_Table 2A-1_EFT (Annual)" xfId="14749"/>
    <cellStyle name="Calculation 2 4 2 3" xfId="11514"/>
    <cellStyle name="Calculation 2 4 2 3 2" xfId="23598"/>
    <cellStyle name="Calculation 2 4 2 3 2 2" xfId="44784"/>
    <cellStyle name="Calculation 2 4 2 3 3" xfId="34180"/>
    <cellStyle name="Calculation 2 4 2 4" xfId="18485"/>
    <cellStyle name="Calculation 2 4 2 4 2" xfId="39672"/>
    <cellStyle name="Calculation 2 4 2 5" xfId="28891"/>
    <cellStyle name="Calculation 2 4 2_Table 2A-1_EFT (Annual)" xfId="4233"/>
    <cellStyle name="Calculation 2 4 3" xfId="4708"/>
    <cellStyle name="Calculation 2 4 3 2" xfId="12968"/>
    <cellStyle name="Calculation 2 4 3 2 2" xfId="24974"/>
    <cellStyle name="Calculation 2 4 3 2 2 2" xfId="46160"/>
    <cellStyle name="Calculation 2 4 3 2 3" xfId="35556"/>
    <cellStyle name="Calculation 2 4 3 3" xfId="19861"/>
    <cellStyle name="Calculation 2 4 3 3 2" xfId="41048"/>
    <cellStyle name="Calculation 2 4 3 4" xfId="30365"/>
    <cellStyle name="Calculation 2 4 3_Table 2A-1_EFT (Annual)" xfId="14748"/>
    <cellStyle name="Calculation 2 4 4" xfId="10312"/>
    <cellStyle name="Calculation 2 4 4 2" xfId="22428"/>
    <cellStyle name="Calculation 2 4 4 2 2" xfId="43614"/>
    <cellStyle name="Calculation 2 4 4 3" xfId="33010"/>
    <cellStyle name="Calculation 2 4 5" xfId="17315"/>
    <cellStyle name="Calculation 2 4 5 2" xfId="38502"/>
    <cellStyle name="Calculation 2 4 6" xfId="27622"/>
    <cellStyle name="Calculation 2 4_Table 2A-1_EFT (Annual)" xfId="3614"/>
    <cellStyle name="Calculation 2 5" xfId="712"/>
    <cellStyle name="Calculation 2 5 2" xfId="4273"/>
    <cellStyle name="Calculation 2 5 2 2" xfId="12557"/>
    <cellStyle name="Calculation 2 5 2 2 2" xfId="24575"/>
    <cellStyle name="Calculation 2 5 2 2 2 2" xfId="45761"/>
    <cellStyle name="Calculation 2 5 2 2 3" xfId="35157"/>
    <cellStyle name="Calculation 2 5 2 3" xfId="19462"/>
    <cellStyle name="Calculation 2 5 2 3 2" xfId="40649"/>
    <cellStyle name="Calculation 2 5 2 4" xfId="29930"/>
    <cellStyle name="Calculation 2 5 2_Table 2A-1_EFT (Annual)" xfId="14747"/>
    <cellStyle name="Calculation 2 5 3" xfId="9904"/>
    <cellStyle name="Calculation 2 5 3 2" xfId="22029"/>
    <cellStyle name="Calculation 2 5 3 2 2" xfId="43215"/>
    <cellStyle name="Calculation 2 5 3 3" xfId="32611"/>
    <cellStyle name="Calculation 2 5 4" xfId="16916"/>
    <cellStyle name="Calculation 2 5 4 2" xfId="38103"/>
    <cellStyle name="Calculation 2 5 5" xfId="27187"/>
    <cellStyle name="Calculation 2 5_Table 2A-1_EFT (Annual)" xfId="3846"/>
    <cellStyle name="Calculation 2 6" xfId="1944"/>
    <cellStyle name="Calculation 2 6 2" xfId="5505"/>
    <cellStyle name="Calculation 2 6 2 2" xfId="13720"/>
    <cellStyle name="Calculation 2 6 2 2 2" xfId="25708"/>
    <cellStyle name="Calculation 2 6 2 2 2 2" xfId="46894"/>
    <cellStyle name="Calculation 2 6 2 2 3" xfId="36290"/>
    <cellStyle name="Calculation 2 6 2 3" xfId="20595"/>
    <cellStyle name="Calculation 2 6 2 3 2" xfId="41782"/>
    <cellStyle name="Calculation 2 6 2 4" xfId="31162"/>
    <cellStyle name="Calculation 2 6 2_Table 2A-1_EFT (Annual)" xfId="14746"/>
    <cellStyle name="Calculation 2 6 3" xfId="11064"/>
    <cellStyle name="Calculation 2 6 3 2" xfId="23162"/>
    <cellStyle name="Calculation 2 6 3 2 2" xfId="44348"/>
    <cellStyle name="Calculation 2 6 3 3" xfId="33744"/>
    <cellStyle name="Calculation 2 6 4" xfId="18049"/>
    <cellStyle name="Calculation 2 6 4 2" xfId="39236"/>
    <cellStyle name="Calculation 2 6 5" xfId="28419"/>
    <cellStyle name="Calculation 2 6_Table 2A-1_EFT (Annual)" xfId="3613"/>
    <cellStyle name="Calculation 2 7" xfId="3682"/>
    <cellStyle name="Calculation 2 7 2" xfId="12055"/>
    <cellStyle name="Calculation 2 7 2 2" xfId="24086"/>
    <cellStyle name="Calculation 2 7 2 2 2" xfId="45272"/>
    <cellStyle name="Calculation 2 7 2 3" xfId="34668"/>
    <cellStyle name="Calculation 2 7 3" xfId="18973"/>
    <cellStyle name="Calculation 2 7 3 2" xfId="40160"/>
    <cellStyle name="Calculation 2 7 4" xfId="29392"/>
    <cellStyle name="Calculation 2 7_Table 2A-1_EFT (Annual)" xfId="14745"/>
    <cellStyle name="Calculation 2 8" xfId="9372"/>
    <cellStyle name="Calculation 2 8 2" xfId="21540"/>
    <cellStyle name="Calculation 2 8 2 2" xfId="42726"/>
    <cellStyle name="Calculation 2 8 3" xfId="32122"/>
    <cellStyle name="Calculation 2 9" xfId="16427"/>
    <cellStyle name="Calculation 2 9 2" xfId="37614"/>
    <cellStyle name="Calculation 2_Table 2A-1_EFT (Annual)" xfId="2921"/>
    <cellStyle name="Calculation 20" xfId="178"/>
    <cellStyle name="Calculation 20 10" xfId="26733"/>
    <cellStyle name="Calculation 20 2" xfId="571"/>
    <cellStyle name="Calculation 20 2 2" xfId="1548"/>
    <cellStyle name="Calculation 20 2 2 2" xfId="2818"/>
    <cellStyle name="Calculation 20 2 2 2 2" xfId="6379"/>
    <cellStyle name="Calculation 20 2 2 2 2 2" xfId="14573"/>
    <cellStyle name="Calculation 20 2 2 2 2 2 2" xfId="26545"/>
    <cellStyle name="Calculation 20 2 2 2 2 2 2 2" xfId="47731"/>
    <cellStyle name="Calculation 20 2 2 2 2 2 3" xfId="37127"/>
    <cellStyle name="Calculation 20 2 2 2 2 3" xfId="21432"/>
    <cellStyle name="Calculation 20 2 2 2 2 3 2" xfId="42619"/>
    <cellStyle name="Calculation 20 2 2 2 2 4" xfId="32035"/>
    <cellStyle name="Calculation 20 2 2 2 2_Table 2A-1_EFT (Annual)" xfId="14744"/>
    <cellStyle name="Calculation 20 2 2 2 3" xfId="11915"/>
    <cellStyle name="Calculation 20 2 2 2 3 2" xfId="23999"/>
    <cellStyle name="Calculation 20 2 2 2 3 2 2" xfId="45185"/>
    <cellStyle name="Calculation 20 2 2 2 3 3" xfId="34581"/>
    <cellStyle name="Calculation 20 2 2 2 4" xfId="18886"/>
    <cellStyle name="Calculation 20 2 2 2 4 2" xfId="40073"/>
    <cellStyle name="Calculation 20 2 2 2 5" xfId="29292"/>
    <cellStyle name="Calculation 20 2 2 2_Table 2A-1_EFT (Annual)" xfId="3845"/>
    <cellStyle name="Calculation 20 2 2 3" xfId="5109"/>
    <cellStyle name="Calculation 20 2 2 3 2" xfId="13369"/>
    <cellStyle name="Calculation 20 2 2 3 2 2" xfId="25375"/>
    <cellStyle name="Calculation 20 2 2 3 2 2 2" xfId="46561"/>
    <cellStyle name="Calculation 20 2 2 3 2 3" xfId="35957"/>
    <cellStyle name="Calculation 20 2 2 3 3" xfId="20262"/>
    <cellStyle name="Calculation 20 2 2 3 3 2" xfId="41449"/>
    <cellStyle name="Calculation 20 2 2 3 4" xfId="30766"/>
    <cellStyle name="Calculation 20 2 2 3_Table 2A-1_EFT (Annual)" xfId="14743"/>
    <cellStyle name="Calculation 20 2 2 4" xfId="10713"/>
    <cellStyle name="Calculation 20 2 2 4 2" xfId="22829"/>
    <cellStyle name="Calculation 20 2 2 4 2 2" xfId="44015"/>
    <cellStyle name="Calculation 20 2 2 4 3" xfId="33411"/>
    <cellStyle name="Calculation 20 2 2 5" xfId="17716"/>
    <cellStyle name="Calculation 20 2 2 5 2" xfId="38903"/>
    <cellStyle name="Calculation 20 2 2 6" xfId="28023"/>
    <cellStyle name="Calculation 20 2 2_Table 2A-1_EFT (Annual)" xfId="4232"/>
    <cellStyle name="Calculation 20 2 3" xfId="1073"/>
    <cellStyle name="Calculation 20 2 3 2" xfId="4634"/>
    <cellStyle name="Calculation 20 2 3 2 2" xfId="12894"/>
    <cellStyle name="Calculation 20 2 3 2 2 2" xfId="24900"/>
    <cellStyle name="Calculation 20 2 3 2 2 2 2" xfId="46086"/>
    <cellStyle name="Calculation 20 2 3 2 2 3" xfId="35482"/>
    <cellStyle name="Calculation 20 2 3 2 3" xfId="19787"/>
    <cellStyle name="Calculation 20 2 3 2 3 2" xfId="40974"/>
    <cellStyle name="Calculation 20 2 3 2 4" xfId="30291"/>
    <cellStyle name="Calculation 20 2 3 2_Table 2A-1_EFT (Annual)" xfId="14742"/>
    <cellStyle name="Calculation 20 2 3 3" xfId="10238"/>
    <cellStyle name="Calculation 20 2 3 3 2" xfId="22354"/>
    <cellStyle name="Calculation 20 2 3 3 2 2" xfId="43540"/>
    <cellStyle name="Calculation 20 2 3 3 3" xfId="32936"/>
    <cellStyle name="Calculation 20 2 3 4" xfId="17241"/>
    <cellStyle name="Calculation 20 2 3 4 2" xfId="38428"/>
    <cellStyle name="Calculation 20 2 3 5" xfId="27548"/>
    <cellStyle name="Calculation 20 2 3_Table 2A-1_EFT (Annual)" xfId="3612"/>
    <cellStyle name="Calculation 20 2 4" xfId="2287"/>
    <cellStyle name="Calculation 20 2 4 2" xfId="5848"/>
    <cellStyle name="Calculation 20 2 4 2 2" xfId="14063"/>
    <cellStyle name="Calculation 20 2 4 2 2 2" xfId="26051"/>
    <cellStyle name="Calculation 20 2 4 2 2 2 2" xfId="47237"/>
    <cellStyle name="Calculation 20 2 4 2 2 3" xfId="36633"/>
    <cellStyle name="Calculation 20 2 4 2 3" xfId="20938"/>
    <cellStyle name="Calculation 20 2 4 2 3 2" xfId="42125"/>
    <cellStyle name="Calculation 20 2 4 2 4" xfId="31505"/>
    <cellStyle name="Calculation 20 2 4 2_Table 2A-1_EFT (Annual)" xfId="14741"/>
    <cellStyle name="Calculation 20 2 4 3" xfId="11407"/>
    <cellStyle name="Calculation 20 2 4 3 2" xfId="23505"/>
    <cellStyle name="Calculation 20 2 4 3 2 2" xfId="44691"/>
    <cellStyle name="Calculation 20 2 4 3 3" xfId="34087"/>
    <cellStyle name="Calculation 20 2 4 4" xfId="18392"/>
    <cellStyle name="Calculation 20 2 4 4 2" xfId="39579"/>
    <cellStyle name="Calculation 20 2 4 5" xfId="28762"/>
    <cellStyle name="Calculation 20 2 4_Table 2A-1_EFT (Annual)" xfId="4231"/>
    <cellStyle name="Calculation 20 2 5" xfId="4141"/>
    <cellStyle name="Calculation 20 2 5 2" xfId="12465"/>
    <cellStyle name="Calculation 20 2 5 2 2" xfId="24487"/>
    <cellStyle name="Calculation 20 2 5 2 2 2" xfId="45673"/>
    <cellStyle name="Calculation 20 2 5 2 3" xfId="35069"/>
    <cellStyle name="Calculation 20 2 5 3" xfId="19374"/>
    <cellStyle name="Calculation 20 2 5 3 2" xfId="40561"/>
    <cellStyle name="Calculation 20 2 5 4" xfId="29829"/>
    <cellStyle name="Calculation 20 2 5_Table 2A-1_EFT (Annual)" xfId="14740"/>
    <cellStyle name="Calculation 20 2 6" xfId="9804"/>
    <cellStyle name="Calculation 20 2 6 2" xfId="21941"/>
    <cellStyle name="Calculation 20 2 6 2 2" xfId="43127"/>
    <cellStyle name="Calculation 20 2 6 3" xfId="32523"/>
    <cellStyle name="Calculation 20 2 7" xfId="16828"/>
    <cellStyle name="Calculation 20 2 7 2" xfId="38015"/>
    <cellStyle name="Calculation 20 2 8" xfId="27086"/>
    <cellStyle name="Calculation 20 2_Table 2A-1_EFT (Annual)" xfId="2925"/>
    <cellStyle name="Calculation 20 3" xfId="409"/>
    <cellStyle name="Calculation 20 3 2" xfId="1392"/>
    <cellStyle name="Calculation 20 3 2 2" xfId="2662"/>
    <cellStyle name="Calculation 20 3 2 2 2" xfId="6223"/>
    <cellStyle name="Calculation 20 3 2 2 2 2" xfId="14417"/>
    <cellStyle name="Calculation 20 3 2 2 2 2 2" xfId="26389"/>
    <cellStyle name="Calculation 20 3 2 2 2 2 2 2" xfId="47575"/>
    <cellStyle name="Calculation 20 3 2 2 2 2 3" xfId="36971"/>
    <cellStyle name="Calculation 20 3 2 2 2 3" xfId="21276"/>
    <cellStyle name="Calculation 20 3 2 2 2 3 2" xfId="42463"/>
    <cellStyle name="Calculation 20 3 2 2 2 4" xfId="31879"/>
    <cellStyle name="Calculation 20 3 2 2 2_Table 2A-1_EFT (Annual)" xfId="14739"/>
    <cellStyle name="Calculation 20 3 2 2 3" xfId="11759"/>
    <cellStyle name="Calculation 20 3 2 2 3 2" xfId="23843"/>
    <cellStyle name="Calculation 20 3 2 2 3 2 2" xfId="45029"/>
    <cellStyle name="Calculation 20 3 2 2 3 3" xfId="34425"/>
    <cellStyle name="Calculation 20 3 2 2 4" xfId="18730"/>
    <cellStyle name="Calculation 20 3 2 2 4 2" xfId="39917"/>
    <cellStyle name="Calculation 20 3 2 2 5" xfId="29136"/>
    <cellStyle name="Calculation 20 3 2 2_Table 2A-1_EFT (Annual)" xfId="3844"/>
    <cellStyle name="Calculation 20 3 2 3" xfId="4953"/>
    <cellStyle name="Calculation 20 3 2 3 2" xfId="13213"/>
    <cellStyle name="Calculation 20 3 2 3 2 2" xfId="25219"/>
    <cellStyle name="Calculation 20 3 2 3 2 2 2" xfId="46405"/>
    <cellStyle name="Calculation 20 3 2 3 2 3" xfId="35801"/>
    <cellStyle name="Calculation 20 3 2 3 3" xfId="20106"/>
    <cellStyle name="Calculation 20 3 2 3 3 2" xfId="41293"/>
    <cellStyle name="Calculation 20 3 2 3 4" xfId="30610"/>
    <cellStyle name="Calculation 20 3 2 3_Table 2A-1_EFT (Annual)" xfId="14738"/>
    <cellStyle name="Calculation 20 3 2 4" xfId="10557"/>
    <cellStyle name="Calculation 20 3 2 4 2" xfId="22673"/>
    <cellStyle name="Calculation 20 3 2 4 2 2" xfId="43859"/>
    <cellStyle name="Calculation 20 3 2 4 3" xfId="33255"/>
    <cellStyle name="Calculation 20 3 2 5" xfId="17560"/>
    <cellStyle name="Calculation 20 3 2 5 2" xfId="38747"/>
    <cellStyle name="Calculation 20 3 2 6" xfId="27867"/>
    <cellStyle name="Calculation 20 3 2_Table 2A-1_EFT (Annual)" xfId="4230"/>
    <cellStyle name="Calculation 20 3 3" xfId="941"/>
    <cellStyle name="Calculation 20 3 3 2" xfId="4502"/>
    <cellStyle name="Calculation 20 3 3 2 2" xfId="12764"/>
    <cellStyle name="Calculation 20 3 3 2 2 2" xfId="24774"/>
    <cellStyle name="Calculation 20 3 3 2 2 2 2" xfId="45960"/>
    <cellStyle name="Calculation 20 3 3 2 2 3" xfId="35356"/>
    <cellStyle name="Calculation 20 3 3 2 3" xfId="19661"/>
    <cellStyle name="Calculation 20 3 3 2 3 2" xfId="40848"/>
    <cellStyle name="Calculation 20 3 3 2 4" xfId="30159"/>
    <cellStyle name="Calculation 20 3 3 2_Table 2A-1_EFT (Annual)" xfId="14737"/>
    <cellStyle name="Calculation 20 3 3 3" xfId="10111"/>
    <cellStyle name="Calculation 20 3 3 3 2" xfId="22228"/>
    <cellStyle name="Calculation 20 3 3 3 2 2" xfId="43414"/>
    <cellStyle name="Calculation 20 3 3 3 3" xfId="32810"/>
    <cellStyle name="Calculation 20 3 3 4" xfId="17115"/>
    <cellStyle name="Calculation 20 3 3 4 2" xfId="38302"/>
    <cellStyle name="Calculation 20 3 3 5" xfId="27416"/>
    <cellStyle name="Calculation 20 3 3_Table 2A-1_EFT (Annual)" xfId="3611"/>
    <cellStyle name="Calculation 20 3 4" xfId="2131"/>
    <cellStyle name="Calculation 20 3 4 2" xfId="5692"/>
    <cellStyle name="Calculation 20 3 4 2 2" xfId="13907"/>
    <cellStyle name="Calculation 20 3 4 2 2 2" xfId="25895"/>
    <cellStyle name="Calculation 20 3 4 2 2 2 2" xfId="47081"/>
    <cellStyle name="Calculation 20 3 4 2 2 3" xfId="36477"/>
    <cellStyle name="Calculation 20 3 4 2 3" xfId="20782"/>
    <cellStyle name="Calculation 20 3 4 2 3 2" xfId="41969"/>
    <cellStyle name="Calculation 20 3 4 2 4" xfId="31349"/>
    <cellStyle name="Calculation 20 3 4 2_Table 2A-1_EFT (Annual)" xfId="14736"/>
    <cellStyle name="Calculation 20 3 4 3" xfId="11251"/>
    <cellStyle name="Calculation 20 3 4 3 2" xfId="23349"/>
    <cellStyle name="Calculation 20 3 4 3 2 2" xfId="44535"/>
    <cellStyle name="Calculation 20 3 4 3 3" xfId="33931"/>
    <cellStyle name="Calculation 20 3 4 4" xfId="18236"/>
    <cellStyle name="Calculation 20 3 4 4 2" xfId="39423"/>
    <cellStyle name="Calculation 20 3 4 5" xfId="28606"/>
    <cellStyle name="Calculation 20 3 4_Table 2A-1_EFT (Annual)" xfId="4229"/>
    <cellStyle name="Calculation 20 3 5" xfId="3979"/>
    <cellStyle name="Calculation 20 3 5 2" xfId="12307"/>
    <cellStyle name="Calculation 20 3 5 2 2" xfId="24331"/>
    <cellStyle name="Calculation 20 3 5 2 2 2" xfId="45517"/>
    <cellStyle name="Calculation 20 3 5 2 3" xfId="34913"/>
    <cellStyle name="Calculation 20 3 5 3" xfId="19218"/>
    <cellStyle name="Calculation 20 3 5 3 2" xfId="40405"/>
    <cellStyle name="Calculation 20 3 5 4" xfId="29667"/>
    <cellStyle name="Calculation 20 3 5_Table 2A-1_EFT (Annual)" xfId="14734"/>
    <cellStyle name="Calculation 20 3 6" xfId="9644"/>
    <cellStyle name="Calculation 20 3 6 2" xfId="21785"/>
    <cellStyle name="Calculation 20 3 6 2 2" xfId="42971"/>
    <cellStyle name="Calculation 20 3 6 3" xfId="32367"/>
    <cellStyle name="Calculation 20 3 7" xfId="16672"/>
    <cellStyle name="Calculation 20 3 7 2" xfId="37859"/>
    <cellStyle name="Calculation 20 3 8" xfId="26924"/>
    <cellStyle name="Calculation 20 3_Table 2A-1_EFT (Annual)" xfId="2926"/>
    <cellStyle name="Calculation 20 4" xfId="1226"/>
    <cellStyle name="Calculation 20 4 2" xfId="2496"/>
    <cellStyle name="Calculation 20 4 2 2" xfId="6057"/>
    <cellStyle name="Calculation 20 4 2 2 2" xfId="14251"/>
    <cellStyle name="Calculation 20 4 2 2 2 2" xfId="26223"/>
    <cellStyle name="Calculation 20 4 2 2 2 2 2" xfId="47409"/>
    <cellStyle name="Calculation 20 4 2 2 2 3" xfId="36805"/>
    <cellStyle name="Calculation 20 4 2 2 3" xfId="21110"/>
    <cellStyle name="Calculation 20 4 2 2 3 2" xfId="42297"/>
    <cellStyle name="Calculation 20 4 2 2 4" xfId="31713"/>
    <cellStyle name="Calculation 20 4 2 2_Table 2A-1_EFT (Annual)" xfId="14735"/>
    <cellStyle name="Calculation 20 4 2 3" xfId="11593"/>
    <cellStyle name="Calculation 20 4 2 3 2" xfId="23677"/>
    <cellStyle name="Calculation 20 4 2 3 2 2" xfId="44863"/>
    <cellStyle name="Calculation 20 4 2 3 3" xfId="34259"/>
    <cellStyle name="Calculation 20 4 2 4" xfId="18564"/>
    <cellStyle name="Calculation 20 4 2 4 2" xfId="39751"/>
    <cellStyle name="Calculation 20 4 2 5" xfId="28970"/>
    <cellStyle name="Calculation 20 4 2_Table 2A-1_EFT (Annual)" xfId="4228"/>
    <cellStyle name="Calculation 20 4 3" xfId="4787"/>
    <cellStyle name="Calculation 20 4 3 2" xfId="13047"/>
    <cellStyle name="Calculation 20 4 3 2 2" xfId="25053"/>
    <cellStyle name="Calculation 20 4 3 2 2 2" xfId="46239"/>
    <cellStyle name="Calculation 20 4 3 2 3" xfId="35635"/>
    <cellStyle name="Calculation 20 4 3 3" xfId="19940"/>
    <cellStyle name="Calculation 20 4 3 3 2" xfId="41127"/>
    <cellStyle name="Calculation 20 4 3 4" xfId="30444"/>
    <cellStyle name="Calculation 20 4 3_Table 2A-1_EFT (Annual)" xfId="14733"/>
    <cellStyle name="Calculation 20 4 4" xfId="10391"/>
    <cellStyle name="Calculation 20 4 4 2" xfId="22507"/>
    <cellStyle name="Calculation 20 4 4 2 2" xfId="43693"/>
    <cellStyle name="Calculation 20 4 4 3" xfId="33089"/>
    <cellStyle name="Calculation 20 4 5" xfId="17394"/>
    <cellStyle name="Calculation 20 4 5 2" xfId="38581"/>
    <cellStyle name="Calculation 20 4 6" xfId="27701"/>
    <cellStyle name="Calculation 20 4_Table 2A-1_EFT (Annual)" xfId="3610"/>
    <cellStyle name="Calculation 20 5" xfId="782"/>
    <cellStyle name="Calculation 20 5 2" xfId="4343"/>
    <cellStyle name="Calculation 20 5 2 2" xfId="12623"/>
    <cellStyle name="Calculation 20 5 2 2 2" xfId="24640"/>
    <cellStyle name="Calculation 20 5 2 2 2 2" xfId="45826"/>
    <cellStyle name="Calculation 20 5 2 2 3" xfId="35222"/>
    <cellStyle name="Calculation 20 5 2 3" xfId="19527"/>
    <cellStyle name="Calculation 20 5 2 3 2" xfId="40714"/>
    <cellStyle name="Calculation 20 5 2 4" xfId="30000"/>
    <cellStyle name="Calculation 20 5 2_Table 2A-1_EFT (Annual)" xfId="14732"/>
    <cellStyle name="Calculation 20 5 3" xfId="9971"/>
    <cellStyle name="Calculation 20 5 3 2" xfId="22094"/>
    <cellStyle name="Calculation 20 5 3 2 2" xfId="43280"/>
    <cellStyle name="Calculation 20 5 3 3" xfId="32676"/>
    <cellStyle name="Calculation 20 5 4" xfId="16981"/>
    <cellStyle name="Calculation 20 5 4 2" xfId="38168"/>
    <cellStyle name="Calculation 20 5 5" xfId="27257"/>
    <cellStyle name="Calculation 20 5_Table 2A-1_EFT (Annual)" xfId="3843"/>
    <cellStyle name="Calculation 20 6" xfId="1965"/>
    <cellStyle name="Calculation 20 6 2" xfId="5526"/>
    <cellStyle name="Calculation 20 6 2 2" xfId="13741"/>
    <cellStyle name="Calculation 20 6 2 2 2" xfId="25729"/>
    <cellStyle name="Calculation 20 6 2 2 2 2" xfId="46915"/>
    <cellStyle name="Calculation 20 6 2 2 3" xfId="36311"/>
    <cellStyle name="Calculation 20 6 2 3" xfId="20616"/>
    <cellStyle name="Calculation 20 6 2 3 2" xfId="41803"/>
    <cellStyle name="Calculation 20 6 2 4" xfId="31183"/>
    <cellStyle name="Calculation 20 6 2_Table 2A-1_EFT (Annual)" xfId="14731"/>
    <cellStyle name="Calculation 20 6 3" xfId="11085"/>
    <cellStyle name="Calculation 20 6 3 2" xfId="23183"/>
    <cellStyle name="Calculation 20 6 3 2 2" xfId="44369"/>
    <cellStyle name="Calculation 20 6 3 3" xfId="33765"/>
    <cellStyle name="Calculation 20 6 4" xfId="18070"/>
    <cellStyle name="Calculation 20 6 4 2" xfId="39257"/>
    <cellStyle name="Calculation 20 6 5" xfId="28440"/>
    <cellStyle name="Calculation 20 6_Table 2A-1_EFT (Annual)" xfId="3609"/>
    <cellStyle name="Calculation 20 7" xfId="3767"/>
    <cellStyle name="Calculation 20 7 2" xfId="12135"/>
    <cellStyle name="Calculation 20 7 2 2" xfId="24165"/>
    <cellStyle name="Calculation 20 7 2 2 2" xfId="45351"/>
    <cellStyle name="Calculation 20 7 2 3" xfId="34747"/>
    <cellStyle name="Calculation 20 7 3" xfId="19052"/>
    <cellStyle name="Calculation 20 7 3 2" xfId="40239"/>
    <cellStyle name="Calculation 20 7 4" xfId="29476"/>
    <cellStyle name="Calculation 20 7_Table 2A-1_EFT (Annual)" xfId="14730"/>
    <cellStyle name="Calculation 20 8" xfId="9454"/>
    <cellStyle name="Calculation 20 8 2" xfId="21619"/>
    <cellStyle name="Calculation 20 8 2 2" xfId="42805"/>
    <cellStyle name="Calculation 20 8 3" xfId="32201"/>
    <cellStyle name="Calculation 20 9" xfId="16506"/>
    <cellStyle name="Calculation 20 9 2" xfId="37693"/>
    <cellStyle name="Calculation 20_Table 2A-1_EFT (Annual)" xfId="2924"/>
    <cellStyle name="Calculation 21" xfId="176"/>
    <cellStyle name="Calculation 21 10" xfId="26731"/>
    <cellStyle name="Calculation 21 2" xfId="569"/>
    <cellStyle name="Calculation 21 2 2" xfId="1546"/>
    <cellStyle name="Calculation 21 2 2 2" xfId="2816"/>
    <cellStyle name="Calculation 21 2 2 2 2" xfId="6377"/>
    <cellStyle name="Calculation 21 2 2 2 2 2" xfId="14571"/>
    <cellStyle name="Calculation 21 2 2 2 2 2 2" xfId="26543"/>
    <cellStyle name="Calculation 21 2 2 2 2 2 2 2" xfId="47729"/>
    <cellStyle name="Calculation 21 2 2 2 2 2 3" xfId="37125"/>
    <cellStyle name="Calculation 21 2 2 2 2 3" xfId="21430"/>
    <cellStyle name="Calculation 21 2 2 2 2 3 2" xfId="42617"/>
    <cellStyle name="Calculation 21 2 2 2 2 4" xfId="32033"/>
    <cellStyle name="Calculation 21 2 2 2 2_Table 2A-1_EFT (Annual)" xfId="14729"/>
    <cellStyle name="Calculation 21 2 2 2 3" xfId="11913"/>
    <cellStyle name="Calculation 21 2 2 2 3 2" xfId="23997"/>
    <cellStyle name="Calculation 21 2 2 2 3 2 2" xfId="45183"/>
    <cellStyle name="Calculation 21 2 2 2 3 3" xfId="34579"/>
    <cellStyle name="Calculation 21 2 2 2 4" xfId="18884"/>
    <cellStyle name="Calculation 21 2 2 2 4 2" xfId="40071"/>
    <cellStyle name="Calculation 21 2 2 2 5" xfId="29290"/>
    <cellStyle name="Calculation 21 2 2 2_Table 2A-1_EFT (Annual)" xfId="6496"/>
    <cellStyle name="Calculation 21 2 2 3" xfId="5107"/>
    <cellStyle name="Calculation 21 2 2 3 2" xfId="13367"/>
    <cellStyle name="Calculation 21 2 2 3 2 2" xfId="25373"/>
    <cellStyle name="Calculation 21 2 2 3 2 2 2" xfId="46559"/>
    <cellStyle name="Calculation 21 2 2 3 2 3" xfId="35955"/>
    <cellStyle name="Calculation 21 2 2 3 3" xfId="20260"/>
    <cellStyle name="Calculation 21 2 2 3 3 2" xfId="41447"/>
    <cellStyle name="Calculation 21 2 2 3 4" xfId="30764"/>
    <cellStyle name="Calculation 21 2 2 3_Table 2A-1_EFT (Annual)" xfId="14728"/>
    <cellStyle name="Calculation 21 2 2 4" xfId="10711"/>
    <cellStyle name="Calculation 21 2 2 4 2" xfId="22827"/>
    <cellStyle name="Calculation 21 2 2 4 2 2" xfId="44013"/>
    <cellStyle name="Calculation 21 2 2 4 3" xfId="33409"/>
    <cellStyle name="Calculation 21 2 2 5" xfId="17714"/>
    <cellStyle name="Calculation 21 2 2 5 2" xfId="38901"/>
    <cellStyle name="Calculation 21 2 2 6" xfId="28021"/>
    <cellStyle name="Calculation 21 2 2_Table 2A-1_EFT (Annual)" xfId="6495"/>
    <cellStyle name="Calculation 21 2 3" xfId="1071"/>
    <cellStyle name="Calculation 21 2 3 2" xfId="4632"/>
    <cellStyle name="Calculation 21 2 3 2 2" xfId="12892"/>
    <cellStyle name="Calculation 21 2 3 2 2 2" xfId="24898"/>
    <cellStyle name="Calculation 21 2 3 2 2 2 2" xfId="46084"/>
    <cellStyle name="Calculation 21 2 3 2 2 3" xfId="35480"/>
    <cellStyle name="Calculation 21 2 3 2 3" xfId="19785"/>
    <cellStyle name="Calculation 21 2 3 2 3 2" xfId="40972"/>
    <cellStyle name="Calculation 21 2 3 2 4" xfId="30289"/>
    <cellStyle name="Calculation 21 2 3 2_Table 2A-1_EFT (Annual)" xfId="14727"/>
    <cellStyle name="Calculation 21 2 3 3" xfId="10236"/>
    <cellStyle name="Calculation 21 2 3 3 2" xfId="22352"/>
    <cellStyle name="Calculation 21 2 3 3 2 2" xfId="43538"/>
    <cellStyle name="Calculation 21 2 3 3 3" xfId="32934"/>
    <cellStyle name="Calculation 21 2 3 4" xfId="17239"/>
    <cellStyle name="Calculation 21 2 3 4 2" xfId="38426"/>
    <cellStyle name="Calculation 21 2 3 5" xfId="27546"/>
    <cellStyle name="Calculation 21 2 3_Table 2A-1_EFT (Annual)" xfId="6497"/>
    <cellStyle name="Calculation 21 2 4" xfId="2285"/>
    <cellStyle name="Calculation 21 2 4 2" xfId="5846"/>
    <cellStyle name="Calculation 21 2 4 2 2" xfId="14061"/>
    <cellStyle name="Calculation 21 2 4 2 2 2" xfId="26049"/>
    <cellStyle name="Calculation 21 2 4 2 2 2 2" xfId="47235"/>
    <cellStyle name="Calculation 21 2 4 2 2 3" xfId="36631"/>
    <cellStyle name="Calculation 21 2 4 2 3" xfId="20936"/>
    <cellStyle name="Calculation 21 2 4 2 3 2" xfId="42123"/>
    <cellStyle name="Calculation 21 2 4 2 4" xfId="31503"/>
    <cellStyle name="Calculation 21 2 4 2_Table 2A-1_EFT (Annual)" xfId="14726"/>
    <cellStyle name="Calculation 21 2 4 3" xfId="11405"/>
    <cellStyle name="Calculation 21 2 4 3 2" xfId="23503"/>
    <cellStyle name="Calculation 21 2 4 3 2 2" xfId="44689"/>
    <cellStyle name="Calculation 21 2 4 3 3" xfId="34085"/>
    <cellStyle name="Calculation 21 2 4 4" xfId="18390"/>
    <cellStyle name="Calculation 21 2 4 4 2" xfId="39577"/>
    <cellStyle name="Calculation 21 2 4 5" xfId="28760"/>
    <cellStyle name="Calculation 21 2 4_Table 2A-1_EFT (Annual)" xfId="6498"/>
    <cellStyle name="Calculation 21 2 5" xfId="4139"/>
    <cellStyle name="Calculation 21 2 5 2" xfId="12463"/>
    <cellStyle name="Calculation 21 2 5 2 2" xfId="24485"/>
    <cellStyle name="Calculation 21 2 5 2 2 2" xfId="45671"/>
    <cellStyle name="Calculation 21 2 5 2 3" xfId="35067"/>
    <cellStyle name="Calculation 21 2 5 3" xfId="19372"/>
    <cellStyle name="Calculation 21 2 5 3 2" xfId="40559"/>
    <cellStyle name="Calculation 21 2 5 4" xfId="29827"/>
    <cellStyle name="Calculation 21 2 5_Table 2A-1_EFT (Annual)" xfId="14725"/>
    <cellStyle name="Calculation 21 2 6" xfId="9802"/>
    <cellStyle name="Calculation 21 2 6 2" xfId="21939"/>
    <cellStyle name="Calculation 21 2 6 2 2" xfId="43125"/>
    <cellStyle name="Calculation 21 2 6 3" xfId="32521"/>
    <cellStyle name="Calculation 21 2 7" xfId="16826"/>
    <cellStyle name="Calculation 21 2 7 2" xfId="38013"/>
    <cellStyle name="Calculation 21 2 8" xfId="27084"/>
    <cellStyle name="Calculation 21 2_Table 2A-1_EFT (Annual)" xfId="2928"/>
    <cellStyle name="Calculation 21 3" xfId="407"/>
    <cellStyle name="Calculation 21 3 2" xfId="1390"/>
    <cellStyle name="Calculation 21 3 2 2" xfId="2660"/>
    <cellStyle name="Calculation 21 3 2 2 2" xfId="6221"/>
    <cellStyle name="Calculation 21 3 2 2 2 2" xfId="14415"/>
    <cellStyle name="Calculation 21 3 2 2 2 2 2" xfId="26387"/>
    <cellStyle name="Calculation 21 3 2 2 2 2 2 2" xfId="47573"/>
    <cellStyle name="Calculation 21 3 2 2 2 2 3" xfId="36969"/>
    <cellStyle name="Calculation 21 3 2 2 2 3" xfId="21274"/>
    <cellStyle name="Calculation 21 3 2 2 2 3 2" xfId="42461"/>
    <cellStyle name="Calculation 21 3 2 2 2 4" xfId="31877"/>
    <cellStyle name="Calculation 21 3 2 2 2_Table 2A-1_EFT (Annual)" xfId="14724"/>
    <cellStyle name="Calculation 21 3 2 2 3" xfId="11757"/>
    <cellStyle name="Calculation 21 3 2 2 3 2" xfId="23841"/>
    <cellStyle name="Calculation 21 3 2 2 3 2 2" xfId="45027"/>
    <cellStyle name="Calculation 21 3 2 2 3 3" xfId="34423"/>
    <cellStyle name="Calculation 21 3 2 2 4" xfId="18728"/>
    <cellStyle name="Calculation 21 3 2 2 4 2" xfId="39915"/>
    <cellStyle name="Calculation 21 3 2 2 5" xfId="29134"/>
    <cellStyle name="Calculation 21 3 2 2_Table 2A-1_EFT (Annual)" xfId="6500"/>
    <cellStyle name="Calculation 21 3 2 3" xfId="4951"/>
    <cellStyle name="Calculation 21 3 2 3 2" xfId="13211"/>
    <cellStyle name="Calculation 21 3 2 3 2 2" xfId="25217"/>
    <cellStyle name="Calculation 21 3 2 3 2 2 2" xfId="46403"/>
    <cellStyle name="Calculation 21 3 2 3 2 3" xfId="35799"/>
    <cellStyle name="Calculation 21 3 2 3 3" xfId="20104"/>
    <cellStyle name="Calculation 21 3 2 3 3 2" xfId="41291"/>
    <cellStyle name="Calculation 21 3 2 3 4" xfId="30608"/>
    <cellStyle name="Calculation 21 3 2 3_Table 2A-1_EFT (Annual)" xfId="14723"/>
    <cellStyle name="Calculation 21 3 2 4" xfId="10555"/>
    <cellStyle name="Calculation 21 3 2 4 2" xfId="22671"/>
    <cellStyle name="Calculation 21 3 2 4 2 2" xfId="43857"/>
    <cellStyle name="Calculation 21 3 2 4 3" xfId="33253"/>
    <cellStyle name="Calculation 21 3 2 5" xfId="17558"/>
    <cellStyle name="Calculation 21 3 2 5 2" xfId="38745"/>
    <cellStyle name="Calculation 21 3 2 6" xfId="27865"/>
    <cellStyle name="Calculation 21 3 2_Table 2A-1_EFT (Annual)" xfId="6499"/>
    <cellStyle name="Calculation 21 3 3" xfId="939"/>
    <cellStyle name="Calculation 21 3 3 2" xfId="4500"/>
    <cellStyle name="Calculation 21 3 3 2 2" xfId="12762"/>
    <cellStyle name="Calculation 21 3 3 2 2 2" xfId="24772"/>
    <cellStyle name="Calculation 21 3 3 2 2 2 2" xfId="45958"/>
    <cellStyle name="Calculation 21 3 3 2 2 3" xfId="35354"/>
    <cellStyle name="Calculation 21 3 3 2 3" xfId="19659"/>
    <cellStyle name="Calculation 21 3 3 2 3 2" xfId="40846"/>
    <cellStyle name="Calculation 21 3 3 2 4" xfId="30157"/>
    <cellStyle name="Calculation 21 3 3 2_Table 2A-1_EFT (Annual)" xfId="14722"/>
    <cellStyle name="Calculation 21 3 3 3" xfId="10109"/>
    <cellStyle name="Calculation 21 3 3 3 2" xfId="22226"/>
    <cellStyle name="Calculation 21 3 3 3 2 2" xfId="43412"/>
    <cellStyle name="Calculation 21 3 3 3 3" xfId="32808"/>
    <cellStyle name="Calculation 21 3 3 4" xfId="17113"/>
    <cellStyle name="Calculation 21 3 3 4 2" xfId="38300"/>
    <cellStyle name="Calculation 21 3 3 5" xfId="27414"/>
    <cellStyle name="Calculation 21 3 3_Table 2A-1_EFT (Annual)" xfId="6501"/>
    <cellStyle name="Calculation 21 3 4" xfId="2129"/>
    <cellStyle name="Calculation 21 3 4 2" xfId="5690"/>
    <cellStyle name="Calculation 21 3 4 2 2" xfId="13905"/>
    <cellStyle name="Calculation 21 3 4 2 2 2" xfId="25893"/>
    <cellStyle name="Calculation 21 3 4 2 2 2 2" xfId="47079"/>
    <cellStyle name="Calculation 21 3 4 2 2 3" xfId="36475"/>
    <cellStyle name="Calculation 21 3 4 2 3" xfId="20780"/>
    <cellStyle name="Calculation 21 3 4 2 3 2" xfId="41967"/>
    <cellStyle name="Calculation 21 3 4 2 4" xfId="31347"/>
    <cellStyle name="Calculation 21 3 4 2_Table 2A-1_EFT (Annual)" xfId="14721"/>
    <cellStyle name="Calculation 21 3 4 3" xfId="11249"/>
    <cellStyle name="Calculation 21 3 4 3 2" xfId="23347"/>
    <cellStyle name="Calculation 21 3 4 3 2 2" xfId="44533"/>
    <cellStyle name="Calculation 21 3 4 3 3" xfId="33929"/>
    <cellStyle name="Calculation 21 3 4 4" xfId="18234"/>
    <cellStyle name="Calculation 21 3 4 4 2" xfId="39421"/>
    <cellStyle name="Calculation 21 3 4 5" xfId="28604"/>
    <cellStyle name="Calculation 21 3 4_Table 2A-1_EFT (Annual)" xfId="6502"/>
    <cellStyle name="Calculation 21 3 5" xfId="3977"/>
    <cellStyle name="Calculation 21 3 5 2" xfId="12305"/>
    <cellStyle name="Calculation 21 3 5 2 2" xfId="24329"/>
    <cellStyle name="Calculation 21 3 5 2 2 2" xfId="45515"/>
    <cellStyle name="Calculation 21 3 5 2 3" xfId="34911"/>
    <cellStyle name="Calculation 21 3 5 3" xfId="19216"/>
    <cellStyle name="Calculation 21 3 5 3 2" xfId="40403"/>
    <cellStyle name="Calculation 21 3 5 4" xfId="29665"/>
    <cellStyle name="Calculation 21 3 5_Table 2A-1_EFT (Annual)" xfId="14720"/>
    <cellStyle name="Calculation 21 3 6" xfId="9642"/>
    <cellStyle name="Calculation 21 3 6 2" xfId="21783"/>
    <cellStyle name="Calculation 21 3 6 2 2" xfId="42969"/>
    <cellStyle name="Calculation 21 3 6 3" xfId="32365"/>
    <cellStyle name="Calculation 21 3 7" xfId="16670"/>
    <cellStyle name="Calculation 21 3 7 2" xfId="37857"/>
    <cellStyle name="Calculation 21 3 8" xfId="26922"/>
    <cellStyle name="Calculation 21 3_Table 2A-1_EFT (Annual)" xfId="2929"/>
    <cellStyle name="Calculation 21 4" xfId="1224"/>
    <cellStyle name="Calculation 21 4 2" xfId="2494"/>
    <cellStyle name="Calculation 21 4 2 2" xfId="6055"/>
    <cellStyle name="Calculation 21 4 2 2 2" xfId="14249"/>
    <cellStyle name="Calculation 21 4 2 2 2 2" xfId="26221"/>
    <cellStyle name="Calculation 21 4 2 2 2 2 2" xfId="47407"/>
    <cellStyle name="Calculation 21 4 2 2 2 3" xfId="36803"/>
    <cellStyle name="Calculation 21 4 2 2 3" xfId="21108"/>
    <cellStyle name="Calculation 21 4 2 2 3 2" xfId="42295"/>
    <cellStyle name="Calculation 21 4 2 2 4" xfId="31711"/>
    <cellStyle name="Calculation 21 4 2 2_Table 2A-1_EFT (Annual)" xfId="14719"/>
    <cellStyle name="Calculation 21 4 2 3" xfId="11591"/>
    <cellStyle name="Calculation 21 4 2 3 2" xfId="23675"/>
    <cellStyle name="Calculation 21 4 2 3 2 2" xfId="44861"/>
    <cellStyle name="Calculation 21 4 2 3 3" xfId="34257"/>
    <cellStyle name="Calculation 21 4 2 4" xfId="18562"/>
    <cellStyle name="Calculation 21 4 2 4 2" xfId="39749"/>
    <cellStyle name="Calculation 21 4 2 5" xfId="28968"/>
    <cellStyle name="Calculation 21 4 2_Table 2A-1_EFT (Annual)" xfId="6504"/>
    <cellStyle name="Calculation 21 4 3" xfId="4785"/>
    <cellStyle name="Calculation 21 4 3 2" xfId="13045"/>
    <cellStyle name="Calculation 21 4 3 2 2" xfId="25051"/>
    <cellStyle name="Calculation 21 4 3 2 2 2" xfId="46237"/>
    <cellStyle name="Calculation 21 4 3 2 3" xfId="35633"/>
    <cellStyle name="Calculation 21 4 3 3" xfId="19938"/>
    <cellStyle name="Calculation 21 4 3 3 2" xfId="41125"/>
    <cellStyle name="Calculation 21 4 3 4" xfId="30442"/>
    <cellStyle name="Calculation 21 4 3_Table 2A-1_EFT (Annual)" xfId="14718"/>
    <cellStyle name="Calculation 21 4 4" xfId="10389"/>
    <cellStyle name="Calculation 21 4 4 2" xfId="22505"/>
    <cellStyle name="Calculation 21 4 4 2 2" xfId="43691"/>
    <cellStyle name="Calculation 21 4 4 3" xfId="33087"/>
    <cellStyle name="Calculation 21 4 5" xfId="17392"/>
    <cellStyle name="Calculation 21 4 5 2" xfId="38579"/>
    <cellStyle name="Calculation 21 4 6" xfId="27699"/>
    <cellStyle name="Calculation 21 4_Table 2A-1_EFT (Annual)" xfId="6503"/>
    <cellStyle name="Calculation 21 5" xfId="780"/>
    <cellStyle name="Calculation 21 5 2" xfId="4341"/>
    <cellStyle name="Calculation 21 5 2 2" xfId="12621"/>
    <cellStyle name="Calculation 21 5 2 2 2" xfId="24638"/>
    <cellStyle name="Calculation 21 5 2 2 2 2" xfId="45824"/>
    <cellStyle name="Calculation 21 5 2 2 3" xfId="35220"/>
    <cellStyle name="Calculation 21 5 2 3" xfId="19525"/>
    <cellStyle name="Calculation 21 5 2 3 2" xfId="40712"/>
    <cellStyle name="Calculation 21 5 2 4" xfId="29998"/>
    <cellStyle name="Calculation 21 5 2_Table 2A-1_EFT (Annual)" xfId="14717"/>
    <cellStyle name="Calculation 21 5 3" xfId="9969"/>
    <cellStyle name="Calculation 21 5 3 2" xfId="22092"/>
    <cellStyle name="Calculation 21 5 3 2 2" xfId="43278"/>
    <cellStyle name="Calculation 21 5 3 3" xfId="32674"/>
    <cellStyle name="Calculation 21 5 4" xfId="16979"/>
    <cellStyle name="Calculation 21 5 4 2" xfId="38166"/>
    <cellStyle name="Calculation 21 5 5" xfId="27255"/>
    <cellStyle name="Calculation 21 5_Table 2A-1_EFT (Annual)" xfId="6505"/>
    <cellStyle name="Calculation 21 6" xfId="1963"/>
    <cellStyle name="Calculation 21 6 2" xfId="5524"/>
    <cellStyle name="Calculation 21 6 2 2" xfId="13739"/>
    <cellStyle name="Calculation 21 6 2 2 2" xfId="25727"/>
    <cellStyle name="Calculation 21 6 2 2 2 2" xfId="46913"/>
    <cellStyle name="Calculation 21 6 2 2 3" xfId="36309"/>
    <cellStyle name="Calculation 21 6 2 3" xfId="20614"/>
    <cellStyle name="Calculation 21 6 2 3 2" xfId="41801"/>
    <cellStyle name="Calculation 21 6 2 4" xfId="31181"/>
    <cellStyle name="Calculation 21 6 2_Table 2A-1_EFT (Annual)" xfId="14716"/>
    <cellStyle name="Calculation 21 6 3" xfId="11083"/>
    <cellStyle name="Calculation 21 6 3 2" xfId="23181"/>
    <cellStyle name="Calculation 21 6 3 2 2" xfId="44367"/>
    <cellStyle name="Calculation 21 6 3 3" xfId="33763"/>
    <cellStyle name="Calculation 21 6 4" xfId="18068"/>
    <cellStyle name="Calculation 21 6 4 2" xfId="39255"/>
    <cellStyle name="Calculation 21 6 5" xfId="28438"/>
    <cellStyle name="Calculation 21 6_Table 2A-1_EFT (Annual)" xfId="6506"/>
    <cellStyle name="Calculation 21 7" xfId="3765"/>
    <cellStyle name="Calculation 21 7 2" xfId="12133"/>
    <cellStyle name="Calculation 21 7 2 2" xfId="24163"/>
    <cellStyle name="Calculation 21 7 2 2 2" xfId="45349"/>
    <cellStyle name="Calculation 21 7 2 3" xfId="34745"/>
    <cellStyle name="Calculation 21 7 3" xfId="19050"/>
    <cellStyle name="Calculation 21 7 3 2" xfId="40237"/>
    <cellStyle name="Calculation 21 7 4" xfId="29474"/>
    <cellStyle name="Calculation 21 7_Table 2A-1_EFT (Annual)" xfId="14715"/>
    <cellStyle name="Calculation 21 8" xfId="9452"/>
    <cellStyle name="Calculation 21 8 2" xfId="21617"/>
    <cellStyle name="Calculation 21 8 2 2" xfId="42803"/>
    <cellStyle name="Calculation 21 8 3" xfId="32199"/>
    <cellStyle name="Calculation 21 9" xfId="16504"/>
    <cellStyle name="Calculation 21 9 2" xfId="37691"/>
    <cellStyle name="Calculation 21_Table 2A-1_EFT (Annual)" xfId="2927"/>
    <cellStyle name="Calculation 22" xfId="210"/>
    <cellStyle name="Calculation 22 10" xfId="26765"/>
    <cellStyle name="Calculation 22 2" xfId="603"/>
    <cellStyle name="Calculation 22 2 2" xfId="1580"/>
    <cellStyle name="Calculation 22 2 2 2" xfId="2850"/>
    <cellStyle name="Calculation 22 2 2 2 2" xfId="6411"/>
    <cellStyle name="Calculation 22 2 2 2 2 2" xfId="14605"/>
    <cellStyle name="Calculation 22 2 2 2 2 2 2" xfId="26577"/>
    <cellStyle name="Calculation 22 2 2 2 2 2 2 2" xfId="47763"/>
    <cellStyle name="Calculation 22 2 2 2 2 2 3" xfId="37159"/>
    <cellStyle name="Calculation 22 2 2 2 2 3" xfId="21464"/>
    <cellStyle name="Calculation 22 2 2 2 2 3 2" xfId="42651"/>
    <cellStyle name="Calculation 22 2 2 2 2 4" xfId="32067"/>
    <cellStyle name="Calculation 22 2 2 2 2_Table 2A-1_EFT (Annual)" xfId="14714"/>
    <cellStyle name="Calculation 22 2 2 2 3" xfId="11947"/>
    <cellStyle name="Calculation 22 2 2 2 3 2" xfId="24031"/>
    <cellStyle name="Calculation 22 2 2 2 3 2 2" xfId="45217"/>
    <cellStyle name="Calculation 22 2 2 2 3 3" xfId="34613"/>
    <cellStyle name="Calculation 22 2 2 2 4" xfId="18918"/>
    <cellStyle name="Calculation 22 2 2 2 4 2" xfId="40105"/>
    <cellStyle name="Calculation 22 2 2 2 5" xfId="29324"/>
    <cellStyle name="Calculation 22 2 2 2_Table 2A-1_EFT (Annual)" xfId="6508"/>
    <cellStyle name="Calculation 22 2 2 3" xfId="5141"/>
    <cellStyle name="Calculation 22 2 2 3 2" xfId="13401"/>
    <cellStyle name="Calculation 22 2 2 3 2 2" xfId="25407"/>
    <cellStyle name="Calculation 22 2 2 3 2 2 2" xfId="46593"/>
    <cellStyle name="Calculation 22 2 2 3 2 3" xfId="35989"/>
    <cellStyle name="Calculation 22 2 2 3 3" xfId="20294"/>
    <cellStyle name="Calculation 22 2 2 3 3 2" xfId="41481"/>
    <cellStyle name="Calculation 22 2 2 3 4" xfId="30798"/>
    <cellStyle name="Calculation 22 2 2 3_Table 2A-1_EFT (Annual)" xfId="14713"/>
    <cellStyle name="Calculation 22 2 2 4" xfId="10745"/>
    <cellStyle name="Calculation 22 2 2 4 2" xfId="22861"/>
    <cellStyle name="Calculation 22 2 2 4 2 2" xfId="44047"/>
    <cellStyle name="Calculation 22 2 2 4 3" xfId="33443"/>
    <cellStyle name="Calculation 22 2 2 5" xfId="17748"/>
    <cellStyle name="Calculation 22 2 2 5 2" xfId="38935"/>
    <cellStyle name="Calculation 22 2 2 6" xfId="28055"/>
    <cellStyle name="Calculation 22 2 2_Table 2A-1_EFT (Annual)" xfId="6507"/>
    <cellStyle name="Calculation 22 2 3" xfId="1098"/>
    <cellStyle name="Calculation 22 2 3 2" xfId="4659"/>
    <cellStyle name="Calculation 22 2 3 2 2" xfId="12919"/>
    <cellStyle name="Calculation 22 2 3 2 2 2" xfId="24925"/>
    <cellStyle name="Calculation 22 2 3 2 2 2 2" xfId="46111"/>
    <cellStyle name="Calculation 22 2 3 2 2 3" xfId="35507"/>
    <cellStyle name="Calculation 22 2 3 2 3" xfId="19812"/>
    <cellStyle name="Calculation 22 2 3 2 3 2" xfId="40999"/>
    <cellStyle name="Calculation 22 2 3 2 4" xfId="30316"/>
    <cellStyle name="Calculation 22 2 3 2_Table 2A-1_EFT (Annual)" xfId="14712"/>
    <cellStyle name="Calculation 22 2 3 3" xfId="10263"/>
    <cellStyle name="Calculation 22 2 3 3 2" xfId="22379"/>
    <cellStyle name="Calculation 22 2 3 3 2 2" xfId="43565"/>
    <cellStyle name="Calculation 22 2 3 3 3" xfId="32961"/>
    <cellStyle name="Calculation 22 2 3 4" xfId="17266"/>
    <cellStyle name="Calculation 22 2 3 4 2" xfId="38453"/>
    <cellStyle name="Calculation 22 2 3 5" xfId="27573"/>
    <cellStyle name="Calculation 22 2 3_Table 2A-1_EFT (Annual)" xfId="6509"/>
    <cellStyle name="Calculation 22 2 4" xfId="2319"/>
    <cellStyle name="Calculation 22 2 4 2" xfId="5880"/>
    <cellStyle name="Calculation 22 2 4 2 2" xfId="14095"/>
    <cellStyle name="Calculation 22 2 4 2 2 2" xfId="26083"/>
    <cellStyle name="Calculation 22 2 4 2 2 2 2" xfId="47269"/>
    <cellStyle name="Calculation 22 2 4 2 2 3" xfId="36665"/>
    <cellStyle name="Calculation 22 2 4 2 3" xfId="20970"/>
    <cellStyle name="Calculation 22 2 4 2 3 2" xfId="42157"/>
    <cellStyle name="Calculation 22 2 4 2 4" xfId="31537"/>
    <cellStyle name="Calculation 22 2 4 2_Table 2A-1_EFT (Annual)" xfId="14711"/>
    <cellStyle name="Calculation 22 2 4 3" xfId="11439"/>
    <cellStyle name="Calculation 22 2 4 3 2" xfId="23537"/>
    <cellStyle name="Calculation 22 2 4 3 2 2" xfId="44723"/>
    <cellStyle name="Calculation 22 2 4 3 3" xfId="34119"/>
    <cellStyle name="Calculation 22 2 4 4" xfId="18424"/>
    <cellStyle name="Calculation 22 2 4 4 2" xfId="39611"/>
    <cellStyle name="Calculation 22 2 4 5" xfId="28794"/>
    <cellStyle name="Calculation 22 2 4_Table 2A-1_EFT (Annual)" xfId="6510"/>
    <cellStyle name="Calculation 22 2 5" xfId="4173"/>
    <cellStyle name="Calculation 22 2 5 2" xfId="12497"/>
    <cellStyle name="Calculation 22 2 5 2 2" xfId="24519"/>
    <cellStyle name="Calculation 22 2 5 2 2 2" xfId="45705"/>
    <cellStyle name="Calculation 22 2 5 2 3" xfId="35101"/>
    <cellStyle name="Calculation 22 2 5 3" xfId="19406"/>
    <cellStyle name="Calculation 22 2 5 3 2" xfId="40593"/>
    <cellStyle name="Calculation 22 2 5 4" xfId="29861"/>
    <cellStyle name="Calculation 22 2 5_Table 2A-1_EFT (Annual)" xfId="14710"/>
    <cellStyle name="Calculation 22 2 6" xfId="9836"/>
    <cellStyle name="Calculation 22 2 6 2" xfId="21973"/>
    <cellStyle name="Calculation 22 2 6 2 2" xfId="43159"/>
    <cellStyle name="Calculation 22 2 6 3" xfId="32555"/>
    <cellStyle name="Calculation 22 2 7" xfId="16860"/>
    <cellStyle name="Calculation 22 2 7 2" xfId="38047"/>
    <cellStyle name="Calculation 22 2 8" xfId="27118"/>
    <cellStyle name="Calculation 22 2_Table 2A-1_EFT (Annual)" xfId="2931"/>
    <cellStyle name="Calculation 22 3" xfId="438"/>
    <cellStyle name="Calculation 22 3 2" xfId="1421"/>
    <cellStyle name="Calculation 22 3 2 2" xfId="2691"/>
    <cellStyle name="Calculation 22 3 2 2 2" xfId="6252"/>
    <cellStyle name="Calculation 22 3 2 2 2 2" xfId="14446"/>
    <cellStyle name="Calculation 22 3 2 2 2 2 2" xfId="26418"/>
    <cellStyle name="Calculation 22 3 2 2 2 2 2 2" xfId="47604"/>
    <cellStyle name="Calculation 22 3 2 2 2 2 3" xfId="37000"/>
    <cellStyle name="Calculation 22 3 2 2 2 3" xfId="21305"/>
    <cellStyle name="Calculation 22 3 2 2 2 3 2" xfId="42492"/>
    <cellStyle name="Calculation 22 3 2 2 2 4" xfId="31908"/>
    <cellStyle name="Calculation 22 3 2 2 2_Table 2A-1_EFT (Annual)" xfId="14709"/>
    <cellStyle name="Calculation 22 3 2 2 3" xfId="11788"/>
    <cellStyle name="Calculation 22 3 2 2 3 2" xfId="23872"/>
    <cellStyle name="Calculation 22 3 2 2 3 2 2" xfId="45058"/>
    <cellStyle name="Calculation 22 3 2 2 3 3" xfId="34454"/>
    <cellStyle name="Calculation 22 3 2 2 4" xfId="18759"/>
    <cellStyle name="Calculation 22 3 2 2 4 2" xfId="39946"/>
    <cellStyle name="Calculation 22 3 2 2 5" xfId="29165"/>
    <cellStyle name="Calculation 22 3 2 2_Table 2A-1_EFT (Annual)" xfId="6512"/>
    <cellStyle name="Calculation 22 3 2 3" xfId="4982"/>
    <cellStyle name="Calculation 22 3 2 3 2" xfId="13242"/>
    <cellStyle name="Calculation 22 3 2 3 2 2" xfId="25248"/>
    <cellStyle name="Calculation 22 3 2 3 2 2 2" xfId="46434"/>
    <cellStyle name="Calculation 22 3 2 3 2 3" xfId="35830"/>
    <cellStyle name="Calculation 22 3 2 3 3" xfId="20135"/>
    <cellStyle name="Calculation 22 3 2 3 3 2" xfId="41322"/>
    <cellStyle name="Calculation 22 3 2 3 4" xfId="30639"/>
    <cellStyle name="Calculation 22 3 2 3_Table 2A-1_EFT (Annual)" xfId="14708"/>
    <cellStyle name="Calculation 22 3 2 4" xfId="10586"/>
    <cellStyle name="Calculation 22 3 2 4 2" xfId="22702"/>
    <cellStyle name="Calculation 22 3 2 4 2 2" xfId="43888"/>
    <cellStyle name="Calculation 22 3 2 4 3" xfId="33284"/>
    <cellStyle name="Calculation 22 3 2 5" xfId="17589"/>
    <cellStyle name="Calculation 22 3 2 5 2" xfId="38776"/>
    <cellStyle name="Calculation 22 3 2 6" xfId="27896"/>
    <cellStyle name="Calculation 22 3 2_Table 2A-1_EFT (Annual)" xfId="6511"/>
    <cellStyle name="Calculation 22 3 3" xfId="963"/>
    <cellStyle name="Calculation 22 3 3 2" xfId="4524"/>
    <cellStyle name="Calculation 22 3 3 2 2" xfId="12786"/>
    <cellStyle name="Calculation 22 3 3 2 2 2" xfId="24796"/>
    <cellStyle name="Calculation 22 3 3 2 2 2 2" xfId="45982"/>
    <cellStyle name="Calculation 22 3 3 2 2 3" xfId="35378"/>
    <cellStyle name="Calculation 22 3 3 2 3" xfId="19683"/>
    <cellStyle name="Calculation 22 3 3 2 3 2" xfId="40870"/>
    <cellStyle name="Calculation 22 3 3 2 4" xfId="30181"/>
    <cellStyle name="Calculation 22 3 3 2_Table 2A-1_EFT (Annual)" xfId="14707"/>
    <cellStyle name="Calculation 22 3 3 3" xfId="10133"/>
    <cellStyle name="Calculation 22 3 3 3 2" xfId="22250"/>
    <cellStyle name="Calculation 22 3 3 3 2 2" xfId="43436"/>
    <cellStyle name="Calculation 22 3 3 3 3" xfId="32832"/>
    <cellStyle name="Calculation 22 3 3 4" xfId="17137"/>
    <cellStyle name="Calculation 22 3 3 4 2" xfId="38324"/>
    <cellStyle name="Calculation 22 3 3 5" xfId="27438"/>
    <cellStyle name="Calculation 22 3 3_Table 2A-1_EFT (Annual)" xfId="6513"/>
    <cellStyle name="Calculation 22 3 4" xfId="2160"/>
    <cellStyle name="Calculation 22 3 4 2" xfId="5721"/>
    <cellStyle name="Calculation 22 3 4 2 2" xfId="13936"/>
    <cellStyle name="Calculation 22 3 4 2 2 2" xfId="25924"/>
    <cellStyle name="Calculation 22 3 4 2 2 2 2" xfId="47110"/>
    <cellStyle name="Calculation 22 3 4 2 2 3" xfId="36506"/>
    <cellStyle name="Calculation 22 3 4 2 3" xfId="20811"/>
    <cellStyle name="Calculation 22 3 4 2 3 2" xfId="41998"/>
    <cellStyle name="Calculation 22 3 4 2 4" xfId="31378"/>
    <cellStyle name="Calculation 22 3 4 2_Table 2A-1_EFT (Annual)" xfId="14706"/>
    <cellStyle name="Calculation 22 3 4 3" xfId="11280"/>
    <cellStyle name="Calculation 22 3 4 3 2" xfId="23378"/>
    <cellStyle name="Calculation 22 3 4 3 2 2" xfId="44564"/>
    <cellStyle name="Calculation 22 3 4 3 3" xfId="33960"/>
    <cellStyle name="Calculation 22 3 4 4" xfId="18265"/>
    <cellStyle name="Calculation 22 3 4 4 2" xfId="39452"/>
    <cellStyle name="Calculation 22 3 4 5" xfId="28635"/>
    <cellStyle name="Calculation 22 3 4_Table 2A-1_EFT (Annual)" xfId="6514"/>
    <cellStyle name="Calculation 22 3 5" xfId="4008"/>
    <cellStyle name="Calculation 22 3 5 2" xfId="12336"/>
    <cellStyle name="Calculation 22 3 5 2 2" xfId="24360"/>
    <cellStyle name="Calculation 22 3 5 2 2 2" xfId="45546"/>
    <cellStyle name="Calculation 22 3 5 2 3" xfId="34942"/>
    <cellStyle name="Calculation 22 3 5 3" xfId="19247"/>
    <cellStyle name="Calculation 22 3 5 3 2" xfId="40434"/>
    <cellStyle name="Calculation 22 3 5 4" xfId="29696"/>
    <cellStyle name="Calculation 22 3 5_Table 2A-1_EFT (Annual)" xfId="14705"/>
    <cellStyle name="Calculation 22 3 6" xfId="9673"/>
    <cellStyle name="Calculation 22 3 6 2" xfId="21814"/>
    <cellStyle name="Calculation 22 3 6 2 2" xfId="43000"/>
    <cellStyle name="Calculation 22 3 6 3" xfId="32396"/>
    <cellStyle name="Calculation 22 3 7" xfId="16701"/>
    <cellStyle name="Calculation 22 3 7 2" xfId="37888"/>
    <cellStyle name="Calculation 22 3 8" xfId="26953"/>
    <cellStyle name="Calculation 22 3_Table 2A-1_EFT (Annual)" xfId="2932"/>
    <cellStyle name="Calculation 22 4" xfId="1258"/>
    <cellStyle name="Calculation 22 4 2" xfId="2528"/>
    <cellStyle name="Calculation 22 4 2 2" xfId="6089"/>
    <cellStyle name="Calculation 22 4 2 2 2" xfId="14283"/>
    <cellStyle name="Calculation 22 4 2 2 2 2" xfId="26255"/>
    <cellStyle name="Calculation 22 4 2 2 2 2 2" xfId="47441"/>
    <cellStyle name="Calculation 22 4 2 2 2 3" xfId="36837"/>
    <cellStyle name="Calculation 22 4 2 2 3" xfId="21142"/>
    <cellStyle name="Calculation 22 4 2 2 3 2" xfId="42329"/>
    <cellStyle name="Calculation 22 4 2 2 4" xfId="31745"/>
    <cellStyle name="Calculation 22 4 2 2_Table 2A-1_EFT (Annual)" xfId="14704"/>
    <cellStyle name="Calculation 22 4 2 3" xfId="11625"/>
    <cellStyle name="Calculation 22 4 2 3 2" xfId="23709"/>
    <cellStyle name="Calculation 22 4 2 3 2 2" xfId="44895"/>
    <cellStyle name="Calculation 22 4 2 3 3" xfId="34291"/>
    <cellStyle name="Calculation 22 4 2 4" xfId="18596"/>
    <cellStyle name="Calculation 22 4 2 4 2" xfId="39783"/>
    <cellStyle name="Calculation 22 4 2 5" xfId="29002"/>
    <cellStyle name="Calculation 22 4 2_Table 2A-1_EFT (Annual)" xfId="6516"/>
    <cellStyle name="Calculation 22 4 3" xfId="4819"/>
    <cellStyle name="Calculation 22 4 3 2" xfId="13079"/>
    <cellStyle name="Calculation 22 4 3 2 2" xfId="25085"/>
    <cellStyle name="Calculation 22 4 3 2 2 2" xfId="46271"/>
    <cellStyle name="Calculation 22 4 3 2 3" xfId="35667"/>
    <cellStyle name="Calculation 22 4 3 3" xfId="19972"/>
    <cellStyle name="Calculation 22 4 3 3 2" xfId="41159"/>
    <cellStyle name="Calculation 22 4 3 4" xfId="30476"/>
    <cellStyle name="Calculation 22 4 3_Table 2A-1_EFT (Annual)" xfId="14703"/>
    <cellStyle name="Calculation 22 4 4" xfId="10423"/>
    <cellStyle name="Calculation 22 4 4 2" xfId="22539"/>
    <cellStyle name="Calculation 22 4 4 2 2" xfId="43725"/>
    <cellStyle name="Calculation 22 4 4 3" xfId="33121"/>
    <cellStyle name="Calculation 22 4 5" xfId="17426"/>
    <cellStyle name="Calculation 22 4 5 2" xfId="38613"/>
    <cellStyle name="Calculation 22 4 6" xfId="27733"/>
    <cellStyle name="Calculation 22 4_Table 2A-1_EFT (Annual)" xfId="6515"/>
    <cellStyle name="Calculation 22 5" xfId="807"/>
    <cellStyle name="Calculation 22 5 2" xfId="4368"/>
    <cellStyle name="Calculation 22 5 2 2" xfId="12648"/>
    <cellStyle name="Calculation 22 5 2 2 2" xfId="24665"/>
    <cellStyle name="Calculation 22 5 2 2 2 2" xfId="45851"/>
    <cellStyle name="Calculation 22 5 2 2 3" xfId="35247"/>
    <cellStyle name="Calculation 22 5 2 3" xfId="19552"/>
    <cellStyle name="Calculation 22 5 2 3 2" xfId="40739"/>
    <cellStyle name="Calculation 22 5 2 4" xfId="30025"/>
    <cellStyle name="Calculation 22 5 2_Table 2A-1_EFT (Annual)" xfId="14702"/>
    <cellStyle name="Calculation 22 5 3" xfId="9996"/>
    <cellStyle name="Calculation 22 5 3 2" xfId="22119"/>
    <cellStyle name="Calculation 22 5 3 2 2" xfId="43305"/>
    <cellStyle name="Calculation 22 5 3 3" xfId="32701"/>
    <cellStyle name="Calculation 22 5 4" xfId="17006"/>
    <cellStyle name="Calculation 22 5 4 2" xfId="38193"/>
    <cellStyle name="Calculation 22 5 5" xfId="27282"/>
    <cellStyle name="Calculation 22 5_Table 2A-1_EFT (Annual)" xfId="6517"/>
    <cellStyle name="Calculation 22 6" xfId="1997"/>
    <cellStyle name="Calculation 22 6 2" xfId="5558"/>
    <cellStyle name="Calculation 22 6 2 2" xfId="13773"/>
    <cellStyle name="Calculation 22 6 2 2 2" xfId="25761"/>
    <cellStyle name="Calculation 22 6 2 2 2 2" xfId="46947"/>
    <cellStyle name="Calculation 22 6 2 2 3" xfId="36343"/>
    <cellStyle name="Calculation 22 6 2 3" xfId="20648"/>
    <cellStyle name="Calculation 22 6 2 3 2" xfId="41835"/>
    <cellStyle name="Calculation 22 6 2 4" xfId="31215"/>
    <cellStyle name="Calculation 22 6 2_Table 2A-1_EFT (Annual)" xfId="14701"/>
    <cellStyle name="Calculation 22 6 3" xfId="11117"/>
    <cellStyle name="Calculation 22 6 3 2" xfId="23215"/>
    <cellStyle name="Calculation 22 6 3 2 2" xfId="44401"/>
    <cellStyle name="Calculation 22 6 3 3" xfId="33797"/>
    <cellStyle name="Calculation 22 6 4" xfId="18102"/>
    <cellStyle name="Calculation 22 6 4 2" xfId="39289"/>
    <cellStyle name="Calculation 22 6 5" xfId="28472"/>
    <cellStyle name="Calculation 22 6_Table 2A-1_EFT (Annual)" xfId="6518"/>
    <cellStyle name="Calculation 22 7" xfId="3799"/>
    <cellStyle name="Calculation 22 7 2" xfId="12167"/>
    <cellStyle name="Calculation 22 7 2 2" xfId="24197"/>
    <cellStyle name="Calculation 22 7 2 2 2" xfId="45383"/>
    <cellStyle name="Calculation 22 7 2 3" xfId="34779"/>
    <cellStyle name="Calculation 22 7 3" xfId="19084"/>
    <cellStyle name="Calculation 22 7 3 2" xfId="40271"/>
    <cellStyle name="Calculation 22 7 4" xfId="29508"/>
    <cellStyle name="Calculation 22 7_Table 2A-1_EFT (Annual)" xfId="14700"/>
    <cellStyle name="Calculation 22 8" xfId="9486"/>
    <cellStyle name="Calculation 22 8 2" xfId="21651"/>
    <cellStyle name="Calculation 22 8 2 2" xfId="42837"/>
    <cellStyle name="Calculation 22 8 3" xfId="32233"/>
    <cellStyle name="Calculation 22 9" xfId="16538"/>
    <cellStyle name="Calculation 22 9 2" xfId="37725"/>
    <cellStyle name="Calculation 22_Table 2A-1_EFT (Annual)" xfId="2930"/>
    <cellStyle name="Calculation 23" xfId="216"/>
    <cellStyle name="Calculation 23 10" xfId="26771"/>
    <cellStyle name="Calculation 23 2" xfId="609"/>
    <cellStyle name="Calculation 23 2 2" xfId="1586"/>
    <cellStyle name="Calculation 23 2 2 2" xfId="2856"/>
    <cellStyle name="Calculation 23 2 2 2 2" xfId="6417"/>
    <cellStyle name="Calculation 23 2 2 2 2 2" xfId="14611"/>
    <cellStyle name="Calculation 23 2 2 2 2 2 2" xfId="26583"/>
    <cellStyle name="Calculation 23 2 2 2 2 2 2 2" xfId="47769"/>
    <cellStyle name="Calculation 23 2 2 2 2 2 3" xfId="37165"/>
    <cellStyle name="Calculation 23 2 2 2 2 3" xfId="21470"/>
    <cellStyle name="Calculation 23 2 2 2 2 3 2" xfId="42657"/>
    <cellStyle name="Calculation 23 2 2 2 2 4" xfId="32073"/>
    <cellStyle name="Calculation 23 2 2 2 2_Table 2A-1_EFT (Annual)" xfId="14699"/>
    <cellStyle name="Calculation 23 2 2 2 3" xfId="11953"/>
    <cellStyle name="Calculation 23 2 2 2 3 2" xfId="24037"/>
    <cellStyle name="Calculation 23 2 2 2 3 2 2" xfId="45223"/>
    <cellStyle name="Calculation 23 2 2 2 3 3" xfId="34619"/>
    <cellStyle name="Calculation 23 2 2 2 4" xfId="18924"/>
    <cellStyle name="Calculation 23 2 2 2 4 2" xfId="40111"/>
    <cellStyle name="Calculation 23 2 2 2 5" xfId="29330"/>
    <cellStyle name="Calculation 23 2 2 2_Table 2A-1_EFT (Annual)" xfId="6520"/>
    <cellStyle name="Calculation 23 2 2 3" xfId="5147"/>
    <cellStyle name="Calculation 23 2 2 3 2" xfId="13407"/>
    <cellStyle name="Calculation 23 2 2 3 2 2" xfId="25413"/>
    <cellStyle name="Calculation 23 2 2 3 2 2 2" xfId="46599"/>
    <cellStyle name="Calculation 23 2 2 3 2 3" xfId="35995"/>
    <cellStyle name="Calculation 23 2 2 3 3" xfId="20300"/>
    <cellStyle name="Calculation 23 2 2 3 3 2" xfId="41487"/>
    <cellStyle name="Calculation 23 2 2 3 4" xfId="30804"/>
    <cellStyle name="Calculation 23 2 2 3_Table 2A-1_EFT (Annual)" xfId="14698"/>
    <cellStyle name="Calculation 23 2 2 4" xfId="10751"/>
    <cellStyle name="Calculation 23 2 2 4 2" xfId="22867"/>
    <cellStyle name="Calculation 23 2 2 4 2 2" xfId="44053"/>
    <cellStyle name="Calculation 23 2 2 4 3" xfId="33449"/>
    <cellStyle name="Calculation 23 2 2 5" xfId="17754"/>
    <cellStyle name="Calculation 23 2 2 5 2" xfId="38941"/>
    <cellStyle name="Calculation 23 2 2 6" xfId="28061"/>
    <cellStyle name="Calculation 23 2 2_Table 2A-1_EFT (Annual)" xfId="6519"/>
    <cellStyle name="Calculation 23 2 3" xfId="1104"/>
    <cellStyle name="Calculation 23 2 3 2" xfId="4665"/>
    <cellStyle name="Calculation 23 2 3 2 2" xfId="12925"/>
    <cellStyle name="Calculation 23 2 3 2 2 2" xfId="24931"/>
    <cellStyle name="Calculation 23 2 3 2 2 2 2" xfId="46117"/>
    <cellStyle name="Calculation 23 2 3 2 2 3" xfId="35513"/>
    <cellStyle name="Calculation 23 2 3 2 3" xfId="19818"/>
    <cellStyle name="Calculation 23 2 3 2 3 2" xfId="41005"/>
    <cellStyle name="Calculation 23 2 3 2 4" xfId="30322"/>
    <cellStyle name="Calculation 23 2 3 2_Table 2A-1_EFT (Annual)" xfId="14697"/>
    <cellStyle name="Calculation 23 2 3 3" xfId="10269"/>
    <cellStyle name="Calculation 23 2 3 3 2" xfId="22385"/>
    <cellStyle name="Calculation 23 2 3 3 2 2" xfId="43571"/>
    <cellStyle name="Calculation 23 2 3 3 3" xfId="32967"/>
    <cellStyle name="Calculation 23 2 3 4" xfId="17272"/>
    <cellStyle name="Calculation 23 2 3 4 2" xfId="38459"/>
    <cellStyle name="Calculation 23 2 3 5" xfId="27579"/>
    <cellStyle name="Calculation 23 2 3_Table 2A-1_EFT (Annual)" xfId="6521"/>
    <cellStyle name="Calculation 23 2 4" xfId="2325"/>
    <cellStyle name="Calculation 23 2 4 2" xfId="5886"/>
    <cellStyle name="Calculation 23 2 4 2 2" xfId="14101"/>
    <cellStyle name="Calculation 23 2 4 2 2 2" xfId="26089"/>
    <cellStyle name="Calculation 23 2 4 2 2 2 2" xfId="47275"/>
    <cellStyle name="Calculation 23 2 4 2 2 3" xfId="36671"/>
    <cellStyle name="Calculation 23 2 4 2 3" xfId="20976"/>
    <cellStyle name="Calculation 23 2 4 2 3 2" xfId="42163"/>
    <cellStyle name="Calculation 23 2 4 2 4" xfId="31543"/>
    <cellStyle name="Calculation 23 2 4 2_Table 2A-1_EFT (Annual)" xfId="14696"/>
    <cellStyle name="Calculation 23 2 4 3" xfId="11445"/>
    <cellStyle name="Calculation 23 2 4 3 2" xfId="23543"/>
    <cellStyle name="Calculation 23 2 4 3 2 2" xfId="44729"/>
    <cellStyle name="Calculation 23 2 4 3 3" xfId="34125"/>
    <cellStyle name="Calculation 23 2 4 4" xfId="18430"/>
    <cellStyle name="Calculation 23 2 4 4 2" xfId="39617"/>
    <cellStyle name="Calculation 23 2 4 5" xfId="28800"/>
    <cellStyle name="Calculation 23 2 4_Table 2A-1_EFT (Annual)" xfId="6522"/>
    <cellStyle name="Calculation 23 2 5" xfId="4179"/>
    <cellStyle name="Calculation 23 2 5 2" xfId="12503"/>
    <cellStyle name="Calculation 23 2 5 2 2" xfId="24525"/>
    <cellStyle name="Calculation 23 2 5 2 2 2" xfId="45711"/>
    <cellStyle name="Calculation 23 2 5 2 3" xfId="35107"/>
    <cellStyle name="Calculation 23 2 5 3" xfId="19412"/>
    <cellStyle name="Calculation 23 2 5 3 2" xfId="40599"/>
    <cellStyle name="Calculation 23 2 5 4" xfId="29867"/>
    <cellStyle name="Calculation 23 2 5_Table 2A-1_EFT (Annual)" xfId="14695"/>
    <cellStyle name="Calculation 23 2 6" xfId="9842"/>
    <cellStyle name="Calculation 23 2 6 2" xfId="21979"/>
    <cellStyle name="Calculation 23 2 6 2 2" xfId="43165"/>
    <cellStyle name="Calculation 23 2 6 3" xfId="32561"/>
    <cellStyle name="Calculation 23 2 7" xfId="16866"/>
    <cellStyle name="Calculation 23 2 7 2" xfId="38053"/>
    <cellStyle name="Calculation 23 2 8" xfId="27124"/>
    <cellStyle name="Calculation 23 2_Table 2A-1_EFT (Annual)" xfId="2934"/>
    <cellStyle name="Calculation 23 3" xfId="444"/>
    <cellStyle name="Calculation 23 3 2" xfId="1427"/>
    <cellStyle name="Calculation 23 3 2 2" xfId="2697"/>
    <cellStyle name="Calculation 23 3 2 2 2" xfId="6258"/>
    <cellStyle name="Calculation 23 3 2 2 2 2" xfId="14452"/>
    <cellStyle name="Calculation 23 3 2 2 2 2 2" xfId="26424"/>
    <cellStyle name="Calculation 23 3 2 2 2 2 2 2" xfId="47610"/>
    <cellStyle name="Calculation 23 3 2 2 2 2 3" xfId="37006"/>
    <cellStyle name="Calculation 23 3 2 2 2 3" xfId="21311"/>
    <cellStyle name="Calculation 23 3 2 2 2 3 2" xfId="42498"/>
    <cellStyle name="Calculation 23 3 2 2 2 4" xfId="31914"/>
    <cellStyle name="Calculation 23 3 2 2 2_Table 2A-1_EFT (Annual)" xfId="14694"/>
    <cellStyle name="Calculation 23 3 2 2 3" xfId="11794"/>
    <cellStyle name="Calculation 23 3 2 2 3 2" xfId="23878"/>
    <cellStyle name="Calculation 23 3 2 2 3 2 2" xfId="45064"/>
    <cellStyle name="Calculation 23 3 2 2 3 3" xfId="34460"/>
    <cellStyle name="Calculation 23 3 2 2 4" xfId="18765"/>
    <cellStyle name="Calculation 23 3 2 2 4 2" xfId="39952"/>
    <cellStyle name="Calculation 23 3 2 2 5" xfId="29171"/>
    <cellStyle name="Calculation 23 3 2 2_Table 2A-1_EFT (Annual)" xfId="6524"/>
    <cellStyle name="Calculation 23 3 2 3" xfId="4988"/>
    <cellStyle name="Calculation 23 3 2 3 2" xfId="13248"/>
    <cellStyle name="Calculation 23 3 2 3 2 2" xfId="25254"/>
    <cellStyle name="Calculation 23 3 2 3 2 2 2" xfId="46440"/>
    <cellStyle name="Calculation 23 3 2 3 2 3" xfId="35836"/>
    <cellStyle name="Calculation 23 3 2 3 3" xfId="20141"/>
    <cellStyle name="Calculation 23 3 2 3 3 2" xfId="41328"/>
    <cellStyle name="Calculation 23 3 2 3 4" xfId="30645"/>
    <cellStyle name="Calculation 23 3 2 3_Table 2A-1_EFT (Annual)" xfId="14693"/>
    <cellStyle name="Calculation 23 3 2 4" xfId="10592"/>
    <cellStyle name="Calculation 23 3 2 4 2" xfId="22708"/>
    <cellStyle name="Calculation 23 3 2 4 2 2" xfId="43894"/>
    <cellStyle name="Calculation 23 3 2 4 3" xfId="33290"/>
    <cellStyle name="Calculation 23 3 2 5" xfId="17595"/>
    <cellStyle name="Calculation 23 3 2 5 2" xfId="38782"/>
    <cellStyle name="Calculation 23 3 2 6" xfId="27902"/>
    <cellStyle name="Calculation 23 3 2_Table 2A-1_EFT (Annual)" xfId="6523"/>
    <cellStyle name="Calculation 23 3 3" xfId="969"/>
    <cellStyle name="Calculation 23 3 3 2" xfId="4530"/>
    <cellStyle name="Calculation 23 3 3 2 2" xfId="12792"/>
    <cellStyle name="Calculation 23 3 3 2 2 2" xfId="24802"/>
    <cellStyle name="Calculation 23 3 3 2 2 2 2" xfId="45988"/>
    <cellStyle name="Calculation 23 3 3 2 2 3" xfId="35384"/>
    <cellStyle name="Calculation 23 3 3 2 3" xfId="19689"/>
    <cellStyle name="Calculation 23 3 3 2 3 2" xfId="40876"/>
    <cellStyle name="Calculation 23 3 3 2 4" xfId="30187"/>
    <cellStyle name="Calculation 23 3 3 2_Table 2A-1_EFT (Annual)" xfId="14692"/>
    <cellStyle name="Calculation 23 3 3 3" xfId="10139"/>
    <cellStyle name="Calculation 23 3 3 3 2" xfId="22256"/>
    <cellStyle name="Calculation 23 3 3 3 2 2" xfId="43442"/>
    <cellStyle name="Calculation 23 3 3 3 3" xfId="32838"/>
    <cellStyle name="Calculation 23 3 3 4" xfId="17143"/>
    <cellStyle name="Calculation 23 3 3 4 2" xfId="38330"/>
    <cellStyle name="Calculation 23 3 3 5" xfId="27444"/>
    <cellStyle name="Calculation 23 3 3_Table 2A-1_EFT (Annual)" xfId="6525"/>
    <cellStyle name="Calculation 23 3 4" xfId="2166"/>
    <cellStyle name="Calculation 23 3 4 2" xfId="5727"/>
    <cellStyle name="Calculation 23 3 4 2 2" xfId="13942"/>
    <cellStyle name="Calculation 23 3 4 2 2 2" xfId="25930"/>
    <cellStyle name="Calculation 23 3 4 2 2 2 2" xfId="47116"/>
    <cellStyle name="Calculation 23 3 4 2 2 3" xfId="36512"/>
    <cellStyle name="Calculation 23 3 4 2 3" xfId="20817"/>
    <cellStyle name="Calculation 23 3 4 2 3 2" xfId="42004"/>
    <cellStyle name="Calculation 23 3 4 2 4" xfId="31384"/>
    <cellStyle name="Calculation 23 3 4 2_Table 2A-1_EFT (Annual)" xfId="14691"/>
    <cellStyle name="Calculation 23 3 4 3" xfId="11286"/>
    <cellStyle name="Calculation 23 3 4 3 2" xfId="23384"/>
    <cellStyle name="Calculation 23 3 4 3 2 2" xfId="44570"/>
    <cellStyle name="Calculation 23 3 4 3 3" xfId="33966"/>
    <cellStyle name="Calculation 23 3 4 4" xfId="18271"/>
    <cellStyle name="Calculation 23 3 4 4 2" xfId="39458"/>
    <cellStyle name="Calculation 23 3 4 5" xfId="28641"/>
    <cellStyle name="Calculation 23 3 4_Table 2A-1_EFT (Annual)" xfId="6526"/>
    <cellStyle name="Calculation 23 3 5" xfId="4014"/>
    <cellStyle name="Calculation 23 3 5 2" xfId="12342"/>
    <cellStyle name="Calculation 23 3 5 2 2" xfId="24366"/>
    <cellStyle name="Calculation 23 3 5 2 2 2" xfId="45552"/>
    <cellStyle name="Calculation 23 3 5 2 3" xfId="34948"/>
    <cellStyle name="Calculation 23 3 5 3" xfId="19253"/>
    <cellStyle name="Calculation 23 3 5 3 2" xfId="40440"/>
    <cellStyle name="Calculation 23 3 5 4" xfId="29702"/>
    <cellStyle name="Calculation 23 3 5_Table 2A-1_EFT (Annual)" xfId="14690"/>
    <cellStyle name="Calculation 23 3 6" xfId="9679"/>
    <cellStyle name="Calculation 23 3 6 2" xfId="21820"/>
    <cellStyle name="Calculation 23 3 6 2 2" xfId="43006"/>
    <cellStyle name="Calculation 23 3 6 3" xfId="32402"/>
    <cellStyle name="Calculation 23 3 7" xfId="16707"/>
    <cellStyle name="Calculation 23 3 7 2" xfId="37894"/>
    <cellStyle name="Calculation 23 3 8" xfId="26959"/>
    <cellStyle name="Calculation 23 3_Table 2A-1_EFT (Annual)" xfId="2935"/>
    <cellStyle name="Calculation 23 4" xfId="1264"/>
    <cellStyle name="Calculation 23 4 2" xfId="2534"/>
    <cellStyle name="Calculation 23 4 2 2" xfId="6095"/>
    <cellStyle name="Calculation 23 4 2 2 2" xfId="14289"/>
    <cellStyle name="Calculation 23 4 2 2 2 2" xfId="26261"/>
    <cellStyle name="Calculation 23 4 2 2 2 2 2" xfId="47447"/>
    <cellStyle name="Calculation 23 4 2 2 2 3" xfId="36843"/>
    <cellStyle name="Calculation 23 4 2 2 3" xfId="21148"/>
    <cellStyle name="Calculation 23 4 2 2 3 2" xfId="42335"/>
    <cellStyle name="Calculation 23 4 2 2 4" xfId="31751"/>
    <cellStyle name="Calculation 23 4 2 2_Table 2A-1_EFT (Annual)" xfId="14689"/>
    <cellStyle name="Calculation 23 4 2 3" xfId="11631"/>
    <cellStyle name="Calculation 23 4 2 3 2" xfId="23715"/>
    <cellStyle name="Calculation 23 4 2 3 2 2" xfId="44901"/>
    <cellStyle name="Calculation 23 4 2 3 3" xfId="34297"/>
    <cellStyle name="Calculation 23 4 2 4" xfId="18602"/>
    <cellStyle name="Calculation 23 4 2 4 2" xfId="39789"/>
    <cellStyle name="Calculation 23 4 2 5" xfId="29008"/>
    <cellStyle name="Calculation 23 4 2_Table 2A-1_EFT (Annual)" xfId="6528"/>
    <cellStyle name="Calculation 23 4 3" xfId="4825"/>
    <cellStyle name="Calculation 23 4 3 2" xfId="13085"/>
    <cellStyle name="Calculation 23 4 3 2 2" xfId="25091"/>
    <cellStyle name="Calculation 23 4 3 2 2 2" xfId="46277"/>
    <cellStyle name="Calculation 23 4 3 2 3" xfId="35673"/>
    <cellStyle name="Calculation 23 4 3 3" xfId="19978"/>
    <cellStyle name="Calculation 23 4 3 3 2" xfId="41165"/>
    <cellStyle name="Calculation 23 4 3 4" xfId="30482"/>
    <cellStyle name="Calculation 23 4 3_Table 2A-1_EFT (Annual)" xfId="14688"/>
    <cellStyle name="Calculation 23 4 4" xfId="10429"/>
    <cellStyle name="Calculation 23 4 4 2" xfId="22545"/>
    <cellStyle name="Calculation 23 4 4 2 2" xfId="43731"/>
    <cellStyle name="Calculation 23 4 4 3" xfId="33127"/>
    <cellStyle name="Calculation 23 4 5" xfId="17432"/>
    <cellStyle name="Calculation 23 4 5 2" xfId="38619"/>
    <cellStyle name="Calculation 23 4 6" xfId="27739"/>
    <cellStyle name="Calculation 23 4_Table 2A-1_EFT (Annual)" xfId="6527"/>
    <cellStyle name="Calculation 23 5" xfId="813"/>
    <cellStyle name="Calculation 23 5 2" xfId="4374"/>
    <cellStyle name="Calculation 23 5 2 2" xfId="12654"/>
    <cellStyle name="Calculation 23 5 2 2 2" xfId="24671"/>
    <cellStyle name="Calculation 23 5 2 2 2 2" xfId="45857"/>
    <cellStyle name="Calculation 23 5 2 2 3" xfId="35253"/>
    <cellStyle name="Calculation 23 5 2 3" xfId="19558"/>
    <cellStyle name="Calculation 23 5 2 3 2" xfId="40745"/>
    <cellStyle name="Calculation 23 5 2 4" xfId="30031"/>
    <cellStyle name="Calculation 23 5 2_Table 2A-1_EFT (Annual)" xfId="14687"/>
    <cellStyle name="Calculation 23 5 3" xfId="10002"/>
    <cellStyle name="Calculation 23 5 3 2" xfId="22125"/>
    <cellStyle name="Calculation 23 5 3 2 2" xfId="43311"/>
    <cellStyle name="Calculation 23 5 3 3" xfId="32707"/>
    <cellStyle name="Calculation 23 5 4" xfId="17012"/>
    <cellStyle name="Calculation 23 5 4 2" xfId="38199"/>
    <cellStyle name="Calculation 23 5 5" xfId="27288"/>
    <cellStyle name="Calculation 23 5_Table 2A-1_EFT (Annual)" xfId="6529"/>
    <cellStyle name="Calculation 23 6" xfId="2003"/>
    <cellStyle name="Calculation 23 6 2" xfId="5564"/>
    <cellStyle name="Calculation 23 6 2 2" xfId="13779"/>
    <cellStyle name="Calculation 23 6 2 2 2" xfId="25767"/>
    <cellStyle name="Calculation 23 6 2 2 2 2" xfId="46953"/>
    <cellStyle name="Calculation 23 6 2 2 3" xfId="36349"/>
    <cellStyle name="Calculation 23 6 2 3" xfId="20654"/>
    <cellStyle name="Calculation 23 6 2 3 2" xfId="41841"/>
    <cellStyle name="Calculation 23 6 2 4" xfId="31221"/>
    <cellStyle name="Calculation 23 6 2_Table 2A-1_EFT (Annual)" xfId="14686"/>
    <cellStyle name="Calculation 23 6 3" xfId="11123"/>
    <cellStyle name="Calculation 23 6 3 2" xfId="23221"/>
    <cellStyle name="Calculation 23 6 3 2 2" xfId="44407"/>
    <cellStyle name="Calculation 23 6 3 3" xfId="33803"/>
    <cellStyle name="Calculation 23 6 4" xfId="18108"/>
    <cellStyle name="Calculation 23 6 4 2" xfId="39295"/>
    <cellStyle name="Calculation 23 6 5" xfId="28478"/>
    <cellStyle name="Calculation 23 6_Table 2A-1_EFT (Annual)" xfId="6530"/>
    <cellStyle name="Calculation 23 7" xfId="3805"/>
    <cellStyle name="Calculation 23 7 2" xfId="12173"/>
    <cellStyle name="Calculation 23 7 2 2" xfId="24203"/>
    <cellStyle name="Calculation 23 7 2 2 2" xfId="45389"/>
    <cellStyle name="Calculation 23 7 2 3" xfId="34785"/>
    <cellStyle name="Calculation 23 7 3" xfId="19090"/>
    <cellStyle name="Calculation 23 7 3 2" xfId="40277"/>
    <cellStyle name="Calculation 23 7 4" xfId="29514"/>
    <cellStyle name="Calculation 23 7_Table 2A-1_EFT (Annual)" xfId="14685"/>
    <cellStyle name="Calculation 23 8" xfId="9492"/>
    <cellStyle name="Calculation 23 8 2" xfId="21657"/>
    <cellStyle name="Calculation 23 8 2 2" xfId="42843"/>
    <cellStyle name="Calculation 23 8 3" xfId="32239"/>
    <cellStyle name="Calculation 23 9" xfId="16544"/>
    <cellStyle name="Calculation 23 9 2" xfId="37731"/>
    <cellStyle name="Calculation 23_Table 2A-1_EFT (Annual)" xfId="2933"/>
    <cellStyle name="Calculation 24" xfId="195"/>
    <cellStyle name="Calculation 24 10" xfId="26750"/>
    <cellStyle name="Calculation 24 2" xfId="588"/>
    <cellStyle name="Calculation 24 2 2" xfId="1565"/>
    <cellStyle name="Calculation 24 2 2 2" xfId="2835"/>
    <cellStyle name="Calculation 24 2 2 2 2" xfId="6396"/>
    <cellStyle name="Calculation 24 2 2 2 2 2" xfId="14590"/>
    <cellStyle name="Calculation 24 2 2 2 2 2 2" xfId="26562"/>
    <cellStyle name="Calculation 24 2 2 2 2 2 2 2" xfId="47748"/>
    <cellStyle name="Calculation 24 2 2 2 2 2 3" xfId="37144"/>
    <cellStyle name="Calculation 24 2 2 2 2 3" xfId="21449"/>
    <cellStyle name="Calculation 24 2 2 2 2 3 2" xfId="42636"/>
    <cellStyle name="Calculation 24 2 2 2 2 4" xfId="32052"/>
    <cellStyle name="Calculation 24 2 2 2 2_Table 2A-1_EFT (Annual)" xfId="14684"/>
    <cellStyle name="Calculation 24 2 2 2 3" xfId="11932"/>
    <cellStyle name="Calculation 24 2 2 2 3 2" xfId="24016"/>
    <cellStyle name="Calculation 24 2 2 2 3 2 2" xfId="45202"/>
    <cellStyle name="Calculation 24 2 2 2 3 3" xfId="34598"/>
    <cellStyle name="Calculation 24 2 2 2 4" xfId="18903"/>
    <cellStyle name="Calculation 24 2 2 2 4 2" xfId="40090"/>
    <cellStyle name="Calculation 24 2 2 2 5" xfId="29309"/>
    <cellStyle name="Calculation 24 2 2 2_Table 2A-1_EFT (Annual)" xfId="6532"/>
    <cellStyle name="Calculation 24 2 2 3" xfId="5126"/>
    <cellStyle name="Calculation 24 2 2 3 2" xfId="13386"/>
    <cellStyle name="Calculation 24 2 2 3 2 2" xfId="25392"/>
    <cellStyle name="Calculation 24 2 2 3 2 2 2" xfId="46578"/>
    <cellStyle name="Calculation 24 2 2 3 2 3" xfId="35974"/>
    <cellStyle name="Calculation 24 2 2 3 3" xfId="20279"/>
    <cellStyle name="Calculation 24 2 2 3 3 2" xfId="41466"/>
    <cellStyle name="Calculation 24 2 2 3 4" xfId="30783"/>
    <cellStyle name="Calculation 24 2 2 3_Table 2A-1_EFT (Annual)" xfId="14683"/>
    <cellStyle name="Calculation 24 2 2 4" xfId="10730"/>
    <cellStyle name="Calculation 24 2 2 4 2" xfId="22846"/>
    <cellStyle name="Calculation 24 2 2 4 2 2" xfId="44032"/>
    <cellStyle name="Calculation 24 2 2 4 3" xfId="33428"/>
    <cellStyle name="Calculation 24 2 2 5" xfId="17733"/>
    <cellStyle name="Calculation 24 2 2 5 2" xfId="38920"/>
    <cellStyle name="Calculation 24 2 2 6" xfId="28040"/>
    <cellStyle name="Calculation 24 2 2_Table 2A-1_EFT (Annual)" xfId="6531"/>
    <cellStyle name="Calculation 24 2 3" xfId="1087"/>
    <cellStyle name="Calculation 24 2 3 2" xfId="4648"/>
    <cellStyle name="Calculation 24 2 3 2 2" xfId="12908"/>
    <cellStyle name="Calculation 24 2 3 2 2 2" xfId="24914"/>
    <cellStyle name="Calculation 24 2 3 2 2 2 2" xfId="46100"/>
    <cellStyle name="Calculation 24 2 3 2 2 3" xfId="35496"/>
    <cellStyle name="Calculation 24 2 3 2 3" xfId="19801"/>
    <cellStyle name="Calculation 24 2 3 2 3 2" xfId="40988"/>
    <cellStyle name="Calculation 24 2 3 2 4" xfId="30305"/>
    <cellStyle name="Calculation 24 2 3 2_Table 2A-1_EFT (Annual)" xfId="14682"/>
    <cellStyle name="Calculation 24 2 3 3" xfId="10252"/>
    <cellStyle name="Calculation 24 2 3 3 2" xfId="22368"/>
    <cellStyle name="Calculation 24 2 3 3 2 2" xfId="43554"/>
    <cellStyle name="Calculation 24 2 3 3 3" xfId="32950"/>
    <cellStyle name="Calculation 24 2 3 4" xfId="17255"/>
    <cellStyle name="Calculation 24 2 3 4 2" xfId="38442"/>
    <cellStyle name="Calculation 24 2 3 5" xfId="27562"/>
    <cellStyle name="Calculation 24 2 3_Table 2A-1_EFT (Annual)" xfId="6533"/>
    <cellStyle name="Calculation 24 2 4" xfId="2304"/>
    <cellStyle name="Calculation 24 2 4 2" xfId="5865"/>
    <cellStyle name="Calculation 24 2 4 2 2" xfId="14080"/>
    <cellStyle name="Calculation 24 2 4 2 2 2" xfId="26068"/>
    <cellStyle name="Calculation 24 2 4 2 2 2 2" xfId="47254"/>
    <cellStyle name="Calculation 24 2 4 2 2 3" xfId="36650"/>
    <cellStyle name="Calculation 24 2 4 2 3" xfId="20955"/>
    <cellStyle name="Calculation 24 2 4 2 3 2" xfId="42142"/>
    <cellStyle name="Calculation 24 2 4 2 4" xfId="31522"/>
    <cellStyle name="Calculation 24 2 4 2_Table 2A-1_EFT (Annual)" xfId="14681"/>
    <cellStyle name="Calculation 24 2 4 3" xfId="11424"/>
    <cellStyle name="Calculation 24 2 4 3 2" xfId="23522"/>
    <cellStyle name="Calculation 24 2 4 3 2 2" xfId="44708"/>
    <cellStyle name="Calculation 24 2 4 3 3" xfId="34104"/>
    <cellStyle name="Calculation 24 2 4 4" xfId="18409"/>
    <cellStyle name="Calculation 24 2 4 4 2" xfId="39596"/>
    <cellStyle name="Calculation 24 2 4 5" xfId="28779"/>
    <cellStyle name="Calculation 24 2 4_Table 2A-1_EFT (Annual)" xfId="6534"/>
    <cellStyle name="Calculation 24 2 5" xfId="4158"/>
    <cellStyle name="Calculation 24 2 5 2" xfId="12482"/>
    <cellStyle name="Calculation 24 2 5 2 2" xfId="24504"/>
    <cellStyle name="Calculation 24 2 5 2 2 2" xfId="45690"/>
    <cellStyle name="Calculation 24 2 5 2 3" xfId="35086"/>
    <cellStyle name="Calculation 24 2 5 3" xfId="19391"/>
    <cellStyle name="Calculation 24 2 5 3 2" xfId="40578"/>
    <cellStyle name="Calculation 24 2 5 4" xfId="29846"/>
    <cellStyle name="Calculation 24 2 5_Table 2A-1_EFT (Annual)" xfId="14680"/>
    <cellStyle name="Calculation 24 2 6" xfId="9821"/>
    <cellStyle name="Calculation 24 2 6 2" xfId="21958"/>
    <cellStyle name="Calculation 24 2 6 2 2" xfId="43144"/>
    <cellStyle name="Calculation 24 2 6 3" xfId="32540"/>
    <cellStyle name="Calculation 24 2 7" xfId="16845"/>
    <cellStyle name="Calculation 24 2 7 2" xfId="38032"/>
    <cellStyle name="Calculation 24 2 8" xfId="27103"/>
    <cellStyle name="Calculation 24 2_Table 2A-1_EFT (Annual)" xfId="2937"/>
    <cellStyle name="Calculation 24 3" xfId="424"/>
    <cellStyle name="Calculation 24 3 2" xfId="1407"/>
    <cellStyle name="Calculation 24 3 2 2" xfId="2677"/>
    <cellStyle name="Calculation 24 3 2 2 2" xfId="6238"/>
    <cellStyle name="Calculation 24 3 2 2 2 2" xfId="14432"/>
    <cellStyle name="Calculation 24 3 2 2 2 2 2" xfId="26404"/>
    <cellStyle name="Calculation 24 3 2 2 2 2 2 2" xfId="47590"/>
    <cellStyle name="Calculation 24 3 2 2 2 2 3" xfId="36986"/>
    <cellStyle name="Calculation 24 3 2 2 2 3" xfId="21291"/>
    <cellStyle name="Calculation 24 3 2 2 2 3 2" xfId="42478"/>
    <cellStyle name="Calculation 24 3 2 2 2 4" xfId="31894"/>
    <cellStyle name="Calculation 24 3 2 2 2_Table 2A-1_EFT (Annual)" xfId="14679"/>
    <cellStyle name="Calculation 24 3 2 2 3" xfId="11774"/>
    <cellStyle name="Calculation 24 3 2 2 3 2" xfId="23858"/>
    <cellStyle name="Calculation 24 3 2 2 3 2 2" xfId="45044"/>
    <cellStyle name="Calculation 24 3 2 2 3 3" xfId="34440"/>
    <cellStyle name="Calculation 24 3 2 2 4" xfId="18745"/>
    <cellStyle name="Calculation 24 3 2 2 4 2" xfId="39932"/>
    <cellStyle name="Calculation 24 3 2 2 5" xfId="29151"/>
    <cellStyle name="Calculation 24 3 2 2_Table 2A-1_EFT (Annual)" xfId="6536"/>
    <cellStyle name="Calculation 24 3 2 3" xfId="4968"/>
    <cellStyle name="Calculation 24 3 2 3 2" xfId="13228"/>
    <cellStyle name="Calculation 24 3 2 3 2 2" xfId="25234"/>
    <cellStyle name="Calculation 24 3 2 3 2 2 2" xfId="46420"/>
    <cellStyle name="Calculation 24 3 2 3 2 3" xfId="35816"/>
    <cellStyle name="Calculation 24 3 2 3 3" xfId="20121"/>
    <cellStyle name="Calculation 24 3 2 3 3 2" xfId="41308"/>
    <cellStyle name="Calculation 24 3 2 3 4" xfId="30625"/>
    <cellStyle name="Calculation 24 3 2 3_Table 2A-1_EFT (Annual)" xfId="14678"/>
    <cellStyle name="Calculation 24 3 2 4" xfId="10572"/>
    <cellStyle name="Calculation 24 3 2 4 2" xfId="22688"/>
    <cellStyle name="Calculation 24 3 2 4 2 2" xfId="43874"/>
    <cellStyle name="Calculation 24 3 2 4 3" xfId="33270"/>
    <cellStyle name="Calculation 24 3 2 5" xfId="17575"/>
    <cellStyle name="Calculation 24 3 2 5 2" xfId="38762"/>
    <cellStyle name="Calculation 24 3 2 6" xfId="27882"/>
    <cellStyle name="Calculation 24 3 2_Table 2A-1_EFT (Annual)" xfId="6535"/>
    <cellStyle name="Calculation 24 3 3" xfId="953"/>
    <cellStyle name="Calculation 24 3 3 2" xfId="4514"/>
    <cellStyle name="Calculation 24 3 3 2 2" xfId="12776"/>
    <cellStyle name="Calculation 24 3 3 2 2 2" xfId="24786"/>
    <cellStyle name="Calculation 24 3 3 2 2 2 2" xfId="45972"/>
    <cellStyle name="Calculation 24 3 3 2 2 3" xfId="35368"/>
    <cellStyle name="Calculation 24 3 3 2 3" xfId="19673"/>
    <cellStyle name="Calculation 24 3 3 2 3 2" xfId="40860"/>
    <cellStyle name="Calculation 24 3 3 2 4" xfId="30171"/>
    <cellStyle name="Calculation 24 3 3 2_Table 2A-1_EFT (Annual)" xfId="14677"/>
    <cellStyle name="Calculation 24 3 3 3" xfId="10123"/>
    <cellStyle name="Calculation 24 3 3 3 2" xfId="22240"/>
    <cellStyle name="Calculation 24 3 3 3 2 2" xfId="43426"/>
    <cellStyle name="Calculation 24 3 3 3 3" xfId="32822"/>
    <cellStyle name="Calculation 24 3 3 4" xfId="17127"/>
    <cellStyle name="Calculation 24 3 3 4 2" xfId="38314"/>
    <cellStyle name="Calculation 24 3 3 5" xfId="27428"/>
    <cellStyle name="Calculation 24 3 3_Table 2A-1_EFT (Annual)" xfId="6537"/>
    <cellStyle name="Calculation 24 3 4" xfId="2146"/>
    <cellStyle name="Calculation 24 3 4 2" xfId="5707"/>
    <cellStyle name="Calculation 24 3 4 2 2" xfId="13922"/>
    <cellStyle name="Calculation 24 3 4 2 2 2" xfId="25910"/>
    <cellStyle name="Calculation 24 3 4 2 2 2 2" xfId="47096"/>
    <cellStyle name="Calculation 24 3 4 2 2 3" xfId="36492"/>
    <cellStyle name="Calculation 24 3 4 2 3" xfId="20797"/>
    <cellStyle name="Calculation 24 3 4 2 3 2" xfId="41984"/>
    <cellStyle name="Calculation 24 3 4 2 4" xfId="31364"/>
    <cellStyle name="Calculation 24 3 4 2_Table 2A-1_EFT (Annual)" xfId="14676"/>
    <cellStyle name="Calculation 24 3 4 3" xfId="11266"/>
    <cellStyle name="Calculation 24 3 4 3 2" xfId="23364"/>
    <cellStyle name="Calculation 24 3 4 3 2 2" xfId="44550"/>
    <cellStyle name="Calculation 24 3 4 3 3" xfId="33946"/>
    <cellStyle name="Calculation 24 3 4 4" xfId="18251"/>
    <cellStyle name="Calculation 24 3 4 4 2" xfId="39438"/>
    <cellStyle name="Calculation 24 3 4 5" xfId="28621"/>
    <cellStyle name="Calculation 24 3 4_Table 2A-1_EFT (Annual)" xfId="6538"/>
    <cellStyle name="Calculation 24 3 5" xfId="3994"/>
    <cellStyle name="Calculation 24 3 5 2" xfId="12322"/>
    <cellStyle name="Calculation 24 3 5 2 2" xfId="24346"/>
    <cellStyle name="Calculation 24 3 5 2 2 2" xfId="45532"/>
    <cellStyle name="Calculation 24 3 5 2 3" xfId="34928"/>
    <cellStyle name="Calculation 24 3 5 3" xfId="19233"/>
    <cellStyle name="Calculation 24 3 5 3 2" xfId="40420"/>
    <cellStyle name="Calculation 24 3 5 4" xfId="29682"/>
    <cellStyle name="Calculation 24 3 5_Table 2A-1_EFT (Annual)" xfId="14675"/>
    <cellStyle name="Calculation 24 3 6" xfId="9659"/>
    <cellStyle name="Calculation 24 3 6 2" xfId="21800"/>
    <cellStyle name="Calculation 24 3 6 2 2" xfId="42986"/>
    <cellStyle name="Calculation 24 3 6 3" xfId="32382"/>
    <cellStyle name="Calculation 24 3 7" xfId="16687"/>
    <cellStyle name="Calculation 24 3 7 2" xfId="37874"/>
    <cellStyle name="Calculation 24 3 8" xfId="26939"/>
    <cellStyle name="Calculation 24 3_Table 2A-1_EFT (Annual)" xfId="2938"/>
    <cellStyle name="Calculation 24 4" xfId="1243"/>
    <cellStyle name="Calculation 24 4 2" xfId="2513"/>
    <cellStyle name="Calculation 24 4 2 2" xfId="6074"/>
    <cellStyle name="Calculation 24 4 2 2 2" xfId="14268"/>
    <cellStyle name="Calculation 24 4 2 2 2 2" xfId="26240"/>
    <cellStyle name="Calculation 24 4 2 2 2 2 2" xfId="47426"/>
    <cellStyle name="Calculation 24 4 2 2 2 3" xfId="36822"/>
    <cellStyle name="Calculation 24 4 2 2 3" xfId="21127"/>
    <cellStyle name="Calculation 24 4 2 2 3 2" xfId="42314"/>
    <cellStyle name="Calculation 24 4 2 2 4" xfId="31730"/>
    <cellStyle name="Calculation 24 4 2 2_Table 2A-1_EFT (Annual)" xfId="14674"/>
    <cellStyle name="Calculation 24 4 2 3" xfId="11610"/>
    <cellStyle name="Calculation 24 4 2 3 2" xfId="23694"/>
    <cellStyle name="Calculation 24 4 2 3 2 2" xfId="44880"/>
    <cellStyle name="Calculation 24 4 2 3 3" xfId="34276"/>
    <cellStyle name="Calculation 24 4 2 4" xfId="18581"/>
    <cellStyle name="Calculation 24 4 2 4 2" xfId="39768"/>
    <cellStyle name="Calculation 24 4 2 5" xfId="28987"/>
    <cellStyle name="Calculation 24 4 2_Table 2A-1_EFT (Annual)" xfId="6540"/>
    <cellStyle name="Calculation 24 4 3" xfId="4804"/>
    <cellStyle name="Calculation 24 4 3 2" xfId="13064"/>
    <cellStyle name="Calculation 24 4 3 2 2" xfId="25070"/>
    <cellStyle name="Calculation 24 4 3 2 2 2" xfId="46256"/>
    <cellStyle name="Calculation 24 4 3 2 3" xfId="35652"/>
    <cellStyle name="Calculation 24 4 3 3" xfId="19957"/>
    <cellStyle name="Calculation 24 4 3 3 2" xfId="41144"/>
    <cellStyle name="Calculation 24 4 3 4" xfId="30461"/>
    <cellStyle name="Calculation 24 4 3_Table 2A-1_EFT (Annual)" xfId="14673"/>
    <cellStyle name="Calculation 24 4 4" xfId="10408"/>
    <cellStyle name="Calculation 24 4 4 2" xfId="22524"/>
    <cellStyle name="Calculation 24 4 4 2 2" xfId="43710"/>
    <cellStyle name="Calculation 24 4 4 3" xfId="33106"/>
    <cellStyle name="Calculation 24 4 5" xfId="17411"/>
    <cellStyle name="Calculation 24 4 5 2" xfId="38598"/>
    <cellStyle name="Calculation 24 4 6" xfId="27718"/>
    <cellStyle name="Calculation 24 4_Table 2A-1_EFT (Annual)" xfId="6539"/>
    <cellStyle name="Calculation 24 5" xfId="796"/>
    <cellStyle name="Calculation 24 5 2" xfId="4357"/>
    <cellStyle name="Calculation 24 5 2 2" xfId="12637"/>
    <cellStyle name="Calculation 24 5 2 2 2" xfId="24654"/>
    <cellStyle name="Calculation 24 5 2 2 2 2" xfId="45840"/>
    <cellStyle name="Calculation 24 5 2 2 3" xfId="35236"/>
    <cellStyle name="Calculation 24 5 2 3" xfId="19541"/>
    <cellStyle name="Calculation 24 5 2 3 2" xfId="40728"/>
    <cellStyle name="Calculation 24 5 2 4" xfId="30014"/>
    <cellStyle name="Calculation 24 5 2_Table 2A-1_EFT (Annual)" xfId="14672"/>
    <cellStyle name="Calculation 24 5 3" xfId="9985"/>
    <cellStyle name="Calculation 24 5 3 2" xfId="22108"/>
    <cellStyle name="Calculation 24 5 3 2 2" xfId="43294"/>
    <cellStyle name="Calculation 24 5 3 3" xfId="32690"/>
    <cellStyle name="Calculation 24 5 4" xfId="16995"/>
    <cellStyle name="Calculation 24 5 4 2" xfId="38182"/>
    <cellStyle name="Calculation 24 5 5" xfId="27271"/>
    <cellStyle name="Calculation 24 5_Table 2A-1_EFT (Annual)" xfId="6541"/>
    <cellStyle name="Calculation 24 6" xfId="1982"/>
    <cellStyle name="Calculation 24 6 2" xfId="5543"/>
    <cellStyle name="Calculation 24 6 2 2" xfId="13758"/>
    <cellStyle name="Calculation 24 6 2 2 2" xfId="25746"/>
    <cellStyle name="Calculation 24 6 2 2 2 2" xfId="46932"/>
    <cellStyle name="Calculation 24 6 2 2 3" xfId="36328"/>
    <cellStyle name="Calculation 24 6 2 3" xfId="20633"/>
    <cellStyle name="Calculation 24 6 2 3 2" xfId="41820"/>
    <cellStyle name="Calculation 24 6 2 4" xfId="31200"/>
    <cellStyle name="Calculation 24 6 2_Table 2A-1_EFT (Annual)" xfId="14671"/>
    <cellStyle name="Calculation 24 6 3" xfId="11102"/>
    <cellStyle name="Calculation 24 6 3 2" xfId="23200"/>
    <cellStyle name="Calculation 24 6 3 2 2" xfId="44386"/>
    <cellStyle name="Calculation 24 6 3 3" xfId="33782"/>
    <cellStyle name="Calculation 24 6 4" xfId="18087"/>
    <cellStyle name="Calculation 24 6 4 2" xfId="39274"/>
    <cellStyle name="Calculation 24 6 5" xfId="28457"/>
    <cellStyle name="Calculation 24 6_Table 2A-1_EFT (Annual)" xfId="6542"/>
    <cellStyle name="Calculation 24 7" xfId="3784"/>
    <cellStyle name="Calculation 24 7 2" xfId="12152"/>
    <cellStyle name="Calculation 24 7 2 2" xfId="24182"/>
    <cellStyle name="Calculation 24 7 2 2 2" xfId="45368"/>
    <cellStyle name="Calculation 24 7 2 3" xfId="34764"/>
    <cellStyle name="Calculation 24 7 3" xfId="19069"/>
    <cellStyle name="Calculation 24 7 3 2" xfId="40256"/>
    <cellStyle name="Calculation 24 7 4" xfId="29493"/>
    <cellStyle name="Calculation 24 7_Table 2A-1_EFT (Annual)" xfId="14670"/>
    <cellStyle name="Calculation 24 8" xfId="9471"/>
    <cellStyle name="Calculation 24 8 2" xfId="21636"/>
    <cellStyle name="Calculation 24 8 2 2" xfId="42822"/>
    <cellStyle name="Calculation 24 8 3" xfId="32218"/>
    <cellStyle name="Calculation 24 9" xfId="16523"/>
    <cellStyle name="Calculation 24 9 2" xfId="37710"/>
    <cellStyle name="Calculation 24_Table 2A-1_EFT (Annual)" xfId="2936"/>
    <cellStyle name="Calculation 25" xfId="231"/>
    <cellStyle name="Calculation 25 10" xfId="26786"/>
    <cellStyle name="Calculation 25 2" xfId="618"/>
    <cellStyle name="Calculation 25 2 2" xfId="1595"/>
    <cellStyle name="Calculation 25 2 2 2" xfId="2865"/>
    <cellStyle name="Calculation 25 2 2 2 2" xfId="6426"/>
    <cellStyle name="Calculation 25 2 2 2 2 2" xfId="14620"/>
    <cellStyle name="Calculation 25 2 2 2 2 2 2" xfId="26592"/>
    <cellStyle name="Calculation 25 2 2 2 2 2 2 2" xfId="47778"/>
    <cellStyle name="Calculation 25 2 2 2 2 2 3" xfId="37174"/>
    <cellStyle name="Calculation 25 2 2 2 2 3" xfId="21479"/>
    <cellStyle name="Calculation 25 2 2 2 2 3 2" xfId="42666"/>
    <cellStyle name="Calculation 25 2 2 2 2 4" xfId="32082"/>
    <cellStyle name="Calculation 25 2 2 2 2_Table 2A-1_EFT (Annual)" xfId="14669"/>
    <cellStyle name="Calculation 25 2 2 2 3" xfId="11962"/>
    <cellStyle name="Calculation 25 2 2 2 3 2" xfId="24046"/>
    <cellStyle name="Calculation 25 2 2 2 3 2 2" xfId="45232"/>
    <cellStyle name="Calculation 25 2 2 2 3 3" xfId="34628"/>
    <cellStyle name="Calculation 25 2 2 2 4" xfId="18933"/>
    <cellStyle name="Calculation 25 2 2 2 4 2" xfId="40120"/>
    <cellStyle name="Calculation 25 2 2 2 5" xfId="29339"/>
    <cellStyle name="Calculation 25 2 2 2_Table 2A-1_EFT (Annual)" xfId="6544"/>
    <cellStyle name="Calculation 25 2 2 3" xfId="5156"/>
    <cellStyle name="Calculation 25 2 2 3 2" xfId="13416"/>
    <cellStyle name="Calculation 25 2 2 3 2 2" xfId="25422"/>
    <cellStyle name="Calculation 25 2 2 3 2 2 2" xfId="46608"/>
    <cellStyle name="Calculation 25 2 2 3 2 3" xfId="36004"/>
    <cellStyle name="Calculation 25 2 2 3 3" xfId="20309"/>
    <cellStyle name="Calculation 25 2 2 3 3 2" xfId="41496"/>
    <cellStyle name="Calculation 25 2 2 3 4" xfId="30813"/>
    <cellStyle name="Calculation 25 2 2 3_Table 2A-1_EFT (Annual)" xfId="14668"/>
    <cellStyle name="Calculation 25 2 2 4" xfId="10760"/>
    <cellStyle name="Calculation 25 2 2 4 2" xfId="22876"/>
    <cellStyle name="Calculation 25 2 2 4 2 2" xfId="44062"/>
    <cellStyle name="Calculation 25 2 2 4 3" xfId="33458"/>
    <cellStyle name="Calculation 25 2 2 5" xfId="17763"/>
    <cellStyle name="Calculation 25 2 2 5 2" xfId="38950"/>
    <cellStyle name="Calculation 25 2 2 6" xfId="28070"/>
    <cellStyle name="Calculation 25 2 2_Table 2A-1_EFT (Annual)" xfId="6543"/>
    <cellStyle name="Calculation 25 2 3" xfId="1111"/>
    <cellStyle name="Calculation 25 2 3 2" xfId="4672"/>
    <cellStyle name="Calculation 25 2 3 2 2" xfId="12932"/>
    <cellStyle name="Calculation 25 2 3 2 2 2" xfId="24938"/>
    <cellStyle name="Calculation 25 2 3 2 2 2 2" xfId="46124"/>
    <cellStyle name="Calculation 25 2 3 2 2 3" xfId="35520"/>
    <cellStyle name="Calculation 25 2 3 2 3" xfId="19825"/>
    <cellStyle name="Calculation 25 2 3 2 3 2" xfId="41012"/>
    <cellStyle name="Calculation 25 2 3 2 4" xfId="30329"/>
    <cellStyle name="Calculation 25 2 3 2_Table 2A-1_EFT (Annual)" xfId="14667"/>
    <cellStyle name="Calculation 25 2 3 3" xfId="10276"/>
    <cellStyle name="Calculation 25 2 3 3 2" xfId="22392"/>
    <cellStyle name="Calculation 25 2 3 3 2 2" xfId="43578"/>
    <cellStyle name="Calculation 25 2 3 3 3" xfId="32974"/>
    <cellStyle name="Calculation 25 2 3 4" xfId="17279"/>
    <cellStyle name="Calculation 25 2 3 4 2" xfId="38466"/>
    <cellStyle name="Calculation 25 2 3 5" xfId="27586"/>
    <cellStyle name="Calculation 25 2 3_Table 2A-1_EFT (Annual)" xfId="6545"/>
    <cellStyle name="Calculation 25 2 4" xfId="2334"/>
    <cellStyle name="Calculation 25 2 4 2" xfId="5895"/>
    <cellStyle name="Calculation 25 2 4 2 2" xfId="14110"/>
    <cellStyle name="Calculation 25 2 4 2 2 2" xfId="26098"/>
    <cellStyle name="Calculation 25 2 4 2 2 2 2" xfId="47284"/>
    <cellStyle name="Calculation 25 2 4 2 2 3" xfId="36680"/>
    <cellStyle name="Calculation 25 2 4 2 3" xfId="20985"/>
    <cellStyle name="Calculation 25 2 4 2 3 2" xfId="42172"/>
    <cellStyle name="Calculation 25 2 4 2 4" xfId="31552"/>
    <cellStyle name="Calculation 25 2 4 2_Table 2A-1_EFT (Annual)" xfId="14666"/>
    <cellStyle name="Calculation 25 2 4 3" xfId="11454"/>
    <cellStyle name="Calculation 25 2 4 3 2" xfId="23552"/>
    <cellStyle name="Calculation 25 2 4 3 2 2" xfId="44738"/>
    <cellStyle name="Calculation 25 2 4 3 3" xfId="34134"/>
    <cellStyle name="Calculation 25 2 4 4" xfId="18439"/>
    <cellStyle name="Calculation 25 2 4 4 2" xfId="39626"/>
    <cellStyle name="Calculation 25 2 4 5" xfId="28809"/>
    <cellStyle name="Calculation 25 2 4_Table 2A-1_EFT (Annual)" xfId="6546"/>
    <cellStyle name="Calculation 25 2 5" xfId="4188"/>
    <cellStyle name="Calculation 25 2 5 2" xfId="12512"/>
    <cellStyle name="Calculation 25 2 5 2 2" xfId="24534"/>
    <cellStyle name="Calculation 25 2 5 2 2 2" xfId="45720"/>
    <cellStyle name="Calculation 25 2 5 2 3" xfId="35116"/>
    <cellStyle name="Calculation 25 2 5 3" xfId="19421"/>
    <cellStyle name="Calculation 25 2 5 3 2" xfId="40608"/>
    <cellStyle name="Calculation 25 2 5 4" xfId="29876"/>
    <cellStyle name="Calculation 25 2 5_Table 2A-1_EFT (Annual)" xfId="14665"/>
    <cellStyle name="Calculation 25 2 6" xfId="9851"/>
    <cellStyle name="Calculation 25 2 6 2" xfId="21988"/>
    <cellStyle name="Calculation 25 2 6 2 2" xfId="43174"/>
    <cellStyle name="Calculation 25 2 6 3" xfId="32570"/>
    <cellStyle name="Calculation 25 2 7" xfId="16875"/>
    <cellStyle name="Calculation 25 2 7 2" xfId="38062"/>
    <cellStyle name="Calculation 25 2 8" xfId="27133"/>
    <cellStyle name="Calculation 25 2_Table 2A-1_EFT (Annual)" xfId="2940"/>
    <cellStyle name="Calculation 25 3" xfId="458"/>
    <cellStyle name="Calculation 25 3 2" xfId="1435"/>
    <cellStyle name="Calculation 25 3 2 2" xfId="2705"/>
    <cellStyle name="Calculation 25 3 2 2 2" xfId="6266"/>
    <cellStyle name="Calculation 25 3 2 2 2 2" xfId="14460"/>
    <cellStyle name="Calculation 25 3 2 2 2 2 2" xfId="26432"/>
    <cellStyle name="Calculation 25 3 2 2 2 2 2 2" xfId="47618"/>
    <cellStyle name="Calculation 25 3 2 2 2 2 3" xfId="37014"/>
    <cellStyle name="Calculation 25 3 2 2 2 3" xfId="21319"/>
    <cellStyle name="Calculation 25 3 2 2 2 3 2" xfId="42506"/>
    <cellStyle name="Calculation 25 3 2 2 2 4" xfId="31922"/>
    <cellStyle name="Calculation 25 3 2 2 2_Table 2A-1_EFT (Annual)" xfId="14664"/>
    <cellStyle name="Calculation 25 3 2 2 3" xfId="11802"/>
    <cellStyle name="Calculation 25 3 2 2 3 2" xfId="23886"/>
    <cellStyle name="Calculation 25 3 2 2 3 2 2" xfId="45072"/>
    <cellStyle name="Calculation 25 3 2 2 3 3" xfId="34468"/>
    <cellStyle name="Calculation 25 3 2 2 4" xfId="18773"/>
    <cellStyle name="Calculation 25 3 2 2 4 2" xfId="39960"/>
    <cellStyle name="Calculation 25 3 2 2 5" xfId="29179"/>
    <cellStyle name="Calculation 25 3 2 2_Table 2A-1_EFT (Annual)" xfId="6548"/>
    <cellStyle name="Calculation 25 3 2 3" xfId="4996"/>
    <cellStyle name="Calculation 25 3 2 3 2" xfId="13256"/>
    <cellStyle name="Calculation 25 3 2 3 2 2" xfId="25262"/>
    <cellStyle name="Calculation 25 3 2 3 2 2 2" xfId="46448"/>
    <cellStyle name="Calculation 25 3 2 3 2 3" xfId="35844"/>
    <cellStyle name="Calculation 25 3 2 3 3" xfId="20149"/>
    <cellStyle name="Calculation 25 3 2 3 3 2" xfId="41336"/>
    <cellStyle name="Calculation 25 3 2 3 4" xfId="30653"/>
    <cellStyle name="Calculation 25 3 2 3_Table 2A-1_EFT (Annual)" xfId="14663"/>
    <cellStyle name="Calculation 25 3 2 4" xfId="10600"/>
    <cellStyle name="Calculation 25 3 2 4 2" xfId="22716"/>
    <cellStyle name="Calculation 25 3 2 4 2 2" xfId="43902"/>
    <cellStyle name="Calculation 25 3 2 4 3" xfId="33298"/>
    <cellStyle name="Calculation 25 3 2 5" xfId="17603"/>
    <cellStyle name="Calculation 25 3 2 5 2" xfId="38790"/>
    <cellStyle name="Calculation 25 3 2 6" xfId="27910"/>
    <cellStyle name="Calculation 25 3 2_Table 2A-1_EFT (Annual)" xfId="6547"/>
    <cellStyle name="Calculation 25 3 3" xfId="982"/>
    <cellStyle name="Calculation 25 3 3 2" xfId="4543"/>
    <cellStyle name="Calculation 25 3 3 2 2" xfId="12803"/>
    <cellStyle name="Calculation 25 3 3 2 2 2" xfId="24809"/>
    <cellStyle name="Calculation 25 3 3 2 2 2 2" xfId="45995"/>
    <cellStyle name="Calculation 25 3 3 2 2 3" xfId="35391"/>
    <cellStyle name="Calculation 25 3 3 2 3" xfId="19696"/>
    <cellStyle name="Calculation 25 3 3 2 3 2" xfId="40883"/>
    <cellStyle name="Calculation 25 3 3 2 4" xfId="30200"/>
    <cellStyle name="Calculation 25 3 3 2_Table 2A-1_EFT (Annual)" xfId="14662"/>
    <cellStyle name="Calculation 25 3 3 3" xfId="10147"/>
    <cellStyle name="Calculation 25 3 3 3 2" xfId="22263"/>
    <cellStyle name="Calculation 25 3 3 3 2 2" xfId="43449"/>
    <cellStyle name="Calculation 25 3 3 3 3" xfId="32845"/>
    <cellStyle name="Calculation 25 3 3 4" xfId="17150"/>
    <cellStyle name="Calculation 25 3 3 4 2" xfId="38337"/>
    <cellStyle name="Calculation 25 3 3 5" xfId="27457"/>
    <cellStyle name="Calculation 25 3 3_Table 2A-1_EFT (Annual)" xfId="6549"/>
    <cellStyle name="Calculation 25 3 4" xfId="2174"/>
    <cellStyle name="Calculation 25 3 4 2" xfId="5735"/>
    <cellStyle name="Calculation 25 3 4 2 2" xfId="13950"/>
    <cellStyle name="Calculation 25 3 4 2 2 2" xfId="25938"/>
    <cellStyle name="Calculation 25 3 4 2 2 2 2" xfId="47124"/>
    <cellStyle name="Calculation 25 3 4 2 2 3" xfId="36520"/>
    <cellStyle name="Calculation 25 3 4 2 3" xfId="20825"/>
    <cellStyle name="Calculation 25 3 4 2 3 2" xfId="42012"/>
    <cellStyle name="Calculation 25 3 4 2 4" xfId="31392"/>
    <cellStyle name="Calculation 25 3 4 2_Table 2A-1_EFT (Annual)" xfId="14661"/>
    <cellStyle name="Calculation 25 3 4 3" xfId="11294"/>
    <cellStyle name="Calculation 25 3 4 3 2" xfId="23392"/>
    <cellStyle name="Calculation 25 3 4 3 2 2" xfId="44578"/>
    <cellStyle name="Calculation 25 3 4 3 3" xfId="33974"/>
    <cellStyle name="Calculation 25 3 4 4" xfId="18279"/>
    <cellStyle name="Calculation 25 3 4 4 2" xfId="39466"/>
    <cellStyle name="Calculation 25 3 4 5" xfId="28649"/>
    <cellStyle name="Calculation 25 3 4_Table 2A-1_EFT (Annual)" xfId="6550"/>
    <cellStyle name="Calculation 25 3 5" xfId="4028"/>
    <cellStyle name="Calculation 25 3 5 2" xfId="12352"/>
    <cellStyle name="Calculation 25 3 5 2 2" xfId="24374"/>
    <cellStyle name="Calculation 25 3 5 2 2 2" xfId="45560"/>
    <cellStyle name="Calculation 25 3 5 2 3" xfId="34956"/>
    <cellStyle name="Calculation 25 3 5 3" xfId="19261"/>
    <cellStyle name="Calculation 25 3 5 3 2" xfId="40448"/>
    <cellStyle name="Calculation 25 3 5 4" xfId="29716"/>
    <cellStyle name="Calculation 25 3 5_Table 2A-1_EFT (Annual)" xfId="14660"/>
    <cellStyle name="Calculation 25 3 6" xfId="9691"/>
    <cellStyle name="Calculation 25 3 6 2" xfId="21828"/>
    <cellStyle name="Calculation 25 3 6 2 2" xfId="43014"/>
    <cellStyle name="Calculation 25 3 6 3" xfId="32410"/>
    <cellStyle name="Calculation 25 3 7" xfId="16715"/>
    <cellStyle name="Calculation 25 3 7 2" xfId="37902"/>
    <cellStyle name="Calculation 25 3 8" xfId="26973"/>
    <cellStyle name="Calculation 25 3_Table 2A-1_EFT (Annual)" xfId="2941"/>
    <cellStyle name="Calculation 25 4" xfId="1273"/>
    <cellStyle name="Calculation 25 4 2" xfId="2543"/>
    <cellStyle name="Calculation 25 4 2 2" xfId="6104"/>
    <cellStyle name="Calculation 25 4 2 2 2" xfId="14298"/>
    <cellStyle name="Calculation 25 4 2 2 2 2" xfId="26270"/>
    <cellStyle name="Calculation 25 4 2 2 2 2 2" xfId="47456"/>
    <cellStyle name="Calculation 25 4 2 2 2 3" xfId="36852"/>
    <cellStyle name="Calculation 25 4 2 2 3" xfId="21157"/>
    <cellStyle name="Calculation 25 4 2 2 3 2" xfId="42344"/>
    <cellStyle name="Calculation 25 4 2 2 4" xfId="31760"/>
    <cellStyle name="Calculation 25 4 2 2_Table 2A-1_EFT (Annual)" xfId="14659"/>
    <cellStyle name="Calculation 25 4 2 3" xfId="11640"/>
    <cellStyle name="Calculation 25 4 2 3 2" xfId="23724"/>
    <cellStyle name="Calculation 25 4 2 3 2 2" xfId="44910"/>
    <cellStyle name="Calculation 25 4 2 3 3" xfId="34306"/>
    <cellStyle name="Calculation 25 4 2 4" xfId="18611"/>
    <cellStyle name="Calculation 25 4 2 4 2" xfId="39798"/>
    <cellStyle name="Calculation 25 4 2 5" xfId="29017"/>
    <cellStyle name="Calculation 25 4 2_Table 2A-1_EFT (Annual)" xfId="6552"/>
    <cellStyle name="Calculation 25 4 3" xfId="4834"/>
    <cellStyle name="Calculation 25 4 3 2" xfId="13094"/>
    <cellStyle name="Calculation 25 4 3 2 2" xfId="25100"/>
    <cellStyle name="Calculation 25 4 3 2 2 2" xfId="46286"/>
    <cellStyle name="Calculation 25 4 3 2 3" xfId="35682"/>
    <cellStyle name="Calculation 25 4 3 3" xfId="19987"/>
    <cellStyle name="Calculation 25 4 3 3 2" xfId="41174"/>
    <cellStyle name="Calculation 25 4 3 4" xfId="30491"/>
    <cellStyle name="Calculation 25 4 3_Table 2A-1_EFT (Annual)" xfId="14658"/>
    <cellStyle name="Calculation 25 4 4" xfId="10438"/>
    <cellStyle name="Calculation 25 4 4 2" xfId="22554"/>
    <cellStyle name="Calculation 25 4 4 2 2" xfId="43740"/>
    <cellStyle name="Calculation 25 4 4 3" xfId="33136"/>
    <cellStyle name="Calculation 25 4 5" xfId="17441"/>
    <cellStyle name="Calculation 25 4 5 2" xfId="38628"/>
    <cellStyle name="Calculation 25 4 6" xfId="27748"/>
    <cellStyle name="Calculation 25 4_Table 2A-1_EFT (Annual)" xfId="6551"/>
    <cellStyle name="Calculation 25 5" xfId="826"/>
    <cellStyle name="Calculation 25 5 2" xfId="4387"/>
    <cellStyle name="Calculation 25 5 2 2" xfId="12661"/>
    <cellStyle name="Calculation 25 5 2 2 2" xfId="24678"/>
    <cellStyle name="Calculation 25 5 2 2 2 2" xfId="45864"/>
    <cellStyle name="Calculation 25 5 2 2 3" xfId="35260"/>
    <cellStyle name="Calculation 25 5 2 3" xfId="19565"/>
    <cellStyle name="Calculation 25 5 2 3 2" xfId="40752"/>
    <cellStyle name="Calculation 25 5 2 4" xfId="30044"/>
    <cellStyle name="Calculation 25 5 2_Table 2A-1_EFT (Annual)" xfId="14657"/>
    <cellStyle name="Calculation 25 5 3" xfId="10010"/>
    <cellStyle name="Calculation 25 5 3 2" xfId="22132"/>
    <cellStyle name="Calculation 25 5 3 2 2" xfId="43318"/>
    <cellStyle name="Calculation 25 5 3 3" xfId="32714"/>
    <cellStyle name="Calculation 25 5 4" xfId="17019"/>
    <cellStyle name="Calculation 25 5 4 2" xfId="38206"/>
    <cellStyle name="Calculation 25 5 5" xfId="27301"/>
    <cellStyle name="Calculation 25 5_Table 2A-1_EFT (Annual)" xfId="6553"/>
    <cellStyle name="Calculation 25 6" xfId="2012"/>
    <cellStyle name="Calculation 25 6 2" xfId="5573"/>
    <cellStyle name="Calculation 25 6 2 2" xfId="13788"/>
    <cellStyle name="Calculation 25 6 2 2 2" xfId="25776"/>
    <cellStyle name="Calculation 25 6 2 2 2 2" xfId="46962"/>
    <cellStyle name="Calculation 25 6 2 2 3" xfId="36358"/>
    <cellStyle name="Calculation 25 6 2 3" xfId="20663"/>
    <cellStyle name="Calculation 25 6 2 3 2" xfId="41850"/>
    <cellStyle name="Calculation 25 6 2 4" xfId="31230"/>
    <cellStyle name="Calculation 25 6 2_Table 2A-1_EFT (Annual)" xfId="14656"/>
    <cellStyle name="Calculation 25 6 3" xfId="11132"/>
    <cellStyle name="Calculation 25 6 3 2" xfId="23230"/>
    <cellStyle name="Calculation 25 6 3 2 2" xfId="44416"/>
    <cellStyle name="Calculation 25 6 3 3" xfId="33812"/>
    <cellStyle name="Calculation 25 6 4" xfId="18117"/>
    <cellStyle name="Calculation 25 6 4 2" xfId="39304"/>
    <cellStyle name="Calculation 25 6 5" xfId="28487"/>
    <cellStyle name="Calculation 25 6_Table 2A-1_EFT (Annual)" xfId="6554"/>
    <cellStyle name="Calculation 25 7" xfId="3820"/>
    <cellStyle name="Calculation 25 7 2" xfId="12183"/>
    <cellStyle name="Calculation 25 7 2 2" xfId="24212"/>
    <cellStyle name="Calculation 25 7 2 2 2" xfId="45398"/>
    <cellStyle name="Calculation 25 7 2 3" xfId="34794"/>
    <cellStyle name="Calculation 25 7 3" xfId="19099"/>
    <cellStyle name="Calculation 25 7 3 2" xfId="40286"/>
    <cellStyle name="Calculation 25 7 4" xfId="29529"/>
    <cellStyle name="Calculation 25 7_Table 2A-1_EFT (Annual)" xfId="14655"/>
    <cellStyle name="Calculation 25 8" xfId="9502"/>
    <cellStyle name="Calculation 25 8 2" xfId="21666"/>
    <cellStyle name="Calculation 25 8 2 2" xfId="42852"/>
    <cellStyle name="Calculation 25 8 3" xfId="32248"/>
    <cellStyle name="Calculation 25 9" xfId="16553"/>
    <cellStyle name="Calculation 25 9 2" xfId="37740"/>
    <cellStyle name="Calculation 25_Table 2A-1_EFT (Annual)" xfId="2939"/>
    <cellStyle name="Calculation 26" xfId="226"/>
    <cellStyle name="Calculation 26 10" xfId="26781"/>
    <cellStyle name="Calculation 26 2" xfId="617"/>
    <cellStyle name="Calculation 26 2 2" xfId="1594"/>
    <cellStyle name="Calculation 26 2 2 2" xfId="2864"/>
    <cellStyle name="Calculation 26 2 2 2 2" xfId="6425"/>
    <cellStyle name="Calculation 26 2 2 2 2 2" xfId="14619"/>
    <cellStyle name="Calculation 26 2 2 2 2 2 2" xfId="26591"/>
    <cellStyle name="Calculation 26 2 2 2 2 2 2 2" xfId="47777"/>
    <cellStyle name="Calculation 26 2 2 2 2 2 3" xfId="37173"/>
    <cellStyle name="Calculation 26 2 2 2 2 3" xfId="21478"/>
    <cellStyle name="Calculation 26 2 2 2 2 3 2" xfId="42665"/>
    <cellStyle name="Calculation 26 2 2 2 2 4" xfId="32081"/>
    <cellStyle name="Calculation 26 2 2 2 2_Table 2A-1_EFT (Annual)" xfId="14654"/>
    <cellStyle name="Calculation 26 2 2 2 3" xfId="11961"/>
    <cellStyle name="Calculation 26 2 2 2 3 2" xfId="24045"/>
    <cellStyle name="Calculation 26 2 2 2 3 2 2" xfId="45231"/>
    <cellStyle name="Calculation 26 2 2 2 3 3" xfId="34627"/>
    <cellStyle name="Calculation 26 2 2 2 4" xfId="18932"/>
    <cellStyle name="Calculation 26 2 2 2 4 2" xfId="40119"/>
    <cellStyle name="Calculation 26 2 2 2 5" xfId="29338"/>
    <cellStyle name="Calculation 26 2 2 2_Table 2A-1_EFT (Annual)" xfId="6556"/>
    <cellStyle name="Calculation 26 2 2 3" xfId="5155"/>
    <cellStyle name="Calculation 26 2 2 3 2" xfId="13415"/>
    <cellStyle name="Calculation 26 2 2 3 2 2" xfId="25421"/>
    <cellStyle name="Calculation 26 2 2 3 2 2 2" xfId="46607"/>
    <cellStyle name="Calculation 26 2 2 3 2 3" xfId="36003"/>
    <cellStyle name="Calculation 26 2 2 3 3" xfId="20308"/>
    <cellStyle name="Calculation 26 2 2 3 3 2" xfId="41495"/>
    <cellStyle name="Calculation 26 2 2 3 4" xfId="30812"/>
    <cellStyle name="Calculation 26 2 2 3_Table 2A-1_EFT (Annual)" xfId="14653"/>
    <cellStyle name="Calculation 26 2 2 4" xfId="10759"/>
    <cellStyle name="Calculation 26 2 2 4 2" xfId="22875"/>
    <cellStyle name="Calculation 26 2 2 4 2 2" xfId="44061"/>
    <cellStyle name="Calculation 26 2 2 4 3" xfId="33457"/>
    <cellStyle name="Calculation 26 2 2 5" xfId="17762"/>
    <cellStyle name="Calculation 26 2 2 5 2" xfId="38949"/>
    <cellStyle name="Calculation 26 2 2 6" xfId="28069"/>
    <cellStyle name="Calculation 26 2 2_Table 2A-1_EFT (Annual)" xfId="6555"/>
    <cellStyle name="Calculation 26 2 3" xfId="1110"/>
    <cellStyle name="Calculation 26 2 3 2" xfId="4671"/>
    <cellStyle name="Calculation 26 2 3 2 2" xfId="12931"/>
    <cellStyle name="Calculation 26 2 3 2 2 2" xfId="24937"/>
    <cellStyle name="Calculation 26 2 3 2 2 2 2" xfId="46123"/>
    <cellStyle name="Calculation 26 2 3 2 2 3" xfId="35519"/>
    <cellStyle name="Calculation 26 2 3 2 3" xfId="19824"/>
    <cellStyle name="Calculation 26 2 3 2 3 2" xfId="41011"/>
    <cellStyle name="Calculation 26 2 3 2 4" xfId="30328"/>
    <cellStyle name="Calculation 26 2 3 2_Table 2A-1_EFT (Annual)" xfId="14652"/>
    <cellStyle name="Calculation 26 2 3 3" xfId="10275"/>
    <cellStyle name="Calculation 26 2 3 3 2" xfId="22391"/>
    <cellStyle name="Calculation 26 2 3 3 2 2" xfId="43577"/>
    <cellStyle name="Calculation 26 2 3 3 3" xfId="32973"/>
    <cellStyle name="Calculation 26 2 3 4" xfId="17278"/>
    <cellStyle name="Calculation 26 2 3 4 2" xfId="38465"/>
    <cellStyle name="Calculation 26 2 3 5" xfId="27585"/>
    <cellStyle name="Calculation 26 2 3_Table 2A-1_EFT (Annual)" xfId="6557"/>
    <cellStyle name="Calculation 26 2 4" xfId="2333"/>
    <cellStyle name="Calculation 26 2 4 2" xfId="5894"/>
    <cellStyle name="Calculation 26 2 4 2 2" xfId="14109"/>
    <cellStyle name="Calculation 26 2 4 2 2 2" xfId="26097"/>
    <cellStyle name="Calculation 26 2 4 2 2 2 2" xfId="47283"/>
    <cellStyle name="Calculation 26 2 4 2 2 3" xfId="36679"/>
    <cellStyle name="Calculation 26 2 4 2 3" xfId="20984"/>
    <cellStyle name="Calculation 26 2 4 2 3 2" xfId="42171"/>
    <cellStyle name="Calculation 26 2 4 2 4" xfId="31551"/>
    <cellStyle name="Calculation 26 2 4 2_Table 2A-1_EFT (Annual)" xfId="14651"/>
    <cellStyle name="Calculation 26 2 4 3" xfId="11453"/>
    <cellStyle name="Calculation 26 2 4 3 2" xfId="23551"/>
    <cellStyle name="Calculation 26 2 4 3 2 2" xfId="44737"/>
    <cellStyle name="Calculation 26 2 4 3 3" xfId="34133"/>
    <cellStyle name="Calculation 26 2 4 4" xfId="18438"/>
    <cellStyle name="Calculation 26 2 4 4 2" xfId="39625"/>
    <cellStyle name="Calculation 26 2 4 5" xfId="28808"/>
    <cellStyle name="Calculation 26 2 4_Table 2A-1_EFT (Annual)" xfId="6558"/>
    <cellStyle name="Calculation 26 2 5" xfId="4187"/>
    <cellStyle name="Calculation 26 2 5 2" xfId="12511"/>
    <cellStyle name="Calculation 26 2 5 2 2" xfId="24533"/>
    <cellStyle name="Calculation 26 2 5 2 2 2" xfId="45719"/>
    <cellStyle name="Calculation 26 2 5 2 3" xfId="35115"/>
    <cellStyle name="Calculation 26 2 5 3" xfId="19420"/>
    <cellStyle name="Calculation 26 2 5 3 2" xfId="40607"/>
    <cellStyle name="Calculation 26 2 5 4" xfId="29875"/>
    <cellStyle name="Calculation 26 2 5_Table 2A-1_EFT (Annual)" xfId="14650"/>
    <cellStyle name="Calculation 26 2 6" xfId="9850"/>
    <cellStyle name="Calculation 26 2 6 2" xfId="21987"/>
    <cellStyle name="Calculation 26 2 6 2 2" xfId="43173"/>
    <cellStyle name="Calculation 26 2 6 3" xfId="32569"/>
    <cellStyle name="Calculation 26 2 7" xfId="16874"/>
    <cellStyle name="Calculation 26 2 7 2" xfId="38061"/>
    <cellStyle name="Calculation 26 2 8" xfId="27132"/>
    <cellStyle name="Calculation 26 2_Table 2A-1_EFT (Annual)" xfId="2943"/>
    <cellStyle name="Calculation 26 3" xfId="453"/>
    <cellStyle name="Calculation 26 3 2" xfId="1434"/>
    <cellStyle name="Calculation 26 3 2 2" xfId="2704"/>
    <cellStyle name="Calculation 26 3 2 2 2" xfId="6265"/>
    <cellStyle name="Calculation 26 3 2 2 2 2" xfId="14459"/>
    <cellStyle name="Calculation 26 3 2 2 2 2 2" xfId="26431"/>
    <cellStyle name="Calculation 26 3 2 2 2 2 2 2" xfId="47617"/>
    <cellStyle name="Calculation 26 3 2 2 2 2 3" xfId="37013"/>
    <cellStyle name="Calculation 26 3 2 2 2 3" xfId="21318"/>
    <cellStyle name="Calculation 26 3 2 2 2 3 2" xfId="42505"/>
    <cellStyle name="Calculation 26 3 2 2 2 4" xfId="31921"/>
    <cellStyle name="Calculation 26 3 2 2 2_Table 2A-1_EFT (Annual)" xfId="14649"/>
    <cellStyle name="Calculation 26 3 2 2 3" xfId="11801"/>
    <cellStyle name="Calculation 26 3 2 2 3 2" xfId="23885"/>
    <cellStyle name="Calculation 26 3 2 2 3 2 2" xfId="45071"/>
    <cellStyle name="Calculation 26 3 2 2 3 3" xfId="34467"/>
    <cellStyle name="Calculation 26 3 2 2 4" xfId="18772"/>
    <cellStyle name="Calculation 26 3 2 2 4 2" xfId="39959"/>
    <cellStyle name="Calculation 26 3 2 2 5" xfId="29178"/>
    <cellStyle name="Calculation 26 3 2 2_Table 2A-1_EFT (Annual)" xfId="6560"/>
    <cellStyle name="Calculation 26 3 2 3" xfId="4995"/>
    <cellStyle name="Calculation 26 3 2 3 2" xfId="13255"/>
    <cellStyle name="Calculation 26 3 2 3 2 2" xfId="25261"/>
    <cellStyle name="Calculation 26 3 2 3 2 2 2" xfId="46447"/>
    <cellStyle name="Calculation 26 3 2 3 2 3" xfId="35843"/>
    <cellStyle name="Calculation 26 3 2 3 3" xfId="20148"/>
    <cellStyle name="Calculation 26 3 2 3 3 2" xfId="41335"/>
    <cellStyle name="Calculation 26 3 2 3 4" xfId="30652"/>
    <cellStyle name="Calculation 26 3 2 3_Table 2A-1_EFT (Annual)" xfId="14648"/>
    <cellStyle name="Calculation 26 3 2 4" xfId="10599"/>
    <cellStyle name="Calculation 26 3 2 4 2" xfId="22715"/>
    <cellStyle name="Calculation 26 3 2 4 2 2" xfId="43901"/>
    <cellStyle name="Calculation 26 3 2 4 3" xfId="33297"/>
    <cellStyle name="Calculation 26 3 2 5" xfId="17602"/>
    <cellStyle name="Calculation 26 3 2 5 2" xfId="38789"/>
    <cellStyle name="Calculation 26 3 2 6" xfId="27909"/>
    <cellStyle name="Calculation 26 3 2_Table 2A-1_EFT (Annual)" xfId="6559"/>
    <cellStyle name="Calculation 26 3 3" xfId="977"/>
    <cellStyle name="Calculation 26 3 3 2" xfId="4538"/>
    <cellStyle name="Calculation 26 3 3 2 2" xfId="12800"/>
    <cellStyle name="Calculation 26 3 3 2 2 2" xfId="24808"/>
    <cellStyle name="Calculation 26 3 3 2 2 2 2" xfId="45994"/>
    <cellStyle name="Calculation 26 3 3 2 2 3" xfId="35390"/>
    <cellStyle name="Calculation 26 3 3 2 3" xfId="19695"/>
    <cellStyle name="Calculation 26 3 3 2 3 2" xfId="40882"/>
    <cellStyle name="Calculation 26 3 3 2 4" xfId="30195"/>
    <cellStyle name="Calculation 26 3 3 2_Table 2A-1_EFT (Annual)" xfId="14647"/>
    <cellStyle name="Calculation 26 3 3 3" xfId="10145"/>
    <cellStyle name="Calculation 26 3 3 3 2" xfId="22262"/>
    <cellStyle name="Calculation 26 3 3 3 2 2" xfId="43448"/>
    <cellStyle name="Calculation 26 3 3 3 3" xfId="32844"/>
    <cellStyle name="Calculation 26 3 3 4" xfId="17149"/>
    <cellStyle name="Calculation 26 3 3 4 2" xfId="38336"/>
    <cellStyle name="Calculation 26 3 3 5" xfId="27452"/>
    <cellStyle name="Calculation 26 3 3_Table 2A-1_EFT (Annual)" xfId="6561"/>
    <cellStyle name="Calculation 26 3 4" xfId="2173"/>
    <cellStyle name="Calculation 26 3 4 2" xfId="5734"/>
    <cellStyle name="Calculation 26 3 4 2 2" xfId="13949"/>
    <cellStyle name="Calculation 26 3 4 2 2 2" xfId="25937"/>
    <cellStyle name="Calculation 26 3 4 2 2 2 2" xfId="47123"/>
    <cellStyle name="Calculation 26 3 4 2 2 3" xfId="36519"/>
    <cellStyle name="Calculation 26 3 4 2 3" xfId="20824"/>
    <cellStyle name="Calculation 26 3 4 2 3 2" xfId="42011"/>
    <cellStyle name="Calculation 26 3 4 2 4" xfId="31391"/>
    <cellStyle name="Calculation 26 3 4 2_Table 2A-1_EFT (Annual)" xfId="14646"/>
    <cellStyle name="Calculation 26 3 4 3" xfId="11293"/>
    <cellStyle name="Calculation 26 3 4 3 2" xfId="23391"/>
    <cellStyle name="Calculation 26 3 4 3 2 2" xfId="44577"/>
    <cellStyle name="Calculation 26 3 4 3 3" xfId="33973"/>
    <cellStyle name="Calculation 26 3 4 4" xfId="18278"/>
    <cellStyle name="Calculation 26 3 4 4 2" xfId="39465"/>
    <cellStyle name="Calculation 26 3 4 5" xfId="28648"/>
    <cellStyle name="Calculation 26 3 4_Table 2A-1_EFT (Annual)" xfId="6562"/>
    <cellStyle name="Calculation 26 3 5" xfId="4023"/>
    <cellStyle name="Calculation 26 3 5 2" xfId="12349"/>
    <cellStyle name="Calculation 26 3 5 2 2" xfId="24373"/>
    <cellStyle name="Calculation 26 3 5 2 2 2" xfId="45559"/>
    <cellStyle name="Calculation 26 3 5 2 3" xfId="34955"/>
    <cellStyle name="Calculation 26 3 5 3" xfId="19260"/>
    <cellStyle name="Calculation 26 3 5 3 2" xfId="40447"/>
    <cellStyle name="Calculation 26 3 5 4" xfId="29711"/>
    <cellStyle name="Calculation 26 3 5_Table 2A-1_EFT (Annual)" xfId="9350"/>
    <cellStyle name="Calculation 26 3 6" xfId="9688"/>
    <cellStyle name="Calculation 26 3 6 2" xfId="21827"/>
    <cellStyle name="Calculation 26 3 6 2 2" xfId="43013"/>
    <cellStyle name="Calculation 26 3 6 3" xfId="32409"/>
    <cellStyle name="Calculation 26 3 7" xfId="16714"/>
    <cellStyle name="Calculation 26 3 7 2" xfId="37901"/>
    <cellStyle name="Calculation 26 3 8" xfId="26968"/>
    <cellStyle name="Calculation 26 3_Table 2A-1_EFT (Annual)" xfId="2944"/>
    <cellStyle name="Calculation 26 4" xfId="1272"/>
    <cellStyle name="Calculation 26 4 2" xfId="2542"/>
    <cellStyle name="Calculation 26 4 2 2" xfId="6103"/>
    <cellStyle name="Calculation 26 4 2 2 2" xfId="14297"/>
    <cellStyle name="Calculation 26 4 2 2 2 2" xfId="26269"/>
    <cellStyle name="Calculation 26 4 2 2 2 2 2" xfId="47455"/>
    <cellStyle name="Calculation 26 4 2 2 2 3" xfId="36851"/>
    <cellStyle name="Calculation 26 4 2 2 3" xfId="21156"/>
    <cellStyle name="Calculation 26 4 2 2 3 2" xfId="42343"/>
    <cellStyle name="Calculation 26 4 2 2 4" xfId="31759"/>
    <cellStyle name="Calculation 26 4 2 2_Table 2A-1_EFT (Annual)" xfId="9349"/>
    <cellStyle name="Calculation 26 4 2 3" xfId="11639"/>
    <cellStyle name="Calculation 26 4 2 3 2" xfId="23723"/>
    <cellStyle name="Calculation 26 4 2 3 2 2" xfId="44909"/>
    <cellStyle name="Calculation 26 4 2 3 3" xfId="34305"/>
    <cellStyle name="Calculation 26 4 2 4" xfId="18610"/>
    <cellStyle name="Calculation 26 4 2 4 2" xfId="39797"/>
    <cellStyle name="Calculation 26 4 2 5" xfId="29016"/>
    <cellStyle name="Calculation 26 4 2_Table 2A-1_EFT (Annual)" xfId="6564"/>
    <cellStyle name="Calculation 26 4 3" xfId="4833"/>
    <cellStyle name="Calculation 26 4 3 2" xfId="13093"/>
    <cellStyle name="Calculation 26 4 3 2 2" xfId="25099"/>
    <cellStyle name="Calculation 26 4 3 2 2 2" xfId="46285"/>
    <cellStyle name="Calculation 26 4 3 2 3" xfId="35681"/>
    <cellStyle name="Calculation 26 4 3 3" xfId="19986"/>
    <cellStyle name="Calculation 26 4 3 3 2" xfId="41173"/>
    <cellStyle name="Calculation 26 4 3 4" xfId="30490"/>
    <cellStyle name="Calculation 26 4 3_Table 2A-1_EFT (Annual)" xfId="12038"/>
    <cellStyle name="Calculation 26 4 4" xfId="10437"/>
    <cellStyle name="Calculation 26 4 4 2" xfId="22553"/>
    <cellStyle name="Calculation 26 4 4 2 2" xfId="43739"/>
    <cellStyle name="Calculation 26 4 4 3" xfId="33135"/>
    <cellStyle name="Calculation 26 4 5" xfId="17440"/>
    <cellStyle name="Calculation 26 4 5 2" xfId="38627"/>
    <cellStyle name="Calculation 26 4 6" xfId="27747"/>
    <cellStyle name="Calculation 26 4_Table 2A-1_EFT (Annual)" xfId="6563"/>
    <cellStyle name="Calculation 26 5" xfId="821"/>
    <cellStyle name="Calculation 26 5 2" xfId="4382"/>
    <cellStyle name="Calculation 26 5 2 2" xfId="12660"/>
    <cellStyle name="Calculation 26 5 2 2 2" xfId="24677"/>
    <cellStyle name="Calculation 26 5 2 2 2 2" xfId="45863"/>
    <cellStyle name="Calculation 26 5 2 2 3" xfId="35259"/>
    <cellStyle name="Calculation 26 5 2 3" xfId="19564"/>
    <cellStyle name="Calculation 26 5 2 3 2" xfId="40751"/>
    <cellStyle name="Calculation 26 5 2 4" xfId="30039"/>
    <cellStyle name="Calculation 26 5 2_Table 2A-1_EFT (Annual)" xfId="10787"/>
    <cellStyle name="Calculation 26 5 3" xfId="10008"/>
    <cellStyle name="Calculation 26 5 3 2" xfId="22131"/>
    <cellStyle name="Calculation 26 5 3 2 2" xfId="43317"/>
    <cellStyle name="Calculation 26 5 3 3" xfId="32713"/>
    <cellStyle name="Calculation 26 5 4" xfId="17018"/>
    <cellStyle name="Calculation 26 5 4 2" xfId="38205"/>
    <cellStyle name="Calculation 26 5 5" xfId="27296"/>
    <cellStyle name="Calculation 26 5_Table 2A-1_EFT (Annual)" xfId="6565"/>
    <cellStyle name="Calculation 26 6" xfId="2011"/>
    <cellStyle name="Calculation 26 6 2" xfId="5572"/>
    <cellStyle name="Calculation 26 6 2 2" xfId="13787"/>
    <cellStyle name="Calculation 26 6 2 2 2" xfId="25775"/>
    <cellStyle name="Calculation 26 6 2 2 2 2" xfId="46961"/>
    <cellStyle name="Calculation 26 6 2 2 3" xfId="36357"/>
    <cellStyle name="Calculation 26 6 2 3" xfId="20662"/>
    <cellStyle name="Calculation 26 6 2 3 2" xfId="41849"/>
    <cellStyle name="Calculation 26 6 2 4" xfId="31229"/>
    <cellStyle name="Calculation 26 6 2_Table 2A-1_EFT (Annual)" xfId="12037"/>
    <cellStyle name="Calculation 26 6 3" xfId="11131"/>
    <cellStyle name="Calculation 26 6 3 2" xfId="23229"/>
    <cellStyle name="Calculation 26 6 3 2 2" xfId="44415"/>
    <cellStyle name="Calculation 26 6 3 3" xfId="33811"/>
    <cellStyle name="Calculation 26 6 4" xfId="18116"/>
    <cellStyle name="Calculation 26 6 4 2" xfId="39303"/>
    <cellStyle name="Calculation 26 6 5" xfId="28486"/>
    <cellStyle name="Calculation 26 6_Table 2A-1_EFT (Annual)" xfId="6566"/>
    <cellStyle name="Calculation 26 7" xfId="3815"/>
    <cellStyle name="Calculation 26 7 2" xfId="12181"/>
    <cellStyle name="Calculation 26 7 2 2" xfId="24211"/>
    <cellStyle name="Calculation 26 7 2 2 2" xfId="45397"/>
    <cellStyle name="Calculation 26 7 2 3" xfId="34793"/>
    <cellStyle name="Calculation 26 7 3" xfId="19098"/>
    <cellStyle name="Calculation 26 7 3 2" xfId="40285"/>
    <cellStyle name="Calculation 26 7 4" xfId="29524"/>
    <cellStyle name="Calculation 26 7_Table 2A-1_EFT (Annual)" xfId="10894"/>
    <cellStyle name="Calculation 26 8" xfId="9500"/>
    <cellStyle name="Calculation 26 8 2" xfId="21665"/>
    <cellStyle name="Calculation 26 8 2 2" xfId="42851"/>
    <cellStyle name="Calculation 26 8 3" xfId="32247"/>
    <cellStyle name="Calculation 26 9" xfId="16552"/>
    <cellStyle name="Calculation 26 9 2" xfId="37739"/>
    <cellStyle name="Calculation 26_Table 2A-1_EFT (Annual)" xfId="2942"/>
    <cellStyle name="Calculation 27" xfId="222"/>
    <cellStyle name="Calculation 27 10" xfId="26777"/>
    <cellStyle name="Calculation 27 2" xfId="615"/>
    <cellStyle name="Calculation 27 2 2" xfId="1592"/>
    <cellStyle name="Calculation 27 2 2 2" xfId="2862"/>
    <cellStyle name="Calculation 27 2 2 2 2" xfId="6423"/>
    <cellStyle name="Calculation 27 2 2 2 2 2" xfId="14617"/>
    <cellStyle name="Calculation 27 2 2 2 2 2 2" xfId="26589"/>
    <cellStyle name="Calculation 27 2 2 2 2 2 2 2" xfId="47775"/>
    <cellStyle name="Calculation 27 2 2 2 2 2 3" xfId="37171"/>
    <cellStyle name="Calculation 27 2 2 2 2 3" xfId="21476"/>
    <cellStyle name="Calculation 27 2 2 2 2 3 2" xfId="42663"/>
    <cellStyle name="Calculation 27 2 2 2 2 4" xfId="32079"/>
    <cellStyle name="Calculation 27 2 2 2 2_Table 2A-1_EFT (Annual)" xfId="10829"/>
    <cellStyle name="Calculation 27 2 2 2 3" xfId="11959"/>
    <cellStyle name="Calculation 27 2 2 2 3 2" xfId="24043"/>
    <cellStyle name="Calculation 27 2 2 2 3 2 2" xfId="45229"/>
    <cellStyle name="Calculation 27 2 2 2 3 3" xfId="34625"/>
    <cellStyle name="Calculation 27 2 2 2 4" xfId="18930"/>
    <cellStyle name="Calculation 27 2 2 2 4 2" xfId="40117"/>
    <cellStyle name="Calculation 27 2 2 2 5" xfId="29336"/>
    <cellStyle name="Calculation 27 2 2 2_Table 2A-1_EFT (Annual)" xfId="6568"/>
    <cellStyle name="Calculation 27 2 2 3" xfId="5153"/>
    <cellStyle name="Calculation 27 2 2 3 2" xfId="13413"/>
    <cellStyle name="Calculation 27 2 2 3 2 2" xfId="25419"/>
    <cellStyle name="Calculation 27 2 2 3 2 2 2" xfId="46605"/>
    <cellStyle name="Calculation 27 2 2 3 2 3" xfId="36001"/>
    <cellStyle name="Calculation 27 2 2 3 3" xfId="20306"/>
    <cellStyle name="Calculation 27 2 2 3 3 2" xfId="41493"/>
    <cellStyle name="Calculation 27 2 2 3 4" xfId="30810"/>
    <cellStyle name="Calculation 27 2 2 3_Table 2A-1_EFT (Annual)" xfId="12682"/>
    <cellStyle name="Calculation 27 2 2 4" xfId="10757"/>
    <cellStyle name="Calculation 27 2 2 4 2" xfId="22873"/>
    <cellStyle name="Calculation 27 2 2 4 2 2" xfId="44059"/>
    <cellStyle name="Calculation 27 2 2 4 3" xfId="33455"/>
    <cellStyle name="Calculation 27 2 2 5" xfId="17760"/>
    <cellStyle name="Calculation 27 2 2 5 2" xfId="38947"/>
    <cellStyle name="Calculation 27 2 2 6" xfId="28067"/>
    <cellStyle name="Calculation 27 2 2_Table 2A-1_EFT (Annual)" xfId="6567"/>
    <cellStyle name="Calculation 27 2 3" xfId="1108"/>
    <cellStyle name="Calculation 27 2 3 2" xfId="4669"/>
    <cellStyle name="Calculation 27 2 3 2 2" xfId="12929"/>
    <cellStyle name="Calculation 27 2 3 2 2 2" xfId="24935"/>
    <cellStyle name="Calculation 27 2 3 2 2 2 2" xfId="46121"/>
    <cellStyle name="Calculation 27 2 3 2 2 3" xfId="35517"/>
    <cellStyle name="Calculation 27 2 3 2 3" xfId="19822"/>
    <cellStyle name="Calculation 27 2 3 2 3 2" xfId="41009"/>
    <cellStyle name="Calculation 27 2 3 2 4" xfId="30326"/>
    <cellStyle name="Calculation 27 2 3 2_Table 2A-1_EFT (Annual)" xfId="11491"/>
    <cellStyle name="Calculation 27 2 3 3" xfId="10273"/>
    <cellStyle name="Calculation 27 2 3 3 2" xfId="22389"/>
    <cellStyle name="Calculation 27 2 3 3 2 2" xfId="43575"/>
    <cellStyle name="Calculation 27 2 3 3 3" xfId="32971"/>
    <cellStyle name="Calculation 27 2 3 4" xfId="17276"/>
    <cellStyle name="Calculation 27 2 3 4 2" xfId="38463"/>
    <cellStyle name="Calculation 27 2 3 5" xfId="27583"/>
    <cellStyle name="Calculation 27 2 3_Table 2A-1_EFT (Annual)" xfId="6569"/>
    <cellStyle name="Calculation 27 2 4" xfId="2331"/>
    <cellStyle name="Calculation 27 2 4 2" xfId="5892"/>
    <cellStyle name="Calculation 27 2 4 2 2" xfId="14107"/>
    <cellStyle name="Calculation 27 2 4 2 2 2" xfId="26095"/>
    <cellStyle name="Calculation 27 2 4 2 2 2 2" xfId="47281"/>
    <cellStyle name="Calculation 27 2 4 2 2 3" xfId="36677"/>
    <cellStyle name="Calculation 27 2 4 2 3" xfId="20982"/>
    <cellStyle name="Calculation 27 2 4 2 3 2" xfId="42169"/>
    <cellStyle name="Calculation 27 2 4 2 4" xfId="31549"/>
    <cellStyle name="Calculation 27 2 4 2_Table 2A-1_EFT (Annual)" xfId="12034"/>
    <cellStyle name="Calculation 27 2 4 3" xfId="11451"/>
    <cellStyle name="Calculation 27 2 4 3 2" xfId="23549"/>
    <cellStyle name="Calculation 27 2 4 3 2 2" xfId="44735"/>
    <cellStyle name="Calculation 27 2 4 3 3" xfId="34131"/>
    <cellStyle name="Calculation 27 2 4 4" xfId="18436"/>
    <cellStyle name="Calculation 27 2 4 4 2" xfId="39623"/>
    <cellStyle name="Calculation 27 2 4 5" xfId="28806"/>
    <cellStyle name="Calculation 27 2 4_Table 2A-1_EFT (Annual)" xfId="6570"/>
    <cellStyle name="Calculation 27 2 5" xfId="4185"/>
    <cellStyle name="Calculation 27 2 5 2" xfId="12509"/>
    <cellStyle name="Calculation 27 2 5 2 2" xfId="24531"/>
    <cellStyle name="Calculation 27 2 5 2 2 2" xfId="45717"/>
    <cellStyle name="Calculation 27 2 5 2 3" xfId="35113"/>
    <cellStyle name="Calculation 27 2 5 3" xfId="19418"/>
    <cellStyle name="Calculation 27 2 5 3 2" xfId="40605"/>
    <cellStyle name="Calculation 27 2 5 4" xfId="29873"/>
    <cellStyle name="Calculation 27 2 5_Table 2A-1_EFT (Annual)" xfId="12036"/>
    <cellStyle name="Calculation 27 2 6" xfId="9848"/>
    <cellStyle name="Calculation 27 2 6 2" xfId="21985"/>
    <cellStyle name="Calculation 27 2 6 2 2" xfId="43171"/>
    <cellStyle name="Calculation 27 2 6 3" xfId="32567"/>
    <cellStyle name="Calculation 27 2 7" xfId="16872"/>
    <cellStyle name="Calculation 27 2 7 2" xfId="38059"/>
    <cellStyle name="Calculation 27 2 8" xfId="27130"/>
    <cellStyle name="Calculation 27 2_Table 2A-1_EFT (Annual)" xfId="2946"/>
    <cellStyle name="Calculation 27 3" xfId="449"/>
    <cellStyle name="Calculation 27 3 2" xfId="1432"/>
    <cellStyle name="Calculation 27 3 2 2" xfId="2702"/>
    <cellStyle name="Calculation 27 3 2 2 2" xfId="6263"/>
    <cellStyle name="Calculation 27 3 2 2 2 2" xfId="14457"/>
    <cellStyle name="Calculation 27 3 2 2 2 2 2" xfId="26429"/>
    <cellStyle name="Calculation 27 3 2 2 2 2 2 2" xfId="47615"/>
    <cellStyle name="Calculation 27 3 2 2 2 2 3" xfId="37011"/>
    <cellStyle name="Calculation 27 3 2 2 2 3" xfId="21316"/>
    <cellStyle name="Calculation 27 3 2 2 2 3 2" xfId="42503"/>
    <cellStyle name="Calculation 27 3 2 2 2 4" xfId="31919"/>
    <cellStyle name="Calculation 27 3 2 2 2_Table 2A-1_EFT (Annual)" xfId="12035"/>
    <cellStyle name="Calculation 27 3 2 2 3" xfId="11799"/>
    <cellStyle name="Calculation 27 3 2 2 3 2" xfId="23883"/>
    <cellStyle name="Calculation 27 3 2 2 3 2 2" xfId="45069"/>
    <cellStyle name="Calculation 27 3 2 2 3 3" xfId="34465"/>
    <cellStyle name="Calculation 27 3 2 2 4" xfId="18770"/>
    <cellStyle name="Calculation 27 3 2 2 4 2" xfId="39957"/>
    <cellStyle name="Calculation 27 3 2 2 5" xfId="29176"/>
    <cellStyle name="Calculation 27 3 2 2_Table 2A-1_EFT (Annual)" xfId="6572"/>
    <cellStyle name="Calculation 27 3 2 3" xfId="4993"/>
    <cellStyle name="Calculation 27 3 2 3 2" xfId="13253"/>
    <cellStyle name="Calculation 27 3 2 3 2 2" xfId="25259"/>
    <cellStyle name="Calculation 27 3 2 3 2 2 2" xfId="46445"/>
    <cellStyle name="Calculation 27 3 2 3 2 3" xfId="35841"/>
    <cellStyle name="Calculation 27 3 2 3 3" xfId="20146"/>
    <cellStyle name="Calculation 27 3 2 3 3 2" xfId="41333"/>
    <cellStyle name="Calculation 27 3 2 3 4" xfId="30650"/>
    <cellStyle name="Calculation 27 3 2 3_Table 2A-1_EFT (Annual)" xfId="11486"/>
    <cellStyle name="Calculation 27 3 2 4" xfId="10597"/>
    <cellStyle name="Calculation 27 3 2 4 2" xfId="22713"/>
    <cellStyle name="Calculation 27 3 2 4 2 2" xfId="43899"/>
    <cellStyle name="Calculation 27 3 2 4 3" xfId="33295"/>
    <cellStyle name="Calculation 27 3 2 5" xfId="17600"/>
    <cellStyle name="Calculation 27 3 2 5 2" xfId="38787"/>
    <cellStyle name="Calculation 27 3 2 6" xfId="27907"/>
    <cellStyle name="Calculation 27 3 2_Table 2A-1_EFT (Annual)" xfId="6571"/>
    <cellStyle name="Calculation 27 3 3" xfId="973"/>
    <cellStyle name="Calculation 27 3 3 2" xfId="4534"/>
    <cellStyle name="Calculation 27 3 3 2 2" xfId="12796"/>
    <cellStyle name="Calculation 27 3 3 2 2 2" xfId="24806"/>
    <cellStyle name="Calculation 27 3 3 2 2 2 2" xfId="45992"/>
    <cellStyle name="Calculation 27 3 3 2 2 3" xfId="35388"/>
    <cellStyle name="Calculation 27 3 3 2 3" xfId="19693"/>
    <cellStyle name="Calculation 27 3 3 2 3 2" xfId="40880"/>
    <cellStyle name="Calculation 27 3 3 2 4" xfId="30191"/>
    <cellStyle name="Calculation 27 3 3 2_Table 2A-1_EFT (Annual)" xfId="12236"/>
    <cellStyle name="Calculation 27 3 3 3" xfId="10143"/>
    <cellStyle name="Calculation 27 3 3 3 2" xfId="22260"/>
    <cellStyle name="Calculation 27 3 3 3 2 2" xfId="43446"/>
    <cellStyle name="Calculation 27 3 3 3 3" xfId="32842"/>
    <cellStyle name="Calculation 27 3 3 4" xfId="17147"/>
    <cellStyle name="Calculation 27 3 3 4 2" xfId="38334"/>
    <cellStyle name="Calculation 27 3 3 5" xfId="27448"/>
    <cellStyle name="Calculation 27 3 3_Table 2A-1_EFT (Annual)" xfId="6573"/>
    <cellStyle name="Calculation 27 3 4" xfId="2171"/>
    <cellStyle name="Calculation 27 3 4 2" xfId="5732"/>
    <cellStyle name="Calculation 27 3 4 2 2" xfId="13947"/>
    <cellStyle name="Calculation 27 3 4 2 2 2" xfId="25935"/>
    <cellStyle name="Calculation 27 3 4 2 2 2 2" xfId="47121"/>
    <cellStyle name="Calculation 27 3 4 2 2 3" xfId="36517"/>
    <cellStyle name="Calculation 27 3 4 2 3" xfId="20822"/>
    <cellStyle name="Calculation 27 3 4 2 3 2" xfId="42009"/>
    <cellStyle name="Calculation 27 3 4 2 4" xfId="31389"/>
    <cellStyle name="Calculation 27 3 4 2_Table 2A-1_EFT (Annual)" xfId="10837"/>
    <cellStyle name="Calculation 27 3 4 3" xfId="11291"/>
    <cellStyle name="Calculation 27 3 4 3 2" xfId="23389"/>
    <cellStyle name="Calculation 27 3 4 3 2 2" xfId="44575"/>
    <cellStyle name="Calculation 27 3 4 3 3" xfId="33971"/>
    <cellStyle name="Calculation 27 3 4 4" xfId="18276"/>
    <cellStyle name="Calculation 27 3 4 4 2" xfId="39463"/>
    <cellStyle name="Calculation 27 3 4 5" xfId="28646"/>
    <cellStyle name="Calculation 27 3 4_Table 2A-1_EFT (Annual)" xfId="6574"/>
    <cellStyle name="Calculation 27 3 5" xfId="4019"/>
    <cellStyle name="Calculation 27 3 5 2" xfId="12347"/>
    <cellStyle name="Calculation 27 3 5 2 2" xfId="24371"/>
    <cellStyle name="Calculation 27 3 5 2 2 2" xfId="45557"/>
    <cellStyle name="Calculation 27 3 5 2 3" xfId="34953"/>
    <cellStyle name="Calculation 27 3 5 3" xfId="19258"/>
    <cellStyle name="Calculation 27 3 5 3 2" xfId="40445"/>
    <cellStyle name="Calculation 27 3 5 4" xfId="29707"/>
    <cellStyle name="Calculation 27 3 5_Table 2A-1_EFT (Annual)" xfId="12704"/>
    <cellStyle name="Calculation 27 3 6" xfId="9684"/>
    <cellStyle name="Calculation 27 3 6 2" xfId="21825"/>
    <cellStyle name="Calculation 27 3 6 2 2" xfId="43011"/>
    <cellStyle name="Calculation 27 3 6 3" xfId="32407"/>
    <cellStyle name="Calculation 27 3 7" xfId="16712"/>
    <cellStyle name="Calculation 27 3 7 2" xfId="37899"/>
    <cellStyle name="Calculation 27 3 8" xfId="26964"/>
    <cellStyle name="Calculation 27 3_Table 2A-1_EFT (Annual)" xfId="2947"/>
    <cellStyle name="Calculation 27 4" xfId="1270"/>
    <cellStyle name="Calculation 27 4 2" xfId="2540"/>
    <cellStyle name="Calculation 27 4 2 2" xfId="6101"/>
    <cellStyle name="Calculation 27 4 2 2 2" xfId="14295"/>
    <cellStyle name="Calculation 27 4 2 2 2 2" xfId="26267"/>
    <cellStyle name="Calculation 27 4 2 2 2 2 2" xfId="47453"/>
    <cellStyle name="Calculation 27 4 2 2 2 3" xfId="36849"/>
    <cellStyle name="Calculation 27 4 2 2 3" xfId="21154"/>
    <cellStyle name="Calculation 27 4 2 2 3 2" xfId="42341"/>
    <cellStyle name="Calculation 27 4 2 2 4" xfId="31757"/>
    <cellStyle name="Calculation 27 4 2 2_Table 2A-1_EFT (Annual)" xfId="10051"/>
    <cellStyle name="Calculation 27 4 2 3" xfId="11637"/>
    <cellStyle name="Calculation 27 4 2 3 2" xfId="23721"/>
    <cellStyle name="Calculation 27 4 2 3 2 2" xfId="44907"/>
    <cellStyle name="Calculation 27 4 2 3 3" xfId="34303"/>
    <cellStyle name="Calculation 27 4 2 4" xfId="18608"/>
    <cellStyle name="Calculation 27 4 2 4 2" xfId="39795"/>
    <cellStyle name="Calculation 27 4 2 5" xfId="29014"/>
    <cellStyle name="Calculation 27 4 2_Table 2A-1_EFT (Annual)" xfId="6576"/>
    <cellStyle name="Calculation 27 4 3" xfId="4831"/>
    <cellStyle name="Calculation 27 4 3 2" xfId="13091"/>
    <cellStyle name="Calculation 27 4 3 2 2" xfId="25097"/>
    <cellStyle name="Calculation 27 4 3 2 2 2" xfId="46283"/>
    <cellStyle name="Calculation 27 4 3 2 3" xfId="35679"/>
    <cellStyle name="Calculation 27 4 3 3" xfId="19984"/>
    <cellStyle name="Calculation 27 4 3 3 2" xfId="41171"/>
    <cellStyle name="Calculation 27 4 3 4" xfId="30488"/>
    <cellStyle name="Calculation 27 4 3_Table 2A-1_EFT (Annual)" xfId="9382"/>
    <cellStyle name="Calculation 27 4 4" xfId="10435"/>
    <cellStyle name="Calculation 27 4 4 2" xfId="22551"/>
    <cellStyle name="Calculation 27 4 4 2 2" xfId="43737"/>
    <cellStyle name="Calculation 27 4 4 3" xfId="33133"/>
    <cellStyle name="Calculation 27 4 5" xfId="17438"/>
    <cellStyle name="Calculation 27 4 5 2" xfId="38625"/>
    <cellStyle name="Calculation 27 4 6" xfId="27745"/>
    <cellStyle name="Calculation 27 4_Table 2A-1_EFT (Annual)" xfId="6575"/>
    <cellStyle name="Calculation 27 5" xfId="817"/>
    <cellStyle name="Calculation 27 5 2" xfId="4378"/>
    <cellStyle name="Calculation 27 5 2 2" xfId="12658"/>
    <cellStyle name="Calculation 27 5 2 2 2" xfId="24675"/>
    <cellStyle name="Calculation 27 5 2 2 2 2" xfId="45861"/>
    <cellStyle name="Calculation 27 5 2 2 3" xfId="35257"/>
    <cellStyle name="Calculation 27 5 2 3" xfId="19562"/>
    <cellStyle name="Calculation 27 5 2 3 2" xfId="40749"/>
    <cellStyle name="Calculation 27 5 2 4" xfId="30035"/>
    <cellStyle name="Calculation 27 5 2_Table 2A-1_EFT (Annual)" xfId="12026"/>
    <cellStyle name="Calculation 27 5 3" xfId="10006"/>
    <cellStyle name="Calculation 27 5 3 2" xfId="22129"/>
    <cellStyle name="Calculation 27 5 3 2 2" xfId="43315"/>
    <cellStyle name="Calculation 27 5 3 3" xfId="32711"/>
    <cellStyle name="Calculation 27 5 4" xfId="17016"/>
    <cellStyle name="Calculation 27 5 4 2" xfId="38203"/>
    <cellStyle name="Calculation 27 5 5" xfId="27292"/>
    <cellStyle name="Calculation 27 5_Table 2A-1_EFT (Annual)" xfId="6577"/>
    <cellStyle name="Calculation 27 6" xfId="2009"/>
    <cellStyle name="Calculation 27 6 2" xfId="5570"/>
    <cellStyle name="Calculation 27 6 2 2" xfId="13785"/>
    <cellStyle name="Calculation 27 6 2 2 2" xfId="25773"/>
    <cellStyle name="Calculation 27 6 2 2 2 2" xfId="46959"/>
    <cellStyle name="Calculation 27 6 2 2 3" xfId="36355"/>
    <cellStyle name="Calculation 27 6 2 3" xfId="20660"/>
    <cellStyle name="Calculation 27 6 2 3 2" xfId="41847"/>
    <cellStyle name="Calculation 27 6 2 4" xfId="31227"/>
    <cellStyle name="Calculation 27 6 2_Table 2A-1_EFT (Annual)" xfId="13446"/>
    <cellStyle name="Calculation 27 6 3" xfId="11129"/>
    <cellStyle name="Calculation 27 6 3 2" xfId="23227"/>
    <cellStyle name="Calculation 27 6 3 2 2" xfId="44413"/>
    <cellStyle name="Calculation 27 6 3 3" xfId="33809"/>
    <cellStyle name="Calculation 27 6 4" xfId="18114"/>
    <cellStyle name="Calculation 27 6 4 2" xfId="39301"/>
    <cellStyle name="Calculation 27 6 5" xfId="28484"/>
    <cellStyle name="Calculation 27 6_Table 2A-1_EFT (Annual)" xfId="6578"/>
    <cellStyle name="Calculation 27 7" xfId="3811"/>
    <cellStyle name="Calculation 27 7 2" xfId="12179"/>
    <cellStyle name="Calculation 27 7 2 2" xfId="24209"/>
    <cellStyle name="Calculation 27 7 2 2 2" xfId="45395"/>
    <cellStyle name="Calculation 27 7 2 3" xfId="34791"/>
    <cellStyle name="Calculation 27 7 3" xfId="19096"/>
    <cellStyle name="Calculation 27 7 3 2" xfId="40283"/>
    <cellStyle name="Calculation 27 7 4" xfId="29520"/>
    <cellStyle name="Calculation 27 7_Table 2A-1_EFT (Annual)" xfId="12033"/>
    <cellStyle name="Calculation 27 8" xfId="9498"/>
    <cellStyle name="Calculation 27 8 2" xfId="21663"/>
    <cellStyle name="Calculation 27 8 2 2" xfId="42849"/>
    <cellStyle name="Calculation 27 8 3" xfId="32245"/>
    <cellStyle name="Calculation 27 9" xfId="16550"/>
    <cellStyle name="Calculation 27 9 2" xfId="37737"/>
    <cellStyle name="Calculation 27_Table 2A-1_EFT (Annual)" xfId="2945"/>
    <cellStyle name="Calculation 28" xfId="217"/>
    <cellStyle name="Calculation 28 10" xfId="26772"/>
    <cellStyle name="Calculation 28 2" xfId="610"/>
    <cellStyle name="Calculation 28 2 2" xfId="1587"/>
    <cellStyle name="Calculation 28 2 2 2" xfId="2857"/>
    <cellStyle name="Calculation 28 2 2 2 2" xfId="6418"/>
    <cellStyle name="Calculation 28 2 2 2 2 2" xfId="14612"/>
    <cellStyle name="Calculation 28 2 2 2 2 2 2" xfId="26584"/>
    <cellStyle name="Calculation 28 2 2 2 2 2 2 2" xfId="47770"/>
    <cellStyle name="Calculation 28 2 2 2 2 2 3" xfId="37166"/>
    <cellStyle name="Calculation 28 2 2 2 2 3" xfId="21471"/>
    <cellStyle name="Calculation 28 2 2 2 2 3 2" xfId="42658"/>
    <cellStyle name="Calculation 28 2 2 2 2 4" xfId="32074"/>
    <cellStyle name="Calculation 28 2 2 2 2_Table 2A-1_EFT (Annual)" xfId="12030"/>
    <cellStyle name="Calculation 28 2 2 2 3" xfId="11954"/>
    <cellStyle name="Calculation 28 2 2 2 3 2" xfId="24038"/>
    <cellStyle name="Calculation 28 2 2 2 3 2 2" xfId="45224"/>
    <cellStyle name="Calculation 28 2 2 2 3 3" xfId="34620"/>
    <cellStyle name="Calculation 28 2 2 2 4" xfId="18925"/>
    <cellStyle name="Calculation 28 2 2 2 4 2" xfId="40112"/>
    <cellStyle name="Calculation 28 2 2 2 5" xfId="29331"/>
    <cellStyle name="Calculation 28 2 2 2_Table 2A-1_EFT (Annual)" xfId="6580"/>
    <cellStyle name="Calculation 28 2 2 3" xfId="5148"/>
    <cellStyle name="Calculation 28 2 2 3 2" xfId="13408"/>
    <cellStyle name="Calculation 28 2 2 3 2 2" xfId="25414"/>
    <cellStyle name="Calculation 28 2 2 3 2 2 2" xfId="46600"/>
    <cellStyle name="Calculation 28 2 2 3 2 3" xfId="35996"/>
    <cellStyle name="Calculation 28 2 2 3 3" xfId="20301"/>
    <cellStyle name="Calculation 28 2 2 3 3 2" xfId="41488"/>
    <cellStyle name="Calculation 28 2 2 3 4" xfId="30805"/>
    <cellStyle name="Calculation 28 2 2 3_Table 2A-1_EFT (Annual)" xfId="12032"/>
    <cellStyle name="Calculation 28 2 2 4" xfId="10752"/>
    <cellStyle name="Calculation 28 2 2 4 2" xfId="22868"/>
    <cellStyle name="Calculation 28 2 2 4 2 2" xfId="44054"/>
    <cellStyle name="Calculation 28 2 2 4 3" xfId="33450"/>
    <cellStyle name="Calculation 28 2 2 5" xfId="17755"/>
    <cellStyle name="Calculation 28 2 2 5 2" xfId="38942"/>
    <cellStyle name="Calculation 28 2 2 6" xfId="28062"/>
    <cellStyle name="Calculation 28 2 2_Table 2A-1_EFT (Annual)" xfId="6579"/>
    <cellStyle name="Calculation 28 2 3" xfId="1105"/>
    <cellStyle name="Calculation 28 2 3 2" xfId="4666"/>
    <cellStyle name="Calculation 28 2 3 2 2" xfId="12926"/>
    <cellStyle name="Calculation 28 2 3 2 2 2" xfId="24932"/>
    <cellStyle name="Calculation 28 2 3 2 2 2 2" xfId="46118"/>
    <cellStyle name="Calculation 28 2 3 2 2 3" xfId="35514"/>
    <cellStyle name="Calculation 28 2 3 2 3" xfId="19819"/>
    <cellStyle name="Calculation 28 2 3 2 3 2" xfId="41006"/>
    <cellStyle name="Calculation 28 2 3 2 4" xfId="30323"/>
    <cellStyle name="Calculation 28 2 3 2_Table 2A-1_EFT (Annual)" xfId="12031"/>
    <cellStyle name="Calculation 28 2 3 3" xfId="10270"/>
    <cellStyle name="Calculation 28 2 3 3 2" xfId="22386"/>
    <cellStyle name="Calculation 28 2 3 3 2 2" xfId="43572"/>
    <cellStyle name="Calculation 28 2 3 3 3" xfId="32968"/>
    <cellStyle name="Calculation 28 2 3 4" xfId="17273"/>
    <cellStyle name="Calculation 28 2 3 4 2" xfId="38460"/>
    <cellStyle name="Calculation 28 2 3 5" xfId="27580"/>
    <cellStyle name="Calculation 28 2 3_Table 2A-1_EFT (Annual)" xfId="6581"/>
    <cellStyle name="Calculation 28 2 4" xfId="2326"/>
    <cellStyle name="Calculation 28 2 4 2" xfId="5887"/>
    <cellStyle name="Calculation 28 2 4 2 2" xfId="14102"/>
    <cellStyle name="Calculation 28 2 4 2 2 2" xfId="26090"/>
    <cellStyle name="Calculation 28 2 4 2 2 2 2" xfId="47276"/>
    <cellStyle name="Calculation 28 2 4 2 2 3" xfId="36672"/>
    <cellStyle name="Calculation 28 2 4 2 3" xfId="20977"/>
    <cellStyle name="Calculation 28 2 4 2 3 2" xfId="42164"/>
    <cellStyle name="Calculation 28 2 4 2 4" xfId="31544"/>
    <cellStyle name="Calculation 28 2 4 2_Table 2A-1_EFT (Annual)" xfId="14148"/>
    <cellStyle name="Calculation 28 2 4 3" xfId="11446"/>
    <cellStyle name="Calculation 28 2 4 3 2" xfId="23544"/>
    <cellStyle name="Calculation 28 2 4 3 2 2" xfId="44730"/>
    <cellStyle name="Calculation 28 2 4 3 3" xfId="34126"/>
    <cellStyle name="Calculation 28 2 4 4" xfId="18431"/>
    <cellStyle name="Calculation 28 2 4 4 2" xfId="39618"/>
    <cellStyle name="Calculation 28 2 4 5" xfId="28801"/>
    <cellStyle name="Calculation 28 2 4_Table 2A-1_EFT (Annual)" xfId="6582"/>
    <cellStyle name="Calculation 28 2 5" xfId="4180"/>
    <cellStyle name="Calculation 28 2 5 2" xfId="12504"/>
    <cellStyle name="Calculation 28 2 5 2 2" xfId="24526"/>
    <cellStyle name="Calculation 28 2 5 2 2 2" xfId="45712"/>
    <cellStyle name="Calculation 28 2 5 2 3" xfId="35108"/>
    <cellStyle name="Calculation 28 2 5 3" xfId="19413"/>
    <cellStyle name="Calculation 28 2 5 3 2" xfId="40600"/>
    <cellStyle name="Calculation 28 2 5 4" xfId="29868"/>
    <cellStyle name="Calculation 28 2 5_Table 2A-1_EFT (Annual)" xfId="10032"/>
    <cellStyle name="Calculation 28 2 6" xfId="9843"/>
    <cellStyle name="Calculation 28 2 6 2" xfId="21980"/>
    <cellStyle name="Calculation 28 2 6 2 2" xfId="43166"/>
    <cellStyle name="Calculation 28 2 6 3" xfId="32562"/>
    <cellStyle name="Calculation 28 2 7" xfId="16867"/>
    <cellStyle name="Calculation 28 2 7 2" xfId="38054"/>
    <cellStyle name="Calculation 28 2 8" xfId="27125"/>
    <cellStyle name="Calculation 28 2_Table 2A-1_EFT (Annual)" xfId="2949"/>
    <cellStyle name="Calculation 28 3" xfId="445"/>
    <cellStyle name="Calculation 28 3 2" xfId="1428"/>
    <cellStyle name="Calculation 28 3 2 2" xfId="2698"/>
    <cellStyle name="Calculation 28 3 2 2 2" xfId="6259"/>
    <cellStyle name="Calculation 28 3 2 2 2 2" xfId="14453"/>
    <cellStyle name="Calculation 28 3 2 2 2 2 2" xfId="26425"/>
    <cellStyle name="Calculation 28 3 2 2 2 2 2 2" xfId="47611"/>
    <cellStyle name="Calculation 28 3 2 2 2 2 3" xfId="37007"/>
    <cellStyle name="Calculation 28 3 2 2 2 3" xfId="21312"/>
    <cellStyle name="Calculation 28 3 2 2 2 3 2" xfId="42499"/>
    <cellStyle name="Calculation 28 3 2 2 2 4" xfId="31915"/>
    <cellStyle name="Calculation 28 3 2 2 2_Table 2A-1_EFT (Annual)" xfId="13477"/>
    <cellStyle name="Calculation 28 3 2 2 3" xfId="11795"/>
    <cellStyle name="Calculation 28 3 2 2 3 2" xfId="23879"/>
    <cellStyle name="Calculation 28 3 2 2 3 2 2" xfId="45065"/>
    <cellStyle name="Calculation 28 3 2 2 3 3" xfId="34461"/>
    <cellStyle name="Calculation 28 3 2 2 4" xfId="18766"/>
    <cellStyle name="Calculation 28 3 2 2 4 2" xfId="39953"/>
    <cellStyle name="Calculation 28 3 2 2 5" xfId="29172"/>
    <cellStyle name="Calculation 28 3 2 2_Table 2A-1_EFT (Annual)" xfId="6584"/>
    <cellStyle name="Calculation 28 3 2 3" xfId="4989"/>
    <cellStyle name="Calculation 28 3 2 3 2" xfId="13249"/>
    <cellStyle name="Calculation 28 3 2 3 2 2" xfId="25255"/>
    <cellStyle name="Calculation 28 3 2 3 2 2 2" xfId="46441"/>
    <cellStyle name="Calculation 28 3 2 3 2 3" xfId="35837"/>
    <cellStyle name="Calculation 28 3 2 3 3" xfId="20142"/>
    <cellStyle name="Calculation 28 3 2 3 3 2" xfId="41329"/>
    <cellStyle name="Calculation 28 3 2 3 4" xfId="30646"/>
    <cellStyle name="Calculation 28 3 2 3_Table 2A-1_EFT (Annual)" xfId="12029"/>
    <cellStyle name="Calculation 28 3 2 4" xfId="10593"/>
    <cellStyle name="Calculation 28 3 2 4 2" xfId="22709"/>
    <cellStyle name="Calculation 28 3 2 4 2 2" xfId="43895"/>
    <cellStyle name="Calculation 28 3 2 4 3" xfId="33291"/>
    <cellStyle name="Calculation 28 3 2 5" xfId="17596"/>
    <cellStyle name="Calculation 28 3 2 5 2" xfId="38783"/>
    <cellStyle name="Calculation 28 3 2 6" xfId="27903"/>
    <cellStyle name="Calculation 28 3 2_Table 2A-1_EFT (Annual)" xfId="6583"/>
    <cellStyle name="Calculation 28 3 3" xfId="970"/>
    <cellStyle name="Calculation 28 3 3 2" xfId="4531"/>
    <cellStyle name="Calculation 28 3 3 2 2" xfId="12793"/>
    <cellStyle name="Calculation 28 3 3 2 2 2" xfId="24803"/>
    <cellStyle name="Calculation 28 3 3 2 2 2 2" xfId="45989"/>
    <cellStyle name="Calculation 28 3 3 2 2 3" xfId="35385"/>
    <cellStyle name="Calculation 28 3 3 2 3" xfId="19690"/>
    <cellStyle name="Calculation 28 3 3 2 3 2" xfId="40877"/>
    <cellStyle name="Calculation 28 3 3 2 4" xfId="30188"/>
    <cellStyle name="Calculation 28 3 3 2_Table 2A-1_EFT (Annual)" xfId="14144"/>
    <cellStyle name="Calculation 28 3 3 3" xfId="10140"/>
    <cellStyle name="Calculation 28 3 3 3 2" xfId="22257"/>
    <cellStyle name="Calculation 28 3 3 3 2 2" xfId="43443"/>
    <cellStyle name="Calculation 28 3 3 3 3" xfId="32839"/>
    <cellStyle name="Calculation 28 3 3 4" xfId="17144"/>
    <cellStyle name="Calculation 28 3 3 4 2" xfId="38331"/>
    <cellStyle name="Calculation 28 3 3 5" xfId="27445"/>
    <cellStyle name="Calculation 28 3 3_Table 2A-1_EFT (Annual)" xfId="6585"/>
    <cellStyle name="Calculation 28 3 4" xfId="2167"/>
    <cellStyle name="Calculation 28 3 4 2" xfId="5728"/>
    <cellStyle name="Calculation 28 3 4 2 2" xfId="13943"/>
    <cellStyle name="Calculation 28 3 4 2 2 2" xfId="25931"/>
    <cellStyle name="Calculation 28 3 4 2 2 2 2" xfId="47117"/>
    <cellStyle name="Calculation 28 3 4 2 2 3" xfId="36513"/>
    <cellStyle name="Calculation 28 3 4 2 3" xfId="20818"/>
    <cellStyle name="Calculation 28 3 4 2 3 2" xfId="42005"/>
    <cellStyle name="Calculation 28 3 4 2 4" xfId="31385"/>
    <cellStyle name="Calculation 28 3 4 2_Table 2A-1_EFT (Annual)" xfId="12027"/>
    <cellStyle name="Calculation 28 3 4 3" xfId="11287"/>
    <cellStyle name="Calculation 28 3 4 3 2" xfId="23385"/>
    <cellStyle name="Calculation 28 3 4 3 2 2" xfId="44571"/>
    <cellStyle name="Calculation 28 3 4 3 3" xfId="33967"/>
    <cellStyle name="Calculation 28 3 4 4" xfId="18272"/>
    <cellStyle name="Calculation 28 3 4 4 2" xfId="39459"/>
    <cellStyle name="Calculation 28 3 4 5" xfId="28642"/>
    <cellStyle name="Calculation 28 3 4_Table 2A-1_EFT (Annual)" xfId="6586"/>
    <cellStyle name="Calculation 28 3 5" xfId="4015"/>
    <cellStyle name="Calculation 28 3 5 2" xfId="12343"/>
    <cellStyle name="Calculation 28 3 5 2 2" xfId="24367"/>
    <cellStyle name="Calculation 28 3 5 2 2 2" xfId="45553"/>
    <cellStyle name="Calculation 28 3 5 2 3" xfId="34949"/>
    <cellStyle name="Calculation 28 3 5 3" xfId="19254"/>
    <cellStyle name="Calculation 28 3 5 3 2" xfId="40441"/>
    <cellStyle name="Calculation 28 3 5 4" xfId="29703"/>
    <cellStyle name="Calculation 28 3 5_Table 2A-1_EFT (Annual)" xfId="12028"/>
    <cellStyle name="Calculation 28 3 6" xfId="9680"/>
    <cellStyle name="Calculation 28 3 6 2" xfId="21821"/>
    <cellStyle name="Calculation 28 3 6 2 2" xfId="43007"/>
    <cellStyle name="Calculation 28 3 6 3" xfId="32403"/>
    <cellStyle name="Calculation 28 3 7" xfId="16708"/>
    <cellStyle name="Calculation 28 3 7 2" xfId="37895"/>
    <cellStyle name="Calculation 28 3 8" xfId="26960"/>
    <cellStyle name="Calculation 28 3_Table 2A-1_EFT (Annual)" xfId="2950"/>
    <cellStyle name="Calculation 28 4" xfId="1265"/>
    <cellStyle name="Calculation 28 4 2" xfId="2535"/>
    <cellStyle name="Calculation 28 4 2 2" xfId="6096"/>
    <cellStyle name="Calculation 28 4 2 2 2" xfId="14290"/>
    <cellStyle name="Calculation 28 4 2 2 2 2" xfId="26262"/>
    <cellStyle name="Calculation 28 4 2 2 2 2 2" xfId="47448"/>
    <cellStyle name="Calculation 28 4 2 2 2 3" xfId="36844"/>
    <cellStyle name="Calculation 28 4 2 2 3" xfId="21149"/>
    <cellStyle name="Calculation 28 4 2 2 3 2" xfId="42336"/>
    <cellStyle name="Calculation 28 4 2 2 4" xfId="31752"/>
    <cellStyle name="Calculation 28 4 2 2_Table 2A-1_EFT (Annual)" xfId="12798"/>
    <cellStyle name="Calculation 28 4 2 3" xfId="11632"/>
    <cellStyle name="Calculation 28 4 2 3 2" xfId="23716"/>
    <cellStyle name="Calculation 28 4 2 3 2 2" xfId="44902"/>
    <cellStyle name="Calculation 28 4 2 3 3" xfId="34298"/>
    <cellStyle name="Calculation 28 4 2 4" xfId="18603"/>
    <cellStyle name="Calculation 28 4 2 4 2" xfId="39790"/>
    <cellStyle name="Calculation 28 4 2 5" xfId="29009"/>
    <cellStyle name="Calculation 28 4 2_Table 2A-1_EFT (Annual)" xfId="6588"/>
    <cellStyle name="Calculation 28 4 3" xfId="4826"/>
    <cellStyle name="Calculation 28 4 3 2" xfId="13086"/>
    <cellStyle name="Calculation 28 4 3 2 2" xfId="25092"/>
    <cellStyle name="Calculation 28 4 3 2 2 2" xfId="46278"/>
    <cellStyle name="Calculation 28 4 3 2 3" xfId="35674"/>
    <cellStyle name="Calculation 28 4 3 3" xfId="19979"/>
    <cellStyle name="Calculation 28 4 3 3 2" xfId="41166"/>
    <cellStyle name="Calculation 28 4 3 4" xfId="30483"/>
    <cellStyle name="Calculation 28 4 3_Table 2A-1_EFT (Annual)" xfId="14154"/>
    <cellStyle name="Calculation 28 4 4" xfId="10430"/>
    <cellStyle name="Calculation 28 4 4 2" xfId="22546"/>
    <cellStyle name="Calculation 28 4 4 2 2" xfId="43732"/>
    <cellStyle name="Calculation 28 4 4 3" xfId="33128"/>
    <cellStyle name="Calculation 28 4 5" xfId="17433"/>
    <cellStyle name="Calculation 28 4 5 2" xfId="38620"/>
    <cellStyle name="Calculation 28 4 6" xfId="27740"/>
    <cellStyle name="Calculation 28 4_Table 2A-1_EFT (Annual)" xfId="6587"/>
    <cellStyle name="Calculation 28 5" xfId="814"/>
    <cellStyle name="Calculation 28 5 2" xfId="4375"/>
    <cellStyle name="Calculation 28 5 2 2" xfId="12655"/>
    <cellStyle name="Calculation 28 5 2 2 2" xfId="24672"/>
    <cellStyle name="Calculation 28 5 2 2 2 2" xfId="45858"/>
    <cellStyle name="Calculation 28 5 2 2 3" xfId="35254"/>
    <cellStyle name="Calculation 28 5 2 3" xfId="19559"/>
    <cellStyle name="Calculation 28 5 2 3 2" xfId="40746"/>
    <cellStyle name="Calculation 28 5 2 4" xfId="30032"/>
    <cellStyle name="Calculation 28 5 2_Table 2A-1_EFT (Annual)" xfId="9686"/>
    <cellStyle name="Calculation 28 5 3" xfId="10003"/>
    <cellStyle name="Calculation 28 5 3 2" xfId="22126"/>
    <cellStyle name="Calculation 28 5 3 2 2" xfId="43312"/>
    <cellStyle name="Calculation 28 5 3 3" xfId="32708"/>
    <cellStyle name="Calculation 28 5 4" xfId="17013"/>
    <cellStyle name="Calculation 28 5 4 2" xfId="38200"/>
    <cellStyle name="Calculation 28 5 5" xfId="27289"/>
    <cellStyle name="Calculation 28 5_Table 2A-1_EFT (Annual)" xfId="6589"/>
    <cellStyle name="Calculation 28 6" xfId="2004"/>
    <cellStyle name="Calculation 28 6 2" xfId="5565"/>
    <cellStyle name="Calculation 28 6 2 2" xfId="13780"/>
    <cellStyle name="Calculation 28 6 2 2 2" xfId="25768"/>
    <cellStyle name="Calculation 28 6 2 2 2 2" xfId="46954"/>
    <cellStyle name="Calculation 28 6 2 2 3" xfId="36350"/>
    <cellStyle name="Calculation 28 6 2 3" xfId="20655"/>
    <cellStyle name="Calculation 28 6 2 3 2" xfId="41842"/>
    <cellStyle name="Calculation 28 6 2 4" xfId="31222"/>
    <cellStyle name="Calculation 28 6 2_Table 2A-1_EFT (Annual)" xfId="12017"/>
    <cellStyle name="Calculation 28 6 3" xfId="11124"/>
    <cellStyle name="Calculation 28 6 3 2" xfId="23222"/>
    <cellStyle name="Calculation 28 6 3 2 2" xfId="44408"/>
    <cellStyle name="Calculation 28 6 3 3" xfId="33804"/>
    <cellStyle name="Calculation 28 6 4" xfId="18109"/>
    <cellStyle name="Calculation 28 6 4 2" xfId="39296"/>
    <cellStyle name="Calculation 28 6 5" xfId="28479"/>
    <cellStyle name="Calculation 28 6_Table 2A-1_EFT (Annual)" xfId="6590"/>
    <cellStyle name="Calculation 28 7" xfId="3806"/>
    <cellStyle name="Calculation 28 7 2" xfId="12174"/>
    <cellStyle name="Calculation 28 7 2 2" xfId="24204"/>
    <cellStyle name="Calculation 28 7 2 2 2" xfId="45390"/>
    <cellStyle name="Calculation 28 7 2 3" xfId="34786"/>
    <cellStyle name="Calculation 28 7 3" xfId="19091"/>
    <cellStyle name="Calculation 28 7 3 2" xfId="40278"/>
    <cellStyle name="Calculation 28 7 4" xfId="29515"/>
    <cellStyle name="Calculation 28 7_Table 2A-1_EFT (Annual)" xfId="12025"/>
    <cellStyle name="Calculation 28 8" xfId="9493"/>
    <cellStyle name="Calculation 28 8 2" xfId="21658"/>
    <cellStyle name="Calculation 28 8 2 2" xfId="42844"/>
    <cellStyle name="Calculation 28 8 3" xfId="32240"/>
    <cellStyle name="Calculation 28 9" xfId="16545"/>
    <cellStyle name="Calculation 28 9 2" xfId="37732"/>
    <cellStyle name="Calculation 28_Table 2A-1_EFT (Annual)" xfId="2948"/>
    <cellStyle name="Calculation 29" xfId="246"/>
    <cellStyle name="Calculation 29 10" xfId="26801"/>
    <cellStyle name="Calculation 29 2" xfId="633"/>
    <cellStyle name="Calculation 29 2 2" xfId="1610"/>
    <cellStyle name="Calculation 29 2 2 2" xfId="2880"/>
    <cellStyle name="Calculation 29 2 2 2 2" xfId="6441"/>
    <cellStyle name="Calculation 29 2 2 2 2 2" xfId="14635"/>
    <cellStyle name="Calculation 29 2 2 2 2 2 2" xfId="26607"/>
    <cellStyle name="Calculation 29 2 2 2 2 2 2 2" xfId="47793"/>
    <cellStyle name="Calculation 29 2 2 2 2 2 3" xfId="37189"/>
    <cellStyle name="Calculation 29 2 2 2 2 3" xfId="21494"/>
    <cellStyle name="Calculation 29 2 2 2 2 3 2" xfId="42681"/>
    <cellStyle name="Calculation 29 2 2 2 2 4" xfId="32097"/>
    <cellStyle name="Calculation 29 2 2 2 2_Table 2A-1_EFT (Annual)" xfId="13551"/>
    <cellStyle name="Calculation 29 2 2 2 3" xfId="11977"/>
    <cellStyle name="Calculation 29 2 2 2 3 2" xfId="24061"/>
    <cellStyle name="Calculation 29 2 2 2 3 2 2" xfId="45247"/>
    <cellStyle name="Calculation 29 2 2 2 3 3" xfId="34643"/>
    <cellStyle name="Calculation 29 2 2 2 4" xfId="18948"/>
    <cellStyle name="Calculation 29 2 2 2 4 2" xfId="40135"/>
    <cellStyle name="Calculation 29 2 2 2 5" xfId="29354"/>
    <cellStyle name="Calculation 29 2 2 2_Table 2A-1_EFT (Annual)" xfId="6592"/>
    <cellStyle name="Calculation 29 2 2 3" xfId="5171"/>
    <cellStyle name="Calculation 29 2 2 3 2" xfId="13431"/>
    <cellStyle name="Calculation 29 2 2 3 2 2" xfId="25437"/>
    <cellStyle name="Calculation 29 2 2 3 2 2 2" xfId="46623"/>
    <cellStyle name="Calculation 29 2 2 3 2 3" xfId="36019"/>
    <cellStyle name="Calculation 29 2 2 3 3" xfId="20324"/>
    <cellStyle name="Calculation 29 2 2 3 3 2" xfId="41511"/>
    <cellStyle name="Calculation 29 2 2 3 4" xfId="30828"/>
    <cellStyle name="Calculation 29 2 2 3_Table 2A-1_EFT (Annual)" xfId="9879"/>
    <cellStyle name="Calculation 29 2 2 4" xfId="10775"/>
    <cellStyle name="Calculation 29 2 2 4 2" xfId="22891"/>
    <cellStyle name="Calculation 29 2 2 4 2 2" xfId="44077"/>
    <cellStyle name="Calculation 29 2 2 4 3" xfId="33473"/>
    <cellStyle name="Calculation 29 2 2 5" xfId="17778"/>
    <cellStyle name="Calculation 29 2 2 5 2" xfId="38965"/>
    <cellStyle name="Calculation 29 2 2 6" xfId="28085"/>
    <cellStyle name="Calculation 29 2 2_Table 2A-1_EFT (Annual)" xfId="6591"/>
    <cellStyle name="Calculation 29 2 3" xfId="1123"/>
    <cellStyle name="Calculation 29 2 3 2" xfId="4684"/>
    <cellStyle name="Calculation 29 2 3 2 2" xfId="12944"/>
    <cellStyle name="Calculation 29 2 3 2 2 2" xfId="24950"/>
    <cellStyle name="Calculation 29 2 3 2 2 2 2" xfId="46136"/>
    <cellStyle name="Calculation 29 2 3 2 2 3" xfId="35532"/>
    <cellStyle name="Calculation 29 2 3 2 3" xfId="19837"/>
    <cellStyle name="Calculation 29 2 3 2 3 2" xfId="41024"/>
    <cellStyle name="Calculation 29 2 3 2 4" xfId="30341"/>
    <cellStyle name="Calculation 29 2 3 2_Table 2A-1_EFT (Annual)" xfId="12024"/>
    <cellStyle name="Calculation 29 2 3 3" xfId="10288"/>
    <cellStyle name="Calculation 29 2 3 3 2" xfId="22404"/>
    <cellStyle name="Calculation 29 2 3 3 2 2" xfId="43590"/>
    <cellStyle name="Calculation 29 2 3 3 3" xfId="32986"/>
    <cellStyle name="Calculation 29 2 3 4" xfId="17291"/>
    <cellStyle name="Calculation 29 2 3 4 2" xfId="38478"/>
    <cellStyle name="Calculation 29 2 3 5" xfId="27598"/>
    <cellStyle name="Calculation 29 2 3_Table 2A-1_EFT (Annual)" xfId="6593"/>
    <cellStyle name="Calculation 29 2 4" xfId="2349"/>
    <cellStyle name="Calculation 29 2 4 2" xfId="5910"/>
    <cellStyle name="Calculation 29 2 4 2 2" xfId="14125"/>
    <cellStyle name="Calculation 29 2 4 2 2 2" xfId="26113"/>
    <cellStyle name="Calculation 29 2 4 2 2 2 2" xfId="47299"/>
    <cellStyle name="Calculation 29 2 4 2 2 3" xfId="36695"/>
    <cellStyle name="Calculation 29 2 4 2 3" xfId="21000"/>
    <cellStyle name="Calculation 29 2 4 2 3 2" xfId="42187"/>
    <cellStyle name="Calculation 29 2 4 2 4" xfId="31567"/>
    <cellStyle name="Calculation 29 2 4 2_Table 2A-1_EFT (Annual)" xfId="12022"/>
    <cellStyle name="Calculation 29 2 4 3" xfId="11469"/>
    <cellStyle name="Calculation 29 2 4 3 2" xfId="23567"/>
    <cellStyle name="Calculation 29 2 4 3 2 2" xfId="44753"/>
    <cellStyle name="Calculation 29 2 4 3 3" xfId="34149"/>
    <cellStyle name="Calculation 29 2 4 4" xfId="18454"/>
    <cellStyle name="Calculation 29 2 4 4 2" xfId="39641"/>
    <cellStyle name="Calculation 29 2 4 5" xfId="28824"/>
    <cellStyle name="Calculation 29 2 4_Table 2A-1_EFT (Annual)" xfId="6594"/>
    <cellStyle name="Calculation 29 2 5" xfId="4203"/>
    <cellStyle name="Calculation 29 2 5 2" xfId="12527"/>
    <cellStyle name="Calculation 29 2 5 2 2" xfId="24549"/>
    <cellStyle name="Calculation 29 2 5 2 2 2" xfId="45735"/>
    <cellStyle name="Calculation 29 2 5 2 3" xfId="35131"/>
    <cellStyle name="Calculation 29 2 5 3" xfId="19436"/>
    <cellStyle name="Calculation 29 2 5 3 2" xfId="40623"/>
    <cellStyle name="Calculation 29 2 5 4" xfId="29891"/>
    <cellStyle name="Calculation 29 2 5_Table 2A-1_EFT (Annual)" xfId="12023"/>
    <cellStyle name="Calculation 29 2 6" xfId="9866"/>
    <cellStyle name="Calculation 29 2 6 2" xfId="22003"/>
    <cellStyle name="Calculation 29 2 6 2 2" xfId="43189"/>
    <cellStyle name="Calculation 29 2 6 3" xfId="32585"/>
    <cellStyle name="Calculation 29 2 7" xfId="16890"/>
    <cellStyle name="Calculation 29 2 7 2" xfId="38077"/>
    <cellStyle name="Calculation 29 2 8" xfId="27148"/>
    <cellStyle name="Calculation 29 2_Table 2A-1_EFT (Annual)" xfId="2952"/>
    <cellStyle name="Calculation 29 3" xfId="472"/>
    <cellStyle name="Calculation 29 3 2" xfId="1449"/>
    <cellStyle name="Calculation 29 3 2 2" xfId="2719"/>
    <cellStyle name="Calculation 29 3 2 2 2" xfId="6280"/>
    <cellStyle name="Calculation 29 3 2 2 2 2" xfId="14474"/>
    <cellStyle name="Calculation 29 3 2 2 2 2 2" xfId="26446"/>
    <cellStyle name="Calculation 29 3 2 2 2 2 2 2" xfId="47632"/>
    <cellStyle name="Calculation 29 3 2 2 2 2 3" xfId="37028"/>
    <cellStyle name="Calculation 29 3 2 2 2 3" xfId="21333"/>
    <cellStyle name="Calculation 29 3 2 2 2 3 2" xfId="42520"/>
    <cellStyle name="Calculation 29 3 2 2 2 4" xfId="31936"/>
    <cellStyle name="Calculation 29 3 2 2 2_Table 2A-1_EFT (Annual)" xfId="12018"/>
    <cellStyle name="Calculation 29 3 2 2 3" xfId="11816"/>
    <cellStyle name="Calculation 29 3 2 2 3 2" xfId="23900"/>
    <cellStyle name="Calculation 29 3 2 2 3 2 2" xfId="45086"/>
    <cellStyle name="Calculation 29 3 2 2 3 3" xfId="34482"/>
    <cellStyle name="Calculation 29 3 2 2 4" xfId="18787"/>
    <cellStyle name="Calculation 29 3 2 2 4 2" xfId="39974"/>
    <cellStyle name="Calculation 29 3 2 2 5" xfId="29193"/>
    <cellStyle name="Calculation 29 3 2 2_Table 2A-1_EFT (Annual)" xfId="6596"/>
    <cellStyle name="Calculation 29 3 2 3" xfId="5010"/>
    <cellStyle name="Calculation 29 3 2 3 2" xfId="13270"/>
    <cellStyle name="Calculation 29 3 2 3 2 2" xfId="25276"/>
    <cellStyle name="Calculation 29 3 2 3 2 2 2" xfId="46462"/>
    <cellStyle name="Calculation 29 3 2 3 2 3" xfId="35858"/>
    <cellStyle name="Calculation 29 3 2 3 3" xfId="20163"/>
    <cellStyle name="Calculation 29 3 2 3 3 2" xfId="41350"/>
    <cellStyle name="Calculation 29 3 2 3 4" xfId="30667"/>
    <cellStyle name="Calculation 29 3 2 3_Table 2A-1_EFT (Annual)" xfId="12021"/>
    <cellStyle name="Calculation 29 3 2 4" xfId="10614"/>
    <cellStyle name="Calculation 29 3 2 4 2" xfId="22730"/>
    <cellStyle name="Calculation 29 3 2 4 2 2" xfId="43916"/>
    <cellStyle name="Calculation 29 3 2 4 3" xfId="33312"/>
    <cellStyle name="Calculation 29 3 2 5" xfId="17617"/>
    <cellStyle name="Calculation 29 3 2 5 2" xfId="38804"/>
    <cellStyle name="Calculation 29 3 2 6" xfId="27924"/>
    <cellStyle name="Calculation 29 3 2_Table 2A-1_EFT (Annual)" xfId="6595"/>
    <cellStyle name="Calculation 29 3 3" xfId="993"/>
    <cellStyle name="Calculation 29 3 3 2" xfId="4554"/>
    <cellStyle name="Calculation 29 3 3 2 2" xfId="12814"/>
    <cellStyle name="Calculation 29 3 3 2 2 2" xfId="24820"/>
    <cellStyle name="Calculation 29 3 3 2 2 2 2" xfId="46006"/>
    <cellStyle name="Calculation 29 3 3 2 2 3" xfId="35402"/>
    <cellStyle name="Calculation 29 3 3 2 3" xfId="19707"/>
    <cellStyle name="Calculation 29 3 3 2 3 2" xfId="40894"/>
    <cellStyle name="Calculation 29 3 3 2 4" xfId="30211"/>
    <cellStyle name="Calculation 29 3 3 2_Table 2A-1_EFT (Annual)" xfId="12020"/>
    <cellStyle name="Calculation 29 3 3 3" xfId="10158"/>
    <cellStyle name="Calculation 29 3 3 3 2" xfId="22274"/>
    <cellStyle name="Calculation 29 3 3 3 2 2" xfId="43460"/>
    <cellStyle name="Calculation 29 3 3 3 3" xfId="32856"/>
    <cellStyle name="Calculation 29 3 3 4" xfId="17161"/>
    <cellStyle name="Calculation 29 3 3 4 2" xfId="38348"/>
    <cellStyle name="Calculation 29 3 3 5" xfId="27468"/>
    <cellStyle name="Calculation 29 3 3_Table 2A-1_EFT (Annual)" xfId="6597"/>
    <cellStyle name="Calculation 29 3 4" xfId="2188"/>
    <cellStyle name="Calculation 29 3 4 2" xfId="5749"/>
    <cellStyle name="Calculation 29 3 4 2 2" xfId="13964"/>
    <cellStyle name="Calculation 29 3 4 2 2 2" xfId="25952"/>
    <cellStyle name="Calculation 29 3 4 2 2 2 2" xfId="47138"/>
    <cellStyle name="Calculation 29 3 4 2 2 3" xfId="36534"/>
    <cellStyle name="Calculation 29 3 4 2 3" xfId="20839"/>
    <cellStyle name="Calculation 29 3 4 2 3 2" xfId="42026"/>
    <cellStyle name="Calculation 29 3 4 2 4" xfId="31406"/>
    <cellStyle name="Calculation 29 3 4 2_Table 2A-1_EFT (Annual)" xfId="14142"/>
    <cellStyle name="Calculation 29 3 4 3" xfId="11308"/>
    <cellStyle name="Calculation 29 3 4 3 2" xfId="23406"/>
    <cellStyle name="Calculation 29 3 4 3 2 2" xfId="44592"/>
    <cellStyle name="Calculation 29 3 4 3 3" xfId="33988"/>
    <cellStyle name="Calculation 29 3 4 4" xfId="18293"/>
    <cellStyle name="Calculation 29 3 4 4 2" xfId="39480"/>
    <cellStyle name="Calculation 29 3 4 5" xfId="28663"/>
    <cellStyle name="Calculation 29 3 4_Table 2A-1_EFT (Annual)" xfId="6598"/>
    <cellStyle name="Calculation 29 3 5" xfId="4042"/>
    <cellStyle name="Calculation 29 3 5 2" xfId="12366"/>
    <cellStyle name="Calculation 29 3 5 2 2" xfId="24388"/>
    <cellStyle name="Calculation 29 3 5 2 2 2" xfId="45574"/>
    <cellStyle name="Calculation 29 3 5 2 3" xfId="34970"/>
    <cellStyle name="Calculation 29 3 5 3" xfId="19275"/>
    <cellStyle name="Calculation 29 3 5 3 2" xfId="40462"/>
    <cellStyle name="Calculation 29 3 5 4" xfId="29730"/>
    <cellStyle name="Calculation 29 3 5_Table 2A-1_EFT (Annual)" xfId="9912"/>
    <cellStyle name="Calculation 29 3 6" xfId="9705"/>
    <cellStyle name="Calculation 29 3 6 2" xfId="21842"/>
    <cellStyle name="Calculation 29 3 6 2 2" xfId="43028"/>
    <cellStyle name="Calculation 29 3 6 3" xfId="32424"/>
    <cellStyle name="Calculation 29 3 7" xfId="16729"/>
    <cellStyle name="Calculation 29 3 7 2" xfId="37916"/>
    <cellStyle name="Calculation 29 3 8" xfId="26987"/>
    <cellStyle name="Calculation 29 3_Table 2A-1_EFT (Annual)" xfId="2953"/>
    <cellStyle name="Calculation 29 4" xfId="1288"/>
    <cellStyle name="Calculation 29 4 2" xfId="2558"/>
    <cellStyle name="Calculation 29 4 2 2" xfId="6119"/>
    <cellStyle name="Calculation 29 4 2 2 2" xfId="14313"/>
    <cellStyle name="Calculation 29 4 2 2 2 2" xfId="26285"/>
    <cellStyle name="Calculation 29 4 2 2 2 2 2" xfId="47471"/>
    <cellStyle name="Calculation 29 4 2 2 2 3" xfId="36867"/>
    <cellStyle name="Calculation 29 4 2 2 3" xfId="21172"/>
    <cellStyle name="Calculation 29 4 2 2 3 2" xfId="42359"/>
    <cellStyle name="Calculation 29 4 2 2 4" xfId="31775"/>
    <cellStyle name="Calculation 29 4 2 2_Table 2A-1_EFT (Annual)" xfId="13493"/>
    <cellStyle name="Calculation 29 4 2 3" xfId="11655"/>
    <cellStyle name="Calculation 29 4 2 3 2" xfId="23739"/>
    <cellStyle name="Calculation 29 4 2 3 2 2" xfId="44925"/>
    <cellStyle name="Calculation 29 4 2 3 3" xfId="34321"/>
    <cellStyle name="Calculation 29 4 2 4" xfId="18626"/>
    <cellStyle name="Calculation 29 4 2 4 2" xfId="39813"/>
    <cellStyle name="Calculation 29 4 2 5" xfId="29032"/>
    <cellStyle name="Calculation 29 4 2_Table 2A-1_EFT (Annual)" xfId="6600"/>
    <cellStyle name="Calculation 29 4 3" xfId="4849"/>
    <cellStyle name="Calculation 29 4 3 2" xfId="13109"/>
    <cellStyle name="Calculation 29 4 3 2 2" xfId="25115"/>
    <cellStyle name="Calculation 29 4 3 2 2 2" xfId="46301"/>
    <cellStyle name="Calculation 29 4 3 2 3" xfId="35697"/>
    <cellStyle name="Calculation 29 4 3 3" xfId="20002"/>
    <cellStyle name="Calculation 29 4 3 3 2" xfId="41189"/>
    <cellStyle name="Calculation 29 4 3 4" xfId="30506"/>
    <cellStyle name="Calculation 29 4 3_Table 2A-1_EFT (Annual)" xfId="12019"/>
    <cellStyle name="Calculation 29 4 4" xfId="10453"/>
    <cellStyle name="Calculation 29 4 4 2" xfId="22569"/>
    <cellStyle name="Calculation 29 4 4 2 2" xfId="43755"/>
    <cellStyle name="Calculation 29 4 4 3" xfId="33151"/>
    <cellStyle name="Calculation 29 4 5" xfId="17456"/>
    <cellStyle name="Calculation 29 4 5 2" xfId="38643"/>
    <cellStyle name="Calculation 29 4 6" xfId="27763"/>
    <cellStyle name="Calculation 29 4_Table 2A-1_EFT (Annual)" xfId="6599"/>
    <cellStyle name="Calculation 29 5" xfId="838"/>
    <cellStyle name="Calculation 29 5 2" xfId="4399"/>
    <cellStyle name="Calculation 29 5 2 2" xfId="12673"/>
    <cellStyle name="Calculation 29 5 2 2 2" xfId="24690"/>
    <cellStyle name="Calculation 29 5 2 2 2 2" xfId="45876"/>
    <cellStyle name="Calculation 29 5 2 2 3" xfId="35272"/>
    <cellStyle name="Calculation 29 5 2 3" xfId="19577"/>
    <cellStyle name="Calculation 29 5 2 3 2" xfId="40764"/>
    <cellStyle name="Calculation 29 5 2 4" xfId="30056"/>
    <cellStyle name="Calculation 29 5 2_Table 2A-1_EFT (Annual)" xfId="14152"/>
    <cellStyle name="Calculation 29 5 3" xfId="10022"/>
    <cellStyle name="Calculation 29 5 3 2" xfId="22144"/>
    <cellStyle name="Calculation 29 5 3 2 2" xfId="43330"/>
    <cellStyle name="Calculation 29 5 3 3" xfId="32726"/>
    <cellStyle name="Calculation 29 5 4" xfId="17031"/>
    <cellStyle name="Calculation 29 5 4 2" xfId="38218"/>
    <cellStyle name="Calculation 29 5 5" xfId="27313"/>
    <cellStyle name="Calculation 29 5_Table 2A-1_EFT (Annual)" xfId="6601"/>
    <cellStyle name="Calculation 29 6" xfId="2027"/>
    <cellStyle name="Calculation 29 6 2" xfId="5588"/>
    <cellStyle name="Calculation 29 6 2 2" xfId="13803"/>
    <cellStyle name="Calculation 29 6 2 2 2" xfId="25791"/>
    <cellStyle name="Calculation 29 6 2 2 2 2" xfId="46977"/>
    <cellStyle name="Calculation 29 6 2 2 3" xfId="36373"/>
    <cellStyle name="Calculation 29 6 2 3" xfId="20678"/>
    <cellStyle name="Calculation 29 6 2 3 2" xfId="41865"/>
    <cellStyle name="Calculation 29 6 2 4" xfId="31245"/>
    <cellStyle name="Calculation 29 6 2_Table 2A-1_EFT (Annual)" xfId="9573"/>
    <cellStyle name="Calculation 29 6 3" xfId="11147"/>
    <cellStyle name="Calculation 29 6 3 2" xfId="23245"/>
    <cellStyle name="Calculation 29 6 3 2 2" xfId="44431"/>
    <cellStyle name="Calculation 29 6 3 3" xfId="33827"/>
    <cellStyle name="Calculation 29 6 4" xfId="18132"/>
    <cellStyle name="Calculation 29 6 4 2" xfId="39319"/>
    <cellStyle name="Calculation 29 6 5" xfId="28502"/>
    <cellStyle name="Calculation 29 6_Table 2A-1_EFT (Annual)" xfId="6602"/>
    <cellStyle name="Calculation 29 7" xfId="3835"/>
    <cellStyle name="Calculation 29 7 2" xfId="12198"/>
    <cellStyle name="Calculation 29 7 2 2" xfId="24227"/>
    <cellStyle name="Calculation 29 7 2 2 2" xfId="45413"/>
    <cellStyle name="Calculation 29 7 2 3" xfId="34809"/>
    <cellStyle name="Calculation 29 7 3" xfId="19114"/>
    <cellStyle name="Calculation 29 7 3 2" xfId="40301"/>
    <cellStyle name="Calculation 29 7 4" xfId="29544"/>
    <cellStyle name="Calculation 29 7_Table 2A-1_EFT (Annual)" xfId="9354"/>
    <cellStyle name="Calculation 29 8" xfId="9517"/>
    <cellStyle name="Calculation 29 8 2" xfId="21681"/>
    <cellStyle name="Calculation 29 8 2 2" xfId="42867"/>
    <cellStyle name="Calculation 29 8 3" xfId="32263"/>
    <cellStyle name="Calculation 29 9" xfId="16568"/>
    <cellStyle name="Calculation 29 9 2" xfId="37755"/>
    <cellStyle name="Calculation 29_Table 2A-1_EFT (Annual)" xfId="2951"/>
    <cellStyle name="Calculation 3" xfId="82"/>
    <cellStyle name="Calculation 3 10" xfId="21522"/>
    <cellStyle name="Calculation 3 10 2" xfId="42709"/>
    <cellStyle name="Calculation 3 11" xfId="26638"/>
    <cellStyle name="Calculation 3 2" xfId="481"/>
    <cellStyle name="Calculation 3 2 2" xfId="1458"/>
    <cellStyle name="Calculation 3 2 2 2" xfId="2728"/>
    <cellStyle name="Calculation 3 2 2 2 2" xfId="6289"/>
    <cellStyle name="Calculation 3 2 2 2 2 2" xfId="14483"/>
    <cellStyle name="Calculation 3 2 2 2 2 2 2" xfId="26455"/>
    <cellStyle name="Calculation 3 2 2 2 2 2 2 2" xfId="47641"/>
    <cellStyle name="Calculation 3 2 2 2 2 2 3" xfId="37037"/>
    <cellStyle name="Calculation 3 2 2 2 2 3" xfId="21342"/>
    <cellStyle name="Calculation 3 2 2 2 2 3 2" xfId="42529"/>
    <cellStyle name="Calculation 3 2 2 2 2 4" xfId="31945"/>
    <cellStyle name="Calculation 3 2 2 2 2_Table 2A-1_EFT (Annual)" xfId="12015"/>
    <cellStyle name="Calculation 3 2 2 2 3" xfId="11825"/>
    <cellStyle name="Calculation 3 2 2 2 3 2" xfId="23909"/>
    <cellStyle name="Calculation 3 2 2 2 3 2 2" xfId="45095"/>
    <cellStyle name="Calculation 3 2 2 2 3 3" xfId="34491"/>
    <cellStyle name="Calculation 3 2 2 2 4" xfId="18796"/>
    <cellStyle name="Calculation 3 2 2 2 4 2" xfId="39983"/>
    <cellStyle name="Calculation 3 2 2 2 5" xfId="29202"/>
    <cellStyle name="Calculation 3 2 2 2_Table 2A-1_EFT (Annual)" xfId="6604"/>
    <cellStyle name="Calculation 3 2 2 3" xfId="5019"/>
    <cellStyle name="Calculation 3 2 2 3 2" xfId="13279"/>
    <cellStyle name="Calculation 3 2 2 3 2 2" xfId="25285"/>
    <cellStyle name="Calculation 3 2 2 3 2 2 2" xfId="46471"/>
    <cellStyle name="Calculation 3 2 2 3 2 3" xfId="35867"/>
    <cellStyle name="Calculation 3 2 2 3 3" xfId="20172"/>
    <cellStyle name="Calculation 3 2 2 3 3 2" xfId="41359"/>
    <cellStyle name="Calculation 3 2 2 3 4" xfId="30676"/>
    <cellStyle name="Calculation 3 2 2 3_Table 2A-1_EFT (Annual)" xfId="12016"/>
    <cellStyle name="Calculation 3 2 2 4" xfId="10623"/>
    <cellStyle name="Calculation 3 2 2 4 2" xfId="22739"/>
    <cellStyle name="Calculation 3 2 2 4 2 2" xfId="43925"/>
    <cellStyle name="Calculation 3 2 2 4 3" xfId="33321"/>
    <cellStyle name="Calculation 3 2 2 5" xfId="17626"/>
    <cellStyle name="Calculation 3 2 2 5 2" xfId="38813"/>
    <cellStyle name="Calculation 3 2 2 6" xfId="27933"/>
    <cellStyle name="Calculation 3 2 2_Table 2A-1_EFT (Annual)" xfId="6603"/>
    <cellStyle name="Calculation 3 2 3" xfId="1001"/>
    <cellStyle name="Calculation 3 2 3 2" xfId="4562"/>
    <cellStyle name="Calculation 3 2 3 2 2" xfId="12822"/>
    <cellStyle name="Calculation 3 2 3 2 2 2" xfId="24828"/>
    <cellStyle name="Calculation 3 2 3 2 2 2 2" xfId="46014"/>
    <cellStyle name="Calculation 3 2 3 2 2 3" xfId="35410"/>
    <cellStyle name="Calculation 3 2 3 2 3" xfId="19715"/>
    <cellStyle name="Calculation 3 2 3 2 3 2" xfId="40902"/>
    <cellStyle name="Calculation 3 2 3 2 4" xfId="30219"/>
    <cellStyle name="Calculation 3 2 3 2_Table 2A-1_EFT (Annual)" xfId="9878"/>
    <cellStyle name="Calculation 3 2 3 3" xfId="10166"/>
    <cellStyle name="Calculation 3 2 3 3 2" xfId="22282"/>
    <cellStyle name="Calculation 3 2 3 3 2 2" xfId="43468"/>
    <cellStyle name="Calculation 3 2 3 3 3" xfId="32864"/>
    <cellStyle name="Calculation 3 2 3 4" xfId="17169"/>
    <cellStyle name="Calculation 3 2 3 4 2" xfId="38356"/>
    <cellStyle name="Calculation 3 2 3 5" xfId="27476"/>
    <cellStyle name="Calculation 3 2 3_Table 2A-1_EFT (Annual)" xfId="6605"/>
    <cellStyle name="Calculation 3 2 4" xfId="2197"/>
    <cellStyle name="Calculation 3 2 4 2" xfId="5758"/>
    <cellStyle name="Calculation 3 2 4 2 2" xfId="13973"/>
    <cellStyle name="Calculation 3 2 4 2 2 2" xfId="25961"/>
    <cellStyle name="Calculation 3 2 4 2 2 2 2" xfId="47147"/>
    <cellStyle name="Calculation 3 2 4 2 2 3" xfId="36543"/>
    <cellStyle name="Calculation 3 2 4 2 3" xfId="20848"/>
    <cellStyle name="Calculation 3 2 4 2 3 2" xfId="42035"/>
    <cellStyle name="Calculation 3 2 4 2 4" xfId="31415"/>
    <cellStyle name="Calculation 3 2 4 2_Table 2A-1_EFT (Annual)" xfId="12014"/>
    <cellStyle name="Calculation 3 2 4 3" xfId="11317"/>
    <cellStyle name="Calculation 3 2 4 3 2" xfId="23415"/>
    <cellStyle name="Calculation 3 2 4 3 2 2" xfId="44601"/>
    <cellStyle name="Calculation 3 2 4 3 3" xfId="33997"/>
    <cellStyle name="Calculation 3 2 4 4" xfId="18302"/>
    <cellStyle name="Calculation 3 2 4 4 2" xfId="39489"/>
    <cellStyle name="Calculation 3 2 4 5" xfId="28672"/>
    <cellStyle name="Calculation 3 2 4_Table 2A-1_EFT (Annual)" xfId="6606"/>
    <cellStyle name="Calculation 3 2 5" xfId="4051"/>
    <cellStyle name="Calculation 3 2 5 2" xfId="12375"/>
    <cellStyle name="Calculation 3 2 5 2 2" xfId="24397"/>
    <cellStyle name="Calculation 3 2 5 2 2 2" xfId="45583"/>
    <cellStyle name="Calculation 3 2 5 2 3" xfId="34979"/>
    <cellStyle name="Calculation 3 2 5 3" xfId="19284"/>
    <cellStyle name="Calculation 3 2 5 3 2" xfId="40471"/>
    <cellStyle name="Calculation 3 2 5 4" xfId="29739"/>
    <cellStyle name="Calculation 3 2 5_Table 2A-1_EFT (Annual)" xfId="10830"/>
    <cellStyle name="Calculation 3 2 6" xfId="9714"/>
    <cellStyle name="Calculation 3 2 6 2" xfId="21851"/>
    <cellStyle name="Calculation 3 2 6 2 2" xfId="43037"/>
    <cellStyle name="Calculation 3 2 6 3" xfId="32433"/>
    <cellStyle name="Calculation 3 2 7" xfId="16738"/>
    <cellStyle name="Calculation 3 2 7 2" xfId="37925"/>
    <cellStyle name="Calculation 3 2 8" xfId="26996"/>
    <cellStyle name="Calculation 3 2_Table 2A-1_EFT (Annual)" xfId="2955"/>
    <cellStyle name="Calculation 3 3" xfId="314"/>
    <cellStyle name="Calculation 3 3 2" xfId="1302"/>
    <cellStyle name="Calculation 3 3 2 2" xfId="2572"/>
    <cellStyle name="Calculation 3 3 2 2 2" xfId="6133"/>
    <cellStyle name="Calculation 3 3 2 2 2 2" xfId="14327"/>
    <cellStyle name="Calculation 3 3 2 2 2 2 2" xfId="26299"/>
    <cellStyle name="Calculation 3 3 2 2 2 2 2 2" xfId="47485"/>
    <cellStyle name="Calculation 3 3 2 2 2 2 3" xfId="36881"/>
    <cellStyle name="Calculation 3 3 2 2 2 3" xfId="21186"/>
    <cellStyle name="Calculation 3 3 2 2 2 3 2" xfId="42373"/>
    <cellStyle name="Calculation 3 3 2 2 2 4" xfId="31789"/>
    <cellStyle name="Calculation 3 3 2 2 2_Table 2A-1_EFT (Annual)" xfId="11492"/>
    <cellStyle name="Calculation 3 3 2 2 3" xfId="11669"/>
    <cellStyle name="Calculation 3 3 2 2 3 2" xfId="23753"/>
    <cellStyle name="Calculation 3 3 2 2 3 2 2" xfId="44939"/>
    <cellStyle name="Calculation 3 3 2 2 3 3" xfId="34335"/>
    <cellStyle name="Calculation 3 3 2 2 4" xfId="18640"/>
    <cellStyle name="Calculation 3 3 2 2 4 2" xfId="39827"/>
    <cellStyle name="Calculation 3 3 2 2 5" xfId="29046"/>
    <cellStyle name="Calculation 3 3 2 2_Table 2A-1_EFT (Annual)" xfId="6608"/>
    <cellStyle name="Calculation 3 3 2 3" xfId="4863"/>
    <cellStyle name="Calculation 3 3 2 3 2" xfId="13123"/>
    <cellStyle name="Calculation 3 3 2 3 2 2" xfId="25129"/>
    <cellStyle name="Calculation 3 3 2 3 2 2 2" xfId="46315"/>
    <cellStyle name="Calculation 3 3 2 3 2 3" xfId="35711"/>
    <cellStyle name="Calculation 3 3 2 3 3" xfId="20016"/>
    <cellStyle name="Calculation 3 3 2 3 3 2" xfId="41203"/>
    <cellStyle name="Calculation 3 3 2 3 4" xfId="30520"/>
    <cellStyle name="Calculation 3 3 2 3_Table 2A-1_EFT (Annual)" xfId="9545"/>
    <cellStyle name="Calculation 3 3 2 4" xfId="10467"/>
    <cellStyle name="Calculation 3 3 2 4 2" xfId="22583"/>
    <cellStyle name="Calculation 3 3 2 4 2 2" xfId="43769"/>
    <cellStyle name="Calculation 3 3 2 4 3" xfId="33165"/>
    <cellStyle name="Calculation 3 3 2 5" xfId="17470"/>
    <cellStyle name="Calculation 3 3 2 5 2" xfId="38657"/>
    <cellStyle name="Calculation 3 3 2 6" xfId="27777"/>
    <cellStyle name="Calculation 3 3 2_Table 2A-1_EFT (Annual)" xfId="6607"/>
    <cellStyle name="Calculation 3 3 3" xfId="864"/>
    <cellStyle name="Calculation 3 3 3 2" xfId="4425"/>
    <cellStyle name="Calculation 3 3 3 2 2" xfId="12690"/>
    <cellStyle name="Calculation 3 3 3 2 2 2" xfId="24702"/>
    <cellStyle name="Calculation 3 3 3 2 2 2 2" xfId="45888"/>
    <cellStyle name="Calculation 3 3 3 2 2 3" xfId="35284"/>
    <cellStyle name="Calculation 3 3 3 2 3" xfId="19589"/>
    <cellStyle name="Calculation 3 3 3 2 3 2" xfId="40776"/>
    <cellStyle name="Calculation 3 3 3 2 4" xfId="30082"/>
    <cellStyle name="Calculation 3 3 3 2_Table 2A-1_EFT (Annual)" xfId="12013"/>
    <cellStyle name="Calculation 3 3 3 3" xfId="10037"/>
    <cellStyle name="Calculation 3 3 3 3 2" xfId="22156"/>
    <cellStyle name="Calculation 3 3 3 3 2 2" xfId="43342"/>
    <cellStyle name="Calculation 3 3 3 3 3" xfId="32738"/>
    <cellStyle name="Calculation 3 3 3 4" xfId="17043"/>
    <cellStyle name="Calculation 3 3 3 4 2" xfId="38230"/>
    <cellStyle name="Calculation 3 3 3 5" xfId="27339"/>
    <cellStyle name="Calculation 3 3 3_Table 2A-1_EFT (Annual)" xfId="6609"/>
    <cellStyle name="Calculation 3 3 4" xfId="2041"/>
    <cellStyle name="Calculation 3 3 4 2" xfId="5602"/>
    <cellStyle name="Calculation 3 3 4 2 2" xfId="13817"/>
    <cellStyle name="Calculation 3 3 4 2 2 2" xfId="25805"/>
    <cellStyle name="Calculation 3 3 4 2 2 2 2" xfId="46991"/>
    <cellStyle name="Calculation 3 3 4 2 2 3" xfId="36387"/>
    <cellStyle name="Calculation 3 3 4 2 3" xfId="20692"/>
    <cellStyle name="Calculation 3 3 4 2 3 2" xfId="41879"/>
    <cellStyle name="Calculation 3 3 4 2 4" xfId="31259"/>
    <cellStyle name="Calculation 3 3 4 2_Table 2A-1_EFT (Annual)" xfId="12011"/>
    <cellStyle name="Calculation 3 3 4 3" xfId="11161"/>
    <cellStyle name="Calculation 3 3 4 3 2" xfId="23259"/>
    <cellStyle name="Calculation 3 3 4 3 2 2" xfId="44445"/>
    <cellStyle name="Calculation 3 3 4 3 3" xfId="33841"/>
    <cellStyle name="Calculation 3 3 4 4" xfId="18146"/>
    <cellStyle name="Calculation 3 3 4 4 2" xfId="39333"/>
    <cellStyle name="Calculation 3 3 4 5" xfId="28516"/>
    <cellStyle name="Calculation 3 3 4_Table 2A-1_EFT (Annual)" xfId="6610"/>
    <cellStyle name="Calculation 3 3 5" xfId="3884"/>
    <cellStyle name="Calculation 3 3 5 2" xfId="12216"/>
    <cellStyle name="Calculation 3 3 5 2 2" xfId="24241"/>
    <cellStyle name="Calculation 3 3 5 2 2 2" xfId="45427"/>
    <cellStyle name="Calculation 3 3 5 2 3" xfId="34823"/>
    <cellStyle name="Calculation 3 3 5 3" xfId="19128"/>
    <cellStyle name="Calculation 3 3 5 3 2" xfId="40315"/>
    <cellStyle name="Calculation 3 3 5 4" xfId="29572"/>
    <cellStyle name="Calculation 3 3 5_Table 2A-1_EFT (Annual)" xfId="12012"/>
    <cellStyle name="Calculation 3 3 6" xfId="9553"/>
    <cellStyle name="Calculation 3 3 6 2" xfId="21695"/>
    <cellStyle name="Calculation 3 3 6 2 2" xfId="42881"/>
    <cellStyle name="Calculation 3 3 6 3" xfId="32277"/>
    <cellStyle name="Calculation 3 3 7" xfId="16582"/>
    <cellStyle name="Calculation 3 3 7 2" xfId="37769"/>
    <cellStyle name="Calculation 3 3 8" xfId="26829"/>
    <cellStyle name="Calculation 3 3_Table 2A-1_EFT (Annual)" xfId="2956"/>
    <cellStyle name="Calculation 3 4" xfId="1136"/>
    <cellStyle name="Calculation 3 4 2" xfId="2406"/>
    <cellStyle name="Calculation 3 4 2 2" xfId="5967"/>
    <cellStyle name="Calculation 3 4 2 2 2" xfId="14161"/>
    <cellStyle name="Calculation 3 4 2 2 2 2" xfId="26133"/>
    <cellStyle name="Calculation 3 4 2 2 2 2 2" xfId="47319"/>
    <cellStyle name="Calculation 3 4 2 2 2 3" xfId="36715"/>
    <cellStyle name="Calculation 3 4 2 2 3" xfId="21020"/>
    <cellStyle name="Calculation 3 4 2 2 3 2" xfId="42207"/>
    <cellStyle name="Calculation 3 4 2 2 4" xfId="31623"/>
    <cellStyle name="Calculation 3 4 2 2_Table 2A-1_EFT (Annual)" xfId="12008"/>
    <cellStyle name="Calculation 3 4 2 3" xfId="11503"/>
    <cellStyle name="Calculation 3 4 2 3 2" xfId="23587"/>
    <cellStyle name="Calculation 3 4 2 3 2 2" xfId="44773"/>
    <cellStyle name="Calculation 3 4 2 3 3" xfId="34169"/>
    <cellStyle name="Calculation 3 4 2 4" xfId="18474"/>
    <cellStyle name="Calculation 3 4 2 4 2" xfId="39661"/>
    <cellStyle name="Calculation 3 4 2 5" xfId="28880"/>
    <cellStyle name="Calculation 3 4 2_Table 2A-1_EFT (Annual)" xfId="6612"/>
    <cellStyle name="Calculation 3 4 3" xfId="4697"/>
    <cellStyle name="Calculation 3 4 3 2" xfId="12957"/>
    <cellStyle name="Calculation 3 4 3 2 2" xfId="24963"/>
    <cellStyle name="Calculation 3 4 3 2 2 2" xfId="46149"/>
    <cellStyle name="Calculation 3 4 3 2 3" xfId="35545"/>
    <cellStyle name="Calculation 3 4 3 3" xfId="19850"/>
    <cellStyle name="Calculation 3 4 3 3 2" xfId="41037"/>
    <cellStyle name="Calculation 3 4 3 4" xfId="30354"/>
    <cellStyle name="Calculation 3 4 3_Table 2A-1_EFT (Annual)" xfId="12010"/>
    <cellStyle name="Calculation 3 4 4" xfId="10301"/>
    <cellStyle name="Calculation 3 4 4 2" xfId="22417"/>
    <cellStyle name="Calculation 3 4 4 2 2" xfId="43603"/>
    <cellStyle name="Calculation 3 4 4 3" xfId="32999"/>
    <cellStyle name="Calculation 3 4 5" xfId="17304"/>
    <cellStyle name="Calculation 3 4 5 2" xfId="38491"/>
    <cellStyle name="Calculation 3 4 6" xfId="27611"/>
    <cellStyle name="Calculation 3 4_Table 2A-1_EFT (Annual)" xfId="6611"/>
    <cellStyle name="Calculation 3 5" xfId="705"/>
    <cellStyle name="Calculation 3 5 2" xfId="4266"/>
    <cellStyle name="Calculation 3 5 2 2" xfId="12550"/>
    <cellStyle name="Calculation 3 5 2 2 2" xfId="24568"/>
    <cellStyle name="Calculation 3 5 2 2 2 2" xfId="45754"/>
    <cellStyle name="Calculation 3 5 2 2 3" xfId="35150"/>
    <cellStyle name="Calculation 3 5 2 3" xfId="19455"/>
    <cellStyle name="Calculation 3 5 2 3 2" xfId="40642"/>
    <cellStyle name="Calculation 3 5 2 4" xfId="29923"/>
    <cellStyle name="Calculation 3 5 2_Table 2A-1_EFT (Annual)" xfId="12009"/>
    <cellStyle name="Calculation 3 5 3" xfId="9897"/>
    <cellStyle name="Calculation 3 5 3 2" xfId="22022"/>
    <cellStyle name="Calculation 3 5 3 2 2" xfId="43208"/>
    <cellStyle name="Calculation 3 5 3 3" xfId="32604"/>
    <cellStyle name="Calculation 3 5 4" xfId="16909"/>
    <cellStyle name="Calculation 3 5 4 2" xfId="38096"/>
    <cellStyle name="Calculation 3 5 5" xfId="27180"/>
    <cellStyle name="Calculation 3 5_Table 2A-1_EFT (Annual)" xfId="6613"/>
    <cellStyle name="Calculation 3 6" xfId="1875"/>
    <cellStyle name="Calculation 3 6 2" xfId="5436"/>
    <cellStyle name="Calculation 3 6 2 2" xfId="13651"/>
    <cellStyle name="Calculation 3 6 2 2 2" xfId="25639"/>
    <cellStyle name="Calculation 3 6 2 2 2 2" xfId="46825"/>
    <cellStyle name="Calculation 3 6 2 2 3" xfId="36221"/>
    <cellStyle name="Calculation 3 6 2 3" xfId="20526"/>
    <cellStyle name="Calculation 3 6 2 3 2" xfId="41713"/>
    <cellStyle name="Calculation 3 6 2 4" xfId="31093"/>
    <cellStyle name="Calculation 3 6 2_Table 2A-1_EFT (Annual)" xfId="14151"/>
    <cellStyle name="Calculation 3 6 3" xfId="10995"/>
    <cellStyle name="Calculation 3 6 3 2" xfId="23093"/>
    <cellStyle name="Calculation 3 6 3 2 2" xfId="44279"/>
    <cellStyle name="Calculation 3 6 3 3" xfId="33675"/>
    <cellStyle name="Calculation 3 6 4" xfId="17980"/>
    <cellStyle name="Calculation 3 6 4 2" xfId="39167"/>
    <cellStyle name="Calculation 3 6 5" xfId="28350"/>
    <cellStyle name="Calculation 3 6_Table 2A-1_EFT (Annual)" xfId="6614"/>
    <cellStyle name="Calculation 3 7" xfId="3671"/>
    <cellStyle name="Calculation 3 7 2" xfId="12044"/>
    <cellStyle name="Calculation 3 7 2 2" xfId="24075"/>
    <cellStyle name="Calculation 3 7 2 2 2" xfId="45261"/>
    <cellStyle name="Calculation 3 7 2 3" xfId="34657"/>
    <cellStyle name="Calculation 3 7 3" xfId="18962"/>
    <cellStyle name="Calculation 3 7 3 2" xfId="40149"/>
    <cellStyle name="Calculation 3 7 4" xfId="29381"/>
    <cellStyle name="Calculation 3 7_Table 2A-1_EFT (Annual)" xfId="10052"/>
    <cellStyle name="Calculation 3 8" xfId="9361"/>
    <cellStyle name="Calculation 3 8 2" xfId="21529"/>
    <cellStyle name="Calculation 3 8 2 2" xfId="42715"/>
    <cellStyle name="Calculation 3 8 3" xfId="32111"/>
    <cellStyle name="Calculation 3 9" xfId="16416"/>
    <cellStyle name="Calculation 3 9 2" xfId="37603"/>
    <cellStyle name="Calculation 3_Table 2A-1_EFT (Annual)" xfId="2954"/>
    <cellStyle name="Calculation 30" xfId="243"/>
    <cellStyle name="Calculation 30 10" xfId="26798"/>
    <cellStyle name="Calculation 30 2" xfId="630"/>
    <cellStyle name="Calculation 30 2 2" xfId="1607"/>
    <cellStyle name="Calculation 30 2 2 2" xfId="2877"/>
    <cellStyle name="Calculation 30 2 2 2 2" xfId="6438"/>
    <cellStyle name="Calculation 30 2 2 2 2 2" xfId="14632"/>
    <cellStyle name="Calculation 30 2 2 2 2 2 2" xfId="26604"/>
    <cellStyle name="Calculation 30 2 2 2 2 2 2 2" xfId="47790"/>
    <cellStyle name="Calculation 30 2 2 2 2 2 3" xfId="37186"/>
    <cellStyle name="Calculation 30 2 2 2 2 3" xfId="21491"/>
    <cellStyle name="Calculation 30 2 2 2 2 3 2" xfId="42678"/>
    <cellStyle name="Calculation 30 2 2 2 2 4" xfId="32094"/>
    <cellStyle name="Calculation 30 2 2 2 2_Table 2A-1_EFT (Annual)" xfId="12007"/>
    <cellStyle name="Calculation 30 2 2 2 3" xfId="11974"/>
    <cellStyle name="Calculation 30 2 2 2 3 2" xfId="24058"/>
    <cellStyle name="Calculation 30 2 2 2 3 2 2" xfId="45244"/>
    <cellStyle name="Calculation 30 2 2 2 3 3" xfId="34640"/>
    <cellStyle name="Calculation 30 2 2 2 4" xfId="18945"/>
    <cellStyle name="Calculation 30 2 2 2 4 2" xfId="40132"/>
    <cellStyle name="Calculation 30 2 2 2 5" xfId="29351"/>
    <cellStyle name="Calculation 30 2 2 2_Table 2A-1_EFT (Annual)" xfId="6616"/>
    <cellStyle name="Calculation 30 2 2 3" xfId="5168"/>
    <cellStyle name="Calculation 30 2 2 3 2" xfId="13428"/>
    <cellStyle name="Calculation 30 2 2 3 2 2" xfId="25434"/>
    <cellStyle name="Calculation 30 2 2 3 2 2 2" xfId="46620"/>
    <cellStyle name="Calculation 30 2 2 3 2 3" xfId="36016"/>
    <cellStyle name="Calculation 30 2 2 3 3" xfId="20321"/>
    <cellStyle name="Calculation 30 2 2 3 3 2" xfId="41508"/>
    <cellStyle name="Calculation 30 2 2 3 4" xfId="30825"/>
    <cellStyle name="Calculation 30 2 2 3_Table 2A-1_EFT (Annual)" xfId="10788"/>
    <cellStyle name="Calculation 30 2 2 4" xfId="10772"/>
    <cellStyle name="Calculation 30 2 2 4 2" xfId="22888"/>
    <cellStyle name="Calculation 30 2 2 4 2 2" xfId="44074"/>
    <cellStyle name="Calculation 30 2 2 4 3" xfId="33470"/>
    <cellStyle name="Calculation 30 2 2 5" xfId="17775"/>
    <cellStyle name="Calculation 30 2 2 5 2" xfId="38962"/>
    <cellStyle name="Calculation 30 2 2 6" xfId="28082"/>
    <cellStyle name="Calculation 30 2 2_Table 2A-1_EFT (Annual)" xfId="6615"/>
    <cellStyle name="Calculation 30 2 3" xfId="1120"/>
    <cellStyle name="Calculation 30 2 3 2" xfId="4681"/>
    <cellStyle name="Calculation 30 2 3 2 2" xfId="12941"/>
    <cellStyle name="Calculation 30 2 3 2 2 2" xfId="24947"/>
    <cellStyle name="Calculation 30 2 3 2 2 2 2" xfId="46133"/>
    <cellStyle name="Calculation 30 2 3 2 2 3" xfId="35529"/>
    <cellStyle name="Calculation 30 2 3 2 3" xfId="19834"/>
    <cellStyle name="Calculation 30 2 3 2 3 2" xfId="41021"/>
    <cellStyle name="Calculation 30 2 3 2 4" xfId="30338"/>
    <cellStyle name="Calculation 30 2 3 2_Table 2A-1_EFT (Annual)" xfId="12006"/>
    <cellStyle name="Calculation 30 2 3 3" xfId="10285"/>
    <cellStyle name="Calculation 30 2 3 3 2" xfId="22401"/>
    <cellStyle name="Calculation 30 2 3 3 2 2" xfId="43587"/>
    <cellStyle name="Calculation 30 2 3 3 3" xfId="32983"/>
    <cellStyle name="Calculation 30 2 3 4" xfId="17288"/>
    <cellStyle name="Calculation 30 2 3 4 2" xfId="38475"/>
    <cellStyle name="Calculation 30 2 3 5" xfId="27595"/>
    <cellStyle name="Calculation 30 2 3_Table 2A-1_EFT (Annual)" xfId="6617"/>
    <cellStyle name="Calculation 30 2 4" xfId="2346"/>
    <cellStyle name="Calculation 30 2 4 2" xfId="5907"/>
    <cellStyle name="Calculation 30 2 4 2 2" xfId="14122"/>
    <cellStyle name="Calculation 30 2 4 2 2 2" xfId="26110"/>
    <cellStyle name="Calculation 30 2 4 2 2 2 2" xfId="47296"/>
    <cellStyle name="Calculation 30 2 4 2 2 3" xfId="36692"/>
    <cellStyle name="Calculation 30 2 4 2 3" xfId="20997"/>
    <cellStyle name="Calculation 30 2 4 2 3 2" xfId="42184"/>
    <cellStyle name="Calculation 30 2 4 2 4" xfId="31564"/>
    <cellStyle name="Calculation 30 2 4 2_Table 2A-1_EFT (Annual)" xfId="9877"/>
    <cellStyle name="Calculation 30 2 4 3" xfId="11466"/>
    <cellStyle name="Calculation 30 2 4 3 2" xfId="23564"/>
    <cellStyle name="Calculation 30 2 4 3 2 2" xfId="44750"/>
    <cellStyle name="Calculation 30 2 4 3 3" xfId="34146"/>
    <cellStyle name="Calculation 30 2 4 4" xfId="18451"/>
    <cellStyle name="Calculation 30 2 4 4 2" xfId="39638"/>
    <cellStyle name="Calculation 30 2 4 5" xfId="28821"/>
    <cellStyle name="Calculation 30 2 4_Table 2A-1_EFT (Annual)" xfId="6618"/>
    <cellStyle name="Calculation 30 2 5" xfId="4200"/>
    <cellStyle name="Calculation 30 2 5 2" xfId="12524"/>
    <cellStyle name="Calculation 30 2 5 2 2" xfId="24546"/>
    <cellStyle name="Calculation 30 2 5 2 2 2" xfId="45732"/>
    <cellStyle name="Calculation 30 2 5 2 3" xfId="35128"/>
    <cellStyle name="Calculation 30 2 5 3" xfId="19433"/>
    <cellStyle name="Calculation 30 2 5 3 2" xfId="40620"/>
    <cellStyle name="Calculation 30 2 5 4" xfId="29888"/>
    <cellStyle name="Calculation 30 2 5_Table 2A-1_EFT (Annual)" xfId="12210"/>
    <cellStyle name="Calculation 30 2 6" xfId="9863"/>
    <cellStyle name="Calculation 30 2 6 2" xfId="22000"/>
    <cellStyle name="Calculation 30 2 6 2 2" xfId="43186"/>
    <cellStyle name="Calculation 30 2 6 3" xfId="32582"/>
    <cellStyle name="Calculation 30 2 7" xfId="16887"/>
    <cellStyle name="Calculation 30 2 7 2" xfId="38074"/>
    <cellStyle name="Calculation 30 2 8" xfId="27145"/>
    <cellStyle name="Calculation 30 2_Table 2A-1_EFT (Annual)" xfId="2958"/>
    <cellStyle name="Calculation 30 3" xfId="469"/>
    <cellStyle name="Calculation 30 3 2" xfId="1446"/>
    <cellStyle name="Calculation 30 3 2 2" xfId="2716"/>
    <cellStyle name="Calculation 30 3 2 2 2" xfId="6277"/>
    <cellStyle name="Calculation 30 3 2 2 2 2" xfId="14471"/>
    <cellStyle name="Calculation 30 3 2 2 2 2 2" xfId="26443"/>
    <cellStyle name="Calculation 30 3 2 2 2 2 2 2" xfId="47629"/>
    <cellStyle name="Calculation 30 3 2 2 2 2 3" xfId="37025"/>
    <cellStyle name="Calculation 30 3 2 2 2 3" xfId="21330"/>
    <cellStyle name="Calculation 30 3 2 2 2 3 2" xfId="42517"/>
    <cellStyle name="Calculation 30 3 2 2 2 4" xfId="31933"/>
    <cellStyle name="Calculation 30 3 2 2 2_Table 2A-1_EFT (Annual)" xfId="12683"/>
    <cellStyle name="Calculation 30 3 2 2 3" xfId="11813"/>
    <cellStyle name="Calculation 30 3 2 2 3 2" xfId="23897"/>
    <cellStyle name="Calculation 30 3 2 2 3 2 2" xfId="45083"/>
    <cellStyle name="Calculation 30 3 2 2 3 3" xfId="34479"/>
    <cellStyle name="Calculation 30 3 2 2 4" xfId="18784"/>
    <cellStyle name="Calculation 30 3 2 2 4 2" xfId="39971"/>
    <cellStyle name="Calculation 30 3 2 2 5" xfId="29190"/>
    <cellStyle name="Calculation 30 3 2 2_Table 2A-1_EFT (Annual)" xfId="6620"/>
    <cellStyle name="Calculation 30 3 2 3" xfId="5007"/>
    <cellStyle name="Calculation 30 3 2 3 2" xfId="13267"/>
    <cellStyle name="Calculation 30 3 2 3 2 2" xfId="25273"/>
    <cellStyle name="Calculation 30 3 2 3 2 2 2" xfId="46459"/>
    <cellStyle name="Calculation 30 3 2 3 2 3" xfId="35855"/>
    <cellStyle name="Calculation 30 3 2 3 3" xfId="20160"/>
    <cellStyle name="Calculation 30 3 2 3 3 2" xfId="41347"/>
    <cellStyle name="Calculation 30 3 2 3 4" xfId="30664"/>
    <cellStyle name="Calculation 30 3 2 3_Table 2A-1_EFT (Annual)" xfId="14146"/>
    <cellStyle name="Calculation 30 3 2 4" xfId="10611"/>
    <cellStyle name="Calculation 30 3 2 4 2" xfId="22727"/>
    <cellStyle name="Calculation 30 3 2 4 2 2" xfId="43913"/>
    <cellStyle name="Calculation 30 3 2 4 3" xfId="33309"/>
    <cellStyle name="Calculation 30 3 2 5" xfId="17614"/>
    <cellStyle name="Calculation 30 3 2 5 2" xfId="38801"/>
    <cellStyle name="Calculation 30 3 2 6" xfId="27921"/>
    <cellStyle name="Calculation 30 3 2_Table 2A-1_EFT (Annual)" xfId="6619"/>
    <cellStyle name="Calculation 30 3 3" xfId="990"/>
    <cellStyle name="Calculation 30 3 3 2" xfId="4551"/>
    <cellStyle name="Calculation 30 3 3 2 2" xfId="12811"/>
    <cellStyle name="Calculation 30 3 3 2 2 2" xfId="24817"/>
    <cellStyle name="Calculation 30 3 3 2 2 2 2" xfId="46003"/>
    <cellStyle name="Calculation 30 3 3 2 2 3" xfId="35399"/>
    <cellStyle name="Calculation 30 3 3 2 3" xfId="19704"/>
    <cellStyle name="Calculation 30 3 3 2 3 2" xfId="40891"/>
    <cellStyle name="Calculation 30 3 3 2 4" xfId="30208"/>
    <cellStyle name="Calculation 30 3 3 2_Table 2A-1_EFT (Annual)" xfId="9544"/>
    <cellStyle name="Calculation 30 3 3 3" xfId="10155"/>
    <cellStyle name="Calculation 30 3 3 3 2" xfId="22271"/>
    <cellStyle name="Calculation 30 3 3 3 2 2" xfId="43457"/>
    <cellStyle name="Calculation 30 3 3 3 3" xfId="32853"/>
    <cellStyle name="Calculation 30 3 3 4" xfId="17158"/>
    <cellStyle name="Calculation 30 3 3 4 2" xfId="38345"/>
    <cellStyle name="Calculation 30 3 3 5" xfId="27465"/>
    <cellStyle name="Calculation 30 3 3_Table 2A-1_EFT (Annual)" xfId="6621"/>
    <cellStyle name="Calculation 30 3 4" xfId="2185"/>
    <cellStyle name="Calculation 30 3 4 2" xfId="5746"/>
    <cellStyle name="Calculation 30 3 4 2 2" xfId="13961"/>
    <cellStyle name="Calculation 30 3 4 2 2 2" xfId="25949"/>
    <cellStyle name="Calculation 30 3 4 2 2 2 2" xfId="47135"/>
    <cellStyle name="Calculation 30 3 4 2 2 3" xfId="36531"/>
    <cellStyle name="Calculation 30 3 4 2 3" xfId="20836"/>
    <cellStyle name="Calculation 30 3 4 2 3 2" xfId="42023"/>
    <cellStyle name="Calculation 30 3 4 2 4" xfId="31403"/>
    <cellStyle name="Calculation 30 3 4 2_Table 2A-1_EFT (Annual)" xfId="12005"/>
    <cellStyle name="Calculation 30 3 4 3" xfId="11305"/>
    <cellStyle name="Calculation 30 3 4 3 2" xfId="23403"/>
    <cellStyle name="Calculation 30 3 4 3 2 2" xfId="44589"/>
    <cellStyle name="Calculation 30 3 4 3 3" xfId="33985"/>
    <cellStyle name="Calculation 30 3 4 4" xfId="18290"/>
    <cellStyle name="Calculation 30 3 4 4 2" xfId="39477"/>
    <cellStyle name="Calculation 30 3 4 5" xfId="28660"/>
    <cellStyle name="Calculation 30 3 4_Table 2A-1_EFT (Annual)" xfId="6622"/>
    <cellStyle name="Calculation 30 3 5" xfId="4039"/>
    <cellStyle name="Calculation 30 3 5 2" xfId="12363"/>
    <cellStyle name="Calculation 30 3 5 2 2" xfId="24385"/>
    <cellStyle name="Calculation 30 3 5 2 2 2" xfId="45571"/>
    <cellStyle name="Calculation 30 3 5 2 3" xfId="34967"/>
    <cellStyle name="Calculation 30 3 5 3" xfId="19272"/>
    <cellStyle name="Calculation 30 3 5 3 2" xfId="40459"/>
    <cellStyle name="Calculation 30 3 5 4" xfId="29727"/>
    <cellStyle name="Calculation 30 3 5_Table 2A-1_EFT (Annual)" xfId="10799"/>
    <cellStyle name="Calculation 30 3 6" xfId="9702"/>
    <cellStyle name="Calculation 30 3 6 2" xfId="21839"/>
    <cellStyle name="Calculation 30 3 6 2 2" xfId="43025"/>
    <cellStyle name="Calculation 30 3 6 3" xfId="32421"/>
    <cellStyle name="Calculation 30 3 7" xfId="16726"/>
    <cellStyle name="Calculation 30 3 7 2" xfId="37913"/>
    <cellStyle name="Calculation 30 3 8" xfId="26984"/>
    <cellStyle name="Calculation 30 3_Table 2A-1_EFT (Annual)" xfId="2959"/>
    <cellStyle name="Calculation 30 4" xfId="1285"/>
    <cellStyle name="Calculation 30 4 2" xfId="2555"/>
    <cellStyle name="Calculation 30 4 2 2" xfId="6116"/>
    <cellStyle name="Calculation 30 4 2 2 2" xfId="14310"/>
    <cellStyle name="Calculation 30 4 2 2 2 2" xfId="26282"/>
    <cellStyle name="Calculation 30 4 2 2 2 2 2" xfId="47468"/>
    <cellStyle name="Calculation 30 4 2 2 2 3" xfId="36864"/>
    <cellStyle name="Calculation 30 4 2 2 3" xfId="21169"/>
    <cellStyle name="Calculation 30 4 2 2 3 2" xfId="42356"/>
    <cellStyle name="Calculation 30 4 2 2 4" xfId="31772"/>
    <cellStyle name="Calculation 30 4 2 2_Table 2A-1_EFT (Annual)" xfId="14141"/>
    <cellStyle name="Calculation 30 4 2 3" xfId="11652"/>
    <cellStyle name="Calculation 30 4 2 3 2" xfId="23736"/>
    <cellStyle name="Calculation 30 4 2 3 2 2" xfId="44922"/>
    <cellStyle name="Calculation 30 4 2 3 3" xfId="34318"/>
    <cellStyle name="Calculation 30 4 2 4" xfId="18623"/>
    <cellStyle name="Calculation 30 4 2 4 2" xfId="39810"/>
    <cellStyle name="Calculation 30 4 2 5" xfId="29029"/>
    <cellStyle name="Calculation 30 4 2_Table 2A-1_EFT (Annual)" xfId="6624"/>
    <cellStyle name="Calculation 30 4 3" xfId="4846"/>
    <cellStyle name="Calculation 30 4 3 2" xfId="13106"/>
    <cellStyle name="Calculation 30 4 3 2 2" xfId="25112"/>
    <cellStyle name="Calculation 30 4 3 2 2 2" xfId="46298"/>
    <cellStyle name="Calculation 30 4 3 2 3" xfId="35694"/>
    <cellStyle name="Calculation 30 4 3 3" xfId="19999"/>
    <cellStyle name="Calculation 30 4 3 3 2" xfId="41186"/>
    <cellStyle name="Calculation 30 4 3 4" xfId="30503"/>
    <cellStyle name="Calculation 30 4 3_Table 2A-1_EFT (Annual)" xfId="9911"/>
    <cellStyle name="Calculation 30 4 4" xfId="10450"/>
    <cellStyle name="Calculation 30 4 4 2" xfId="22566"/>
    <cellStyle name="Calculation 30 4 4 2 2" xfId="43752"/>
    <cellStyle name="Calculation 30 4 4 3" xfId="33148"/>
    <cellStyle name="Calculation 30 4 5" xfId="17453"/>
    <cellStyle name="Calculation 30 4 5 2" xfId="38640"/>
    <cellStyle name="Calculation 30 4 6" xfId="27760"/>
    <cellStyle name="Calculation 30 4_Table 2A-1_EFT (Annual)" xfId="6623"/>
    <cellStyle name="Calculation 30 5" xfId="835"/>
    <cellStyle name="Calculation 30 5 2" xfId="4396"/>
    <cellStyle name="Calculation 30 5 2 2" xfId="12670"/>
    <cellStyle name="Calculation 30 5 2 2 2" xfId="24687"/>
    <cellStyle name="Calculation 30 5 2 2 2 2" xfId="45873"/>
    <cellStyle name="Calculation 30 5 2 2 3" xfId="35269"/>
    <cellStyle name="Calculation 30 5 2 3" xfId="19574"/>
    <cellStyle name="Calculation 30 5 2 3 2" xfId="40761"/>
    <cellStyle name="Calculation 30 5 2 4" xfId="30053"/>
    <cellStyle name="Calculation 30 5 2_Table 2A-1_EFT (Annual)" xfId="12004"/>
    <cellStyle name="Calculation 30 5 3" xfId="10019"/>
    <cellStyle name="Calculation 30 5 3 2" xfId="22141"/>
    <cellStyle name="Calculation 30 5 3 2 2" xfId="43327"/>
    <cellStyle name="Calculation 30 5 3 3" xfId="32723"/>
    <cellStyle name="Calculation 30 5 4" xfId="17028"/>
    <cellStyle name="Calculation 30 5 4 2" xfId="38215"/>
    <cellStyle name="Calculation 30 5 5" xfId="27310"/>
    <cellStyle name="Calculation 30 5_Table 2A-1_EFT (Annual)" xfId="6625"/>
    <cellStyle name="Calculation 30 6" xfId="2024"/>
    <cellStyle name="Calculation 30 6 2" xfId="5585"/>
    <cellStyle name="Calculation 30 6 2 2" xfId="13800"/>
    <cellStyle name="Calculation 30 6 2 2 2" xfId="25788"/>
    <cellStyle name="Calculation 30 6 2 2 2 2" xfId="46974"/>
    <cellStyle name="Calculation 30 6 2 2 3" xfId="36370"/>
    <cellStyle name="Calculation 30 6 2 3" xfId="20675"/>
    <cellStyle name="Calculation 30 6 2 3 2" xfId="41862"/>
    <cellStyle name="Calculation 30 6 2 4" xfId="31242"/>
    <cellStyle name="Calculation 30 6 2_Table 2A-1_EFT (Annual)" xfId="12002"/>
    <cellStyle name="Calculation 30 6 3" xfId="11144"/>
    <cellStyle name="Calculation 30 6 3 2" xfId="23242"/>
    <cellStyle name="Calculation 30 6 3 2 2" xfId="44428"/>
    <cellStyle name="Calculation 30 6 3 3" xfId="33824"/>
    <cellStyle name="Calculation 30 6 4" xfId="18129"/>
    <cellStyle name="Calculation 30 6 4 2" xfId="39316"/>
    <cellStyle name="Calculation 30 6 5" xfId="28499"/>
    <cellStyle name="Calculation 30 6_Table 2A-1_EFT (Annual)" xfId="6626"/>
    <cellStyle name="Calculation 30 7" xfId="3832"/>
    <cellStyle name="Calculation 30 7 2" xfId="12195"/>
    <cellStyle name="Calculation 30 7 2 2" xfId="24224"/>
    <cellStyle name="Calculation 30 7 2 2 2" xfId="45410"/>
    <cellStyle name="Calculation 30 7 2 3" xfId="34806"/>
    <cellStyle name="Calculation 30 7 3" xfId="19111"/>
    <cellStyle name="Calculation 30 7 3 2" xfId="40298"/>
    <cellStyle name="Calculation 30 7 4" xfId="29541"/>
    <cellStyle name="Calculation 30 7_Table 2A-1_EFT (Annual)" xfId="12003"/>
    <cellStyle name="Calculation 30 8" xfId="9514"/>
    <cellStyle name="Calculation 30 8 2" xfId="21678"/>
    <cellStyle name="Calculation 30 8 2 2" xfId="42864"/>
    <cellStyle name="Calculation 30 8 3" xfId="32260"/>
    <cellStyle name="Calculation 30 9" xfId="16565"/>
    <cellStyle name="Calculation 30 9 2" xfId="37752"/>
    <cellStyle name="Calculation 30_Table 2A-1_EFT (Annual)" xfId="2957"/>
    <cellStyle name="Calculation 31" xfId="191"/>
    <cellStyle name="Calculation 31 10" xfId="26746"/>
    <cellStyle name="Calculation 31 2" xfId="584"/>
    <cellStyle name="Calculation 31 2 2" xfId="1561"/>
    <cellStyle name="Calculation 31 2 2 2" xfId="2831"/>
    <cellStyle name="Calculation 31 2 2 2 2" xfId="6392"/>
    <cellStyle name="Calculation 31 2 2 2 2 2" xfId="14586"/>
    <cellStyle name="Calculation 31 2 2 2 2 2 2" xfId="26558"/>
    <cellStyle name="Calculation 31 2 2 2 2 2 2 2" xfId="47744"/>
    <cellStyle name="Calculation 31 2 2 2 2 2 3" xfId="37140"/>
    <cellStyle name="Calculation 31 2 2 2 2 3" xfId="21445"/>
    <cellStyle name="Calculation 31 2 2 2 2 3 2" xfId="42632"/>
    <cellStyle name="Calculation 31 2 2 2 2 4" xfId="32048"/>
    <cellStyle name="Calculation 31 2 2 2 2_Table 2A-1_EFT (Annual)" xfId="9353"/>
    <cellStyle name="Calculation 31 2 2 2 3" xfId="11928"/>
    <cellStyle name="Calculation 31 2 2 2 3 2" xfId="24012"/>
    <cellStyle name="Calculation 31 2 2 2 3 2 2" xfId="45198"/>
    <cellStyle name="Calculation 31 2 2 2 3 3" xfId="34594"/>
    <cellStyle name="Calculation 31 2 2 2 4" xfId="18899"/>
    <cellStyle name="Calculation 31 2 2 2 4 2" xfId="40086"/>
    <cellStyle name="Calculation 31 2 2 2 5" xfId="29305"/>
    <cellStyle name="Calculation 31 2 2 2_Table 2A-1_EFT (Annual)" xfId="6628"/>
    <cellStyle name="Calculation 31 2 2 3" xfId="5122"/>
    <cellStyle name="Calculation 31 2 2 3 2" xfId="13382"/>
    <cellStyle name="Calculation 31 2 2 3 2 2" xfId="25388"/>
    <cellStyle name="Calculation 31 2 2 3 2 2 2" xfId="46574"/>
    <cellStyle name="Calculation 31 2 2 3 2 3" xfId="35970"/>
    <cellStyle name="Calculation 31 2 2 3 3" xfId="20275"/>
    <cellStyle name="Calculation 31 2 2 3 3 2" xfId="41462"/>
    <cellStyle name="Calculation 31 2 2 3 4" xfId="30779"/>
    <cellStyle name="Calculation 31 2 2 3_Table 2A-1_EFT (Annual)" xfId="12001"/>
    <cellStyle name="Calculation 31 2 2 4" xfId="10726"/>
    <cellStyle name="Calculation 31 2 2 4 2" xfId="22842"/>
    <cellStyle name="Calculation 31 2 2 4 2 2" xfId="44028"/>
    <cellStyle name="Calculation 31 2 2 4 3" xfId="33424"/>
    <cellStyle name="Calculation 31 2 2 5" xfId="17729"/>
    <cellStyle name="Calculation 31 2 2 5 2" xfId="38916"/>
    <cellStyle name="Calculation 31 2 2 6" xfId="28036"/>
    <cellStyle name="Calculation 31 2 2_Table 2A-1_EFT (Annual)" xfId="6627"/>
    <cellStyle name="Calculation 31 2 3" xfId="1083"/>
    <cellStyle name="Calculation 31 2 3 2" xfId="4644"/>
    <cellStyle name="Calculation 31 2 3 2 2" xfId="12904"/>
    <cellStyle name="Calculation 31 2 3 2 2 2" xfId="24910"/>
    <cellStyle name="Calculation 31 2 3 2 2 2 2" xfId="46096"/>
    <cellStyle name="Calculation 31 2 3 2 2 3" xfId="35492"/>
    <cellStyle name="Calculation 31 2 3 2 3" xfId="19797"/>
    <cellStyle name="Calculation 31 2 3 2 3 2" xfId="40984"/>
    <cellStyle name="Calculation 31 2 3 2 4" xfId="30301"/>
    <cellStyle name="Calculation 31 2 3 2_Table 2A-1_EFT (Annual)" xfId="9355"/>
    <cellStyle name="Calculation 31 2 3 3" xfId="10248"/>
    <cellStyle name="Calculation 31 2 3 3 2" xfId="22364"/>
    <cellStyle name="Calculation 31 2 3 3 2 2" xfId="43550"/>
    <cellStyle name="Calculation 31 2 3 3 3" xfId="32946"/>
    <cellStyle name="Calculation 31 2 3 4" xfId="17251"/>
    <cellStyle name="Calculation 31 2 3 4 2" xfId="38438"/>
    <cellStyle name="Calculation 31 2 3 5" xfId="27558"/>
    <cellStyle name="Calculation 31 2 3_Table 2A-1_EFT (Annual)" xfId="6629"/>
    <cellStyle name="Calculation 31 2 4" xfId="2300"/>
    <cellStyle name="Calculation 31 2 4 2" xfId="5861"/>
    <cellStyle name="Calculation 31 2 4 2 2" xfId="14076"/>
    <cellStyle name="Calculation 31 2 4 2 2 2" xfId="26064"/>
    <cellStyle name="Calculation 31 2 4 2 2 2 2" xfId="47250"/>
    <cellStyle name="Calculation 31 2 4 2 2 3" xfId="36646"/>
    <cellStyle name="Calculation 31 2 4 2 3" xfId="20951"/>
    <cellStyle name="Calculation 31 2 4 2 3 2" xfId="42138"/>
    <cellStyle name="Calculation 31 2 4 2 4" xfId="31518"/>
    <cellStyle name="Calculation 31 2 4 2_Table 2A-1_EFT (Annual)" xfId="13442"/>
    <cellStyle name="Calculation 31 2 4 3" xfId="11420"/>
    <cellStyle name="Calculation 31 2 4 3 2" xfId="23518"/>
    <cellStyle name="Calculation 31 2 4 3 2 2" xfId="44704"/>
    <cellStyle name="Calculation 31 2 4 3 3" xfId="34100"/>
    <cellStyle name="Calculation 31 2 4 4" xfId="18405"/>
    <cellStyle name="Calculation 31 2 4 4 2" xfId="39592"/>
    <cellStyle name="Calculation 31 2 4 5" xfId="28775"/>
    <cellStyle name="Calculation 31 2 4_Table 2A-1_EFT (Annual)" xfId="6630"/>
    <cellStyle name="Calculation 31 2 5" xfId="4154"/>
    <cellStyle name="Calculation 31 2 5 2" xfId="12478"/>
    <cellStyle name="Calculation 31 2 5 2 2" xfId="24500"/>
    <cellStyle name="Calculation 31 2 5 2 2 2" xfId="45686"/>
    <cellStyle name="Calculation 31 2 5 2 3" xfId="35082"/>
    <cellStyle name="Calculation 31 2 5 3" xfId="19387"/>
    <cellStyle name="Calculation 31 2 5 3 2" xfId="40574"/>
    <cellStyle name="Calculation 31 2 5 4" xfId="29842"/>
    <cellStyle name="Calculation 31 2 5_Table 2A-1_EFT (Annual)" xfId="11480"/>
    <cellStyle name="Calculation 31 2 6" xfId="9817"/>
    <cellStyle name="Calculation 31 2 6 2" xfId="21954"/>
    <cellStyle name="Calculation 31 2 6 2 2" xfId="43140"/>
    <cellStyle name="Calculation 31 2 6 3" xfId="32536"/>
    <cellStyle name="Calculation 31 2 7" xfId="16841"/>
    <cellStyle name="Calculation 31 2 7 2" xfId="38028"/>
    <cellStyle name="Calculation 31 2 8" xfId="27099"/>
    <cellStyle name="Calculation 31 2_Table 2A-1_EFT (Annual)" xfId="2961"/>
    <cellStyle name="Calculation 31 3" xfId="421"/>
    <cellStyle name="Calculation 31 3 2" xfId="1404"/>
    <cellStyle name="Calculation 31 3 2 2" xfId="2674"/>
    <cellStyle name="Calculation 31 3 2 2 2" xfId="6235"/>
    <cellStyle name="Calculation 31 3 2 2 2 2" xfId="14429"/>
    <cellStyle name="Calculation 31 3 2 2 2 2 2" xfId="26401"/>
    <cellStyle name="Calculation 31 3 2 2 2 2 2 2" xfId="47587"/>
    <cellStyle name="Calculation 31 3 2 2 2 2 3" xfId="36983"/>
    <cellStyle name="Calculation 31 3 2 2 2 3" xfId="21288"/>
    <cellStyle name="Calculation 31 3 2 2 2 3 2" xfId="42475"/>
    <cellStyle name="Calculation 31 3 2 2 2 4" xfId="31891"/>
    <cellStyle name="Calculation 31 3 2 2 2_Table 2A-1_EFT (Annual)" xfId="13482"/>
    <cellStyle name="Calculation 31 3 2 2 3" xfId="11771"/>
    <cellStyle name="Calculation 31 3 2 2 3 2" xfId="23855"/>
    <cellStyle name="Calculation 31 3 2 2 3 2 2" xfId="45041"/>
    <cellStyle name="Calculation 31 3 2 2 3 3" xfId="34437"/>
    <cellStyle name="Calculation 31 3 2 2 4" xfId="18742"/>
    <cellStyle name="Calculation 31 3 2 2 4 2" xfId="39929"/>
    <cellStyle name="Calculation 31 3 2 2 5" xfId="29148"/>
    <cellStyle name="Calculation 31 3 2 2_Table 2A-1_EFT (Annual)" xfId="6632"/>
    <cellStyle name="Calculation 31 3 2 3" xfId="4965"/>
    <cellStyle name="Calculation 31 3 2 3 2" xfId="13225"/>
    <cellStyle name="Calculation 31 3 2 3 2 2" xfId="25231"/>
    <cellStyle name="Calculation 31 3 2 3 2 2 2" xfId="46417"/>
    <cellStyle name="Calculation 31 3 2 3 2 3" xfId="35813"/>
    <cellStyle name="Calculation 31 3 2 3 3" xfId="20118"/>
    <cellStyle name="Calculation 31 3 2 3 3 2" xfId="41305"/>
    <cellStyle name="Calculation 31 3 2 3 4" xfId="30622"/>
    <cellStyle name="Calculation 31 3 2 3_Table 2A-1_EFT (Annual)" xfId="12000"/>
    <cellStyle name="Calculation 31 3 2 4" xfId="10569"/>
    <cellStyle name="Calculation 31 3 2 4 2" xfId="22685"/>
    <cellStyle name="Calculation 31 3 2 4 2 2" xfId="43871"/>
    <cellStyle name="Calculation 31 3 2 4 3" xfId="33267"/>
    <cellStyle name="Calculation 31 3 2 5" xfId="17572"/>
    <cellStyle name="Calculation 31 3 2 5 2" xfId="38759"/>
    <cellStyle name="Calculation 31 3 2 6" xfId="27879"/>
    <cellStyle name="Calculation 31 3 2_Table 2A-1_EFT (Annual)" xfId="6631"/>
    <cellStyle name="Calculation 31 3 3" xfId="950"/>
    <cellStyle name="Calculation 31 3 3 2" xfId="4511"/>
    <cellStyle name="Calculation 31 3 3 2 2" xfId="12773"/>
    <cellStyle name="Calculation 31 3 3 2 2 2" xfId="24783"/>
    <cellStyle name="Calculation 31 3 3 2 2 2 2" xfId="45969"/>
    <cellStyle name="Calculation 31 3 3 2 2 3" xfId="35365"/>
    <cellStyle name="Calculation 31 3 3 2 3" xfId="19670"/>
    <cellStyle name="Calculation 31 3 3 2 3 2" xfId="40857"/>
    <cellStyle name="Calculation 31 3 3 2 4" xfId="30168"/>
    <cellStyle name="Calculation 31 3 3 2_Table 2A-1_EFT (Annual)" xfId="14145"/>
    <cellStyle name="Calculation 31 3 3 3" xfId="10120"/>
    <cellStyle name="Calculation 31 3 3 3 2" xfId="22237"/>
    <cellStyle name="Calculation 31 3 3 3 2 2" xfId="43423"/>
    <cellStyle name="Calculation 31 3 3 3 3" xfId="32819"/>
    <cellStyle name="Calculation 31 3 3 4" xfId="17124"/>
    <cellStyle name="Calculation 31 3 3 4 2" xfId="38311"/>
    <cellStyle name="Calculation 31 3 3 5" xfId="27425"/>
    <cellStyle name="Calculation 31 3 3_Table 2A-1_EFT (Annual)" xfId="6633"/>
    <cellStyle name="Calculation 31 3 4" xfId="2143"/>
    <cellStyle name="Calculation 31 3 4 2" xfId="5704"/>
    <cellStyle name="Calculation 31 3 4 2 2" xfId="13919"/>
    <cellStyle name="Calculation 31 3 4 2 2 2" xfId="25907"/>
    <cellStyle name="Calculation 31 3 4 2 2 2 2" xfId="47093"/>
    <cellStyle name="Calculation 31 3 4 2 2 3" xfId="36489"/>
    <cellStyle name="Calculation 31 3 4 2 3" xfId="20794"/>
    <cellStyle name="Calculation 31 3 4 2 3 2" xfId="41981"/>
    <cellStyle name="Calculation 31 3 4 2 4" xfId="31361"/>
    <cellStyle name="Calculation 31 3 4 2_Table 2A-1_EFT (Annual)" xfId="9523"/>
    <cellStyle name="Calculation 31 3 4 3" xfId="11263"/>
    <cellStyle name="Calculation 31 3 4 3 2" xfId="23361"/>
    <cellStyle name="Calculation 31 3 4 3 2 2" xfId="44547"/>
    <cellStyle name="Calculation 31 3 4 3 3" xfId="33943"/>
    <cellStyle name="Calculation 31 3 4 4" xfId="18248"/>
    <cellStyle name="Calculation 31 3 4 4 2" xfId="39435"/>
    <cellStyle name="Calculation 31 3 4 5" xfId="28618"/>
    <cellStyle name="Calculation 31 3 4_Table 2A-1_EFT (Annual)" xfId="6634"/>
    <cellStyle name="Calculation 31 3 5" xfId="3991"/>
    <cellStyle name="Calculation 31 3 5 2" xfId="12319"/>
    <cellStyle name="Calculation 31 3 5 2 2" xfId="24343"/>
    <cellStyle name="Calculation 31 3 5 2 2 2" xfId="45529"/>
    <cellStyle name="Calculation 31 3 5 2 3" xfId="34925"/>
    <cellStyle name="Calculation 31 3 5 3" xfId="19230"/>
    <cellStyle name="Calculation 31 3 5 3 2" xfId="40417"/>
    <cellStyle name="Calculation 31 3 5 4" xfId="29679"/>
    <cellStyle name="Calculation 31 3 5_Table 2A-1_EFT (Annual)" xfId="11996"/>
    <cellStyle name="Calculation 31 3 6" xfId="9656"/>
    <cellStyle name="Calculation 31 3 6 2" xfId="21797"/>
    <cellStyle name="Calculation 31 3 6 2 2" xfId="42983"/>
    <cellStyle name="Calculation 31 3 6 3" xfId="32379"/>
    <cellStyle name="Calculation 31 3 7" xfId="16684"/>
    <cellStyle name="Calculation 31 3 7 2" xfId="37871"/>
    <cellStyle name="Calculation 31 3 8" xfId="26936"/>
    <cellStyle name="Calculation 31 3_Table 2A-1_EFT (Annual)" xfId="2962"/>
    <cellStyle name="Calculation 31 4" xfId="1239"/>
    <cellStyle name="Calculation 31 4 2" xfId="2509"/>
    <cellStyle name="Calculation 31 4 2 2" xfId="6070"/>
    <cellStyle name="Calculation 31 4 2 2 2" xfId="14264"/>
    <cellStyle name="Calculation 31 4 2 2 2 2" xfId="26236"/>
    <cellStyle name="Calculation 31 4 2 2 2 2 2" xfId="47422"/>
    <cellStyle name="Calculation 31 4 2 2 2 3" xfId="36818"/>
    <cellStyle name="Calculation 31 4 2 2 3" xfId="21123"/>
    <cellStyle name="Calculation 31 4 2 2 3 2" xfId="42310"/>
    <cellStyle name="Calculation 31 4 2 2 4" xfId="31726"/>
    <cellStyle name="Calculation 31 4 2 2_Table 2A-1_EFT (Annual)" xfId="10791"/>
    <cellStyle name="Calculation 31 4 2 3" xfId="11606"/>
    <cellStyle name="Calculation 31 4 2 3 2" xfId="23690"/>
    <cellStyle name="Calculation 31 4 2 3 2 2" xfId="44876"/>
    <cellStyle name="Calculation 31 4 2 3 3" xfId="34272"/>
    <cellStyle name="Calculation 31 4 2 4" xfId="18577"/>
    <cellStyle name="Calculation 31 4 2 4 2" xfId="39764"/>
    <cellStyle name="Calculation 31 4 2 5" xfId="28983"/>
    <cellStyle name="Calculation 31 4 2_Table 2A-1_EFT (Annual)" xfId="6636"/>
    <cellStyle name="Calculation 31 4 3" xfId="4800"/>
    <cellStyle name="Calculation 31 4 3 2" xfId="13060"/>
    <cellStyle name="Calculation 31 4 3 2 2" xfId="25066"/>
    <cellStyle name="Calculation 31 4 3 2 2 2" xfId="46252"/>
    <cellStyle name="Calculation 31 4 3 2 3" xfId="35648"/>
    <cellStyle name="Calculation 31 4 3 3" xfId="19953"/>
    <cellStyle name="Calculation 31 4 3 3 2" xfId="41140"/>
    <cellStyle name="Calculation 31 4 3 4" xfId="30457"/>
    <cellStyle name="Calculation 31 4 3_Table 2A-1_EFT (Annual)" xfId="12541"/>
    <cellStyle name="Calculation 31 4 4" xfId="10404"/>
    <cellStyle name="Calculation 31 4 4 2" xfId="22520"/>
    <cellStyle name="Calculation 31 4 4 2 2" xfId="43706"/>
    <cellStyle name="Calculation 31 4 4 3" xfId="33102"/>
    <cellStyle name="Calculation 31 4 5" xfId="17407"/>
    <cellStyle name="Calculation 31 4 5 2" xfId="38594"/>
    <cellStyle name="Calculation 31 4 6" xfId="27714"/>
    <cellStyle name="Calculation 31 4_Table 2A-1_EFT (Annual)" xfId="6635"/>
    <cellStyle name="Calculation 31 5" xfId="792"/>
    <cellStyle name="Calculation 31 5 2" xfId="4353"/>
    <cellStyle name="Calculation 31 5 2 2" xfId="12633"/>
    <cellStyle name="Calculation 31 5 2 2 2" xfId="24650"/>
    <cellStyle name="Calculation 31 5 2 2 2 2" xfId="45836"/>
    <cellStyle name="Calculation 31 5 2 2 3" xfId="35232"/>
    <cellStyle name="Calculation 31 5 2 3" xfId="19537"/>
    <cellStyle name="Calculation 31 5 2 3 2" xfId="40724"/>
    <cellStyle name="Calculation 31 5 2 4" xfId="30010"/>
    <cellStyle name="Calculation 31 5 2_Table 2A-1_EFT (Annual)" xfId="10897"/>
    <cellStyle name="Calculation 31 5 3" xfId="9981"/>
    <cellStyle name="Calculation 31 5 3 2" xfId="22104"/>
    <cellStyle name="Calculation 31 5 3 2 2" xfId="43290"/>
    <cellStyle name="Calculation 31 5 3 3" xfId="32686"/>
    <cellStyle name="Calculation 31 5 4" xfId="16991"/>
    <cellStyle name="Calculation 31 5 4 2" xfId="38178"/>
    <cellStyle name="Calculation 31 5 5" xfId="27267"/>
    <cellStyle name="Calculation 31 5_Table 2A-1_EFT (Annual)" xfId="6637"/>
    <cellStyle name="Calculation 31 6" xfId="1978"/>
    <cellStyle name="Calculation 31 6 2" xfId="5539"/>
    <cellStyle name="Calculation 31 6 2 2" xfId="13754"/>
    <cellStyle name="Calculation 31 6 2 2 2" xfId="25742"/>
    <cellStyle name="Calculation 31 6 2 2 2 2" xfId="46928"/>
    <cellStyle name="Calculation 31 6 2 2 3" xfId="36324"/>
    <cellStyle name="Calculation 31 6 2 3" xfId="20629"/>
    <cellStyle name="Calculation 31 6 2 3 2" xfId="41816"/>
    <cellStyle name="Calculation 31 6 2 4" xfId="31196"/>
    <cellStyle name="Calculation 31 6 2_Table 2A-1_EFT (Annual)" xfId="12212"/>
    <cellStyle name="Calculation 31 6 3" xfId="11098"/>
    <cellStyle name="Calculation 31 6 3 2" xfId="23196"/>
    <cellStyle name="Calculation 31 6 3 2 2" xfId="44382"/>
    <cellStyle name="Calculation 31 6 3 3" xfId="33778"/>
    <cellStyle name="Calculation 31 6 4" xfId="18083"/>
    <cellStyle name="Calculation 31 6 4 2" xfId="39270"/>
    <cellStyle name="Calculation 31 6 5" xfId="28453"/>
    <cellStyle name="Calculation 31 6_Table 2A-1_EFT (Annual)" xfId="6638"/>
    <cellStyle name="Calculation 31 7" xfId="3780"/>
    <cellStyle name="Calculation 31 7 2" xfId="12148"/>
    <cellStyle name="Calculation 31 7 2 2" xfId="24178"/>
    <cellStyle name="Calculation 31 7 2 2 2" xfId="45364"/>
    <cellStyle name="Calculation 31 7 2 3" xfId="34760"/>
    <cellStyle name="Calculation 31 7 3" xfId="19065"/>
    <cellStyle name="Calculation 31 7 3 2" xfId="40252"/>
    <cellStyle name="Calculation 31 7 4" xfId="29489"/>
    <cellStyle name="Calculation 31 7_Table 2A-1_EFT (Annual)" xfId="13485"/>
    <cellStyle name="Calculation 31 8" xfId="9467"/>
    <cellStyle name="Calculation 31 8 2" xfId="21632"/>
    <cellStyle name="Calculation 31 8 2 2" xfId="42818"/>
    <cellStyle name="Calculation 31 8 3" xfId="32214"/>
    <cellStyle name="Calculation 31 9" xfId="16519"/>
    <cellStyle name="Calculation 31 9 2" xfId="37706"/>
    <cellStyle name="Calculation 31_Table 2A-1_EFT (Annual)" xfId="2960"/>
    <cellStyle name="Calculation 32" xfId="247"/>
    <cellStyle name="Calculation 32 10" xfId="26802"/>
    <cellStyle name="Calculation 32 2" xfId="634"/>
    <cellStyle name="Calculation 32 2 2" xfId="1611"/>
    <cellStyle name="Calculation 32 2 2 2" xfId="2881"/>
    <cellStyle name="Calculation 32 2 2 2 2" xfId="6442"/>
    <cellStyle name="Calculation 32 2 2 2 2 2" xfId="14636"/>
    <cellStyle name="Calculation 32 2 2 2 2 2 2" xfId="26608"/>
    <cellStyle name="Calculation 32 2 2 2 2 2 2 2" xfId="47794"/>
    <cellStyle name="Calculation 32 2 2 2 2 2 3" xfId="37190"/>
    <cellStyle name="Calculation 32 2 2 2 2 3" xfId="21495"/>
    <cellStyle name="Calculation 32 2 2 2 2 3 2" xfId="42682"/>
    <cellStyle name="Calculation 32 2 2 2 2 4" xfId="32098"/>
    <cellStyle name="Calculation 32 2 2 2 2_Table 2A-1_EFT (Annual)" xfId="11495"/>
    <cellStyle name="Calculation 32 2 2 2 3" xfId="11978"/>
    <cellStyle name="Calculation 32 2 2 2 3 2" xfId="24062"/>
    <cellStyle name="Calculation 32 2 2 2 3 2 2" xfId="45248"/>
    <cellStyle name="Calculation 32 2 2 2 3 3" xfId="34644"/>
    <cellStyle name="Calculation 32 2 2 2 4" xfId="18949"/>
    <cellStyle name="Calculation 32 2 2 2 4 2" xfId="40136"/>
    <cellStyle name="Calculation 32 2 2 2 5" xfId="29355"/>
    <cellStyle name="Calculation 32 2 2 2_Table 2A-1_EFT (Annual)" xfId="6640"/>
    <cellStyle name="Calculation 32 2 2 3" xfId="5172"/>
    <cellStyle name="Calculation 32 2 2 3 2" xfId="13432"/>
    <cellStyle name="Calculation 32 2 2 3 2 2" xfId="25438"/>
    <cellStyle name="Calculation 32 2 2 3 2 2 2" xfId="46624"/>
    <cellStyle name="Calculation 32 2 2 3 2 3" xfId="36020"/>
    <cellStyle name="Calculation 32 2 2 3 3" xfId="20325"/>
    <cellStyle name="Calculation 32 2 2 3 3 2" xfId="41512"/>
    <cellStyle name="Calculation 32 2 2 3 4" xfId="30829"/>
    <cellStyle name="Calculation 32 2 2 3_Table 2A-1_EFT (Annual)" xfId="9549"/>
    <cellStyle name="Calculation 32 2 2 4" xfId="10776"/>
    <cellStyle name="Calculation 32 2 2 4 2" xfId="22892"/>
    <cellStyle name="Calculation 32 2 2 4 2 2" xfId="44078"/>
    <cellStyle name="Calculation 32 2 2 4 3" xfId="33474"/>
    <cellStyle name="Calculation 32 2 2 5" xfId="17779"/>
    <cellStyle name="Calculation 32 2 2 5 2" xfId="38966"/>
    <cellStyle name="Calculation 32 2 2 6" xfId="28086"/>
    <cellStyle name="Calculation 32 2 2_Table 2A-1_EFT (Annual)" xfId="6639"/>
    <cellStyle name="Calculation 32 2 3" xfId="1124"/>
    <cellStyle name="Calculation 32 2 3 2" xfId="4685"/>
    <cellStyle name="Calculation 32 2 3 2 2" xfId="12945"/>
    <cellStyle name="Calculation 32 2 3 2 2 2" xfId="24951"/>
    <cellStyle name="Calculation 32 2 3 2 2 2 2" xfId="46137"/>
    <cellStyle name="Calculation 32 2 3 2 2 3" xfId="35533"/>
    <cellStyle name="Calculation 32 2 3 2 3" xfId="19838"/>
    <cellStyle name="Calculation 32 2 3 2 3 2" xfId="41025"/>
    <cellStyle name="Calculation 32 2 3 2 4" xfId="30342"/>
    <cellStyle name="Calculation 32 2 3 2_Table 2A-1_EFT (Annual)" xfId="11999"/>
    <cellStyle name="Calculation 32 2 3 3" xfId="10289"/>
    <cellStyle name="Calculation 32 2 3 3 2" xfId="22405"/>
    <cellStyle name="Calculation 32 2 3 3 2 2" xfId="43591"/>
    <cellStyle name="Calculation 32 2 3 3 3" xfId="32987"/>
    <cellStyle name="Calculation 32 2 3 4" xfId="17292"/>
    <cellStyle name="Calculation 32 2 3 4 2" xfId="38479"/>
    <cellStyle name="Calculation 32 2 3 5" xfId="27599"/>
    <cellStyle name="Calculation 32 2 3_Table 2A-1_EFT (Annual)" xfId="6641"/>
    <cellStyle name="Calculation 32 2 4" xfId="2350"/>
    <cellStyle name="Calculation 32 2 4 2" xfId="5911"/>
    <cellStyle name="Calculation 32 2 4 2 2" xfId="14126"/>
    <cellStyle name="Calculation 32 2 4 2 2 2" xfId="26114"/>
    <cellStyle name="Calculation 32 2 4 2 2 2 2" xfId="47300"/>
    <cellStyle name="Calculation 32 2 4 2 2 3" xfId="36696"/>
    <cellStyle name="Calculation 32 2 4 2 3" xfId="21001"/>
    <cellStyle name="Calculation 32 2 4 2 3 2" xfId="42188"/>
    <cellStyle name="Calculation 32 2 4 2 4" xfId="31568"/>
    <cellStyle name="Calculation 32 2 4 2_Table 2A-1_EFT (Annual)" xfId="11997"/>
    <cellStyle name="Calculation 32 2 4 3" xfId="11470"/>
    <cellStyle name="Calculation 32 2 4 3 2" xfId="23568"/>
    <cellStyle name="Calculation 32 2 4 3 2 2" xfId="44754"/>
    <cellStyle name="Calculation 32 2 4 3 3" xfId="34150"/>
    <cellStyle name="Calculation 32 2 4 4" xfId="18455"/>
    <cellStyle name="Calculation 32 2 4 4 2" xfId="39642"/>
    <cellStyle name="Calculation 32 2 4 5" xfId="28825"/>
    <cellStyle name="Calculation 32 2 4_Table 2A-1_EFT (Annual)" xfId="6642"/>
    <cellStyle name="Calculation 32 2 5" xfId="4204"/>
    <cellStyle name="Calculation 32 2 5 2" xfId="12528"/>
    <cellStyle name="Calculation 32 2 5 2 2" xfId="24550"/>
    <cellStyle name="Calculation 32 2 5 2 2 2" xfId="45736"/>
    <cellStyle name="Calculation 32 2 5 2 3" xfId="35132"/>
    <cellStyle name="Calculation 32 2 5 3" xfId="19437"/>
    <cellStyle name="Calculation 32 2 5 3 2" xfId="40624"/>
    <cellStyle name="Calculation 32 2 5 4" xfId="29892"/>
    <cellStyle name="Calculation 32 2 5_Table 2A-1_EFT (Annual)" xfId="11998"/>
    <cellStyle name="Calculation 32 2 6" xfId="9867"/>
    <cellStyle name="Calculation 32 2 6 2" xfId="22004"/>
    <cellStyle name="Calculation 32 2 6 2 2" xfId="43190"/>
    <cellStyle name="Calculation 32 2 6 3" xfId="32586"/>
    <cellStyle name="Calculation 32 2 7" xfId="16891"/>
    <cellStyle name="Calculation 32 2 7 2" xfId="38078"/>
    <cellStyle name="Calculation 32 2 8" xfId="27149"/>
    <cellStyle name="Calculation 32 2_Table 2A-1_EFT (Annual)" xfId="2964"/>
    <cellStyle name="Calculation 32 3" xfId="473"/>
    <cellStyle name="Calculation 32 3 2" xfId="1450"/>
    <cellStyle name="Calculation 32 3 2 2" xfId="2720"/>
    <cellStyle name="Calculation 32 3 2 2 2" xfId="6281"/>
    <cellStyle name="Calculation 32 3 2 2 2 2" xfId="14475"/>
    <cellStyle name="Calculation 32 3 2 2 2 2 2" xfId="26447"/>
    <cellStyle name="Calculation 32 3 2 2 2 2 2 2" xfId="47633"/>
    <cellStyle name="Calculation 32 3 2 2 2 2 3" xfId="37029"/>
    <cellStyle name="Calculation 32 3 2 2 2 3" xfId="21334"/>
    <cellStyle name="Calculation 32 3 2 2 2 3 2" xfId="42521"/>
    <cellStyle name="Calculation 32 3 2 2 2 4" xfId="31937"/>
    <cellStyle name="Calculation 32 3 2 2 2_Table 2A-1_EFT (Annual)" xfId="12351"/>
    <cellStyle name="Calculation 32 3 2 2 3" xfId="11817"/>
    <cellStyle name="Calculation 32 3 2 2 3 2" xfId="23901"/>
    <cellStyle name="Calculation 32 3 2 2 3 2 2" xfId="45087"/>
    <cellStyle name="Calculation 32 3 2 2 3 3" xfId="34483"/>
    <cellStyle name="Calculation 32 3 2 2 4" xfId="18788"/>
    <cellStyle name="Calculation 32 3 2 2 4 2" xfId="39975"/>
    <cellStyle name="Calculation 32 3 2 2 5" xfId="29194"/>
    <cellStyle name="Calculation 32 3 2 2_Table 2A-1_EFT (Annual)" xfId="6644"/>
    <cellStyle name="Calculation 32 3 2 3" xfId="5011"/>
    <cellStyle name="Calculation 32 3 2 3 2" xfId="13271"/>
    <cellStyle name="Calculation 32 3 2 3 2 2" xfId="25277"/>
    <cellStyle name="Calculation 32 3 2 3 2 2 2" xfId="46463"/>
    <cellStyle name="Calculation 32 3 2 3 2 3" xfId="35859"/>
    <cellStyle name="Calculation 32 3 2 3 3" xfId="20164"/>
    <cellStyle name="Calculation 32 3 2 3 3 2" xfId="41351"/>
    <cellStyle name="Calculation 32 3 2 3 4" xfId="30668"/>
    <cellStyle name="Calculation 32 3 2 3_Table 2A-1_EFT (Annual)" xfId="13515"/>
    <cellStyle name="Calculation 32 3 2 4" xfId="10615"/>
    <cellStyle name="Calculation 32 3 2 4 2" xfId="22731"/>
    <cellStyle name="Calculation 32 3 2 4 2 2" xfId="43917"/>
    <cellStyle name="Calculation 32 3 2 4 3" xfId="33313"/>
    <cellStyle name="Calculation 32 3 2 5" xfId="17618"/>
    <cellStyle name="Calculation 32 3 2 5 2" xfId="38805"/>
    <cellStyle name="Calculation 32 3 2 6" xfId="27925"/>
    <cellStyle name="Calculation 32 3 2_Table 2A-1_EFT (Annual)" xfId="6643"/>
    <cellStyle name="Calculation 32 3 3" xfId="994"/>
    <cellStyle name="Calculation 32 3 3 2" xfId="4555"/>
    <cellStyle name="Calculation 32 3 3 2 2" xfId="12815"/>
    <cellStyle name="Calculation 32 3 3 2 2 2" xfId="24821"/>
    <cellStyle name="Calculation 32 3 3 2 2 2 2" xfId="46007"/>
    <cellStyle name="Calculation 32 3 3 2 2 3" xfId="35403"/>
    <cellStyle name="Calculation 32 3 3 2 3" xfId="19708"/>
    <cellStyle name="Calculation 32 3 3 2 3 2" xfId="40895"/>
    <cellStyle name="Calculation 32 3 3 2 4" xfId="30212"/>
    <cellStyle name="Calculation 32 3 3 2_Table 2A-1_EFT (Annual)" xfId="12802"/>
    <cellStyle name="Calculation 32 3 3 3" xfId="10159"/>
    <cellStyle name="Calculation 32 3 3 3 2" xfId="22275"/>
    <cellStyle name="Calculation 32 3 3 3 2 2" xfId="43461"/>
    <cellStyle name="Calculation 32 3 3 3 3" xfId="32857"/>
    <cellStyle name="Calculation 32 3 3 4" xfId="17162"/>
    <cellStyle name="Calculation 32 3 3 4 2" xfId="38349"/>
    <cellStyle name="Calculation 32 3 3 5" xfId="27469"/>
    <cellStyle name="Calculation 32 3 3_Table 2A-1_EFT (Annual)" xfId="6645"/>
    <cellStyle name="Calculation 32 3 4" xfId="2189"/>
    <cellStyle name="Calculation 32 3 4 2" xfId="5750"/>
    <cellStyle name="Calculation 32 3 4 2 2" xfId="13965"/>
    <cellStyle name="Calculation 32 3 4 2 2 2" xfId="25953"/>
    <cellStyle name="Calculation 32 3 4 2 2 2 2" xfId="47139"/>
    <cellStyle name="Calculation 32 3 4 2 2 3" xfId="36535"/>
    <cellStyle name="Calculation 32 3 4 2 3" xfId="20840"/>
    <cellStyle name="Calculation 32 3 4 2 3 2" xfId="42027"/>
    <cellStyle name="Calculation 32 3 4 2 4" xfId="31407"/>
    <cellStyle name="Calculation 32 3 4 2_Table 2A-1_EFT (Annual)" xfId="11498"/>
    <cellStyle name="Calculation 32 3 4 3" xfId="11309"/>
    <cellStyle name="Calculation 32 3 4 3 2" xfId="23407"/>
    <cellStyle name="Calculation 32 3 4 3 2 2" xfId="44593"/>
    <cellStyle name="Calculation 32 3 4 3 3" xfId="33989"/>
    <cellStyle name="Calculation 32 3 4 4" xfId="18294"/>
    <cellStyle name="Calculation 32 3 4 4 2" xfId="39481"/>
    <cellStyle name="Calculation 32 3 4 5" xfId="28664"/>
    <cellStyle name="Calculation 32 3 4_Table 2A-1_EFT (Annual)" xfId="6646"/>
    <cellStyle name="Calculation 32 3 5" xfId="4043"/>
    <cellStyle name="Calculation 32 3 5 2" xfId="12367"/>
    <cellStyle name="Calculation 32 3 5 2 2" xfId="24389"/>
    <cellStyle name="Calculation 32 3 5 2 2 2" xfId="45575"/>
    <cellStyle name="Calculation 32 3 5 2 3" xfId="34971"/>
    <cellStyle name="Calculation 32 3 5 3" xfId="19276"/>
    <cellStyle name="Calculation 32 3 5 3 2" xfId="40463"/>
    <cellStyle name="Calculation 32 3 5 4" xfId="29731"/>
    <cellStyle name="Calculation 32 3 5_Table 2A-1_EFT (Annual)" xfId="9690"/>
    <cellStyle name="Calculation 32 3 6" xfId="9706"/>
    <cellStyle name="Calculation 32 3 6 2" xfId="21843"/>
    <cellStyle name="Calculation 32 3 6 2 2" xfId="43029"/>
    <cellStyle name="Calculation 32 3 6 3" xfId="32425"/>
    <cellStyle name="Calculation 32 3 7" xfId="16730"/>
    <cellStyle name="Calculation 32 3 7 2" xfId="37917"/>
    <cellStyle name="Calculation 32 3 8" xfId="26988"/>
    <cellStyle name="Calculation 32 3_Table 2A-1_EFT (Annual)" xfId="2965"/>
    <cellStyle name="Calculation 32 4" xfId="1289"/>
    <cellStyle name="Calculation 32 4 2" xfId="2559"/>
    <cellStyle name="Calculation 32 4 2 2" xfId="6120"/>
    <cellStyle name="Calculation 32 4 2 2 2" xfId="14314"/>
    <cellStyle name="Calculation 32 4 2 2 2 2" xfId="26286"/>
    <cellStyle name="Calculation 32 4 2 2 2 2 2" xfId="47472"/>
    <cellStyle name="Calculation 32 4 2 2 2 3" xfId="36868"/>
    <cellStyle name="Calculation 32 4 2 2 3" xfId="21173"/>
    <cellStyle name="Calculation 32 4 2 2 3 2" xfId="42360"/>
    <cellStyle name="Calculation 32 4 2 2 4" xfId="31776"/>
    <cellStyle name="Calculation 32 4 2 2_Table 2A-1_EFT (Annual)" xfId="12039"/>
    <cellStyle name="Calculation 32 4 2 3" xfId="11656"/>
    <cellStyle name="Calculation 32 4 2 3 2" xfId="23740"/>
    <cellStyle name="Calculation 32 4 2 3 2 2" xfId="44926"/>
    <cellStyle name="Calculation 32 4 2 3 3" xfId="34322"/>
    <cellStyle name="Calculation 32 4 2 4" xfId="18627"/>
    <cellStyle name="Calculation 32 4 2 4 2" xfId="39814"/>
    <cellStyle name="Calculation 32 4 2 5" xfId="29033"/>
    <cellStyle name="Calculation 32 4 2_Table 2A-1_EFT (Annual)" xfId="6648"/>
    <cellStyle name="Calculation 32 4 3" xfId="4850"/>
    <cellStyle name="Calculation 32 4 3 2" xfId="13110"/>
    <cellStyle name="Calculation 32 4 3 2 2" xfId="25116"/>
    <cellStyle name="Calculation 32 4 3 2 2 2" xfId="46302"/>
    <cellStyle name="Calculation 32 4 3 2 3" xfId="35698"/>
    <cellStyle name="Calculation 32 4 3 3" xfId="20003"/>
    <cellStyle name="Calculation 32 4 3 3 2" xfId="41190"/>
    <cellStyle name="Calculation 32 4 3 4" xfId="30507"/>
    <cellStyle name="Calculation 32 4 3_Table 2A-1_EFT (Annual)" xfId="13448"/>
    <cellStyle name="Calculation 32 4 4" xfId="10454"/>
    <cellStyle name="Calculation 32 4 4 2" xfId="22570"/>
    <cellStyle name="Calculation 32 4 4 2 2" xfId="43756"/>
    <cellStyle name="Calculation 32 4 4 3" xfId="33152"/>
    <cellStyle name="Calculation 32 4 5" xfId="17457"/>
    <cellStyle name="Calculation 32 4 5 2" xfId="38644"/>
    <cellStyle name="Calculation 32 4 6" xfId="27764"/>
    <cellStyle name="Calculation 32 4_Table 2A-1_EFT (Annual)" xfId="6647"/>
    <cellStyle name="Calculation 32 5" xfId="839"/>
    <cellStyle name="Calculation 32 5 2" xfId="4400"/>
    <cellStyle name="Calculation 32 5 2 2" xfId="12674"/>
    <cellStyle name="Calculation 32 5 2 2 2" xfId="24691"/>
    <cellStyle name="Calculation 32 5 2 2 2 2" xfId="45877"/>
    <cellStyle name="Calculation 32 5 2 2 3" xfId="35273"/>
    <cellStyle name="Calculation 32 5 2 3" xfId="19578"/>
    <cellStyle name="Calculation 32 5 2 3 2" xfId="40765"/>
    <cellStyle name="Calculation 32 5 2 4" xfId="30057"/>
    <cellStyle name="Calculation 32 5 2_Table 2A-1_EFT (Annual)" xfId="12540"/>
    <cellStyle name="Calculation 32 5 3" xfId="10023"/>
    <cellStyle name="Calculation 32 5 3 2" xfId="22145"/>
    <cellStyle name="Calculation 32 5 3 2 2" xfId="43331"/>
    <cellStyle name="Calculation 32 5 3 3" xfId="32727"/>
    <cellStyle name="Calculation 32 5 4" xfId="17032"/>
    <cellStyle name="Calculation 32 5 4 2" xfId="38219"/>
    <cellStyle name="Calculation 32 5 5" xfId="27314"/>
    <cellStyle name="Calculation 32 5_Table 2A-1_EFT (Annual)" xfId="6649"/>
    <cellStyle name="Calculation 32 6" xfId="2028"/>
    <cellStyle name="Calculation 32 6 2" xfId="5589"/>
    <cellStyle name="Calculation 32 6 2 2" xfId="13804"/>
    <cellStyle name="Calculation 32 6 2 2 2" xfId="25792"/>
    <cellStyle name="Calculation 32 6 2 2 2 2" xfId="46978"/>
    <cellStyle name="Calculation 32 6 2 2 3" xfId="36374"/>
    <cellStyle name="Calculation 32 6 2 3" xfId="20679"/>
    <cellStyle name="Calculation 32 6 2 3 2" xfId="41866"/>
    <cellStyle name="Calculation 32 6 2 4" xfId="31246"/>
    <cellStyle name="Calculation 32 6 2_Table 2A-1_EFT (Annual)" xfId="10896"/>
    <cellStyle name="Calculation 32 6 3" xfId="11148"/>
    <cellStyle name="Calculation 32 6 3 2" xfId="23246"/>
    <cellStyle name="Calculation 32 6 3 2 2" xfId="44432"/>
    <cellStyle name="Calculation 32 6 3 3" xfId="33828"/>
    <cellStyle name="Calculation 32 6 4" xfId="18133"/>
    <cellStyle name="Calculation 32 6 4 2" xfId="39320"/>
    <cellStyle name="Calculation 32 6 5" xfId="28503"/>
    <cellStyle name="Calculation 32 6_Table 2A-1_EFT (Annual)" xfId="6650"/>
    <cellStyle name="Calculation 32 7" xfId="3836"/>
    <cellStyle name="Calculation 32 7 2" xfId="12199"/>
    <cellStyle name="Calculation 32 7 2 2" xfId="24228"/>
    <cellStyle name="Calculation 32 7 2 2 2" xfId="45414"/>
    <cellStyle name="Calculation 32 7 2 3" xfId="34810"/>
    <cellStyle name="Calculation 32 7 3" xfId="19115"/>
    <cellStyle name="Calculation 32 7 3 2" xfId="40302"/>
    <cellStyle name="Calculation 32 7 4" xfId="29545"/>
    <cellStyle name="Calculation 32 7_Table 2A-1_EFT (Annual)" xfId="11995"/>
    <cellStyle name="Calculation 32 8" xfId="9518"/>
    <cellStyle name="Calculation 32 8 2" xfId="21682"/>
    <cellStyle name="Calculation 32 8 2 2" xfId="42868"/>
    <cellStyle name="Calculation 32 8 3" xfId="32264"/>
    <cellStyle name="Calculation 32 9" xfId="16569"/>
    <cellStyle name="Calculation 32 9 2" xfId="37756"/>
    <cellStyle name="Calculation 32_Table 2A-1_EFT (Annual)" xfId="2963"/>
    <cellStyle name="Calculation 33" xfId="225"/>
    <cellStyle name="Calculation 33 10" xfId="26780"/>
    <cellStyle name="Calculation 33 2" xfId="616"/>
    <cellStyle name="Calculation 33 2 2" xfId="1593"/>
    <cellStyle name="Calculation 33 2 2 2" xfId="2863"/>
    <cellStyle name="Calculation 33 2 2 2 2" xfId="6424"/>
    <cellStyle name="Calculation 33 2 2 2 2 2" xfId="14618"/>
    <cellStyle name="Calculation 33 2 2 2 2 2 2" xfId="26590"/>
    <cellStyle name="Calculation 33 2 2 2 2 2 2 2" xfId="47776"/>
    <cellStyle name="Calculation 33 2 2 2 2 2 3" xfId="37172"/>
    <cellStyle name="Calculation 33 2 2 2 2 3" xfId="21477"/>
    <cellStyle name="Calculation 33 2 2 2 2 3 2" xfId="42664"/>
    <cellStyle name="Calculation 33 2 2 2 2 4" xfId="32080"/>
    <cellStyle name="Calculation 33 2 2 2 2_Table 2A-1_EFT (Annual)" xfId="12685"/>
    <cellStyle name="Calculation 33 2 2 2 3" xfId="11960"/>
    <cellStyle name="Calculation 33 2 2 2 3 2" xfId="24044"/>
    <cellStyle name="Calculation 33 2 2 2 3 2 2" xfId="45230"/>
    <cellStyle name="Calculation 33 2 2 2 3 3" xfId="34626"/>
    <cellStyle name="Calculation 33 2 2 2 4" xfId="18931"/>
    <cellStyle name="Calculation 33 2 2 2 4 2" xfId="40118"/>
    <cellStyle name="Calculation 33 2 2 2 5" xfId="29337"/>
    <cellStyle name="Calculation 33 2 2 2_Table 2A-1_EFT (Annual)" xfId="6652"/>
    <cellStyle name="Calculation 33 2 2 3" xfId="5154"/>
    <cellStyle name="Calculation 33 2 2 3 2" xfId="13414"/>
    <cellStyle name="Calculation 33 2 2 3 2 2" xfId="25420"/>
    <cellStyle name="Calculation 33 2 2 3 2 2 2" xfId="46606"/>
    <cellStyle name="Calculation 33 2 2 3 2 3" xfId="36002"/>
    <cellStyle name="Calculation 33 2 2 3 3" xfId="20307"/>
    <cellStyle name="Calculation 33 2 2 3 3 2" xfId="41494"/>
    <cellStyle name="Calculation 33 2 2 3 4" xfId="30811"/>
    <cellStyle name="Calculation 33 2 2 3_Table 2A-1_EFT (Annual)" xfId="14150"/>
    <cellStyle name="Calculation 33 2 2 4" xfId="10758"/>
    <cellStyle name="Calculation 33 2 2 4 2" xfId="22874"/>
    <cellStyle name="Calculation 33 2 2 4 2 2" xfId="44060"/>
    <cellStyle name="Calculation 33 2 2 4 3" xfId="33456"/>
    <cellStyle name="Calculation 33 2 2 5" xfId="17761"/>
    <cellStyle name="Calculation 33 2 2 5 2" xfId="38948"/>
    <cellStyle name="Calculation 33 2 2 6" xfId="28068"/>
    <cellStyle name="Calculation 33 2 2_Table 2A-1_EFT (Annual)" xfId="6651"/>
    <cellStyle name="Calculation 33 2 3" xfId="1109"/>
    <cellStyle name="Calculation 33 2 3 2" xfId="4670"/>
    <cellStyle name="Calculation 33 2 3 2 2" xfId="12930"/>
    <cellStyle name="Calculation 33 2 3 2 2 2" xfId="24936"/>
    <cellStyle name="Calculation 33 2 3 2 2 2 2" xfId="46122"/>
    <cellStyle name="Calculation 33 2 3 2 2 3" xfId="35518"/>
    <cellStyle name="Calculation 33 2 3 2 3" xfId="19823"/>
    <cellStyle name="Calculation 33 2 3 2 3 2" xfId="41010"/>
    <cellStyle name="Calculation 33 2 3 2 4" xfId="30327"/>
    <cellStyle name="Calculation 33 2 3 2_Table 2A-1_EFT (Annual)" xfId="9548"/>
    <cellStyle name="Calculation 33 2 3 3" xfId="10274"/>
    <cellStyle name="Calculation 33 2 3 3 2" xfId="22390"/>
    <cellStyle name="Calculation 33 2 3 3 2 2" xfId="43576"/>
    <cellStyle name="Calculation 33 2 3 3 3" xfId="32972"/>
    <cellStyle name="Calculation 33 2 3 4" xfId="17277"/>
    <cellStyle name="Calculation 33 2 3 4 2" xfId="38464"/>
    <cellStyle name="Calculation 33 2 3 5" xfId="27584"/>
    <cellStyle name="Calculation 33 2 3_Table 2A-1_EFT (Annual)" xfId="6653"/>
    <cellStyle name="Calculation 33 2 4" xfId="2332"/>
    <cellStyle name="Calculation 33 2 4 2" xfId="5893"/>
    <cellStyle name="Calculation 33 2 4 2 2" xfId="14108"/>
    <cellStyle name="Calculation 33 2 4 2 2 2" xfId="26096"/>
    <cellStyle name="Calculation 33 2 4 2 2 2 2" xfId="47282"/>
    <cellStyle name="Calculation 33 2 4 2 2 3" xfId="36678"/>
    <cellStyle name="Calculation 33 2 4 2 3" xfId="20983"/>
    <cellStyle name="Calculation 33 2 4 2 3 2" xfId="42170"/>
    <cellStyle name="Calculation 33 2 4 2 4" xfId="31550"/>
    <cellStyle name="Calculation 33 2 4 2_Table 2A-1_EFT (Annual)" xfId="11994"/>
    <cellStyle name="Calculation 33 2 4 3" xfId="11452"/>
    <cellStyle name="Calculation 33 2 4 3 2" xfId="23550"/>
    <cellStyle name="Calculation 33 2 4 3 2 2" xfId="44736"/>
    <cellStyle name="Calculation 33 2 4 3 3" xfId="34132"/>
    <cellStyle name="Calculation 33 2 4 4" xfId="18437"/>
    <cellStyle name="Calculation 33 2 4 4 2" xfId="39624"/>
    <cellStyle name="Calculation 33 2 4 5" xfId="28807"/>
    <cellStyle name="Calculation 33 2 4_Table 2A-1_EFT (Annual)" xfId="6654"/>
    <cellStyle name="Calculation 33 2 5" xfId="4186"/>
    <cellStyle name="Calculation 33 2 5 2" xfId="12510"/>
    <cellStyle name="Calculation 33 2 5 2 2" xfId="24532"/>
    <cellStyle name="Calculation 33 2 5 2 2 2" xfId="45718"/>
    <cellStyle name="Calculation 33 2 5 2 3" xfId="35114"/>
    <cellStyle name="Calculation 33 2 5 3" xfId="19419"/>
    <cellStyle name="Calculation 33 2 5 3 2" xfId="40606"/>
    <cellStyle name="Calculation 33 2 5 4" xfId="29874"/>
    <cellStyle name="Calculation 33 2 5_Table 2A-1_EFT (Annual)" xfId="10822"/>
    <cellStyle name="Calculation 33 2 6" xfId="9849"/>
    <cellStyle name="Calculation 33 2 6 2" xfId="21986"/>
    <cellStyle name="Calculation 33 2 6 2 2" xfId="43172"/>
    <cellStyle name="Calculation 33 2 6 3" xfId="32568"/>
    <cellStyle name="Calculation 33 2 7" xfId="16873"/>
    <cellStyle name="Calculation 33 2 7 2" xfId="38060"/>
    <cellStyle name="Calculation 33 2 8" xfId="27131"/>
    <cellStyle name="Calculation 33 2_Table 2A-1_EFT (Annual)" xfId="2967"/>
    <cellStyle name="Calculation 33 3" xfId="452"/>
    <cellStyle name="Calculation 33 3 2" xfId="1433"/>
    <cellStyle name="Calculation 33 3 2 2" xfId="2703"/>
    <cellStyle name="Calculation 33 3 2 2 2" xfId="6264"/>
    <cellStyle name="Calculation 33 3 2 2 2 2" xfId="14458"/>
    <cellStyle name="Calculation 33 3 2 2 2 2 2" xfId="26430"/>
    <cellStyle name="Calculation 33 3 2 2 2 2 2 2" xfId="47616"/>
    <cellStyle name="Calculation 33 3 2 2 2 2 3" xfId="37012"/>
    <cellStyle name="Calculation 33 3 2 2 2 3" xfId="21317"/>
    <cellStyle name="Calculation 33 3 2 2 2 3 2" xfId="42504"/>
    <cellStyle name="Calculation 33 3 2 2 2 4" xfId="31920"/>
    <cellStyle name="Calculation 33 3 2 2 2_Table 2A-1_EFT (Annual)" xfId="11489"/>
    <cellStyle name="Calculation 33 3 2 2 3" xfId="11800"/>
    <cellStyle name="Calculation 33 3 2 2 3 2" xfId="23884"/>
    <cellStyle name="Calculation 33 3 2 2 3 2 2" xfId="45070"/>
    <cellStyle name="Calculation 33 3 2 2 3 3" xfId="34466"/>
    <cellStyle name="Calculation 33 3 2 2 4" xfId="18771"/>
    <cellStyle name="Calculation 33 3 2 2 4 2" xfId="39958"/>
    <cellStyle name="Calculation 33 3 2 2 5" xfId="29177"/>
    <cellStyle name="Calculation 33 3 2 2_Table 2A-1_EFT (Annual)" xfId="6656"/>
    <cellStyle name="Calculation 33 3 2 3" xfId="4994"/>
    <cellStyle name="Calculation 33 3 2 3 2" xfId="13254"/>
    <cellStyle name="Calculation 33 3 2 3 2 2" xfId="25260"/>
    <cellStyle name="Calculation 33 3 2 3 2 2 2" xfId="46446"/>
    <cellStyle name="Calculation 33 3 2 3 2 3" xfId="35842"/>
    <cellStyle name="Calculation 33 3 2 3 3" xfId="20147"/>
    <cellStyle name="Calculation 33 3 2 3 3 2" xfId="41334"/>
    <cellStyle name="Calculation 33 3 2 3 4" xfId="30651"/>
    <cellStyle name="Calculation 33 3 2 3_Table 2A-1_EFT (Annual)" xfId="11993"/>
    <cellStyle name="Calculation 33 3 2 4" xfId="10598"/>
    <cellStyle name="Calculation 33 3 2 4 2" xfId="22714"/>
    <cellStyle name="Calculation 33 3 2 4 2 2" xfId="43900"/>
    <cellStyle name="Calculation 33 3 2 4 3" xfId="33296"/>
    <cellStyle name="Calculation 33 3 2 5" xfId="17601"/>
    <cellStyle name="Calculation 33 3 2 5 2" xfId="38788"/>
    <cellStyle name="Calculation 33 3 2 6" xfId="27908"/>
    <cellStyle name="Calculation 33 3 2_Table 2A-1_EFT (Annual)" xfId="6655"/>
    <cellStyle name="Calculation 33 3 3" xfId="976"/>
    <cellStyle name="Calculation 33 3 3 2" xfId="4537"/>
    <cellStyle name="Calculation 33 3 3 2 2" xfId="12799"/>
    <cellStyle name="Calculation 33 3 3 2 2 2" xfId="24807"/>
    <cellStyle name="Calculation 33 3 3 2 2 2 2" xfId="45993"/>
    <cellStyle name="Calculation 33 3 3 2 2 3" xfId="35389"/>
    <cellStyle name="Calculation 33 3 3 2 3" xfId="19694"/>
    <cellStyle name="Calculation 33 3 3 2 3 2" xfId="40881"/>
    <cellStyle name="Calculation 33 3 3 2 4" xfId="30194"/>
    <cellStyle name="Calculation 33 3 3 2_Table 2A-1_EFT (Annual)" xfId="13514"/>
    <cellStyle name="Calculation 33 3 3 3" xfId="10144"/>
    <cellStyle name="Calculation 33 3 3 3 2" xfId="22261"/>
    <cellStyle name="Calculation 33 3 3 3 2 2" xfId="43447"/>
    <cellStyle name="Calculation 33 3 3 3 3" xfId="32843"/>
    <cellStyle name="Calculation 33 3 3 4" xfId="17148"/>
    <cellStyle name="Calculation 33 3 3 4 2" xfId="38335"/>
    <cellStyle name="Calculation 33 3 3 5" xfId="27451"/>
    <cellStyle name="Calculation 33 3 3_Table 2A-1_EFT (Annual)" xfId="6657"/>
    <cellStyle name="Calculation 33 3 4" xfId="2172"/>
    <cellStyle name="Calculation 33 3 4 2" xfId="5733"/>
    <cellStyle name="Calculation 33 3 4 2 2" xfId="13948"/>
    <cellStyle name="Calculation 33 3 4 2 2 2" xfId="25936"/>
    <cellStyle name="Calculation 33 3 4 2 2 2 2" xfId="47122"/>
    <cellStyle name="Calculation 33 3 4 2 2 3" xfId="36518"/>
    <cellStyle name="Calculation 33 3 4 2 3" xfId="20823"/>
    <cellStyle name="Calculation 33 3 4 2 3 2" xfId="42010"/>
    <cellStyle name="Calculation 33 3 4 2 4" xfId="31390"/>
    <cellStyle name="Calculation 33 3 4 2_Table 2A-1_EFT (Annual)" xfId="12801"/>
    <cellStyle name="Calculation 33 3 4 3" xfId="11292"/>
    <cellStyle name="Calculation 33 3 4 3 2" xfId="23390"/>
    <cellStyle name="Calculation 33 3 4 3 2 2" xfId="44576"/>
    <cellStyle name="Calculation 33 3 4 3 3" xfId="33972"/>
    <cellStyle name="Calculation 33 3 4 4" xfId="18277"/>
    <cellStyle name="Calculation 33 3 4 4 2" xfId="39464"/>
    <cellStyle name="Calculation 33 3 4 5" xfId="28647"/>
    <cellStyle name="Calculation 33 3 4_Table 2A-1_EFT (Annual)" xfId="6658"/>
    <cellStyle name="Calculation 33 3 5" xfId="4022"/>
    <cellStyle name="Calculation 33 3 5 2" xfId="12348"/>
    <cellStyle name="Calculation 33 3 5 2 2" xfId="24372"/>
    <cellStyle name="Calculation 33 3 5 2 2 2" xfId="45558"/>
    <cellStyle name="Calculation 33 3 5 2 3" xfId="34954"/>
    <cellStyle name="Calculation 33 3 5 3" xfId="19259"/>
    <cellStyle name="Calculation 33 3 5 3 2" xfId="40446"/>
    <cellStyle name="Calculation 33 3 5 4" xfId="29710"/>
    <cellStyle name="Calculation 33 3 5_Table 2A-1_EFT (Annual)" xfId="14156"/>
    <cellStyle name="Calculation 33 3 6" xfId="9687"/>
    <cellStyle name="Calculation 33 3 6 2" xfId="21826"/>
    <cellStyle name="Calculation 33 3 6 2 2" xfId="43012"/>
    <cellStyle name="Calculation 33 3 6 3" xfId="32408"/>
    <cellStyle name="Calculation 33 3 7" xfId="16713"/>
    <cellStyle name="Calculation 33 3 7 2" xfId="37900"/>
    <cellStyle name="Calculation 33 3 8" xfId="26967"/>
    <cellStyle name="Calculation 33 3_Table 2A-1_EFT (Annual)" xfId="2968"/>
    <cellStyle name="Calculation 33 4" xfId="1271"/>
    <cellStyle name="Calculation 33 4 2" xfId="2541"/>
    <cellStyle name="Calculation 33 4 2 2" xfId="6102"/>
    <cellStyle name="Calculation 33 4 2 2 2" xfId="14296"/>
    <cellStyle name="Calculation 33 4 2 2 2 2" xfId="26268"/>
    <cellStyle name="Calculation 33 4 2 2 2 2 2" xfId="47454"/>
    <cellStyle name="Calculation 33 4 2 2 2 3" xfId="36850"/>
    <cellStyle name="Calculation 33 4 2 2 3" xfId="21155"/>
    <cellStyle name="Calculation 33 4 2 2 3 2" xfId="42342"/>
    <cellStyle name="Calculation 33 4 2 2 4" xfId="31758"/>
    <cellStyle name="Calculation 33 4 2 2_Table 2A-1_EFT (Annual)" xfId="9501"/>
    <cellStyle name="Calculation 33 4 2 3" xfId="11638"/>
    <cellStyle name="Calculation 33 4 2 3 2" xfId="23722"/>
    <cellStyle name="Calculation 33 4 2 3 2 2" xfId="44908"/>
    <cellStyle name="Calculation 33 4 2 3 3" xfId="34304"/>
    <cellStyle name="Calculation 33 4 2 4" xfId="18609"/>
    <cellStyle name="Calculation 33 4 2 4 2" xfId="39796"/>
    <cellStyle name="Calculation 33 4 2 5" xfId="29015"/>
    <cellStyle name="Calculation 33 4 2_Table 2A-1_EFT (Annual)" xfId="6660"/>
    <cellStyle name="Calculation 33 4 3" xfId="4832"/>
    <cellStyle name="Calculation 33 4 3 2" xfId="13092"/>
    <cellStyle name="Calculation 33 4 3 2 2" xfId="25098"/>
    <cellStyle name="Calculation 33 4 3 2 2 2" xfId="46284"/>
    <cellStyle name="Calculation 33 4 3 2 3" xfId="35680"/>
    <cellStyle name="Calculation 33 4 3 3" xfId="19985"/>
    <cellStyle name="Calculation 33 4 3 3 2" xfId="41172"/>
    <cellStyle name="Calculation 33 4 3 4" xfId="30489"/>
    <cellStyle name="Calculation 33 4 3_Table 2A-1_EFT (Annual)" xfId="11988"/>
    <cellStyle name="Calculation 33 4 4" xfId="10436"/>
    <cellStyle name="Calculation 33 4 4 2" xfId="22552"/>
    <cellStyle name="Calculation 33 4 4 2 2" xfId="43738"/>
    <cellStyle name="Calculation 33 4 4 3" xfId="33134"/>
    <cellStyle name="Calculation 33 4 5" xfId="17439"/>
    <cellStyle name="Calculation 33 4 5 2" xfId="38626"/>
    <cellStyle name="Calculation 33 4 6" xfId="27746"/>
    <cellStyle name="Calculation 33 4_Table 2A-1_EFT (Annual)" xfId="6659"/>
    <cellStyle name="Calculation 33 5" xfId="820"/>
    <cellStyle name="Calculation 33 5 2" xfId="4381"/>
    <cellStyle name="Calculation 33 5 2 2" xfId="12659"/>
    <cellStyle name="Calculation 33 5 2 2 2" xfId="24676"/>
    <cellStyle name="Calculation 33 5 2 2 2 2" xfId="45862"/>
    <cellStyle name="Calculation 33 5 2 2 3" xfId="35258"/>
    <cellStyle name="Calculation 33 5 2 3" xfId="19563"/>
    <cellStyle name="Calculation 33 5 2 3 2" xfId="40750"/>
    <cellStyle name="Calculation 33 5 2 4" xfId="30038"/>
    <cellStyle name="Calculation 33 5 2_Table 2A-1_EFT (Annual)" xfId="13447"/>
    <cellStyle name="Calculation 33 5 3" xfId="10007"/>
    <cellStyle name="Calculation 33 5 3 2" xfId="22130"/>
    <cellStyle name="Calculation 33 5 3 2 2" xfId="43316"/>
    <cellStyle name="Calculation 33 5 3 3" xfId="32712"/>
    <cellStyle name="Calculation 33 5 4" xfId="17017"/>
    <cellStyle name="Calculation 33 5 4 2" xfId="38204"/>
    <cellStyle name="Calculation 33 5 5" xfId="27295"/>
    <cellStyle name="Calculation 33 5_Table 2A-1_EFT (Annual)" xfId="6661"/>
    <cellStyle name="Calculation 33 6" xfId="2010"/>
    <cellStyle name="Calculation 33 6 2" xfId="5571"/>
    <cellStyle name="Calculation 33 6 2 2" xfId="13786"/>
    <cellStyle name="Calculation 33 6 2 2 2" xfId="25774"/>
    <cellStyle name="Calculation 33 6 2 2 2 2" xfId="46960"/>
    <cellStyle name="Calculation 33 6 2 2 3" xfId="36356"/>
    <cellStyle name="Calculation 33 6 2 3" xfId="20661"/>
    <cellStyle name="Calculation 33 6 2 3 2" xfId="41848"/>
    <cellStyle name="Calculation 33 6 2 4" xfId="31228"/>
    <cellStyle name="Calculation 33 6 2_Table 2A-1_EFT (Annual)" xfId="12539"/>
    <cellStyle name="Calculation 33 6 3" xfId="11130"/>
    <cellStyle name="Calculation 33 6 3 2" xfId="23228"/>
    <cellStyle name="Calculation 33 6 3 2 2" xfId="44414"/>
    <cellStyle name="Calculation 33 6 3 3" xfId="33810"/>
    <cellStyle name="Calculation 33 6 4" xfId="18115"/>
    <cellStyle name="Calculation 33 6 4 2" xfId="39302"/>
    <cellStyle name="Calculation 33 6 5" xfId="28485"/>
    <cellStyle name="Calculation 33 6_Table 2A-1_EFT (Annual)" xfId="6662"/>
    <cellStyle name="Calculation 33 7" xfId="3814"/>
    <cellStyle name="Calculation 33 7 2" xfId="12180"/>
    <cellStyle name="Calculation 33 7 2 2" xfId="24210"/>
    <cellStyle name="Calculation 33 7 2 2 2" xfId="45396"/>
    <cellStyle name="Calculation 33 7 2 3" xfId="34792"/>
    <cellStyle name="Calculation 33 7 3" xfId="19097"/>
    <cellStyle name="Calculation 33 7 3 2" xfId="40284"/>
    <cellStyle name="Calculation 33 7 4" xfId="29523"/>
    <cellStyle name="Calculation 33 7_Table 2A-1_EFT (Annual)" xfId="13553"/>
    <cellStyle name="Calculation 33 8" xfId="9499"/>
    <cellStyle name="Calculation 33 8 2" xfId="21664"/>
    <cellStyle name="Calculation 33 8 2 2" xfId="42850"/>
    <cellStyle name="Calculation 33 8 3" xfId="32246"/>
    <cellStyle name="Calculation 33 9" xfId="16551"/>
    <cellStyle name="Calculation 33 9 2" xfId="37738"/>
    <cellStyle name="Calculation 33_Table 2A-1_EFT (Annual)" xfId="2966"/>
    <cellStyle name="Calculation 34" xfId="233"/>
    <cellStyle name="Calculation 34 2" xfId="620"/>
    <cellStyle name="Calculation 34 2 2" xfId="1597"/>
    <cellStyle name="Calculation 34 2 2 2" xfId="2867"/>
    <cellStyle name="Calculation 34 2 2 2 2" xfId="6428"/>
    <cellStyle name="Calculation 34 2 2 2 2 2" xfId="14622"/>
    <cellStyle name="Calculation 34 2 2 2 2 2 2" xfId="26594"/>
    <cellStyle name="Calculation 34 2 2 2 2 2 2 2" xfId="47780"/>
    <cellStyle name="Calculation 34 2 2 2 2 2 3" xfId="37176"/>
    <cellStyle name="Calculation 34 2 2 2 2 3" xfId="21481"/>
    <cellStyle name="Calculation 34 2 2 2 2 3 2" xfId="42668"/>
    <cellStyle name="Calculation 34 2 2 2 2 4" xfId="32084"/>
    <cellStyle name="Calculation 34 2 2 2 2_Table 2A-1_EFT (Annual)" xfId="13484"/>
    <cellStyle name="Calculation 34 2 2 2 3" xfId="11964"/>
    <cellStyle name="Calculation 34 2 2 2 3 2" xfId="24048"/>
    <cellStyle name="Calculation 34 2 2 2 3 2 2" xfId="45234"/>
    <cellStyle name="Calculation 34 2 2 2 3 3" xfId="34630"/>
    <cellStyle name="Calculation 34 2 2 2 4" xfId="18935"/>
    <cellStyle name="Calculation 34 2 2 2 4 2" xfId="40122"/>
    <cellStyle name="Calculation 34 2 2 2 5" xfId="29341"/>
    <cellStyle name="Calculation 34 2 2 2_Table 2A-1_EFT (Annual)" xfId="6664"/>
    <cellStyle name="Calculation 34 2 2 3" xfId="5158"/>
    <cellStyle name="Calculation 34 2 2 3 2" xfId="13418"/>
    <cellStyle name="Calculation 34 2 2 3 2 2" xfId="25424"/>
    <cellStyle name="Calculation 34 2 2 3 2 2 2" xfId="46610"/>
    <cellStyle name="Calculation 34 2 2 3 2 3" xfId="36006"/>
    <cellStyle name="Calculation 34 2 2 3 3" xfId="20311"/>
    <cellStyle name="Calculation 34 2 2 3 3 2" xfId="41498"/>
    <cellStyle name="Calculation 34 2 2 3 4" xfId="30815"/>
    <cellStyle name="Calculation 34 2 2 3_Table 2A-1_EFT (Annual)" xfId="11992"/>
    <cellStyle name="Calculation 34 2 2 4" xfId="10762"/>
    <cellStyle name="Calculation 34 2 2 4 2" xfId="22878"/>
    <cellStyle name="Calculation 34 2 2 4 2 2" xfId="44064"/>
    <cellStyle name="Calculation 34 2 2 4 3" xfId="33460"/>
    <cellStyle name="Calculation 34 2 2 5" xfId="17765"/>
    <cellStyle name="Calculation 34 2 2 5 2" xfId="38952"/>
    <cellStyle name="Calculation 34 2 2 6" xfId="28072"/>
    <cellStyle name="Calculation 34 2 2_Table 2A-1_EFT (Annual)" xfId="6663"/>
    <cellStyle name="Calculation 34 2 3" xfId="1112"/>
    <cellStyle name="Calculation 34 2 3 2" xfId="4673"/>
    <cellStyle name="Calculation 34 2 3 2 2" xfId="12933"/>
    <cellStyle name="Calculation 34 2 3 2 2 2" xfId="24939"/>
    <cellStyle name="Calculation 34 2 3 2 2 2 2" xfId="46125"/>
    <cellStyle name="Calculation 34 2 3 2 2 3" xfId="35521"/>
    <cellStyle name="Calculation 34 2 3 2 3" xfId="19826"/>
    <cellStyle name="Calculation 34 2 3 2 3 2" xfId="41013"/>
    <cellStyle name="Calculation 34 2 3 2 4" xfId="30330"/>
    <cellStyle name="Calculation 34 2 3 2_Table 2A-1_EFT (Annual)" xfId="14149"/>
    <cellStyle name="Calculation 34 2 3 3" xfId="10277"/>
    <cellStyle name="Calculation 34 2 3 3 2" xfId="22393"/>
    <cellStyle name="Calculation 34 2 3 3 2 2" xfId="43579"/>
    <cellStyle name="Calculation 34 2 3 3 3" xfId="32975"/>
    <cellStyle name="Calculation 34 2 3 4" xfId="17280"/>
    <cellStyle name="Calculation 34 2 3 4 2" xfId="38467"/>
    <cellStyle name="Calculation 34 2 3 5" xfId="27587"/>
    <cellStyle name="Calculation 34 2 3_Table 2A-1_EFT (Annual)" xfId="6665"/>
    <cellStyle name="Calculation 34 2 4" xfId="2336"/>
    <cellStyle name="Calculation 34 2 4 2" xfId="5897"/>
    <cellStyle name="Calculation 34 2 4 2 2" xfId="14112"/>
    <cellStyle name="Calculation 34 2 4 2 2 2" xfId="26100"/>
    <cellStyle name="Calculation 34 2 4 2 2 2 2" xfId="47286"/>
    <cellStyle name="Calculation 34 2 4 2 2 3" xfId="36682"/>
    <cellStyle name="Calculation 34 2 4 2 3" xfId="20987"/>
    <cellStyle name="Calculation 34 2 4 2 3 2" xfId="42174"/>
    <cellStyle name="Calculation 34 2 4 2 4" xfId="31554"/>
    <cellStyle name="Calculation 34 2 4 2_Table 2A-1_EFT (Annual)" xfId="9547"/>
    <cellStyle name="Calculation 34 2 4 3" xfId="11456"/>
    <cellStyle name="Calculation 34 2 4 3 2" xfId="23554"/>
    <cellStyle name="Calculation 34 2 4 3 2 2" xfId="44740"/>
    <cellStyle name="Calculation 34 2 4 3 3" xfId="34136"/>
    <cellStyle name="Calculation 34 2 4 4" xfId="18441"/>
    <cellStyle name="Calculation 34 2 4 4 2" xfId="39628"/>
    <cellStyle name="Calculation 34 2 4 5" xfId="28811"/>
    <cellStyle name="Calculation 34 2 4_Table 2A-1_EFT (Annual)" xfId="6666"/>
    <cellStyle name="Calculation 34 2 5" xfId="4190"/>
    <cellStyle name="Calculation 34 2 5 2" xfId="12514"/>
    <cellStyle name="Calculation 34 2 5 2 2" xfId="24536"/>
    <cellStyle name="Calculation 34 2 5 2 2 2" xfId="45722"/>
    <cellStyle name="Calculation 34 2 5 2 3" xfId="35118"/>
    <cellStyle name="Calculation 34 2 5 3" xfId="19423"/>
    <cellStyle name="Calculation 34 2 5 3 2" xfId="40610"/>
    <cellStyle name="Calculation 34 2 5 4" xfId="29878"/>
    <cellStyle name="Calculation 34 2 5_Table 2A-1_EFT (Annual)" xfId="12182"/>
    <cellStyle name="Calculation 34 2 6" xfId="9853"/>
    <cellStyle name="Calculation 34 2 6 2" xfId="21990"/>
    <cellStyle name="Calculation 34 2 6 2 2" xfId="43176"/>
    <cellStyle name="Calculation 34 2 6 3" xfId="32572"/>
    <cellStyle name="Calculation 34 2 7" xfId="16877"/>
    <cellStyle name="Calculation 34 2 7 2" xfId="38064"/>
    <cellStyle name="Calculation 34 2 8" xfId="27135"/>
    <cellStyle name="Calculation 34 2_Table 2A-1_EFT (Annual)" xfId="2970"/>
    <cellStyle name="Calculation 34 3" xfId="1275"/>
    <cellStyle name="Calculation 34 3 2" xfId="2545"/>
    <cellStyle name="Calculation 34 3 2 2" xfId="6106"/>
    <cellStyle name="Calculation 34 3 2 2 2" xfId="14300"/>
    <cellStyle name="Calculation 34 3 2 2 2 2" xfId="26272"/>
    <cellStyle name="Calculation 34 3 2 2 2 2 2" xfId="47458"/>
    <cellStyle name="Calculation 34 3 2 2 2 3" xfId="36854"/>
    <cellStyle name="Calculation 34 3 2 2 3" xfId="21159"/>
    <cellStyle name="Calculation 34 3 2 2 3 2" xfId="42346"/>
    <cellStyle name="Calculation 34 3 2 2 4" xfId="31762"/>
    <cellStyle name="Calculation 34 3 2 2_Table 2A-1_EFT (Annual)" xfId="11990"/>
    <cellStyle name="Calculation 34 3 2 3" xfId="11642"/>
    <cellStyle name="Calculation 34 3 2 3 2" xfId="23726"/>
    <cellStyle name="Calculation 34 3 2 3 2 2" xfId="44912"/>
    <cellStyle name="Calculation 34 3 2 3 3" xfId="34308"/>
    <cellStyle name="Calculation 34 3 2 4" xfId="18613"/>
    <cellStyle name="Calculation 34 3 2 4 2" xfId="39800"/>
    <cellStyle name="Calculation 34 3 2 5" xfId="29019"/>
    <cellStyle name="Calculation 34 3 2_Table 2A-1_EFT (Annual)" xfId="6668"/>
    <cellStyle name="Calculation 34 3 3" xfId="4836"/>
    <cellStyle name="Calculation 34 3 3 2" xfId="13096"/>
    <cellStyle name="Calculation 34 3 3 2 2" xfId="25102"/>
    <cellStyle name="Calculation 34 3 3 2 2 2" xfId="46288"/>
    <cellStyle name="Calculation 34 3 3 2 3" xfId="35684"/>
    <cellStyle name="Calculation 34 3 3 3" xfId="19989"/>
    <cellStyle name="Calculation 34 3 3 3 2" xfId="41176"/>
    <cellStyle name="Calculation 34 3 3 4" xfId="30493"/>
    <cellStyle name="Calculation 34 3 3_Table 2A-1_EFT (Annual)" xfId="11991"/>
    <cellStyle name="Calculation 34 3 4" xfId="10440"/>
    <cellStyle name="Calculation 34 3 4 2" xfId="22556"/>
    <cellStyle name="Calculation 34 3 4 2 2" xfId="43742"/>
    <cellStyle name="Calculation 34 3 4 3" xfId="33138"/>
    <cellStyle name="Calculation 34 3 5" xfId="17443"/>
    <cellStyle name="Calculation 34 3 5 2" xfId="38630"/>
    <cellStyle name="Calculation 34 3 6" xfId="27750"/>
    <cellStyle name="Calculation 34 3_Table 2A-1_EFT (Annual)" xfId="6667"/>
    <cellStyle name="Calculation 34 4" xfId="827"/>
    <cellStyle name="Calculation 34 4 2" xfId="4388"/>
    <cellStyle name="Calculation 34 4 2 2" xfId="12662"/>
    <cellStyle name="Calculation 34 4 2 2 2" xfId="24679"/>
    <cellStyle name="Calculation 34 4 2 2 2 2" xfId="45865"/>
    <cellStyle name="Calculation 34 4 2 2 3" xfId="35261"/>
    <cellStyle name="Calculation 34 4 2 3" xfId="19566"/>
    <cellStyle name="Calculation 34 4 2 3 2" xfId="40753"/>
    <cellStyle name="Calculation 34 4 2 4" xfId="30045"/>
    <cellStyle name="Calculation 34 4 2_Table 2A-1_EFT (Annual)" xfId="10009"/>
    <cellStyle name="Calculation 34 4 3" xfId="10011"/>
    <cellStyle name="Calculation 34 4 3 2" xfId="22133"/>
    <cellStyle name="Calculation 34 4 3 2 2" xfId="43319"/>
    <cellStyle name="Calculation 34 4 3 3" xfId="32715"/>
    <cellStyle name="Calculation 34 4 4" xfId="17020"/>
    <cellStyle name="Calculation 34 4 4 2" xfId="38207"/>
    <cellStyle name="Calculation 34 4 5" xfId="27302"/>
    <cellStyle name="Calculation 34 4_Table 2A-1_EFT (Annual)" xfId="6669"/>
    <cellStyle name="Calculation 34 5" xfId="2014"/>
    <cellStyle name="Calculation 34 5 2" xfId="5575"/>
    <cellStyle name="Calculation 34 5 2 2" xfId="13790"/>
    <cellStyle name="Calculation 34 5 2 2 2" xfId="25778"/>
    <cellStyle name="Calculation 34 5 2 2 2 2" xfId="46964"/>
    <cellStyle name="Calculation 34 5 2 2 3" xfId="36360"/>
    <cellStyle name="Calculation 34 5 2 3" xfId="20665"/>
    <cellStyle name="Calculation 34 5 2 3 2" xfId="41852"/>
    <cellStyle name="Calculation 34 5 2 4" xfId="31232"/>
    <cellStyle name="Calculation 34 5 2_Table 2A-1_EFT (Annual)" xfId="11989"/>
    <cellStyle name="Calculation 34 5 3" xfId="11134"/>
    <cellStyle name="Calculation 34 5 3 2" xfId="23232"/>
    <cellStyle name="Calculation 34 5 3 2 2" xfId="44418"/>
    <cellStyle name="Calculation 34 5 3 3" xfId="33814"/>
    <cellStyle name="Calculation 34 5 4" xfId="18119"/>
    <cellStyle name="Calculation 34 5 4 2" xfId="39306"/>
    <cellStyle name="Calculation 34 5 5" xfId="28489"/>
    <cellStyle name="Calculation 34 5_Table 2A-1_EFT (Annual)" xfId="6670"/>
    <cellStyle name="Calculation 34 6" xfId="3822"/>
    <cellStyle name="Calculation 34 6 2" xfId="12185"/>
    <cellStyle name="Calculation 34 6 2 2" xfId="24214"/>
    <cellStyle name="Calculation 34 6 2 2 2" xfId="45400"/>
    <cellStyle name="Calculation 34 6 2 3" xfId="34796"/>
    <cellStyle name="Calculation 34 6 3" xfId="19101"/>
    <cellStyle name="Calculation 34 6 3 2" xfId="40288"/>
    <cellStyle name="Calculation 34 6 4" xfId="29531"/>
    <cellStyle name="Calculation 34 6_Table 2A-1_EFT (Annual)" xfId="10858"/>
    <cellStyle name="Calculation 34 7" xfId="9504"/>
    <cellStyle name="Calculation 34 7 2" xfId="21668"/>
    <cellStyle name="Calculation 34 7 2 2" xfId="42854"/>
    <cellStyle name="Calculation 34 7 3" xfId="32250"/>
    <cellStyle name="Calculation 34 8" xfId="16555"/>
    <cellStyle name="Calculation 34 8 2" xfId="37742"/>
    <cellStyle name="Calculation 34 9" xfId="26788"/>
    <cellStyle name="Calculation 34_Table 2A-1_EFT (Annual)" xfId="2969"/>
    <cellStyle name="Calculation 35" xfId="279"/>
    <cellStyle name="Calculation 35 2" xfId="1294"/>
    <cellStyle name="Calculation 35 2 2" xfId="2564"/>
    <cellStyle name="Calculation 35 2 2 2" xfId="6125"/>
    <cellStyle name="Calculation 35 2 2 2 2" xfId="14319"/>
    <cellStyle name="Calculation 35 2 2 2 2 2" xfId="26291"/>
    <cellStyle name="Calculation 35 2 2 2 2 2 2" xfId="47477"/>
    <cellStyle name="Calculation 35 2 2 2 2 3" xfId="36873"/>
    <cellStyle name="Calculation 35 2 2 2 3" xfId="21178"/>
    <cellStyle name="Calculation 35 2 2 2 3 2" xfId="42365"/>
    <cellStyle name="Calculation 35 2 2 2 4" xfId="31781"/>
    <cellStyle name="Calculation 35 2 2 2_Table 2A-1_EFT (Annual)" xfId="11497"/>
    <cellStyle name="Calculation 35 2 2 3" xfId="11661"/>
    <cellStyle name="Calculation 35 2 2 3 2" xfId="23745"/>
    <cellStyle name="Calculation 35 2 2 3 2 2" xfId="44931"/>
    <cellStyle name="Calculation 35 2 2 3 3" xfId="34327"/>
    <cellStyle name="Calculation 35 2 2 4" xfId="18632"/>
    <cellStyle name="Calculation 35 2 2 4 2" xfId="39819"/>
    <cellStyle name="Calculation 35 2 2 5" xfId="29038"/>
    <cellStyle name="Calculation 35 2 2_Table 2A-1_EFT (Annual)" xfId="6672"/>
    <cellStyle name="Calculation 35 2 3" xfId="4855"/>
    <cellStyle name="Calculation 35 2 3 2" xfId="13115"/>
    <cellStyle name="Calculation 35 2 3 2 2" xfId="25121"/>
    <cellStyle name="Calculation 35 2 3 2 2 2" xfId="46307"/>
    <cellStyle name="Calculation 35 2 3 2 3" xfId="35703"/>
    <cellStyle name="Calculation 35 2 3 3" xfId="20008"/>
    <cellStyle name="Calculation 35 2 3 3 2" xfId="41195"/>
    <cellStyle name="Calculation 35 2 3 4" xfId="30512"/>
    <cellStyle name="Calculation 35 2 3_Table 2A-1_EFT (Annual)" xfId="9689"/>
    <cellStyle name="Calculation 35 2 4" xfId="10459"/>
    <cellStyle name="Calculation 35 2 4 2" xfId="22575"/>
    <cellStyle name="Calculation 35 2 4 2 2" xfId="43761"/>
    <cellStyle name="Calculation 35 2 4 3" xfId="33157"/>
    <cellStyle name="Calculation 35 2 5" xfId="17462"/>
    <cellStyle name="Calculation 35 2 5 2" xfId="38649"/>
    <cellStyle name="Calculation 35 2 6" xfId="27769"/>
    <cellStyle name="Calculation 35 2_Table 2A-1_EFT (Annual)" xfId="6671"/>
    <cellStyle name="Calculation 35 3" xfId="844"/>
    <cellStyle name="Calculation 35 3 2" xfId="4405"/>
    <cellStyle name="Calculation 35 3 2 2" xfId="12678"/>
    <cellStyle name="Calculation 35 3 2 2 2" xfId="24695"/>
    <cellStyle name="Calculation 35 3 2 2 2 2" xfId="45881"/>
    <cellStyle name="Calculation 35 3 2 2 3" xfId="35277"/>
    <cellStyle name="Calculation 35 3 2 3" xfId="19582"/>
    <cellStyle name="Calculation 35 3 2 3 2" xfId="40769"/>
    <cellStyle name="Calculation 35 3 2 4" xfId="30062"/>
    <cellStyle name="Calculation 35 3 2_Table 2A-1_EFT (Annual)" xfId="9332"/>
    <cellStyle name="Calculation 35 3 3" xfId="10027"/>
    <cellStyle name="Calculation 35 3 3 2" xfId="22149"/>
    <cellStyle name="Calculation 35 3 3 2 2" xfId="43335"/>
    <cellStyle name="Calculation 35 3 3 3" xfId="32731"/>
    <cellStyle name="Calculation 35 3 4" xfId="17036"/>
    <cellStyle name="Calculation 35 3 4 2" xfId="38223"/>
    <cellStyle name="Calculation 35 3 5" xfId="27319"/>
    <cellStyle name="Calculation 35 3_Table 2A-1_EFT (Annual)" xfId="6673"/>
    <cellStyle name="Calculation 35 4" xfId="2033"/>
    <cellStyle name="Calculation 35 4 2" xfId="5594"/>
    <cellStyle name="Calculation 35 4 2 2" xfId="13809"/>
    <cellStyle name="Calculation 35 4 2 2 2" xfId="25797"/>
    <cellStyle name="Calculation 35 4 2 2 2 2" xfId="46983"/>
    <cellStyle name="Calculation 35 4 2 2 3" xfId="36379"/>
    <cellStyle name="Calculation 35 4 2 3" xfId="20684"/>
    <cellStyle name="Calculation 35 4 2 3 2" xfId="41871"/>
    <cellStyle name="Calculation 35 4 2 4" xfId="31251"/>
    <cellStyle name="Calculation 35 4 2_Table 2A-1_EFT (Annual)" xfId="9348"/>
    <cellStyle name="Calculation 35 4 3" xfId="11153"/>
    <cellStyle name="Calculation 35 4 3 2" xfId="23251"/>
    <cellStyle name="Calculation 35 4 3 2 2" xfId="44437"/>
    <cellStyle name="Calculation 35 4 3 3" xfId="33833"/>
    <cellStyle name="Calculation 35 4 4" xfId="18138"/>
    <cellStyle name="Calculation 35 4 4 2" xfId="39325"/>
    <cellStyle name="Calculation 35 4 5" xfId="28508"/>
    <cellStyle name="Calculation 35 4_Table 2A-1_EFT (Annual)" xfId="6674"/>
    <cellStyle name="Calculation 35 5" xfId="3856"/>
    <cellStyle name="Calculation 35 5 2" xfId="12204"/>
    <cellStyle name="Calculation 35 5 2 2" xfId="24233"/>
    <cellStyle name="Calculation 35 5 2 2 2" xfId="45419"/>
    <cellStyle name="Calculation 35 5 2 3" xfId="34815"/>
    <cellStyle name="Calculation 35 5 3" xfId="19120"/>
    <cellStyle name="Calculation 35 5 3 2" xfId="40307"/>
    <cellStyle name="Calculation 35 5 4" xfId="29551"/>
    <cellStyle name="Calculation 35 5_Table 2A-1_EFT (Annual)" xfId="9540"/>
    <cellStyle name="Calculation 35 6" xfId="9533"/>
    <cellStyle name="Calculation 35 6 2" xfId="21687"/>
    <cellStyle name="Calculation 35 6 2 2" xfId="42873"/>
    <cellStyle name="Calculation 35 6 3" xfId="32269"/>
    <cellStyle name="Calculation 35 7" xfId="16574"/>
    <cellStyle name="Calculation 35 7 2" xfId="37761"/>
    <cellStyle name="Calculation 35 8" xfId="26808"/>
    <cellStyle name="Calculation 35_Table 2A-1_EFT (Annual)" xfId="2971"/>
    <cellStyle name="Calculation 36" xfId="643"/>
    <cellStyle name="Calculation 36 2" xfId="1620"/>
    <cellStyle name="Calculation 36 2 2" xfId="2890"/>
    <cellStyle name="Calculation 36 2 2 2" xfId="6451"/>
    <cellStyle name="Calculation 36 2 2 2 2" xfId="14645"/>
    <cellStyle name="Calculation 36 2 2 2 2 2" xfId="26617"/>
    <cellStyle name="Calculation 36 2 2 2 2 2 2" xfId="47803"/>
    <cellStyle name="Calculation 36 2 2 2 2 3" xfId="37199"/>
    <cellStyle name="Calculation 36 2 2 2 3" xfId="21504"/>
    <cellStyle name="Calculation 36 2 2 2 3 2" xfId="42691"/>
    <cellStyle name="Calculation 36 2 2 2 4" xfId="32107"/>
    <cellStyle name="Calculation 36 2 2 2_Table 2A-1_EFT (Annual)" xfId="9347"/>
    <cellStyle name="Calculation 36 2 2 3" xfId="11987"/>
    <cellStyle name="Calculation 36 2 2 3 2" xfId="24071"/>
    <cellStyle name="Calculation 36 2 2 3 2 2" xfId="45257"/>
    <cellStyle name="Calculation 36 2 2 3 3" xfId="34653"/>
    <cellStyle name="Calculation 36 2 2 4" xfId="18958"/>
    <cellStyle name="Calculation 36 2 2 4 2" xfId="40145"/>
    <cellStyle name="Calculation 36 2 2 5" xfId="29364"/>
    <cellStyle name="Calculation 36 2 2_Table 2A-1_EFT (Annual)" xfId="6676"/>
    <cellStyle name="Calculation 36 2 3" xfId="5181"/>
    <cellStyle name="Calculation 36 2 3 2" xfId="13441"/>
    <cellStyle name="Calculation 36 2 3 2 2" xfId="25447"/>
    <cellStyle name="Calculation 36 2 3 2 2 2" xfId="46633"/>
    <cellStyle name="Calculation 36 2 3 2 3" xfId="36029"/>
    <cellStyle name="Calculation 36 2 3 3" xfId="20334"/>
    <cellStyle name="Calculation 36 2 3 3 2" xfId="41521"/>
    <cellStyle name="Calculation 36 2 3 4" xfId="30838"/>
    <cellStyle name="Calculation 36 2 3_Table 2A-1_EFT (Annual)" xfId="9538"/>
    <cellStyle name="Calculation 36 2 4" xfId="10785"/>
    <cellStyle name="Calculation 36 2 4 2" xfId="22901"/>
    <cellStyle name="Calculation 36 2 4 2 2" xfId="44087"/>
    <cellStyle name="Calculation 36 2 4 3" xfId="33483"/>
    <cellStyle name="Calculation 36 2 5" xfId="17788"/>
    <cellStyle name="Calculation 36 2 5 2" xfId="38975"/>
    <cellStyle name="Calculation 36 2 6" xfId="28095"/>
    <cellStyle name="Calculation 36 2_Table 2A-1_EFT (Annual)" xfId="6675"/>
    <cellStyle name="Calculation 36 3" xfId="1132"/>
    <cellStyle name="Calculation 36 3 2" xfId="4693"/>
    <cellStyle name="Calculation 36 3 2 2" xfId="12953"/>
    <cellStyle name="Calculation 36 3 2 2 2" xfId="24959"/>
    <cellStyle name="Calculation 36 3 2 2 2 2" xfId="46145"/>
    <cellStyle name="Calculation 36 3 2 2 3" xfId="35541"/>
    <cellStyle name="Calculation 36 3 2 3" xfId="19846"/>
    <cellStyle name="Calculation 36 3 2 3 2" xfId="41033"/>
    <cellStyle name="Calculation 36 3 2 4" xfId="30350"/>
    <cellStyle name="Calculation 36 3 2_Table 2A-1_EFT (Annual)" xfId="9537"/>
    <cellStyle name="Calculation 36 3 3" xfId="10297"/>
    <cellStyle name="Calculation 36 3 3 2" xfId="22413"/>
    <cellStyle name="Calculation 36 3 3 2 2" xfId="43599"/>
    <cellStyle name="Calculation 36 3 3 3" xfId="32995"/>
    <cellStyle name="Calculation 36 3 4" xfId="17300"/>
    <cellStyle name="Calculation 36 3 4 2" xfId="38487"/>
    <cellStyle name="Calculation 36 3 5" xfId="27607"/>
    <cellStyle name="Calculation 36 3_Table 2A-1_EFT (Annual)" xfId="6677"/>
    <cellStyle name="Calculation 36 4" xfId="2359"/>
    <cellStyle name="Calculation 36 4 2" xfId="5920"/>
    <cellStyle name="Calculation 36 4 2 2" xfId="14135"/>
    <cellStyle name="Calculation 36 4 2 2 2" xfId="26123"/>
    <cellStyle name="Calculation 36 4 2 2 2 2" xfId="47309"/>
    <cellStyle name="Calculation 36 4 2 2 3" xfId="36705"/>
    <cellStyle name="Calculation 36 4 2 3" xfId="21010"/>
    <cellStyle name="Calculation 36 4 2 3 2" xfId="42197"/>
    <cellStyle name="Calculation 36 4 2 4" xfId="31577"/>
    <cellStyle name="Calculation 36 4 2_Table 2A-1_EFT (Annual)" xfId="9536"/>
    <cellStyle name="Calculation 36 4 3" xfId="11479"/>
    <cellStyle name="Calculation 36 4 3 2" xfId="23577"/>
    <cellStyle name="Calculation 36 4 3 2 2" xfId="44763"/>
    <cellStyle name="Calculation 36 4 3 3" xfId="34159"/>
    <cellStyle name="Calculation 36 4 4" xfId="18464"/>
    <cellStyle name="Calculation 36 4 4 2" xfId="39651"/>
    <cellStyle name="Calculation 36 4 5" xfId="28834"/>
    <cellStyle name="Calculation 36 4_Table 2A-1_EFT (Annual)" xfId="6678"/>
    <cellStyle name="Calculation 36 5" xfId="4213"/>
    <cellStyle name="Calculation 36 5 2" xfId="12537"/>
    <cellStyle name="Calculation 36 5 2 2" xfId="24559"/>
    <cellStyle name="Calculation 36 5 2 2 2" xfId="45745"/>
    <cellStyle name="Calculation 36 5 2 3" xfId="35141"/>
    <cellStyle name="Calculation 36 5 3" xfId="19446"/>
    <cellStyle name="Calculation 36 5 3 2" xfId="40633"/>
    <cellStyle name="Calculation 36 5 4" xfId="29901"/>
    <cellStyle name="Calculation 36 5_Table 2A-1_EFT (Annual)" xfId="9888"/>
    <cellStyle name="Calculation 36 6" xfId="9876"/>
    <cellStyle name="Calculation 36 6 2" xfId="22013"/>
    <cellStyle name="Calculation 36 6 2 2" xfId="43199"/>
    <cellStyle name="Calculation 36 6 3" xfId="32595"/>
    <cellStyle name="Calculation 36 7" xfId="16900"/>
    <cellStyle name="Calculation 36 7 2" xfId="38087"/>
    <cellStyle name="Calculation 36 8" xfId="27158"/>
    <cellStyle name="Calculation 36_Table 2A-1_EFT (Annual)" xfId="2972"/>
    <cellStyle name="Calculation 37" xfId="683"/>
    <cellStyle name="Calculation 37 2" xfId="2361"/>
    <cellStyle name="Calculation 37 2 2" xfId="5922"/>
    <cellStyle name="Calculation 37 2 2 2" xfId="14136"/>
    <cellStyle name="Calculation 37 2 2 2 2" xfId="26124"/>
    <cellStyle name="Calculation 37 2 2 2 2 2" xfId="47310"/>
    <cellStyle name="Calculation 37 2 2 2 3" xfId="36706"/>
    <cellStyle name="Calculation 37 2 2 3" xfId="21011"/>
    <cellStyle name="Calculation 37 2 2 3 2" xfId="42198"/>
    <cellStyle name="Calculation 37 2 2 4" xfId="31578"/>
    <cellStyle name="Calculation 37 2 2_Table 2A-1_EFT (Annual)" xfId="9535"/>
    <cellStyle name="Calculation 37 2 3" xfId="11481"/>
    <cellStyle name="Calculation 37 2 3 2" xfId="23578"/>
    <cellStyle name="Calculation 37 2 3 2 2" xfId="44764"/>
    <cellStyle name="Calculation 37 2 3 3" xfId="34160"/>
    <cellStyle name="Calculation 37 2 4" xfId="18465"/>
    <cellStyle name="Calculation 37 2 4 2" xfId="39652"/>
    <cellStyle name="Calculation 37 2 5" xfId="28835"/>
    <cellStyle name="Calculation 37 2_Table 2A-1_EFT (Annual)" xfId="6680"/>
    <cellStyle name="Calculation 37 3" xfId="4249"/>
    <cellStyle name="Calculation 37 3 2" xfId="12542"/>
    <cellStyle name="Calculation 37 3 2 2" xfId="24560"/>
    <cellStyle name="Calculation 37 3 2 2 2" xfId="45746"/>
    <cellStyle name="Calculation 37 3 2 3" xfId="35142"/>
    <cellStyle name="Calculation 37 3 3" xfId="19447"/>
    <cellStyle name="Calculation 37 3 3 2" xfId="40634"/>
    <cellStyle name="Calculation 37 3 4" xfId="29915"/>
    <cellStyle name="Calculation 37 3_Table 2A-1_EFT (Annual)" xfId="9887"/>
    <cellStyle name="Calculation 37 4" xfId="9885"/>
    <cellStyle name="Calculation 37 4 2" xfId="22014"/>
    <cellStyle name="Calculation 37 4 2 2" xfId="43200"/>
    <cellStyle name="Calculation 37 4 3" xfId="32596"/>
    <cellStyle name="Calculation 37 5" xfId="16901"/>
    <cellStyle name="Calculation 37 5 2" xfId="38088"/>
    <cellStyle name="Calculation 37 6" xfId="27172"/>
    <cellStyle name="Calculation 37_Table 2A-1_EFT (Annual)" xfId="6679"/>
    <cellStyle name="Calculation 38" xfId="15997"/>
    <cellStyle name="Calculation 38 2" xfId="37201"/>
    <cellStyle name="Calculation 39" xfId="47805"/>
    <cellStyle name="Calculation 4" xfId="121"/>
    <cellStyle name="Calculation 4 10" xfId="21505"/>
    <cellStyle name="Calculation 4 10 2" xfId="42692"/>
    <cellStyle name="Calculation 4 11" xfId="26676"/>
    <cellStyle name="Calculation 4 2" xfId="514"/>
    <cellStyle name="Calculation 4 2 2" xfId="1491"/>
    <cellStyle name="Calculation 4 2 2 2" xfId="2761"/>
    <cellStyle name="Calculation 4 2 2 2 2" xfId="6322"/>
    <cellStyle name="Calculation 4 2 2 2 2 2" xfId="14516"/>
    <cellStyle name="Calculation 4 2 2 2 2 2 2" xfId="26488"/>
    <cellStyle name="Calculation 4 2 2 2 2 2 2 2" xfId="47674"/>
    <cellStyle name="Calculation 4 2 2 2 2 2 3" xfId="37070"/>
    <cellStyle name="Calculation 4 2 2 2 2 3" xfId="21375"/>
    <cellStyle name="Calculation 4 2 2 2 2 3 2" xfId="42562"/>
    <cellStyle name="Calculation 4 2 2 2 2 4" xfId="31978"/>
    <cellStyle name="Calculation 4 2 2 2 2_Table 2A-1_EFT (Annual)" xfId="9346"/>
    <cellStyle name="Calculation 4 2 2 2 3" xfId="11858"/>
    <cellStyle name="Calculation 4 2 2 2 3 2" xfId="23942"/>
    <cellStyle name="Calculation 4 2 2 2 3 2 2" xfId="45128"/>
    <cellStyle name="Calculation 4 2 2 2 3 3" xfId="34524"/>
    <cellStyle name="Calculation 4 2 2 2 4" xfId="18829"/>
    <cellStyle name="Calculation 4 2 2 2 4 2" xfId="40016"/>
    <cellStyle name="Calculation 4 2 2 2 5" xfId="29235"/>
    <cellStyle name="Calculation 4 2 2 2_Table 2A-1_EFT (Annual)" xfId="6682"/>
    <cellStyle name="Calculation 4 2 2 3" xfId="5052"/>
    <cellStyle name="Calculation 4 2 2 3 2" xfId="13312"/>
    <cellStyle name="Calculation 4 2 2 3 2 2" xfId="25318"/>
    <cellStyle name="Calculation 4 2 2 3 2 2 2" xfId="46504"/>
    <cellStyle name="Calculation 4 2 2 3 2 3" xfId="35900"/>
    <cellStyle name="Calculation 4 2 2 3 3" xfId="20205"/>
    <cellStyle name="Calculation 4 2 2 3 3 2" xfId="41392"/>
    <cellStyle name="Calculation 4 2 2 3 4" xfId="30709"/>
    <cellStyle name="Calculation 4 2 2 3_Table 2A-1_EFT (Annual)" xfId="9534"/>
    <cellStyle name="Calculation 4 2 2 4" xfId="10656"/>
    <cellStyle name="Calculation 4 2 2 4 2" xfId="22772"/>
    <cellStyle name="Calculation 4 2 2 4 2 2" xfId="43958"/>
    <cellStyle name="Calculation 4 2 2 4 3" xfId="33354"/>
    <cellStyle name="Calculation 4 2 2 5" xfId="17659"/>
    <cellStyle name="Calculation 4 2 2 5 2" xfId="38846"/>
    <cellStyle name="Calculation 4 2 2 6" xfId="27966"/>
    <cellStyle name="Calculation 4 2 2_Table 2A-1_EFT (Annual)" xfId="6681"/>
    <cellStyle name="Calculation 4 2 3" xfId="1025"/>
    <cellStyle name="Calculation 4 2 3 2" xfId="4586"/>
    <cellStyle name="Calculation 4 2 3 2 2" xfId="12846"/>
    <cellStyle name="Calculation 4 2 3 2 2 2" xfId="24852"/>
    <cellStyle name="Calculation 4 2 3 2 2 2 2" xfId="46038"/>
    <cellStyle name="Calculation 4 2 3 2 2 3" xfId="35434"/>
    <cellStyle name="Calculation 4 2 3 2 3" xfId="19739"/>
    <cellStyle name="Calculation 4 2 3 2 3 2" xfId="40926"/>
    <cellStyle name="Calculation 4 2 3 2 4" xfId="30243"/>
    <cellStyle name="Calculation 4 2 3 2_Table 2A-1_EFT (Annual)" xfId="10790"/>
    <cellStyle name="Calculation 4 2 3 3" xfId="10190"/>
    <cellStyle name="Calculation 4 2 3 3 2" xfId="22306"/>
    <cellStyle name="Calculation 4 2 3 3 2 2" xfId="43492"/>
    <cellStyle name="Calculation 4 2 3 3 3" xfId="32888"/>
    <cellStyle name="Calculation 4 2 3 4" xfId="17193"/>
    <cellStyle name="Calculation 4 2 3 4 2" xfId="38380"/>
    <cellStyle name="Calculation 4 2 3 5" xfId="27500"/>
    <cellStyle name="Calculation 4 2 3_Table 2A-1_EFT (Annual)" xfId="6683"/>
    <cellStyle name="Calculation 4 2 4" xfId="2230"/>
    <cellStyle name="Calculation 4 2 4 2" xfId="5791"/>
    <cellStyle name="Calculation 4 2 4 2 2" xfId="14006"/>
    <cellStyle name="Calculation 4 2 4 2 2 2" xfId="25994"/>
    <cellStyle name="Calculation 4 2 4 2 2 2 2" xfId="47180"/>
    <cellStyle name="Calculation 4 2 4 2 2 3" xfId="36576"/>
    <cellStyle name="Calculation 4 2 4 2 3" xfId="20881"/>
    <cellStyle name="Calculation 4 2 4 2 3 2" xfId="42068"/>
    <cellStyle name="Calculation 4 2 4 2 4" xfId="31448"/>
    <cellStyle name="Calculation 4 2 4 2_Table 2A-1_EFT (Annual)" xfId="10895"/>
    <cellStyle name="Calculation 4 2 4 3" xfId="11350"/>
    <cellStyle name="Calculation 4 2 4 3 2" xfId="23448"/>
    <cellStyle name="Calculation 4 2 4 3 2 2" xfId="44634"/>
    <cellStyle name="Calculation 4 2 4 3 3" xfId="34030"/>
    <cellStyle name="Calculation 4 2 4 4" xfId="18335"/>
    <cellStyle name="Calculation 4 2 4 4 2" xfId="39522"/>
    <cellStyle name="Calculation 4 2 4 5" xfId="28705"/>
    <cellStyle name="Calculation 4 2 4_Table 2A-1_EFT (Annual)" xfId="6684"/>
    <cellStyle name="Calculation 4 2 5" xfId="4084"/>
    <cellStyle name="Calculation 4 2 5 2" xfId="12408"/>
    <cellStyle name="Calculation 4 2 5 2 2" xfId="24430"/>
    <cellStyle name="Calculation 4 2 5 2 2 2" xfId="45616"/>
    <cellStyle name="Calculation 4 2 5 2 3" xfId="35012"/>
    <cellStyle name="Calculation 4 2 5 3" xfId="19317"/>
    <cellStyle name="Calculation 4 2 5 3 2" xfId="40504"/>
    <cellStyle name="Calculation 4 2 5 4" xfId="29772"/>
    <cellStyle name="Calculation 4 2 5_Table 2A-1_EFT (Annual)" xfId="12211"/>
    <cellStyle name="Calculation 4 2 6" xfId="9747"/>
    <cellStyle name="Calculation 4 2 6 2" xfId="21884"/>
    <cellStyle name="Calculation 4 2 6 2 2" xfId="43070"/>
    <cellStyle name="Calculation 4 2 6 3" xfId="32466"/>
    <cellStyle name="Calculation 4 2 7" xfId="16771"/>
    <cellStyle name="Calculation 4 2 7 2" xfId="37958"/>
    <cellStyle name="Calculation 4 2 8" xfId="27029"/>
    <cellStyle name="Calculation 4 2_Table 2A-1_EFT (Annual)" xfId="2974"/>
    <cellStyle name="Calculation 4 3" xfId="352"/>
    <cellStyle name="Calculation 4 3 2" xfId="1335"/>
    <cellStyle name="Calculation 4 3 2 2" xfId="2605"/>
    <cellStyle name="Calculation 4 3 2 2 2" xfId="6166"/>
    <cellStyle name="Calculation 4 3 2 2 2 2" xfId="14360"/>
    <cellStyle name="Calculation 4 3 2 2 2 2 2" xfId="26332"/>
    <cellStyle name="Calculation 4 3 2 2 2 2 2 2" xfId="47518"/>
    <cellStyle name="Calculation 4 3 2 2 2 2 3" xfId="36914"/>
    <cellStyle name="Calculation 4 3 2 2 2 3" xfId="21219"/>
    <cellStyle name="Calculation 4 3 2 2 2 3 2" xfId="42406"/>
    <cellStyle name="Calculation 4 3 2 2 2 4" xfId="31822"/>
    <cellStyle name="Calculation 4 3 2 2 2_Table 2A-1_EFT (Annual)" xfId="11494"/>
    <cellStyle name="Calculation 4 3 2 2 3" xfId="11702"/>
    <cellStyle name="Calculation 4 3 2 2 3 2" xfId="23786"/>
    <cellStyle name="Calculation 4 3 2 2 3 2 2" xfId="44972"/>
    <cellStyle name="Calculation 4 3 2 2 3 3" xfId="34368"/>
    <cellStyle name="Calculation 4 3 2 2 4" xfId="18673"/>
    <cellStyle name="Calculation 4 3 2 2 4 2" xfId="39860"/>
    <cellStyle name="Calculation 4 3 2 2 5" xfId="29079"/>
    <cellStyle name="Calculation 4 3 2 2_Table 2A-1_EFT (Annual)" xfId="6686"/>
    <cellStyle name="Calculation 4 3 2 3" xfId="4896"/>
    <cellStyle name="Calculation 4 3 2 3 2" xfId="13156"/>
    <cellStyle name="Calculation 4 3 2 3 2 2" xfId="25162"/>
    <cellStyle name="Calculation 4 3 2 3 2 2 2" xfId="46348"/>
    <cellStyle name="Calculation 4 3 2 3 2 3" xfId="35744"/>
    <cellStyle name="Calculation 4 3 2 3 3" xfId="20049"/>
    <cellStyle name="Calculation 4 3 2 3 3 2" xfId="41236"/>
    <cellStyle name="Calculation 4 3 2 3 4" xfId="30553"/>
    <cellStyle name="Calculation 4 3 2 3_Table 2A-1_EFT (Annual)" xfId="9546"/>
    <cellStyle name="Calculation 4 3 2 4" xfId="10500"/>
    <cellStyle name="Calculation 4 3 2 4 2" xfId="22616"/>
    <cellStyle name="Calculation 4 3 2 4 2 2" xfId="43802"/>
    <cellStyle name="Calculation 4 3 2 4 3" xfId="33198"/>
    <cellStyle name="Calculation 4 3 2 5" xfId="17503"/>
    <cellStyle name="Calculation 4 3 2 5 2" xfId="38690"/>
    <cellStyle name="Calculation 4 3 2 6" xfId="27810"/>
    <cellStyle name="Calculation 4 3 2_Table 2A-1_EFT (Annual)" xfId="6685"/>
    <cellStyle name="Calculation 4 3 3" xfId="893"/>
    <cellStyle name="Calculation 4 3 3 2" xfId="4454"/>
    <cellStyle name="Calculation 4 3 3 2 2" xfId="12716"/>
    <cellStyle name="Calculation 4 3 3 2 2 2" xfId="24726"/>
    <cellStyle name="Calculation 4 3 3 2 2 2 2" xfId="45912"/>
    <cellStyle name="Calculation 4 3 3 2 2 3" xfId="35308"/>
    <cellStyle name="Calculation 4 3 3 2 3" xfId="19613"/>
    <cellStyle name="Calculation 4 3 3 2 3 2" xfId="40800"/>
    <cellStyle name="Calculation 4 3 3 2 4" xfId="30111"/>
    <cellStyle name="Calculation 4 3 3 2_Table 2A-1_EFT (Annual)" xfId="10821"/>
    <cellStyle name="Calculation 4 3 3 3" xfId="10063"/>
    <cellStyle name="Calculation 4 3 3 3 2" xfId="22180"/>
    <cellStyle name="Calculation 4 3 3 3 2 2" xfId="43366"/>
    <cellStyle name="Calculation 4 3 3 3 3" xfId="32762"/>
    <cellStyle name="Calculation 4 3 3 4" xfId="17067"/>
    <cellStyle name="Calculation 4 3 3 4 2" xfId="38254"/>
    <cellStyle name="Calculation 4 3 3 5" xfId="27368"/>
    <cellStyle name="Calculation 4 3 3_Table 2A-1_EFT (Annual)" xfId="6687"/>
    <cellStyle name="Calculation 4 3 4" xfId="2074"/>
    <cellStyle name="Calculation 4 3 4 2" xfId="5635"/>
    <cellStyle name="Calculation 4 3 4 2 2" xfId="13850"/>
    <cellStyle name="Calculation 4 3 4 2 2 2" xfId="25838"/>
    <cellStyle name="Calculation 4 3 4 2 2 2 2" xfId="47024"/>
    <cellStyle name="Calculation 4 3 4 2 2 3" xfId="36420"/>
    <cellStyle name="Calculation 4 3 4 2 3" xfId="20725"/>
    <cellStyle name="Calculation 4 3 4 2 3 2" xfId="41912"/>
    <cellStyle name="Calculation 4 3 4 2 4" xfId="31292"/>
    <cellStyle name="Calculation 4 3 4 2_Table 2A-1_EFT (Annual)" xfId="11488"/>
    <cellStyle name="Calculation 4 3 4 3" xfId="11194"/>
    <cellStyle name="Calculation 4 3 4 3 2" xfId="23292"/>
    <cellStyle name="Calculation 4 3 4 3 2 2" xfId="44478"/>
    <cellStyle name="Calculation 4 3 4 3 3" xfId="33874"/>
    <cellStyle name="Calculation 4 3 4 4" xfId="18179"/>
    <cellStyle name="Calculation 4 3 4 4 2" xfId="39366"/>
    <cellStyle name="Calculation 4 3 4 5" xfId="28549"/>
    <cellStyle name="Calculation 4 3 4_Table 2A-1_EFT (Annual)" xfId="6688"/>
    <cellStyle name="Calculation 4 3 5" xfId="3922"/>
    <cellStyle name="Calculation 4 3 5 2" xfId="12250"/>
    <cellStyle name="Calculation 4 3 5 2 2" xfId="24274"/>
    <cellStyle name="Calculation 4 3 5 2 2 2" xfId="45460"/>
    <cellStyle name="Calculation 4 3 5 2 3" xfId="34856"/>
    <cellStyle name="Calculation 4 3 5 3" xfId="19161"/>
    <cellStyle name="Calculation 4 3 5 3 2" xfId="40348"/>
    <cellStyle name="Calculation 4 3 5 4" xfId="29610"/>
    <cellStyle name="Calculation 4 3 5_Table 2A-1_EFT (Annual)" xfId="12350"/>
    <cellStyle name="Calculation 4 3 6" xfId="9587"/>
    <cellStyle name="Calculation 4 3 6 2" xfId="21728"/>
    <cellStyle name="Calculation 4 3 6 2 2" xfId="42914"/>
    <cellStyle name="Calculation 4 3 6 3" xfId="32310"/>
    <cellStyle name="Calculation 4 3 7" xfId="16615"/>
    <cellStyle name="Calculation 4 3 7 2" xfId="37802"/>
    <cellStyle name="Calculation 4 3 8" xfId="26867"/>
    <cellStyle name="Calculation 4 3_Table 2A-1_EFT (Annual)" xfId="2975"/>
    <cellStyle name="Calculation 4 4" xfId="1169"/>
    <cellStyle name="Calculation 4 4 2" xfId="2439"/>
    <cellStyle name="Calculation 4 4 2 2" xfId="6000"/>
    <cellStyle name="Calculation 4 4 2 2 2" xfId="14194"/>
    <cellStyle name="Calculation 4 4 2 2 2 2" xfId="26166"/>
    <cellStyle name="Calculation 4 4 2 2 2 2 2" xfId="47352"/>
    <cellStyle name="Calculation 4 4 2 2 2 3" xfId="36748"/>
    <cellStyle name="Calculation 4 4 2 2 3" xfId="21053"/>
    <cellStyle name="Calculation 4 4 2 2 3 2" xfId="42240"/>
    <cellStyle name="Calculation 4 4 2 2 4" xfId="31656"/>
    <cellStyle name="Calculation 4 4 2 2_Table 2A-1_EFT (Annual)" xfId="14155"/>
    <cellStyle name="Calculation 4 4 2 3" xfId="11536"/>
    <cellStyle name="Calculation 4 4 2 3 2" xfId="23620"/>
    <cellStyle name="Calculation 4 4 2 3 2 2" xfId="44806"/>
    <cellStyle name="Calculation 4 4 2 3 3" xfId="34202"/>
    <cellStyle name="Calculation 4 4 2 4" xfId="18507"/>
    <cellStyle name="Calculation 4 4 2 4 2" xfId="39694"/>
    <cellStyle name="Calculation 4 4 2 5" xfId="28913"/>
    <cellStyle name="Calculation 4 4 2_Table 2A-1_EFT (Annual)" xfId="6690"/>
    <cellStyle name="Calculation 4 4 3" xfId="4730"/>
    <cellStyle name="Calculation 4 4 3 2" xfId="12990"/>
    <cellStyle name="Calculation 4 4 3 2 2" xfId="24996"/>
    <cellStyle name="Calculation 4 4 3 2 2 2" xfId="46182"/>
    <cellStyle name="Calculation 4 4 3 2 3" xfId="35578"/>
    <cellStyle name="Calculation 4 4 3 3" xfId="19883"/>
    <cellStyle name="Calculation 4 4 3 3 2" xfId="41070"/>
    <cellStyle name="Calculation 4 4 3 4" xfId="30387"/>
    <cellStyle name="Calculation 4 4 3_Table 2A-1_EFT (Annual)" xfId="10146"/>
    <cellStyle name="Calculation 4 4 4" xfId="10334"/>
    <cellStyle name="Calculation 4 4 4 2" xfId="22450"/>
    <cellStyle name="Calculation 4 4 4 2 2" xfId="43636"/>
    <cellStyle name="Calculation 4 4 4 3" xfId="33032"/>
    <cellStyle name="Calculation 4 4 5" xfId="17337"/>
    <cellStyle name="Calculation 4 4 5 2" xfId="38524"/>
    <cellStyle name="Calculation 4 4 6" xfId="27644"/>
    <cellStyle name="Calculation 4 4_Table 2A-1_EFT (Annual)" xfId="6689"/>
    <cellStyle name="Calculation 4 5" xfId="734"/>
    <cellStyle name="Calculation 4 5 2" xfId="4295"/>
    <cellStyle name="Calculation 4 5 2 2" xfId="12575"/>
    <cellStyle name="Calculation 4 5 2 2 2" xfId="24592"/>
    <cellStyle name="Calculation 4 5 2 2 2 2" xfId="45778"/>
    <cellStyle name="Calculation 4 5 2 2 3" xfId="35174"/>
    <cellStyle name="Calculation 4 5 2 3" xfId="19479"/>
    <cellStyle name="Calculation 4 5 2 3 2" xfId="40666"/>
    <cellStyle name="Calculation 4 5 2 4" xfId="29952"/>
    <cellStyle name="Calculation 4 5 2_Table 2A-1_EFT (Annual)" xfId="9357"/>
    <cellStyle name="Calculation 4 5 3" xfId="9923"/>
    <cellStyle name="Calculation 4 5 3 2" xfId="22046"/>
    <cellStyle name="Calculation 4 5 3 2 2" xfId="43232"/>
    <cellStyle name="Calculation 4 5 3 3" xfId="32628"/>
    <cellStyle name="Calculation 4 5 4" xfId="16933"/>
    <cellStyle name="Calculation 4 5 4 2" xfId="38120"/>
    <cellStyle name="Calculation 4 5 5" xfId="27209"/>
    <cellStyle name="Calculation 4 5_Table 2A-1_EFT (Annual)" xfId="6691"/>
    <cellStyle name="Calculation 4 6" xfId="1796"/>
    <cellStyle name="Calculation 4 6 2" xfId="5357"/>
    <cellStyle name="Calculation 4 6 2 2" xfId="13572"/>
    <cellStyle name="Calculation 4 6 2 2 2" xfId="25560"/>
    <cellStyle name="Calculation 4 6 2 2 2 2" xfId="46746"/>
    <cellStyle name="Calculation 4 6 2 2 3" xfId="36142"/>
    <cellStyle name="Calculation 4 6 2 3" xfId="20447"/>
    <cellStyle name="Calculation 4 6 2 3 2" xfId="41634"/>
    <cellStyle name="Calculation 4 6 2 4" xfId="31014"/>
    <cellStyle name="Calculation 4 6 2_Table 2A-1_EFT (Annual)" xfId="10789"/>
    <cellStyle name="Calculation 4 6 3" xfId="10916"/>
    <cellStyle name="Calculation 4 6 3 2" xfId="23014"/>
    <cellStyle name="Calculation 4 6 3 2 2" xfId="44200"/>
    <cellStyle name="Calculation 4 6 3 3" xfId="33596"/>
    <cellStyle name="Calculation 4 6 4" xfId="17901"/>
    <cellStyle name="Calculation 4 6 4 2" xfId="39088"/>
    <cellStyle name="Calculation 4 6 5" xfId="28271"/>
    <cellStyle name="Calculation 4 6_Table 2A-1_EFT (Annual)" xfId="6692"/>
    <cellStyle name="Calculation 4 7" xfId="3710"/>
    <cellStyle name="Calculation 4 7 2" xfId="12078"/>
    <cellStyle name="Calculation 4 7 2 2" xfId="24108"/>
    <cellStyle name="Calculation 4 7 2 2 2" xfId="45294"/>
    <cellStyle name="Calculation 4 7 2 3" xfId="34690"/>
    <cellStyle name="Calculation 4 7 3" xfId="18995"/>
    <cellStyle name="Calculation 4 7 3 2" xfId="40182"/>
    <cellStyle name="Calculation 4 7 4" xfId="29419"/>
    <cellStyle name="Calculation 4 7_Table 2A-1_EFT (Annual)" xfId="13552"/>
    <cellStyle name="Calculation 4 8" xfId="9397"/>
    <cellStyle name="Calculation 4 8 2" xfId="21562"/>
    <cellStyle name="Calculation 4 8 2 2" xfId="42748"/>
    <cellStyle name="Calculation 4 8 3" xfId="32144"/>
    <cellStyle name="Calculation 4 9" xfId="16449"/>
    <cellStyle name="Calculation 4 9 2" xfId="37636"/>
    <cellStyle name="Calculation 4_Table 2A-1_EFT (Annual)" xfId="2973"/>
    <cellStyle name="Calculation 5" xfId="110"/>
    <cellStyle name="Calculation 5 10" xfId="21511"/>
    <cellStyle name="Calculation 5 10 2" xfId="42698"/>
    <cellStyle name="Calculation 5 11" xfId="26665"/>
    <cellStyle name="Calculation 5 2" xfId="503"/>
    <cellStyle name="Calculation 5 2 2" xfId="1480"/>
    <cellStyle name="Calculation 5 2 2 2" xfId="2750"/>
    <cellStyle name="Calculation 5 2 2 2 2" xfId="6311"/>
    <cellStyle name="Calculation 5 2 2 2 2 2" xfId="14505"/>
    <cellStyle name="Calculation 5 2 2 2 2 2 2" xfId="26477"/>
    <cellStyle name="Calculation 5 2 2 2 2 2 2 2" xfId="47663"/>
    <cellStyle name="Calculation 5 2 2 2 2 2 3" xfId="37059"/>
    <cellStyle name="Calculation 5 2 2 2 2 3" xfId="21364"/>
    <cellStyle name="Calculation 5 2 2 2 2 3 2" xfId="42551"/>
    <cellStyle name="Calculation 5 2 2 2 2 4" xfId="31967"/>
    <cellStyle name="Calculation 5 2 2 2 2_Table 2A-1_EFT (Annual)" xfId="12684"/>
    <cellStyle name="Calculation 5 2 2 2 3" xfId="11847"/>
    <cellStyle name="Calculation 5 2 2 2 3 2" xfId="23931"/>
    <cellStyle name="Calculation 5 2 2 2 3 2 2" xfId="45117"/>
    <cellStyle name="Calculation 5 2 2 2 3 3" xfId="34513"/>
    <cellStyle name="Calculation 5 2 2 2 4" xfId="18818"/>
    <cellStyle name="Calculation 5 2 2 2 4 2" xfId="40005"/>
    <cellStyle name="Calculation 5 2 2 2 5" xfId="29224"/>
    <cellStyle name="Calculation 5 2 2 2_Table 2A-1_EFT (Annual)" xfId="6694"/>
    <cellStyle name="Calculation 5 2 2 3" xfId="5041"/>
    <cellStyle name="Calculation 5 2 2 3 2" xfId="13301"/>
    <cellStyle name="Calculation 5 2 2 3 2 2" xfId="25307"/>
    <cellStyle name="Calculation 5 2 2 3 2 2 2" xfId="46493"/>
    <cellStyle name="Calculation 5 2 2 3 2 3" xfId="35889"/>
    <cellStyle name="Calculation 5 2 2 3 3" xfId="20194"/>
    <cellStyle name="Calculation 5 2 2 3 3 2" xfId="41381"/>
    <cellStyle name="Calculation 5 2 2 3 4" xfId="30698"/>
    <cellStyle name="Calculation 5 2 2 3_Table 2A-1_EFT (Annual)" xfId="11493"/>
    <cellStyle name="Calculation 5 2 2 4" xfId="10645"/>
    <cellStyle name="Calculation 5 2 2 4 2" xfId="22761"/>
    <cellStyle name="Calculation 5 2 2 4 2 2" xfId="43947"/>
    <cellStyle name="Calculation 5 2 2 4 3" xfId="33343"/>
    <cellStyle name="Calculation 5 2 2 5" xfId="17648"/>
    <cellStyle name="Calculation 5 2 2 5 2" xfId="38835"/>
    <cellStyle name="Calculation 5 2 2 6" xfId="27955"/>
    <cellStyle name="Calculation 5 2 2_Table 2A-1_EFT (Annual)" xfId="6693"/>
    <cellStyle name="Calculation 5 2 3" xfId="1017"/>
    <cellStyle name="Calculation 5 2 3 2" xfId="4578"/>
    <cellStyle name="Calculation 5 2 3 2 2" xfId="12838"/>
    <cellStyle name="Calculation 5 2 3 2 2 2" xfId="24844"/>
    <cellStyle name="Calculation 5 2 3 2 2 2 2" xfId="46030"/>
    <cellStyle name="Calculation 5 2 3 2 2 3" xfId="35426"/>
    <cellStyle name="Calculation 5 2 3 2 3" xfId="19731"/>
    <cellStyle name="Calculation 5 2 3 2 3 2" xfId="40918"/>
    <cellStyle name="Calculation 5 2 3 2 4" xfId="30235"/>
    <cellStyle name="Calculation 5 2 3 2_Table 2A-1_EFT (Annual)" xfId="12064"/>
    <cellStyle name="Calculation 5 2 3 3" xfId="10182"/>
    <cellStyle name="Calculation 5 2 3 3 2" xfId="22298"/>
    <cellStyle name="Calculation 5 2 3 3 2 2" xfId="43484"/>
    <cellStyle name="Calculation 5 2 3 3 3" xfId="32880"/>
    <cellStyle name="Calculation 5 2 3 4" xfId="17185"/>
    <cellStyle name="Calculation 5 2 3 4 2" xfId="38372"/>
    <cellStyle name="Calculation 5 2 3 5" xfId="27492"/>
    <cellStyle name="Calculation 5 2 3_Table 2A-1_EFT (Annual)" xfId="6695"/>
    <cellStyle name="Calculation 5 2 4" xfId="2219"/>
    <cellStyle name="Calculation 5 2 4 2" xfId="5780"/>
    <cellStyle name="Calculation 5 2 4 2 2" xfId="13995"/>
    <cellStyle name="Calculation 5 2 4 2 2 2" xfId="25983"/>
    <cellStyle name="Calculation 5 2 4 2 2 2 2" xfId="47169"/>
    <cellStyle name="Calculation 5 2 4 2 2 3" xfId="36565"/>
    <cellStyle name="Calculation 5 2 4 2 3" xfId="20870"/>
    <cellStyle name="Calculation 5 2 4 2 3 2" xfId="42057"/>
    <cellStyle name="Calculation 5 2 4 2 4" xfId="31437"/>
    <cellStyle name="Calculation 5 2 4 2_Table 2A-1_EFT (Annual)" xfId="12564"/>
    <cellStyle name="Calculation 5 2 4 3" xfId="11339"/>
    <cellStyle name="Calculation 5 2 4 3 2" xfId="23437"/>
    <cellStyle name="Calculation 5 2 4 3 2 2" xfId="44623"/>
    <cellStyle name="Calculation 5 2 4 3 3" xfId="34019"/>
    <cellStyle name="Calculation 5 2 4 4" xfId="18324"/>
    <cellStyle name="Calculation 5 2 4 4 2" xfId="39511"/>
    <cellStyle name="Calculation 5 2 4 5" xfId="28694"/>
    <cellStyle name="Calculation 5 2 4_Table 2A-1_EFT (Annual)" xfId="6696"/>
    <cellStyle name="Calculation 5 2 5" xfId="4073"/>
    <cellStyle name="Calculation 5 2 5 2" xfId="12397"/>
    <cellStyle name="Calculation 5 2 5 2 2" xfId="24419"/>
    <cellStyle name="Calculation 5 2 5 2 2 2" xfId="45605"/>
    <cellStyle name="Calculation 5 2 5 2 3" xfId="35001"/>
    <cellStyle name="Calculation 5 2 5 3" xfId="19306"/>
    <cellStyle name="Calculation 5 2 5 3 2" xfId="40493"/>
    <cellStyle name="Calculation 5 2 5 4" xfId="29761"/>
    <cellStyle name="Calculation 5 2 5_Table 2A-1_EFT (Annual)" xfId="11487"/>
    <cellStyle name="Calculation 5 2 6" xfId="9736"/>
    <cellStyle name="Calculation 5 2 6 2" xfId="21873"/>
    <cellStyle name="Calculation 5 2 6 2 2" xfId="43059"/>
    <cellStyle name="Calculation 5 2 6 3" xfId="32455"/>
    <cellStyle name="Calculation 5 2 7" xfId="16760"/>
    <cellStyle name="Calculation 5 2 7 2" xfId="37947"/>
    <cellStyle name="Calculation 5 2 8" xfId="27018"/>
    <cellStyle name="Calculation 5 2_Table 2A-1_EFT (Annual)" xfId="2977"/>
    <cellStyle name="Calculation 5 3" xfId="341"/>
    <cellStyle name="Calculation 5 3 2" xfId="1324"/>
    <cellStyle name="Calculation 5 3 2 2" xfId="2594"/>
    <cellStyle name="Calculation 5 3 2 2 2" xfId="6155"/>
    <cellStyle name="Calculation 5 3 2 2 2 2" xfId="14349"/>
    <cellStyle name="Calculation 5 3 2 2 2 2 2" xfId="26321"/>
    <cellStyle name="Calculation 5 3 2 2 2 2 2 2" xfId="47507"/>
    <cellStyle name="Calculation 5 3 2 2 2 2 3" xfId="36903"/>
    <cellStyle name="Calculation 5 3 2 2 2 3" xfId="21208"/>
    <cellStyle name="Calculation 5 3 2 2 2 3 2" xfId="42395"/>
    <cellStyle name="Calculation 5 3 2 2 2 4" xfId="31811"/>
    <cellStyle name="Calculation 5 3 2 2 2_Table 2A-1_EFT (Annual)" xfId="12705"/>
    <cellStyle name="Calculation 5 3 2 2 3" xfId="11691"/>
    <cellStyle name="Calculation 5 3 2 2 3 2" xfId="23775"/>
    <cellStyle name="Calculation 5 3 2 2 3 2 2" xfId="44961"/>
    <cellStyle name="Calculation 5 3 2 2 3 3" xfId="34357"/>
    <cellStyle name="Calculation 5 3 2 2 4" xfId="18662"/>
    <cellStyle name="Calculation 5 3 2 2 4 2" xfId="39849"/>
    <cellStyle name="Calculation 5 3 2 2 5" xfId="29068"/>
    <cellStyle name="Calculation 5 3 2 2_Table 2A-1_EFT (Annual)" xfId="6698"/>
    <cellStyle name="Calculation 5 3 2 3" xfId="4885"/>
    <cellStyle name="Calculation 5 3 2 3 2" xfId="13145"/>
    <cellStyle name="Calculation 5 3 2 3 2 2" xfId="25151"/>
    <cellStyle name="Calculation 5 3 2 3 2 2 2" xfId="46337"/>
    <cellStyle name="Calculation 5 3 2 3 2 3" xfId="35733"/>
    <cellStyle name="Calculation 5 3 2 3 3" xfId="20038"/>
    <cellStyle name="Calculation 5 3 2 3 3 2" xfId="41225"/>
    <cellStyle name="Calculation 5 3 2 3 4" xfId="30542"/>
    <cellStyle name="Calculation 5 3 2 3_Table 2A-1_EFT (Annual)" xfId="11496"/>
    <cellStyle name="Calculation 5 3 2 4" xfId="10489"/>
    <cellStyle name="Calculation 5 3 2 4 2" xfId="22605"/>
    <cellStyle name="Calculation 5 3 2 4 2 2" xfId="43791"/>
    <cellStyle name="Calculation 5 3 2 4 3" xfId="33187"/>
    <cellStyle name="Calculation 5 3 2 5" xfId="17492"/>
    <cellStyle name="Calculation 5 3 2 5 2" xfId="38679"/>
    <cellStyle name="Calculation 5 3 2 6" xfId="27799"/>
    <cellStyle name="Calculation 5 3 2_Table 2A-1_EFT (Annual)" xfId="6697"/>
    <cellStyle name="Calculation 5 3 3" xfId="885"/>
    <cellStyle name="Calculation 5 3 3 2" xfId="4446"/>
    <cellStyle name="Calculation 5 3 3 2 2" xfId="12708"/>
    <cellStyle name="Calculation 5 3 3 2 2 2" xfId="24718"/>
    <cellStyle name="Calculation 5 3 3 2 2 2 2" xfId="45904"/>
    <cellStyle name="Calculation 5 3 3 2 2 3" xfId="35300"/>
    <cellStyle name="Calculation 5 3 3 2 3" xfId="19605"/>
    <cellStyle name="Calculation 5 3 3 2 3 2" xfId="40792"/>
    <cellStyle name="Calculation 5 3 3 2 4" xfId="30103"/>
    <cellStyle name="Calculation 5 3 3 2_Table 2A-1_EFT (Annual)" xfId="9383"/>
    <cellStyle name="Calculation 5 3 3 3" xfId="10055"/>
    <cellStyle name="Calculation 5 3 3 3 2" xfId="22172"/>
    <cellStyle name="Calculation 5 3 3 3 2 2" xfId="43358"/>
    <cellStyle name="Calculation 5 3 3 3 3" xfId="32754"/>
    <cellStyle name="Calculation 5 3 3 4" xfId="17059"/>
    <cellStyle name="Calculation 5 3 3 4 2" xfId="38246"/>
    <cellStyle name="Calculation 5 3 3 5" xfId="27360"/>
    <cellStyle name="Calculation 5 3 3_Table 2A-1_EFT (Annual)" xfId="6699"/>
    <cellStyle name="Calculation 5 3 4" xfId="2063"/>
    <cellStyle name="Calculation 5 3 4 2" xfId="5624"/>
    <cellStyle name="Calculation 5 3 4 2 2" xfId="13839"/>
    <cellStyle name="Calculation 5 3 4 2 2 2" xfId="25827"/>
    <cellStyle name="Calculation 5 3 4 2 2 2 2" xfId="47013"/>
    <cellStyle name="Calculation 5 3 4 2 2 3" xfId="36409"/>
    <cellStyle name="Calculation 5 3 4 2 3" xfId="20714"/>
    <cellStyle name="Calculation 5 3 4 2 3 2" xfId="41901"/>
    <cellStyle name="Calculation 5 3 4 2 4" xfId="31281"/>
    <cellStyle name="Calculation 5 3 4 2_Table 2A-1_EFT (Annual)" xfId="13444"/>
    <cellStyle name="Calculation 5 3 4 3" xfId="11183"/>
    <cellStyle name="Calculation 5 3 4 3 2" xfId="23281"/>
    <cellStyle name="Calculation 5 3 4 3 2 2" xfId="44467"/>
    <cellStyle name="Calculation 5 3 4 3 3" xfId="33863"/>
    <cellStyle name="Calculation 5 3 4 4" xfId="18168"/>
    <cellStyle name="Calculation 5 3 4 4 2" xfId="39355"/>
    <cellStyle name="Calculation 5 3 4 5" xfId="28538"/>
    <cellStyle name="Calculation 5 3 4_Table 2A-1_EFT (Annual)" xfId="6700"/>
    <cellStyle name="Calculation 5 3 5" xfId="3911"/>
    <cellStyle name="Calculation 5 3 5 2" xfId="12239"/>
    <cellStyle name="Calculation 5 3 5 2 2" xfId="24263"/>
    <cellStyle name="Calculation 5 3 5 2 2 2" xfId="45449"/>
    <cellStyle name="Calculation 5 3 5 2 3" xfId="34845"/>
    <cellStyle name="Calculation 5 3 5 3" xfId="19150"/>
    <cellStyle name="Calculation 5 3 5 3 2" xfId="40337"/>
    <cellStyle name="Calculation 5 3 5 4" xfId="29599"/>
    <cellStyle name="Calculation 5 3 5_Table 2A-1_EFT (Annual)" xfId="12538"/>
    <cellStyle name="Calculation 5 3 6" xfId="9576"/>
    <cellStyle name="Calculation 5 3 6 2" xfId="21717"/>
    <cellStyle name="Calculation 5 3 6 2 2" xfId="42903"/>
    <cellStyle name="Calculation 5 3 6 3" xfId="32299"/>
    <cellStyle name="Calculation 5 3 7" xfId="16604"/>
    <cellStyle name="Calculation 5 3 7 2" xfId="37791"/>
    <cellStyle name="Calculation 5 3 8" xfId="26856"/>
    <cellStyle name="Calculation 5 3_Table 2A-1_EFT (Annual)" xfId="2978"/>
    <cellStyle name="Calculation 5 4" xfId="1158"/>
    <cellStyle name="Calculation 5 4 2" xfId="2428"/>
    <cellStyle name="Calculation 5 4 2 2" xfId="5989"/>
    <cellStyle name="Calculation 5 4 2 2 2" xfId="14183"/>
    <cellStyle name="Calculation 5 4 2 2 2 2" xfId="26155"/>
    <cellStyle name="Calculation 5 4 2 2 2 2 2" xfId="47341"/>
    <cellStyle name="Calculation 5 4 2 2 2 3" xfId="36737"/>
    <cellStyle name="Calculation 5 4 2 2 3" xfId="21042"/>
    <cellStyle name="Calculation 5 4 2 2 3 2" xfId="42229"/>
    <cellStyle name="Calculation 5 4 2 2 4" xfId="31645"/>
    <cellStyle name="Calculation 5 4 2 2_Table 2A-1_EFT (Annual)" xfId="12209"/>
    <cellStyle name="Calculation 5 4 2 3" xfId="11525"/>
    <cellStyle name="Calculation 5 4 2 3 2" xfId="23609"/>
    <cellStyle name="Calculation 5 4 2 3 2 2" xfId="44795"/>
    <cellStyle name="Calculation 5 4 2 3 3" xfId="34191"/>
    <cellStyle name="Calculation 5 4 2 4" xfId="18496"/>
    <cellStyle name="Calculation 5 4 2 4 2" xfId="39683"/>
    <cellStyle name="Calculation 5 4 2 5" xfId="28902"/>
    <cellStyle name="Calculation 5 4 2_Table 2A-1_EFT (Annual)" xfId="6702"/>
    <cellStyle name="Calculation 5 4 3" xfId="4719"/>
    <cellStyle name="Calculation 5 4 3 2" xfId="12979"/>
    <cellStyle name="Calculation 5 4 3 2 2" xfId="24985"/>
    <cellStyle name="Calculation 5 4 3 2 2 2" xfId="46171"/>
    <cellStyle name="Calculation 5 4 3 2 3" xfId="35567"/>
    <cellStyle name="Calculation 5 4 3 3" xfId="19872"/>
    <cellStyle name="Calculation 5 4 3 3 2" xfId="41059"/>
    <cellStyle name="Calculation 5 4 3 4" xfId="30376"/>
    <cellStyle name="Calculation 5 4 3_Table 2A-1_EFT (Annual)" xfId="10828"/>
    <cellStyle name="Calculation 5 4 4" xfId="10323"/>
    <cellStyle name="Calculation 5 4 4 2" xfId="22439"/>
    <cellStyle name="Calculation 5 4 4 2 2" xfId="43625"/>
    <cellStyle name="Calculation 5 4 4 3" xfId="33021"/>
    <cellStyle name="Calculation 5 4 5" xfId="17326"/>
    <cellStyle name="Calculation 5 4 5 2" xfId="38513"/>
    <cellStyle name="Calculation 5 4 6" xfId="27633"/>
    <cellStyle name="Calculation 5 4_Table 2A-1_EFT (Annual)" xfId="6701"/>
    <cellStyle name="Calculation 5 5" xfId="726"/>
    <cellStyle name="Calculation 5 5 2" xfId="4287"/>
    <cellStyle name="Calculation 5 5 2 2" xfId="12567"/>
    <cellStyle name="Calculation 5 5 2 2 2" xfId="24584"/>
    <cellStyle name="Calculation 5 5 2 2 2 2" xfId="45770"/>
    <cellStyle name="Calculation 5 5 2 2 3" xfId="35166"/>
    <cellStyle name="Calculation 5 5 2 3" xfId="19471"/>
    <cellStyle name="Calculation 5 5 2 3 2" xfId="40658"/>
    <cellStyle name="Calculation 5 5 2 4" xfId="29944"/>
    <cellStyle name="Calculation 5 5 2_Table 2A-1_EFT (Annual)" xfId="11490"/>
    <cellStyle name="Calculation 5 5 3" xfId="9915"/>
    <cellStyle name="Calculation 5 5 3 2" xfId="22038"/>
    <cellStyle name="Calculation 5 5 3 2 2" xfId="43224"/>
    <cellStyle name="Calculation 5 5 3 3" xfId="32620"/>
    <cellStyle name="Calculation 5 5 4" xfId="16925"/>
    <cellStyle name="Calculation 5 5 4 2" xfId="38112"/>
    <cellStyle name="Calculation 5 5 5" xfId="27201"/>
    <cellStyle name="Calculation 5 5_Table 2A-1_EFT (Annual)" xfId="6703"/>
    <cellStyle name="Calculation 5 6" xfId="1869"/>
    <cellStyle name="Calculation 5 6 2" xfId="5430"/>
    <cellStyle name="Calculation 5 6 2 2" xfId="13645"/>
    <cellStyle name="Calculation 5 6 2 2 2" xfId="25633"/>
    <cellStyle name="Calculation 5 6 2 2 2 2" xfId="46819"/>
    <cellStyle name="Calculation 5 6 2 2 3" xfId="36215"/>
    <cellStyle name="Calculation 5 6 2 3" xfId="20520"/>
    <cellStyle name="Calculation 5 6 2 3 2" xfId="41707"/>
    <cellStyle name="Calculation 5 6 2 4" xfId="31087"/>
    <cellStyle name="Calculation 5 6 2_Table 2A-1_EFT (Annual)" xfId="12040"/>
    <cellStyle name="Calculation 5 6 3" xfId="10989"/>
    <cellStyle name="Calculation 5 6 3 2" xfId="23087"/>
    <cellStyle name="Calculation 5 6 3 2 2" xfId="44273"/>
    <cellStyle name="Calculation 5 6 3 3" xfId="33669"/>
    <cellStyle name="Calculation 5 6 4" xfId="17974"/>
    <cellStyle name="Calculation 5 6 4 2" xfId="39161"/>
    <cellStyle name="Calculation 5 6 5" xfId="28344"/>
    <cellStyle name="Calculation 5 6_Table 2A-1_EFT (Annual)" xfId="6704"/>
    <cellStyle name="Calculation 5 7" xfId="3699"/>
    <cellStyle name="Calculation 5 7 2" xfId="12067"/>
    <cellStyle name="Calculation 5 7 2 2" xfId="24097"/>
    <cellStyle name="Calculation 5 7 2 2 2" xfId="45283"/>
    <cellStyle name="Calculation 5 7 2 3" xfId="34679"/>
    <cellStyle name="Calculation 5 7 3" xfId="18984"/>
    <cellStyle name="Calculation 5 7 3 2" xfId="40171"/>
    <cellStyle name="Calculation 5 7 4" xfId="29408"/>
    <cellStyle name="Calculation 5 7_Table 2A-1_EFT (Annual)" xfId="10792"/>
    <cellStyle name="Calculation 5 8" xfId="9386"/>
    <cellStyle name="Calculation 5 8 2" xfId="21551"/>
    <cellStyle name="Calculation 5 8 2 2" xfId="42737"/>
    <cellStyle name="Calculation 5 8 3" xfId="32133"/>
    <cellStyle name="Calculation 5 9" xfId="16438"/>
    <cellStyle name="Calculation 5 9 2" xfId="37625"/>
    <cellStyle name="Calculation 5_Table 2A-1_EFT (Annual)" xfId="2976"/>
    <cellStyle name="Calculation 6" xfId="84"/>
    <cellStyle name="Calculation 6 10" xfId="26640"/>
    <cellStyle name="Calculation 6 2" xfId="483"/>
    <cellStyle name="Calculation 6 2 2" xfId="1460"/>
    <cellStyle name="Calculation 6 2 2 2" xfId="2730"/>
    <cellStyle name="Calculation 6 2 2 2 2" xfId="6291"/>
    <cellStyle name="Calculation 6 2 2 2 2 2" xfId="14485"/>
    <cellStyle name="Calculation 6 2 2 2 2 2 2" xfId="26457"/>
    <cellStyle name="Calculation 6 2 2 2 2 2 2 2" xfId="47643"/>
    <cellStyle name="Calculation 6 2 2 2 2 2 3" xfId="37039"/>
    <cellStyle name="Calculation 6 2 2 2 2 3" xfId="21344"/>
    <cellStyle name="Calculation 6 2 2 2 2 3 2" xfId="42531"/>
    <cellStyle name="Calculation 6 2 2 2 2 4" xfId="31947"/>
    <cellStyle name="Calculation 6 2 2 2 2_Table 2A-1_EFT (Annual)" xfId="13486"/>
    <cellStyle name="Calculation 6 2 2 2 3" xfId="11827"/>
    <cellStyle name="Calculation 6 2 2 2 3 2" xfId="23911"/>
    <cellStyle name="Calculation 6 2 2 2 3 2 2" xfId="45097"/>
    <cellStyle name="Calculation 6 2 2 2 3 3" xfId="34493"/>
    <cellStyle name="Calculation 6 2 2 2 4" xfId="18798"/>
    <cellStyle name="Calculation 6 2 2 2 4 2" xfId="39985"/>
    <cellStyle name="Calculation 6 2 2 2 5" xfId="29204"/>
    <cellStyle name="Calculation 6 2 2 2_Table 2A-1_EFT (Annual)" xfId="6706"/>
    <cellStyle name="Calculation 6 2 2 3" xfId="5021"/>
    <cellStyle name="Calculation 6 2 2 3 2" xfId="13281"/>
    <cellStyle name="Calculation 6 2 2 3 2 2" xfId="25287"/>
    <cellStyle name="Calculation 6 2 2 3 2 2 2" xfId="46473"/>
    <cellStyle name="Calculation 6 2 2 3 2 3" xfId="35869"/>
    <cellStyle name="Calculation 6 2 2 3 3" xfId="20174"/>
    <cellStyle name="Calculation 6 2 2 3 3 2" xfId="41361"/>
    <cellStyle name="Calculation 6 2 2 3 4" xfId="30678"/>
    <cellStyle name="Calculation 6 2 2 3_Table 2A-1_EFT (Annual)" xfId="12686"/>
    <cellStyle name="Calculation 6 2 2 4" xfId="10625"/>
    <cellStyle name="Calculation 6 2 2 4 2" xfId="22741"/>
    <cellStyle name="Calculation 6 2 2 4 2 2" xfId="43927"/>
    <cellStyle name="Calculation 6 2 2 4 3" xfId="33323"/>
    <cellStyle name="Calculation 6 2 2 5" xfId="17628"/>
    <cellStyle name="Calculation 6 2 2 5 2" xfId="38815"/>
    <cellStyle name="Calculation 6 2 2 6" xfId="27935"/>
    <cellStyle name="Calculation 6 2 2_Table 2A-1_EFT (Annual)" xfId="6705"/>
    <cellStyle name="Calculation 6 2 3" xfId="1003"/>
    <cellStyle name="Calculation 6 2 3 2" xfId="4564"/>
    <cellStyle name="Calculation 6 2 3 2 2" xfId="12824"/>
    <cellStyle name="Calculation 6 2 3 2 2 2" xfId="24830"/>
    <cellStyle name="Calculation 6 2 3 2 2 2 2" xfId="46016"/>
    <cellStyle name="Calculation 6 2 3 2 2 3" xfId="35412"/>
    <cellStyle name="Calculation 6 2 3 2 3" xfId="19717"/>
    <cellStyle name="Calculation 6 2 3 2 3 2" xfId="40904"/>
    <cellStyle name="Calculation 6 2 3 2 4" xfId="30221"/>
    <cellStyle name="Calculation 6 2 3 2_Table 2A-1_EFT (Annual)" xfId="10033"/>
    <cellStyle name="Calculation 6 2 3 3" xfId="10168"/>
    <cellStyle name="Calculation 6 2 3 3 2" xfId="22284"/>
    <cellStyle name="Calculation 6 2 3 3 2 2" xfId="43470"/>
    <cellStyle name="Calculation 6 2 3 3 3" xfId="32866"/>
    <cellStyle name="Calculation 6 2 3 4" xfId="17171"/>
    <cellStyle name="Calculation 6 2 3 4 2" xfId="38358"/>
    <cellStyle name="Calculation 6 2 3 5" xfId="27478"/>
    <cellStyle name="Calculation 6 2 3_Table 2A-1_EFT (Annual)" xfId="6707"/>
    <cellStyle name="Calculation 6 2 4" xfId="2199"/>
    <cellStyle name="Calculation 6 2 4 2" xfId="5760"/>
    <cellStyle name="Calculation 6 2 4 2 2" xfId="13975"/>
    <cellStyle name="Calculation 6 2 4 2 2 2" xfId="25963"/>
    <cellStyle name="Calculation 6 2 4 2 2 2 2" xfId="47149"/>
    <cellStyle name="Calculation 6 2 4 2 2 3" xfId="36545"/>
    <cellStyle name="Calculation 6 2 4 2 3" xfId="20850"/>
    <cellStyle name="Calculation 6 2 4 2 3 2" xfId="42037"/>
    <cellStyle name="Calculation 6 2 4 2 4" xfId="31417"/>
    <cellStyle name="Calculation 6 2 4 2_Table 2A-1_EFT (Annual)" xfId="9356"/>
    <cellStyle name="Calculation 6 2 4 3" xfId="11319"/>
    <cellStyle name="Calculation 6 2 4 3 2" xfId="23417"/>
    <cellStyle name="Calculation 6 2 4 3 2 2" xfId="44603"/>
    <cellStyle name="Calculation 6 2 4 3 3" xfId="33999"/>
    <cellStyle name="Calculation 6 2 4 4" xfId="18304"/>
    <cellStyle name="Calculation 6 2 4 4 2" xfId="39491"/>
    <cellStyle name="Calculation 6 2 4 5" xfId="28674"/>
    <cellStyle name="Calculation 6 2 4_Table 2A-1_EFT (Annual)" xfId="6708"/>
    <cellStyle name="Calculation 6 2 5" xfId="4053"/>
    <cellStyle name="Calculation 6 2 5 2" xfId="12377"/>
    <cellStyle name="Calculation 6 2 5 2 2" xfId="24399"/>
    <cellStyle name="Calculation 6 2 5 2 2 2" xfId="45585"/>
    <cellStyle name="Calculation 6 2 5 2 3" xfId="34981"/>
    <cellStyle name="Calculation 6 2 5 3" xfId="19286"/>
    <cellStyle name="Calculation 6 2 5 3 2" xfId="40473"/>
    <cellStyle name="Calculation 6 2 5 4" xfId="29741"/>
    <cellStyle name="Calculation 6 2 5_Table 2A-1_EFT (Annual)" xfId="9376"/>
    <cellStyle name="Calculation 6 2 6" xfId="9716"/>
    <cellStyle name="Calculation 6 2 6 2" xfId="21853"/>
    <cellStyle name="Calculation 6 2 6 2 2" xfId="43039"/>
    <cellStyle name="Calculation 6 2 6 3" xfId="32435"/>
    <cellStyle name="Calculation 6 2 7" xfId="16740"/>
    <cellStyle name="Calculation 6 2 7 2" xfId="37927"/>
    <cellStyle name="Calculation 6 2 8" xfId="26998"/>
    <cellStyle name="Calculation 6 2_Table 2A-1_EFT (Annual)" xfId="2980"/>
    <cellStyle name="Calculation 6 3" xfId="316"/>
    <cellStyle name="Calculation 6 3 2" xfId="1304"/>
    <cellStyle name="Calculation 6 3 2 2" xfId="2574"/>
    <cellStyle name="Calculation 6 3 2 2 2" xfId="6135"/>
    <cellStyle name="Calculation 6 3 2 2 2 2" xfId="14329"/>
    <cellStyle name="Calculation 6 3 2 2 2 2 2" xfId="26301"/>
    <cellStyle name="Calculation 6 3 2 2 2 2 2 2" xfId="47487"/>
    <cellStyle name="Calculation 6 3 2 2 2 2 3" xfId="36883"/>
    <cellStyle name="Calculation 6 3 2 2 2 3" xfId="21188"/>
    <cellStyle name="Calculation 6 3 2 2 2 3 2" xfId="42375"/>
    <cellStyle name="Calculation 6 3 2 2 2 4" xfId="31791"/>
    <cellStyle name="Calculation 6 3 2 2 2_Table 2A-1_EFT (Annual)" xfId="9345"/>
    <cellStyle name="Calculation 6 3 2 2 3" xfId="11671"/>
    <cellStyle name="Calculation 6 3 2 2 3 2" xfId="23755"/>
    <cellStyle name="Calculation 6 3 2 2 3 2 2" xfId="44941"/>
    <cellStyle name="Calculation 6 3 2 2 3 3" xfId="34337"/>
    <cellStyle name="Calculation 6 3 2 2 4" xfId="18642"/>
    <cellStyle name="Calculation 6 3 2 2 4 2" xfId="39829"/>
    <cellStyle name="Calculation 6 3 2 2 5" xfId="29048"/>
    <cellStyle name="Calculation 6 3 2 2_Table 2A-1_EFT (Annual)" xfId="6710"/>
    <cellStyle name="Calculation 6 3 2 3" xfId="4865"/>
    <cellStyle name="Calculation 6 3 2 3 2" xfId="13125"/>
    <cellStyle name="Calculation 6 3 2 3 2 2" xfId="25131"/>
    <cellStyle name="Calculation 6 3 2 3 2 2 2" xfId="46317"/>
    <cellStyle name="Calculation 6 3 2 3 2 3" xfId="35713"/>
    <cellStyle name="Calculation 6 3 2 3 3" xfId="20018"/>
    <cellStyle name="Calculation 6 3 2 3 3 2" xfId="41205"/>
    <cellStyle name="Calculation 6 3 2 3 4" xfId="30522"/>
    <cellStyle name="Calculation 6 3 2 3_Table 2A-1_EFT (Annual)" xfId="9886"/>
    <cellStyle name="Calculation 6 3 2 4" xfId="10469"/>
    <cellStyle name="Calculation 6 3 2 4 2" xfId="22585"/>
    <cellStyle name="Calculation 6 3 2 4 2 2" xfId="43771"/>
    <cellStyle name="Calculation 6 3 2 4 3" xfId="33167"/>
    <cellStyle name="Calculation 6 3 2 5" xfId="17472"/>
    <cellStyle name="Calculation 6 3 2 5 2" xfId="38659"/>
    <cellStyle name="Calculation 6 3 2 6" xfId="27779"/>
    <cellStyle name="Calculation 6 3 2_Table 2A-1_EFT (Annual)" xfId="6709"/>
    <cellStyle name="Calculation 6 3 3" xfId="866"/>
    <cellStyle name="Calculation 6 3 3 2" xfId="4427"/>
    <cellStyle name="Calculation 6 3 3 2 2" xfId="12692"/>
    <cellStyle name="Calculation 6 3 3 2 2 2" xfId="24704"/>
    <cellStyle name="Calculation 6 3 3 2 2 2 2" xfId="45890"/>
    <cellStyle name="Calculation 6 3 3 2 2 3" xfId="35286"/>
    <cellStyle name="Calculation 6 3 3 2 3" xfId="19591"/>
    <cellStyle name="Calculation 6 3 3 2 3 2" xfId="40778"/>
    <cellStyle name="Calculation 6 3 3 2 4" xfId="30084"/>
    <cellStyle name="Calculation 6 3 3 2_Table 2A-1_EFT (Annual)" xfId="9344"/>
    <cellStyle name="Calculation 6 3 3 3" xfId="10039"/>
    <cellStyle name="Calculation 6 3 3 3 2" xfId="22158"/>
    <cellStyle name="Calculation 6 3 3 3 2 2" xfId="43344"/>
    <cellStyle name="Calculation 6 3 3 3 3" xfId="32740"/>
    <cellStyle name="Calculation 6 3 3 4" xfId="17045"/>
    <cellStyle name="Calculation 6 3 3 4 2" xfId="38232"/>
    <cellStyle name="Calculation 6 3 3 5" xfId="27341"/>
    <cellStyle name="Calculation 6 3 3_Table 2A-1_EFT (Annual)" xfId="6711"/>
    <cellStyle name="Calculation 6 3 4" xfId="2043"/>
    <cellStyle name="Calculation 6 3 4 2" xfId="5604"/>
    <cellStyle name="Calculation 6 3 4 2 2" xfId="13819"/>
    <cellStyle name="Calculation 6 3 4 2 2 2" xfId="25807"/>
    <cellStyle name="Calculation 6 3 4 2 2 2 2" xfId="46993"/>
    <cellStyle name="Calculation 6 3 4 2 2 3" xfId="36389"/>
    <cellStyle name="Calculation 6 3 4 2 3" xfId="20694"/>
    <cellStyle name="Calculation 6 3 4 2 3 2" xfId="41881"/>
    <cellStyle name="Calculation 6 3 4 2 4" xfId="31261"/>
    <cellStyle name="Calculation 6 3 4 2_Table 2A-1_EFT (Annual)" xfId="9343"/>
    <cellStyle name="Calculation 6 3 4 3" xfId="11163"/>
    <cellStyle name="Calculation 6 3 4 3 2" xfId="23261"/>
    <cellStyle name="Calculation 6 3 4 3 2 2" xfId="44447"/>
    <cellStyle name="Calculation 6 3 4 3 3" xfId="33843"/>
    <cellStyle name="Calculation 6 3 4 4" xfId="18148"/>
    <cellStyle name="Calculation 6 3 4 4 2" xfId="39335"/>
    <cellStyle name="Calculation 6 3 4 5" xfId="28518"/>
    <cellStyle name="Calculation 6 3 4_Table 2A-1_EFT (Annual)" xfId="6712"/>
    <cellStyle name="Calculation 6 3 5" xfId="3886"/>
    <cellStyle name="Calculation 6 3 5 2" xfId="12218"/>
    <cellStyle name="Calculation 6 3 5 2 2" xfId="24243"/>
    <cellStyle name="Calculation 6 3 5 2 2 2" xfId="45429"/>
    <cellStyle name="Calculation 6 3 5 2 3" xfId="34825"/>
    <cellStyle name="Calculation 6 3 5 3" xfId="19130"/>
    <cellStyle name="Calculation 6 3 5 3 2" xfId="40317"/>
    <cellStyle name="Calculation 6 3 5 4" xfId="29574"/>
    <cellStyle name="Calculation 6 3 5_Table 2A-1_EFT (Annual)" xfId="9532"/>
    <cellStyle name="Calculation 6 3 6" xfId="9555"/>
    <cellStyle name="Calculation 6 3 6 2" xfId="21697"/>
    <cellStyle name="Calculation 6 3 6 2 2" xfId="42883"/>
    <cellStyle name="Calculation 6 3 6 3" xfId="32279"/>
    <cellStyle name="Calculation 6 3 7" xfId="16584"/>
    <cellStyle name="Calculation 6 3 7 2" xfId="37771"/>
    <cellStyle name="Calculation 6 3 8" xfId="26831"/>
    <cellStyle name="Calculation 6 3_Table 2A-1_EFT (Annual)" xfId="2981"/>
    <cellStyle name="Calculation 6 4" xfId="1138"/>
    <cellStyle name="Calculation 6 4 2" xfId="2408"/>
    <cellStyle name="Calculation 6 4 2 2" xfId="5969"/>
    <cellStyle name="Calculation 6 4 2 2 2" xfId="14163"/>
    <cellStyle name="Calculation 6 4 2 2 2 2" xfId="26135"/>
    <cellStyle name="Calculation 6 4 2 2 2 2 2" xfId="47321"/>
    <cellStyle name="Calculation 6 4 2 2 2 3" xfId="36717"/>
    <cellStyle name="Calculation 6 4 2 2 3" xfId="21022"/>
    <cellStyle name="Calculation 6 4 2 2 3 2" xfId="42209"/>
    <cellStyle name="Calculation 6 4 2 2 4" xfId="31625"/>
    <cellStyle name="Calculation 6 4 2 2_Table 2A-1_EFT (Annual)" xfId="9342"/>
    <cellStyle name="Calculation 6 4 2 3" xfId="11505"/>
    <cellStyle name="Calculation 6 4 2 3 2" xfId="23589"/>
    <cellStyle name="Calculation 6 4 2 3 2 2" xfId="44775"/>
    <cellStyle name="Calculation 6 4 2 3 3" xfId="34171"/>
    <cellStyle name="Calculation 6 4 2 4" xfId="18476"/>
    <cellStyle name="Calculation 6 4 2 4 2" xfId="39663"/>
    <cellStyle name="Calculation 6 4 2 5" xfId="28882"/>
    <cellStyle name="Calculation 6 4 2_Table 2A-1_EFT (Annual)" xfId="6714"/>
    <cellStyle name="Calculation 6 4 3" xfId="4699"/>
    <cellStyle name="Calculation 6 4 3 2" xfId="12959"/>
    <cellStyle name="Calculation 6 4 3 2 2" xfId="24965"/>
    <cellStyle name="Calculation 6 4 3 2 2 2" xfId="46151"/>
    <cellStyle name="Calculation 6 4 3 2 3" xfId="35547"/>
    <cellStyle name="Calculation 6 4 3 3" xfId="19852"/>
    <cellStyle name="Calculation 6 4 3 3 2" xfId="41039"/>
    <cellStyle name="Calculation 6 4 3 4" xfId="30356"/>
    <cellStyle name="Calculation 6 4 3_Table 2A-1_EFT (Annual)" xfId="9531"/>
    <cellStyle name="Calculation 6 4 4" xfId="10303"/>
    <cellStyle name="Calculation 6 4 4 2" xfId="22419"/>
    <cellStyle name="Calculation 6 4 4 2 2" xfId="43605"/>
    <cellStyle name="Calculation 6 4 4 3" xfId="33001"/>
    <cellStyle name="Calculation 6 4 5" xfId="17306"/>
    <cellStyle name="Calculation 6 4 5 2" xfId="38493"/>
    <cellStyle name="Calculation 6 4 6" xfId="27613"/>
    <cellStyle name="Calculation 6 4_Table 2A-1_EFT (Annual)" xfId="6713"/>
    <cellStyle name="Calculation 6 5" xfId="707"/>
    <cellStyle name="Calculation 6 5 2" xfId="4268"/>
    <cellStyle name="Calculation 6 5 2 2" xfId="12552"/>
    <cellStyle name="Calculation 6 5 2 2 2" xfId="24570"/>
    <cellStyle name="Calculation 6 5 2 2 2 2" xfId="45756"/>
    <cellStyle name="Calculation 6 5 2 2 3" xfId="35152"/>
    <cellStyle name="Calculation 6 5 2 3" xfId="19457"/>
    <cellStyle name="Calculation 6 5 2 3 2" xfId="40644"/>
    <cellStyle name="Calculation 6 5 2 4" xfId="29925"/>
    <cellStyle name="Calculation 6 5 2_Table 2A-1_EFT (Annual)" xfId="9530"/>
    <cellStyle name="Calculation 6 5 3" xfId="9899"/>
    <cellStyle name="Calculation 6 5 3 2" xfId="22024"/>
    <cellStyle name="Calculation 6 5 3 2 2" xfId="43210"/>
    <cellStyle name="Calculation 6 5 3 3" xfId="32606"/>
    <cellStyle name="Calculation 6 5 4" xfId="16911"/>
    <cellStyle name="Calculation 6 5 4 2" xfId="38098"/>
    <cellStyle name="Calculation 6 5 5" xfId="27182"/>
    <cellStyle name="Calculation 6 5_Table 2A-1_EFT (Annual)" xfId="6715"/>
    <cellStyle name="Calculation 6 6" xfId="1841"/>
    <cellStyle name="Calculation 6 6 2" xfId="5402"/>
    <cellStyle name="Calculation 6 6 2 2" xfId="13617"/>
    <cellStyle name="Calculation 6 6 2 2 2" xfId="25605"/>
    <cellStyle name="Calculation 6 6 2 2 2 2" xfId="46791"/>
    <cellStyle name="Calculation 6 6 2 2 3" xfId="36187"/>
    <cellStyle name="Calculation 6 6 2 3" xfId="20492"/>
    <cellStyle name="Calculation 6 6 2 3 2" xfId="41679"/>
    <cellStyle name="Calculation 6 6 2 4" xfId="31059"/>
    <cellStyle name="Calculation 6 6 2_Table 2A-1_EFT (Annual)" xfId="9529"/>
    <cellStyle name="Calculation 6 6 3" xfId="10961"/>
    <cellStyle name="Calculation 6 6 3 2" xfId="23059"/>
    <cellStyle name="Calculation 6 6 3 2 2" xfId="44245"/>
    <cellStyle name="Calculation 6 6 3 3" xfId="33641"/>
    <cellStyle name="Calculation 6 6 4" xfId="17946"/>
    <cellStyle name="Calculation 6 6 4 2" xfId="39133"/>
    <cellStyle name="Calculation 6 6 5" xfId="28316"/>
    <cellStyle name="Calculation 6 6_Table 2A-1_EFT (Annual)" xfId="6716"/>
    <cellStyle name="Calculation 6 7" xfId="3673"/>
    <cellStyle name="Calculation 6 7 2" xfId="12046"/>
    <cellStyle name="Calculation 6 7 2 2" xfId="24077"/>
    <cellStyle name="Calculation 6 7 2 2 2" xfId="45263"/>
    <cellStyle name="Calculation 6 7 2 3" xfId="34659"/>
    <cellStyle name="Calculation 6 7 3" xfId="18964"/>
    <cellStyle name="Calculation 6 7 3 2" xfId="40151"/>
    <cellStyle name="Calculation 6 7 4" xfId="29383"/>
    <cellStyle name="Calculation 6 7_Table 2A-1_EFT (Annual)" xfId="9884"/>
    <cellStyle name="Calculation 6 8" xfId="9363"/>
    <cellStyle name="Calculation 6 8 2" xfId="21531"/>
    <cellStyle name="Calculation 6 8 2 2" xfId="42717"/>
    <cellStyle name="Calculation 6 8 3" xfId="32113"/>
    <cellStyle name="Calculation 6 9" xfId="16418"/>
    <cellStyle name="Calculation 6 9 2" xfId="37605"/>
    <cellStyle name="Calculation 6_Table 2A-1_EFT (Annual)" xfId="2979"/>
    <cellStyle name="Calculation 7" xfId="125"/>
    <cellStyle name="Calculation 7 10" xfId="26680"/>
    <cellStyle name="Calculation 7 2" xfId="518"/>
    <cellStyle name="Calculation 7 2 2" xfId="1495"/>
    <cellStyle name="Calculation 7 2 2 2" xfId="2765"/>
    <cellStyle name="Calculation 7 2 2 2 2" xfId="6326"/>
    <cellStyle name="Calculation 7 2 2 2 2 2" xfId="14520"/>
    <cellStyle name="Calculation 7 2 2 2 2 2 2" xfId="26492"/>
    <cellStyle name="Calculation 7 2 2 2 2 2 2 2" xfId="47678"/>
    <cellStyle name="Calculation 7 2 2 2 2 2 3" xfId="37074"/>
    <cellStyle name="Calculation 7 2 2 2 2 3" xfId="21379"/>
    <cellStyle name="Calculation 7 2 2 2 2 3 2" xfId="42566"/>
    <cellStyle name="Calculation 7 2 2 2 2 4" xfId="31982"/>
    <cellStyle name="Calculation 7 2 2 2 2_Table 2A-1_EFT (Annual)" xfId="9883"/>
    <cellStyle name="Calculation 7 2 2 2 3" xfId="11862"/>
    <cellStyle name="Calculation 7 2 2 2 3 2" xfId="23946"/>
    <cellStyle name="Calculation 7 2 2 2 3 2 2" xfId="45132"/>
    <cellStyle name="Calculation 7 2 2 2 3 3" xfId="34528"/>
    <cellStyle name="Calculation 7 2 2 2 4" xfId="18833"/>
    <cellStyle name="Calculation 7 2 2 2 4 2" xfId="40020"/>
    <cellStyle name="Calculation 7 2 2 2 5" xfId="29239"/>
    <cellStyle name="Calculation 7 2 2 2_Table 2A-1_EFT (Annual)" xfId="6718"/>
    <cellStyle name="Calculation 7 2 2 3" xfId="5056"/>
    <cellStyle name="Calculation 7 2 2 3 2" xfId="13316"/>
    <cellStyle name="Calculation 7 2 2 3 2 2" xfId="25322"/>
    <cellStyle name="Calculation 7 2 2 3 2 2 2" xfId="46508"/>
    <cellStyle name="Calculation 7 2 2 3 2 3" xfId="35904"/>
    <cellStyle name="Calculation 7 2 2 3 3" xfId="20209"/>
    <cellStyle name="Calculation 7 2 2 3 3 2" xfId="41396"/>
    <cellStyle name="Calculation 7 2 2 3 4" xfId="30713"/>
    <cellStyle name="Calculation 7 2 2 3_Table 2A-1_EFT (Annual)" xfId="9341"/>
    <cellStyle name="Calculation 7 2 2 4" xfId="10660"/>
    <cellStyle name="Calculation 7 2 2 4 2" xfId="22776"/>
    <cellStyle name="Calculation 7 2 2 4 2 2" xfId="43962"/>
    <cellStyle name="Calculation 7 2 2 4 3" xfId="33358"/>
    <cellStyle name="Calculation 7 2 2 5" xfId="17663"/>
    <cellStyle name="Calculation 7 2 2 5 2" xfId="38850"/>
    <cellStyle name="Calculation 7 2 2 6" xfId="27970"/>
    <cellStyle name="Calculation 7 2 2_Table 2A-1_EFT (Annual)" xfId="6717"/>
    <cellStyle name="Calculation 7 2 3" xfId="1028"/>
    <cellStyle name="Calculation 7 2 3 2" xfId="4589"/>
    <cellStyle name="Calculation 7 2 3 2 2" xfId="12849"/>
    <cellStyle name="Calculation 7 2 3 2 2 2" xfId="24855"/>
    <cellStyle name="Calculation 7 2 3 2 2 2 2" xfId="46041"/>
    <cellStyle name="Calculation 7 2 3 2 2 3" xfId="35437"/>
    <cellStyle name="Calculation 7 2 3 2 3" xfId="19742"/>
    <cellStyle name="Calculation 7 2 3 2 3 2" xfId="40929"/>
    <cellStyle name="Calculation 7 2 3 2 4" xfId="30246"/>
    <cellStyle name="Calculation 7 2 3 2_Table 2A-1_EFT (Annual)" xfId="9340"/>
    <cellStyle name="Calculation 7 2 3 3" xfId="10193"/>
    <cellStyle name="Calculation 7 2 3 3 2" xfId="22309"/>
    <cellStyle name="Calculation 7 2 3 3 2 2" xfId="43495"/>
    <cellStyle name="Calculation 7 2 3 3 3" xfId="32891"/>
    <cellStyle name="Calculation 7 2 3 4" xfId="17196"/>
    <cellStyle name="Calculation 7 2 3 4 2" xfId="38383"/>
    <cellStyle name="Calculation 7 2 3 5" xfId="27503"/>
    <cellStyle name="Calculation 7 2 3_Table 2A-1_EFT (Annual)" xfId="6719"/>
    <cellStyle name="Calculation 7 2 4" xfId="2234"/>
    <cellStyle name="Calculation 7 2 4 2" xfId="5795"/>
    <cellStyle name="Calculation 7 2 4 2 2" xfId="14010"/>
    <cellStyle name="Calculation 7 2 4 2 2 2" xfId="25998"/>
    <cellStyle name="Calculation 7 2 4 2 2 2 2" xfId="47184"/>
    <cellStyle name="Calculation 7 2 4 2 2 3" xfId="36580"/>
    <cellStyle name="Calculation 7 2 4 2 3" xfId="20885"/>
    <cellStyle name="Calculation 7 2 4 2 3 2" xfId="42072"/>
    <cellStyle name="Calculation 7 2 4 2 4" xfId="31452"/>
    <cellStyle name="Calculation 7 2 4 2_Table 2A-1_EFT (Annual)" xfId="9339"/>
    <cellStyle name="Calculation 7 2 4 3" xfId="11354"/>
    <cellStyle name="Calculation 7 2 4 3 2" xfId="23452"/>
    <cellStyle name="Calculation 7 2 4 3 2 2" xfId="44638"/>
    <cellStyle name="Calculation 7 2 4 3 3" xfId="34034"/>
    <cellStyle name="Calculation 7 2 4 4" xfId="18339"/>
    <cellStyle name="Calculation 7 2 4 4 2" xfId="39526"/>
    <cellStyle name="Calculation 7 2 4 5" xfId="28709"/>
    <cellStyle name="Calculation 7 2 4_Table 2A-1_EFT (Annual)" xfId="6720"/>
    <cellStyle name="Calculation 7 2 5" xfId="4088"/>
    <cellStyle name="Calculation 7 2 5 2" xfId="12412"/>
    <cellStyle name="Calculation 7 2 5 2 2" xfId="24434"/>
    <cellStyle name="Calculation 7 2 5 2 2 2" xfId="45620"/>
    <cellStyle name="Calculation 7 2 5 2 3" xfId="35016"/>
    <cellStyle name="Calculation 7 2 5 3" xfId="19321"/>
    <cellStyle name="Calculation 7 2 5 3 2" xfId="40508"/>
    <cellStyle name="Calculation 7 2 5 4" xfId="29776"/>
    <cellStyle name="Calculation 7 2 5_Table 2A-1_EFT (Annual)" xfId="9528"/>
    <cellStyle name="Calculation 7 2 6" xfId="9751"/>
    <cellStyle name="Calculation 7 2 6 2" xfId="21888"/>
    <cellStyle name="Calculation 7 2 6 2 2" xfId="43074"/>
    <cellStyle name="Calculation 7 2 6 3" xfId="32470"/>
    <cellStyle name="Calculation 7 2 7" xfId="16775"/>
    <cellStyle name="Calculation 7 2 7 2" xfId="37962"/>
    <cellStyle name="Calculation 7 2 8" xfId="27033"/>
    <cellStyle name="Calculation 7 2_Table 2A-1_EFT (Annual)" xfId="2983"/>
    <cellStyle name="Calculation 7 3" xfId="356"/>
    <cellStyle name="Calculation 7 3 2" xfId="1339"/>
    <cellStyle name="Calculation 7 3 2 2" xfId="2609"/>
    <cellStyle name="Calculation 7 3 2 2 2" xfId="6170"/>
    <cellStyle name="Calculation 7 3 2 2 2 2" xfId="14364"/>
    <cellStyle name="Calculation 7 3 2 2 2 2 2" xfId="26336"/>
    <cellStyle name="Calculation 7 3 2 2 2 2 2 2" xfId="47522"/>
    <cellStyle name="Calculation 7 3 2 2 2 2 3" xfId="36918"/>
    <cellStyle name="Calculation 7 3 2 2 2 3" xfId="21223"/>
    <cellStyle name="Calculation 7 3 2 2 2 3 2" xfId="42410"/>
    <cellStyle name="Calculation 7 3 2 2 2 4" xfId="31826"/>
    <cellStyle name="Calculation 7 3 2 2 2_Table 2A-1_EFT (Annual)" xfId="9882"/>
    <cellStyle name="Calculation 7 3 2 2 3" xfId="11706"/>
    <cellStyle name="Calculation 7 3 2 2 3 2" xfId="23790"/>
    <cellStyle name="Calculation 7 3 2 2 3 2 2" xfId="44976"/>
    <cellStyle name="Calculation 7 3 2 2 3 3" xfId="34372"/>
    <cellStyle name="Calculation 7 3 2 2 4" xfId="18677"/>
    <cellStyle name="Calculation 7 3 2 2 4 2" xfId="39864"/>
    <cellStyle name="Calculation 7 3 2 2 5" xfId="29083"/>
    <cellStyle name="Calculation 7 3 2 2_Table 2A-1_EFT (Annual)" xfId="6722"/>
    <cellStyle name="Calculation 7 3 2 3" xfId="4900"/>
    <cellStyle name="Calculation 7 3 2 3 2" xfId="13160"/>
    <cellStyle name="Calculation 7 3 2 3 2 2" xfId="25166"/>
    <cellStyle name="Calculation 7 3 2 3 2 2 2" xfId="46352"/>
    <cellStyle name="Calculation 7 3 2 3 2 3" xfId="35748"/>
    <cellStyle name="Calculation 7 3 2 3 3" xfId="20053"/>
    <cellStyle name="Calculation 7 3 2 3 3 2" xfId="41240"/>
    <cellStyle name="Calculation 7 3 2 3 4" xfId="30557"/>
    <cellStyle name="Calculation 7 3 2 3_Table 2A-1_EFT (Annual)" xfId="9338"/>
    <cellStyle name="Calculation 7 3 2 4" xfId="10504"/>
    <cellStyle name="Calculation 7 3 2 4 2" xfId="22620"/>
    <cellStyle name="Calculation 7 3 2 4 2 2" xfId="43806"/>
    <cellStyle name="Calculation 7 3 2 4 3" xfId="33202"/>
    <cellStyle name="Calculation 7 3 2 5" xfId="17507"/>
    <cellStyle name="Calculation 7 3 2 5 2" xfId="38694"/>
    <cellStyle name="Calculation 7 3 2 6" xfId="27814"/>
    <cellStyle name="Calculation 7 3 2_Table 2A-1_EFT (Annual)" xfId="6721"/>
    <cellStyle name="Calculation 7 3 3" xfId="896"/>
    <cellStyle name="Calculation 7 3 3 2" xfId="4457"/>
    <cellStyle name="Calculation 7 3 3 2 2" xfId="12719"/>
    <cellStyle name="Calculation 7 3 3 2 2 2" xfId="24729"/>
    <cellStyle name="Calculation 7 3 3 2 2 2 2" xfId="45915"/>
    <cellStyle name="Calculation 7 3 3 2 2 3" xfId="35311"/>
    <cellStyle name="Calculation 7 3 3 2 3" xfId="19616"/>
    <cellStyle name="Calculation 7 3 3 2 3 2" xfId="40803"/>
    <cellStyle name="Calculation 7 3 3 2 4" xfId="30114"/>
    <cellStyle name="Calculation 7 3 3 2_Table 2A-1_EFT (Annual)" xfId="9337"/>
    <cellStyle name="Calculation 7 3 3 3" xfId="10066"/>
    <cellStyle name="Calculation 7 3 3 3 2" xfId="22183"/>
    <cellStyle name="Calculation 7 3 3 3 2 2" xfId="43369"/>
    <cellStyle name="Calculation 7 3 3 3 3" xfId="32765"/>
    <cellStyle name="Calculation 7 3 3 4" xfId="17070"/>
    <cellStyle name="Calculation 7 3 3 4 2" xfId="38257"/>
    <cellStyle name="Calculation 7 3 3 5" xfId="27371"/>
    <cellStyle name="Calculation 7 3 3_Table 2A-1_EFT (Annual)" xfId="6723"/>
    <cellStyle name="Calculation 7 3 4" xfId="2078"/>
    <cellStyle name="Calculation 7 3 4 2" xfId="5639"/>
    <cellStyle name="Calculation 7 3 4 2 2" xfId="13854"/>
    <cellStyle name="Calculation 7 3 4 2 2 2" xfId="25842"/>
    <cellStyle name="Calculation 7 3 4 2 2 2 2" xfId="47028"/>
    <cellStyle name="Calculation 7 3 4 2 2 3" xfId="36424"/>
    <cellStyle name="Calculation 7 3 4 2 3" xfId="20729"/>
    <cellStyle name="Calculation 7 3 4 2 3 2" xfId="41916"/>
    <cellStyle name="Calculation 7 3 4 2 4" xfId="31296"/>
    <cellStyle name="Calculation 7 3 4 2_Table 2A-1_EFT (Annual)" xfId="9336"/>
    <cellStyle name="Calculation 7 3 4 3" xfId="11198"/>
    <cellStyle name="Calculation 7 3 4 3 2" xfId="23296"/>
    <cellStyle name="Calculation 7 3 4 3 2 2" xfId="44482"/>
    <cellStyle name="Calculation 7 3 4 3 3" xfId="33878"/>
    <cellStyle name="Calculation 7 3 4 4" xfId="18183"/>
    <cellStyle name="Calculation 7 3 4 4 2" xfId="39370"/>
    <cellStyle name="Calculation 7 3 4 5" xfId="28553"/>
    <cellStyle name="Calculation 7 3 4_Table 2A-1_EFT (Annual)" xfId="6724"/>
    <cellStyle name="Calculation 7 3 5" xfId="3926"/>
    <cellStyle name="Calculation 7 3 5 2" xfId="12254"/>
    <cellStyle name="Calculation 7 3 5 2 2" xfId="24278"/>
    <cellStyle name="Calculation 7 3 5 2 2 2" xfId="45464"/>
    <cellStyle name="Calculation 7 3 5 2 3" xfId="34860"/>
    <cellStyle name="Calculation 7 3 5 3" xfId="19165"/>
    <cellStyle name="Calculation 7 3 5 3 2" xfId="40352"/>
    <cellStyle name="Calculation 7 3 5 4" xfId="29614"/>
    <cellStyle name="Calculation 7 3 5_Table 2A-1_EFT (Annual)" xfId="9527"/>
    <cellStyle name="Calculation 7 3 6" xfId="9591"/>
    <cellStyle name="Calculation 7 3 6 2" xfId="21732"/>
    <cellStyle name="Calculation 7 3 6 2 2" xfId="42918"/>
    <cellStyle name="Calculation 7 3 6 3" xfId="32314"/>
    <cellStyle name="Calculation 7 3 7" xfId="16619"/>
    <cellStyle name="Calculation 7 3 7 2" xfId="37806"/>
    <cellStyle name="Calculation 7 3 8" xfId="26871"/>
    <cellStyle name="Calculation 7 3_Table 2A-1_EFT (Annual)" xfId="2984"/>
    <cellStyle name="Calculation 7 4" xfId="1173"/>
    <cellStyle name="Calculation 7 4 2" xfId="2443"/>
    <cellStyle name="Calculation 7 4 2 2" xfId="6004"/>
    <cellStyle name="Calculation 7 4 2 2 2" xfId="14198"/>
    <cellStyle name="Calculation 7 4 2 2 2 2" xfId="26170"/>
    <cellStyle name="Calculation 7 4 2 2 2 2 2" xfId="47356"/>
    <cellStyle name="Calculation 7 4 2 2 2 3" xfId="36752"/>
    <cellStyle name="Calculation 7 4 2 2 3" xfId="21057"/>
    <cellStyle name="Calculation 7 4 2 2 3 2" xfId="42244"/>
    <cellStyle name="Calculation 7 4 2 2 4" xfId="31660"/>
    <cellStyle name="Calculation 7 4 2 2_Table 2A-1_EFT (Annual)" xfId="9335"/>
    <cellStyle name="Calculation 7 4 2 3" xfId="11540"/>
    <cellStyle name="Calculation 7 4 2 3 2" xfId="23624"/>
    <cellStyle name="Calculation 7 4 2 3 2 2" xfId="44810"/>
    <cellStyle name="Calculation 7 4 2 3 3" xfId="34206"/>
    <cellStyle name="Calculation 7 4 2 4" xfId="18511"/>
    <cellStyle name="Calculation 7 4 2 4 2" xfId="39698"/>
    <cellStyle name="Calculation 7 4 2 5" xfId="28917"/>
    <cellStyle name="Calculation 7 4 2_Table 2A-1_EFT (Annual)" xfId="6726"/>
    <cellStyle name="Calculation 7 4 3" xfId="4734"/>
    <cellStyle name="Calculation 7 4 3 2" xfId="12994"/>
    <cellStyle name="Calculation 7 4 3 2 2" xfId="25000"/>
    <cellStyle name="Calculation 7 4 3 2 2 2" xfId="46186"/>
    <cellStyle name="Calculation 7 4 3 2 3" xfId="35582"/>
    <cellStyle name="Calculation 7 4 3 3" xfId="19887"/>
    <cellStyle name="Calculation 7 4 3 3 2" xfId="41074"/>
    <cellStyle name="Calculation 7 4 3 4" xfId="30391"/>
    <cellStyle name="Calculation 7 4 3_Table 2A-1_EFT (Annual)" xfId="9526"/>
    <cellStyle name="Calculation 7 4 4" xfId="10338"/>
    <cellStyle name="Calculation 7 4 4 2" xfId="22454"/>
    <cellStyle name="Calculation 7 4 4 2 2" xfId="43640"/>
    <cellStyle name="Calculation 7 4 4 3" xfId="33036"/>
    <cellStyle name="Calculation 7 4 5" xfId="17341"/>
    <cellStyle name="Calculation 7 4 5 2" xfId="38528"/>
    <cellStyle name="Calculation 7 4 6" xfId="27648"/>
    <cellStyle name="Calculation 7 4_Table 2A-1_EFT (Annual)" xfId="6725"/>
    <cellStyle name="Calculation 7 5" xfId="737"/>
    <cellStyle name="Calculation 7 5 2" xfId="4298"/>
    <cellStyle name="Calculation 7 5 2 2" xfId="12578"/>
    <cellStyle name="Calculation 7 5 2 2 2" xfId="24595"/>
    <cellStyle name="Calculation 7 5 2 2 2 2" xfId="45781"/>
    <cellStyle name="Calculation 7 5 2 2 3" xfId="35177"/>
    <cellStyle name="Calculation 7 5 2 3" xfId="19482"/>
    <cellStyle name="Calculation 7 5 2 3 2" xfId="40669"/>
    <cellStyle name="Calculation 7 5 2 4" xfId="29955"/>
    <cellStyle name="Calculation 7 5 2_Table 2A-1_EFT (Annual)" xfId="9525"/>
    <cellStyle name="Calculation 7 5 3" xfId="9926"/>
    <cellStyle name="Calculation 7 5 3 2" xfId="22049"/>
    <cellStyle name="Calculation 7 5 3 2 2" xfId="43235"/>
    <cellStyle name="Calculation 7 5 3 3" xfId="32631"/>
    <cellStyle name="Calculation 7 5 4" xfId="16936"/>
    <cellStyle name="Calculation 7 5 4 2" xfId="38123"/>
    <cellStyle name="Calculation 7 5 5" xfId="27212"/>
    <cellStyle name="Calculation 7 5_Table 2A-1_EFT (Annual)" xfId="6727"/>
    <cellStyle name="Calculation 7 6" xfId="1794"/>
    <cellStyle name="Calculation 7 6 2" xfId="5355"/>
    <cellStyle name="Calculation 7 6 2 2" xfId="13570"/>
    <cellStyle name="Calculation 7 6 2 2 2" xfId="25558"/>
    <cellStyle name="Calculation 7 6 2 2 2 2" xfId="46744"/>
    <cellStyle name="Calculation 7 6 2 2 3" xfId="36140"/>
    <cellStyle name="Calculation 7 6 2 3" xfId="20445"/>
    <cellStyle name="Calculation 7 6 2 3 2" xfId="41632"/>
    <cellStyle name="Calculation 7 6 2 4" xfId="31012"/>
    <cellStyle name="Calculation 7 6 2_Table 2A-1_EFT (Annual)" xfId="9524"/>
    <cellStyle name="Calculation 7 6 3" xfId="10914"/>
    <cellStyle name="Calculation 7 6 3 2" xfId="23012"/>
    <cellStyle name="Calculation 7 6 3 2 2" xfId="44198"/>
    <cellStyle name="Calculation 7 6 3 3" xfId="33594"/>
    <cellStyle name="Calculation 7 6 4" xfId="17899"/>
    <cellStyle name="Calculation 7 6 4 2" xfId="39086"/>
    <cellStyle name="Calculation 7 6 5" xfId="28269"/>
    <cellStyle name="Calculation 7 6_Table 2A-1_EFT (Annual)" xfId="6728"/>
    <cellStyle name="Calculation 7 7" xfId="3714"/>
    <cellStyle name="Calculation 7 7 2" xfId="12082"/>
    <cellStyle name="Calculation 7 7 2 2" xfId="24112"/>
    <cellStyle name="Calculation 7 7 2 2 2" xfId="45298"/>
    <cellStyle name="Calculation 7 7 2 3" xfId="34694"/>
    <cellStyle name="Calculation 7 7 3" xfId="18999"/>
    <cellStyle name="Calculation 7 7 3 2" xfId="40186"/>
    <cellStyle name="Calculation 7 7 4" xfId="29423"/>
    <cellStyle name="Calculation 7 7_Table 2A-1_EFT (Annual)" xfId="9881"/>
    <cellStyle name="Calculation 7 8" xfId="9401"/>
    <cellStyle name="Calculation 7 8 2" xfId="21566"/>
    <cellStyle name="Calculation 7 8 2 2" xfId="42752"/>
    <cellStyle name="Calculation 7 8 3" xfId="32148"/>
    <cellStyle name="Calculation 7 9" xfId="16453"/>
    <cellStyle name="Calculation 7 9 2" xfId="37640"/>
    <cellStyle name="Calculation 7_Table 2A-1_EFT (Annual)" xfId="2982"/>
    <cellStyle name="Calculation 8" xfId="87"/>
    <cellStyle name="Calculation 8 10" xfId="26643"/>
    <cellStyle name="Calculation 8 2" xfId="486"/>
    <cellStyle name="Calculation 8 2 2" xfId="1463"/>
    <cellStyle name="Calculation 8 2 2 2" xfId="2733"/>
    <cellStyle name="Calculation 8 2 2 2 2" xfId="6294"/>
    <cellStyle name="Calculation 8 2 2 2 2 2" xfId="14488"/>
    <cellStyle name="Calculation 8 2 2 2 2 2 2" xfId="26460"/>
    <cellStyle name="Calculation 8 2 2 2 2 2 2 2" xfId="47646"/>
    <cellStyle name="Calculation 8 2 2 2 2 2 3" xfId="37042"/>
    <cellStyle name="Calculation 8 2 2 2 2 3" xfId="21347"/>
    <cellStyle name="Calculation 8 2 2 2 2 3 2" xfId="42534"/>
    <cellStyle name="Calculation 8 2 2 2 2 4" xfId="31950"/>
    <cellStyle name="Calculation 8 2 2 2 2_Table 2A-1_EFT (Annual)" xfId="9880"/>
    <cellStyle name="Calculation 8 2 2 2 3" xfId="11830"/>
    <cellStyle name="Calculation 8 2 2 2 3 2" xfId="23914"/>
    <cellStyle name="Calculation 8 2 2 2 3 2 2" xfId="45100"/>
    <cellStyle name="Calculation 8 2 2 2 3 3" xfId="34496"/>
    <cellStyle name="Calculation 8 2 2 2 4" xfId="18801"/>
    <cellStyle name="Calculation 8 2 2 2 4 2" xfId="39988"/>
    <cellStyle name="Calculation 8 2 2 2 5" xfId="29207"/>
    <cellStyle name="Calculation 8 2 2 2_Table 2A-1_EFT (Annual)" xfId="6730"/>
    <cellStyle name="Calculation 8 2 2 3" xfId="5024"/>
    <cellStyle name="Calculation 8 2 2 3 2" xfId="13284"/>
    <cellStyle name="Calculation 8 2 2 3 2 2" xfId="25290"/>
    <cellStyle name="Calculation 8 2 2 3 2 2 2" xfId="46476"/>
    <cellStyle name="Calculation 8 2 2 3 2 3" xfId="35872"/>
    <cellStyle name="Calculation 8 2 2 3 3" xfId="20177"/>
    <cellStyle name="Calculation 8 2 2 3 3 2" xfId="41364"/>
    <cellStyle name="Calculation 8 2 2 3 4" xfId="30681"/>
    <cellStyle name="Calculation 8 2 2 3_Table 2A-1_EFT (Annual)" xfId="9334"/>
    <cellStyle name="Calculation 8 2 2 4" xfId="10628"/>
    <cellStyle name="Calculation 8 2 2 4 2" xfId="22744"/>
    <cellStyle name="Calculation 8 2 2 4 2 2" xfId="43930"/>
    <cellStyle name="Calculation 8 2 2 4 3" xfId="33326"/>
    <cellStyle name="Calculation 8 2 2 5" xfId="17631"/>
    <cellStyle name="Calculation 8 2 2 5 2" xfId="38818"/>
    <cellStyle name="Calculation 8 2 2 6" xfId="27938"/>
    <cellStyle name="Calculation 8 2 2_Table 2A-1_EFT (Annual)" xfId="6729"/>
    <cellStyle name="Calculation 8 2 3" xfId="1004"/>
    <cellStyle name="Calculation 8 2 3 2" xfId="4565"/>
    <cellStyle name="Calculation 8 2 3 2 2" xfId="12825"/>
    <cellStyle name="Calculation 8 2 3 2 2 2" xfId="24831"/>
    <cellStyle name="Calculation 8 2 3 2 2 2 2" xfId="46017"/>
    <cellStyle name="Calculation 8 2 3 2 2 3" xfId="35413"/>
    <cellStyle name="Calculation 8 2 3 2 3" xfId="19718"/>
    <cellStyle name="Calculation 8 2 3 2 3 2" xfId="40905"/>
    <cellStyle name="Calculation 8 2 3 2 4" xfId="30222"/>
    <cellStyle name="Calculation 8 2 3 2_Table 2A-1_EFT (Annual)" xfId="9333"/>
    <cellStyle name="Calculation 8 2 3 3" xfId="10169"/>
    <cellStyle name="Calculation 8 2 3 3 2" xfId="22285"/>
    <cellStyle name="Calculation 8 2 3 3 2 2" xfId="43471"/>
    <cellStyle name="Calculation 8 2 3 3 3" xfId="32867"/>
    <cellStyle name="Calculation 8 2 3 4" xfId="17172"/>
    <cellStyle name="Calculation 8 2 3 4 2" xfId="38359"/>
    <cellStyle name="Calculation 8 2 3 5" xfId="27479"/>
    <cellStyle name="Calculation 8 2 3_Table 2A-1_EFT (Annual)" xfId="6731"/>
    <cellStyle name="Calculation 8 2 4" xfId="2202"/>
    <cellStyle name="Calculation 8 2 4 2" xfId="5763"/>
    <cellStyle name="Calculation 8 2 4 2 2" xfId="13978"/>
    <cellStyle name="Calculation 8 2 4 2 2 2" xfId="25966"/>
    <cellStyle name="Calculation 8 2 4 2 2 2 2" xfId="47152"/>
    <cellStyle name="Calculation 8 2 4 2 2 3" xfId="36548"/>
    <cellStyle name="Calculation 8 2 4 2 3" xfId="20853"/>
    <cellStyle name="Calculation 8 2 4 2 3 2" xfId="42040"/>
    <cellStyle name="Calculation 8 2 4 2 4" xfId="31420"/>
    <cellStyle name="Calculation 8 2 4 2_Table 2A-1_EFT (Annual)" xfId="14899"/>
    <cellStyle name="Calculation 8 2 4 3" xfId="11322"/>
    <cellStyle name="Calculation 8 2 4 3 2" xfId="23420"/>
    <cellStyle name="Calculation 8 2 4 3 2 2" xfId="44606"/>
    <cellStyle name="Calculation 8 2 4 3 3" xfId="34002"/>
    <cellStyle name="Calculation 8 2 4 4" xfId="18307"/>
    <cellStyle name="Calculation 8 2 4 4 2" xfId="39494"/>
    <cellStyle name="Calculation 8 2 4 5" xfId="28677"/>
    <cellStyle name="Calculation 8 2 4_Table 2A-1_EFT (Annual)" xfId="6732"/>
    <cellStyle name="Calculation 8 2 5" xfId="4056"/>
    <cellStyle name="Calculation 8 2 5 2" xfId="12380"/>
    <cellStyle name="Calculation 8 2 5 2 2" xfId="24402"/>
    <cellStyle name="Calculation 8 2 5 2 2 2" xfId="45588"/>
    <cellStyle name="Calculation 8 2 5 2 3" xfId="34984"/>
    <cellStyle name="Calculation 8 2 5 3" xfId="19289"/>
    <cellStyle name="Calculation 8 2 5 3 2" xfId="40476"/>
    <cellStyle name="Calculation 8 2 5 4" xfId="29744"/>
    <cellStyle name="Calculation 8 2 5_Table 2A-1_EFT (Annual)" xfId="14900"/>
    <cellStyle name="Calculation 8 2 6" xfId="9719"/>
    <cellStyle name="Calculation 8 2 6 2" xfId="21856"/>
    <cellStyle name="Calculation 8 2 6 2 2" xfId="43042"/>
    <cellStyle name="Calculation 8 2 6 3" xfId="32438"/>
    <cellStyle name="Calculation 8 2 7" xfId="16743"/>
    <cellStyle name="Calculation 8 2 7 2" xfId="37930"/>
    <cellStyle name="Calculation 8 2 8" xfId="27001"/>
    <cellStyle name="Calculation 8 2_Table 2A-1_EFT (Annual)" xfId="2986"/>
    <cellStyle name="Calculation 8 3" xfId="319"/>
    <cellStyle name="Calculation 8 3 2" xfId="1307"/>
    <cellStyle name="Calculation 8 3 2 2" xfId="2577"/>
    <cellStyle name="Calculation 8 3 2 2 2" xfId="6138"/>
    <cellStyle name="Calculation 8 3 2 2 2 2" xfId="14332"/>
    <cellStyle name="Calculation 8 3 2 2 2 2 2" xfId="26304"/>
    <cellStyle name="Calculation 8 3 2 2 2 2 2 2" xfId="47490"/>
    <cellStyle name="Calculation 8 3 2 2 2 2 3" xfId="36886"/>
    <cellStyle name="Calculation 8 3 2 2 2 3" xfId="21191"/>
    <cellStyle name="Calculation 8 3 2 2 2 3 2" xfId="42378"/>
    <cellStyle name="Calculation 8 3 2 2 2 4" xfId="31794"/>
    <cellStyle name="Calculation 8 3 2 2 2_Table 2A-1_EFT (Annual)" xfId="14901"/>
    <cellStyle name="Calculation 8 3 2 2 3" xfId="11674"/>
    <cellStyle name="Calculation 8 3 2 2 3 2" xfId="23758"/>
    <cellStyle name="Calculation 8 3 2 2 3 2 2" xfId="44944"/>
    <cellStyle name="Calculation 8 3 2 2 3 3" xfId="34340"/>
    <cellStyle name="Calculation 8 3 2 2 4" xfId="18645"/>
    <cellStyle name="Calculation 8 3 2 2 4 2" xfId="39832"/>
    <cellStyle name="Calculation 8 3 2 2 5" xfId="29051"/>
    <cellStyle name="Calculation 8 3 2 2_Table 2A-1_EFT (Annual)" xfId="6734"/>
    <cellStyle name="Calculation 8 3 2 3" xfId="4868"/>
    <cellStyle name="Calculation 8 3 2 3 2" xfId="13128"/>
    <cellStyle name="Calculation 8 3 2 3 2 2" xfId="25134"/>
    <cellStyle name="Calculation 8 3 2 3 2 2 2" xfId="46320"/>
    <cellStyle name="Calculation 8 3 2 3 2 3" xfId="35716"/>
    <cellStyle name="Calculation 8 3 2 3 3" xfId="20021"/>
    <cellStyle name="Calculation 8 3 2 3 3 2" xfId="41208"/>
    <cellStyle name="Calculation 8 3 2 3 4" xfId="30525"/>
    <cellStyle name="Calculation 8 3 2 3_Table 2A-1_EFT (Annual)" xfId="14902"/>
    <cellStyle name="Calculation 8 3 2 4" xfId="10472"/>
    <cellStyle name="Calculation 8 3 2 4 2" xfId="22588"/>
    <cellStyle name="Calculation 8 3 2 4 2 2" xfId="43774"/>
    <cellStyle name="Calculation 8 3 2 4 3" xfId="33170"/>
    <cellStyle name="Calculation 8 3 2 5" xfId="17475"/>
    <cellStyle name="Calculation 8 3 2 5 2" xfId="38662"/>
    <cellStyle name="Calculation 8 3 2 6" xfId="27782"/>
    <cellStyle name="Calculation 8 3 2_Table 2A-1_EFT (Annual)" xfId="6733"/>
    <cellStyle name="Calculation 8 3 3" xfId="867"/>
    <cellStyle name="Calculation 8 3 3 2" xfId="4428"/>
    <cellStyle name="Calculation 8 3 3 2 2" xfId="12693"/>
    <cellStyle name="Calculation 8 3 3 2 2 2" xfId="24705"/>
    <cellStyle name="Calculation 8 3 3 2 2 2 2" xfId="45891"/>
    <cellStyle name="Calculation 8 3 3 2 2 3" xfId="35287"/>
    <cellStyle name="Calculation 8 3 3 2 3" xfId="19592"/>
    <cellStyle name="Calculation 8 3 3 2 3 2" xfId="40779"/>
    <cellStyle name="Calculation 8 3 3 2 4" xfId="30085"/>
    <cellStyle name="Calculation 8 3 3 2_Table 2A-1_EFT (Annual)" xfId="14903"/>
    <cellStyle name="Calculation 8 3 3 3" xfId="10040"/>
    <cellStyle name="Calculation 8 3 3 3 2" xfId="22159"/>
    <cellStyle name="Calculation 8 3 3 3 2 2" xfId="43345"/>
    <cellStyle name="Calculation 8 3 3 3 3" xfId="32741"/>
    <cellStyle name="Calculation 8 3 3 4" xfId="17046"/>
    <cellStyle name="Calculation 8 3 3 4 2" xfId="38233"/>
    <cellStyle name="Calculation 8 3 3 5" xfId="27342"/>
    <cellStyle name="Calculation 8 3 3_Table 2A-1_EFT (Annual)" xfId="6735"/>
    <cellStyle name="Calculation 8 3 4" xfId="2046"/>
    <cellStyle name="Calculation 8 3 4 2" xfId="5607"/>
    <cellStyle name="Calculation 8 3 4 2 2" xfId="13822"/>
    <cellStyle name="Calculation 8 3 4 2 2 2" xfId="25810"/>
    <cellStyle name="Calculation 8 3 4 2 2 2 2" xfId="46996"/>
    <cellStyle name="Calculation 8 3 4 2 2 3" xfId="36392"/>
    <cellStyle name="Calculation 8 3 4 2 3" xfId="20697"/>
    <cellStyle name="Calculation 8 3 4 2 3 2" xfId="41884"/>
    <cellStyle name="Calculation 8 3 4 2 4" xfId="31264"/>
    <cellStyle name="Calculation 8 3 4 2_Table 2A-1_EFT (Annual)" xfId="14904"/>
    <cellStyle name="Calculation 8 3 4 3" xfId="11166"/>
    <cellStyle name="Calculation 8 3 4 3 2" xfId="23264"/>
    <cellStyle name="Calculation 8 3 4 3 2 2" xfId="44450"/>
    <cellStyle name="Calculation 8 3 4 3 3" xfId="33846"/>
    <cellStyle name="Calculation 8 3 4 4" xfId="18151"/>
    <cellStyle name="Calculation 8 3 4 4 2" xfId="39338"/>
    <cellStyle name="Calculation 8 3 4 5" xfId="28521"/>
    <cellStyle name="Calculation 8 3 4_Table 2A-1_EFT (Annual)" xfId="6736"/>
    <cellStyle name="Calculation 8 3 5" xfId="3889"/>
    <cellStyle name="Calculation 8 3 5 2" xfId="12221"/>
    <cellStyle name="Calculation 8 3 5 2 2" xfId="24246"/>
    <cellStyle name="Calculation 8 3 5 2 2 2" xfId="45432"/>
    <cellStyle name="Calculation 8 3 5 2 3" xfId="34828"/>
    <cellStyle name="Calculation 8 3 5 3" xfId="19133"/>
    <cellStyle name="Calculation 8 3 5 3 2" xfId="40320"/>
    <cellStyle name="Calculation 8 3 5 4" xfId="29577"/>
    <cellStyle name="Calculation 8 3 5_Table 2A-1_EFT (Annual)" xfId="14905"/>
    <cellStyle name="Calculation 8 3 6" xfId="9558"/>
    <cellStyle name="Calculation 8 3 6 2" xfId="21700"/>
    <cellStyle name="Calculation 8 3 6 2 2" xfId="42886"/>
    <cellStyle name="Calculation 8 3 6 3" xfId="32282"/>
    <cellStyle name="Calculation 8 3 7" xfId="16587"/>
    <cellStyle name="Calculation 8 3 7 2" xfId="37774"/>
    <cellStyle name="Calculation 8 3 8" xfId="26834"/>
    <cellStyle name="Calculation 8 3_Table 2A-1_EFT (Annual)" xfId="2987"/>
    <cellStyle name="Calculation 8 4" xfId="1141"/>
    <cellStyle name="Calculation 8 4 2" xfId="2411"/>
    <cellStyle name="Calculation 8 4 2 2" xfId="5972"/>
    <cellStyle name="Calculation 8 4 2 2 2" xfId="14166"/>
    <cellStyle name="Calculation 8 4 2 2 2 2" xfId="26138"/>
    <cellStyle name="Calculation 8 4 2 2 2 2 2" xfId="47324"/>
    <cellStyle name="Calculation 8 4 2 2 2 3" xfId="36720"/>
    <cellStyle name="Calculation 8 4 2 2 3" xfId="21025"/>
    <cellStyle name="Calculation 8 4 2 2 3 2" xfId="42212"/>
    <cellStyle name="Calculation 8 4 2 2 4" xfId="31628"/>
    <cellStyle name="Calculation 8 4 2 2_Table 2A-1_EFT (Annual)" xfId="14906"/>
    <cellStyle name="Calculation 8 4 2 3" xfId="11508"/>
    <cellStyle name="Calculation 8 4 2 3 2" xfId="23592"/>
    <cellStyle name="Calculation 8 4 2 3 2 2" xfId="44778"/>
    <cellStyle name="Calculation 8 4 2 3 3" xfId="34174"/>
    <cellStyle name="Calculation 8 4 2 4" xfId="18479"/>
    <cellStyle name="Calculation 8 4 2 4 2" xfId="39666"/>
    <cellStyle name="Calculation 8 4 2 5" xfId="28885"/>
    <cellStyle name="Calculation 8 4 2_Table 2A-1_EFT (Annual)" xfId="6738"/>
    <cellStyle name="Calculation 8 4 3" xfId="4702"/>
    <cellStyle name="Calculation 8 4 3 2" xfId="12962"/>
    <cellStyle name="Calculation 8 4 3 2 2" xfId="24968"/>
    <cellStyle name="Calculation 8 4 3 2 2 2" xfId="46154"/>
    <cellStyle name="Calculation 8 4 3 2 3" xfId="35550"/>
    <cellStyle name="Calculation 8 4 3 3" xfId="19855"/>
    <cellStyle name="Calculation 8 4 3 3 2" xfId="41042"/>
    <cellStyle name="Calculation 8 4 3 4" xfId="30359"/>
    <cellStyle name="Calculation 8 4 3_Table 2A-1_EFT (Annual)" xfId="14907"/>
    <cellStyle name="Calculation 8 4 4" xfId="10306"/>
    <cellStyle name="Calculation 8 4 4 2" xfId="22422"/>
    <cellStyle name="Calculation 8 4 4 2 2" xfId="43608"/>
    <cellStyle name="Calculation 8 4 4 3" xfId="33004"/>
    <cellStyle name="Calculation 8 4 5" xfId="17309"/>
    <cellStyle name="Calculation 8 4 5 2" xfId="38496"/>
    <cellStyle name="Calculation 8 4 6" xfId="27616"/>
    <cellStyle name="Calculation 8 4_Table 2A-1_EFT (Annual)" xfId="6737"/>
    <cellStyle name="Calculation 8 5" xfId="708"/>
    <cellStyle name="Calculation 8 5 2" xfId="4269"/>
    <cellStyle name="Calculation 8 5 2 2" xfId="12553"/>
    <cellStyle name="Calculation 8 5 2 2 2" xfId="24571"/>
    <cellStyle name="Calculation 8 5 2 2 2 2" xfId="45757"/>
    <cellStyle name="Calculation 8 5 2 2 3" xfId="35153"/>
    <cellStyle name="Calculation 8 5 2 3" xfId="19458"/>
    <cellStyle name="Calculation 8 5 2 3 2" xfId="40645"/>
    <cellStyle name="Calculation 8 5 2 4" xfId="29926"/>
    <cellStyle name="Calculation 8 5 2_Table 2A-1_EFT (Annual)" xfId="14908"/>
    <cellStyle name="Calculation 8 5 3" xfId="9900"/>
    <cellStyle name="Calculation 8 5 3 2" xfId="22025"/>
    <cellStyle name="Calculation 8 5 3 2 2" xfId="43211"/>
    <cellStyle name="Calculation 8 5 3 3" xfId="32607"/>
    <cellStyle name="Calculation 8 5 4" xfId="16912"/>
    <cellStyle name="Calculation 8 5 4 2" xfId="38099"/>
    <cellStyle name="Calculation 8 5 5" xfId="27183"/>
    <cellStyle name="Calculation 8 5_Table 2A-1_EFT (Annual)" xfId="6739"/>
    <cellStyle name="Calculation 8 6" xfId="1874"/>
    <cellStyle name="Calculation 8 6 2" xfId="5435"/>
    <cellStyle name="Calculation 8 6 2 2" xfId="13650"/>
    <cellStyle name="Calculation 8 6 2 2 2" xfId="25638"/>
    <cellStyle name="Calculation 8 6 2 2 2 2" xfId="46824"/>
    <cellStyle name="Calculation 8 6 2 2 3" xfId="36220"/>
    <cellStyle name="Calculation 8 6 2 3" xfId="20525"/>
    <cellStyle name="Calculation 8 6 2 3 2" xfId="41712"/>
    <cellStyle name="Calculation 8 6 2 4" xfId="31092"/>
    <cellStyle name="Calculation 8 6 2_Table 2A-1_EFT (Annual)" xfId="14909"/>
    <cellStyle name="Calculation 8 6 3" xfId="10994"/>
    <cellStyle name="Calculation 8 6 3 2" xfId="23092"/>
    <cellStyle name="Calculation 8 6 3 2 2" xfId="44278"/>
    <cellStyle name="Calculation 8 6 3 3" xfId="33674"/>
    <cellStyle name="Calculation 8 6 4" xfId="17979"/>
    <cellStyle name="Calculation 8 6 4 2" xfId="39166"/>
    <cellStyle name="Calculation 8 6 5" xfId="28349"/>
    <cellStyle name="Calculation 8 6_Table 2A-1_EFT (Annual)" xfId="6740"/>
    <cellStyle name="Calculation 8 7" xfId="3676"/>
    <cellStyle name="Calculation 8 7 2" xfId="12049"/>
    <cellStyle name="Calculation 8 7 2 2" xfId="24080"/>
    <cellStyle name="Calculation 8 7 2 2 2" xfId="45266"/>
    <cellStyle name="Calculation 8 7 2 3" xfId="34662"/>
    <cellStyle name="Calculation 8 7 3" xfId="18967"/>
    <cellStyle name="Calculation 8 7 3 2" xfId="40154"/>
    <cellStyle name="Calculation 8 7 4" xfId="29386"/>
    <cellStyle name="Calculation 8 7_Table 2A-1_EFT (Annual)" xfId="14910"/>
    <cellStyle name="Calculation 8 8" xfId="9366"/>
    <cellStyle name="Calculation 8 8 2" xfId="21534"/>
    <cellStyle name="Calculation 8 8 2 2" xfId="42720"/>
    <cellStyle name="Calculation 8 8 3" xfId="32116"/>
    <cellStyle name="Calculation 8 9" xfId="16421"/>
    <cellStyle name="Calculation 8 9 2" xfId="37608"/>
    <cellStyle name="Calculation 8_Table 2A-1_EFT (Annual)" xfId="2985"/>
    <cellStyle name="Calculation 9" xfId="95"/>
    <cellStyle name="Calculation 9 10" xfId="26651"/>
    <cellStyle name="Calculation 9 2" xfId="494"/>
    <cellStyle name="Calculation 9 2 2" xfId="1471"/>
    <cellStyle name="Calculation 9 2 2 2" xfId="2741"/>
    <cellStyle name="Calculation 9 2 2 2 2" xfId="6302"/>
    <cellStyle name="Calculation 9 2 2 2 2 2" xfId="14496"/>
    <cellStyle name="Calculation 9 2 2 2 2 2 2" xfId="26468"/>
    <cellStyle name="Calculation 9 2 2 2 2 2 2 2" xfId="47654"/>
    <cellStyle name="Calculation 9 2 2 2 2 2 3" xfId="37050"/>
    <cellStyle name="Calculation 9 2 2 2 2 3" xfId="21355"/>
    <cellStyle name="Calculation 9 2 2 2 2 3 2" xfId="42542"/>
    <cellStyle name="Calculation 9 2 2 2 2 4" xfId="31958"/>
    <cellStyle name="Calculation 9 2 2 2 2_Table 2A-1_EFT (Annual)" xfId="14911"/>
    <cellStyle name="Calculation 9 2 2 2 3" xfId="11838"/>
    <cellStyle name="Calculation 9 2 2 2 3 2" xfId="23922"/>
    <cellStyle name="Calculation 9 2 2 2 3 2 2" xfId="45108"/>
    <cellStyle name="Calculation 9 2 2 2 3 3" xfId="34504"/>
    <cellStyle name="Calculation 9 2 2 2 4" xfId="18809"/>
    <cellStyle name="Calculation 9 2 2 2 4 2" xfId="39996"/>
    <cellStyle name="Calculation 9 2 2 2 5" xfId="29215"/>
    <cellStyle name="Calculation 9 2 2 2_Table 2A-1_EFT (Annual)" xfId="6742"/>
    <cellStyle name="Calculation 9 2 2 3" xfId="5032"/>
    <cellStyle name="Calculation 9 2 2 3 2" xfId="13292"/>
    <cellStyle name="Calculation 9 2 2 3 2 2" xfId="25298"/>
    <cellStyle name="Calculation 9 2 2 3 2 2 2" xfId="46484"/>
    <cellStyle name="Calculation 9 2 2 3 2 3" xfId="35880"/>
    <cellStyle name="Calculation 9 2 2 3 3" xfId="20185"/>
    <cellStyle name="Calculation 9 2 2 3 3 2" xfId="41372"/>
    <cellStyle name="Calculation 9 2 2 3 4" xfId="30689"/>
    <cellStyle name="Calculation 9 2 2 3_Table 2A-1_EFT (Annual)" xfId="14912"/>
    <cellStyle name="Calculation 9 2 2 4" xfId="10636"/>
    <cellStyle name="Calculation 9 2 2 4 2" xfId="22752"/>
    <cellStyle name="Calculation 9 2 2 4 2 2" xfId="43938"/>
    <cellStyle name="Calculation 9 2 2 4 3" xfId="33334"/>
    <cellStyle name="Calculation 9 2 2 5" xfId="17639"/>
    <cellStyle name="Calculation 9 2 2 5 2" xfId="38826"/>
    <cellStyle name="Calculation 9 2 2 6" xfId="27946"/>
    <cellStyle name="Calculation 9 2 2_Table 2A-1_EFT (Annual)" xfId="6741"/>
    <cellStyle name="Calculation 9 2 3" xfId="1010"/>
    <cellStyle name="Calculation 9 2 3 2" xfId="4571"/>
    <cellStyle name="Calculation 9 2 3 2 2" xfId="12831"/>
    <cellStyle name="Calculation 9 2 3 2 2 2" xfId="24837"/>
    <cellStyle name="Calculation 9 2 3 2 2 2 2" xfId="46023"/>
    <cellStyle name="Calculation 9 2 3 2 2 3" xfId="35419"/>
    <cellStyle name="Calculation 9 2 3 2 3" xfId="19724"/>
    <cellStyle name="Calculation 9 2 3 2 3 2" xfId="40911"/>
    <cellStyle name="Calculation 9 2 3 2 4" xfId="30228"/>
    <cellStyle name="Calculation 9 2 3 2_Table 2A-1_EFT (Annual)" xfId="14913"/>
    <cellStyle name="Calculation 9 2 3 3" xfId="10175"/>
    <cellStyle name="Calculation 9 2 3 3 2" xfId="22291"/>
    <cellStyle name="Calculation 9 2 3 3 2 2" xfId="43477"/>
    <cellStyle name="Calculation 9 2 3 3 3" xfId="32873"/>
    <cellStyle name="Calculation 9 2 3 4" xfId="17178"/>
    <cellStyle name="Calculation 9 2 3 4 2" xfId="38365"/>
    <cellStyle name="Calculation 9 2 3 5" xfId="27485"/>
    <cellStyle name="Calculation 9 2 3_Table 2A-1_EFT (Annual)" xfId="6743"/>
    <cellStyle name="Calculation 9 2 4" xfId="2210"/>
    <cellStyle name="Calculation 9 2 4 2" xfId="5771"/>
    <cellStyle name="Calculation 9 2 4 2 2" xfId="13986"/>
    <cellStyle name="Calculation 9 2 4 2 2 2" xfId="25974"/>
    <cellStyle name="Calculation 9 2 4 2 2 2 2" xfId="47160"/>
    <cellStyle name="Calculation 9 2 4 2 2 3" xfId="36556"/>
    <cellStyle name="Calculation 9 2 4 2 3" xfId="20861"/>
    <cellStyle name="Calculation 9 2 4 2 3 2" xfId="42048"/>
    <cellStyle name="Calculation 9 2 4 2 4" xfId="31428"/>
    <cellStyle name="Calculation 9 2 4 2_Table 2A-1_EFT (Annual)" xfId="14914"/>
    <cellStyle name="Calculation 9 2 4 3" xfId="11330"/>
    <cellStyle name="Calculation 9 2 4 3 2" xfId="23428"/>
    <cellStyle name="Calculation 9 2 4 3 2 2" xfId="44614"/>
    <cellStyle name="Calculation 9 2 4 3 3" xfId="34010"/>
    <cellStyle name="Calculation 9 2 4 4" xfId="18315"/>
    <cellStyle name="Calculation 9 2 4 4 2" xfId="39502"/>
    <cellStyle name="Calculation 9 2 4 5" xfId="28685"/>
    <cellStyle name="Calculation 9 2 4_Table 2A-1_EFT (Annual)" xfId="6744"/>
    <cellStyle name="Calculation 9 2 5" xfId="4064"/>
    <cellStyle name="Calculation 9 2 5 2" xfId="12388"/>
    <cellStyle name="Calculation 9 2 5 2 2" xfId="24410"/>
    <cellStyle name="Calculation 9 2 5 2 2 2" xfId="45596"/>
    <cellStyle name="Calculation 9 2 5 2 3" xfId="34992"/>
    <cellStyle name="Calculation 9 2 5 3" xfId="19297"/>
    <cellStyle name="Calculation 9 2 5 3 2" xfId="40484"/>
    <cellStyle name="Calculation 9 2 5 4" xfId="29752"/>
    <cellStyle name="Calculation 9 2 5_Table 2A-1_EFT (Annual)" xfId="14915"/>
    <cellStyle name="Calculation 9 2 6" xfId="9727"/>
    <cellStyle name="Calculation 9 2 6 2" xfId="21864"/>
    <cellStyle name="Calculation 9 2 6 2 2" xfId="43050"/>
    <cellStyle name="Calculation 9 2 6 3" xfId="32446"/>
    <cellStyle name="Calculation 9 2 7" xfId="16751"/>
    <cellStyle name="Calculation 9 2 7 2" xfId="37938"/>
    <cellStyle name="Calculation 9 2 8" xfId="27009"/>
    <cellStyle name="Calculation 9 2_Table 2A-1_EFT (Annual)" xfId="2989"/>
    <cellStyle name="Calculation 9 3" xfId="327"/>
    <cellStyle name="Calculation 9 3 2" xfId="1315"/>
    <cellStyle name="Calculation 9 3 2 2" xfId="2585"/>
    <cellStyle name="Calculation 9 3 2 2 2" xfId="6146"/>
    <cellStyle name="Calculation 9 3 2 2 2 2" xfId="14340"/>
    <cellStyle name="Calculation 9 3 2 2 2 2 2" xfId="26312"/>
    <cellStyle name="Calculation 9 3 2 2 2 2 2 2" xfId="47498"/>
    <cellStyle name="Calculation 9 3 2 2 2 2 3" xfId="36894"/>
    <cellStyle name="Calculation 9 3 2 2 2 3" xfId="21199"/>
    <cellStyle name="Calculation 9 3 2 2 2 3 2" xfId="42386"/>
    <cellStyle name="Calculation 9 3 2 2 2 4" xfId="31802"/>
    <cellStyle name="Calculation 9 3 2 2 2_Table 2A-1_EFT (Annual)" xfId="14916"/>
    <cellStyle name="Calculation 9 3 2 2 3" xfId="11682"/>
    <cellStyle name="Calculation 9 3 2 2 3 2" xfId="23766"/>
    <cellStyle name="Calculation 9 3 2 2 3 2 2" xfId="44952"/>
    <cellStyle name="Calculation 9 3 2 2 3 3" xfId="34348"/>
    <cellStyle name="Calculation 9 3 2 2 4" xfId="18653"/>
    <cellStyle name="Calculation 9 3 2 2 4 2" xfId="39840"/>
    <cellStyle name="Calculation 9 3 2 2 5" xfId="29059"/>
    <cellStyle name="Calculation 9 3 2 2_Table 2A-1_EFT (Annual)" xfId="6746"/>
    <cellStyle name="Calculation 9 3 2 3" xfId="4876"/>
    <cellStyle name="Calculation 9 3 2 3 2" xfId="13136"/>
    <cellStyle name="Calculation 9 3 2 3 2 2" xfId="25142"/>
    <cellStyle name="Calculation 9 3 2 3 2 2 2" xfId="46328"/>
    <cellStyle name="Calculation 9 3 2 3 2 3" xfId="35724"/>
    <cellStyle name="Calculation 9 3 2 3 3" xfId="20029"/>
    <cellStyle name="Calculation 9 3 2 3 3 2" xfId="41216"/>
    <cellStyle name="Calculation 9 3 2 3 4" xfId="30533"/>
    <cellStyle name="Calculation 9 3 2 3_Table 2A-1_EFT (Annual)" xfId="14917"/>
    <cellStyle name="Calculation 9 3 2 4" xfId="10480"/>
    <cellStyle name="Calculation 9 3 2 4 2" xfId="22596"/>
    <cellStyle name="Calculation 9 3 2 4 2 2" xfId="43782"/>
    <cellStyle name="Calculation 9 3 2 4 3" xfId="33178"/>
    <cellStyle name="Calculation 9 3 2 5" xfId="17483"/>
    <cellStyle name="Calculation 9 3 2 5 2" xfId="38670"/>
    <cellStyle name="Calculation 9 3 2 6" xfId="27790"/>
    <cellStyle name="Calculation 9 3 2_Table 2A-1_EFT (Annual)" xfId="6745"/>
    <cellStyle name="Calculation 9 3 3" xfId="873"/>
    <cellStyle name="Calculation 9 3 3 2" xfId="4434"/>
    <cellStyle name="Calculation 9 3 3 2 2" xfId="12699"/>
    <cellStyle name="Calculation 9 3 3 2 2 2" xfId="24711"/>
    <cellStyle name="Calculation 9 3 3 2 2 2 2" xfId="45897"/>
    <cellStyle name="Calculation 9 3 3 2 2 3" xfId="35293"/>
    <cellStyle name="Calculation 9 3 3 2 3" xfId="19598"/>
    <cellStyle name="Calculation 9 3 3 2 3 2" xfId="40785"/>
    <cellStyle name="Calculation 9 3 3 2 4" xfId="30091"/>
    <cellStyle name="Calculation 9 3 3 2_Table 2A-1_EFT (Annual)" xfId="14918"/>
    <cellStyle name="Calculation 9 3 3 3" xfId="10046"/>
    <cellStyle name="Calculation 9 3 3 3 2" xfId="22165"/>
    <cellStyle name="Calculation 9 3 3 3 2 2" xfId="43351"/>
    <cellStyle name="Calculation 9 3 3 3 3" xfId="32747"/>
    <cellStyle name="Calculation 9 3 3 4" xfId="17052"/>
    <cellStyle name="Calculation 9 3 3 4 2" xfId="38239"/>
    <cellStyle name="Calculation 9 3 3 5" xfId="27348"/>
    <cellStyle name="Calculation 9 3 3_Table 2A-1_EFT (Annual)" xfId="6747"/>
    <cellStyle name="Calculation 9 3 4" xfId="2054"/>
    <cellStyle name="Calculation 9 3 4 2" xfId="5615"/>
    <cellStyle name="Calculation 9 3 4 2 2" xfId="13830"/>
    <cellStyle name="Calculation 9 3 4 2 2 2" xfId="25818"/>
    <cellStyle name="Calculation 9 3 4 2 2 2 2" xfId="47004"/>
    <cellStyle name="Calculation 9 3 4 2 2 3" xfId="36400"/>
    <cellStyle name="Calculation 9 3 4 2 3" xfId="20705"/>
    <cellStyle name="Calculation 9 3 4 2 3 2" xfId="41892"/>
    <cellStyle name="Calculation 9 3 4 2 4" xfId="31272"/>
    <cellStyle name="Calculation 9 3 4 2_Table 2A-1_EFT (Annual)" xfId="14919"/>
    <cellStyle name="Calculation 9 3 4 3" xfId="11174"/>
    <cellStyle name="Calculation 9 3 4 3 2" xfId="23272"/>
    <cellStyle name="Calculation 9 3 4 3 2 2" xfId="44458"/>
    <cellStyle name="Calculation 9 3 4 3 3" xfId="33854"/>
    <cellStyle name="Calculation 9 3 4 4" xfId="18159"/>
    <cellStyle name="Calculation 9 3 4 4 2" xfId="39346"/>
    <cellStyle name="Calculation 9 3 4 5" xfId="28529"/>
    <cellStyle name="Calculation 9 3 4_Table 2A-1_EFT (Annual)" xfId="6748"/>
    <cellStyle name="Calculation 9 3 5" xfId="3897"/>
    <cellStyle name="Calculation 9 3 5 2" xfId="12229"/>
    <cellStyle name="Calculation 9 3 5 2 2" xfId="24254"/>
    <cellStyle name="Calculation 9 3 5 2 2 2" xfId="45440"/>
    <cellStyle name="Calculation 9 3 5 2 3" xfId="34836"/>
    <cellStyle name="Calculation 9 3 5 3" xfId="19141"/>
    <cellStyle name="Calculation 9 3 5 3 2" xfId="40328"/>
    <cellStyle name="Calculation 9 3 5 4" xfId="29585"/>
    <cellStyle name="Calculation 9 3 5_Table 2A-1_EFT (Annual)" xfId="14920"/>
    <cellStyle name="Calculation 9 3 6" xfId="9566"/>
    <cellStyle name="Calculation 9 3 6 2" xfId="21708"/>
    <cellStyle name="Calculation 9 3 6 2 2" xfId="42894"/>
    <cellStyle name="Calculation 9 3 6 3" xfId="32290"/>
    <cellStyle name="Calculation 9 3 7" xfId="16595"/>
    <cellStyle name="Calculation 9 3 7 2" xfId="37782"/>
    <cellStyle name="Calculation 9 3 8" xfId="26842"/>
    <cellStyle name="Calculation 9 3_Table 2A-1_EFT (Annual)" xfId="2990"/>
    <cellStyle name="Calculation 9 4" xfId="1149"/>
    <cellStyle name="Calculation 9 4 2" xfId="2419"/>
    <cellStyle name="Calculation 9 4 2 2" xfId="5980"/>
    <cellStyle name="Calculation 9 4 2 2 2" xfId="14174"/>
    <cellStyle name="Calculation 9 4 2 2 2 2" xfId="26146"/>
    <cellStyle name="Calculation 9 4 2 2 2 2 2" xfId="47332"/>
    <cellStyle name="Calculation 9 4 2 2 2 3" xfId="36728"/>
    <cellStyle name="Calculation 9 4 2 2 3" xfId="21033"/>
    <cellStyle name="Calculation 9 4 2 2 3 2" xfId="42220"/>
    <cellStyle name="Calculation 9 4 2 2 4" xfId="31636"/>
    <cellStyle name="Calculation 9 4 2 2_Table 2A-1_EFT (Annual)" xfId="14921"/>
    <cellStyle name="Calculation 9 4 2 3" xfId="11516"/>
    <cellStyle name="Calculation 9 4 2 3 2" xfId="23600"/>
    <cellStyle name="Calculation 9 4 2 3 2 2" xfId="44786"/>
    <cellStyle name="Calculation 9 4 2 3 3" xfId="34182"/>
    <cellStyle name="Calculation 9 4 2 4" xfId="18487"/>
    <cellStyle name="Calculation 9 4 2 4 2" xfId="39674"/>
    <cellStyle name="Calculation 9 4 2 5" xfId="28893"/>
    <cellStyle name="Calculation 9 4 2_Table 2A-1_EFT (Annual)" xfId="6750"/>
    <cellStyle name="Calculation 9 4 3" xfId="4710"/>
    <cellStyle name="Calculation 9 4 3 2" xfId="12970"/>
    <cellStyle name="Calculation 9 4 3 2 2" xfId="24976"/>
    <cellStyle name="Calculation 9 4 3 2 2 2" xfId="46162"/>
    <cellStyle name="Calculation 9 4 3 2 3" xfId="35558"/>
    <cellStyle name="Calculation 9 4 3 3" xfId="19863"/>
    <cellStyle name="Calculation 9 4 3 3 2" xfId="41050"/>
    <cellStyle name="Calculation 9 4 3 4" xfId="30367"/>
    <cellStyle name="Calculation 9 4 3_Table 2A-1_EFT (Annual)" xfId="14922"/>
    <cellStyle name="Calculation 9 4 4" xfId="10314"/>
    <cellStyle name="Calculation 9 4 4 2" xfId="22430"/>
    <cellStyle name="Calculation 9 4 4 2 2" xfId="43616"/>
    <cellStyle name="Calculation 9 4 4 3" xfId="33012"/>
    <cellStyle name="Calculation 9 4 5" xfId="17317"/>
    <cellStyle name="Calculation 9 4 5 2" xfId="38504"/>
    <cellStyle name="Calculation 9 4 6" xfId="27624"/>
    <cellStyle name="Calculation 9 4_Table 2A-1_EFT (Annual)" xfId="6749"/>
    <cellStyle name="Calculation 9 5" xfId="714"/>
    <cellStyle name="Calculation 9 5 2" xfId="4275"/>
    <cellStyle name="Calculation 9 5 2 2" xfId="12559"/>
    <cellStyle name="Calculation 9 5 2 2 2" xfId="24577"/>
    <cellStyle name="Calculation 9 5 2 2 2 2" xfId="45763"/>
    <cellStyle name="Calculation 9 5 2 2 3" xfId="35159"/>
    <cellStyle name="Calculation 9 5 2 3" xfId="19464"/>
    <cellStyle name="Calculation 9 5 2 3 2" xfId="40651"/>
    <cellStyle name="Calculation 9 5 2 4" xfId="29932"/>
    <cellStyle name="Calculation 9 5 2_Table 2A-1_EFT (Annual)" xfId="14923"/>
    <cellStyle name="Calculation 9 5 3" xfId="9906"/>
    <cellStyle name="Calculation 9 5 3 2" xfId="22031"/>
    <cellStyle name="Calculation 9 5 3 2 2" xfId="43217"/>
    <cellStyle name="Calculation 9 5 3 3" xfId="32613"/>
    <cellStyle name="Calculation 9 5 4" xfId="16918"/>
    <cellStyle name="Calculation 9 5 4 2" xfId="38105"/>
    <cellStyle name="Calculation 9 5 5" xfId="27189"/>
    <cellStyle name="Calculation 9 5_Table 2A-1_EFT (Annual)" xfId="6751"/>
    <cellStyle name="Calculation 9 6" xfId="1811"/>
    <cellStyle name="Calculation 9 6 2" xfId="5372"/>
    <cellStyle name="Calculation 9 6 2 2" xfId="13587"/>
    <cellStyle name="Calculation 9 6 2 2 2" xfId="25575"/>
    <cellStyle name="Calculation 9 6 2 2 2 2" xfId="46761"/>
    <cellStyle name="Calculation 9 6 2 2 3" xfId="36157"/>
    <cellStyle name="Calculation 9 6 2 3" xfId="20462"/>
    <cellStyle name="Calculation 9 6 2 3 2" xfId="41649"/>
    <cellStyle name="Calculation 9 6 2 4" xfId="31029"/>
    <cellStyle name="Calculation 9 6 2_Table 2A-1_EFT (Annual)" xfId="14924"/>
    <cellStyle name="Calculation 9 6 3" xfId="10931"/>
    <cellStyle name="Calculation 9 6 3 2" xfId="23029"/>
    <cellStyle name="Calculation 9 6 3 2 2" xfId="44215"/>
    <cellStyle name="Calculation 9 6 3 3" xfId="33611"/>
    <cellStyle name="Calculation 9 6 4" xfId="17916"/>
    <cellStyle name="Calculation 9 6 4 2" xfId="39103"/>
    <cellStyle name="Calculation 9 6 5" xfId="28286"/>
    <cellStyle name="Calculation 9 6_Table 2A-1_EFT (Annual)" xfId="6752"/>
    <cellStyle name="Calculation 9 7" xfId="3684"/>
    <cellStyle name="Calculation 9 7 2" xfId="12057"/>
    <cellStyle name="Calculation 9 7 2 2" xfId="24088"/>
    <cellStyle name="Calculation 9 7 2 2 2" xfId="45274"/>
    <cellStyle name="Calculation 9 7 2 3" xfId="34670"/>
    <cellStyle name="Calculation 9 7 3" xfId="18975"/>
    <cellStyle name="Calculation 9 7 3 2" xfId="40162"/>
    <cellStyle name="Calculation 9 7 4" xfId="29394"/>
    <cellStyle name="Calculation 9 7_Table 2A-1_EFT (Annual)" xfId="14925"/>
    <cellStyle name="Calculation 9 8" xfId="9374"/>
    <cellStyle name="Calculation 9 8 2" xfId="21542"/>
    <cellStyle name="Calculation 9 8 2 2" xfId="42728"/>
    <cellStyle name="Calculation 9 8 3" xfId="32124"/>
    <cellStyle name="Calculation 9 9" xfId="16429"/>
    <cellStyle name="Calculation 9 9 2" xfId="37616"/>
    <cellStyle name="Calculation 9_Table 2A-1_EFT (Annual)" xfId="2988"/>
    <cellStyle name="Check Cell" xfId="27" builtinId="23" customBuiltin="1"/>
    <cellStyle name="Check Cell 2" xfId="280"/>
    <cellStyle name="Check Cell 3" xfId="684"/>
    <cellStyle name="Check Cell 4" xfId="15998"/>
    <cellStyle name="Comma" xfId="28" builtinId="3"/>
    <cellStyle name="Comma 10" xfId="15999"/>
    <cellStyle name="Comma 2" xfId="29"/>
    <cellStyle name="Comma 2 2" xfId="68"/>
    <cellStyle name="Comma 3" xfId="30"/>
    <cellStyle name="Comma 3 2" xfId="54"/>
    <cellStyle name="Comma 4" xfId="31"/>
    <cellStyle name="Comma 4 2" xfId="97"/>
    <cellStyle name="Comma 5" xfId="57"/>
    <cellStyle name="Comma 5 10" xfId="47810"/>
    <cellStyle name="Comma 5 2" xfId="65"/>
    <cellStyle name="Comma 5 3" xfId="78"/>
    <cellStyle name="Comma 5 3 2" xfId="310"/>
    <cellStyle name="Comma 5 3 2 2" xfId="860"/>
    <cellStyle name="Comma 5 3 2 2 2" xfId="2390"/>
    <cellStyle name="Comma 5 3 2 2 2 2" xfId="5951"/>
    <cellStyle name="Comma 5 3 2 2 2 2 2" xfId="16399"/>
    <cellStyle name="Comma 5 3 2 2 2 2 2 2" xfId="37588"/>
    <cellStyle name="Comma 5 3 2 2 2 2 3" xfId="31607"/>
    <cellStyle name="Comma 5 3 2 2 2 3" xfId="16201"/>
    <cellStyle name="Comma 5 3 2 2 2 3 2" xfId="37391"/>
    <cellStyle name="Comma 5 3 2 2 2 4" xfId="28864"/>
    <cellStyle name="Comma 5 3 2 2 3" xfId="4421"/>
    <cellStyle name="Comma 5 3 2 2 3 2" xfId="16299"/>
    <cellStyle name="Comma 5 3 2 2 3 2 2" xfId="37489"/>
    <cellStyle name="Comma 5 3 2 2 3 3" xfId="30078"/>
    <cellStyle name="Comma 5 3 2 2 4" xfId="16102"/>
    <cellStyle name="Comma 5 3 2 2 4 2" xfId="37292"/>
    <cellStyle name="Comma 5 3 2 2 5" xfId="27335"/>
    <cellStyle name="Comma 5 3 2 3" xfId="1692"/>
    <cellStyle name="Comma 5 3 2 3 2" xfId="5253"/>
    <cellStyle name="Comma 5 3 2 3 2 2" xfId="16350"/>
    <cellStyle name="Comma 5 3 2 3 2 2 2" xfId="37539"/>
    <cellStyle name="Comma 5 3 2 3 2 3" xfId="30910"/>
    <cellStyle name="Comma 5 3 2 3 3" xfId="16152"/>
    <cellStyle name="Comma 5 3 2 3 3 2" xfId="37342"/>
    <cellStyle name="Comma 5 3 2 3 4" xfId="28167"/>
    <cellStyle name="Comma 5 3 2 4" xfId="3880"/>
    <cellStyle name="Comma 5 3 2 4 2" xfId="16250"/>
    <cellStyle name="Comma 5 3 2 4 2 2" xfId="37440"/>
    <cellStyle name="Comma 5 3 2 4 3" xfId="29568"/>
    <cellStyle name="Comma 5 3 2 5" xfId="16053"/>
    <cellStyle name="Comma 5 3 2 5 2" xfId="37243"/>
    <cellStyle name="Comma 5 3 2 6" xfId="26825"/>
    <cellStyle name="Comma 5 3 3" xfId="656"/>
    <cellStyle name="Comma 5 3 3 2" xfId="1777"/>
    <cellStyle name="Comma 5 3 3 2 2" xfId="5338"/>
    <cellStyle name="Comma 5 3 3 2 2 2" xfId="16374"/>
    <cellStyle name="Comma 5 3 3 2 2 2 2" xfId="37563"/>
    <cellStyle name="Comma 5 3 3 2 2 3" xfId="30995"/>
    <cellStyle name="Comma 5 3 3 2 3" xfId="16176"/>
    <cellStyle name="Comma 5 3 3 2 3 2" xfId="37366"/>
    <cellStyle name="Comma 5 3 3 2 4" xfId="28252"/>
    <cellStyle name="Comma 5 3 3 3" xfId="4226"/>
    <cellStyle name="Comma 5 3 3 3 2" xfId="16274"/>
    <cellStyle name="Comma 5 3 3 3 2 2" xfId="37464"/>
    <cellStyle name="Comma 5 3 3 3 3" xfId="29914"/>
    <cellStyle name="Comma 5 3 3 4" xfId="16077"/>
    <cellStyle name="Comma 5 3 3 4 2" xfId="37267"/>
    <cellStyle name="Comma 5 3 3 5" xfId="27171"/>
    <cellStyle name="Comma 5 3 4" xfId="1635"/>
    <cellStyle name="Comma 5 3 4 2" xfId="5196"/>
    <cellStyle name="Comma 5 3 4 2 2" xfId="16325"/>
    <cellStyle name="Comma 5 3 4 2 2 2" xfId="37514"/>
    <cellStyle name="Comma 5 3 4 2 3" xfId="30853"/>
    <cellStyle name="Comma 5 3 4 3" xfId="16127"/>
    <cellStyle name="Comma 5 3 4 3 2" xfId="37317"/>
    <cellStyle name="Comma 5 3 4 4" xfId="28110"/>
    <cellStyle name="Comma 5 3 5" xfId="3667"/>
    <cellStyle name="Comma 5 3 5 2" xfId="16225"/>
    <cellStyle name="Comma 5 3 5 2 2" xfId="37415"/>
    <cellStyle name="Comma 5 3 5 3" xfId="29377"/>
    <cellStyle name="Comma 5 3 6" xfId="16028"/>
    <cellStyle name="Comma 5 3 6 2" xfId="37218"/>
    <cellStyle name="Comma 5 3 7" xfId="26634"/>
    <cellStyle name="Comma 5 3 8" xfId="47822"/>
    <cellStyle name="Comma 5 4" xfId="298"/>
    <cellStyle name="Comma 5 4 2" xfId="848"/>
    <cellStyle name="Comma 5 4 2 2" xfId="2378"/>
    <cellStyle name="Comma 5 4 2 2 2" xfId="5939"/>
    <cellStyle name="Comma 5 4 2 2 2 2" xfId="16387"/>
    <cellStyle name="Comma 5 4 2 2 2 2 2" xfId="37576"/>
    <cellStyle name="Comma 5 4 2 2 2 3" xfId="31595"/>
    <cellStyle name="Comma 5 4 2 2 3" xfId="16189"/>
    <cellStyle name="Comma 5 4 2 2 3 2" xfId="37379"/>
    <cellStyle name="Comma 5 4 2 2 4" xfId="28852"/>
    <cellStyle name="Comma 5 4 2 3" xfId="4409"/>
    <cellStyle name="Comma 5 4 2 3 2" xfId="16287"/>
    <cellStyle name="Comma 5 4 2 3 2 2" xfId="37477"/>
    <cellStyle name="Comma 5 4 2 3 3" xfId="30066"/>
    <cellStyle name="Comma 5 4 2 4" xfId="16090"/>
    <cellStyle name="Comma 5 4 2 4 2" xfId="37280"/>
    <cellStyle name="Comma 5 4 2 5" xfId="27323"/>
    <cellStyle name="Comma 5 4 3" xfId="1680"/>
    <cellStyle name="Comma 5 4 3 2" xfId="5241"/>
    <cellStyle name="Comma 5 4 3 2 2" xfId="16338"/>
    <cellStyle name="Comma 5 4 3 2 2 2" xfId="37527"/>
    <cellStyle name="Comma 5 4 3 2 3" xfId="30898"/>
    <cellStyle name="Comma 5 4 3 3" xfId="16140"/>
    <cellStyle name="Comma 5 4 3 3 2" xfId="37330"/>
    <cellStyle name="Comma 5 4 3 4" xfId="28155"/>
    <cellStyle name="Comma 5 4 4" xfId="3868"/>
    <cellStyle name="Comma 5 4 4 2" xfId="16238"/>
    <cellStyle name="Comma 5 4 4 2 2" xfId="37428"/>
    <cellStyle name="Comma 5 4 4 3" xfId="29556"/>
    <cellStyle name="Comma 5 4 5" xfId="16041"/>
    <cellStyle name="Comma 5 4 5 2" xfId="37231"/>
    <cellStyle name="Comma 5 4 6" xfId="26813"/>
    <cellStyle name="Comma 5 5" xfId="644"/>
    <cellStyle name="Comma 5 5 2" xfId="1765"/>
    <cellStyle name="Comma 5 5 2 2" xfId="5326"/>
    <cellStyle name="Comma 5 5 2 2 2" xfId="16362"/>
    <cellStyle name="Comma 5 5 2 2 2 2" xfId="37551"/>
    <cellStyle name="Comma 5 5 2 2 3" xfId="30983"/>
    <cellStyle name="Comma 5 5 2 3" xfId="16164"/>
    <cellStyle name="Comma 5 5 2 3 2" xfId="37354"/>
    <cellStyle name="Comma 5 5 2 4" xfId="28240"/>
    <cellStyle name="Comma 5 5 3" xfId="4214"/>
    <cellStyle name="Comma 5 5 3 2" xfId="16262"/>
    <cellStyle name="Comma 5 5 3 2 2" xfId="37452"/>
    <cellStyle name="Comma 5 5 3 3" xfId="29902"/>
    <cellStyle name="Comma 5 5 4" xfId="16065"/>
    <cellStyle name="Comma 5 5 4 2" xfId="37255"/>
    <cellStyle name="Comma 5 5 5" xfId="27159"/>
    <cellStyle name="Comma 5 6" xfId="1623"/>
    <cellStyle name="Comma 5 6 2" xfId="5184"/>
    <cellStyle name="Comma 5 6 2 2" xfId="16313"/>
    <cellStyle name="Comma 5 6 2 2 2" xfId="37502"/>
    <cellStyle name="Comma 5 6 2 3" xfId="30841"/>
    <cellStyle name="Comma 5 6 3" xfId="16115"/>
    <cellStyle name="Comma 5 6 3 2" xfId="37305"/>
    <cellStyle name="Comma 5 6 4" xfId="28098"/>
    <cellStyle name="Comma 5 7" xfId="3649"/>
    <cellStyle name="Comma 5 7 2" xfId="16213"/>
    <cellStyle name="Comma 5 7 2 2" xfId="37403"/>
    <cellStyle name="Comma 5 7 3" xfId="29365"/>
    <cellStyle name="Comma 5 8" xfId="16016"/>
    <cellStyle name="Comma 5 8 2" xfId="37206"/>
    <cellStyle name="Comma 5 9" xfId="26622"/>
    <cellStyle name="Comma 6" xfId="63"/>
    <cellStyle name="Comma 6 2" xfId="107"/>
    <cellStyle name="Comma 6 2 2" xfId="338"/>
    <cellStyle name="Comma 6 2 2 2" xfId="882"/>
    <cellStyle name="Comma 6 2 2 2 2" xfId="2395"/>
    <cellStyle name="Comma 6 2 2 2 2 2" xfId="5956"/>
    <cellStyle name="Comma 6 2 2 2 2 2 2" xfId="16404"/>
    <cellStyle name="Comma 6 2 2 2 2 2 2 2" xfId="37593"/>
    <cellStyle name="Comma 6 2 2 2 2 2 3" xfId="31612"/>
    <cellStyle name="Comma 6 2 2 2 2 3" xfId="16206"/>
    <cellStyle name="Comma 6 2 2 2 2 3 2" xfId="37396"/>
    <cellStyle name="Comma 6 2 2 2 2 4" xfId="28869"/>
    <cellStyle name="Comma 6 2 2 2 3" xfId="4443"/>
    <cellStyle name="Comma 6 2 2 2 3 2" xfId="16304"/>
    <cellStyle name="Comma 6 2 2 2 3 2 2" xfId="37494"/>
    <cellStyle name="Comma 6 2 2 2 3 3" xfId="30100"/>
    <cellStyle name="Comma 6 2 2 2 4" xfId="16107"/>
    <cellStyle name="Comma 6 2 2 2 4 2" xfId="37297"/>
    <cellStyle name="Comma 6 2 2 2 5" xfId="27357"/>
    <cellStyle name="Comma 6 2 2 3" xfId="1703"/>
    <cellStyle name="Comma 6 2 2 3 2" xfId="5264"/>
    <cellStyle name="Comma 6 2 2 3 2 2" xfId="16355"/>
    <cellStyle name="Comma 6 2 2 3 2 2 2" xfId="37544"/>
    <cellStyle name="Comma 6 2 2 3 2 3" xfId="30921"/>
    <cellStyle name="Comma 6 2 2 3 3" xfId="16157"/>
    <cellStyle name="Comma 6 2 2 3 3 2" xfId="37347"/>
    <cellStyle name="Comma 6 2 2 3 4" xfId="28178"/>
    <cellStyle name="Comma 6 2 2 4" xfId="3908"/>
    <cellStyle name="Comma 6 2 2 4 2" xfId="16255"/>
    <cellStyle name="Comma 6 2 2 4 2 2" xfId="37445"/>
    <cellStyle name="Comma 6 2 2 4 3" xfId="29596"/>
    <cellStyle name="Comma 6 2 2 5" xfId="16058"/>
    <cellStyle name="Comma 6 2 2 5 2" xfId="37248"/>
    <cellStyle name="Comma 6 2 2 6" xfId="26853"/>
    <cellStyle name="Comma 6 2 3" xfId="723"/>
    <cellStyle name="Comma 6 2 3 2" xfId="2370"/>
    <cellStyle name="Comma 6 2 3 2 2" xfId="5931"/>
    <cellStyle name="Comma 6 2 3 2 2 2" xfId="16379"/>
    <cellStyle name="Comma 6 2 3 2 2 2 2" xfId="37568"/>
    <cellStyle name="Comma 6 2 3 2 2 3" xfId="31587"/>
    <cellStyle name="Comma 6 2 3 2 3" xfId="16181"/>
    <cellStyle name="Comma 6 2 3 2 3 2" xfId="37371"/>
    <cellStyle name="Comma 6 2 3 2 4" xfId="28844"/>
    <cellStyle name="Comma 6 2 3 3" xfId="4284"/>
    <cellStyle name="Comma 6 2 3 3 2" xfId="16279"/>
    <cellStyle name="Comma 6 2 3 3 2 2" xfId="37469"/>
    <cellStyle name="Comma 6 2 3 3 3" xfId="29941"/>
    <cellStyle name="Comma 6 2 3 4" xfId="16082"/>
    <cellStyle name="Comma 6 2 3 4 2" xfId="37272"/>
    <cellStyle name="Comma 6 2 3 5" xfId="27198"/>
    <cellStyle name="Comma 6 2 4" xfId="1646"/>
    <cellStyle name="Comma 6 2 4 2" xfId="5207"/>
    <cellStyle name="Comma 6 2 4 2 2" xfId="16330"/>
    <cellStyle name="Comma 6 2 4 2 2 2" xfId="37519"/>
    <cellStyle name="Comma 6 2 4 2 3" xfId="30864"/>
    <cellStyle name="Comma 6 2 4 3" xfId="16132"/>
    <cellStyle name="Comma 6 2 4 3 2" xfId="37322"/>
    <cellStyle name="Comma 6 2 4 4" xfId="28121"/>
    <cellStyle name="Comma 6 2 5" xfId="3696"/>
    <cellStyle name="Comma 6 2 5 2" xfId="16230"/>
    <cellStyle name="Comma 6 2 5 2 2" xfId="37420"/>
    <cellStyle name="Comma 6 2 5 3" xfId="29405"/>
    <cellStyle name="Comma 6 2 6" xfId="16033"/>
    <cellStyle name="Comma 6 2 6 2" xfId="37223"/>
    <cellStyle name="Comma 6 2 7" xfId="26662"/>
    <cellStyle name="Comma 6 3" xfId="303"/>
    <cellStyle name="Comma 6 3 2" xfId="853"/>
    <cellStyle name="Comma 6 3 2 2" xfId="2383"/>
    <cellStyle name="Comma 6 3 2 2 2" xfId="5944"/>
    <cellStyle name="Comma 6 3 2 2 2 2" xfId="16392"/>
    <cellStyle name="Comma 6 3 2 2 2 2 2" xfId="37581"/>
    <cellStyle name="Comma 6 3 2 2 2 3" xfId="31600"/>
    <cellStyle name="Comma 6 3 2 2 3" xfId="16194"/>
    <cellStyle name="Comma 6 3 2 2 3 2" xfId="37384"/>
    <cellStyle name="Comma 6 3 2 2 4" xfId="28857"/>
    <cellStyle name="Comma 6 3 2 3" xfId="4414"/>
    <cellStyle name="Comma 6 3 2 3 2" xfId="16292"/>
    <cellStyle name="Comma 6 3 2 3 2 2" xfId="37482"/>
    <cellStyle name="Comma 6 3 2 3 3" xfId="30071"/>
    <cellStyle name="Comma 6 3 2 4" xfId="16095"/>
    <cellStyle name="Comma 6 3 2 4 2" xfId="37285"/>
    <cellStyle name="Comma 6 3 2 5" xfId="27328"/>
    <cellStyle name="Comma 6 3 3" xfId="1685"/>
    <cellStyle name="Comma 6 3 3 2" xfId="5246"/>
    <cellStyle name="Comma 6 3 3 2 2" xfId="16343"/>
    <cellStyle name="Comma 6 3 3 2 2 2" xfId="37532"/>
    <cellStyle name="Comma 6 3 3 2 3" xfId="30903"/>
    <cellStyle name="Comma 6 3 3 3" xfId="16145"/>
    <cellStyle name="Comma 6 3 3 3 2" xfId="37335"/>
    <cellStyle name="Comma 6 3 3 4" xfId="28160"/>
    <cellStyle name="Comma 6 3 4" xfId="3873"/>
    <cellStyle name="Comma 6 3 4 2" xfId="16243"/>
    <cellStyle name="Comma 6 3 4 2 2" xfId="37433"/>
    <cellStyle name="Comma 6 3 4 3" xfId="29561"/>
    <cellStyle name="Comma 6 3 5" xfId="16046"/>
    <cellStyle name="Comma 6 3 5 2" xfId="37236"/>
    <cellStyle name="Comma 6 3 6" xfId="26818"/>
    <cellStyle name="Comma 6 4" xfId="649"/>
    <cellStyle name="Comma 6 4 2" xfId="1770"/>
    <cellStyle name="Comma 6 4 2 2" xfId="5331"/>
    <cellStyle name="Comma 6 4 2 2 2" xfId="16367"/>
    <cellStyle name="Comma 6 4 2 2 2 2" xfId="37556"/>
    <cellStyle name="Comma 6 4 2 2 3" xfId="30988"/>
    <cellStyle name="Comma 6 4 2 3" xfId="16169"/>
    <cellStyle name="Comma 6 4 2 3 2" xfId="37359"/>
    <cellStyle name="Comma 6 4 2 4" xfId="28245"/>
    <cellStyle name="Comma 6 4 3" xfId="4219"/>
    <cellStyle name="Comma 6 4 3 2" xfId="16267"/>
    <cellStyle name="Comma 6 4 3 2 2" xfId="37457"/>
    <cellStyle name="Comma 6 4 3 3" xfId="29907"/>
    <cellStyle name="Comma 6 4 4" xfId="16070"/>
    <cellStyle name="Comma 6 4 4 2" xfId="37260"/>
    <cellStyle name="Comma 6 4 5" xfId="27164"/>
    <cellStyle name="Comma 6 5" xfId="1628"/>
    <cellStyle name="Comma 6 5 2" xfId="5189"/>
    <cellStyle name="Comma 6 5 2 2" xfId="16318"/>
    <cellStyle name="Comma 6 5 2 2 2" xfId="37507"/>
    <cellStyle name="Comma 6 5 2 3" xfId="30846"/>
    <cellStyle name="Comma 6 5 3" xfId="16120"/>
    <cellStyle name="Comma 6 5 3 2" xfId="37310"/>
    <cellStyle name="Comma 6 5 4" xfId="28103"/>
    <cellStyle name="Comma 6 6" xfId="3654"/>
    <cellStyle name="Comma 6 6 2" xfId="16218"/>
    <cellStyle name="Comma 6 6 2 2" xfId="37408"/>
    <cellStyle name="Comma 6 6 3" xfId="29370"/>
    <cellStyle name="Comma 6 7" xfId="16021"/>
    <cellStyle name="Comma 6 7 2" xfId="37211"/>
    <cellStyle name="Comma 6 8" xfId="26627"/>
    <cellStyle name="Comma 6 9" xfId="47815"/>
    <cellStyle name="Comma 7" xfId="72"/>
    <cellStyle name="Comma 7 2" xfId="227"/>
    <cellStyle name="Comma 7 2 2" xfId="454"/>
    <cellStyle name="Comma 7 2 2 2" xfId="978"/>
    <cellStyle name="Comma 7 2 2 2 2" xfId="2398"/>
    <cellStyle name="Comma 7 2 2 2 2 2" xfId="5959"/>
    <cellStyle name="Comma 7 2 2 2 2 2 2" xfId="16407"/>
    <cellStyle name="Comma 7 2 2 2 2 2 2 2" xfId="37596"/>
    <cellStyle name="Comma 7 2 2 2 2 2 3" xfId="31615"/>
    <cellStyle name="Comma 7 2 2 2 2 3" xfId="16209"/>
    <cellStyle name="Comma 7 2 2 2 2 3 2" xfId="37399"/>
    <cellStyle name="Comma 7 2 2 2 2 4" xfId="28872"/>
    <cellStyle name="Comma 7 2 2 2 3" xfId="4539"/>
    <cellStyle name="Comma 7 2 2 2 3 2" xfId="16307"/>
    <cellStyle name="Comma 7 2 2 2 3 2 2" xfId="37497"/>
    <cellStyle name="Comma 7 2 2 2 3 3" xfId="30196"/>
    <cellStyle name="Comma 7 2 2 2 4" xfId="16110"/>
    <cellStyle name="Comma 7 2 2 2 4 2" xfId="37300"/>
    <cellStyle name="Comma 7 2 2 2 5" xfId="27453"/>
    <cellStyle name="Comma 7 2 2 3" xfId="1726"/>
    <cellStyle name="Comma 7 2 2 3 2" xfId="5287"/>
    <cellStyle name="Comma 7 2 2 3 2 2" xfId="16358"/>
    <cellStyle name="Comma 7 2 2 3 2 2 2" xfId="37547"/>
    <cellStyle name="Comma 7 2 2 3 2 3" xfId="30944"/>
    <cellStyle name="Comma 7 2 2 3 3" xfId="16160"/>
    <cellStyle name="Comma 7 2 2 3 3 2" xfId="37350"/>
    <cellStyle name="Comma 7 2 2 3 4" xfId="28201"/>
    <cellStyle name="Comma 7 2 2 4" xfId="4024"/>
    <cellStyle name="Comma 7 2 2 4 2" xfId="16258"/>
    <cellStyle name="Comma 7 2 2 4 2 2" xfId="37448"/>
    <cellStyle name="Comma 7 2 2 4 3" xfId="29712"/>
    <cellStyle name="Comma 7 2 2 5" xfId="16061"/>
    <cellStyle name="Comma 7 2 2 5 2" xfId="37251"/>
    <cellStyle name="Comma 7 2 2 6" xfId="26969"/>
    <cellStyle name="Comma 7 2 3" xfId="822"/>
    <cellStyle name="Comma 7 2 3 2" xfId="2373"/>
    <cellStyle name="Comma 7 2 3 2 2" xfId="5934"/>
    <cellStyle name="Comma 7 2 3 2 2 2" xfId="16382"/>
    <cellStyle name="Comma 7 2 3 2 2 2 2" xfId="37571"/>
    <cellStyle name="Comma 7 2 3 2 2 3" xfId="31590"/>
    <cellStyle name="Comma 7 2 3 2 3" xfId="16184"/>
    <cellStyle name="Comma 7 2 3 2 3 2" xfId="37374"/>
    <cellStyle name="Comma 7 2 3 2 4" xfId="28847"/>
    <cellStyle name="Comma 7 2 3 3" xfId="4383"/>
    <cellStyle name="Comma 7 2 3 3 2" xfId="16282"/>
    <cellStyle name="Comma 7 2 3 3 2 2" xfId="37472"/>
    <cellStyle name="Comma 7 2 3 3 3" xfId="30040"/>
    <cellStyle name="Comma 7 2 3 4" xfId="16085"/>
    <cellStyle name="Comma 7 2 3 4 2" xfId="37275"/>
    <cellStyle name="Comma 7 2 3 5" xfId="27297"/>
    <cellStyle name="Comma 7 2 4" xfId="1670"/>
    <cellStyle name="Comma 7 2 4 2" xfId="5231"/>
    <cellStyle name="Comma 7 2 4 2 2" xfId="16333"/>
    <cellStyle name="Comma 7 2 4 2 2 2" xfId="37522"/>
    <cellStyle name="Comma 7 2 4 2 3" xfId="30888"/>
    <cellStyle name="Comma 7 2 4 3" xfId="16135"/>
    <cellStyle name="Comma 7 2 4 3 2" xfId="37325"/>
    <cellStyle name="Comma 7 2 4 4" xfId="28145"/>
    <cellStyle name="Comma 7 2 5" xfId="3816"/>
    <cellStyle name="Comma 7 2 5 2" xfId="16233"/>
    <cellStyle name="Comma 7 2 5 2 2" xfId="37423"/>
    <cellStyle name="Comma 7 2 5 3" xfId="29525"/>
    <cellStyle name="Comma 7 2 6" xfId="16036"/>
    <cellStyle name="Comma 7 2 6 2" xfId="37226"/>
    <cellStyle name="Comma 7 2 7" xfId="26782"/>
    <cellStyle name="Comma 7 3" xfId="306"/>
    <cellStyle name="Comma 7 3 2" xfId="856"/>
    <cellStyle name="Comma 7 3 2 2" xfId="2386"/>
    <cellStyle name="Comma 7 3 2 2 2" xfId="5947"/>
    <cellStyle name="Comma 7 3 2 2 2 2" xfId="16395"/>
    <cellStyle name="Comma 7 3 2 2 2 2 2" xfId="37584"/>
    <cellStyle name="Comma 7 3 2 2 2 3" xfId="31603"/>
    <cellStyle name="Comma 7 3 2 2 3" xfId="16197"/>
    <cellStyle name="Comma 7 3 2 2 3 2" xfId="37387"/>
    <cellStyle name="Comma 7 3 2 2 4" xfId="28860"/>
    <cellStyle name="Comma 7 3 2 3" xfId="4417"/>
    <cellStyle name="Comma 7 3 2 3 2" xfId="16295"/>
    <cellStyle name="Comma 7 3 2 3 2 2" xfId="37485"/>
    <cellStyle name="Comma 7 3 2 3 3" xfId="30074"/>
    <cellStyle name="Comma 7 3 2 4" xfId="16098"/>
    <cellStyle name="Comma 7 3 2 4 2" xfId="37288"/>
    <cellStyle name="Comma 7 3 2 5" xfId="27331"/>
    <cellStyle name="Comma 7 3 3" xfId="1688"/>
    <cellStyle name="Comma 7 3 3 2" xfId="5249"/>
    <cellStyle name="Comma 7 3 3 2 2" xfId="16346"/>
    <cellStyle name="Comma 7 3 3 2 2 2" xfId="37535"/>
    <cellStyle name="Comma 7 3 3 2 3" xfId="30906"/>
    <cellStyle name="Comma 7 3 3 3" xfId="16148"/>
    <cellStyle name="Comma 7 3 3 3 2" xfId="37338"/>
    <cellStyle name="Comma 7 3 3 4" xfId="28163"/>
    <cellStyle name="Comma 7 3 4" xfId="3876"/>
    <cellStyle name="Comma 7 3 4 2" xfId="16246"/>
    <cellStyle name="Comma 7 3 4 2 2" xfId="37436"/>
    <cellStyle name="Comma 7 3 4 3" xfId="29564"/>
    <cellStyle name="Comma 7 3 5" xfId="16049"/>
    <cellStyle name="Comma 7 3 5 2" xfId="37239"/>
    <cellStyle name="Comma 7 3 6" xfId="26821"/>
    <cellStyle name="Comma 7 4" xfId="652"/>
    <cellStyle name="Comma 7 4 2" xfId="1773"/>
    <cellStyle name="Comma 7 4 2 2" xfId="5334"/>
    <cellStyle name="Comma 7 4 2 2 2" xfId="16370"/>
    <cellStyle name="Comma 7 4 2 2 2 2" xfId="37559"/>
    <cellStyle name="Comma 7 4 2 2 3" xfId="30991"/>
    <cellStyle name="Comma 7 4 2 3" xfId="16172"/>
    <cellStyle name="Comma 7 4 2 3 2" xfId="37362"/>
    <cellStyle name="Comma 7 4 2 4" xfId="28248"/>
    <cellStyle name="Comma 7 4 3" xfId="4222"/>
    <cellStyle name="Comma 7 4 3 2" xfId="16270"/>
    <cellStyle name="Comma 7 4 3 2 2" xfId="37460"/>
    <cellStyle name="Comma 7 4 3 3" xfId="29910"/>
    <cellStyle name="Comma 7 4 4" xfId="16073"/>
    <cellStyle name="Comma 7 4 4 2" xfId="37263"/>
    <cellStyle name="Comma 7 4 5" xfId="27167"/>
    <cellStyle name="Comma 7 5" xfId="1631"/>
    <cellStyle name="Comma 7 5 2" xfId="5192"/>
    <cellStyle name="Comma 7 5 2 2" xfId="16321"/>
    <cellStyle name="Comma 7 5 2 2 2" xfId="37510"/>
    <cellStyle name="Comma 7 5 2 3" xfId="30849"/>
    <cellStyle name="Comma 7 5 3" xfId="16123"/>
    <cellStyle name="Comma 7 5 3 2" xfId="37313"/>
    <cellStyle name="Comma 7 5 4" xfId="28106"/>
    <cellStyle name="Comma 7 6" xfId="3663"/>
    <cellStyle name="Comma 7 6 2" xfId="16221"/>
    <cellStyle name="Comma 7 6 2 2" xfId="37411"/>
    <cellStyle name="Comma 7 6 3" xfId="29373"/>
    <cellStyle name="Comma 7 7" xfId="16024"/>
    <cellStyle name="Comma 7 7 2" xfId="37214"/>
    <cellStyle name="Comma 7 8" xfId="26630"/>
    <cellStyle name="Comma 7 9" xfId="47818"/>
    <cellStyle name="Comma 8" xfId="281"/>
    <cellStyle name="Comma 9" xfId="685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2"/>
    <cellStyle name="Currency 5" xfId="686"/>
    <cellStyle name="Currency 6" xfId="16000"/>
    <cellStyle name="Explanatory Text" xfId="35" builtinId="53" customBuiltin="1"/>
    <cellStyle name="Explanatory Text 2" xfId="283"/>
    <cellStyle name="Explanatory Text 3" xfId="687"/>
    <cellStyle name="Explanatory Text 4" xfId="16001"/>
    <cellStyle name="Good" xfId="36" builtinId="26" customBuiltin="1"/>
    <cellStyle name="Good 2" xfId="284"/>
    <cellStyle name="Good 3" xfId="688"/>
    <cellStyle name="Good 4" xfId="16002"/>
    <cellStyle name="Heading 1" xfId="37" builtinId="16" customBuiltin="1"/>
    <cellStyle name="Heading 1 2" xfId="285"/>
    <cellStyle name="Heading 1 3" xfId="689"/>
    <cellStyle name="Heading 1 4" xfId="16003"/>
    <cellStyle name="Heading 2" xfId="38" builtinId="17" customBuiltin="1"/>
    <cellStyle name="Heading 2 2" xfId="286"/>
    <cellStyle name="Heading 2 3" xfId="690"/>
    <cellStyle name="Heading 2 4" xfId="16004"/>
    <cellStyle name="Heading 3" xfId="39" builtinId="18" customBuiltin="1"/>
    <cellStyle name="Heading 3 2" xfId="287"/>
    <cellStyle name="Heading 3 3" xfId="691"/>
    <cellStyle name="Heading 3 4" xfId="16005"/>
    <cellStyle name="Heading 4" xfId="40" builtinId="19" customBuiltin="1"/>
    <cellStyle name="Heading 4 2" xfId="288"/>
    <cellStyle name="Heading 4 3" xfId="692"/>
    <cellStyle name="Heading 4 4" xfId="16006"/>
    <cellStyle name="Input" xfId="41" builtinId="20" customBuiltin="1"/>
    <cellStyle name="Input 10" xfId="134"/>
    <cellStyle name="Input 10 10" xfId="26689"/>
    <cellStyle name="Input 10 2" xfId="527"/>
    <cellStyle name="Input 10 2 2" xfId="1504"/>
    <cellStyle name="Input 10 2 2 2" xfId="2774"/>
    <cellStyle name="Input 10 2 2 2 2" xfId="6335"/>
    <cellStyle name="Input 10 2 2 2 2 2" xfId="14529"/>
    <cellStyle name="Input 10 2 2 2 2 2 2" xfId="26501"/>
    <cellStyle name="Input 10 2 2 2 2 2 2 2" xfId="47687"/>
    <cellStyle name="Input 10 2 2 2 2 2 3" xfId="37083"/>
    <cellStyle name="Input 10 2 2 2 2 3" xfId="21388"/>
    <cellStyle name="Input 10 2 2 2 2 3 2" xfId="42575"/>
    <cellStyle name="Input 10 2 2 2 2 4" xfId="31991"/>
    <cellStyle name="Input 10 2 2 2 2_Table 2A-1_EFT (Annual)" xfId="14926"/>
    <cellStyle name="Input 10 2 2 2 3" xfId="11871"/>
    <cellStyle name="Input 10 2 2 2 3 2" xfId="23955"/>
    <cellStyle name="Input 10 2 2 2 3 2 2" xfId="45141"/>
    <cellStyle name="Input 10 2 2 2 3 3" xfId="34537"/>
    <cellStyle name="Input 10 2 2 2 4" xfId="18842"/>
    <cellStyle name="Input 10 2 2 2 4 2" xfId="40029"/>
    <cellStyle name="Input 10 2 2 2 5" xfId="29248"/>
    <cellStyle name="Input 10 2 2 2_Table 2A-1_EFT (Annual)" xfId="6754"/>
    <cellStyle name="Input 10 2 2 3" xfId="5065"/>
    <cellStyle name="Input 10 2 2 3 2" xfId="13325"/>
    <cellStyle name="Input 10 2 2 3 2 2" xfId="25331"/>
    <cellStyle name="Input 10 2 2 3 2 2 2" xfId="46517"/>
    <cellStyle name="Input 10 2 2 3 2 3" xfId="35913"/>
    <cellStyle name="Input 10 2 2 3 3" xfId="20218"/>
    <cellStyle name="Input 10 2 2 3 3 2" xfId="41405"/>
    <cellStyle name="Input 10 2 2 3 4" xfId="30722"/>
    <cellStyle name="Input 10 2 2 3_Table 2A-1_EFT (Annual)" xfId="14927"/>
    <cellStyle name="Input 10 2 2 4" xfId="10669"/>
    <cellStyle name="Input 10 2 2 4 2" xfId="22785"/>
    <cellStyle name="Input 10 2 2 4 2 2" xfId="43971"/>
    <cellStyle name="Input 10 2 2 4 3" xfId="33367"/>
    <cellStyle name="Input 10 2 2 5" xfId="17672"/>
    <cellStyle name="Input 10 2 2 5 2" xfId="38859"/>
    <cellStyle name="Input 10 2 2 6" xfId="27979"/>
    <cellStyle name="Input 10 2 2_Table 2A-1_EFT (Annual)" xfId="6753"/>
    <cellStyle name="Input 10 2 3" xfId="1037"/>
    <cellStyle name="Input 10 2 3 2" xfId="4598"/>
    <cellStyle name="Input 10 2 3 2 2" xfId="12858"/>
    <cellStyle name="Input 10 2 3 2 2 2" xfId="24864"/>
    <cellStyle name="Input 10 2 3 2 2 2 2" xfId="46050"/>
    <cellStyle name="Input 10 2 3 2 2 3" xfId="35446"/>
    <cellStyle name="Input 10 2 3 2 3" xfId="19751"/>
    <cellStyle name="Input 10 2 3 2 3 2" xfId="40938"/>
    <cellStyle name="Input 10 2 3 2 4" xfId="30255"/>
    <cellStyle name="Input 10 2 3 2_Table 2A-1_EFT (Annual)" xfId="14928"/>
    <cellStyle name="Input 10 2 3 3" xfId="10202"/>
    <cellStyle name="Input 10 2 3 3 2" xfId="22318"/>
    <cellStyle name="Input 10 2 3 3 2 2" xfId="43504"/>
    <cellStyle name="Input 10 2 3 3 3" xfId="32900"/>
    <cellStyle name="Input 10 2 3 4" xfId="17205"/>
    <cellStyle name="Input 10 2 3 4 2" xfId="38392"/>
    <cellStyle name="Input 10 2 3 5" xfId="27512"/>
    <cellStyle name="Input 10 2 3_Table 2A-1_EFT (Annual)" xfId="6755"/>
    <cellStyle name="Input 10 2 4" xfId="2243"/>
    <cellStyle name="Input 10 2 4 2" xfId="5804"/>
    <cellStyle name="Input 10 2 4 2 2" xfId="14019"/>
    <cellStyle name="Input 10 2 4 2 2 2" xfId="26007"/>
    <cellStyle name="Input 10 2 4 2 2 2 2" xfId="47193"/>
    <cellStyle name="Input 10 2 4 2 2 3" xfId="36589"/>
    <cellStyle name="Input 10 2 4 2 3" xfId="20894"/>
    <cellStyle name="Input 10 2 4 2 3 2" xfId="42081"/>
    <cellStyle name="Input 10 2 4 2 4" xfId="31461"/>
    <cellStyle name="Input 10 2 4 2_Table 2A-1_EFT (Annual)" xfId="14929"/>
    <cellStyle name="Input 10 2 4 3" xfId="11363"/>
    <cellStyle name="Input 10 2 4 3 2" xfId="23461"/>
    <cellStyle name="Input 10 2 4 3 2 2" xfId="44647"/>
    <cellStyle name="Input 10 2 4 3 3" xfId="34043"/>
    <cellStyle name="Input 10 2 4 4" xfId="18348"/>
    <cellStyle name="Input 10 2 4 4 2" xfId="39535"/>
    <cellStyle name="Input 10 2 4 5" xfId="28718"/>
    <cellStyle name="Input 10 2 4_Table 2A-1_EFT (Annual)" xfId="6756"/>
    <cellStyle name="Input 10 2 5" xfId="4097"/>
    <cellStyle name="Input 10 2 5 2" xfId="12421"/>
    <cellStyle name="Input 10 2 5 2 2" xfId="24443"/>
    <cellStyle name="Input 10 2 5 2 2 2" xfId="45629"/>
    <cellStyle name="Input 10 2 5 2 3" xfId="35025"/>
    <cellStyle name="Input 10 2 5 3" xfId="19330"/>
    <cellStyle name="Input 10 2 5 3 2" xfId="40517"/>
    <cellStyle name="Input 10 2 5 4" xfId="29785"/>
    <cellStyle name="Input 10 2 5_Table 2A-1_EFT (Annual)" xfId="14930"/>
    <cellStyle name="Input 10 2 6" xfId="9760"/>
    <cellStyle name="Input 10 2 6 2" xfId="21897"/>
    <cellStyle name="Input 10 2 6 2 2" xfId="43083"/>
    <cellStyle name="Input 10 2 6 3" xfId="32479"/>
    <cellStyle name="Input 10 2 7" xfId="16784"/>
    <cellStyle name="Input 10 2 7 2" xfId="37971"/>
    <cellStyle name="Input 10 2 8" xfId="27042"/>
    <cellStyle name="Input 10 2_Table 2A-1_EFT (Annual)" xfId="2992"/>
    <cellStyle name="Input 10 3" xfId="365"/>
    <cellStyle name="Input 10 3 2" xfId="1348"/>
    <cellStyle name="Input 10 3 2 2" xfId="2618"/>
    <cellStyle name="Input 10 3 2 2 2" xfId="6179"/>
    <cellStyle name="Input 10 3 2 2 2 2" xfId="14373"/>
    <cellStyle name="Input 10 3 2 2 2 2 2" xfId="26345"/>
    <cellStyle name="Input 10 3 2 2 2 2 2 2" xfId="47531"/>
    <cellStyle name="Input 10 3 2 2 2 2 3" xfId="36927"/>
    <cellStyle name="Input 10 3 2 2 2 3" xfId="21232"/>
    <cellStyle name="Input 10 3 2 2 2 3 2" xfId="42419"/>
    <cellStyle name="Input 10 3 2 2 2 4" xfId="31835"/>
    <cellStyle name="Input 10 3 2 2 2_Table 2A-1_EFT (Annual)" xfId="14931"/>
    <cellStyle name="Input 10 3 2 2 3" xfId="11715"/>
    <cellStyle name="Input 10 3 2 2 3 2" xfId="23799"/>
    <cellStyle name="Input 10 3 2 2 3 2 2" xfId="44985"/>
    <cellStyle name="Input 10 3 2 2 3 3" xfId="34381"/>
    <cellStyle name="Input 10 3 2 2 4" xfId="18686"/>
    <cellStyle name="Input 10 3 2 2 4 2" xfId="39873"/>
    <cellStyle name="Input 10 3 2 2 5" xfId="29092"/>
    <cellStyle name="Input 10 3 2 2_Table 2A-1_EFT (Annual)" xfId="6758"/>
    <cellStyle name="Input 10 3 2 3" xfId="4909"/>
    <cellStyle name="Input 10 3 2 3 2" xfId="13169"/>
    <cellStyle name="Input 10 3 2 3 2 2" xfId="25175"/>
    <cellStyle name="Input 10 3 2 3 2 2 2" xfId="46361"/>
    <cellStyle name="Input 10 3 2 3 2 3" xfId="35757"/>
    <cellStyle name="Input 10 3 2 3 3" xfId="20062"/>
    <cellStyle name="Input 10 3 2 3 3 2" xfId="41249"/>
    <cellStyle name="Input 10 3 2 3 4" xfId="30566"/>
    <cellStyle name="Input 10 3 2 3_Table 2A-1_EFT (Annual)" xfId="14932"/>
    <cellStyle name="Input 10 3 2 4" xfId="10513"/>
    <cellStyle name="Input 10 3 2 4 2" xfId="22629"/>
    <cellStyle name="Input 10 3 2 4 2 2" xfId="43815"/>
    <cellStyle name="Input 10 3 2 4 3" xfId="33211"/>
    <cellStyle name="Input 10 3 2 5" xfId="17516"/>
    <cellStyle name="Input 10 3 2 5 2" xfId="38703"/>
    <cellStyle name="Input 10 3 2 6" xfId="27823"/>
    <cellStyle name="Input 10 3 2_Table 2A-1_EFT (Annual)" xfId="6757"/>
    <cellStyle name="Input 10 3 3" xfId="905"/>
    <cellStyle name="Input 10 3 3 2" xfId="4466"/>
    <cellStyle name="Input 10 3 3 2 2" xfId="12728"/>
    <cellStyle name="Input 10 3 3 2 2 2" xfId="24738"/>
    <cellStyle name="Input 10 3 3 2 2 2 2" xfId="45924"/>
    <cellStyle name="Input 10 3 3 2 2 3" xfId="35320"/>
    <cellStyle name="Input 10 3 3 2 3" xfId="19625"/>
    <cellStyle name="Input 10 3 3 2 3 2" xfId="40812"/>
    <cellStyle name="Input 10 3 3 2 4" xfId="30123"/>
    <cellStyle name="Input 10 3 3 2_Table 2A-1_EFT (Annual)" xfId="14933"/>
    <cellStyle name="Input 10 3 3 3" xfId="10075"/>
    <cellStyle name="Input 10 3 3 3 2" xfId="22192"/>
    <cellStyle name="Input 10 3 3 3 2 2" xfId="43378"/>
    <cellStyle name="Input 10 3 3 3 3" xfId="32774"/>
    <cellStyle name="Input 10 3 3 4" xfId="17079"/>
    <cellStyle name="Input 10 3 3 4 2" xfId="38266"/>
    <cellStyle name="Input 10 3 3 5" xfId="27380"/>
    <cellStyle name="Input 10 3 3_Table 2A-1_EFT (Annual)" xfId="6759"/>
    <cellStyle name="Input 10 3 4" xfId="2087"/>
    <cellStyle name="Input 10 3 4 2" xfId="5648"/>
    <cellStyle name="Input 10 3 4 2 2" xfId="13863"/>
    <cellStyle name="Input 10 3 4 2 2 2" xfId="25851"/>
    <cellStyle name="Input 10 3 4 2 2 2 2" xfId="47037"/>
    <cellStyle name="Input 10 3 4 2 2 3" xfId="36433"/>
    <cellStyle name="Input 10 3 4 2 3" xfId="20738"/>
    <cellStyle name="Input 10 3 4 2 3 2" xfId="41925"/>
    <cellStyle name="Input 10 3 4 2 4" xfId="31305"/>
    <cellStyle name="Input 10 3 4 2_Table 2A-1_EFT (Annual)" xfId="14934"/>
    <cellStyle name="Input 10 3 4 3" xfId="11207"/>
    <cellStyle name="Input 10 3 4 3 2" xfId="23305"/>
    <cellStyle name="Input 10 3 4 3 2 2" xfId="44491"/>
    <cellStyle name="Input 10 3 4 3 3" xfId="33887"/>
    <cellStyle name="Input 10 3 4 4" xfId="18192"/>
    <cellStyle name="Input 10 3 4 4 2" xfId="39379"/>
    <cellStyle name="Input 10 3 4 5" xfId="28562"/>
    <cellStyle name="Input 10 3 4_Table 2A-1_EFT (Annual)" xfId="6760"/>
    <cellStyle name="Input 10 3 5" xfId="3935"/>
    <cellStyle name="Input 10 3 5 2" xfId="12263"/>
    <cellStyle name="Input 10 3 5 2 2" xfId="24287"/>
    <cellStyle name="Input 10 3 5 2 2 2" xfId="45473"/>
    <cellStyle name="Input 10 3 5 2 3" xfId="34869"/>
    <cellStyle name="Input 10 3 5 3" xfId="19174"/>
    <cellStyle name="Input 10 3 5 3 2" xfId="40361"/>
    <cellStyle name="Input 10 3 5 4" xfId="29623"/>
    <cellStyle name="Input 10 3 5_Table 2A-1_EFT (Annual)" xfId="14935"/>
    <cellStyle name="Input 10 3 6" xfId="9600"/>
    <cellStyle name="Input 10 3 6 2" xfId="21741"/>
    <cellStyle name="Input 10 3 6 2 2" xfId="42927"/>
    <cellStyle name="Input 10 3 6 3" xfId="32323"/>
    <cellStyle name="Input 10 3 7" xfId="16628"/>
    <cellStyle name="Input 10 3 7 2" xfId="37815"/>
    <cellStyle name="Input 10 3 8" xfId="26880"/>
    <cellStyle name="Input 10 3_Table 2A-1_EFT (Annual)" xfId="2993"/>
    <cellStyle name="Input 10 4" xfId="1182"/>
    <cellStyle name="Input 10 4 2" xfId="2452"/>
    <cellStyle name="Input 10 4 2 2" xfId="6013"/>
    <cellStyle name="Input 10 4 2 2 2" xfId="14207"/>
    <cellStyle name="Input 10 4 2 2 2 2" xfId="26179"/>
    <cellStyle name="Input 10 4 2 2 2 2 2" xfId="47365"/>
    <cellStyle name="Input 10 4 2 2 2 3" xfId="36761"/>
    <cellStyle name="Input 10 4 2 2 3" xfId="21066"/>
    <cellStyle name="Input 10 4 2 2 3 2" xfId="42253"/>
    <cellStyle name="Input 10 4 2 2 4" xfId="31669"/>
    <cellStyle name="Input 10 4 2 2_Table 2A-1_EFT (Annual)" xfId="14936"/>
    <cellStyle name="Input 10 4 2 3" xfId="11549"/>
    <cellStyle name="Input 10 4 2 3 2" xfId="23633"/>
    <cellStyle name="Input 10 4 2 3 2 2" xfId="44819"/>
    <cellStyle name="Input 10 4 2 3 3" xfId="34215"/>
    <cellStyle name="Input 10 4 2 4" xfId="18520"/>
    <cellStyle name="Input 10 4 2 4 2" xfId="39707"/>
    <cellStyle name="Input 10 4 2 5" xfId="28926"/>
    <cellStyle name="Input 10 4 2_Table 2A-1_EFT (Annual)" xfId="6762"/>
    <cellStyle name="Input 10 4 3" xfId="4743"/>
    <cellStyle name="Input 10 4 3 2" xfId="13003"/>
    <cellStyle name="Input 10 4 3 2 2" xfId="25009"/>
    <cellStyle name="Input 10 4 3 2 2 2" xfId="46195"/>
    <cellStyle name="Input 10 4 3 2 3" xfId="35591"/>
    <cellStyle name="Input 10 4 3 3" xfId="19896"/>
    <cellStyle name="Input 10 4 3 3 2" xfId="41083"/>
    <cellStyle name="Input 10 4 3 4" xfId="30400"/>
    <cellStyle name="Input 10 4 3_Table 2A-1_EFT (Annual)" xfId="14937"/>
    <cellStyle name="Input 10 4 4" xfId="10347"/>
    <cellStyle name="Input 10 4 4 2" xfId="22463"/>
    <cellStyle name="Input 10 4 4 2 2" xfId="43649"/>
    <cellStyle name="Input 10 4 4 3" xfId="33045"/>
    <cellStyle name="Input 10 4 5" xfId="17350"/>
    <cellStyle name="Input 10 4 5 2" xfId="38537"/>
    <cellStyle name="Input 10 4 6" xfId="27657"/>
    <cellStyle name="Input 10 4_Table 2A-1_EFT (Annual)" xfId="6761"/>
    <cellStyle name="Input 10 5" xfId="746"/>
    <cellStyle name="Input 10 5 2" xfId="4307"/>
    <cellStyle name="Input 10 5 2 2" xfId="12587"/>
    <cellStyle name="Input 10 5 2 2 2" xfId="24604"/>
    <cellStyle name="Input 10 5 2 2 2 2" xfId="45790"/>
    <cellStyle name="Input 10 5 2 2 3" xfId="35186"/>
    <cellStyle name="Input 10 5 2 3" xfId="19491"/>
    <cellStyle name="Input 10 5 2 3 2" xfId="40678"/>
    <cellStyle name="Input 10 5 2 4" xfId="29964"/>
    <cellStyle name="Input 10 5 2_Table 2A-1_EFT (Annual)" xfId="14938"/>
    <cellStyle name="Input 10 5 3" xfId="9935"/>
    <cellStyle name="Input 10 5 3 2" xfId="22058"/>
    <cellStyle name="Input 10 5 3 2 2" xfId="43244"/>
    <cellStyle name="Input 10 5 3 3" xfId="32640"/>
    <cellStyle name="Input 10 5 4" xfId="16945"/>
    <cellStyle name="Input 10 5 4 2" xfId="38132"/>
    <cellStyle name="Input 10 5 5" xfId="27221"/>
    <cellStyle name="Input 10 5_Table 2A-1_EFT (Annual)" xfId="6763"/>
    <cellStyle name="Input 10 6" xfId="1857"/>
    <cellStyle name="Input 10 6 2" xfId="5418"/>
    <cellStyle name="Input 10 6 2 2" xfId="13633"/>
    <cellStyle name="Input 10 6 2 2 2" xfId="25621"/>
    <cellStyle name="Input 10 6 2 2 2 2" xfId="46807"/>
    <cellStyle name="Input 10 6 2 2 3" xfId="36203"/>
    <cellStyle name="Input 10 6 2 3" xfId="20508"/>
    <cellStyle name="Input 10 6 2 3 2" xfId="41695"/>
    <cellStyle name="Input 10 6 2 4" xfId="31075"/>
    <cellStyle name="Input 10 6 2_Table 2A-1_EFT (Annual)" xfId="14939"/>
    <cellStyle name="Input 10 6 3" xfId="10977"/>
    <cellStyle name="Input 10 6 3 2" xfId="23075"/>
    <cellStyle name="Input 10 6 3 2 2" xfId="44261"/>
    <cellStyle name="Input 10 6 3 3" xfId="33657"/>
    <cellStyle name="Input 10 6 4" xfId="17962"/>
    <cellStyle name="Input 10 6 4 2" xfId="39149"/>
    <cellStyle name="Input 10 6 5" xfId="28332"/>
    <cellStyle name="Input 10 6_Table 2A-1_EFT (Annual)" xfId="6764"/>
    <cellStyle name="Input 10 7" xfId="3723"/>
    <cellStyle name="Input 10 7 2" xfId="12091"/>
    <cellStyle name="Input 10 7 2 2" xfId="24121"/>
    <cellStyle name="Input 10 7 2 2 2" xfId="45307"/>
    <cellStyle name="Input 10 7 2 3" xfId="34703"/>
    <cellStyle name="Input 10 7 3" xfId="19008"/>
    <cellStyle name="Input 10 7 3 2" xfId="40195"/>
    <cellStyle name="Input 10 7 4" xfId="29432"/>
    <cellStyle name="Input 10 7_Table 2A-1_EFT (Annual)" xfId="14940"/>
    <cellStyle name="Input 10 8" xfId="9410"/>
    <cellStyle name="Input 10 8 2" xfId="21575"/>
    <cellStyle name="Input 10 8 2 2" xfId="42761"/>
    <cellStyle name="Input 10 8 3" xfId="32157"/>
    <cellStyle name="Input 10 9" xfId="16462"/>
    <cellStyle name="Input 10 9 2" xfId="37649"/>
    <cellStyle name="Input 10_Table 2A-1_EFT (Annual)" xfId="2991"/>
    <cellStyle name="Input 11" xfId="126"/>
    <cellStyle name="Input 11 10" xfId="26681"/>
    <cellStyle name="Input 11 2" xfId="519"/>
    <cellStyle name="Input 11 2 2" xfId="1496"/>
    <cellStyle name="Input 11 2 2 2" xfId="2766"/>
    <cellStyle name="Input 11 2 2 2 2" xfId="6327"/>
    <cellStyle name="Input 11 2 2 2 2 2" xfId="14521"/>
    <cellStyle name="Input 11 2 2 2 2 2 2" xfId="26493"/>
    <cellStyle name="Input 11 2 2 2 2 2 2 2" xfId="47679"/>
    <cellStyle name="Input 11 2 2 2 2 2 3" xfId="37075"/>
    <cellStyle name="Input 11 2 2 2 2 3" xfId="21380"/>
    <cellStyle name="Input 11 2 2 2 2 3 2" xfId="42567"/>
    <cellStyle name="Input 11 2 2 2 2 4" xfId="31983"/>
    <cellStyle name="Input 11 2 2 2 2_Table 2A-1_EFT (Annual)" xfId="14941"/>
    <cellStyle name="Input 11 2 2 2 3" xfId="11863"/>
    <cellStyle name="Input 11 2 2 2 3 2" xfId="23947"/>
    <cellStyle name="Input 11 2 2 2 3 2 2" xfId="45133"/>
    <cellStyle name="Input 11 2 2 2 3 3" xfId="34529"/>
    <cellStyle name="Input 11 2 2 2 4" xfId="18834"/>
    <cellStyle name="Input 11 2 2 2 4 2" xfId="40021"/>
    <cellStyle name="Input 11 2 2 2 5" xfId="29240"/>
    <cellStyle name="Input 11 2 2 2_Table 2A-1_EFT (Annual)" xfId="6766"/>
    <cellStyle name="Input 11 2 2 3" xfId="5057"/>
    <cellStyle name="Input 11 2 2 3 2" xfId="13317"/>
    <cellStyle name="Input 11 2 2 3 2 2" xfId="25323"/>
    <cellStyle name="Input 11 2 2 3 2 2 2" xfId="46509"/>
    <cellStyle name="Input 11 2 2 3 2 3" xfId="35905"/>
    <cellStyle name="Input 11 2 2 3 3" xfId="20210"/>
    <cellStyle name="Input 11 2 2 3 3 2" xfId="41397"/>
    <cellStyle name="Input 11 2 2 3 4" xfId="30714"/>
    <cellStyle name="Input 11 2 2 3_Table 2A-1_EFT (Annual)" xfId="14942"/>
    <cellStyle name="Input 11 2 2 4" xfId="10661"/>
    <cellStyle name="Input 11 2 2 4 2" xfId="22777"/>
    <cellStyle name="Input 11 2 2 4 2 2" xfId="43963"/>
    <cellStyle name="Input 11 2 2 4 3" xfId="33359"/>
    <cellStyle name="Input 11 2 2 5" xfId="17664"/>
    <cellStyle name="Input 11 2 2 5 2" xfId="38851"/>
    <cellStyle name="Input 11 2 2 6" xfId="27971"/>
    <cellStyle name="Input 11 2 2_Table 2A-1_EFT (Annual)" xfId="6765"/>
    <cellStyle name="Input 11 2 3" xfId="1029"/>
    <cellStyle name="Input 11 2 3 2" xfId="4590"/>
    <cellStyle name="Input 11 2 3 2 2" xfId="12850"/>
    <cellStyle name="Input 11 2 3 2 2 2" xfId="24856"/>
    <cellStyle name="Input 11 2 3 2 2 2 2" xfId="46042"/>
    <cellStyle name="Input 11 2 3 2 2 3" xfId="35438"/>
    <cellStyle name="Input 11 2 3 2 3" xfId="19743"/>
    <cellStyle name="Input 11 2 3 2 3 2" xfId="40930"/>
    <cellStyle name="Input 11 2 3 2 4" xfId="30247"/>
    <cellStyle name="Input 11 2 3 2_Table 2A-1_EFT (Annual)" xfId="14943"/>
    <cellStyle name="Input 11 2 3 3" xfId="10194"/>
    <cellStyle name="Input 11 2 3 3 2" xfId="22310"/>
    <cellStyle name="Input 11 2 3 3 2 2" xfId="43496"/>
    <cellStyle name="Input 11 2 3 3 3" xfId="32892"/>
    <cellStyle name="Input 11 2 3 4" xfId="17197"/>
    <cellStyle name="Input 11 2 3 4 2" xfId="38384"/>
    <cellStyle name="Input 11 2 3 5" xfId="27504"/>
    <cellStyle name="Input 11 2 3_Table 2A-1_EFT (Annual)" xfId="6767"/>
    <cellStyle name="Input 11 2 4" xfId="2235"/>
    <cellStyle name="Input 11 2 4 2" xfId="5796"/>
    <cellStyle name="Input 11 2 4 2 2" xfId="14011"/>
    <cellStyle name="Input 11 2 4 2 2 2" xfId="25999"/>
    <cellStyle name="Input 11 2 4 2 2 2 2" xfId="47185"/>
    <cellStyle name="Input 11 2 4 2 2 3" xfId="36581"/>
    <cellStyle name="Input 11 2 4 2 3" xfId="20886"/>
    <cellStyle name="Input 11 2 4 2 3 2" xfId="42073"/>
    <cellStyle name="Input 11 2 4 2 4" xfId="31453"/>
    <cellStyle name="Input 11 2 4 2_Table 2A-1_EFT (Annual)" xfId="14944"/>
    <cellStyle name="Input 11 2 4 3" xfId="11355"/>
    <cellStyle name="Input 11 2 4 3 2" xfId="23453"/>
    <cellStyle name="Input 11 2 4 3 2 2" xfId="44639"/>
    <cellStyle name="Input 11 2 4 3 3" xfId="34035"/>
    <cellStyle name="Input 11 2 4 4" xfId="18340"/>
    <cellStyle name="Input 11 2 4 4 2" xfId="39527"/>
    <cellStyle name="Input 11 2 4 5" xfId="28710"/>
    <cellStyle name="Input 11 2 4_Table 2A-1_EFT (Annual)" xfId="6768"/>
    <cellStyle name="Input 11 2 5" xfId="4089"/>
    <cellStyle name="Input 11 2 5 2" xfId="12413"/>
    <cellStyle name="Input 11 2 5 2 2" xfId="24435"/>
    <cellStyle name="Input 11 2 5 2 2 2" xfId="45621"/>
    <cellStyle name="Input 11 2 5 2 3" xfId="35017"/>
    <cellStyle name="Input 11 2 5 3" xfId="19322"/>
    <cellStyle name="Input 11 2 5 3 2" xfId="40509"/>
    <cellStyle name="Input 11 2 5 4" xfId="29777"/>
    <cellStyle name="Input 11 2 5_Table 2A-1_EFT (Annual)" xfId="14945"/>
    <cellStyle name="Input 11 2 6" xfId="9752"/>
    <cellStyle name="Input 11 2 6 2" xfId="21889"/>
    <cellStyle name="Input 11 2 6 2 2" xfId="43075"/>
    <cellStyle name="Input 11 2 6 3" xfId="32471"/>
    <cellStyle name="Input 11 2 7" xfId="16776"/>
    <cellStyle name="Input 11 2 7 2" xfId="37963"/>
    <cellStyle name="Input 11 2 8" xfId="27034"/>
    <cellStyle name="Input 11 2_Table 2A-1_EFT (Annual)" xfId="2995"/>
    <cellStyle name="Input 11 3" xfId="357"/>
    <cellStyle name="Input 11 3 2" xfId="1340"/>
    <cellStyle name="Input 11 3 2 2" xfId="2610"/>
    <cellStyle name="Input 11 3 2 2 2" xfId="6171"/>
    <cellStyle name="Input 11 3 2 2 2 2" xfId="14365"/>
    <cellStyle name="Input 11 3 2 2 2 2 2" xfId="26337"/>
    <cellStyle name="Input 11 3 2 2 2 2 2 2" xfId="47523"/>
    <cellStyle name="Input 11 3 2 2 2 2 3" xfId="36919"/>
    <cellStyle name="Input 11 3 2 2 2 3" xfId="21224"/>
    <cellStyle name="Input 11 3 2 2 2 3 2" xfId="42411"/>
    <cellStyle name="Input 11 3 2 2 2 4" xfId="31827"/>
    <cellStyle name="Input 11 3 2 2 2_Table 2A-1_EFT (Annual)" xfId="14946"/>
    <cellStyle name="Input 11 3 2 2 3" xfId="11707"/>
    <cellStyle name="Input 11 3 2 2 3 2" xfId="23791"/>
    <cellStyle name="Input 11 3 2 2 3 2 2" xfId="44977"/>
    <cellStyle name="Input 11 3 2 2 3 3" xfId="34373"/>
    <cellStyle name="Input 11 3 2 2 4" xfId="18678"/>
    <cellStyle name="Input 11 3 2 2 4 2" xfId="39865"/>
    <cellStyle name="Input 11 3 2 2 5" xfId="29084"/>
    <cellStyle name="Input 11 3 2 2_Table 2A-1_EFT (Annual)" xfId="6770"/>
    <cellStyle name="Input 11 3 2 3" xfId="4901"/>
    <cellStyle name="Input 11 3 2 3 2" xfId="13161"/>
    <cellStyle name="Input 11 3 2 3 2 2" xfId="25167"/>
    <cellStyle name="Input 11 3 2 3 2 2 2" xfId="46353"/>
    <cellStyle name="Input 11 3 2 3 2 3" xfId="35749"/>
    <cellStyle name="Input 11 3 2 3 3" xfId="20054"/>
    <cellStyle name="Input 11 3 2 3 3 2" xfId="41241"/>
    <cellStyle name="Input 11 3 2 3 4" xfId="30558"/>
    <cellStyle name="Input 11 3 2 3_Table 2A-1_EFT (Annual)" xfId="14947"/>
    <cellStyle name="Input 11 3 2 4" xfId="10505"/>
    <cellStyle name="Input 11 3 2 4 2" xfId="22621"/>
    <cellStyle name="Input 11 3 2 4 2 2" xfId="43807"/>
    <cellStyle name="Input 11 3 2 4 3" xfId="33203"/>
    <cellStyle name="Input 11 3 2 5" xfId="17508"/>
    <cellStyle name="Input 11 3 2 5 2" xfId="38695"/>
    <cellStyle name="Input 11 3 2 6" xfId="27815"/>
    <cellStyle name="Input 11 3 2_Table 2A-1_EFT (Annual)" xfId="6769"/>
    <cellStyle name="Input 11 3 3" xfId="897"/>
    <cellStyle name="Input 11 3 3 2" xfId="4458"/>
    <cellStyle name="Input 11 3 3 2 2" xfId="12720"/>
    <cellStyle name="Input 11 3 3 2 2 2" xfId="24730"/>
    <cellStyle name="Input 11 3 3 2 2 2 2" xfId="45916"/>
    <cellStyle name="Input 11 3 3 2 2 3" xfId="35312"/>
    <cellStyle name="Input 11 3 3 2 3" xfId="19617"/>
    <cellStyle name="Input 11 3 3 2 3 2" xfId="40804"/>
    <cellStyle name="Input 11 3 3 2 4" xfId="30115"/>
    <cellStyle name="Input 11 3 3 2_Table 2A-1_EFT (Annual)" xfId="14948"/>
    <cellStyle name="Input 11 3 3 3" xfId="10067"/>
    <cellStyle name="Input 11 3 3 3 2" xfId="22184"/>
    <cellStyle name="Input 11 3 3 3 2 2" xfId="43370"/>
    <cellStyle name="Input 11 3 3 3 3" xfId="32766"/>
    <cellStyle name="Input 11 3 3 4" xfId="17071"/>
    <cellStyle name="Input 11 3 3 4 2" xfId="38258"/>
    <cellStyle name="Input 11 3 3 5" xfId="27372"/>
    <cellStyle name="Input 11 3 3_Table 2A-1_EFT (Annual)" xfId="6771"/>
    <cellStyle name="Input 11 3 4" xfId="2079"/>
    <cellStyle name="Input 11 3 4 2" xfId="5640"/>
    <cellStyle name="Input 11 3 4 2 2" xfId="13855"/>
    <cellStyle name="Input 11 3 4 2 2 2" xfId="25843"/>
    <cellStyle name="Input 11 3 4 2 2 2 2" xfId="47029"/>
    <cellStyle name="Input 11 3 4 2 2 3" xfId="36425"/>
    <cellStyle name="Input 11 3 4 2 3" xfId="20730"/>
    <cellStyle name="Input 11 3 4 2 3 2" xfId="41917"/>
    <cellStyle name="Input 11 3 4 2 4" xfId="31297"/>
    <cellStyle name="Input 11 3 4 2_Table 2A-1_EFT (Annual)" xfId="14949"/>
    <cellStyle name="Input 11 3 4 3" xfId="11199"/>
    <cellStyle name="Input 11 3 4 3 2" xfId="23297"/>
    <cellStyle name="Input 11 3 4 3 2 2" xfId="44483"/>
    <cellStyle name="Input 11 3 4 3 3" xfId="33879"/>
    <cellStyle name="Input 11 3 4 4" xfId="18184"/>
    <cellStyle name="Input 11 3 4 4 2" xfId="39371"/>
    <cellStyle name="Input 11 3 4 5" xfId="28554"/>
    <cellStyle name="Input 11 3 4_Table 2A-1_EFT (Annual)" xfId="6772"/>
    <cellStyle name="Input 11 3 5" xfId="3927"/>
    <cellStyle name="Input 11 3 5 2" xfId="12255"/>
    <cellStyle name="Input 11 3 5 2 2" xfId="24279"/>
    <cellStyle name="Input 11 3 5 2 2 2" xfId="45465"/>
    <cellStyle name="Input 11 3 5 2 3" xfId="34861"/>
    <cellStyle name="Input 11 3 5 3" xfId="19166"/>
    <cellStyle name="Input 11 3 5 3 2" xfId="40353"/>
    <cellStyle name="Input 11 3 5 4" xfId="29615"/>
    <cellStyle name="Input 11 3 5_Table 2A-1_EFT (Annual)" xfId="14950"/>
    <cellStyle name="Input 11 3 6" xfId="9592"/>
    <cellStyle name="Input 11 3 6 2" xfId="21733"/>
    <cellStyle name="Input 11 3 6 2 2" xfId="42919"/>
    <cellStyle name="Input 11 3 6 3" xfId="32315"/>
    <cellStyle name="Input 11 3 7" xfId="16620"/>
    <cellStyle name="Input 11 3 7 2" xfId="37807"/>
    <cellStyle name="Input 11 3 8" xfId="26872"/>
    <cellStyle name="Input 11 3_Table 2A-1_EFT (Annual)" xfId="2996"/>
    <cellStyle name="Input 11 4" xfId="1174"/>
    <cellStyle name="Input 11 4 2" xfId="2444"/>
    <cellStyle name="Input 11 4 2 2" xfId="6005"/>
    <cellStyle name="Input 11 4 2 2 2" xfId="14199"/>
    <cellStyle name="Input 11 4 2 2 2 2" xfId="26171"/>
    <cellStyle name="Input 11 4 2 2 2 2 2" xfId="47357"/>
    <cellStyle name="Input 11 4 2 2 2 3" xfId="36753"/>
    <cellStyle name="Input 11 4 2 2 3" xfId="21058"/>
    <cellStyle name="Input 11 4 2 2 3 2" xfId="42245"/>
    <cellStyle name="Input 11 4 2 2 4" xfId="31661"/>
    <cellStyle name="Input 11 4 2 2_Table 2A-1_EFT (Annual)" xfId="14951"/>
    <cellStyle name="Input 11 4 2 3" xfId="11541"/>
    <cellStyle name="Input 11 4 2 3 2" xfId="23625"/>
    <cellStyle name="Input 11 4 2 3 2 2" xfId="44811"/>
    <cellStyle name="Input 11 4 2 3 3" xfId="34207"/>
    <cellStyle name="Input 11 4 2 4" xfId="18512"/>
    <cellStyle name="Input 11 4 2 4 2" xfId="39699"/>
    <cellStyle name="Input 11 4 2 5" xfId="28918"/>
    <cellStyle name="Input 11 4 2_Table 2A-1_EFT (Annual)" xfId="6774"/>
    <cellStyle name="Input 11 4 3" xfId="4735"/>
    <cellStyle name="Input 11 4 3 2" xfId="12995"/>
    <cellStyle name="Input 11 4 3 2 2" xfId="25001"/>
    <cellStyle name="Input 11 4 3 2 2 2" xfId="46187"/>
    <cellStyle name="Input 11 4 3 2 3" xfId="35583"/>
    <cellStyle name="Input 11 4 3 3" xfId="19888"/>
    <cellStyle name="Input 11 4 3 3 2" xfId="41075"/>
    <cellStyle name="Input 11 4 3 4" xfId="30392"/>
    <cellStyle name="Input 11 4 3_Table 2A-1_EFT (Annual)" xfId="14952"/>
    <cellStyle name="Input 11 4 4" xfId="10339"/>
    <cellStyle name="Input 11 4 4 2" xfId="22455"/>
    <cellStyle name="Input 11 4 4 2 2" xfId="43641"/>
    <cellStyle name="Input 11 4 4 3" xfId="33037"/>
    <cellStyle name="Input 11 4 5" xfId="17342"/>
    <cellStyle name="Input 11 4 5 2" xfId="38529"/>
    <cellStyle name="Input 11 4 6" xfId="27649"/>
    <cellStyle name="Input 11 4_Table 2A-1_EFT (Annual)" xfId="6773"/>
    <cellStyle name="Input 11 5" xfId="738"/>
    <cellStyle name="Input 11 5 2" xfId="4299"/>
    <cellStyle name="Input 11 5 2 2" xfId="12579"/>
    <cellStyle name="Input 11 5 2 2 2" xfId="24596"/>
    <cellStyle name="Input 11 5 2 2 2 2" xfId="45782"/>
    <cellStyle name="Input 11 5 2 2 3" xfId="35178"/>
    <cellStyle name="Input 11 5 2 3" xfId="19483"/>
    <cellStyle name="Input 11 5 2 3 2" xfId="40670"/>
    <cellStyle name="Input 11 5 2 4" xfId="29956"/>
    <cellStyle name="Input 11 5 2_Table 2A-1_EFT (Annual)" xfId="14953"/>
    <cellStyle name="Input 11 5 3" xfId="9927"/>
    <cellStyle name="Input 11 5 3 2" xfId="22050"/>
    <cellStyle name="Input 11 5 3 2 2" xfId="43236"/>
    <cellStyle name="Input 11 5 3 3" xfId="32632"/>
    <cellStyle name="Input 11 5 4" xfId="16937"/>
    <cellStyle name="Input 11 5 4 2" xfId="38124"/>
    <cellStyle name="Input 11 5 5" xfId="27213"/>
    <cellStyle name="Input 11 5_Table 2A-1_EFT (Annual)" xfId="6775"/>
    <cellStyle name="Input 11 6" xfId="1861"/>
    <cellStyle name="Input 11 6 2" xfId="5422"/>
    <cellStyle name="Input 11 6 2 2" xfId="13637"/>
    <cellStyle name="Input 11 6 2 2 2" xfId="25625"/>
    <cellStyle name="Input 11 6 2 2 2 2" xfId="46811"/>
    <cellStyle name="Input 11 6 2 2 3" xfId="36207"/>
    <cellStyle name="Input 11 6 2 3" xfId="20512"/>
    <cellStyle name="Input 11 6 2 3 2" xfId="41699"/>
    <cellStyle name="Input 11 6 2 4" xfId="31079"/>
    <cellStyle name="Input 11 6 2_Table 2A-1_EFT (Annual)" xfId="14954"/>
    <cellStyle name="Input 11 6 3" xfId="10981"/>
    <cellStyle name="Input 11 6 3 2" xfId="23079"/>
    <cellStyle name="Input 11 6 3 2 2" xfId="44265"/>
    <cellStyle name="Input 11 6 3 3" xfId="33661"/>
    <cellStyle name="Input 11 6 4" xfId="17966"/>
    <cellStyle name="Input 11 6 4 2" xfId="39153"/>
    <cellStyle name="Input 11 6 5" xfId="28336"/>
    <cellStyle name="Input 11 6_Table 2A-1_EFT (Annual)" xfId="6776"/>
    <cellStyle name="Input 11 7" xfId="3715"/>
    <cellStyle name="Input 11 7 2" xfId="12083"/>
    <cellStyle name="Input 11 7 2 2" xfId="24113"/>
    <cellStyle name="Input 11 7 2 2 2" xfId="45299"/>
    <cellStyle name="Input 11 7 2 3" xfId="34695"/>
    <cellStyle name="Input 11 7 3" xfId="19000"/>
    <cellStyle name="Input 11 7 3 2" xfId="40187"/>
    <cellStyle name="Input 11 7 4" xfId="29424"/>
    <cellStyle name="Input 11 7_Table 2A-1_EFT (Annual)" xfId="14955"/>
    <cellStyle name="Input 11 8" xfId="9402"/>
    <cellStyle name="Input 11 8 2" xfId="21567"/>
    <cellStyle name="Input 11 8 2 2" xfId="42753"/>
    <cellStyle name="Input 11 8 3" xfId="32149"/>
    <cellStyle name="Input 11 9" xfId="16454"/>
    <cellStyle name="Input 11 9 2" xfId="37641"/>
    <cellStyle name="Input 11_Table 2A-1_EFT (Annual)" xfId="2994"/>
    <cellStyle name="Input 12" xfId="140"/>
    <cellStyle name="Input 12 10" xfId="26695"/>
    <cellStyle name="Input 12 2" xfId="533"/>
    <cellStyle name="Input 12 2 2" xfId="1510"/>
    <cellStyle name="Input 12 2 2 2" xfId="2780"/>
    <cellStyle name="Input 12 2 2 2 2" xfId="6341"/>
    <cellStyle name="Input 12 2 2 2 2 2" xfId="14535"/>
    <cellStyle name="Input 12 2 2 2 2 2 2" xfId="26507"/>
    <cellStyle name="Input 12 2 2 2 2 2 2 2" xfId="47693"/>
    <cellStyle name="Input 12 2 2 2 2 2 3" xfId="37089"/>
    <cellStyle name="Input 12 2 2 2 2 3" xfId="21394"/>
    <cellStyle name="Input 12 2 2 2 2 3 2" xfId="42581"/>
    <cellStyle name="Input 12 2 2 2 2 4" xfId="31997"/>
    <cellStyle name="Input 12 2 2 2 2_Table 2A-1_EFT (Annual)" xfId="14956"/>
    <cellStyle name="Input 12 2 2 2 3" xfId="11877"/>
    <cellStyle name="Input 12 2 2 2 3 2" xfId="23961"/>
    <cellStyle name="Input 12 2 2 2 3 2 2" xfId="45147"/>
    <cellStyle name="Input 12 2 2 2 3 3" xfId="34543"/>
    <cellStyle name="Input 12 2 2 2 4" xfId="18848"/>
    <cellStyle name="Input 12 2 2 2 4 2" xfId="40035"/>
    <cellStyle name="Input 12 2 2 2 5" xfId="29254"/>
    <cellStyle name="Input 12 2 2 2_Table 2A-1_EFT (Annual)" xfId="6778"/>
    <cellStyle name="Input 12 2 2 3" xfId="5071"/>
    <cellStyle name="Input 12 2 2 3 2" xfId="13331"/>
    <cellStyle name="Input 12 2 2 3 2 2" xfId="25337"/>
    <cellStyle name="Input 12 2 2 3 2 2 2" xfId="46523"/>
    <cellStyle name="Input 12 2 2 3 2 3" xfId="35919"/>
    <cellStyle name="Input 12 2 2 3 3" xfId="20224"/>
    <cellStyle name="Input 12 2 2 3 3 2" xfId="41411"/>
    <cellStyle name="Input 12 2 2 3 4" xfId="30728"/>
    <cellStyle name="Input 12 2 2 3_Table 2A-1_EFT (Annual)" xfId="14957"/>
    <cellStyle name="Input 12 2 2 4" xfId="10675"/>
    <cellStyle name="Input 12 2 2 4 2" xfId="22791"/>
    <cellStyle name="Input 12 2 2 4 2 2" xfId="43977"/>
    <cellStyle name="Input 12 2 2 4 3" xfId="33373"/>
    <cellStyle name="Input 12 2 2 5" xfId="17678"/>
    <cellStyle name="Input 12 2 2 5 2" xfId="38865"/>
    <cellStyle name="Input 12 2 2 6" xfId="27985"/>
    <cellStyle name="Input 12 2 2_Table 2A-1_EFT (Annual)" xfId="6777"/>
    <cellStyle name="Input 12 2 3" xfId="1042"/>
    <cellStyle name="Input 12 2 3 2" xfId="4603"/>
    <cellStyle name="Input 12 2 3 2 2" xfId="12863"/>
    <cellStyle name="Input 12 2 3 2 2 2" xfId="24869"/>
    <cellStyle name="Input 12 2 3 2 2 2 2" xfId="46055"/>
    <cellStyle name="Input 12 2 3 2 2 3" xfId="35451"/>
    <cellStyle name="Input 12 2 3 2 3" xfId="19756"/>
    <cellStyle name="Input 12 2 3 2 3 2" xfId="40943"/>
    <cellStyle name="Input 12 2 3 2 4" xfId="30260"/>
    <cellStyle name="Input 12 2 3 2_Table 2A-1_EFT (Annual)" xfId="14958"/>
    <cellStyle name="Input 12 2 3 3" xfId="10207"/>
    <cellStyle name="Input 12 2 3 3 2" xfId="22323"/>
    <cellStyle name="Input 12 2 3 3 2 2" xfId="43509"/>
    <cellStyle name="Input 12 2 3 3 3" xfId="32905"/>
    <cellStyle name="Input 12 2 3 4" xfId="17210"/>
    <cellStyle name="Input 12 2 3 4 2" xfId="38397"/>
    <cellStyle name="Input 12 2 3 5" xfId="27517"/>
    <cellStyle name="Input 12 2 3_Table 2A-1_EFT (Annual)" xfId="6779"/>
    <cellStyle name="Input 12 2 4" xfId="2249"/>
    <cellStyle name="Input 12 2 4 2" xfId="5810"/>
    <cellStyle name="Input 12 2 4 2 2" xfId="14025"/>
    <cellStyle name="Input 12 2 4 2 2 2" xfId="26013"/>
    <cellStyle name="Input 12 2 4 2 2 2 2" xfId="47199"/>
    <cellStyle name="Input 12 2 4 2 2 3" xfId="36595"/>
    <cellStyle name="Input 12 2 4 2 3" xfId="20900"/>
    <cellStyle name="Input 12 2 4 2 3 2" xfId="42087"/>
    <cellStyle name="Input 12 2 4 2 4" xfId="31467"/>
    <cellStyle name="Input 12 2 4 2_Table 2A-1_EFT (Annual)" xfId="14959"/>
    <cellStyle name="Input 12 2 4 3" xfId="11369"/>
    <cellStyle name="Input 12 2 4 3 2" xfId="23467"/>
    <cellStyle name="Input 12 2 4 3 2 2" xfId="44653"/>
    <cellStyle name="Input 12 2 4 3 3" xfId="34049"/>
    <cellStyle name="Input 12 2 4 4" xfId="18354"/>
    <cellStyle name="Input 12 2 4 4 2" xfId="39541"/>
    <cellStyle name="Input 12 2 4 5" xfId="28724"/>
    <cellStyle name="Input 12 2 4_Table 2A-1_EFT (Annual)" xfId="6780"/>
    <cellStyle name="Input 12 2 5" xfId="4103"/>
    <cellStyle name="Input 12 2 5 2" xfId="12427"/>
    <cellStyle name="Input 12 2 5 2 2" xfId="24449"/>
    <cellStyle name="Input 12 2 5 2 2 2" xfId="45635"/>
    <cellStyle name="Input 12 2 5 2 3" xfId="35031"/>
    <cellStyle name="Input 12 2 5 3" xfId="19336"/>
    <cellStyle name="Input 12 2 5 3 2" xfId="40523"/>
    <cellStyle name="Input 12 2 5 4" xfId="29791"/>
    <cellStyle name="Input 12 2 5_Table 2A-1_EFT (Annual)" xfId="14960"/>
    <cellStyle name="Input 12 2 6" xfId="9766"/>
    <cellStyle name="Input 12 2 6 2" xfId="21903"/>
    <cellStyle name="Input 12 2 6 2 2" xfId="43089"/>
    <cellStyle name="Input 12 2 6 3" xfId="32485"/>
    <cellStyle name="Input 12 2 7" xfId="16790"/>
    <cellStyle name="Input 12 2 7 2" xfId="37977"/>
    <cellStyle name="Input 12 2 8" xfId="27048"/>
    <cellStyle name="Input 12 2_Table 2A-1_EFT (Annual)" xfId="2998"/>
    <cellStyle name="Input 12 3" xfId="371"/>
    <cellStyle name="Input 12 3 2" xfId="1354"/>
    <cellStyle name="Input 12 3 2 2" xfId="2624"/>
    <cellStyle name="Input 12 3 2 2 2" xfId="6185"/>
    <cellStyle name="Input 12 3 2 2 2 2" xfId="14379"/>
    <cellStyle name="Input 12 3 2 2 2 2 2" xfId="26351"/>
    <cellStyle name="Input 12 3 2 2 2 2 2 2" xfId="47537"/>
    <cellStyle name="Input 12 3 2 2 2 2 3" xfId="36933"/>
    <cellStyle name="Input 12 3 2 2 2 3" xfId="21238"/>
    <cellStyle name="Input 12 3 2 2 2 3 2" xfId="42425"/>
    <cellStyle name="Input 12 3 2 2 2 4" xfId="31841"/>
    <cellStyle name="Input 12 3 2 2 2_Table 2A-1_EFT (Annual)" xfId="14961"/>
    <cellStyle name="Input 12 3 2 2 3" xfId="11721"/>
    <cellStyle name="Input 12 3 2 2 3 2" xfId="23805"/>
    <cellStyle name="Input 12 3 2 2 3 2 2" xfId="44991"/>
    <cellStyle name="Input 12 3 2 2 3 3" xfId="34387"/>
    <cellStyle name="Input 12 3 2 2 4" xfId="18692"/>
    <cellStyle name="Input 12 3 2 2 4 2" xfId="39879"/>
    <cellStyle name="Input 12 3 2 2 5" xfId="29098"/>
    <cellStyle name="Input 12 3 2 2_Table 2A-1_EFT (Annual)" xfId="6782"/>
    <cellStyle name="Input 12 3 2 3" xfId="4915"/>
    <cellStyle name="Input 12 3 2 3 2" xfId="13175"/>
    <cellStyle name="Input 12 3 2 3 2 2" xfId="25181"/>
    <cellStyle name="Input 12 3 2 3 2 2 2" xfId="46367"/>
    <cellStyle name="Input 12 3 2 3 2 3" xfId="35763"/>
    <cellStyle name="Input 12 3 2 3 3" xfId="20068"/>
    <cellStyle name="Input 12 3 2 3 3 2" xfId="41255"/>
    <cellStyle name="Input 12 3 2 3 4" xfId="30572"/>
    <cellStyle name="Input 12 3 2 3_Table 2A-1_EFT (Annual)" xfId="14962"/>
    <cellStyle name="Input 12 3 2 4" xfId="10519"/>
    <cellStyle name="Input 12 3 2 4 2" xfId="22635"/>
    <cellStyle name="Input 12 3 2 4 2 2" xfId="43821"/>
    <cellStyle name="Input 12 3 2 4 3" xfId="33217"/>
    <cellStyle name="Input 12 3 2 5" xfId="17522"/>
    <cellStyle name="Input 12 3 2 5 2" xfId="38709"/>
    <cellStyle name="Input 12 3 2 6" xfId="27829"/>
    <cellStyle name="Input 12 3 2_Table 2A-1_EFT (Annual)" xfId="6781"/>
    <cellStyle name="Input 12 3 3" xfId="910"/>
    <cellStyle name="Input 12 3 3 2" xfId="4471"/>
    <cellStyle name="Input 12 3 3 2 2" xfId="12733"/>
    <cellStyle name="Input 12 3 3 2 2 2" xfId="24743"/>
    <cellStyle name="Input 12 3 3 2 2 2 2" xfId="45929"/>
    <cellStyle name="Input 12 3 3 2 2 3" xfId="35325"/>
    <cellStyle name="Input 12 3 3 2 3" xfId="19630"/>
    <cellStyle name="Input 12 3 3 2 3 2" xfId="40817"/>
    <cellStyle name="Input 12 3 3 2 4" xfId="30128"/>
    <cellStyle name="Input 12 3 3 2_Table 2A-1_EFT (Annual)" xfId="14963"/>
    <cellStyle name="Input 12 3 3 3" xfId="10080"/>
    <cellStyle name="Input 12 3 3 3 2" xfId="22197"/>
    <cellStyle name="Input 12 3 3 3 2 2" xfId="43383"/>
    <cellStyle name="Input 12 3 3 3 3" xfId="32779"/>
    <cellStyle name="Input 12 3 3 4" xfId="17084"/>
    <cellStyle name="Input 12 3 3 4 2" xfId="38271"/>
    <cellStyle name="Input 12 3 3 5" xfId="27385"/>
    <cellStyle name="Input 12 3 3_Table 2A-1_EFT (Annual)" xfId="6783"/>
    <cellStyle name="Input 12 3 4" xfId="2093"/>
    <cellStyle name="Input 12 3 4 2" xfId="5654"/>
    <cellStyle name="Input 12 3 4 2 2" xfId="13869"/>
    <cellStyle name="Input 12 3 4 2 2 2" xfId="25857"/>
    <cellStyle name="Input 12 3 4 2 2 2 2" xfId="47043"/>
    <cellStyle name="Input 12 3 4 2 2 3" xfId="36439"/>
    <cellStyle name="Input 12 3 4 2 3" xfId="20744"/>
    <cellStyle name="Input 12 3 4 2 3 2" xfId="41931"/>
    <cellStyle name="Input 12 3 4 2 4" xfId="31311"/>
    <cellStyle name="Input 12 3 4 2_Table 2A-1_EFT (Annual)" xfId="14964"/>
    <cellStyle name="Input 12 3 4 3" xfId="11213"/>
    <cellStyle name="Input 12 3 4 3 2" xfId="23311"/>
    <cellStyle name="Input 12 3 4 3 2 2" xfId="44497"/>
    <cellStyle name="Input 12 3 4 3 3" xfId="33893"/>
    <cellStyle name="Input 12 3 4 4" xfId="18198"/>
    <cellStyle name="Input 12 3 4 4 2" xfId="39385"/>
    <cellStyle name="Input 12 3 4 5" xfId="28568"/>
    <cellStyle name="Input 12 3 4_Table 2A-1_EFT (Annual)" xfId="6784"/>
    <cellStyle name="Input 12 3 5" xfId="3941"/>
    <cellStyle name="Input 12 3 5 2" xfId="12269"/>
    <cellStyle name="Input 12 3 5 2 2" xfId="24293"/>
    <cellStyle name="Input 12 3 5 2 2 2" xfId="45479"/>
    <cellStyle name="Input 12 3 5 2 3" xfId="34875"/>
    <cellStyle name="Input 12 3 5 3" xfId="19180"/>
    <cellStyle name="Input 12 3 5 3 2" xfId="40367"/>
    <cellStyle name="Input 12 3 5 4" xfId="29629"/>
    <cellStyle name="Input 12 3 5_Table 2A-1_EFT (Annual)" xfId="14965"/>
    <cellStyle name="Input 12 3 6" xfId="9606"/>
    <cellStyle name="Input 12 3 6 2" xfId="21747"/>
    <cellStyle name="Input 12 3 6 2 2" xfId="42933"/>
    <cellStyle name="Input 12 3 6 3" xfId="32329"/>
    <cellStyle name="Input 12 3 7" xfId="16634"/>
    <cellStyle name="Input 12 3 7 2" xfId="37821"/>
    <cellStyle name="Input 12 3 8" xfId="26886"/>
    <cellStyle name="Input 12 3_Table 2A-1_EFT (Annual)" xfId="2999"/>
    <cellStyle name="Input 12 4" xfId="1188"/>
    <cellStyle name="Input 12 4 2" xfId="2458"/>
    <cellStyle name="Input 12 4 2 2" xfId="6019"/>
    <cellStyle name="Input 12 4 2 2 2" xfId="14213"/>
    <cellStyle name="Input 12 4 2 2 2 2" xfId="26185"/>
    <cellStyle name="Input 12 4 2 2 2 2 2" xfId="47371"/>
    <cellStyle name="Input 12 4 2 2 2 3" xfId="36767"/>
    <cellStyle name="Input 12 4 2 2 3" xfId="21072"/>
    <cellStyle name="Input 12 4 2 2 3 2" xfId="42259"/>
    <cellStyle name="Input 12 4 2 2 4" xfId="31675"/>
    <cellStyle name="Input 12 4 2 2_Table 2A-1_EFT (Annual)" xfId="14966"/>
    <cellStyle name="Input 12 4 2 3" xfId="11555"/>
    <cellStyle name="Input 12 4 2 3 2" xfId="23639"/>
    <cellStyle name="Input 12 4 2 3 2 2" xfId="44825"/>
    <cellStyle name="Input 12 4 2 3 3" xfId="34221"/>
    <cellStyle name="Input 12 4 2 4" xfId="18526"/>
    <cellStyle name="Input 12 4 2 4 2" xfId="39713"/>
    <cellStyle name="Input 12 4 2 5" xfId="28932"/>
    <cellStyle name="Input 12 4 2_Table 2A-1_EFT (Annual)" xfId="6786"/>
    <cellStyle name="Input 12 4 3" xfId="4749"/>
    <cellStyle name="Input 12 4 3 2" xfId="13009"/>
    <cellStyle name="Input 12 4 3 2 2" xfId="25015"/>
    <cellStyle name="Input 12 4 3 2 2 2" xfId="46201"/>
    <cellStyle name="Input 12 4 3 2 3" xfId="35597"/>
    <cellStyle name="Input 12 4 3 3" xfId="19902"/>
    <cellStyle name="Input 12 4 3 3 2" xfId="41089"/>
    <cellStyle name="Input 12 4 3 4" xfId="30406"/>
    <cellStyle name="Input 12 4 3_Table 2A-1_EFT (Annual)" xfId="14967"/>
    <cellStyle name="Input 12 4 4" xfId="10353"/>
    <cellStyle name="Input 12 4 4 2" xfId="22469"/>
    <cellStyle name="Input 12 4 4 2 2" xfId="43655"/>
    <cellStyle name="Input 12 4 4 3" xfId="33051"/>
    <cellStyle name="Input 12 4 5" xfId="17356"/>
    <cellStyle name="Input 12 4 5 2" xfId="38543"/>
    <cellStyle name="Input 12 4 6" xfId="27663"/>
    <cellStyle name="Input 12 4_Table 2A-1_EFT (Annual)" xfId="6785"/>
    <cellStyle name="Input 12 5" xfId="751"/>
    <cellStyle name="Input 12 5 2" xfId="4312"/>
    <cellStyle name="Input 12 5 2 2" xfId="12592"/>
    <cellStyle name="Input 12 5 2 2 2" xfId="24609"/>
    <cellStyle name="Input 12 5 2 2 2 2" xfId="45795"/>
    <cellStyle name="Input 12 5 2 2 3" xfId="35191"/>
    <cellStyle name="Input 12 5 2 3" xfId="19496"/>
    <cellStyle name="Input 12 5 2 3 2" xfId="40683"/>
    <cellStyle name="Input 12 5 2 4" xfId="29969"/>
    <cellStyle name="Input 12 5 2_Table 2A-1_EFT (Annual)" xfId="14968"/>
    <cellStyle name="Input 12 5 3" xfId="9940"/>
    <cellStyle name="Input 12 5 3 2" xfId="22063"/>
    <cellStyle name="Input 12 5 3 2 2" xfId="43249"/>
    <cellStyle name="Input 12 5 3 3" xfId="32645"/>
    <cellStyle name="Input 12 5 4" xfId="16950"/>
    <cellStyle name="Input 12 5 4 2" xfId="38137"/>
    <cellStyle name="Input 12 5 5" xfId="27226"/>
    <cellStyle name="Input 12 5_Table 2A-1_EFT (Annual)" xfId="6787"/>
    <cellStyle name="Input 12 6" xfId="1854"/>
    <cellStyle name="Input 12 6 2" xfId="5415"/>
    <cellStyle name="Input 12 6 2 2" xfId="13630"/>
    <cellStyle name="Input 12 6 2 2 2" xfId="25618"/>
    <cellStyle name="Input 12 6 2 2 2 2" xfId="46804"/>
    <cellStyle name="Input 12 6 2 2 3" xfId="36200"/>
    <cellStyle name="Input 12 6 2 3" xfId="20505"/>
    <cellStyle name="Input 12 6 2 3 2" xfId="41692"/>
    <cellStyle name="Input 12 6 2 4" xfId="31072"/>
    <cellStyle name="Input 12 6 2_Table 2A-1_EFT (Annual)" xfId="14969"/>
    <cellStyle name="Input 12 6 3" xfId="10974"/>
    <cellStyle name="Input 12 6 3 2" xfId="23072"/>
    <cellStyle name="Input 12 6 3 2 2" xfId="44258"/>
    <cellStyle name="Input 12 6 3 3" xfId="33654"/>
    <cellStyle name="Input 12 6 4" xfId="17959"/>
    <cellStyle name="Input 12 6 4 2" xfId="39146"/>
    <cellStyle name="Input 12 6 5" xfId="28329"/>
    <cellStyle name="Input 12 6_Table 2A-1_EFT (Annual)" xfId="6788"/>
    <cellStyle name="Input 12 7" xfId="3729"/>
    <cellStyle name="Input 12 7 2" xfId="12097"/>
    <cellStyle name="Input 12 7 2 2" xfId="24127"/>
    <cellStyle name="Input 12 7 2 2 2" xfId="45313"/>
    <cellStyle name="Input 12 7 2 3" xfId="34709"/>
    <cellStyle name="Input 12 7 3" xfId="19014"/>
    <cellStyle name="Input 12 7 3 2" xfId="40201"/>
    <cellStyle name="Input 12 7 4" xfId="29438"/>
    <cellStyle name="Input 12 7_Table 2A-1_EFT (Annual)" xfId="14970"/>
    <cellStyle name="Input 12 8" xfId="9416"/>
    <cellStyle name="Input 12 8 2" xfId="21581"/>
    <cellStyle name="Input 12 8 2 2" xfId="42767"/>
    <cellStyle name="Input 12 8 3" xfId="32163"/>
    <cellStyle name="Input 12 9" xfId="16468"/>
    <cellStyle name="Input 12 9 2" xfId="37655"/>
    <cellStyle name="Input 12_Table 2A-1_EFT (Annual)" xfId="2997"/>
    <cellStyle name="Input 13" xfId="148"/>
    <cellStyle name="Input 13 10" xfId="26703"/>
    <cellStyle name="Input 13 2" xfId="541"/>
    <cellStyle name="Input 13 2 2" xfId="1518"/>
    <cellStyle name="Input 13 2 2 2" xfId="2788"/>
    <cellStyle name="Input 13 2 2 2 2" xfId="6349"/>
    <cellStyle name="Input 13 2 2 2 2 2" xfId="14543"/>
    <cellStyle name="Input 13 2 2 2 2 2 2" xfId="26515"/>
    <cellStyle name="Input 13 2 2 2 2 2 2 2" xfId="47701"/>
    <cellStyle name="Input 13 2 2 2 2 2 3" xfId="37097"/>
    <cellStyle name="Input 13 2 2 2 2 3" xfId="21402"/>
    <cellStyle name="Input 13 2 2 2 2 3 2" xfId="42589"/>
    <cellStyle name="Input 13 2 2 2 2 4" xfId="32005"/>
    <cellStyle name="Input 13 2 2 2 2_Table 2A-1_EFT (Annual)" xfId="14971"/>
    <cellStyle name="Input 13 2 2 2 3" xfId="11885"/>
    <cellStyle name="Input 13 2 2 2 3 2" xfId="23969"/>
    <cellStyle name="Input 13 2 2 2 3 2 2" xfId="45155"/>
    <cellStyle name="Input 13 2 2 2 3 3" xfId="34551"/>
    <cellStyle name="Input 13 2 2 2 4" xfId="18856"/>
    <cellStyle name="Input 13 2 2 2 4 2" xfId="40043"/>
    <cellStyle name="Input 13 2 2 2 5" xfId="29262"/>
    <cellStyle name="Input 13 2 2 2_Table 2A-1_EFT (Annual)" xfId="6790"/>
    <cellStyle name="Input 13 2 2 3" xfId="5079"/>
    <cellStyle name="Input 13 2 2 3 2" xfId="13339"/>
    <cellStyle name="Input 13 2 2 3 2 2" xfId="25345"/>
    <cellStyle name="Input 13 2 2 3 2 2 2" xfId="46531"/>
    <cellStyle name="Input 13 2 2 3 2 3" xfId="35927"/>
    <cellStyle name="Input 13 2 2 3 3" xfId="20232"/>
    <cellStyle name="Input 13 2 2 3 3 2" xfId="41419"/>
    <cellStyle name="Input 13 2 2 3 4" xfId="30736"/>
    <cellStyle name="Input 13 2 2 3_Table 2A-1_EFT (Annual)" xfId="14972"/>
    <cellStyle name="Input 13 2 2 4" xfId="10683"/>
    <cellStyle name="Input 13 2 2 4 2" xfId="22799"/>
    <cellStyle name="Input 13 2 2 4 2 2" xfId="43985"/>
    <cellStyle name="Input 13 2 2 4 3" xfId="33381"/>
    <cellStyle name="Input 13 2 2 5" xfId="17686"/>
    <cellStyle name="Input 13 2 2 5 2" xfId="38873"/>
    <cellStyle name="Input 13 2 2 6" xfId="27993"/>
    <cellStyle name="Input 13 2 2_Table 2A-1_EFT (Annual)" xfId="6789"/>
    <cellStyle name="Input 13 2 3" xfId="1049"/>
    <cellStyle name="Input 13 2 3 2" xfId="4610"/>
    <cellStyle name="Input 13 2 3 2 2" xfId="12870"/>
    <cellStyle name="Input 13 2 3 2 2 2" xfId="24876"/>
    <cellStyle name="Input 13 2 3 2 2 2 2" xfId="46062"/>
    <cellStyle name="Input 13 2 3 2 2 3" xfId="35458"/>
    <cellStyle name="Input 13 2 3 2 3" xfId="19763"/>
    <cellStyle name="Input 13 2 3 2 3 2" xfId="40950"/>
    <cellStyle name="Input 13 2 3 2 4" xfId="30267"/>
    <cellStyle name="Input 13 2 3 2_Table 2A-1_EFT (Annual)" xfId="14973"/>
    <cellStyle name="Input 13 2 3 3" xfId="10214"/>
    <cellStyle name="Input 13 2 3 3 2" xfId="22330"/>
    <cellStyle name="Input 13 2 3 3 2 2" xfId="43516"/>
    <cellStyle name="Input 13 2 3 3 3" xfId="32912"/>
    <cellStyle name="Input 13 2 3 4" xfId="17217"/>
    <cellStyle name="Input 13 2 3 4 2" xfId="38404"/>
    <cellStyle name="Input 13 2 3 5" xfId="27524"/>
    <cellStyle name="Input 13 2 3_Table 2A-1_EFT (Annual)" xfId="6791"/>
    <cellStyle name="Input 13 2 4" xfId="2257"/>
    <cellStyle name="Input 13 2 4 2" xfId="5818"/>
    <cellStyle name="Input 13 2 4 2 2" xfId="14033"/>
    <cellStyle name="Input 13 2 4 2 2 2" xfId="26021"/>
    <cellStyle name="Input 13 2 4 2 2 2 2" xfId="47207"/>
    <cellStyle name="Input 13 2 4 2 2 3" xfId="36603"/>
    <cellStyle name="Input 13 2 4 2 3" xfId="20908"/>
    <cellStyle name="Input 13 2 4 2 3 2" xfId="42095"/>
    <cellStyle name="Input 13 2 4 2 4" xfId="31475"/>
    <cellStyle name="Input 13 2 4 2_Table 2A-1_EFT (Annual)" xfId="14974"/>
    <cellStyle name="Input 13 2 4 3" xfId="11377"/>
    <cellStyle name="Input 13 2 4 3 2" xfId="23475"/>
    <cellStyle name="Input 13 2 4 3 2 2" xfId="44661"/>
    <cellStyle name="Input 13 2 4 3 3" xfId="34057"/>
    <cellStyle name="Input 13 2 4 4" xfId="18362"/>
    <cellStyle name="Input 13 2 4 4 2" xfId="39549"/>
    <cellStyle name="Input 13 2 4 5" xfId="28732"/>
    <cellStyle name="Input 13 2 4_Table 2A-1_EFT (Annual)" xfId="6792"/>
    <cellStyle name="Input 13 2 5" xfId="4111"/>
    <cellStyle name="Input 13 2 5 2" xfId="12435"/>
    <cellStyle name="Input 13 2 5 2 2" xfId="24457"/>
    <cellStyle name="Input 13 2 5 2 2 2" xfId="45643"/>
    <cellStyle name="Input 13 2 5 2 3" xfId="35039"/>
    <cellStyle name="Input 13 2 5 3" xfId="19344"/>
    <cellStyle name="Input 13 2 5 3 2" xfId="40531"/>
    <cellStyle name="Input 13 2 5 4" xfId="29799"/>
    <cellStyle name="Input 13 2 5_Table 2A-1_EFT (Annual)" xfId="14975"/>
    <cellStyle name="Input 13 2 6" xfId="9774"/>
    <cellStyle name="Input 13 2 6 2" xfId="21911"/>
    <cellStyle name="Input 13 2 6 2 2" xfId="43097"/>
    <cellStyle name="Input 13 2 6 3" xfId="32493"/>
    <cellStyle name="Input 13 2 7" xfId="16798"/>
    <cellStyle name="Input 13 2 7 2" xfId="37985"/>
    <cellStyle name="Input 13 2 8" xfId="27056"/>
    <cellStyle name="Input 13 2_Table 2A-1_EFT (Annual)" xfId="3001"/>
    <cellStyle name="Input 13 3" xfId="379"/>
    <cellStyle name="Input 13 3 2" xfId="1362"/>
    <cellStyle name="Input 13 3 2 2" xfId="2632"/>
    <cellStyle name="Input 13 3 2 2 2" xfId="6193"/>
    <cellStyle name="Input 13 3 2 2 2 2" xfId="14387"/>
    <cellStyle name="Input 13 3 2 2 2 2 2" xfId="26359"/>
    <cellStyle name="Input 13 3 2 2 2 2 2 2" xfId="47545"/>
    <cellStyle name="Input 13 3 2 2 2 2 3" xfId="36941"/>
    <cellStyle name="Input 13 3 2 2 2 3" xfId="21246"/>
    <cellStyle name="Input 13 3 2 2 2 3 2" xfId="42433"/>
    <cellStyle name="Input 13 3 2 2 2 4" xfId="31849"/>
    <cellStyle name="Input 13 3 2 2 2_Table 2A-1_EFT (Annual)" xfId="14976"/>
    <cellStyle name="Input 13 3 2 2 3" xfId="11729"/>
    <cellStyle name="Input 13 3 2 2 3 2" xfId="23813"/>
    <cellStyle name="Input 13 3 2 2 3 2 2" xfId="44999"/>
    <cellStyle name="Input 13 3 2 2 3 3" xfId="34395"/>
    <cellStyle name="Input 13 3 2 2 4" xfId="18700"/>
    <cellStyle name="Input 13 3 2 2 4 2" xfId="39887"/>
    <cellStyle name="Input 13 3 2 2 5" xfId="29106"/>
    <cellStyle name="Input 13 3 2 2_Table 2A-1_EFT (Annual)" xfId="6794"/>
    <cellStyle name="Input 13 3 2 3" xfId="4923"/>
    <cellStyle name="Input 13 3 2 3 2" xfId="13183"/>
    <cellStyle name="Input 13 3 2 3 2 2" xfId="25189"/>
    <cellStyle name="Input 13 3 2 3 2 2 2" xfId="46375"/>
    <cellStyle name="Input 13 3 2 3 2 3" xfId="35771"/>
    <cellStyle name="Input 13 3 2 3 3" xfId="20076"/>
    <cellStyle name="Input 13 3 2 3 3 2" xfId="41263"/>
    <cellStyle name="Input 13 3 2 3 4" xfId="30580"/>
    <cellStyle name="Input 13 3 2 3_Table 2A-1_EFT (Annual)" xfId="14977"/>
    <cellStyle name="Input 13 3 2 4" xfId="10527"/>
    <cellStyle name="Input 13 3 2 4 2" xfId="22643"/>
    <cellStyle name="Input 13 3 2 4 2 2" xfId="43829"/>
    <cellStyle name="Input 13 3 2 4 3" xfId="33225"/>
    <cellStyle name="Input 13 3 2 5" xfId="17530"/>
    <cellStyle name="Input 13 3 2 5 2" xfId="38717"/>
    <cellStyle name="Input 13 3 2 6" xfId="27837"/>
    <cellStyle name="Input 13 3 2_Table 2A-1_EFT (Annual)" xfId="6793"/>
    <cellStyle name="Input 13 3 3" xfId="917"/>
    <cellStyle name="Input 13 3 3 2" xfId="4478"/>
    <cellStyle name="Input 13 3 3 2 2" xfId="12740"/>
    <cellStyle name="Input 13 3 3 2 2 2" xfId="24750"/>
    <cellStyle name="Input 13 3 3 2 2 2 2" xfId="45936"/>
    <cellStyle name="Input 13 3 3 2 2 3" xfId="35332"/>
    <cellStyle name="Input 13 3 3 2 3" xfId="19637"/>
    <cellStyle name="Input 13 3 3 2 3 2" xfId="40824"/>
    <cellStyle name="Input 13 3 3 2 4" xfId="30135"/>
    <cellStyle name="Input 13 3 3 2_Table 2A-1_EFT (Annual)" xfId="14978"/>
    <cellStyle name="Input 13 3 3 3" xfId="10087"/>
    <cellStyle name="Input 13 3 3 3 2" xfId="22204"/>
    <cellStyle name="Input 13 3 3 3 2 2" xfId="43390"/>
    <cellStyle name="Input 13 3 3 3 3" xfId="32786"/>
    <cellStyle name="Input 13 3 3 4" xfId="17091"/>
    <cellStyle name="Input 13 3 3 4 2" xfId="38278"/>
    <cellStyle name="Input 13 3 3 5" xfId="27392"/>
    <cellStyle name="Input 13 3 3_Table 2A-1_EFT (Annual)" xfId="6795"/>
    <cellStyle name="Input 13 3 4" xfId="2101"/>
    <cellStyle name="Input 13 3 4 2" xfId="5662"/>
    <cellStyle name="Input 13 3 4 2 2" xfId="13877"/>
    <cellStyle name="Input 13 3 4 2 2 2" xfId="25865"/>
    <cellStyle name="Input 13 3 4 2 2 2 2" xfId="47051"/>
    <cellStyle name="Input 13 3 4 2 2 3" xfId="36447"/>
    <cellStyle name="Input 13 3 4 2 3" xfId="20752"/>
    <cellStyle name="Input 13 3 4 2 3 2" xfId="41939"/>
    <cellStyle name="Input 13 3 4 2 4" xfId="31319"/>
    <cellStyle name="Input 13 3 4 2_Table 2A-1_EFT (Annual)" xfId="14979"/>
    <cellStyle name="Input 13 3 4 3" xfId="11221"/>
    <cellStyle name="Input 13 3 4 3 2" xfId="23319"/>
    <cellStyle name="Input 13 3 4 3 2 2" xfId="44505"/>
    <cellStyle name="Input 13 3 4 3 3" xfId="33901"/>
    <cellStyle name="Input 13 3 4 4" xfId="18206"/>
    <cellStyle name="Input 13 3 4 4 2" xfId="39393"/>
    <cellStyle name="Input 13 3 4 5" xfId="28576"/>
    <cellStyle name="Input 13 3 4_Table 2A-1_EFT (Annual)" xfId="6796"/>
    <cellStyle name="Input 13 3 5" xfId="3949"/>
    <cellStyle name="Input 13 3 5 2" xfId="12277"/>
    <cellStyle name="Input 13 3 5 2 2" xfId="24301"/>
    <cellStyle name="Input 13 3 5 2 2 2" xfId="45487"/>
    <cellStyle name="Input 13 3 5 2 3" xfId="34883"/>
    <cellStyle name="Input 13 3 5 3" xfId="19188"/>
    <cellStyle name="Input 13 3 5 3 2" xfId="40375"/>
    <cellStyle name="Input 13 3 5 4" xfId="29637"/>
    <cellStyle name="Input 13 3 5_Table 2A-1_EFT (Annual)" xfId="14980"/>
    <cellStyle name="Input 13 3 6" xfId="9614"/>
    <cellStyle name="Input 13 3 6 2" xfId="21755"/>
    <cellStyle name="Input 13 3 6 2 2" xfId="42941"/>
    <cellStyle name="Input 13 3 6 3" xfId="32337"/>
    <cellStyle name="Input 13 3 7" xfId="16642"/>
    <cellStyle name="Input 13 3 7 2" xfId="37829"/>
    <cellStyle name="Input 13 3 8" xfId="26894"/>
    <cellStyle name="Input 13 3_Table 2A-1_EFT (Annual)" xfId="3002"/>
    <cellStyle name="Input 13 4" xfId="1196"/>
    <cellStyle name="Input 13 4 2" xfId="2466"/>
    <cellStyle name="Input 13 4 2 2" xfId="6027"/>
    <cellStyle name="Input 13 4 2 2 2" xfId="14221"/>
    <cellStyle name="Input 13 4 2 2 2 2" xfId="26193"/>
    <cellStyle name="Input 13 4 2 2 2 2 2" xfId="47379"/>
    <cellStyle name="Input 13 4 2 2 2 3" xfId="36775"/>
    <cellStyle name="Input 13 4 2 2 3" xfId="21080"/>
    <cellStyle name="Input 13 4 2 2 3 2" xfId="42267"/>
    <cellStyle name="Input 13 4 2 2 4" xfId="31683"/>
    <cellStyle name="Input 13 4 2 2_Table 2A-1_EFT (Annual)" xfId="14981"/>
    <cellStyle name="Input 13 4 2 3" xfId="11563"/>
    <cellStyle name="Input 13 4 2 3 2" xfId="23647"/>
    <cellStyle name="Input 13 4 2 3 2 2" xfId="44833"/>
    <cellStyle name="Input 13 4 2 3 3" xfId="34229"/>
    <cellStyle name="Input 13 4 2 4" xfId="18534"/>
    <cellStyle name="Input 13 4 2 4 2" xfId="39721"/>
    <cellStyle name="Input 13 4 2 5" xfId="28940"/>
    <cellStyle name="Input 13 4 2_Table 2A-1_EFT (Annual)" xfId="6798"/>
    <cellStyle name="Input 13 4 3" xfId="4757"/>
    <cellStyle name="Input 13 4 3 2" xfId="13017"/>
    <cellStyle name="Input 13 4 3 2 2" xfId="25023"/>
    <cellStyle name="Input 13 4 3 2 2 2" xfId="46209"/>
    <cellStyle name="Input 13 4 3 2 3" xfId="35605"/>
    <cellStyle name="Input 13 4 3 3" xfId="19910"/>
    <cellStyle name="Input 13 4 3 3 2" xfId="41097"/>
    <cellStyle name="Input 13 4 3 4" xfId="30414"/>
    <cellStyle name="Input 13 4 3_Table 2A-1_EFT (Annual)" xfId="14982"/>
    <cellStyle name="Input 13 4 4" xfId="10361"/>
    <cellStyle name="Input 13 4 4 2" xfId="22477"/>
    <cellStyle name="Input 13 4 4 2 2" xfId="43663"/>
    <cellStyle name="Input 13 4 4 3" xfId="33059"/>
    <cellStyle name="Input 13 4 5" xfId="17364"/>
    <cellStyle name="Input 13 4 5 2" xfId="38551"/>
    <cellStyle name="Input 13 4 6" xfId="27671"/>
    <cellStyle name="Input 13 4_Table 2A-1_EFT (Annual)" xfId="6797"/>
    <cellStyle name="Input 13 5" xfId="758"/>
    <cellStyle name="Input 13 5 2" xfId="4319"/>
    <cellStyle name="Input 13 5 2 2" xfId="12599"/>
    <cellStyle name="Input 13 5 2 2 2" xfId="24616"/>
    <cellStyle name="Input 13 5 2 2 2 2" xfId="45802"/>
    <cellStyle name="Input 13 5 2 2 3" xfId="35198"/>
    <cellStyle name="Input 13 5 2 3" xfId="19503"/>
    <cellStyle name="Input 13 5 2 3 2" xfId="40690"/>
    <cellStyle name="Input 13 5 2 4" xfId="29976"/>
    <cellStyle name="Input 13 5 2_Table 2A-1_EFT (Annual)" xfId="14983"/>
    <cellStyle name="Input 13 5 3" xfId="9947"/>
    <cellStyle name="Input 13 5 3 2" xfId="22070"/>
    <cellStyle name="Input 13 5 3 2 2" xfId="43256"/>
    <cellStyle name="Input 13 5 3 3" xfId="32652"/>
    <cellStyle name="Input 13 5 4" xfId="16957"/>
    <cellStyle name="Input 13 5 4 2" xfId="38144"/>
    <cellStyle name="Input 13 5 5" xfId="27233"/>
    <cellStyle name="Input 13 5_Table 2A-1_EFT (Annual)" xfId="6799"/>
    <cellStyle name="Input 13 6" xfId="1850"/>
    <cellStyle name="Input 13 6 2" xfId="5411"/>
    <cellStyle name="Input 13 6 2 2" xfId="13626"/>
    <cellStyle name="Input 13 6 2 2 2" xfId="25614"/>
    <cellStyle name="Input 13 6 2 2 2 2" xfId="46800"/>
    <cellStyle name="Input 13 6 2 2 3" xfId="36196"/>
    <cellStyle name="Input 13 6 2 3" xfId="20501"/>
    <cellStyle name="Input 13 6 2 3 2" xfId="41688"/>
    <cellStyle name="Input 13 6 2 4" xfId="31068"/>
    <cellStyle name="Input 13 6 2_Table 2A-1_EFT (Annual)" xfId="14984"/>
    <cellStyle name="Input 13 6 3" xfId="10970"/>
    <cellStyle name="Input 13 6 3 2" xfId="23068"/>
    <cellStyle name="Input 13 6 3 2 2" xfId="44254"/>
    <cellStyle name="Input 13 6 3 3" xfId="33650"/>
    <cellStyle name="Input 13 6 4" xfId="17955"/>
    <cellStyle name="Input 13 6 4 2" xfId="39142"/>
    <cellStyle name="Input 13 6 5" xfId="28325"/>
    <cellStyle name="Input 13 6_Table 2A-1_EFT (Annual)" xfId="6800"/>
    <cellStyle name="Input 13 7" xfId="3737"/>
    <cellStyle name="Input 13 7 2" xfId="12105"/>
    <cellStyle name="Input 13 7 2 2" xfId="24135"/>
    <cellStyle name="Input 13 7 2 2 2" xfId="45321"/>
    <cellStyle name="Input 13 7 2 3" xfId="34717"/>
    <cellStyle name="Input 13 7 3" xfId="19022"/>
    <cellStyle name="Input 13 7 3 2" xfId="40209"/>
    <cellStyle name="Input 13 7 4" xfId="29446"/>
    <cellStyle name="Input 13 7_Table 2A-1_EFT (Annual)" xfId="14985"/>
    <cellStyle name="Input 13 8" xfId="9424"/>
    <cellStyle name="Input 13 8 2" xfId="21589"/>
    <cellStyle name="Input 13 8 2 2" xfId="42775"/>
    <cellStyle name="Input 13 8 3" xfId="32171"/>
    <cellStyle name="Input 13 9" xfId="16476"/>
    <cellStyle name="Input 13 9 2" xfId="37663"/>
    <cellStyle name="Input 13_Table 2A-1_EFT (Annual)" xfId="3000"/>
    <cellStyle name="Input 14" xfId="159"/>
    <cellStyle name="Input 14 10" xfId="26714"/>
    <cellStyle name="Input 14 2" xfId="552"/>
    <cellStyle name="Input 14 2 2" xfId="1529"/>
    <cellStyle name="Input 14 2 2 2" xfId="2799"/>
    <cellStyle name="Input 14 2 2 2 2" xfId="6360"/>
    <cellStyle name="Input 14 2 2 2 2 2" xfId="14554"/>
    <cellStyle name="Input 14 2 2 2 2 2 2" xfId="26526"/>
    <cellStyle name="Input 14 2 2 2 2 2 2 2" xfId="47712"/>
    <cellStyle name="Input 14 2 2 2 2 2 3" xfId="37108"/>
    <cellStyle name="Input 14 2 2 2 2 3" xfId="21413"/>
    <cellStyle name="Input 14 2 2 2 2 3 2" xfId="42600"/>
    <cellStyle name="Input 14 2 2 2 2 4" xfId="32016"/>
    <cellStyle name="Input 14 2 2 2 2_Table 2A-1_EFT (Annual)" xfId="14986"/>
    <cellStyle name="Input 14 2 2 2 3" xfId="11896"/>
    <cellStyle name="Input 14 2 2 2 3 2" xfId="23980"/>
    <cellStyle name="Input 14 2 2 2 3 2 2" xfId="45166"/>
    <cellStyle name="Input 14 2 2 2 3 3" xfId="34562"/>
    <cellStyle name="Input 14 2 2 2 4" xfId="18867"/>
    <cellStyle name="Input 14 2 2 2 4 2" xfId="40054"/>
    <cellStyle name="Input 14 2 2 2 5" xfId="29273"/>
    <cellStyle name="Input 14 2 2 2_Table 2A-1_EFT (Annual)" xfId="6802"/>
    <cellStyle name="Input 14 2 2 3" xfId="5090"/>
    <cellStyle name="Input 14 2 2 3 2" xfId="13350"/>
    <cellStyle name="Input 14 2 2 3 2 2" xfId="25356"/>
    <cellStyle name="Input 14 2 2 3 2 2 2" xfId="46542"/>
    <cellStyle name="Input 14 2 2 3 2 3" xfId="35938"/>
    <cellStyle name="Input 14 2 2 3 3" xfId="20243"/>
    <cellStyle name="Input 14 2 2 3 3 2" xfId="41430"/>
    <cellStyle name="Input 14 2 2 3 4" xfId="30747"/>
    <cellStyle name="Input 14 2 2 3_Table 2A-1_EFT (Annual)" xfId="14987"/>
    <cellStyle name="Input 14 2 2 4" xfId="10694"/>
    <cellStyle name="Input 14 2 2 4 2" xfId="22810"/>
    <cellStyle name="Input 14 2 2 4 2 2" xfId="43996"/>
    <cellStyle name="Input 14 2 2 4 3" xfId="33392"/>
    <cellStyle name="Input 14 2 2 5" xfId="17697"/>
    <cellStyle name="Input 14 2 2 5 2" xfId="38884"/>
    <cellStyle name="Input 14 2 2 6" xfId="28004"/>
    <cellStyle name="Input 14 2 2_Table 2A-1_EFT (Annual)" xfId="6801"/>
    <cellStyle name="Input 14 2 3" xfId="1057"/>
    <cellStyle name="Input 14 2 3 2" xfId="4618"/>
    <cellStyle name="Input 14 2 3 2 2" xfId="12878"/>
    <cellStyle name="Input 14 2 3 2 2 2" xfId="24884"/>
    <cellStyle name="Input 14 2 3 2 2 2 2" xfId="46070"/>
    <cellStyle name="Input 14 2 3 2 2 3" xfId="35466"/>
    <cellStyle name="Input 14 2 3 2 3" xfId="19771"/>
    <cellStyle name="Input 14 2 3 2 3 2" xfId="40958"/>
    <cellStyle name="Input 14 2 3 2 4" xfId="30275"/>
    <cellStyle name="Input 14 2 3 2_Table 2A-1_EFT (Annual)" xfId="14988"/>
    <cellStyle name="Input 14 2 3 3" xfId="10222"/>
    <cellStyle name="Input 14 2 3 3 2" xfId="22338"/>
    <cellStyle name="Input 14 2 3 3 2 2" xfId="43524"/>
    <cellStyle name="Input 14 2 3 3 3" xfId="32920"/>
    <cellStyle name="Input 14 2 3 4" xfId="17225"/>
    <cellStyle name="Input 14 2 3 4 2" xfId="38412"/>
    <cellStyle name="Input 14 2 3 5" xfId="27532"/>
    <cellStyle name="Input 14 2 3_Table 2A-1_EFT (Annual)" xfId="6803"/>
    <cellStyle name="Input 14 2 4" xfId="2268"/>
    <cellStyle name="Input 14 2 4 2" xfId="5829"/>
    <cellStyle name="Input 14 2 4 2 2" xfId="14044"/>
    <cellStyle name="Input 14 2 4 2 2 2" xfId="26032"/>
    <cellStyle name="Input 14 2 4 2 2 2 2" xfId="47218"/>
    <cellStyle name="Input 14 2 4 2 2 3" xfId="36614"/>
    <cellStyle name="Input 14 2 4 2 3" xfId="20919"/>
    <cellStyle name="Input 14 2 4 2 3 2" xfId="42106"/>
    <cellStyle name="Input 14 2 4 2 4" xfId="31486"/>
    <cellStyle name="Input 14 2 4 2_Table 2A-1_EFT (Annual)" xfId="14989"/>
    <cellStyle name="Input 14 2 4 3" xfId="11388"/>
    <cellStyle name="Input 14 2 4 3 2" xfId="23486"/>
    <cellStyle name="Input 14 2 4 3 2 2" xfId="44672"/>
    <cellStyle name="Input 14 2 4 3 3" xfId="34068"/>
    <cellStyle name="Input 14 2 4 4" xfId="18373"/>
    <cellStyle name="Input 14 2 4 4 2" xfId="39560"/>
    <cellStyle name="Input 14 2 4 5" xfId="28743"/>
    <cellStyle name="Input 14 2 4_Table 2A-1_EFT (Annual)" xfId="6804"/>
    <cellStyle name="Input 14 2 5" xfId="4122"/>
    <cellStyle name="Input 14 2 5 2" xfId="12446"/>
    <cellStyle name="Input 14 2 5 2 2" xfId="24468"/>
    <cellStyle name="Input 14 2 5 2 2 2" xfId="45654"/>
    <cellStyle name="Input 14 2 5 2 3" xfId="35050"/>
    <cellStyle name="Input 14 2 5 3" xfId="19355"/>
    <cellStyle name="Input 14 2 5 3 2" xfId="40542"/>
    <cellStyle name="Input 14 2 5 4" xfId="29810"/>
    <cellStyle name="Input 14 2 5_Table 2A-1_EFT (Annual)" xfId="14990"/>
    <cellStyle name="Input 14 2 6" xfId="9785"/>
    <cellStyle name="Input 14 2 6 2" xfId="21922"/>
    <cellStyle name="Input 14 2 6 2 2" xfId="43108"/>
    <cellStyle name="Input 14 2 6 3" xfId="32504"/>
    <cellStyle name="Input 14 2 7" xfId="16809"/>
    <cellStyle name="Input 14 2 7 2" xfId="37996"/>
    <cellStyle name="Input 14 2 8" xfId="27067"/>
    <cellStyle name="Input 14 2_Table 2A-1_EFT (Annual)" xfId="3004"/>
    <cellStyle name="Input 14 3" xfId="390"/>
    <cellStyle name="Input 14 3 2" xfId="1373"/>
    <cellStyle name="Input 14 3 2 2" xfId="2643"/>
    <cellStyle name="Input 14 3 2 2 2" xfId="6204"/>
    <cellStyle name="Input 14 3 2 2 2 2" xfId="14398"/>
    <cellStyle name="Input 14 3 2 2 2 2 2" xfId="26370"/>
    <cellStyle name="Input 14 3 2 2 2 2 2 2" xfId="47556"/>
    <cellStyle name="Input 14 3 2 2 2 2 3" xfId="36952"/>
    <cellStyle name="Input 14 3 2 2 2 3" xfId="21257"/>
    <cellStyle name="Input 14 3 2 2 2 3 2" xfId="42444"/>
    <cellStyle name="Input 14 3 2 2 2 4" xfId="31860"/>
    <cellStyle name="Input 14 3 2 2 2_Table 2A-1_EFT (Annual)" xfId="14991"/>
    <cellStyle name="Input 14 3 2 2 3" xfId="11740"/>
    <cellStyle name="Input 14 3 2 2 3 2" xfId="23824"/>
    <cellStyle name="Input 14 3 2 2 3 2 2" xfId="45010"/>
    <cellStyle name="Input 14 3 2 2 3 3" xfId="34406"/>
    <cellStyle name="Input 14 3 2 2 4" xfId="18711"/>
    <cellStyle name="Input 14 3 2 2 4 2" xfId="39898"/>
    <cellStyle name="Input 14 3 2 2 5" xfId="29117"/>
    <cellStyle name="Input 14 3 2 2_Table 2A-1_EFT (Annual)" xfId="6806"/>
    <cellStyle name="Input 14 3 2 3" xfId="4934"/>
    <cellStyle name="Input 14 3 2 3 2" xfId="13194"/>
    <cellStyle name="Input 14 3 2 3 2 2" xfId="25200"/>
    <cellStyle name="Input 14 3 2 3 2 2 2" xfId="46386"/>
    <cellStyle name="Input 14 3 2 3 2 3" xfId="35782"/>
    <cellStyle name="Input 14 3 2 3 3" xfId="20087"/>
    <cellStyle name="Input 14 3 2 3 3 2" xfId="41274"/>
    <cellStyle name="Input 14 3 2 3 4" xfId="30591"/>
    <cellStyle name="Input 14 3 2 3_Table 2A-1_EFT (Annual)" xfId="14992"/>
    <cellStyle name="Input 14 3 2 4" xfId="10538"/>
    <cellStyle name="Input 14 3 2 4 2" xfId="22654"/>
    <cellStyle name="Input 14 3 2 4 2 2" xfId="43840"/>
    <cellStyle name="Input 14 3 2 4 3" xfId="33236"/>
    <cellStyle name="Input 14 3 2 5" xfId="17541"/>
    <cellStyle name="Input 14 3 2 5 2" xfId="38728"/>
    <cellStyle name="Input 14 3 2 6" xfId="27848"/>
    <cellStyle name="Input 14 3 2_Table 2A-1_EFT (Annual)" xfId="6805"/>
    <cellStyle name="Input 14 3 3" xfId="925"/>
    <cellStyle name="Input 14 3 3 2" xfId="4486"/>
    <cellStyle name="Input 14 3 3 2 2" xfId="12748"/>
    <cellStyle name="Input 14 3 3 2 2 2" xfId="24758"/>
    <cellStyle name="Input 14 3 3 2 2 2 2" xfId="45944"/>
    <cellStyle name="Input 14 3 3 2 2 3" xfId="35340"/>
    <cellStyle name="Input 14 3 3 2 3" xfId="19645"/>
    <cellStyle name="Input 14 3 3 2 3 2" xfId="40832"/>
    <cellStyle name="Input 14 3 3 2 4" xfId="30143"/>
    <cellStyle name="Input 14 3 3 2_Table 2A-1_EFT (Annual)" xfId="14993"/>
    <cellStyle name="Input 14 3 3 3" xfId="10095"/>
    <cellStyle name="Input 14 3 3 3 2" xfId="22212"/>
    <cellStyle name="Input 14 3 3 3 2 2" xfId="43398"/>
    <cellStyle name="Input 14 3 3 3 3" xfId="32794"/>
    <cellStyle name="Input 14 3 3 4" xfId="17099"/>
    <cellStyle name="Input 14 3 3 4 2" xfId="38286"/>
    <cellStyle name="Input 14 3 3 5" xfId="27400"/>
    <cellStyle name="Input 14 3 3_Table 2A-1_EFT (Annual)" xfId="6807"/>
    <cellStyle name="Input 14 3 4" xfId="2112"/>
    <cellStyle name="Input 14 3 4 2" xfId="5673"/>
    <cellStyle name="Input 14 3 4 2 2" xfId="13888"/>
    <cellStyle name="Input 14 3 4 2 2 2" xfId="25876"/>
    <cellStyle name="Input 14 3 4 2 2 2 2" xfId="47062"/>
    <cellStyle name="Input 14 3 4 2 2 3" xfId="36458"/>
    <cellStyle name="Input 14 3 4 2 3" xfId="20763"/>
    <cellStyle name="Input 14 3 4 2 3 2" xfId="41950"/>
    <cellStyle name="Input 14 3 4 2 4" xfId="31330"/>
    <cellStyle name="Input 14 3 4 2_Table 2A-1_EFT (Annual)" xfId="14994"/>
    <cellStyle name="Input 14 3 4 3" xfId="11232"/>
    <cellStyle name="Input 14 3 4 3 2" xfId="23330"/>
    <cellStyle name="Input 14 3 4 3 2 2" xfId="44516"/>
    <cellStyle name="Input 14 3 4 3 3" xfId="33912"/>
    <cellStyle name="Input 14 3 4 4" xfId="18217"/>
    <cellStyle name="Input 14 3 4 4 2" xfId="39404"/>
    <cellStyle name="Input 14 3 4 5" xfId="28587"/>
    <cellStyle name="Input 14 3 4_Table 2A-1_EFT (Annual)" xfId="6808"/>
    <cellStyle name="Input 14 3 5" xfId="3960"/>
    <cellStyle name="Input 14 3 5 2" xfId="12288"/>
    <cellStyle name="Input 14 3 5 2 2" xfId="24312"/>
    <cellStyle name="Input 14 3 5 2 2 2" xfId="45498"/>
    <cellStyle name="Input 14 3 5 2 3" xfId="34894"/>
    <cellStyle name="Input 14 3 5 3" xfId="19199"/>
    <cellStyle name="Input 14 3 5 3 2" xfId="40386"/>
    <cellStyle name="Input 14 3 5 4" xfId="29648"/>
    <cellStyle name="Input 14 3 5_Table 2A-1_EFT (Annual)" xfId="14995"/>
    <cellStyle name="Input 14 3 6" xfId="9625"/>
    <cellStyle name="Input 14 3 6 2" xfId="21766"/>
    <cellStyle name="Input 14 3 6 2 2" xfId="42952"/>
    <cellStyle name="Input 14 3 6 3" xfId="32348"/>
    <cellStyle name="Input 14 3 7" xfId="16653"/>
    <cellStyle name="Input 14 3 7 2" xfId="37840"/>
    <cellStyle name="Input 14 3 8" xfId="26905"/>
    <cellStyle name="Input 14 3_Table 2A-1_EFT (Annual)" xfId="3005"/>
    <cellStyle name="Input 14 4" xfId="1207"/>
    <cellStyle name="Input 14 4 2" xfId="2477"/>
    <cellStyle name="Input 14 4 2 2" xfId="6038"/>
    <cellStyle name="Input 14 4 2 2 2" xfId="14232"/>
    <cellStyle name="Input 14 4 2 2 2 2" xfId="26204"/>
    <cellStyle name="Input 14 4 2 2 2 2 2" xfId="47390"/>
    <cellStyle name="Input 14 4 2 2 2 3" xfId="36786"/>
    <cellStyle name="Input 14 4 2 2 3" xfId="21091"/>
    <cellStyle name="Input 14 4 2 2 3 2" xfId="42278"/>
    <cellStyle name="Input 14 4 2 2 4" xfId="31694"/>
    <cellStyle name="Input 14 4 2 2_Table 2A-1_EFT (Annual)" xfId="14996"/>
    <cellStyle name="Input 14 4 2 3" xfId="11574"/>
    <cellStyle name="Input 14 4 2 3 2" xfId="23658"/>
    <cellStyle name="Input 14 4 2 3 2 2" xfId="44844"/>
    <cellStyle name="Input 14 4 2 3 3" xfId="34240"/>
    <cellStyle name="Input 14 4 2 4" xfId="18545"/>
    <cellStyle name="Input 14 4 2 4 2" xfId="39732"/>
    <cellStyle name="Input 14 4 2 5" xfId="28951"/>
    <cellStyle name="Input 14 4 2_Table 2A-1_EFT (Annual)" xfId="6810"/>
    <cellStyle name="Input 14 4 3" xfId="4768"/>
    <cellStyle name="Input 14 4 3 2" xfId="13028"/>
    <cellStyle name="Input 14 4 3 2 2" xfId="25034"/>
    <cellStyle name="Input 14 4 3 2 2 2" xfId="46220"/>
    <cellStyle name="Input 14 4 3 2 3" xfId="35616"/>
    <cellStyle name="Input 14 4 3 3" xfId="19921"/>
    <cellStyle name="Input 14 4 3 3 2" xfId="41108"/>
    <cellStyle name="Input 14 4 3 4" xfId="30425"/>
    <cellStyle name="Input 14 4 3_Table 2A-1_EFT (Annual)" xfId="14997"/>
    <cellStyle name="Input 14 4 4" xfId="10372"/>
    <cellStyle name="Input 14 4 4 2" xfId="22488"/>
    <cellStyle name="Input 14 4 4 2 2" xfId="43674"/>
    <cellStyle name="Input 14 4 4 3" xfId="33070"/>
    <cellStyle name="Input 14 4 5" xfId="17375"/>
    <cellStyle name="Input 14 4 5 2" xfId="38562"/>
    <cellStyle name="Input 14 4 6" xfId="27682"/>
    <cellStyle name="Input 14 4_Table 2A-1_EFT (Annual)" xfId="6809"/>
    <cellStyle name="Input 14 5" xfId="766"/>
    <cellStyle name="Input 14 5 2" xfId="4327"/>
    <cellStyle name="Input 14 5 2 2" xfId="12607"/>
    <cellStyle name="Input 14 5 2 2 2" xfId="24624"/>
    <cellStyle name="Input 14 5 2 2 2 2" xfId="45810"/>
    <cellStyle name="Input 14 5 2 2 3" xfId="35206"/>
    <cellStyle name="Input 14 5 2 3" xfId="19511"/>
    <cellStyle name="Input 14 5 2 3 2" xfId="40698"/>
    <cellStyle name="Input 14 5 2 4" xfId="29984"/>
    <cellStyle name="Input 14 5 2_Table 2A-1_EFT (Annual)" xfId="14998"/>
    <cellStyle name="Input 14 5 3" xfId="9955"/>
    <cellStyle name="Input 14 5 3 2" xfId="22078"/>
    <cellStyle name="Input 14 5 3 2 2" xfId="43264"/>
    <cellStyle name="Input 14 5 3 3" xfId="32660"/>
    <cellStyle name="Input 14 5 4" xfId="16965"/>
    <cellStyle name="Input 14 5 4 2" xfId="38152"/>
    <cellStyle name="Input 14 5 5" xfId="27241"/>
    <cellStyle name="Input 14 5_Table 2A-1_EFT (Annual)" xfId="6811"/>
    <cellStyle name="Input 14 6" xfId="1946"/>
    <cellStyle name="Input 14 6 2" xfId="5507"/>
    <cellStyle name="Input 14 6 2 2" xfId="13722"/>
    <cellStyle name="Input 14 6 2 2 2" xfId="25710"/>
    <cellStyle name="Input 14 6 2 2 2 2" xfId="46896"/>
    <cellStyle name="Input 14 6 2 2 3" xfId="36292"/>
    <cellStyle name="Input 14 6 2 3" xfId="20597"/>
    <cellStyle name="Input 14 6 2 3 2" xfId="41784"/>
    <cellStyle name="Input 14 6 2 4" xfId="31164"/>
    <cellStyle name="Input 14 6 2_Table 2A-1_EFT (Annual)" xfId="14999"/>
    <cellStyle name="Input 14 6 3" xfId="11066"/>
    <cellStyle name="Input 14 6 3 2" xfId="23164"/>
    <cellStyle name="Input 14 6 3 2 2" xfId="44350"/>
    <cellStyle name="Input 14 6 3 3" xfId="33746"/>
    <cellStyle name="Input 14 6 4" xfId="18051"/>
    <cellStyle name="Input 14 6 4 2" xfId="39238"/>
    <cellStyle name="Input 14 6 5" xfId="28421"/>
    <cellStyle name="Input 14 6_Table 2A-1_EFT (Annual)" xfId="6812"/>
    <cellStyle name="Input 14 7" xfId="3748"/>
    <cellStyle name="Input 14 7 2" xfId="12116"/>
    <cellStyle name="Input 14 7 2 2" xfId="24146"/>
    <cellStyle name="Input 14 7 2 2 2" xfId="45332"/>
    <cellStyle name="Input 14 7 2 3" xfId="34728"/>
    <cellStyle name="Input 14 7 3" xfId="19033"/>
    <cellStyle name="Input 14 7 3 2" xfId="40220"/>
    <cellStyle name="Input 14 7 4" xfId="29457"/>
    <cellStyle name="Input 14 7_Table 2A-1_EFT (Annual)" xfId="15000"/>
    <cellStyle name="Input 14 8" xfId="9435"/>
    <cellStyle name="Input 14 8 2" xfId="21600"/>
    <cellStyle name="Input 14 8 2 2" xfId="42786"/>
    <cellStyle name="Input 14 8 3" xfId="32182"/>
    <cellStyle name="Input 14 9" xfId="16487"/>
    <cellStyle name="Input 14 9 2" xfId="37674"/>
    <cellStyle name="Input 14_Table 2A-1_EFT (Annual)" xfId="3003"/>
    <cellStyle name="Input 15" xfId="161"/>
    <cellStyle name="Input 15 10" xfId="26716"/>
    <cellStyle name="Input 15 2" xfId="554"/>
    <cellStyle name="Input 15 2 2" xfId="1531"/>
    <cellStyle name="Input 15 2 2 2" xfId="2801"/>
    <cellStyle name="Input 15 2 2 2 2" xfId="6362"/>
    <cellStyle name="Input 15 2 2 2 2 2" xfId="14556"/>
    <cellStyle name="Input 15 2 2 2 2 2 2" xfId="26528"/>
    <cellStyle name="Input 15 2 2 2 2 2 2 2" xfId="47714"/>
    <cellStyle name="Input 15 2 2 2 2 2 3" xfId="37110"/>
    <cellStyle name="Input 15 2 2 2 2 3" xfId="21415"/>
    <cellStyle name="Input 15 2 2 2 2 3 2" xfId="42602"/>
    <cellStyle name="Input 15 2 2 2 2 4" xfId="32018"/>
    <cellStyle name="Input 15 2 2 2 2_Table 2A-1_EFT (Annual)" xfId="15001"/>
    <cellStyle name="Input 15 2 2 2 3" xfId="11898"/>
    <cellStyle name="Input 15 2 2 2 3 2" xfId="23982"/>
    <cellStyle name="Input 15 2 2 2 3 2 2" xfId="45168"/>
    <cellStyle name="Input 15 2 2 2 3 3" xfId="34564"/>
    <cellStyle name="Input 15 2 2 2 4" xfId="18869"/>
    <cellStyle name="Input 15 2 2 2 4 2" xfId="40056"/>
    <cellStyle name="Input 15 2 2 2 5" xfId="29275"/>
    <cellStyle name="Input 15 2 2 2_Table 2A-1_EFT (Annual)" xfId="6814"/>
    <cellStyle name="Input 15 2 2 3" xfId="5092"/>
    <cellStyle name="Input 15 2 2 3 2" xfId="13352"/>
    <cellStyle name="Input 15 2 2 3 2 2" xfId="25358"/>
    <cellStyle name="Input 15 2 2 3 2 2 2" xfId="46544"/>
    <cellStyle name="Input 15 2 2 3 2 3" xfId="35940"/>
    <cellStyle name="Input 15 2 2 3 3" xfId="20245"/>
    <cellStyle name="Input 15 2 2 3 3 2" xfId="41432"/>
    <cellStyle name="Input 15 2 2 3 4" xfId="30749"/>
    <cellStyle name="Input 15 2 2 3_Table 2A-1_EFT (Annual)" xfId="15002"/>
    <cellStyle name="Input 15 2 2 4" xfId="10696"/>
    <cellStyle name="Input 15 2 2 4 2" xfId="22812"/>
    <cellStyle name="Input 15 2 2 4 2 2" xfId="43998"/>
    <cellStyle name="Input 15 2 2 4 3" xfId="33394"/>
    <cellStyle name="Input 15 2 2 5" xfId="17699"/>
    <cellStyle name="Input 15 2 2 5 2" xfId="38886"/>
    <cellStyle name="Input 15 2 2 6" xfId="28006"/>
    <cellStyle name="Input 15 2 2_Table 2A-1_EFT (Annual)" xfId="6813"/>
    <cellStyle name="Input 15 2 3" xfId="1059"/>
    <cellStyle name="Input 15 2 3 2" xfId="4620"/>
    <cellStyle name="Input 15 2 3 2 2" xfId="12880"/>
    <cellStyle name="Input 15 2 3 2 2 2" xfId="24886"/>
    <cellStyle name="Input 15 2 3 2 2 2 2" xfId="46072"/>
    <cellStyle name="Input 15 2 3 2 2 3" xfId="35468"/>
    <cellStyle name="Input 15 2 3 2 3" xfId="19773"/>
    <cellStyle name="Input 15 2 3 2 3 2" xfId="40960"/>
    <cellStyle name="Input 15 2 3 2 4" xfId="30277"/>
    <cellStyle name="Input 15 2 3 2_Table 2A-1_EFT (Annual)" xfId="15003"/>
    <cellStyle name="Input 15 2 3 3" xfId="10224"/>
    <cellStyle name="Input 15 2 3 3 2" xfId="22340"/>
    <cellStyle name="Input 15 2 3 3 2 2" xfId="43526"/>
    <cellStyle name="Input 15 2 3 3 3" xfId="32922"/>
    <cellStyle name="Input 15 2 3 4" xfId="17227"/>
    <cellStyle name="Input 15 2 3 4 2" xfId="38414"/>
    <cellStyle name="Input 15 2 3 5" xfId="27534"/>
    <cellStyle name="Input 15 2 3_Table 2A-1_EFT (Annual)" xfId="6815"/>
    <cellStyle name="Input 15 2 4" xfId="2270"/>
    <cellStyle name="Input 15 2 4 2" xfId="5831"/>
    <cellStyle name="Input 15 2 4 2 2" xfId="14046"/>
    <cellStyle name="Input 15 2 4 2 2 2" xfId="26034"/>
    <cellStyle name="Input 15 2 4 2 2 2 2" xfId="47220"/>
    <cellStyle name="Input 15 2 4 2 2 3" xfId="36616"/>
    <cellStyle name="Input 15 2 4 2 3" xfId="20921"/>
    <cellStyle name="Input 15 2 4 2 3 2" xfId="42108"/>
    <cellStyle name="Input 15 2 4 2 4" xfId="31488"/>
    <cellStyle name="Input 15 2 4 2_Table 2A-1_EFT (Annual)" xfId="15004"/>
    <cellStyle name="Input 15 2 4 3" xfId="11390"/>
    <cellStyle name="Input 15 2 4 3 2" xfId="23488"/>
    <cellStyle name="Input 15 2 4 3 2 2" xfId="44674"/>
    <cellStyle name="Input 15 2 4 3 3" xfId="34070"/>
    <cellStyle name="Input 15 2 4 4" xfId="18375"/>
    <cellStyle name="Input 15 2 4 4 2" xfId="39562"/>
    <cellStyle name="Input 15 2 4 5" xfId="28745"/>
    <cellStyle name="Input 15 2 4_Table 2A-1_EFT (Annual)" xfId="6816"/>
    <cellStyle name="Input 15 2 5" xfId="4124"/>
    <cellStyle name="Input 15 2 5 2" xfId="12448"/>
    <cellStyle name="Input 15 2 5 2 2" xfId="24470"/>
    <cellStyle name="Input 15 2 5 2 2 2" xfId="45656"/>
    <cellStyle name="Input 15 2 5 2 3" xfId="35052"/>
    <cellStyle name="Input 15 2 5 3" xfId="19357"/>
    <cellStyle name="Input 15 2 5 3 2" xfId="40544"/>
    <cellStyle name="Input 15 2 5 4" xfId="29812"/>
    <cellStyle name="Input 15 2 5_Table 2A-1_EFT (Annual)" xfId="15005"/>
    <cellStyle name="Input 15 2 6" xfId="9787"/>
    <cellStyle name="Input 15 2 6 2" xfId="21924"/>
    <cellStyle name="Input 15 2 6 2 2" xfId="43110"/>
    <cellStyle name="Input 15 2 6 3" xfId="32506"/>
    <cellStyle name="Input 15 2 7" xfId="16811"/>
    <cellStyle name="Input 15 2 7 2" xfId="37998"/>
    <cellStyle name="Input 15 2 8" xfId="27069"/>
    <cellStyle name="Input 15 2_Table 2A-1_EFT (Annual)" xfId="3007"/>
    <cellStyle name="Input 15 3" xfId="392"/>
    <cellStyle name="Input 15 3 2" xfId="1375"/>
    <cellStyle name="Input 15 3 2 2" xfId="2645"/>
    <cellStyle name="Input 15 3 2 2 2" xfId="6206"/>
    <cellStyle name="Input 15 3 2 2 2 2" xfId="14400"/>
    <cellStyle name="Input 15 3 2 2 2 2 2" xfId="26372"/>
    <cellStyle name="Input 15 3 2 2 2 2 2 2" xfId="47558"/>
    <cellStyle name="Input 15 3 2 2 2 2 3" xfId="36954"/>
    <cellStyle name="Input 15 3 2 2 2 3" xfId="21259"/>
    <cellStyle name="Input 15 3 2 2 2 3 2" xfId="42446"/>
    <cellStyle name="Input 15 3 2 2 2 4" xfId="31862"/>
    <cellStyle name="Input 15 3 2 2 2_Table 2A-1_EFT (Annual)" xfId="15006"/>
    <cellStyle name="Input 15 3 2 2 3" xfId="11742"/>
    <cellStyle name="Input 15 3 2 2 3 2" xfId="23826"/>
    <cellStyle name="Input 15 3 2 2 3 2 2" xfId="45012"/>
    <cellStyle name="Input 15 3 2 2 3 3" xfId="34408"/>
    <cellStyle name="Input 15 3 2 2 4" xfId="18713"/>
    <cellStyle name="Input 15 3 2 2 4 2" xfId="39900"/>
    <cellStyle name="Input 15 3 2 2 5" xfId="29119"/>
    <cellStyle name="Input 15 3 2 2_Table 2A-1_EFT (Annual)" xfId="6818"/>
    <cellStyle name="Input 15 3 2 3" xfId="4936"/>
    <cellStyle name="Input 15 3 2 3 2" xfId="13196"/>
    <cellStyle name="Input 15 3 2 3 2 2" xfId="25202"/>
    <cellStyle name="Input 15 3 2 3 2 2 2" xfId="46388"/>
    <cellStyle name="Input 15 3 2 3 2 3" xfId="35784"/>
    <cellStyle name="Input 15 3 2 3 3" xfId="20089"/>
    <cellStyle name="Input 15 3 2 3 3 2" xfId="41276"/>
    <cellStyle name="Input 15 3 2 3 4" xfId="30593"/>
    <cellStyle name="Input 15 3 2 3_Table 2A-1_EFT (Annual)" xfId="15007"/>
    <cellStyle name="Input 15 3 2 4" xfId="10540"/>
    <cellStyle name="Input 15 3 2 4 2" xfId="22656"/>
    <cellStyle name="Input 15 3 2 4 2 2" xfId="43842"/>
    <cellStyle name="Input 15 3 2 4 3" xfId="33238"/>
    <cellStyle name="Input 15 3 2 5" xfId="17543"/>
    <cellStyle name="Input 15 3 2 5 2" xfId="38730"/>
    <cellStyle name="Input 15 3 2 6" xfId="27850"/>
    <cellStyle name="Input 15 3 2_Table 2A-1_EFT (Annual)" xfId="6817"/>
    <cellStyle name="Input 15 3 3" xfId="927"/>
    <cellStyle name="Input 15 3 3 2" xfId="4488"/>
    <cellStyle name="Input 15 3 3 2 2" xfId="12750"/>
    <cellStyle name="Input 15 3 3 2 2 2" xfId="24760"/>
    <cellStyle name="Input 15 3 3 2 2 2 2" xfId="45946"/>
    <cellStyle name="Input 15 3 3 2 2 3" xfId="35342"/>
    <cellStyle name="Input 15 3 3 2 3" xfId="19647"/>
    <cellStyle name="Input 15 3 3 2 3 2" xfId="40834"/>
    <cellStyle name="Input 15 3 3 2 4" xfId="30145"/>
    <cellStyle name="Input 15 3 3 2_Table 2A-1_EFT (Annual)" xfId="15008"/>
    <cellStyle name="Input 15 3 3 3" xfId="10097"/>
    <cellStyle name="Input 15 3 3 3 2" xfId="22214"/>
    <cellStyle name="Input 15 3 3 3 2 2" xfId="43400"/>
    <cellStyle name="Input 15 3 3 3 3" xfId="32796"/>
    <cellStyle name="Input 15 3 3 4" xfId="17101"/>
    <cellStyle name="Input 15 3 3 4 2" xfId="38288"/>
    <cellStyle name="Input 15 3 3 5" xfId="27402"/>
    <cellStyle name="Input 15 3 3_Table 2A-1_EFT (Annual)" xfId="6819"/>
    <cellStyle name="Input 15 3 4" xfId="2114"/>
    <cellStyle name="Input 15 3 4 2" xfId="5675"/>
    <cellStyle name="Input 15 3 4 2 2" xfId="13890"/>
    <cellStyle name="Input 15 3 4 2 2 2" xfId="25878"/>
    <cellStyle name="Input 15 3 4 2 2 2 2" xfId="47064"/>
    <cellStyle name="Input 15 3 4 2 2 3" xfId="36460"/>
    <cellStyle name="Input 15 3 4 2 3" xfId="20765"/>
    <cellStyle name="Input 15 3 4 2 3 2" xfId="41952"/>
    <cellStyle name="Input 15 3 4 2 4" xfId="31332"/>
    <cellStyle name="Input 15 3 4 2_Table 2A-1_EFT (Annual)" xfId="15009"/>
    <cellStyle name="Input 15 3 4 3" xfId="11234"/>
    <cellStyle name="Input 15 3 4 3 2" xfId="23332"/>
    <cellStyle name="Input 15 3 4 3 2 2" xfId="44518"/>
    <cellStyle name="Input 15 3 4 3 3" xfId="33914"/>
    <cellStyle name="Input 15 3 4 4" xfId="18219"/>
    <cellStyle name="Input 15 3 4 4 2" xfId="39406"/>
    <cellStyle name="Input 15 3 4 5" xfId="28589"/>
    <cellStyle name="Input 15 3 4_Table 2A-1_EFT (Annual)" xfId="6820"/>
    <cellStyle name="Input 15 3 5" xfId="3962"/>
    <cellStyle name="Input 15 3 5 2" xfId="12290"/>
    <cellStyle name="Input 15 3 5 2 2" xfId="24314"/>
    <cellStyle name="Input 15 3 5 2 2 2" xfId="45500"/>
    <cellStyle name="Input 15 3 5 2 3" xfId="34896"/>
    <cellStyle name="Input 15 3 5 3" xfId="19201"/>
    <cellStyle name="Input 15 3 5 3 2" xfId="40388"/>
    <cellStyle name="Input 15 3 5 4" xfId="29650"/>
    <cellStyle name="Input 15 3 5_Table 2A-1_EFT (Annual)" xfId="15010"/>
    <cellStyle name="Input 15 3 6" xfId="9627"/>
    <cellStyle name="Input 15 3 6 2" xfId="21768"/>
    <cellStyle name="Input 15 3 6 2 2" xfId="42954"/>
    <cellStyle name="Input 15 3 6 3" xfId="32350"/>
    <cellStyle name="Input 15 3 7" xfId="16655"/>
    <cellStyle name="Input 15 3 7 2" xfId="37842"/>
    <cellStyle name="Input 15 3 8" xfId="26907"/>
    <cellStyle name="Input 15 3_Table 2A-1_EFT (Annual)" xfId="3008"/>
    <cellStyle name="Input 15 4" xfId="1209"/>
    <cellStyle name="Input 15 4 2" xfId="2479"/>
    <cellStyle name="Input 15 4 2 2" xfId="6040"/>
    <cellStyle name="Input 15 4 2 2 2" xfId="14234"/>
    <cellStyle name="Input 15 4 2 2 2 2" xfId="26206"/>
    <cellStyle name="Input 15 4 2 2 2 2 2" xfId="47392"/>
    <cellStyle name="Input 15 4 2 2 2 3" xfId="36788"/>
    <cellStyle name="Input 15 4 2 2 3" xfId="21093"/>
    <cellStyle name="Input 15 4 2 2 3 2" xfId="42280"/>
    <cellStyle name="Input 15 4 2 2 4" xfId="31696"/>
    <cellStyle name="Input 15 4 2 2_Table 2A-1_EFT (Annual)" xfId="15011"/>
    <cellStyle name="Input 15 4 2 3" xfId="11576"/>
    <cellStyle name="Input 15 4 2 3 2" xfId="23660"/>
    <cellStyle name="Input 15 4 2 3 2 2" xfId="44846"/>
    <cellStyle name="Input 15 4 2 3 3" xfId="34242"/>
    <cellStyle name="Input 15 4 2 4" xfId="18547"/>
    <cellStyle name="Input 15 4 2 4 2" xfId="39734"/>
    <cellStyle name="Input 15 4 2 5" xfId="28953"/>
    <cellStyle name="Input 15 4 2_Table 2A-1_EFT (Annual)" xfId="6822"/>
    <cellStyle name="Input 15 4 3" xfId="4770"/>
    <cellStyle name="Input 15 4 3 2" xfId="13030"/>
    <cellStyle name="Input 15 4 3 2 2" xfId="25036"/>
    <cellStyle name="Input 15 4 3 2 2 2" xfId="46222"/>
    <cellStyle name="Input 15 4 3 2 3" xfId="35618"/>
    <cellStyle name="Input 15 4 3 3" xfId="19923"/>
    <cellStyle name="Input 15 4 3 3 2" xfId="41110"/>
    <cellStyle name="Input 15 4 3 4" xfId="30427"/>
    <cellStyle name="Input 15 4 3_Table 2A-1_EFT (Annual)" xfId="15012"/>
    <cellStyle name="Input 15 4 4" xfId="10374"/>
    <cellStyle name="Input 15 4 4 2" xfId="22490"/>
    <cellStyle name="Input 15 4 4 2 2" xfId="43676"/>
    <cellStyle name="Input 15 4 4 3" xfId="33072"/>
    <cellStyle name="Input 15 4 5" xfId="17377"/>
    <cellStyle name="Input 15 4 5 2" xfId="38564"/>
    <cellStyle name="Input 15 4 6" xfId="27684"/>
    <cellStyle name="Input 15 4_Table 2A-1_EFT (Annual)" xfId="6821"/>
    <cellStyle name="Input 15 5" xfId="768"/>
    <cellStyle name="Input 15 5 2" xfId="4329"/>
    <cellStyle name="Input 15 5 2 2" xfId="12609"/>
    <cellStyle name="Input 15 5 2 2 2" xfId="24626"/>
    <cellStyle name="Input 15 5 2 2 2 2" xfId="45812"/>
    <cellStyle name="Input 15 5 2 2 3" xfId="35208"/>
    <cellStyle name="Input 15 5 2 3" xfId="19513"/>
    <cellStyle name="Input 15 5 2 3 2" xfId="40700"/>
    <cellStyle name="Input 15 5 2 4" xfId="29986"/>
    <cellStyle name="Input 15 5 2_Table 2A-1_EFT (Annual)" xfId="15013"/>
    <cellStyle name="Input 15 5 3" xfId="9957"/>
    <cellStyle name="Input 15 5 3 2" xfId="22080"/>
    <cellStyle name="Input 15 5 3 2 2" xfId="43266"/>
    <cellStyle name="Input 15 5 3 3" xfId="32662"/>
    <cellStyle name="Input 15 5 4" xfId="16967"/>
    <cellStyle name="Input 15 5 4 2" xfId="38154"/>
    <cellStyle name="Input 15 5 5" xfId="27243"/>
    <cellStyle name="Input 15 5_Table 2A-1_EFT (Annual)" xfId="6823"/>
    <cellStyle name="Input 15 6" xfId="1948"/>
    <cellStyle name="Input 15 6 2" xfId="5509"/>
    <cellStyle name="Input 15 6 2 2" xfId="13724"/>
    <cellStyle name="Input 15 6 2 2 2" xfId="25712"/>
    <cellStyle name="Input 15 6 2 2 2 2" xfId="46898"/>
    <cellStyle name="Input 15 6 2 2 3" xfId="36294"/>
    <cellStyle name="Input 15 6 2 3" xfId="20599"/>
    <cellStyle name="Input 15 6 2 3 2" xfId="41786"/>
    <cellStyle name="Input 15 6 2 4" xfId="31166"/>
    <cellStyle name="Input 15 6 2_Table 2A-1_EFT (Annual)" xfId="15014"/>
    <cellStyle name="Input 15 6 3" xfId="11068"/>
    <cellStyle name="Input 15 6 3 2" xfId="23166"/>
    <cellStyle name="Input 15 6 3 2 2" xfId="44352"/>
    <cellStyle name="Input 15 6 3 3" xfId="33748"/>
    <cellStyle name="Input 15 6 4" xfId="18053"/>
    <cellStyle name="Input 15 6 4 2" xfId="39240"/>
    <cellStyle name="Input 15 6 5" xfId="28423"/>
    <cellStyle name="Input 15 6_Table 2A-1_EFT (Annual)" xfId="6824"/>
    <cellStyle name="Input 15 7" xfId="3750"/>
    <cellStyle name="Input 15 7 2" xfId="12118"/>
    <cellStyle name="Input 15 7 2 2" xfId="24148"/>
    <cellStyle name="Input 15 7 2 2 2" xfId="45334"/>
    <cellStyle name="Input 15 7 2 3" xfId="34730"/>
    <cellStyle name="Input 15 7 3" xfId="19035"/>
    <cellStyle name="Input 15 7 3 2" xfId="40222"/>
    <cellStyle name="Input 15 7 4" xfId="29459"/>
    <cellStyle name="Input 15 7_Table 2A-1_EFT (Annual)" xfId="15015"/>
    <cellStyle name="Input 15 8" xfId="9437"/>
    <cellStyle name="Input 15 8 2" xfId="21602"/>
    <cellStyle name="Input 15 8 2 2" xfId="42788"/>
    <cellStyle name="Input 15 8 3" xfId="32184"/>
    <cellStyle name="Input 15 9" xfId="16489"/>
    <cellStyle name="Input 15 9 2" xfId="37676"/>
    <cellStyle name="Input 15_Table 2A-1_EFT (Annual)" xfId="3006"/>
    <cellStyle name="Input 16" xfId="149"/>
    <cellStyle name="Input 16 10" xfId="26704"/>
    <cellStyle name="Input 16 2" xfId="542"/>
    <cellStyle name="Input 16 2 2" xfId="1519"/>
    <cellStyle name="Input 16 2 2 2" xfId="2789"/>
    <cellStyle name="Input 16 2 2 2 2" xfId="6350"/>
    <cellStyle name="Input 16 2 2 2 2 2" xfId="14544"/>
    <cellStyle name="Input 16 2 2 2 2 2 2" xfId="26516"/>
    <cellStyle name="Input 16 2 2 2 2 2 2 2" xfId="47702"/>
    <cellStyle name="Input 16 2 2 2 2 2 3" xfId="37098"/>
    <cellStyle name="Input 16 2 2 2 2 3" xfId="21403"/>
    <cellStyle name="Input 16 2 2 2 2 3 2" xfId="42590"/>
    <cellStyle name="Input 16 2 2 2 2 4" xfId="32006"/>
    <cellStyle name="Input 16 2 2 2 2_Table 2A-1_EFT (Annual)" xfId="15016"/>
    <cellStyle name="Input 16 2 2 2 3" xfId="11886"/>
    <cellStyle name="Input 16 2 2 2 3 2" xfId="23970"/>
    <cellStyle name="Input 16 2 2 2 3 2 2" xfId="45156"/>
    <cellStyle name="Input 16 2 2 2 3 3" xfId="34552"/>
    <cellStyle name="Input 16 2 2 2 4" xfId="18857"/>
    <cellStyle name="Input 16 2 2 2 4 2" xfId="40044"/>
    <cellStyle name="Input 16 2 2 2 5" xfId="29263"/>
    <cellStyle name="Input 16 2 2 2_Table 2A-1_EFT (Annual)" xfId="6826"/>
    <cellStyle name="Input 16 2 2 3" xfId="5080"/>
    <cellStyle name="Input 16 2 2 3 2" xfId="13340"/>
    <cellStyle name="Input 16 2 2 3 2 2" xfId="25346"/>
    <cellStyle name="Input 16 2 2 3 2 2 2" xfId="46532"/>
    <cellStyle name="Input 16 2 2 3 2 3" xfId="35928"/>
    <cellStyle name="Input 16 2 2 3 3" xfId="20233"/>
    <cellStyle name="Input 16 2 2 3 3 2" xfId="41420"/>
    <cellStyle name="Input 16 2 2 3 4" xfId="30737"/>
    <cellStyle name="Input 16 2 2 3_Table 2A-1_EFT (Annual)" xfId="15017"/>
    <cellStyle name="Input 16 2 2 4" xfId="10684"/>
    <cellStyle name="Input 16 2 2 4 2" xfId="22800"/>
    <cellStyle name="Input 16 2 2 4 2 2" xfId="43986"/>
    <cellStyle name="Input 16 2 2 4 3" xfId="33382"/>
    <cellStyle name="Input 16 2 2 5" xfId="17687"/>
    <cellStyle name="Input 16 2 2 5 2" xfId="38874"/>
    <cellStyle name="Input 16 2 2 6" xfId="27994"/>
    <cellStyle name="Input 16 2 2_Table 2A-1_EFT (Annual)" xfId="6825"/>
    <cellStyle name="Input 16 2 3" xfId="1050"/>
    <cellStyle name="Input 16 2 3 2" xfId="4611"/>
    <cellStyle name="Input 16 2 3 2 2" xfId="12871"/>
    <cellStyle name="Input 16 2 3 2 2 2" xfId="24877"/>
    <cellStyle name="Input 16 2 3 2 2 2 2" xfId="46063"/>
    <cellStyle name="Input 16 2 3 2 2 3" xfId="35459"/>
    <cellStyle name="Input 16 2 3 2 3" xfId="19764"/>
    <cellStyle name="Input 16 2 3 2 3 2" xfId="40951"/>
    <cellStyle name="Input 16 2 3 2 4" xfId="30268"/>
    <cellStyle name="Input 16 2 3 2_Table 2A-1_EFT (Annual)" xfId="15018"/>
    <cellStyle name="Input 16 2 3 3" xfId="10215"/>
    <cellStyle name="Input 16 2 3 3 2" xfId="22331"/>
    <cellStyle name="Input 16 2 3 3 2 2" xfId="43517"/>
    <cellStyle name="Input 16 2 3 3 3" xfId="32913"/>
    <cellStyle name="Input 16 2 3 4" xfId="17218"/>
    <cellStyle name="Input 16 2 3 4 2" xfId="38405"/>
    <cellStyle name="Input 16 2 3 5" xfId="27525"/>
    <cellStyle name="Input 16 2 3_Table 2A-1_EFT (Annual)" xfId="6827"/>
    <cellStyle name="Input 16 2 4" xfId="2258"/>
    <cellStyle name="Input 16 2 4 2" xfId="5819"/>
    <cellStyle name="Input 16 2 4 2 2" xfId="14034"/>
    <cellStyle name="Input 16 2 4 2 2 2" xfId="26022"/>
    <cellStyle name="Input 16 2 4 2 2 2 2" xfId="47208"/>
    <cellStyle name="Input 16 2 4 2 2 3" xfId="36604"/>
    <cellStyle name="Input 16 2 4 2 3" xfId="20909"/>
    <cellStyle name="Input 16 2 4 2 3 2" xfId="42096"/>
    <cellStyle name="Input 16 2 4 2 4" xfId="31476"/>
    <cellStyle name="Input 16 2 4 2_Table 2A-1_EFT (Annual)" xfId="15019"/>
    <cellStyle name="Input 16 2 4 3" xfId="11378"/>
    <cellStyle name="Input 16 2 4 3 2" xfId="23476"/>
    <cellStyle name="Input 16 2 4 3 2 2" xfId="44662"/>
    <cellStyle name="Input 16 2 4 3 3" xfId="34058"/>
    <cellStyle name="Input 16 2 4 4" xfId="18363"/>
    <cellStyle name="Input 16 2 4 4 2" xfId="39550"/>
    <cellStyle name="Input 16 2 4 5" xfId="28733"/>
    <cellStyle name="Input 16 2 4_Table 2A-1_EFT (Annual)" xfId="6828"/>
    <cellStyle name="Input 16 2 5" xfId="4112"/>
    <cellStyle name="Input 16 2 5 2" xfId="12436"/>
    <cellStyle name="Input 16 2 5 2 2" xfId="24458"/>
    <cellStyle name="Input 16 2 5 2 2 2" xfId="45644"/>
    <cellStyle name="Input 16 2 5 2 3" xfId="35040"/>
    <cellStyle name="Input 16 2 5 3" xfId="19345"/>
    <cellStyle name="Input 16 2 5 3 2" xfId="40532"/>
    <cellStyle name="Input 16 2 5 4" xfId="29800"/>
    <cellStyle name="Input 16 2 5_Table 2A-1_EFT (Annual)" xfId="15020"/>
    <cellStyle name="Input 16 2 6" xfId="9775"/>
    <cellStyle name="Input 16 2 6 2" xfId="21912"/>
    <cellStyle name="Input 16 2 6 2 2" xfId="43098"/>
    <cellStyle name="Input 16 2 6 3" xfId="32494"/>
    <cellStyle name="Input 16 2 7" xfId="16799"/>
    <cellStyle name="Input 16 2 7 2" xfId="37986"/>
    <cellStyle name="Input 16 2 8" xfId="27057"/>
    <cellStyle name="Input 16 2_Table 2A-1_EFT (Annual)" xfId="3010"/>
    <cellStyle name="Input 16 3" xfId="380"/>
    <cellStyle name="Input 16 3 2" xfId="1363"/>
    <cellStyle name="Input 16 3 2 2" xfId="2633"/>
    <cellStyle name="Input 16 3 2 2 2" xfId="6194"/>
    <cellStyle name="Input 16 3 2 2 2 2" xfId="14388"/>
    <cellStyle name="Input 16 3 2 2 2 2 2" xfId="26360"/>
    <cellStyle name="Input 16 3 2 2 2 2 2 2" xfId="47546"/>
    <cellStyle name="Input 16 3 2 2 2 2 3" xfId="36942"/>
    <cellStyle name="Input 16 3 2 2 2 3" xfId="21247"/>
    <cellStyle name="Input 16 3 2 2 2 3 2" xfId="42434"/>
    <cellStyle name="Input 16 3 2 2 2 4" xfId="31850"/>
    <cellStyle name="Input 16 3 2 2 2_Table 2A-1_EFT (Annual)" xfId="15021"/>
    <cellStyle name="Input 16 3 2 2 3" xfId="11730"/>
    <cellStyle name="Input 16 3 2 2 3 2" xfId="23814"/>
    <cellStyle name="Input 16 3 2 2 3 2 2" xfId="45000"/>
    <cellStyle name="Input 16 3 2 2 3 3" xfId="34396"/>
    <cellStyle name="Input 16 3 2 2 4" xfId="18701"/>
    <cellStyle name="Input 16 3 2 2 4 2" xfId="39888"/>
    <cellStyle name="Input 16 3 2 2 5" xfId="29107"/>
    <cellStyle name="Input 16 3 2 2_Table 2A-1_EFT (Annual)" xfId="6830"/>
    <cellStyle name="Input 16 3 2 3" xfId="4924"/>
    <cellStyle name="Input 16 3 2 3 2" xfId="13184"/>
    <cellStyle name="Input 16 3 2 3 2 2" xfId="25190"/>
    <cellStyle name="Input 16 3 2 3 2 2 2" xfId="46376"/>
    <cellStyle name="Input 16 3 2 3 2 3" xfId="35772"/>
    <cellStyle name="Input 16 3 2 3 3" xfId="20077"/>
    <cellStyle name="Input 16 3 2 3 3 2" xfId="41264"/>
    <cellStyle name="Input 16 3 2 3 4" xfId="30581"/>
    <cellStyle name="Input 16 3 2 3_Table 2A-1_EFT (Annual)" xfId="15022"/>
    <cellStyle name="Input 16 3 2 4" xfId="10528"/>
    <cellStyle name="Input 16 3 2 4 2" xfId="22644"/>
    <cellStyle name="Input 16 3 2 4 2 2" xfId="43830"/>
    <cellStyle name="Input 16 3 2 4 3" xfId="33226"/>
    <cellStyle name="Input 16 3 2 5" xfId="17531"/>
    <cellStyle name="Input 16 3 2 5 2" xfId="38718"/>
    <cellStyle name="Input 16 3 2 6" xfId="27838"/>
    <cellStyle name="Input 16 3 2_Table 2A-1_EFT (Annual)" xfId="6829"/>
    <cellStyle name="Input 16 3 3" xfId="918"/>
    <cellStyle name="Input 16 3 3 2" xfId="4479"/>
    <cellStyle name="Input 16 3 3 2 2" xfId="12741"/>
    <cellStyle name="Input 16 3 3 2 2 2" xfId="24751"/>
    <cellStyle name="Input 16 3 3 2 2 2 2" xfId="45937"/>
    <cellStyle name="Input 16 3 3 2 2 3" xfId="35333"/>
    <cellStyle name="Input 16 3 3 2 3" xfId="19638"/>
    <cellStyle name="Input 16 3 3 2 3 2" xfId="40825"/>
    <cellStyle name="Input 16 3 3 2 4" xfId="30136"/>
    <cellStyle name="Input 16 3 3 2_Table 2A-1_EFT (Annual)" xfId="15023"/>
    <cellStyle name="Input 16 3 3 3" xfId="10088"/>
    <cellStyle name="Input 16 3 3 3 2" xfId="22205"/>
    <cellStyle name="Input 16 3 3 3 2 2" xfId="43391"/>
    <cellStyle name="Input 16 3 3 3 3" xfId="32787"/>
    <cellStyle name="Input 16 3 3 4" xfId="17092"/>
    <cellStyle name="Input 16 3 3 4 2" xfId="38279"/>
    <cellStyle name="Input 16 3 3 5" xfId="27393"/>
    <cellStyle name="Input 16 3 3_Table 2A-1_EFT (Annual)" xfId="6831"/>
    <cellStyle name="Input 16 3 4" xfId="2102"/>
    <cellStyle name="Input 16 3 4 2" xfId="5663"/>
    <cellStyle name="Input 16 3 4 2 2" xfId="13878"/>
    <cellStyle name="Input 16 3 4 2 2 2" xfId="25866"/>
    <cellStyle name="Input 16 3 4 2 2 2 2" xfId="47052"/>
    <cellStyle name="Input 16 3 4 2 2 3" xfId="36448"/>
    <cellStyle name="Input 16 3 4 2 3" xfId="20753"/>
    <cellStyle name="Input 16 3 4 2 3 2" xfId="41940"/>
    <cellStyle name="Input 16 3 4 2 4" xfId="31320"/>
    <cellStyle name="Input 16 3 4 2_Table 2A-1_EFT (Annual)" xfId="15024"/>
    <cellStyle name="Input 16 3 4 3" xfId="11222"/>
    <cellStyle name="Input 16 3 4 3 2" xfId="23320"/>
    <cellStyle name="Input 16 3 4 3 2 2" xfId="44506"/>
    <cellStyle name="Input 16 3 4 3 3" xfId="33902"/>
    <cellStyle name="Input 16 3 4 4" xfId="18207"/>
    <cellStyle name="Input 16 3 4 4 2" xfId="39394"/>
    <cellStyle name="Input 16 3 4 5" xfId="28577"/>
    <cellStyle name="Input 16 3 4_Table 2A-1_EFT (Annual)" xfId="6832"/>
    <cellStyle name="Input 16 3 5" xfId="3950"/>
    <cellStyle name="Input 16 3 5 2" xfId="12278"/>
    <cellStyle name="Input 16 3 5 2 2" xfId="24302"/>
    <cellStyle name="Input 16 3 5 2 2 2" xfId="45488"/>
    <cellStyle name="Input 16 3 5 2 3" xfId="34884"/>
    <cellStyle name="Input 16 3 5 3" xfId="19189"/>
    <cellStyle name="Input 16 3 5 3 2" xfId="40376"/>
    <cellStyle name="Input 16 3 5 4" xfId="29638"/>
    <cellStyle name="Input 16 3 5_Table 2A-1_EFT (Annual)" xfId="15025"/>
    <cellStyle name="Input 16 3 6" xfId="9615"/>
    <cellStyle name="Input 16 3 6 2" xfId="21756"/>
    <cellStyle name="Input 16 3 6 2 2" xfId="42942"/>
    <cellStyle name="Input 16 3 6 3" xfId="32338"/>
    <cellStyle name="Input 16 3 7" xfId="16643"/>
    <cellStyle name="Input 16 3 7 2" xfId="37830"/>
    <cellStyle name="Input 16 3 8" xfId="26895"/>
    <cellStyle name="Input 16 3_Table 2A-1_EFT (Annual)" xfId="3011"/>
    <cellStyle name="Input 16 4" xfId="1197"/>
    <cellStyle name="Input 16 4 2" xfId="2467"/>
    <cellStyle name="Input 16 4 2 2" xfId="6028"/>
    <cellStyle name="Input 16 4 2 2 2" xfId="14222"/>
    <cellStyle name="Input 16 4 2 2 2 2" xfId="26194"/>
    <cellStyle name="Input 16 4 2 2 2 2 2" xfId="47380"/>
    <cellStyle name="Input 16 4 2 2 2 3" xfId="36776"/>
    <cellStyle name="Input 16 4 2 2 3" xfId="21081"/>
    <cellStyle name="Input 16 4 2 2 3 2" xfId="42268"/>
    <cellStyle name="Input 16 4 2 2 4" xfId="31684"/>
    <cellStyle name="Input 16 4 2 2_Table 2A-1_EFT (Annual)" xfId="15026"/>
    <cellStyle name="Input 16 4 2 3" xfId="11564"/>
    <cellStyle name="Input 16 4 2 3 2" xfId="23648"/>
    <cellStyle name="Input 16 4 2 3 2 2" xfId="44834"/>
    <cellStyle name="Input 16 4 2 3 3" xfId="34230"/>
    <cellStyle name="Input 16 4 2 4" xfId="18535"/>
    <cellStyle name="Input 16 4 2 4 2" xfId="39722"/>
    <cellStyle name="Input 16 4 2 5" xfId="28941"/>
    <cellStyle name="Input 16 4 2_Table 2A-1_EFT (Annual)" xfId="6834"/>
    <cellStyle name="Input 16 4 3" xfId="4758"/>
    <cellStyle name="Input 16 4 3 2" xfId="13018"/>
    <cellStyle name="Input 16 4 3 2 2" xfId="25024"/>
    <cellStyle name="Input 16 4 3 2 2 2" xfId="46210"/>
    <cellStyle name="Input 16 4 3 2 3" xfId="35606"/>
    <cellStyle name="Input 16 4 3 3" xfId="19911"/>
    <cellStyle name="Input 16 4 3 3 2" xfId="41098"/>
    <cellStyle name="Input 16 4 3 4" xfId="30415"/>
    <cellStyle name="Input 16 4 3_Table 2A-1_EFT (Annual)" xfId="15027"/>
    <cellStyle name="Input 16 4 4" xfId="10362"/>
    <cellStyle name="Input 16 4 4 2" xfId="22478"/>
    <cellStyle name="Input 16 4 4 2 2" xfId="43664"/>
    <cellStyle name="Input 16 4 4 3" xfId="33060"/>
    <cellStyle name="Input 16 4 5" xfId="17365"/>
    <cellStyle name="Input 16 4 5 2" xfId="38552"/>
    <cellStyle name="Input 16 4 6" xfId="27672"/>
    <cellStyle name="Input 16 4_Table 2A-1_EFT (Annual)" xfId="6833"/>
    <cellStyle name="Input 16 5" xfId="759"/>
    <cellStyle name="Input 16 5 2" xfId="4320"/>
    <cellStyle name="Input 16 5 2 2" xfId="12600"/>
    <cellStyle name="Input 16 5 2 2 2" xfId="24617"/>
    <cellStyle name="Input 16 5 2 2 2 2" xfId="45803"/>
    <cellStyle name="Input 16 5 2 2 3" xfId="35199"/>
    <cellStyle name="Input 16 5 2 3" xfId="19504"/>
    <cellStyle name="Input 16 5 2 3 2" xfId="40691"/>
    <cellStyle name="Input 16 5 2 4" xfId="29977"/>
    <cellStyle name="Input 16 5 2_Table 2A-1_EFT (Annual)" xfId="15028"/>
    <cellStyle name="Input 16 5 3" xfId="9948"/>
    <cellStyle name="Input 16 5 3 2" xfId="22071"/>
    <cellStyle name="Input 16 5 3 2 2" xfId="43257"/>
    <cellStyle name="Input 16 5 3 3" xfId="32653"/>
    <cellStyle name="Input 16 5 4" xfId="16958"/>
    <cellStyle name="Input 16 5 4 2" xfId="38145"/>
    <cellStyle name="Input 16 5 5" xfId="27234"/>
    <cellStyle name="Input 16 5_Table 2A-1_EFT (Annual)" xfId="6835"/>
    <cellStyle name="Input 16 6" xfId="1782"/>
    <cellStyle name="Input 16 6 2" xfId="5343"/>
    <cellStyle name="Input 16 6 2 2" xfId="13558"/>
    <cellStyle name="Input 16 6 2 2 2" xfId="25546"/>
    <cellStyle name="Input 16 6 2 2 2 2" xfId="46732"/>
    <cellStyle name="Input 16 6 2 2 3" xfId="36128"/>
    <cellStyle name="Input 16 6 2 3" xfId="20433"/>
    <cellStyle name="Input 16 6 2 3 2" xfId="41620"/>
    <cellStyle name="Input 16 6 2 4" xfId="31000"/>
    <cellStyle name="Input 16 6 2_Table 2A-1_EFT (Annual)" xfId="15029"/>
    <cellStyle name="Input 16 6 3" xfId="10902"/>
    <cellStyle name="Input 16 6 3 2" xfId="23000"/>
    <cellStyle name="Input 16 6 3 2 2" xfId="44186"/>
    <cellStyle name="Input 16 6 3 3" xfId="33582"/>
    <cellStyle name="Input 16 6 4" xfId="17887"/>
    <cellStyle name="Input 16 6 4 2" xfId="39074"/>
    <cellStyle name="Input 16 6 5" xfId="28257"/>
    <cellStyle name="Input 16 6_Table 2A-1_EFT (Annual)" xfId="6836"/>
    <cellStyle name="Input 16 7" xfId="3738"/>
    <cellStyle name="Input 16 7 2" xfId="12106"/>
    <cellStyle name="Input 16 7 2 2" xfId="24136"/>
    <cellStyle name="Input 16 7 2 2 2" xfId="45322"/>
    <cellStyle name="Input 16 7 2 3" xfId="34718"/>
    <cellStyle name="Input 16 7 3" xfId="19023"/>
    <cellStyle name="Input 16 7 3 2" xfId="40210"/>
    <cellStyle name="Input 16 7 4" xfId="29447"/>
    <cellStyle name="Input 16 7_Table 2A-1_EFT (Annual)" xfId="15030"/>
    <cellStyle name="Input 16 8" xfId="9425"/>
    <cellStyle name="Input 16 8 2" xfId="21590"/>
    <cellStyle name="Input 16 8 2 2" xfId="42776"/>
    <cellStyle name="Input 16 8 3" xfId="32172"/>
    <cellStyle name="Input 16 9" xfId="16477"/>
    <cellStyle name="Input 16 9 2" xfId="37664"/>
    <cellStyle name="Input 16_Table 2A-1_EFT (Annual)" xfId="3009"/>
    <cellStyle name="Input 17" xfId="139"/>
    <cellStyle name="Input 17 10" xfId="26694"/>
    <cellStyle name="Input 17 2" xfId="532"/>
    <cellStyle name="Input 17 2 2" xfId="1509"/>
    <cellStyle name="Input 17 2 2 2" xfId="2779"/>
    <cellStyle name="Input 17 2 2 2 2" xfId="6340"/>
    <cellStyle name="Input 17 2 2 2 2 2" xfId="14534"/>
    <cellStyle name="Input 17 2 2 2 2 2 2" xfId="26506"/>
    <cellStyle name="Input 17 2 2 2 2 2 2 2" xfId="47692"/>
    <cellStyle name="Input 17 2 2 2 2 2 3" xfId="37088"/>
    <cellStyle name="Input 17 2 2 2 2 3" xfId="21393"/>
    <cellStyle name="Input 17 2 2 2 2 3 2" xfId="42580"/>
    <cellStyle name="Input 17 2 2 2 2 4" xfId="31996"/>
    <cellStyle name="Input 17 2 2 2 2_Table 2A-1_EFT (Annual)" xfId="15031"/>
    <cellStyle name="Input 17 2 2 2 3" xfId="11876"/>
    <cellStyle name="Input 17 2 2 2 3 2" xfId="23960"/>
    <cellStyle name="Input 17 2 2 2 3 2 2" xfId="45146"/>
    <cellStyle name="Input 17 2 2 2 3 3" xfId="34542"/>
    <cellStyle name="Input 17 2 2 2 4" xfId="18847"/>
    <cellStyle name="Input 17 2 2 2 4 2" xfId="40034"/>
    <cellStyle name="Input 17 2 2 2 5" xfId="29253"/>
    <cellStyle name="Input 17 2 2 2_Table 2A-1_EFT (Annual)" xfId="6838"/>
    <cellStyle name="Input 17 2 2 3" xfId="5070"/>
    <cellStyle name="Input 17 2 2 3 2" xfId="13330"/>
    <cellStyle name="Input 17 2 2 3 2 2" xfId="25336"/>
    <cellStyle name="Input 17 2 2 3 2 2 2" xfId="46522"/>
    <cellStyle name="Input 17 2 2 3 2 3" xfId="35918"/>
    <cellStyle name="Input 17 2 2 3 3" xfId="20223"/>
    <cellStyle name="Input 17 2 2 3 3 2" xfId="41410"/>
    <cellStyle name="Input 17 2 2 3 4" xfId="30727"/>
    <cellStyle name="Input 17 2 2 3_Table 2A-1_EFT (Annual)" xfId="15032"/>
    <cellStyle name="Input 17 2 2 4" xfId="10674"/>
    <cellStyle name="Input 17 2 2 4 2" xfId="22790"/>
    <cellStyle name="Input 17 2 2 4 2 2" xfId="43976"/>
    <cellStyle name="Input 17 2 2 4 3" xfId="33372"/>
    <cellStyle name="Input 17 2 2 5" xfId="17677"/>
    <cellStyle name="Input 17 2 2 5 2" xfId="38864"/>
    <cellStyle name="Input 17 2 2 6" xfId="27984"/>
    <cellStyle name="Input 17 2 2_Table 2A-1_EFT (Annual)" xfId="6837"/>
    <cellStyle name="Input 17 2 3" xfId="1041"/>
    <cellStyle name="Input 17 2 3 2" xfId="4602"/>
    <cellStyle name="Input 17 2 3 2 2" xfId="12862"/>
    <cellStyle name="Input 17 2 3 2 2 2" xfId="24868"/>
    <cellStyle name="Input 17 2 3 2 2 2 2" xfId="46054"/>
    <cellStyle name="Input 17 2 3 2 2 3" xfId="35450"/>
    <cellStyle name="Input 17 2 3 2 3" xfId="19755"/>
    <cellStyle name="Input 17 2 3 2 3 2" xfId="40942"/>
    <cellStyle name="Input 17 2 3 2 4" xfId="30259"/>
    <cellStyle name="Input 17 2 3 2_Table 2A-1_EFT (Annual)" xfId="15033"/>
    <cellStyle name="Input 17 2 3 3" xfId="10206"/>
    <cellStyle name="Input 17 2 3 3 2" xfId="22322"/>
    <cellStyle name="Input 17 2 3 3 2 2" xfId="43508"/>
    <cellStyle name="Input 17 2 3 3 3" xfId="32904"/>
    <cellStyle name="Input 17 2 3 4" xfId="17209"/>
    <cellStyle name="Input 17 2 3 4 2" xfId="38396"/>
    <cellStyle name="Input 17 2 3 5" xfId="27516"/>
    <cellStyle name="Input 17 2 3_Table 2A-1_EFT (Annual)" xfId="6839"/>
    <cellStyle name="Input 17 2 4" xfId="2248"/>
    <cellStyle name="Input 17 2 4 2" xfId="5809"/>
    <cellStyle name="Input 17 2 4 2 2" xfId="14024"/>
    <cellStyle name="Input 17 2 4 2 2 2" xfId="26012"/>
    <cellStyle name="Input 17 2 4 2 2 2 2" xfId="47198"/>
    <cellStyle name="Input 17 2 4 2 2 3" xfId="36594"/>
    <cellStyle name="Input 17 2 4 2 3" xfId="20899"/>
    <cellStyle name="Input 17 2 4 2 3 2" xfId="42086"/>
    <cellStyle name="Input 17 2 4 2 4" xfId="31466"/>
    <cellStyle name="Input 17 2 4 2_Table 2A-1_EFT (Annual)" xfId="15034"/>
    <cellStyle name="Input 17 2 4 3" xfId="11368"/>
    <cellStyle name="Input 17 2 4 3 2" xfId="23466"/>
    <cellStyle name="Input 17 2 4 3 2 2" xfId="44652"/>
    <cellStyle name="Input 17 2 4 3 3" xfId="34048"/>
    <cellStyle name="Input 17 2 4 4" xfId="18353"/>
    <cellStyle name="Input 17 2 4 4 2" xfId="39540"/>
    <cellStyle name="Input 17 2 4 5" xfId="28723"/>
    <cellStyle name="Input 17 2 4_Table 2A-1_EFT (Annual)" xfId="6840"/>
    <cellStyle name="Input 17 2 5" xfId="4102"/>
    <cellStyle name="Input 17 2 5 2" xfId="12426"/>
    <cellStyle name="Input 17 2 5 2 2" xfId="24448"/>
    <cellStyle name="Input 17 2 5 2 2 2" xfId="45634"/>
    <cellStyle name="Input 17 2 5 2 3" xfId="35030"/>
    <cellStyle name="Input 17 2 5 3" xfId="19335"/>
    <cellStyle name="Input 17 2 5 3 2" xfId="40522"/>
    <cellStyle name="Input 17 2 5 4" xfId="29790"/>
    <cellStyle name="Input 17 2 5_Table 2A-1_EFT (Annual)" xfId="15035"/>
    <cellStyle name="Input 17 2 6" xfId="9765"/>
    <cellStyle name="Input 17 2 6 2" xfId="21902"/>
    <cellStyle name="Input 17 2 6 2 2" xfId="43088"/>
    <cellStyle name="Input 17 2 6 3" xfId="32484"/>
    <cellStyle name="Input 17 2 7" xfId="16789"/>
    <cellStyle name="Input 17 2 7 2" xfId="37976"/>
    <cellStyle name="Input 17 2 8" xfId="27047"/>
    <cellStyle name="Input 17 2_Table 2A-1_EFT (Annual)" xfId="3013"/>
    <cellStyle name="Input 17 3" xfId="370"/>
    <cellStyle name="Input 17 3 2" xfId="1353"/>
    <cellStyle name="Input 17 3 2 2" xfId="2623"/>
    <cellStyle name="Input 17 3 2 2 2" xfId="6184"/>
    <cellStyle name="Input 17 3 2 2 2 2" xfId="14378"/>
    <cellStyle name="Input 17 3 2 2 2 2 2" xfId="26350"/>
    <cellStyle name="Input 17 3 2 2 2 2 2 2" xfId="47536"/>
    <cellStyle name="Input 17 3 2 2 2 2 3" xfId="36932"/>
    <cellStyle name="Input 17 3 2 2 2 3" xfId="21237"/>
    <cellStyle name="Input 17 3 2 2 2 3 2" xfId="42424"/>
    <cellStyle name="Input 17 3 2 2 2 4" xfId="31840"/>
    <cellStyle name="Input 17 3 2 2 2_Table 2A-1_EFT (Annual)" xfId="15036"/>
    <cellStyle name="Input 17 3 2 2 3" xfId="11720"/>
    <cellStyle name="Input 17 3 2 2 3 2" xfId="23804"/>
    <cellStyle name="Input 17 3 2 2 3 2 2" xfId="44990"/>
    <cellStyle name="Input 17 3 2 2 3 3" xfId="34386"/>
    <cellStyle name="Input 17 3 2 2 4" xfId="18691"/>
    <cellStyle name="Input 17 3 2 2 4 2" xfId="39878"/>
    <cellStyle name="Input 17 3 2 2 5" xfId="29097"/>
    <cellStyle name="Input 17 3 2 2_Table 2A-1_EFT (Annual)" xfId="6842"/>
    <cellStyle name="Input 17 3 2 3" xfId="4914"/>
    <cellStyle name="Input 17 3 2 3 2" xfId="13174"/>
    <cellStyle name="Input 17 3 2 3 2 2" xfId="25180"/>
    <cellStyle name="Input 17 3 2 3 2 2 2" xfId="46366"/>
    <cellStyle name="Input 17 3 2 3 2 3" xfId="35762"/>
    <cellStyle name="Input 17 3 2 3 3" xfId="20067"/>
    <cellStyle name="Input 17 3 2 3 3 2" xfId="41254"/>
    <cellStyle name="Input 17 3 2 3 4" xfId="30571"/>
    <cellStyle name="Input 17 3 2 3_Table 2A-1_EFT (Annual)" xfId="15037"/>
    <cellStyle name="Input 17 3 2 4" xfId="10518"/>
    <cellStyle name="Input 17 3 2 4 2" xfId="22634"/>
    <cellStyle name="Input 17 3 2 4 2 2" xfId="43820"/>
    <cellStyle name="Input 17 3 2 4 3" xfId="33216"/>
    <cellStyle name="Input 17 3 2 5" xfId="17521"/>
    <cellStyle name="Input 17 3 2 5 2" xfId="38708"/>
    <cellStyle name="Input 17 3 2 6" xfId="27828"/>
    <cellStyle name="Input 17 3 2_Table 2A-1_EFT (Annual)" xfId="6841"/>
    <cellStyle name="Input 17 3 3" xfId="909"/>
    <cellStyle name="Input 17 3 3 2" xfId="4470"/>
    <cellStyle name="Input 17 3 3 2 2" xfId="12732"/>
    <cellStyle name="Input 17 3 3 2 2 2" xfId="24742"/>
    <cellStyle name="Input 17 3 3 2 2 2 2" xfId="45928"/>
    <cellStyle name="Input 17 3 3 2 2 3" xfId="35324"/>
    <cellStyle name="Input 17 3 3 2 3" xfId="19629"/>
    <cellStyle name="Input 17 3 3 2 3 2" xfId="40816"/>
    <cellStyle name="Input 17 3 3 2 4" xfId="30127"/>
    <cellStyle name="Input 17 3 3 2_Table 2A-1_EFT (Annual)" xfId="15038"/>
    <cellStyle name="Input 17 3 3 3" xfId="10079"/>
    <cellStyle name="Input 17 3 3 3 2" xfId="22196"/>
    <cellStyle name="Input 17 3 3 3 2 2" xfId="43382"/>
    <cellStyle name="Input 17 3 3 3 3" xfId="32778"/>
    <cellStyle name="Input 17 3 3 4" xfId="17083"/>
    <cellStyle name="Input 17 3 3 4 2" xfId="38270"/>
    <cellStyle name="Input 17 3 3 5" xfId="27384"/>
    <cellStyle name="Input 17 3 3_Table 2A-1_EFT (Annual)" xfId="6843"/>
    <cellStyle name="Input 17 3 4" xfId="2092"/>
    <cellStyle name="Input 17 3 4 2" xfId="5653"/>
    <cellStyle name="Input 17 3 4 2 2" xfId="13868"/>
    <cellStyle name="Input 17 3 4 2 2 2" xfId="25856"/>
    <cellStyle name="Input 17 3 4 2 2 2 2" xfId="47042"/>
    <cellStyle name="Input 17 3 4 2 2 3" xfId="36438"/>
    <cellStyle name="Input 17 3 4 2 3" xfId="20743"/>
    <cellStyle name="Input 17 3 4 2 3 2" xfId="41930"/>
    <cellStyle name="Input 17 3 4 2 4" xfId="31310"/>
    <cellStyle name="Input 17 3 4 2_Table 2A-1_EFT (Annual)" xfId="15039"/>
    <cellStyle name="Input 17 3 4 3" xfId="11212"/>
    <cellStyle name="Input 17 3 4 3 2" xfId="23310"/>
    <cellStyle name="Input 17 3 4 3 2 2" xfId="44496"/>
    <cellStyle name="Input 17 3 4 3 3" xfId="33892"/>
    <cellStyle name="Input 17 3 4 4" xfId="18197"/>
    <cellStyle name="Input 17 3 4 4 2" xfId="39384"/>
    <cellStyle name="Input 17 3 4 5" xfId="28567"/>
    <cellStyle name="Input 17 3 4_Table 2A-1_EFT (Annual)" xfId="6844"/>
    <cellStyle name="Input 17 3 5" xfId="3940"/>
    <cellStyle name="Input 17 3 5 2" xfId="12268"/>
    <cellStyle name="Input 17 3 5 2 2" xfId="24292"/>
    <cellStyle name="Input 17 3 5 2 2 2" xfId="45478"/>
    <cellStyle name="Input 17 3 5 2 3" xfId="34874"/>
    <cellStyle name="Input 17 3 5 3" xfId="19179"/>
    <cellStyle name="Input 17 3 5 3 2" xfId="40366"/>
    <cellStyle name="Input 17 3 5 4" xfId="29628"/>
    <cellStyle name="Input 17 3 5_Table 2A-1_EFT (Annual)" xfId="15040"/>
    <cellStyle name="Input 17 3 6" xfId="9605"/>
    <cellStyle name="Input 17 3 6 2" xfId="21746"/>
    <cellStyle name="Input 17 3 6 2 2" xfId="42932"/>
    <cellStyle name="Input 17 3 6 3" xfId="32328"/>
    <cellStyle name="Input 17 3 7" xfId="16633"/>
    <cellStyle name="Input 17 3 7 2" xfId="37820"/>
    <cellStyle name="Input 17 3 8" xfId="26885"/>
    <cellStyle name="Input 17 3_Table 2A-1_EFT (Annual)" xfId="3014"/>
    <cellStyle name="Input 17 4" xfId="1187"/>
    <cellStyle name="Input 17 4 2" xfId="2457"/>
    <cellStyle name="Input 17 4 2 2" xfId="6018"/>
    <cellStyle name="Input 17 4 2 2 2" xfId="14212"/>
    <cellStyle name="Input 17 4 2 2 2 2" xfId="26184"/>
    <cellStyle name="Input 17 4 2 2 2 2 2" xfId="47370"/>
    <cellStyle name="Input 17 4 2 2 2 3" xfId="36766"/>
    <cellStyle name="Input 17 4 2 2 3" xfId="21071"/>
    <cellStyle name="Input 17 4 2 2 3 2" xfId="42258"/>
    <cellStyle name="Input 17 4 2 2 4" xfId="31674"/>
    <cellStyle name="Input 17 4 2 2_Table 2A-1_EFT (Annual)" xfId="15041"/>
    <cellStyle name="Input 17 4 2 3" xfId="11554"/>
    <cellStyle name="Input 17 4 2 3 2" xfId="23638"/>
    <cellStyle name="Input 17 4 2 3 2 2" xfId="44824"/>
    <cellStyle name="Input 17 4 2 3 3" xfId="34220"/>
    <cellStyle name="Input 17 4 2 4" xfId="18525"/>
    <cellStyle name="Input 17 4 2 4 2" xfId="39712"/>
    <cellStyle name="Input 17 4 2 5" xfId="28931"/>
    <cellStyle name="Input 17 4 2_Table 2A-1_EFT (Annual)" xfId="6846"/>
    <cellStyle name="Input 17 4 3" xfId="4748"/>
    <cellStyle name="Input 17 4 3 2" xfId="13008"/>
    <cellStyle name="Input 17 4 3 2 2" xfId="25014"/>
    <cellStyle name="Input 17 4 3 2 2 2" xfId="46200"/>
    <cellStyle name="Input 17 4 3 2 3" xfId="35596"/>
    <cellStyle name="Input 17 4 3 3" xfId="19901"/>
    <cellStyle name="Input 17 4 3 3 2" xfId="41088"/>
    <cellStyle name="Input 17 4 3 4" xfId="30405"/>
    <cellStyle name="Input 17 4 3_Table 2A-1_EFT (Annual)" xfId="15042"/>
    <cellStyle name="Input 17 4 4" xfId="10352"/>
    <cellStyle name="Input 17 4 4 2" xfId="22468"/>
    <cellStyle name="Input 17 4 4 2 2" xfId="43654"/>
    <cellStyle name="Input 17 4 4 3" xfId="33050"/>
    <cellStyle name="Input 17 4 5" xfId="17355"/>
    <cellStyle name="Input 17 4 5 2" xfId="38542"/>
    <cellStyle name="Input 17 4 6" xfId="27662"/>
    <cellStyle name="Input 17 4_Table 2A-1_EFT (Annual)" xfId="6845"/>
    <cellStyle name="Input 17 5" xfId="750"/>
    <cellStyle name="Input 17 5 2" xfId="4311"/>
    <cellStyle name="Input 17 5 2 2" xfId="12591"/>
    <cellStyle name="Input 17 5 2 2 2" xfId="24608"/>
    <cellStyle name="Input 17 5 2 2 2 2" xfId="45794"/>
    <cellStyle name="Input 17 5 2 2 3" xfId="35190"/>
    <cellStyle name="Input 17 5 2 3" xfId="19495"/>
    <cellStyle name="Input 17 5 2 3 2" xfId="40682"/>
    <cellStyle name="Input 17 5 2 4" xfId="29968"/>
    <cellStyle name="Input 17 5 2_Table 2A-1_EFT (Annual)" xfId="15043"/>
    <cellStyle name="Input 17 5 3" xfId="9939"/>
    <cellStyle name="Input 17 5 3 2" xfId="22062"/>
    <cellStyle name="Input 17 5 3 2 2" xfId="43248"/>
    <cellStyle name="Input 17 5 3 3" xfId="32644"/>
    <cellStyle name="Input 17 5 4" xfId="16949"/>
    <cellStyle name="Input 17 5 4 2" xfId="38136"/>
    <cellStyle name="Input 17 5 5" xfId="27225"/>
    <cellStyle name="Input 17 5_Table 2A-1_EFT (Annual)" xfId="6847"/>
    <cellStyle name="Input 17 6" xfId="1787"/>
    <cellStyle name="Input 17 6 2" xfId="5348"/>
    <cellStyle name="Input 17 6 2 2" xfId="13563"/>
    <cellStyle name="Input 17 6 2 2 2" xfId="25551"/>
    <cellStyle name="Input 17 6 2 2 2 2" xfId="46737"/>
    <cellStyle name="Input 17 6 2 2 3" xfId="36133"/>
    <cellStyle name="Input 17 6 2 3" xfId="20438"/>
    <cellStyle name="Input 17 6 2 3 2" xfId="41625"/>
    <cellStyle name="Input 17 6 2 4" xfId="31005"/>
    <cellStyle name="Input 17 6 2_Table 2A-1_EFT (Annual)" xfId="15044"/>
    <cellStyle name="Input 17 6 3" xfId="10907"/>
    <cellStyle name="Input 17 6 3 2" xfId="23005"/>
    <cellStyle name="Input 17 6 3 2 2" xfId="44191"/>
    <cellStyle name="Input 17 6 3 3" xfId="33587"/>
    <cellStyle name="Input 17 6 4" xfId="17892"/>
    <cellStyle name="Input 17 6 4 2" xfId="39079"/>
    <cellStyle name="Input 17 6 5" xfId="28262"/>
    <cellStyle name="Input 17 6_Table 2A-1_EFT (Annual)" xfId="6848"/>
    <cellStyle name="Input 17 7" xfId="3728"/>
    <cellStyle name="Input 17 7 2" xfId="12096"/>
    <cellStyle name="Input 17 7 2 2" xfId="24126"/>
    <cellStyle name="Input 17 7 2 2 2" xfId="45312"/>
    <cellStyle name="Input 17 7 2 3" xfId="34708"/>
    <cellStyle name="Input 17 7 3" xfId="19013"/>
    <cellStyle name="Input 17 7 3 2" xfId="40200"/>
    <cellStyle name="Input 17 7 4" xfId="29437"/>
    <cellStyle name="Input 17 7_Table 2A-1_EFT (Annual)" xfId="15045"/>
    <cellStyle name="Input 17 8" xfId="9415"/>
    <cellStyle name="Input 17 8 2" xfId="21580"/>
    <cellStyle name="Input 17 8 2 2" xfId="42766"/>
    <cellStyle name="Input 17 8 3" xfId="32162"/>
    <cellStyle name="Input 17 9" xfId="16467"/>
    <cellStyle name="Input 17 9 2" xfId="37654"/>
    <cellStyle name="Input 17_Table 2A-1_EFT (Annual)" xfId="3012"/>
    <cellStyle name="Input 18" xfId="170"/>
    <cellStyle name="Input 18 10" xfId="26725"/>
    <cellStyle name="Input 18 2" xfId="563"/>
    <cellStyle name="Input 18 2 2" xfId="1540"/>
    <cellStyle name="Input 18 2 2 2" xfId="2810"/>
    <cellStyle name="Input 18 2 2 2 2" xfId="6371"/>
    <cellStyle name="Input 18 2 2 2 2 2" xfId="14565"/>
    <cellStyle name="Input 18 2 2 2 2 2 2" xfId="26537"/>
    <cellStyle name="Input 18 2 2 2 2 2 2 2" xfId="47723"/>
    <cellStyle name="Input 18 2 2 2 2 2 3" xfId="37119"/>
    <cellStyle name="Input 18 2 2 2 2 3" xfId="21424"/>
    <cellStyle name="Input 18 2 2 2 2 3 2" xfId="42611"/>
    <cellStyle name="Input 18 2 2 2 2 4" xfId="32027"/>
    <cellStyle name="Input 18 2 2 2 2_Table 2A-1_EFT (Annual)" xfId="15046"/>
    <cellStyle name="Input 18 2 2 2 3" xfId="11907"/>
    <cellStyle name="Input 18 2 2 2 3 2" xfId="23991"/>
    <cellStyle name="Input 18 2 2 2 3 2 2" xfId="45177"/>
    <cellStyle name="Input 18 2 2 2 3 3" xfId="34573"/>
    <cellStyle name="Input 18 2 2 2 4" xfId="18878"/>
    <cellStyle name="Input 18 2 2 2 4 2" xfId="40065"/>
    <cellStyle name="Input 18 2 2 2 5" xfId="29284"/>
    <cellStyle name="Input 18 2 2 2_Table 2A-1_EFT (Annual)" xfId="6850"/>
    <cellStyle name="Input 18 2 2 3" xfId="5101"/>
    <cellStyle name="Input 18 2 2 3 2" xfId="13361"/>
    <cellStyle name="Input 18 2 2 3 2 2" xfId="25367"/>
    <cellStyle name="Input 18 2 2 3 2 2 2" xfId="46553"/>
    <cellStyle name="Input 18 2 2 3 2 3" xfId="35949"/>
    <cellStyle name="Input 18 2 2 3 3" xfId="20254"/>
    <cellStyle name="Input 18 2 2 3 3 2" xfId="41441"/>
    <cellStyle name="Input 18 2 2 3 4" xfId="30758"/>
    <cellStyle name="Input 18 2 2 3_Table 2A-1_EFT (Annual)" xfId="15047"/>
    <cellStyle name="Input 18 2 2 4" xfId="10705"/>
    <cellStyle name="Input 18 2 2 4 2" xfId="22821"/>
    <cellStyle name="Input 18 2 2 4 2 2" xfId="44007"/>
    <cellStyle name="Input 18 2 2 4 3" xfId="33403"/>
    <cellStyle name="Input 18 2 2 5" xfId="17708"/>
    <cellStyle name="Input 18 2 2 5 2" xfId="38895"/>
    <cellStyle name="Input 18 2 2 6" xfId="28015"/>
    <cellStyle name="Input 18 2 2_Table 2A-1_EFT (Annual)" xfId="6849"/>
    <cellStyle name="Input 18 2 3" xfId="1066"/>
    <cellStyle name="Input 18 2 3 2" xfId="4627"/>
    <cellStyle name="Input 18 2 3 2 2" xfId="12887"/>
    <cellStyle name="Input 18 2 3 2 2 2" xfId="24893"/>
    <cellStyle name="Input 18 2 3 2 2 2 2" xfId="46079"/>
    <cellStyle name="Input 18 2 3 2 2 3" xfId="35475"/>
    <cellStyle name="Input 18 2 3 2 3" xfId="19780"/>
    <cellStyle name="Input 18 2 3 2 3 2" xfId="40967"/>
    <cellStyle name="Input 18 2 3 2 4" xfId="30284"/>
    <cellStyle name="Input 18 2 3 2_Table 2A-1_EFT (Annual)" xfId="15048"/>
    <cellStyle name="Input 18 2 3 3" xfId="10231"/>
    <cellStyle name="Input 18 2 3 3 2" xfId="22347"/>
    <cellStyle name="Input 18 2 3 3 2 2" xfId="43533"/>
    <cellStyle name="Input 18 2 3 3 3" xfId="32929"/>
    <cellStyle name="Input 18 2 3 4" xfId="17234"/>
    <cellStyle name="Input 18 2 3 4 2" xfId="38421"/>
    <cellStyle name="Input 18 2 3 5" xfId="27541"/>
    <cellStyle name="Input 18 2 3_Table 2A-1_EFT (Annual)" xfId="6851"/>
    <cellStyle name="Input 18 2 4" xfId="2279"/>
    <cellStyle name="Input 18 2 4 2" xfId="5840"/>
    <cellStyle name="Input 18 2 4 2 2" xfId="14055"/>
    <cellStyle name="Input 18 2 4 2 2 2" xfId="26043"/>
    <cellStyle name="Input 18 2 4 2 2 2 2" xfId="47229"/>
    <cellStyle name="Input 18 2 4 2 2 3" xfId="36625"/>
    <cellStyle name="Input 18 2 4 2 3" xfId="20930"/>
    <cellStyle name="Input 18 2 4 2 3 2" xfId="42117"/>
    <cellStyle name="Input 18 2 4 2 4" xfId="31497"/>
    <cellStyle name="Input 18 2 4 2_Table 2A-1_EFT (Annual)" xfId="15049"/>
    <cellStyle name="Input 18 2 4 3" xfId="11399"/>
    <cellStyle name="Input 18 2 4 3 2" xfId="23497"/>
    <cellStyle name="Input 18 2 4 3 2 2" xfId="44683"/>
    <cellStyle name="Input 18 2 4 3 3" xfId="34079"/>
    <cellStyle name="Input 18 2 4 4" xfId="18384"/>
    <cellStyle name="Input 18 2 4 4 2" xfId="39571"/>
    <cellStyle name="Input 18 2 4 5" xfId="28754"/>
    <cellStyle name="Input 18 2 4_Table 2A-1_EFT (Annual)" xfId="6852"/>
    <cellStyle name="Input 18 2 5" xfId="4133"/>
    <cellStyle name="Input 18 2 5 2" xfId="12457"/>
    <cellStyle name="Input 18 2 5 2 2" xfId="24479"/>
    <cellStyle name="Input 18 2 5 2 2 2" xfId="45665"/>
    <cellStyle name="Input 18 2 5 2 3" xfId="35061"/>
    <cellStyle name="Input 18 2 5 3" xfId="19366"/>
    <cellStyle name="Input 18 2 5 3 2" xfId="40553"/>
    <cellStyle name="Input 18 2 5 4" xfId="29821"/>
    <cellStyle name="Input 18 2 5_Table 2A-1_EFT (Annual)" xfId="15050"/>
    <cellStyle name="Input 18 2 6" xfId="9796"/>
    <cellStyle name="Input 18 2 6 2" xfId="21933"/>
    <cellStyle name="Input 18 2 6 2 2" xfId="43119"/>
    <cellStyle name="Input 18 2 6 3" xfId="32515"/>
    <cellStyle name="Input 18 2 7" xfId="16820"/>
    <cellStyle name="Input 18 2 7 2" xfId="38007"/>
    <cellStyle name="Input 18 2 8" xfId="27078"/>
    <cellStyle name="Input 18 2_Table 2A-1_EFT (Annual)" xfId="3016"/>
    <cellStyle name="Input 18 3" xfId="401"/>
    <cellStyle name="Input 18 3 2" xfId="1384"/>
    <cellStyle name="Input 18 3 2 2" xfId="2654"/>
    <cellStyle name="Input 18 3 2 2 2" xfId="6215"/>
    <cellStyle name="Input 18 3 2 2 2 2" xfId="14409"/>
    <cellStyle name="Input 18 3 2 2 2 2 2" xfId="26381"/>
    <cellStyle name="Input 18 3 2 2 2 2 2 2" xfId="47567"/>
    <cellStyle name="Input 18 3 2 2 2 2 3" xfId="36963"/>
    <cellStyle name="Input 18 3 2 2 2 3" xfId="21268"/>
    <cellStyle name="Input 18 3 2 2 2 3 2" xfId="42455"/>
    <cellStyle name="Input 18 3 2 2 2 4" xfId="31871"/>
    <cellStyle name="Input 18 3 2 2 2_Table 2A-1_EFT (Annual)" xfId="15051"/>
    <cellStyle name="Input 18 3 2 2 3" xfId="11751"/>
    <cellStyle name="Input 18 3 2 2 3 2" xfId="23835"/>
    <cellStyle name="Input 18 3 2 2 3 2 2" xfId="45021"/>
    <cellStyle name="Input 18 3 2 2 3 3" xfId="34417"/>
    <cellStyle name="Input 18 3 2 2 4" xfId="18722"/>
    <cellStyle name="Input 18 3 2 2 4 2" xfId="39909"/>
    <cellStyle name="Input 18 3 2 2 5" xfId="29128"/>
    <cellStyle name="Input 18 3 2 2_Table 2A-1_EFT (Annual)" xfId="6854"/>
    <cellStyle name="Input 18 3 2 3" xfId="4945"/>
    <cellStyle name="Input 18 3 2 3 2" xfId="13205"/>
    <cellStyle name="Input 18 3 2 3 2 2" xfId="25211"/>
    <cellStyle name="Input 18 3 2 3 2 2 2" xfId="46397"/>
    <cellStyle name="Input 18 3 2 3 2 3" xfId="35793"/>
    <cellStyle name="Input 18 3 2 3 3" xfId="20098"/>
    <cellStyle name="Input 18 3 2 3 3 2" xfId="41285"/>
    <cellStyle name="Input 18 3 2 3 4" xfId="30602"/>
    <cellStyle name="Input 18 3 2 3_Table 2A-1_EFT (Annual)" xfId="15052"/>
    <cellStyle name="Input 18 3 2 4" xfId="10549"/>
    <cellStyle name="Input 18 3 2 4 2" xfId="22665"/>
    <cellStyle name="Input 18 3 2 4 2 2" xfId="43851"/>
    <cellStyle name="Input 18 3 2 4 3" xfId="33247"/>
    <cellStyle name="Input 18 3 2 5" xfId="17552"/>
    <cellStyle name="Input 18 3 2 5 2" xfId="38739"/>
    <cellStyle name="Input 18 3 2 6" xfId="27859"/>
    <cellStyle name="Input 18 3 2_Table 2A-1_EFT (Annual)" xfId="6853"/>
    <cellStyle name="Input 18 3 3" xfId="934"/>
    <cellStyle name="Input 18 3 3 2" xfId="4495"/>
    <cellStyle name="Input 18 3 3 2 2" xfId="12757"/>
    <cellStyle name="Input 18 3 3 2 2 2" xfId="24767"/>
    <cellStyle name="Input 18 3 3 2 2 2 2" xfId="45953"/>
    <cellStyle name="Input 18 3 3 2 2 3" xfId="35349"/>
    <cellStyle name="Input 18 3 3 2 3" xfId="19654"/>
    <cellStyle name="Input 18 3 3 2 3 2" xfId="40841"/>
    <cellStyle name="Input 18 3 3 2 4" xfId="30152"/>
    <cellStyle name="Input 18 3 3 2_Table 2A-1_EFT (Annual)" xfId="15053"/>
    <cellStyle name="Input 18 3 3 3" xfId="10104"/>
    <cellStyle name="Input 18 3 3 3 2" xfId="22221"/>
    <cellStyle name="Input 18 3 3 3 2 2" xfId="43407"/>
    <cellStyle name="Input 18 3 3 3 3" xfId="32803"/>
    <cellStyle name="Input 18 3 3 4" xfId="17108"/>
    <cellStyle name="Input 18 3 3 4 2" xfId="38295"/>
    <cellStyle name="Input 18 3 3 5" xfId="27409"/>
    <cellStyle name="Input 18 3 3_Table 2A-1_EFT (Annual)" xfId="6855"/>
    <cellStyle name="Input 18 3 4" xfId="2123"/>
    <cellStyle name="Input 18 3 4 2" xfId="5684"/>
    <cellStyle name="Input 18 3 4 2 2" xfId="13899"/>
    <cellStyle name="Input 18 3 4 2 2 2" xfId="25887"/>
    <cellStyle name="Input 18 3 4 2 2 2 2" xfId="47073"/>
    <cellStyle name="Input 18 3 4 2 2 3" xfId="36469"/>
    <cellStyle name="Input 18 3 4 2 3" xfId="20774"/>
    <cellStyle name="Input 18 3 4 2 3 2" xfId="41961"/>
    <cellStyle name="Input 18 3 4 2 4" xfId="31341"/>
    <cellStyle name="Input 18 3 4 2_Table 2A-1_EFT (Annual)" xfId="15054"/>
    <cellStyle name="Input 18 3 4 3" xfId="11243"/>
    <cellStyle name="Input 18 3 4 3 2" xfId="23341"/>
    <cellStyle name="Input 18 3 4 3 2 2" xfId="44527"/>
    <cellStyle name="Input 18 3 4 3 3" xfId="33923"/>
    <cellStyle name="Input 18 3 4 4" xfId="18228"/>
    <cellStyle name="Input 18 3 4 4 2" xfId="39415"/>
    <cellStyle name="Input 18 3 4 5" xfId="28598"/>
    <cellStyle name="Input 18 3 4_Table 2A-1_EFT (Annual)" xfId="6856"/>
    <cellStyle name="Input 18 3 5" xfId="3971"/>
    <cellStyle name="Input 18 3 5 2" xfId="12299"/>
    <cellStyle name="Input 18 3 5 2 2" xfId="24323"/>
    <cellStyle name="Input 18 3 5 2 2 2" xfId="45509"/>
    <cellStyle name="Input 18 3 5 2 3" xfId="34905"/>
    <cellStyle name="Input 18 3 5 3" xfId="19210"/>
    <cellStyle name="Input 18 3 5 3 2" xfId="40397"/>
    <cellStyle name="Input 18 3 5 4" xfId="29659"/>
    <cellStyle name="Input 18 3 5_Table 2A-1_EFT (Annual)" xfId="15055"/>
    <cellStyle name="Input 18 3 6" xfId="9636"/>
    <cellStyle name="Input 18 3 6 2" xfId="21777"/>
    <cellStyle name="Input 18 3 6 2 2" xfId="42963"/>
    <cellStyle name="Input 18 3 6 3" xfId="32359"/>
    <cellStyle name="Input 18 3 7" xfId="16664"/>
    <cellStyle name="Input 18 3 7 2" xfId="37851"/>
    <cellStyle name="Input 18 3 8" xfId="26916"/>
    <cellStyle name="Input 18 3_Table 2A-1_EFT (Annual)" xfId="3017"/>
    <cellStyle name="Input 18 4" xfId="1218"/>
    <cellStyle name="Input 18 4 2" xfId="2488"/>
    <cellStyle name="Input 18 4 2 2" xfId="6049"/>
    <cellStyle name="Input 18 4 2 2 2" xfId="14243"/>
    <cellStyle name="Input 18 4 2 2 2 2" xfId="26215"/>
    <cellStyle name="Input 18 4 2 2 2 2 2" xfId="47401"/>
    <cellStyle name="Input 18 4 2 2 2 3" xfId="36797"/>
    <cellStyle name="Input 18 4 2 2 3" xfId="21102"/>
    <cellStyle name="Input 18 4 2 2 3 2" xfId="42289"/>
    <cellStyle name="Input 18 4 2 2 4" xfId="31705"/>
    <cellStyle name="Input 18 4 2 2_Table 2A-1_EFT (Annual)" xfId="15056"/>
    <cellStyle name="Input 18 4 2 3" xfId="11585"/>
    <cellStyle name="Input 18 4 2 3 2" xfId="23669"/>
    <cellStyle name="Input 18 4 2 3 2 2" xfId="44855"/>
    <cellStyle name="Input 18 4 2 3 3" xfId="34251"/>
    <cellStyle name="Input 18 4 2 4" xfId="18556"/>
    <cellStyle name="Input 18 4 2 4 2" xfId="39743"/>
    <cellStyle name="Input 18 4 2 5" xfId="28962"/>
    <cellStyle name="Input 18 4 2_Table 2A-1_EFT (Annual)" xfId="6858"/>
    <cellStyle name="Input 18 4 3" xfId="4779"/>
    <cellStyle name="Input 18 4 3 2" xfId="13039"/>
    <cellStyle name="Input 18 4 3 2 2" xfId="25045"/>
    <cellStyle name="Input 18 4 3 2 2 2" xfId="46231"/>
    <cellStyle name="Input 18 4 3 2 3" xfId="35627"/>
    <cellStyle name="Input 18 4 3 3" xfId="19932"/>
    <cellStyle name="Input 18 4 3 3 2" xfId="41119"/>
    <cellStyle name="Input 18 4 3 4" xfId="30436"/>
    <cellStyle name="Input 18 4 3_Table 2A-1_EFT (Annual)" xfId="15057"/>
    <cellStyle name="Input 18 4 4" xfId="10383"/>
    <cellStyle name="Input 18 4 4 2" xfId="22499"/>
    <cellStyle name="Input 18 4 4 2 2" xfId="43685"/>
    <cellStyle name="Input 18 4 4 3" xfId="33081"/>
    <cellStyle name="Input 18 4 5" xfId="17386"/>
    <cellStyle name="Input 18 4 5 2" xfId="38573"/>
    <cellStyle name="Input 18 4 6" xfId="27693"/>
    <cellStyle name="Input 18 4_Table 2A-1_EFT (Annual)" xfId="6857"/>
    <cellStyle name="Input 18 5" xfId="775"/>
    <cellStyle name="Input 18 5 2" xfId="4336"/>
    <cellStyle name="Input 18 5 2 2" xfId="12616"/>
    <cellStyle name="Input 18 5 2 2 2" xfId="24633"/>
    <cellStyle name="Input 18 5 2 2 2 2" xfId="45819"/>
    <cellStyle name="Input 18 5 2 2 3" xfId="35215"/>
    <cellStyle name="Input 18 5 2 3" xfId="19520"/>
    <cellStyle name="Input 18 5 2 3 2" xfId="40707"/>
    <cellStyle name="Input 18 5 2 4" xfId="29993"/>
    <cellStyle name="Input 18 5 2_Table 2A-1_EFT (Annual)" xfId="15058"/>
    <cellStyle name="Input 18 5 3" xfId="9964"/>
    <cellStyle name="Input 18 5 3 2" xfId="22087"/>
    <cellStyle name="Input 18 5 3 2 2" xfId="43273"/>
    <cellStyle name="Input 18 5 3 3" xfId="32669"/>
    <cellStyle name="Input 18 5 4" xfId="16974"/>
    <cellStyle name="Input 18 5 4 2" xfId="38161"/>
    <cellStyle name="Input 18 5 5" xfId="27250"/>
    <cellStyle name="Input 18 5_Table 2A-1_EFT (Annual)" xfId="6859"/>
    <cellStyle name="Input 18 6" xfId="1957"/>
    <cellStyle name="Input 18 6 2" xfId="5518"/>
    <cellStyle name="Input 18 6 2 2" xfId="13733"/>
    <cellStyle name="Input 18 6 2 2 2" xfId="25721"/>
    <cellStyle name="Input 18 6 2 2 2 2" xfId="46907"/>
    <cellStyle name="Input 18 6 2 2 3" xfId="36303"/>
    <cellStyle name="Input 18 6 2 3" xfId="20608"/>
    <cellStyle name="Input 18 6 2 3 2" xfId="41795"/>
    <cellStyle name="Input 18 6 2 4" xfId="31175"/>
    <cellStyle name="Input 18 6 2_Table 2A-1_EFT (Annual)" xfId="15059"/>
    <cellStyle name="Input 18 6 3" xfId="11077"/>
    <cellStyle name="Input 18 6 3 2" xfId="23175"/>
    <cellStyle name="Input 18 6 3 2 2" xfId="44361"/>
    <cellStyle name="Input 18 6 3 3" xfId="33757"/>
    <cellStyle name="Input 18 6 4" xfId="18062"/>
    <cellStyle name="Input 18 6 4 2" xfId="39249"/>
    <cellStyle name="Input 18 6 5" xfId="28432"/>
    <cellStyle name="Input 18 6_Table 2A-1_EFT (Annual)" xfId="6860"/>
    <cellStyle name="Input 18 7" xfId="3759"/>
    <cellStyle name="Input 18 7 2" xfId="12127"/>
    <cellStyle name="Input 18 7 2 2" xfId="24157"/>
    <cellStyle name="Input 18 7 2 2 2" xfId="45343"/>
    <cellStyle name="Input 18 7 2 3" xfId="34739"/>
    <cellStyle name="Input 18 7 3" xfId="19044"/>
    <cellStyle name="Input 18 7 3 2" xfId="40231"/>
    <cellStyle name="Input 18 7 4" xfId="29468"/>
    <cellStyle name="Input 18 7_Table 2A-1_EFT (Annual)" xfId="15060"/>
    <cellStyle name="Input 18 8" xfId="9446"/>
    <cellStyle name="Input 18 8 2" xfId="21611"/>
    <cellStyle name="Input 18 8 2 2" xfId="42797"/>
    <cellStyle name="Input 18 8 3" xfId="32193"/>
    <cellStyle name="Input 18 9" xfId="16498"/>
    <cellStyle name="Input 18 9 2" xfId="37685"/>
    <cellStyle name="Input 18_Table 2A-1_EFT (Annual)" xfId="3015"/>
    <cellStyle name="Input 19" xfId="167"/>
    <cellStyle name="Input 19 10" xfId="26722"/>
    <cellStyle name="Input 19 2" xfId="560"/>
    <cellStyle name="Input 19 2 2" xfId="1537"/>
    <cellStyle name="Input 19 2 2 2" xfId="2807"/>
    <cellStyle name="Input 19 2 2 2 2" xfId="6368"/>
    <cellStyle name="Input 19 2 2 2 2 2" xfId="14562"/>
    <cellStyle name="Input 19 2 2 2 2 2 2" xfId="26534"/>
    <cellStyle name="Input 19 2 2 2 2 2 2 2" xfId="47720"/>
    <cellStyle name="Input 19 2 2 2 2 2 3" xfId="37116"/>
    <cellStyle name="Input 19 2 2 2 2 3" xfId="21421"/>
    <cellStyle name="Input 19 2 2 2 2 3 2" xfId="42608"/>
    <cellStyle name="Input 19 2 2 2 2 4" xfId="32024"/>
    <cellStyle name="Input 19 2 2 2 2_Table 2A-1_EFT (Annual)" xfId="15061"/>
    <cellStyle name="Input 19 2 2 2 3" xfId="11904"/>
    <cellStyle name="Input 19 2 2 2 3 2" xfId="23988"/>
    <cellStyle name="Input 19 2 2 2 3 2 2" xfId="45174"/>
    <cellStyle name="Input 19 2 2 2 3 3" xfId="34570"/>
    <cellStyle name="Input 19 2 2 2 4" xfId="18875"/>
    <cellStyle name="Input 19 2 2 2 4 2" xfId="40062"/>
    <cellStyle name="Input 19 2 2 2 5" xfId="29281"/>
    <cellStyle name="Input 19 2 2 2_Table 2A-1_EFT (Annual)" xfId="6862"/>
    <cellStyle name="Input 19 2 2 3" xfId="5098"/>
    <cellStyle name="Input 19 2 2 3 2" xfId="13358"/>
    <cellStyle name="Input 19 2 2 3 2 2" xfId="25364"/>
    <cellStyle name="Input 19 2 2 3 2 2 2" xfId="46550"/>
    <cellStyle name="Input 19 2 2 3 2 3" xfId="35946"/>
    <cellStyle name="Input 19 2 2 3 3" xfId="20251"/>
    <cellStyle name="Input 19 2 2 3 3 2" xfId="41438"/>
    <cellStyle name="Input 19 2 2 3 4" xfId="30755"/>
    <cellStyle name="Input 19 2 2 3_Table 2A-1_EFT (Annual)" xfId="15062"/>
    <cellStyle name="Input 19 2 2 4" xfId="10702"/>
    <cellStyle name="Input 19 2 2 4 2" xfId="22818"/>
    <cellStyle name="Input 19 2 2 4 2 2" xfId="44004"/>
    <cellStyle name="Input 19 2 2 4 3" xfId="33400"/>
    <cellStyle name="Input 19 2 2 5" xfId="17705"/>
    <cellStyle name="Input 19 2 2 5 2" xfId="38892"/>
    <cellStyle name="Input 19 2 2 6" xfId="28012"/>
    <cellStyle name="Input 19 2 2_Table 2A-1_EFT (Annual)" xfId="6861"/>
    <cellStyle name="Input 19 2 3" xfId="1063"/>
    <cellStyle name="Input 19 2 3 2" xfId="4624"/>
    <cellStyle name="Input 19 2 3 2 2" xfId="12884"/>
    <cellStyle name="Input 19 2 3 2 2 2" xfId="24890"/>
    <cellStyle name="Input 19 2 3 2 2 2 2" xfId="46076"/>
    <cellStyle name="Input 19 2 3 2 2 3" xfId="35472"/>
    <cellStyle name="Input 19 2 3 2 3" xfId="19777"/>
    <cellStyle name="Input 19 2 3 2 3 2" xfId="40964"/>
    <cellStyle name="Input 19 2 3 2 4" xfId="30281"/>
    <cellStyle name="Input 19 2 3 2_Table 2A-1_EFT (Annual)" xfId="15063"/>
    <cellStyle name="Input 19 2 3 3" xfId="10228"/>
    <cellStyle name="Input 19 2 3 3 2" xfId="22344"/>
    <cellStyle name="Input 19 2 3 3 2 2" xfId="43530"/>
    <cellStyle name="Input 19 2 3 3 3" xfId="32926"/>
    <cellStyle name="Input 19 2 3 4" xfId="17231"/>
    <cellStyle name="Input 19 2 3 4 2" xfId="38418"/>
    <cellStyle name="Input 19 2 3 5" xfId="27538"/>
    <cellStyle name="Input 19 2 3_Table 2A-1_EFT (Annual)" xfId="6863"/>
    <cellStyle name="Input 19 2 4" xfId="2276"/>
    <cellStyle name="Input 19 2 4 2" xfId="5837"/>
    <cellStyle name="Input 19 2 4 2 2" xfId="14052"/>
    <cellStyle name="Input 19 2 4 2 2 2" xfId="26040"/>
    <cellStyle name="Input 19 2 4 2 2 2 2" xfId="47226"/>
    <cellStyle name="Input 19 2 4 2 2 3" xfId="36622"/>
    <cellStyle name="Input 19 2 4 2 3" xfId="20927"/>
    <cellStyle name="Input 19 2 4 2 3 2" xfId="42114"/>
    <cellStyle name="Input 19 2 4 2 4" xfId="31494"/>
    <cellStyle name="Input 19 2 4 2_Table 2A-1_EFT (Annual)" xfId="15064"/>
    <cellStyle name="Input 19 2 4 3" xfId="11396"/>
    <cellStyle name="Input 19 2 4 3 2" xfId="23494"/>
    <cellStyle name="Input 19 2 4 3 2 2" xfId="44680"/>
    <cellStyle name="Input 19 2 4 3 3" xfId="34076"/>
    <cellStyle name="Input 19 2 4 4" xfId="18381"/>
    <cellStyle name="Input 19 2 4 4 2" xfId="39568"/>
    <cellStyle name="Input 19 2 4 5" xfId="28751"/>
    <cellStyle name="Input 19 2 4_Table 2A-1_EFT (Annual)" xfId="6864"/>
    <cellStyle name="Input 19 2 5" xfId="4130"/>
    <cellStyle name="Input 19 2 5 2" xfId="12454"/>
    <cellStyle name="Input 19 2 5 2 2" xfId="24476"/>
    <cellStyle name="Input 19 2 5 2 2 2" xfId="45662"/>
    <cellStyle name="Input 19 2 5 2 3" xfId="35058"/>
    <cellStyle name="Input 19 2 5 3" xfId="19363"/>
    <cellStyle name="Input 19 2 5 3 2" xfId="40550"/>
    <cellStyle name="Input 19 2 5 4" xfId="29818"/>
    <cellStyle name="Input 19 2 5_Table 2A-1_EFT (Annual)" xfId="15065"/>
    <cellStyle name="Input 19 2 6" xfId="9793"/>
    <cellStyle name="Input 19 2 6 2" xfId="21930"/>
    <cellStyle name="Input 19 2 6 2 2" xfId="43116"/>
    <cellStyle name="Input 19 2 6 3" xfId="32512"/>
    <cellStyle name="Input 19 2 7" xfId="16817"/>
    <cellStyle name="Input 19 2 7 2" xfId="38004"/>
    <cellStyle name="Input 19 2 8" xfId="27075"/>
    <cellStyle name="Input 19 2_Table 2A-1_EFT (Annual)" xfId="3019"/>
    <cellStyle name="Input 19 3" xfId="398"/>
    <cellStyle name="Input 19 3 2" xfId="1381"/>
    <cellStyle name="Input 19 3 2 2" xfId="2651"/>
    <cellStyle name="Input 19 3 2 2 2" xfId="6212"/>
    <cellStyle name="Input 19 3 2 2 2 2" xfId="14406"/>
    <cellStyle name="Input 19 3 2 2 2 2 2" xfId="26378"/>
    <cellStyle name="Input 19 3 2 2 2 2 2 2" xfId="47564"/>
    <cellStyle name="Input 19 3 2 2 2 2 3" xfId="36960"/>
    <cellStyle name="Input 19 3 2 2 2 3" xfId="21265"/>
    <cellStyle name="Input 19 3 2 2 2 3 2" xfId="42452"/>
    <cellStyle name="Input 19 3 2 2 2 4" xfId="31868"/>
    <cellStyle name="Input 19 3 2 2 2_Table 2A-1_EFT (Annual)" xfId="15066"/>
    <cellStyle name="Input 19 3 2 2 3" xfId="11748"/>
    <cellStyle name="Input 19 3 2 2 3 2" xfId="23832"/>
    <cellStyle name="Input 19 3 2 2 3 2 2" xfId="45018"/>
    <cellStyle name="Input 19 3 2 2 3 3" xfId="34414"/>
    <cellStyle name="Input 19 3 2 2 4" xfId="18719"/>
    <cellStyle name="Input 19 3 2 2 4 2" xfId="39906"/>
    <cellStyle name="Input 19 3 2 2 5" xfId="29125"/>
    <cellStyle name="Input 19 3 2 2_Table 2A-1_EFT (Annual)" xfId="6866"/>
    <cellStyle name="Input 19 3 2 3" xfId="4942"/>
    <cellStyle name="Input 19 3 2 3 2" xfId="13202"/>
    <cellStyle name="Input 19 3 2 3 2 2" xfId="25208"/>
    <cellStyle name="Input 19 3 2 3 2 2 2" xfId="46394"/>
    <cellStyle name="Input 19 3 2 3 2 3" xfId="35790"/>
    <cellStyle name="Input 19 3 2 3 3" xfId="20095"/>
    <cellStyle name="Input 19 3 2 3 3 2" xfId="41282"/>
    <cellStyle name="Input 19 3 2 3 4" xfId="30599"/>
    <cellStyle name="Input 19 3 2 3_Table 2A-1_EFT (Annual)" xfId="15067"/>
    <cellStyle name="Input 19 3 2 4" xfId="10546"/>
    <cellStyle name="Input 19 3 2 4 2" xfId="22662"/>
    <cellStyle name="Input 19 3 2 4 2 2" xfId="43848"/>
    <cellStyle name="Input 19 3 2 4 3" xfId="33244"/>
    <cellStyle name="Input 19 3 2 5" xfId="17549"/>
    <cellStyle name="Input 19 3 2 5 2" xfId="38736"/>
    <cellStyle name="Input 19 3 2 6" xfId="27856"/>
    <cellStyle name="Input 19 3 2_Table 2A-1_EFT (Annual)" xfId="6865"/>
    <cellStyle name="Input 19 3 3" xfId="931"/>
    <cellStyle name="Input 19 3 3 2" xfId="4492"/>
    <cellStyle name="Input 19 3 3 2 2" xfId="12754"/>
    <cellStyle name="Input 19 3 3 2 2 2" xfId="24764"/>
    <cellStyle name="Input 19 3 3 2 2 2 2" xfId="45950"/>
    <cellStyle name="Input 19 3 3 2 2 3" xfId="35346"/>
    <cellStyle name="Input 19 3 3 2 3" xfId="19651"/>
    <cellStyle name="Input 19 3 3 2 3 2" xfId="40838"/>
    <cellStyle name="Input 19 3 3 2 4" xfId="30149"/>
    <cellStyle name="Input 19 3 3 2_Table 2A-1_EFT (Annual)" xfId="15068"/>
    <cellStyle name="Input 19 3 3 3" xfId="10101"/>
    <cellStyle name="Input 19 3 3 3 2" xfId="22218"/>
    <cellStyle name="Input 19 3 3 3 2 2" xfId="43404"/>
    <cellStyle name="Input 19 3 3 3 3" xfId="32800"/>
    <cellStyle name="Input 19 3 3 4" xfId="17105"/>
    <cellStyle name="Input 19 3 3 4 2" xfId="38292"/>
    <cellStyle name="Input 19 3 3 5" xfId="27406"/>
    <cellStyle name="Input 19 3 3_Table 2A-1_EFT (Annual)" xfId="6867"/>
    <cellStyle name="Input 19 3 4" xfId="2120"/>
    <cellStyle name="Input 19 3 4 2" xfId="5681"/>
    <cellStyle name="Input 19 3 4 2 2" xfId="13896"/>
    <cellStyle name="Input 19 3 4 2 2 2" xfId="25884"/>
    <cellStyle name="Input 19 3 4 2 2 2 2" xfId="47070"/>
    <cellStyle name="Input 19 3 4 2 2 3" xfId="36466"/>
    <cellStyle name="Input 19 3 4 2 3" xfId="20771"/>
    <cellStyle name="Input 19 3 4 2 3 2" xfId="41958"/>
    <cellStyle name="Input 19 3 4 2 4" xfId="31338"/>
    <cellStyle name="Input 19 3 4 2_Table 2A-1_EFT (Annual)" xfId="15069"/>
    <cellStyle name="Input 19 3 4 3" xfId="11240"/>
    <cellStyle name="Input 19 3 4 3 2" xfId="23338"/>
    <cellStyle name="Input 19 3 4 3 2 2" xfId="44524"/>
    <cellStyle name="Input 19 3 4 3 3" xfId="33920"/>
    <cellStyle name="Input 19 3 4 4" xfId="18225"/>
    <cellStyle name="Input 19 3 4 4 2" xfId="39412"/>
    <cellStyle name="Input 19 3 4 5" xfId="28595"/>
    <cellStyle name="Input 19 3 4_Table 2A-1_EFT (Annual)" xfId="6868"/>
    <cellStyle name="Input 19 3 5" xfId="3968"/>
    <cellStyle name="Input 19 3 5 2" xfId="12296"/>
    <cellStyle name="Input 19 3 5 2 2" xfId="24320"/>
    <cellStyle name="Input 19 3 5 2 2 2" xfId="45506"/>
    <cellStyle name="Input 19 3 5 2 3" xfId="34902"/>
    <cellStyle name="Input 19 3 5 3" xfId="19207"/>
    <cellStyle name="Input 19 3 5 3 2" xfId="40394"/>
    <cellStyle name="Input 19 3 5 4" xfId="29656"/>
    <cellStyle name="Input 19 3 5_Table 2A-1_EFT (Annual)" xfId="15070"/>
    <cellStyle name="Input 19 3 6" xfId="9633"/>
    <cellStyle name="Input 19 3 6 2" xfId="21774"/>
    <cellStyle name="Input 19 3 6 2 2" xfId="42960"/>
    <cellStyle name="Input 19 3 6 3" xfId="32356"/>
    <cellStyle name="Input 19 3 7" xfId="16661"/>
    <cellStyle name="Input 19 3 7 2" xfId="37848"/>
    <cellStyle name="Input 19 3 8" xfId="26913"/>
    <cellStyle name="Input 19 3_Table 2A-1_EFT (Annual)" xfId="3020"/>
    <cellStyle name="Input 19 4" xfId="1215"/>
    <cellStyle name="Input 19 4 2" xfId="2485"/>
    <cellStyle name="Input 19 4 2 2" xfId="6046"/>
    <cellStyle name="Input 19 4 2 2 2" xfId="14240"/>
    <cellStyle name="Input 19 4 2 2 2 2" xfId="26212"/>
    <cellStyle name="Input 19 4 2 2 2 2 2" xfId="47398"/>
    <cellStyle name="Input 19 4 2 2 2 3" xfId="36794"/>
    <cellStyle name="Input 19 4 2 2 3" xfId="21099"/>
    <cellStyle name="Input 19 4 2 2 3 2" xfId="42286"/>
    <cellStyle name="Input 19 4 2 2 4" xfId="31702"/>
    <cellStyle name="Input 19 4 2 2_Table 2A-1_EFT (Annual)" xfId="15071"/>
    <cellStyle name="Input 19 4 2 3" xfId="11582"/>
    <cellStyle name="Input 19 4 2 3 2" xfId="23666"/>
    <cellStyle name="Input 19 4 2 3 2 2" xfId="44852"/>
    <cellStyle name="Input 19 4 2 3 3" xfId="34248"/>
    <cellStyle name="Input 19 4 2 4" xfId="18553"/>
    <cellStyle name="Input 19 4 2 4 2" xfId="39740"/>
    <cellStyle name="Input 19 4 2 5" xfId="28959"/>
    <cellStyle name="Input 19 4 2_Table 2A-1_EFT (Annual)" xfId="6870"/>
    <cellStyle name="Input 19 4 3" xfId="4776"/>
    <cellStyle name="Input 19 4 3 2" xfId="13036"/>
    <cellStyle name="Input 19 4 3 2 2" xfId="25042"/>
    <cellStyle name="Input 19 4 3 2 2 2" xfId="46228"/>
    <cellStyle name="Input 19 4 3 2 3" xfId="35624"/>
    <cellStyle name="Input 19 4 3 3" xfId="19929"/>
    <cellStyle name="Input 19 4 3 3 2" xfId="41116"/>
    <cellStyle name="Input 19 4 3 4" xfId="30433"/>
    <cellStyle name="Input 19 4 3_Table 2A-1_EFT (Annual)" xfId="15072"/>
    <cellStyle name="Input 19 4 4" xfId="10380"/>
    <cellStyle name="Input 19 4 4 2" xfId="22496"/>
    <cellStyle name="Input 19 4 4 2 2" xfId="43682"/>
    <cellStyle name="Input 19 4 4 3" xfId="33078"/>
    <cellStyle name="Input 19 4 5" xfId="17383"/>
    <cellStyle name="Input 19 4 5 2" xfId="38570"/>
    <cellStyle name="Input 19 4 6" xfId="27690"/>
    <cellStyle name="Input 19 4_Table 2A-1_EFT (Annual)" xfId="6869"/>
    <cellStyle name="Input 19 5" xfId="772"/>
    <cellStyle name="Input 19 5 2" xfId="4333"/>
    <cellStyle name="Input 19 5 2 2" xfId="12613"/>
    <cellStyle name="Input 19 5 2 2 2" xfId="24630"/>
    <cellStyle name="Input 19 5 2 2 2 2" xfId="45816"/>
    <cellStyle name="Input 19 5 2 2 3" xfId="35212"/>
    <cellStyle name="Input 19 5 2 3" xfId="19517"/>
    <cellStyle name="Input 19 5 2 3 2" xfId="40704"/>
    <cellStyle name="Input 19 5 2 4" xfId="29990"/>
    <cellStyle name="Input 19 5 2_Table 2A-1_EFT (Annual)" xfId="15073"/>
    <cellStyle name="Input 19 5 3" xfId="9961"/>
    <cellStyle name="Input 19 5 3 2" xfId="22084"/>
    <cellStyle name="Input 19 5 3 2 2" xfId="43270"/>
    <cellStyle name="Input 19 5 3 3" xfId="32666"/>
    <cellStyle name="Input 19 5 4" xfId="16971"/>
    <cellStyle name="Input 19 5 4 2" xfId="38158"/>
    <cellStyle name="Input 19 5 5" xfId="27247"/>
    <cellStyle name="Input 19 5_Table 2A-1_EFT (Annual)" xfId="6871"/>
    <cellStyle name="Input 19 6" xfId="1954"/>
    <cellStyle name="Input 19 6 2" xfId="5515"/>
    <cellStyle name="Input 19 6 2 2" xfId="13730"/>
    <cellStyle name="Input 19 6 2 2 2" xfId="25718"/>
    <cellStyle name="Input 19 6 2 2 2 2" xfId="46904"/>
    <cellStyle name="Input 19 6 2 2 3" xfId="36300"/>
    <cellStyle name="Input 19 6 2 3" xfId="20605"/>
    <cellStyle name="Input 19 6 2 3 2" xfId="41792"/>
    <cellStyle name="Input 19 6 2 4" xfId="31172"/>
    <cellStyle name="Input 19 6 2_Table 2A-1_EFT (Annual)" xfId="15074"/>
    <cellStyle name="Input 19 6 3" xfId="11074"/>
    <cellStyle name="Input 19 6 3 2" xfId="23172"/>
    <cellStyle name="Input 19 6 3 2 2" xfId="44358"/>
    <cellStyle name="Input 19 6 3 3" xfId="33754"/>
    <cellStyle name="Input 19 6 4" xfId="18059"/>
    <cellStyle name="Input 19 6 4 2" xfId="39246"/>
    <cellStyle name="Input 19 6 5" xfId="28429"/>
    <cellStyle name="Input 19 6_Table 2A-1_EFT (Annual)" xfId="6872"/>
    <cellStyle name="Input 19 7" xfId="3756"/>
    <cellStyle name="Input 19 7 2" xfId="12124"/>
    <cellStyle name="Input 19 7 2 2" xfId="24154"/>
    <cellStyle name="Input 19 7 2 2 2" xfId="45340"/>
    <cellStyle name="Input 19 7 2 3" xfId="34736"/>
    <cellStyle name="Input 19 7 3" xfId="19041"/>
    <cellStyle name="Input 19 7 3 2" xfId="40228"/>
    <cellStyle name="Input 19 7 4" xfId="29465"/>
    <cellStyle name="Input 19 7_Table 2A-1_EFT (Annual)" xfId="15075"/>
    <cellStyle name="Input 19 8" xfId="9443"/>
    <cellStyle name="Input 19 8 2" xfId="21608"/>
    <cellStyle name="Input 19 8 2 2" xfId="42794"/>
    <cellStyle name="Input 19 8 3" xfId="32190"/>
    <cellStyle name="Input 19 9" xfId="16495"/>
    <cellStyle name="Input 19 9 2" xfId="37682"/>
    <cellStyle name="Input 19_Table 2A-1_EFT (Annual)" xfId="3018"/>
    <cellStyle name="Input 2" xfId="99"/>
    <cellStyle name="Input 2 10" xfId="21516"/>
    <cellStyle name="Input 2 10 2" xfId="42703"/>
    <cellStyle name="Input 2 11" xfId="26654"/>
    <cellStyle name="Input 2 2" xfId="497"/>
    <cellStyle name="Input 2 2 2" xfId="1474"/>
    <cellStyle name="Input 2 2 2 2" xfId="2744"/>
    <cellStyle name="Input 2 2 2 2 2" xfId="6305"/>
    <cellStyle name="Input 2 2 2 2 2 2" xfId="14499"/>
    <cellStyle name="Input 2 2 2 2 2 2 2" xfId="26471"/>
    <cellStyle name="Input 2 2 2 2 2 2 2 2" xfId="47657"/>
    <cellStyle name="Input 2 2 2 2 2 2 3" xfId="37053"/>
    <cellStyle name="Input 2 2 2 2 2 3" xfId="21358"/>
    <cellStyle name="Input 2 2 2 2 2 3 2" xfId="42545"/>
    <cellStyle name="Input 2 2 2 2 2 4" xfId="31961"/>
    <cellStyle name="Input 2 2 2 2 2_Table 2A-1_EFT (Annual)" xfId="15076"/>
    <cellStyle name="Input 2 2 2 2 3" xfId="11841"/>
    <cellStyle name="Input 2 2 2 2 3 2" xfId="23925"/>
    <cellStyle name="Input 2 2 2 2 3 2 2" xfId="45111"/>
    <cellStyle name="Input 2 2 2 2 3 3" xfId="34507"/>
    <cellStyle name="Input 2 2 2 2 4" xfId="18812"/>
    <cellStyle name="Input 2 2 2 2 4 2" xfId="39999"/>
    <cellStyle name="Input 2 2 2 2 5" xfId="29218"/>
    <cellStyle name="Input 2 2 2 2_Table 2A-1_EFT (Annual)" xfId="6874"/>
    <cellStyle name="Input 2 2 2 3" xfId="5035"/>
    <cellStyle name="Input 2 2 2 3 2" xfId="13295"/>
    <cellStyle name="Input 2 2 2 3 2 2" xfId="25301"/>
    <cellStyle name="Input 2 2 2 3 2 2 2" xfId="46487"/>
    <cellStyle name="Input 2 2 2 3 2 3" xfId="35883"/>
    <cellStyle name="Input 2 2 2 3 3" xfId="20188"/>
    <cellStyle name="Input 2 2 2 3 3 2" xfId="41375"/>
    <cellStyle name="Input 2 2 2 3 4" xfId="30692"/>
    <cellStyle name="Input 2 2 2 3_Table 2A-1_EFT (Annual)" xfId="15077"/>
    <cellStyle name="Input 2 2 2 4" xfId="10639"/>
    <cellStyle name="Input 2 2 2 4 2" xfId="22755"/>
    <cellStyle name="Input 2 2 2 4 2 2" xfId="43941"/>
    <cellStyle name="Input 2 2 2 4 3" xfId="33337"/>
    <cellStyle name="Input 2 2 2 5" xfId="17642"/>
    <cellStyle name="Input 2 2 2 5 2" xfId="38829"/>
    <cellStyle name="Input 2 2 2 6" xfId="27949"/>
    <cellStyle name="Input 2 2 2_Table 2A-1_EFT (Annual)" xfId="6873"/>
    <cellStyle name="Input 2 2 3" xfId="1012"/>
    <cellStyle name="Input 2 2 3 2" xfId="4573"/>
    <cellStyle name="Input 2 2 3 2 2" xfId="12833"/>
    <cellStyle name="Input 2 2 3 2 2 2" xfId="24839"/>
    <cellStyle name="Input 2 2 3 2 2 2 2" xfId="46025"/>
    <cellStyle name="Input 2 2 3 2 2 3" xfId="35421"/>
    <cellStyle name="Input 2 2 3 2 3" xfId="19726"/>
    <cellStyle name="Input 2 2 3 2 3 2" xfId="40913"/>
    <cellStyle name="Input 2 2 3 2 4" xfId="30230"/>
    <cellStyle name="Input 2 2 3 2_Table 2A-1_EFT (Annual)" xfId="15078"/>
    <cellStyle name="Input 2 2 3 3" xfId="10177"/>
    <cellStyle name="Input 2 2 3 3 2" xfId="22293"/>
    <cellStyle name="Input 2 2 3 3 2 2" xfId="43479"/>
    <cellStyle name="Input 2 2 3 3 3" xfId="32875"/>
    <cellStyle name="Input 2 2 3 4" xfId="17180"/>
    <cellStyle name="Input 2 2 3 4 2" xfId="38367"/>
    <cellStyle name="Input 2 2 3 5" xfId="27487"/>
    <cellStyle name="Input 2 2 3_Table 2A-1_EFT (Annual)" xfId="6875"/>
    <cellStyle name="Input 2 2 4" xfId="2213"/>
    <cellStyle name="Input 2 2 4 2" xfId="5774"/>
    <cellStyle name="Input 2 2 4 2 2" xfId="13989"/>
    <cellStyle name="Input 2 2 4 2 2 2" xfId="25977"/>
    <cellStyle name="Input 2 2 4 2 2 2 2" xfId="47163"/>
    <cellStyle name="Input 2 2 4 2 2 3" xfId="36559"/>
    <cellStyle name="Input 2 2 4 2 3" xfId="20864"/>
    <cellStyle name="Input 2 2 4 2 3 2" xfId="42051"/>
    <cellStyle name="Input 2 2 4 2 4" xfId="31431"/>
    <cellStyle name="Input 2 2 4 2_Table 2A-1_EFT (Annual)" xfId="15079"/>
    <cellStyle name="Input 2 2 4 3" xfId="11333"/>
    <cellStyle name="Input 2 2 4 3 2" xfId="23431"/>
    <cellStyle name="Input 2 2 4 3 2 2" xfId="44617"/>
    <cellStyle name="Input 2 2 4 3 3" xfId="34013"/>
    <cellStyle name="Input 2 2 4 4" xfId="18318"/>
    <cellStyle name="Input 2 2 4 4 2" xfId="39505"/>
    <cellStyle name="Input 2 2 4 5" xfId="28688"/>
    <cellStyle name="Input 2 2 4_Table 2A-1_EFT (Annual)" xfId="6876"/>
    <cellStyle name="Input 2 2 5" xfId="4067"/>
    <cellStyle name="Input 2 2 5 2" xfId="12391"/>
    <cellStyle name="Input 2 2 5 2 2" xfId="24413"/>
    <cellStyle name="Input 2 2 5 2 2 2" xfId="45599"/>
    <cellStyle name="Input 2 2 5 2 3" xfId="34995"/>
    <cellStyle name="Input 2 2 5 3" xfId="19300"/>
    <cellStyle name="Input 2 2 5 3 2" xfId="40487"/>
    <cellStyle name="Input 2 2 5 4" xfId="29755"/>
    <cellStyle name="Input 2 2 5_Table 2A-1_EFT (Annual)" xfId="15080"/>
    <cellStyle name="Input 2 2 6" xfId="9730"/>
    <cellStyle name="Input 2 2 6 2" xfId="21867"/>
    <cellStyle name="Input 2 2 6 2 2" xfId="43053"/>
    <cellStyle name="Input 2 2 6 3" xfId="32449"/>
    <cellStyle name="Input 2 2 7" xfId="16754"/>
    <cellStyle name="Input 2 2 7 2" xfId="37941"/>
    <cellStyle name="Input 2 2 8" xfId="27012"/>
    <cellStyle name="Input 2 2_Table 2A-1_EFT (Annual)" xfId="3022"/>
    <cellStyle name="Input 2 3" xfId="330"/>
    <cellStyle name="Input 2 3 2" xfId="1318"/>
    <cellStyle name="Input 2 3 2 2" xfId="2588"/>
    <cellStyle name="Input 2 3 2 2 2" xfId="6149"/>
    <cellStyle name="Input 2 3 2 2 2 2" xfId="14343"/>
    <cellStyle name="Input 2 3 2 2 2 2 2" xfId="26315"/>
    <cellStyle name="Input 2 3 2 2 2 2 2 2" xfId="47501"/>
    <cellStyle name="Input 2 3 2 2 2 2 3" xfId="36897"/>
    <cellStyle name="Input 2 3 2 2 2 3" xfId="21202"/>
    <cellStyle name="Input 2 3 2 2 2 3 2" xfId="42389"/>
    <cellStyle name="Input 2 3 2 2 2 4" xfId="31805"/>
    <cellStyle name="Input 2 3 2 2 2_Table 2A-1_EFT (Annual)" xfId="15081"/>
    <cellStyle name="Input 2 3 2 2 3" xfId="11685"/>
    <cellStyle name="Input 2 3 2 2 3 2" xfId="23769"/>
    <cellStyle name="Input 2 3 2 2 3 2 2" xfId="44955"/>
    <cellStyle name="Input 2 3 2 2 3 3" xfId="34351"/>
    <cellStyle name="Input 2 3 2 2 4" xfId="18656"/>
    <cellStyle name="Input 2 3 2 2 4 2" xfId="39843"/>
    <cellStyle name="Input 2 3 2 2 5" xfId="29062"/>
    <cellStyle name="Input 2 3 2 2_Table 2A-1_EFT (Annual)" xfId="6878"/>
    <cellStyle name="Input 2 3 2 3" xfId="4879"/>
    <cellStyle name="Input 2 3 2 3 2" xfId="13139"/>
    <cellStyle name="Input 2 3 2 3 2 2" xfId="25145"/>
    <cellStyle name="Input 2 3 2 3 2 2 2" xfId="46331"/>
    <cellStyle name="Input 2 3 2 3 2 3" xfId="35727"/>
    <cellStyle name="Input 2 3 2 3 3" xfId="20032"/>
    <cellStyle name="Input 2 3 2 3 3 2" xfId="41219"/>
    <cellStyle name="Input 2 3 2 3 4" xfId="30536"/>
    <cellStyle name="Input 2 3 2 3_Table 2A-1_EFT (Annual)" xfId="15082"/>
    <cellStyle name="Input 2 3 2 4" xfId="10483"/>
    <cellStyle name="Input 2 3 2 4 2" xfId="22599"/>
    <cellStyle name="Input 2 3 2 4 2 2" xfId="43785"/>
    <cellStyle name="Input 2 3 2 4 3" xfId="33181"/>
    <cellStyle name="Input 2 3 2 5" xfId="17486"/>
    <cellStyle name="Input 2 3 2 5 2" xfId="38673"/>
    <cellStyle name="Input 2 3 2 6" xfId="27793"/>
    <cellStyle name="Input 2 3 2_Table 2A-1_EFT (Annual)" xfId="6877"/>
    <cellStyle name="Input 2 3 3" xfId="875"/>
    <cellStyle name="Input 2 3 3 2" xfId="4436"/>
    <cellStyle name="Input 2 3 3 2 2" xfId="12701"/>
    <cellStyle name="Input 2 3 3 2 2 2" xfId="24713"/>
    <cellStyle name="Input 2 3 3 2 2 2 2" xfId="45899"/>
    <cellStyle name="Input 2 3 3 2 2 3" xfId="35295"/>
    <cellStyle name="Input 2 3 3 2 3" xfId="19600"/>
    <cellStyle name="Input 2 3 3 2 3 2" xfId="40787"/>
    <cellStyle name="Input 2 3 3 2 4" xfId="30093"/>
    <cellStyle name="Input 2 3 3 2_Table 2A-1_EFT (Annual)" xfId="15083"/>
    <cellStyle name="Input 2 3 3 3" xfId="10048"/>
    <cellStyle name="Input 2 3 3 3 2" xfId="22167"/>
    <cellStyle name="Input 2 3 3 3 2 2" xfId="43353"/>
    <cellStyle name="Input 2 3 3 3 3" xfId="32749"/>
    <cellStyle name="Input 2 3 3 4" xfId="17054"/>
    <cellStyle name="Input 2 3 3 4 2" xfId="38241"/>
    <cellStyle name="Input 2 3 3 5" xfId="27350"/>
    <cellStyle name="Input 2 3 3_Table 2A-1_EFT (Annual)" xfId="6879"/>
    <cellStyle name="Input 2 3 4" xfId="2057"/>
    <cellStyle name="Input 2 3 4 2" xfId="5618"/>
    <cellStyle name="Input 2 3 4 2 2" xfId="13833"/>
    <cellStyle name="Input 2 3 4 2 2 2" xfId="25821"/>
    <cellStyle name="Input 2 3 4 2 2 2 2" xfId="47007"/>
    <cellStyle name="Input 2 3 4 2 2 3" xfId="36403"/>
    <cellStyle name="Input 2 3 4 2 3" xfId="20708"/>
    <cellStyle name="Input 2 3 4 2 3 2" xfId="41895"/>
    <cellStyle name="Input 2 3 4 2 4" xfId="31275"/>
    <cellStyle name="Input 2 3 4 2_Table 2A-1_EFT (Annual)" xfId="15084"/>
    <cellStyle name="Input 2 3 4 3" xfId="11177"/>
    <cellStyle name="Input 2 3 4 3 2" xfId="23275"/>
    <cellStyle name="Input 2 3 4 3 2 2" xfId="44461"/>
    <cellStyle name="Input 2 3 4 3 3" xfId="33857"/>
    <cellStyle name="Input 2 3 4 4" xfId="18162"/>
    <cellStyle name="Input 2 3 4 4 2" xfId="39349"/>
    <cellStyle name="Input 2 3 4 5" xfId="28532"/>
    <cellStyle name="Input 2 3 4_Table 2A-1_EFT (Annual)" xfId="6880"/>
    <cellStyle name="Input 2 3 5" xfId="3900"/>
    <cellStyle name="Input 2 3 5 2" xfId="12232"/>
    <cellStyle name="Input 2 3 5 2 2" xfId="24257"/>
    <cellStyle name="Input 2 3 5 2 2 2" xfId="45443"/>
    <cellStyle name="Input 2 3 5 2 3" xfId="34839"/>
    <cellStyle name="Input 2 3 5 3" xfId="19144"/>
    <cellStyle name="Input 2 3 5 3 2" xfId="40331"/>
    <cellStyle name="Input 2 3 5 4" xfId="29588"/>
    <cellStyle name="Input 2 3 5_Table 2A-1_EFT (Annual)" xfId="15085"/>
    <cellStyle name="Input 2 3 6" xfId="9569"/>
    <cellStyle name="Input 2 3 6 2" xfId="21711"/>
    <cellStyle name="Input 2 3 6 2 2" xfId="42897"/>
    <cellStyle name="Input 2 3 6 3" xfId="32293"/>
    <cellStyle name="Input 2 3 7" xfId="16598"/>
    <cellStyle name="Input 2 3 7 2" xfId="37785"/>
    <cellStyle name="Input 2 3 8" xfId="26845"/>
    <cellStyle name="Input 2 3_Table 2A-1_EFT (Annual)" xfId="3023"/>
    <cellStyle name="Input 2 4" xfId="1152"/>
    <cellStyle name="Input 2 4 2" xfId="2422"/>
    <cellStyle name="Input 2 4 2 2" xfId="5983"/>
    <cellStyle name="Input 2 4 2 2 2" xfId="14177"/>
    <cellStyle name="Input 2 4 2 2 2 2" xfId="26149"/>
    <cellStyle name="Input 2 4 2 2 2 2 2" xfId="47335"/>
    <cellStyle name="Input 2 4 2 2 2 3" xfId="36731"/>
    <cellStyle name="Input 2 4 2 2 3" xfId="21036"/>
    <cellStyle name="Input 2 4 2 2 3 2" xfId="42223"/>
    <cellStyle name="Input 2 4 2 2 4" xfId="31639"/>
    <cellStyle name="Input 2 4 2 2_Table 2A-1_EFT (Annual)" xfId="15086"/>
    <cellStyle name="Input 2 4 2 3" xfId="11519"/>
    <cellStyle name="Input 2 4 2 3 2" xfId="23603"/>
    <cellStyle name="Input 2 4 2 3 2 2" xfId="44789"/>
    <cellStyle name="Input 2 4 2 3 3" xfId="34185"/>
    <cellStyle name="Input 2 4 2 4" xfId="18490"/>
    <cellStyle name="Input 2 4 2 4 2" xfId="39677"/>
    <cellStyle name="Input 2 4 2 5" xfId="28896"/>
    <cellStyle name="Input 2 4 2_Table 2A-1_EFT (Annual)" xfId="6882"/>
    <cellStyle name="Input 2 4 3" xfId="4713"/>
    <cellStyle name="Input 2 4 3 2" xfId="12973"/>
    <cellStyle name="Input 2 4 3 2 2" xfId="24979"/>
    <cellStyle name="Input 2 4 3 2 2 2" xfId="46165"/>
    <cellStyle name="Input 2 4 3 2 3" xfId="35561"/>
    <cellStyle name="Input 2 4 3 3" xfId="19866"/>
    <cellStyle name="Input 2 4 3 3 2" xfId="41053"/>
    <cellStyle name="Input 2 4 3 4" xfId="30370"/>
    <cellStyle name="Input 2 4 3_Table 2A-1_EFT (Annual)" xfId="15087"/>
    <cellStyle name="Input 2 4 4" xfId="10317"/>
    <cellStyle name="Input 2 4 4 2" xfId="22433"/>
    <cellStyle name="Input 2 4 4 2 2" xfId="43619"/>
    <cellStyle name="Input 2 4 4 3" xfId="33015"/>
    <cellStyle name="Input 2 4 5" xfId="17320"/>
    <cellStyle name="Input 2 4 5 2" xfId="38507"/>
    <cellStyle name="Input 2 4 6" xfId="27627"/>
    <cellStyle name="Input 2 4_Table 2A-1_EFT (Annual)" xfId="6881"/>
    <cellStyle name="Input 2 5" xfId="716"/>
    <cellStyle name="Input 2 5 2" xfId="4277"/>
    <cellStyle name="Input 2 5 2 2" xfId="12561"/>
    <cellStyle name="Input 2 5 2 2 2" xfId="24579"/>
    <cellStyle name="Input 2 5 2 2 2 2" xfId="45765"/>
    <cellStyle name="Input 2 5 2 2 3" xfId="35161"/>
    <cellStyle name="Input 2 5 2 3" xfId="19466"/>
    <cellStyle name="Input 2 5 2 3 2" xfId="40653"/>
    <cellStyle name="Input 2 5 2 4" xfId="29934"/>
    <cellStyle name="Input 2 5 2_Table 2A-1_EFT (Annual)" xfId="15088"/>
    <cellStyle name="Input 2 5 3" xfId="9908"/>
    <cellStyle name="Input 2 5 3 2" xfId="22033"/>
    <cellStyle name="Input 2 5 3 2 2" xfId="43219"/>
    <cellStyle name="Input 2 5 3 3" xfId="32615"/>
    <cellStyle name="Input 2 5 4" xfId="16920"/>
    <cellStyle name="Input 2 5 4 2" xfId="38107"/>
    <cellStyle name="Input 2 5 5" xfId="27191"/>
    <cellStyle name="Input 2 5_Table 2A-1_EFT (Annual)" xfId="6883"/>
    <cellStyle name="Input 2 6" xfId="1804"/>
    <cellStyle name="Input 2 6 2" xfId="5365"/>
    <cellStyle name="Input 2 6 2 2" xfId="13580"/>
    <cellStyle name="Input 2 6 2 2 2" xfId="25568"/>
    <cellStyle name="Input 2 6 2 2 2 2" xfId="46754"/>
    <cellStyle name="Input 2 6 2 2 3" xfId="36150"/>
    <cellStyle name="Input 2 6 2 3" xfId="20455"/>
    <cellStyle name="Input 2 6 2 3 2" xfId="41642"/>
    <cellStyle name="Input 2 6 2 4" xfId="31022"/>
    <cellStyle name="Input 2 6 2_Table 2A-1_EFT (Annual)" xfId="15089"/>
    <cellStyle name="Input 2 6 3" xfId="10924"/>
    <cellStyle name="Input 2 6 3 2" xfId="23022"/>
    <cellStyle name="Input 2 6 3 2 2" xfId="44208"/>
    <cellStyle name="Input 2 6 3 3" xfId="33604"/>
    <cellStyle name="Input 2 6 4" xfId="17909"/>
    <cellStyle name="Input 2 6 4 2" xfId="39096"/>
    <cellStyle name="Input 2 6 5" xfId="28279"/>
    <cellStyle name="Input 2 6_Table 2A-1_EFT (Annual)" xfId="6884"/>
    <cellStyle name="Input 2 7" xfId="3688"/>
    <cellStyle name="Input 2 7 2" xfId="12060"/>
    <cellStyle name="Input 2 7 2 2" xfId="24091"/>
    <cellStyle name="Input 2 7 2 2 2" xfId="45277"/>
    <cellStyle name="Input 2 7 2 3" xfId="34673"/>
    <cellStyle name="Input 2 7 3" xfId="18978"/>
    <cellStyle name="Input 2 7 3 2" xfId="40165"/>
    <cellStyle name="Input 2 7 4" xfId="29397"/>
    <cellStyle name="Input 2 7_Table 2A-1_EFT (Annual)" xfId="15090"/>
    <cellStyle name="Input 2 8" xfId="9378"/>
    <cellStyle name="Input 2 8 2" xfId="21545"/>
    <cellStyle name="Input 2 8 2 2" xfId="42731"/>
    <cellStyle name="Input 2 8 3" xfId="32127"/>
    <cellStyle name="Input 2 9" xfId="16432"/>
    <cellStyle name="Input 2 9 2" xfId="37619"/>
    <cellStyle name="Input 2_Table 2A-1_EFT (Annual)" xfId="3021"/>
    <cellStyle name="Input 20" xfId="169"/>
    <cellStyle name="Input 20 10" xfId="26724"/>
    <cellStyle name="Input 20 2" xfId="562"/>
    <cellStyle name="Input 20 2 2" xfId="1539"/>
    <cellStyle name="Input 20 2 2 2" xfId="2809"/>
    <cellStyle name="Input 20 2 2 2 2" xfId="6370"/>
    <cellStyle name="Input 20 2 2 2 2 2" xfId="14564"/>
    <cellStyle name="Input 20 2 2 2 2 2 2" xfId="26536"/>
    <cellStyle name="Input 20 2 2 2 2 2 2 2" xfId="47722"/>
    <cellStyle name="Input 20 2 2 2 2 2 3" xfId="37118"/>
    <cellStyle name="Input 20 2 2 2 2 3" xfId="21423"/>
    <cellStyle name="Input 20 2 2 2 2 3 2" xfId="42610"/>
    <cellStyle name="Input 20 2 2 2 2 4" xfId="32026"/>
    <cellStyle name="Input 20 2 2 2 2_Table 2A-1_EFT (Annual)" xfId="15091"/>
    <cellStyle name="Input 20 2 2 2 3" xfId="11906"/>
    <cellStyle name="Input 20 2 2 2 3 2" xfId="23990"/>
    <cellStyle name="Input 20 2 2 2 3 2 2" xfId="45176"/>
    <cellStyle name="Input 20 2 2 2 3 3" xfId="34572"/>
    <cellStyle name="Input 20 2 2 2 4" xfId="18877"/>
    <cellStyle name="Input 20 2 2 2 4 2" xfId="40064"/>
    <cellStyle name="Input 20 2 2 2 5" xfId="29283"/>
    <cellStyle name="Input 20 2 2 2_Table 2A-1_EFT (Annual)" xfId="6886"/>
    <cellStyle name="Input 20 2 2 3" xfId="5100"/>
    <cellStyle name="Input 20 2 2 3 2" xfId="13360"/>
    <cellStyle name="Input 20 2 2 3 2 2" xfId="25366"/>
    <cellStyle name="Input 20 2 2 3 2 2 2" xfId="46552"/>
    <cellStyle name="Input 20 2 2 3 2 3" xfId="35948"/>
    <cellStyle name="Input 20 2 2 3 3" xfId="20253"/>
    <cellStyle name="Input 20 2 2 3 3 2" xfId="41440"/>
    <cellStyle name="Input 20 2 2 3 4" xfId="30757"/>
    <cellStyle name="Input 20 2 2 3_Table 2A-1_EFT (Annual)" xfId="15092"/>
    <cellStyle name="Input 20 2 2 4" xfId="10704"/>
    <cellStyle name="Input 20 2 2 4 2" xfId="22820"/>
    <cellStyle name="Input 20 2 2 4 2 2" xfId="44006"/>
    <cellStyle name="Input 20 2 2 4 3" xfId="33402"/>
    <cellStyle name="Input 20 2 2 5" xfId="17707"/>
    <cellStyle name="Input 20 2 2 5 2" xfId="38894"/>
    <cellStyle name="Input 20 2 2 6" xfId="28014"/>
    <cellStyle name="Input 20 2 2_Table 2A-1_EFT (Annual)" xfId="6885"/>
    <cellStyle name="Input 20 2 3" xfId="1065"/>
    <cellStyle name="Input 20 2 3 2" xfId="4626"/>
    <cellStyle name="Input 20 2 3 2 2" xfId="12886"/>
    <cellStyle name="Input 20 2 3 2 2 2" xfId="24892"/>
    <cellStyle name="Input 20 2 3 2 2 2 2" xfId="46078"/>
    <cellStyle name="Input 20 2 3 2 2 3" xfId="35474"/>
    <cellStyle name="Input 20 2 3 2 3" xfId="19779"/>
    <cellStyle name="Input 20 2 3 2 3 2" xfId="40966"/>
    <cellStyle name="Input 20 2 3 2 4" xfId="30283"/>
    <cellStyle name="Input 20 2 3 2_Table 2A-1_EFT (Annual)" xfId="15093"/>
    <cellStyle name="Input 20 2 3 3" xfId="10230"/>
    <cellStyle name="Input 20 2 3 3 2" xfId="22346"/>
    <cellStyle name="Input 20 2 3 3 2 2" xfId="43532"/>
    <cellStyle name="Input 20 2 3 3 3" xfId="32928"/>
    <cellStyle name="Input 20 2 3 4" xfId="17233"/>
    <cellStyle name="Input 20 2 3 4 2" xfId="38420"/>
    <cellStyle name="Input 20 2 3 5" xfId="27540"/>
    <cellStyle name="Input 20 2 3_Table 2A-1_EFT (Annual)" xfId="6887"/>
    <cellStyle name="Input 20 2 4" xfId="2278"/>
    <cellStyle name="Input 20 2 4 2" xfId="5839"/>
    <cellStyle name="Input 20 2 4 2 2" xfId="14054"/>
    <cellStyle name="Input 20 2 4 2 2 2" xfId="26042"/>
    <cellStyle name="Input 20 2 4 2 2 2 2" xfId="47228"/>
    <cellStyle name="Input 20 2 4 2 2 3" xfId="36624"/>
    <cellStyle name="Input 20 2 4 2 3" xfId="20929"/>
    <cellStyle name="Input 20 2 4 2 3 2" xfId="42116"/>
    <cellStyle name="Input 20 2 4 2 4" xfId="31496"/>
    <cellStyle name="Input 20 2 4 2_Table 2A-1_EFT (Annual)" xfId="15094"/>
    <cellStyle name="Input 20 2 4 3" xfId="11398"/>
    <cellStyle name="Input 20 2 4 3 2" xfId="23496"/>
    <cellStyle name="Input 20 2 4 3 2 2" xfId="44682"/>
    <cellStyle name="Input 20 2 4 3 3" xfId="34078"/>
    <cellStyle name="Input 20 2 4 4" xfId="18383"/>
    <cellStyle name="Input 20 2 4 4 2" xfId="39570"/>
    <cellStyle name="Input 20 2 4 5" xfId="28753"/>
    <cellStyle name="Input 20 2 4_Table 2A-1_EFT (Annual)" xfId="6888"/>
    <cellStyle name="Input 20 2 5" xfId="4132"/>
    <cellStyle name="Input 20 2 5 2" xfId="12456"/>
    <cellStyle name="Input 20 2 5 2 2" xfId="24478"/>
    <cellStyle name="Input 20 2 5 2 2 2" xfId="45664"/>
    <cellStyle name="Input 20 2 5 2 3" xfId="35060"/>
    <cellStyle name="Input 20 2 5 3" xfId="19365"/>
    <cellStyle name="Input 20 2 5 3 2" xfId="40552"/>
    <cellStyle name="Input 20 2 5 4" xfId="29820"/>
    <cellStyle name="Input 20 2 5_Table 2A-1_EFT (Annual)" xfId="15095"/>
    <cellStyle name="Input 20 2 6" xfId="9795"/>
    <cellStyle name="Input 20 2 6 2" xfId="21932"/>
    <cellStyle name="Input 20 2 6 2 2" xfId="43118"/>
    <cellStyle name="Input 20 2 6 3" xfId="32514"/>
    <cellStyle name="Input 20 2 7" xfId="16819"/>
    <cellStyle name="Input 20 2 7 2" xfId="38006"/>
    <cellStyle name="Input 20 2 8" xfId="27077"/>
    <cellStyle name="Input 20 2_Table 2A-1_EFT (Annual)" xfId="3025"/>
    <cellStyle name="Input 20 3" xfId="400"/>
    <cellStyle name="Input 20 3 2" xfId="1383"/>
    <cellStyle name="Input 20 3 2 2" xfId="2653"/>
    <cellStyle name="Input 20 3 2 2 2" xfId="6214"/>
    <cellStyle name="Input 20 3 2 2 2 2" xfId="14408"/>
    <cellStyle name="Input 20 3 2 2 2 2 2" xfId="26380"/>
    <cellStyle name="Input 20 3 2 2 2 2 2 2" xfId="47566"/>
    <cellStyle name="Input 20 3 2 2 2 2 3" xfId="36962"/>
    <cellStyle name="Input 20 3 2 2 2 3" xfId="21267"/>
    <cellStyle name="Input 20 3 2 2 2 3 2" xfId="42454"/>
    <cellStyle name="Input 20 3 2 2 2 4" xfId="31870"/>
    <cellStyle name="Input 20 3 2 2 2_Table 2A-1_EFT (Annual)" xfId="15096"/>
    <cellStyle name="Input 20 3 2 2 3" xfId="11750"/>
    <cellStyle name="Input 20 3 2 2 3 2" xfId="23834"/>
    <cellStyle name="Input 20 3 2 2 3 2 2" xfId="45020"/>
    <cellStyle name="Input 20 3 2 2 3 3" xfId="34416"/>
    <cellStyle name="Input 20 3 2 2 4" xfId="18721"/>
    <cellStyle name="Input 20 3 2 2 4 2" xfId="39908"/>
    <cellStyle name="Input 20 3 2 2 5" xfId="29127"/>
    <cellStyle name="Input 20 3 2 2_Table 2A-1_EFT (Annual)" xfId="6890"/>
    <cellStyle name="Input 20 3 2 3" xfId="4944"/>
    <cellStyle name="Input 20 3 2 3 2" xfId="13204"/>
    <cellStyle name="Input 20 3 2 3 2 2" xfId="25210"/>
    <cellStyle name="Input 20 3 2 3 2 2 2" xfId="46396"/>
    <cellStyle name="Input 20 3 2 3 2 3" xfId="35792"/>
    <cellStyle name="Input 20 3 2 3 3" xfId="20097"/>
    <cellStyle name="Input 20 3 2 3 3 2" xfId="41284"/>
    <cellStyle name="Input 20 3 2 3 4" xfId="30601"/>
    <cellStyle name="Input 20 3 2 3_Table 2A-1_EFT (Annual)" xfId="15097"/>
    <cellStyle name="Input 20 3 2 4" xfId="10548"/>
    <cellStyle name="Input 20 3 2 4 2" xfId="22664"/>
    <cellStyle name="Input 20 3 2 4 2 2" xfId="43850"/>
    <cellStyle name="Input 20 3 2 4 3" xfId="33246"/>
    <cellStyle name="Input 20 3 2 5" xfId="17551"/>
    <cellStyle name="Input 20 3 2 5 2" xfId="38738"/>
    <cellStyle name="Input 20 3 2 6" xfId="27858"/>
    <cellStyle name="Input 20 3 2_Table 2A-1_EFT (Annual)" xfId="6889"/>
    <cellStyle name="Input 20 3 3" xfId="933"/>
    <cellStyle name="Input 20 3 3 2" xfId="4494"/>
    <cellStyle name="Input 20 3 3 2 2" xfId="12756"/>
    <cellStyle name="Input 20 3 3 2 2 2" xfId="24766"/>
    <cellStyle name="Input 20 3 3 2 2 2 2" xfId="45952"/>
    <cellStyle name="Input 20 3 3 2 2 3" xfId="35348"/>
    <cellStyle name="Input 20 3 3 2 3" xfId="19653"/>
    <cellStyle name="Input 20 3 3 2 3 2" xfId="40840"/>
    <cellStyle name="Input 20 3 3 2 4" xfId="30151"/>
    <cellStyle name="Input 20 3 3 2_Table 2A-1_EFT (Annual)" xfId="15098"/>
    <cellStyle name="Input 20 3 3 3" xfId="10103"/>
    <cellStyle name="Input 20 3 3 3 2" xfId="22220"/>
    <cellStyle name="Input 20 3 3 3 2 2" xfId="43406"/>
    <cellStyle name="Input 20 3 3 3 3" xfId="32802"/>
    <cellStyle name="Input 20 3 3 4" xfId="17107"/>
    <cellStyle name="Input 20 3 3 4 2" xfId="38294"/>
    <cellStyle name="Input 20 3 3 5" xfId="27408"/>
    <cellStyle name="Input 20 3 3_Table 2A-1_EFT (Annual)" xfId="6891"/>
    <cellStyle name="Input 20 3 4" xfId="2122"/>
    <cellStyle name="Input 20 3 4 2" xfId="5683"/>
    <cellStyle name="Input 20 3 4 2 2" xfId="13898"/>
    <cellStyle name="Input 20 3 4 2 2 2" xfId="25886"/>
    <cellStyle name="Input 20 3 4 2 2 2 2" xfId="47072"/>
    <cellStyle name="Input 20 3 4 2 2 3" xfId="36468"/>
    <cellStyle name="Input 20 3 4 2 3" xfId="20773"/>
    <cellStyle name="Input 20 3 4 2 3 2" xfId="41960"/>
    <cellStyle name="Input 20 3 4 2 4" xfId="31340"/>
    <cellStyle name="Input 20 3 4 2_Table 2A-1_EFT (Annual)" xfId="15099"/>
    <cellStyle name="Input 20 3 4 3" xfId="11242"/>
    <cellStyle name="Input 20 3 4 3 2" xfId="23340"/>
    <cellStyle name="Input 20 3 4 3 2 2" xfId="44526"/>
    <cellStyle name="Input 20 3 4 3 3" xfId="33922"/>
    <cellStyle name="Input 20 3 4 4" xfId="18227"/>
    <cellStyle name="Input 20 3 4 4 2" xfId="39414"/>
    <cellStyle name="Input 20 3 4 5" xfId="28597"/>
    <cellStyle name="Input 20 3 4_Table 2A-1_EFT (Annual)" xfId="6892"/>
    <cellStyle name="Input 20 3 5" xfId="3970"/>
    <cellStyle name="Input 20 3 5 2" xfId="12298"/>
    <cellStyle name="Input 20 3 5 2 2" xfId="24322"/>
    <cellStyle name="Input 20 3 5 2 2 2" xfId="45508"/>
    <cellStyle name="Input 20 3 5 2 3" xfId="34904"/>
    <cellStyle name="Input 20 3 5 3" xfId="19209"/>
    <cellStyle name="Input 20 3 5 3 2" xfId="40396"/>
    <cellStyle name="Input 20 3 5 4" xfId="29658"/>
    <cellStyle name="Input 20 3 5_Table 2A-1_EFT (Annual)" xfId="15100"/>
    <cellStyle name="Input 20 3 6" xfId="9635"/>
    <cellStyle name="Input 20 3 6 2" xfId="21776"/>
    <cellStyle name="Input 20 3 6 2 2" xfId="42962"/>
    <cellStyle name="Input 20 3 6 3" xfId="32358"/>
    <cellStyle name="Input 20 3 7" xfId="16663"/>
    <cellStyle name="Input 20 3 7 2" xfId="37850"/>
    <cellStyle name="Input 20 3 8" xfId="26915"/>
    <cellStyle name="Input 20 3_Table 2A-1_EFT (Annual)" xfId="3026"/>
    <cellStyle name="Input 20 4" xfId="1217"/>
    <cellStyle name="Input 20 4 2" xfId="2487"/>
    <cellStyle name="Input 20 4 2 2" xfId="6048"/>
    <cellStyle name="Input 20 4 2 2 2" xfId="14242"/>
    <cellStyle name="Input 20 4 2 2 2 2" xfId="26214"/>
    <cellStyle name="Input 20 4 2 2 2 2 2" xfId="47400"/>
    <cellStyle name="Input 20 4 2 2 2 3" xfId="36796"/>
    <cellStyle name="Input 20 4 2 2 3" xfId="21101"/>
    <cellStyle name="Input 20 4 2 2 3 2" xfId="42288"/>
    <cellStyle name="Input 20 4 2 2 4" xfId="31704"/>
    <cellStyle name="Input 20 4 2 2_Table 2A-1_EFT (Annual)" xfId="15101"/>
    <cellStyle name="Input 20 4 2 3" xfId="11584"/>
    <cellStyle name="Input 20 4 2 3 2" xfId="23668"/>
    <cellStyle name="Input 20 4 2 3 2 2" xfId="44854"/>
    <cellStyle name="Input 20 4 2 3 3" xfId="34250"/>
    <cellStyle name="Input 20 4 2 4" xfId="18555"/>
    <cellStyle name="Input 20 4 2 4 2" xfId="39742"/>
    <cellStyle name="Input 20 4 2 5" xfId="28961"/>
    <cellStyle name="Input 20 4 2_Table 2A-1_EFT (Annual)" xfId="6894"/>
    <cellStyle name="Input 20 4 3" xfId="4778"/>
    <cellStyle name="Input 20 4 3 2" xfId="13038"/>
    <cellStyle name="Input 20 4 3 2 2" xfId="25044"/>
    <cellStyle name="Input 20 4 3 2 2 2" xfId="46230"/>
    <cellStyle name="Input 20 4 3 2 3" xfId="35626"/>
    <cellStyle name="Input 20 4 3 3" xfId="19931"/>
    <cellStyle name="Input 20 4 3 3 2" xfId="41118"/>
    <cellStyle name="Input 20 4 3 4" xfId="30435"/>
    <cellStyle name="Input 20 4 3_Table 2A-1_EFT (Annual)" xfId="15102"/>
    <cellStyle name="Input 20 4 4" xfId="10382"/>
    <cellStyle name="Input 20 4 4 2" xfId="22498"/>
    <cellStyle name="Input 20 4 4 2 2" xfId="43684"/>
    <cellStyle name="Input 20 4 4 3" xfId="33080"/>
    <cellStyle name="Input 20 4 5" xfId="17385"/>
    <cellStyle name="Input 20 4 5 2" xfId="38572"/>
    <cellStyle name="Input 20 4 6" xfId="27692"/>
    <cellStyle name="Input 20 4_Table 2A-1_EFT (Annual)" xfId="6893"/>
    <cellStyle name="Input 20 5" xfId="774"/>
    <cellStyle name="Input 20 5 2" xfId="4335"/>
    <cellStyle name="Input 20 5 2 2" xfId="12615"/>
    <cellStyle name="Input 20 5 2 2 2" xfId="24632"/>
    <cellStyle name="Input 20 5 2 2 2 2" xfId="45818"/>
    <cellStyle name="Input 20 5 2 2 3" xfId="35214"/>
    <cellStyle name="Input 20 5 2 3" xfId="19519"/>
    <cellStyle name="Input 20 5 2 3 2" xfId="40706"/>
    <cellStyle name="Input 20 5 2 4" xfId="29992"/>
    <cellStyle name="Input 20 5 2_Table 2A-1_EFT (Annual)" xfId="15103"/>
    <cellStyle name="Input 20 5 3" xfId="9963"/>
    <cellStyle name="Input 20 5 3 2" xfId="22086"/>
    <cellStyle name="Input 20 5 3 2 2" xfId="43272"/>
    <cellStyle name="Input 20 5 3 3" xfId="32668"/>
    <cellStyle name="Input 20 5 4" xfId="16973"/>
    <cellStyle name="Input 20 5 4 2" xfId="38160"/>
    <cellStyle name="Input 20 5 5" xfId="27249"/>
    <cellStyle name="Input 20 5_Table 2A-1_EFT (Annual)" xfId="6895"/>
    <cellStyle name="Input 20 6" xfId="1956"/>
    <cellStyle name="Input 20 6 2" xfId="5517"/>
    <cellStyle name="Input 20 6 2 2" xfId="13732"/>
    <cellStyle name="Input 20 6 2 2 2" xfId="25720"/>
    <cellStyle name="Input 20 6 2 2 2 2" xfId="46906"/>
    <cellStyle name="Input 20 6 2 2 3" xfId="36302"/>
    <cellStyle name="Input 20 6 2 3" xfId="20607"/>
    <cellStyle name="Input 20 6 2 3 2" xfId="41794"/>
    <cellStyle name="Input 20 6 2 4" xfId="31174"/>
    <cellStyle name="Input 20 6 2_Table 2A-1_EFT (Annual)" xfId="15104"/>
    <cellStyle name="Input 20 6 3" xfId="11076"/>
    <cellStyle name="Input 20 6 3 2" xfId="23174"/>
    <cellStyle name="Input 20 6 3 2 2" xfId="44360"/>
    <cellStyle name="Input 20 6 3 3" xfId="33756"/>
    <cellStyle name="Input 20 6 4" xfId="18061"/>
    <cellStyle name="Input 20 6 4 2" xfId="39248"/>
    <cellStyle name="Input 20 6 5" xfId="28431"/>
    <cellStyle name="Input 20 6_Table 2A-1_EFT (Annual)" xfId="6896"/>
    <cellStyle name="Input 20 7" xfId="3758"/>
    <cellStyle name="Input 20 7 2" xfId="12126"/>
    <cellStyle name="Input 20 7 2 2" xfId="24156"/>
    <cellStyle name="Input 20 7 2 2 2" xfId="45342"/>
    <cellStyle name="Input 20 7 2 3" xfId="34738"/>
    <cellStyle name="Input 20 7 3" xfId="19043"/>
    <cellStyle name="Input 20 7 3 2" xfId="40230"/>
    <cellStyle name="Input 20 7 4" xfId="29467"/>
    <cellStyle name="Input 20 7_Table 2A-1_EFT (Annual)" xfId="15105"/>
    <cellStyle name="Input 20 8" xfId="9445"/>
    <cellStyle name="Input 20 8 2" xfId="21610"/>
    <cellStyle name="Input 20 8 2 2" xfId="42796"/>
    <cellStyle name="Input 20 8 3" xfId="32192"/>
    <cellStyle name="Input 20 9" xfId="16497"/>
    <cellStyle name="Input 20 9 2" xfId="37684"/>
    <cellStyle name="Input 20_Table 2A-1_EFT (Annual)" xfId="3024"/>
    <cellStyle name="Input 21" xfId="165"/>
    <cellStyle name="Input 21 10" xfId="26720"/>
    <cellStyle name="Input 21 2" xfId="558"/>
    <cellStyle name="Input 21 2 2" xfId="1535"/>
    <cellStyle name="Input 21 2 2 2" xfId="2805"/>
    <cellStyle name="Input 21 2 2 2 2" xfId="6366"/>
    <cellStyle name="Input 21 2 2 2 2 2" xfId="14560"/>
    <cellStyle name="Input 21 2 2 2 2 2 2" xfId="26532"/>
    <cellStyle name="Input 21 2 2 2 2 2 2 2" xfId="47718"/>
    <cellStyle name="Input 21 2 2 2 2 2 3" xfId="37114"/>
    <cellStyle name="Input 21 2 2 2 2 3" xfId="21419"/>
    <cellStyle name="Input 21 2 2 2 2 3 2" xfId="42606"/>
    <cellStyle name="Input 21 2 2 2 2 4" xfId="32022"/>
    <cellStyle name="Input 21 2 2 2 2_Table 2A-1_EFT (Annual)" xfId="15106"/>
    <cellStyle name="Input 21 2 2 2 3" xfId="11902"/>
    <cellStyle name="Input 21 2 2 2 3 2" xfId="23986"/>
    <cellStyle name="Input 21 2 2 2 3 2 2" xfId="45172"/>
    <cellStyle name="Input 21 2 2 2 3 3" xfId="34568"/>
    <cellStyle name="Input 21 2 2 2 4" xfId="18873"/>
    <cellStyle name="Input 21 2 2 2 4 2" xfId="40060"/>
    <cellStyle name="Input 21 2 2 2 5" xfId="29279"/>
    <cellStyle name="Input 21 2 2 2_Table 2A-1_EFT (Annual)" xfId="6898"/>
    <cellStyle name="Input 21 2 2 3" xfId="5096"/>
    <cellStyle name="Input 21 2 2 3 2" xfId="13356"/>
    <cellStyle name="Input 21 2 2 3 2 2" xfId="25362"/>
    <cellStyle name="Input 21 2 2 3 2 2 2" xfId="46548"/>
    <cellStyle name="Input 21 2 2 3 2 3" xfId="35944"/>
    <cellStyle name="Input 21 2 2 3 3" xfId="20249"/>
    <cellStyle name="Input 21 2 2 3 3 2" xfId="41436"/>
    <cellStyle name="Input 21 2 2 3 4" xfId="30753"/>
    <cellStyle name="Input 21 2 2 3_Table 2A-1_EFT (Annual)" xfId="15107"/>
    <cellStyle name="Input 21 2 2 4" xfId="10700"/>
    <cellStyle name="Input 21 2 2 4 2" xfId="22816"/>
    <cellStyle name="Input 21 2 2 4 2 2" xfId="44002"/>
    <cellStyle name="Input 21 2 2 4 3" xfId="33398"/>
    <cellStyle name="Input 21 2 2 5" xfId="17703"/>
    <cellStyle name="Input 21 2 2 5 2" xfId="38890"/>
    <cellStyle name="Input 21 2 2 6" xfId="28010"/>
    <cellStyle name="Input 21 2 2_Table 2A-1_EFT (Annual)" xfId="6897"/>
    <cellStyle name="Input 21 2 3" xfId="1062"/>
    <cellStyle name="Input 21 2 3 2" xfId="4623"/>
    <cellStyle name="Input 21 2 3 2 2" xfId="12883"/>
    <cellStyle name="Input 21 2 3 2 2 2" xfId="24889"/>
    <cellStyle name="Input 21 2 3 2 2 2 2" xfId="46075"/>
    <cellStyle name="Input 21 2 3 2 2 3" xfId="35471"/>
    <cellStyle name="Input 21 2 3 2 3" xfId="19776"/>
    <cellStyle name="Input 21 2 3 2 3 2" xfId="40963"/>
    <cellStyle name="Input 21 2 3 2 4" xfId="30280"/>
    <cellStyle name="Input 21 2 3 2_Table 2A-1_EFT (Annual)" xfId="15108"/>
    <cellStyle name="Input 21 2 3 3" xfId="10227"/>
    <cellStyle name="Input 21 2 3 3 2" xfId="22343"/>
    <cellStyle name="Input 21 2 3 3 2 2" xfId="43529"/>
    <cellStyle name="Input 21 2 3 3 3" xfId="32925"/>
    <cellStyle name="Input 21 2 3 4" xfId="17230"/>
    <cellStyle name="Input 21 2 3 4 2" xfId="38417"/>
    <cellStyle name="Input 21 2 3 5" xfId="27537"/>
    <cellStyle name="Input 21 2 3_Table 2A-1_EFT (Annual)" xfId="6899"/>
    <cellStyle name="Input 21 2 4" xfId="2274"/>
    <cellStyle name="Input 21 2 4 2" xfId="5835"/>
    <cellStyle name="Input 21 2 4 2 2" xfId="14050"/>
    <cellStyle name="Input 21 2 4 2 2 2" xfId="26038"/>
    <cellStyle name="Input 21 2 4 2 2 2 2" xfId="47224"/>
    <cellStyle name="Input 21 2 4 2 2 3" xfId="36620"/>
    <cellStyle name="Input 21 2 4 2 3" xfId="20925"/>
    <cellStyle name="Input 21 2 4 2 3 2" xfId="42112"/>
    <cellStyle name="Input 21 2 4 2 4" xfId="31492"/>
    <cellStyle name="Input 21 2 4 2_Table 2A-1_EFT (Annual)" xfId="15109"/>
    <cellStyle name="Input 21 2 4 3" xfId="11394"/>
    <cellStyle name="Input 21 2 4 3 2" xfId="23492"/>
    <cellStyle name="Input 21 2 4 3 2 2" xfId="44678"/>
    <cellStyle name="Input 21 2 4 3 3" xfId="34074"/>
    <cellStyle name="Input 21 2 4 4" xfId="18379"/>
    <cellStyle name="Input 21 2 4 4 2" xfId="39566"/>
    <cellStyle name="Input 21 2 4 5" xfId="28749"/>
    <cellStyle name="Input 21 2 4_Table 2A-1_EFT (Annual)" xfId="6900"/>
    <cellStyle name="Input 21 2 5" xfId="4128"/>
    <cellStyle name="Input 21 2 5 2" xfId="12452"/>
    <cellStyle name="Input 21 2 5 2 2" xfId="24474"/>
    <cellStyle name="Input 21 2 5 2 2 2" xfId="45660"/>
    <cellStyle name="Input 21 2 5 2 3" xfId="35056"/>
    <cellStyle name="Input 21 2 5 3" xfId="19361"/>
    <cellStyle name="Input 21 2 5 3 2" xfId="40548"/>
    <cellStyle name="Input 21 2 5 4" xfId="29816"/>
    <cellStyle name="Input 21 2 5_Table 2A-1_EFT (Annual)" xfId="15110"/>
    <cellStyle name="Input 21 2 6" xfId="9791"/>
    <cellStyle name="Input 21 2 6 2" xfId="21928"/>
    <cellStyle name="Input 21 2 6 2 2" xfId="43114"/>
    <cellStyle name="Input 21 2 6 3" xfId="32510"/>
    <cellStyle name="Input 21 2 7" xfId="16815"/>
    <cellStyle name="Input 21 2 7 2" xfId="38002"/>
    <cellStyle name="Input 21 2 8" xfId="27073"/>
    <cellStyle name="Input 21 2_Table 2A-1_EFT (Annual)" xfId="3028"/>
    <cellStyle name="Input 21 3" xfId="396"/>
    <cellStyle name="Input 21 3 2" xfId="1379"/>
    <cellStyle name="Input 21 3 2 2" xfId="2649"/>
    <cellStyle name="Input 21 3 2 2 2" xfId="6210"/>
    <cellStyle name="Input 21 3 2 2 2 2" xfId="14404"/>
    <cellStyle name="Input 21 3 2 2 2 2 2" xfId="26376"/>
    <cellStyle name="Input 21 3 2 2 2 2 2 2" xfId="47562"/>
    <cellStyle name="Input 21 3 2 2 2 2 3" xfId="36958"/>
    <cellStyle name="Input 21 3 2 2 2 3" xfId="21263"/>
    <cellStyle name="Input 21 3 2 2 2 3 2" xfId="42450"/>
    <cellStyle name="Input 21 3 2 2 2 4" xfId="31866"/>
    <cellStyle name="Input 21 3 2 2 2_Table 2A-1_EFT (Annual)" xfId="15111"/>
    <cellStyle name="Input 21 3 2 2 3" xfId="11746"/>
    <cellStyle name="Input 21 3 2 2 3 2" xfId="23830"/>
    <cellStyle name="Input 21 3 2 2 3 2 2" xfId="45016"/>
    <cellStyle name="Input 21 3 2 2 3 3" xfId="34412"/>
    <cellStyle name="Input 21 3 2 2 4" xfId="18717"/>
    <cellStyle name="Input 21 3 2 2 4 2" xfId="39904"/>
    <cellStyle name="Input 21 3 2 2 5" xfId="29123"/>
    <cellStyle name="Input 21 3 2 2_Table 2A-1_EFT (Annual)" xfId="6902"/>
    <cellStyle name="Input 21 3 2 3" xfId="4940"/>
    <cellStyle name="Input 21 3 2 3 2" xfId="13200"/>
    <cellStyle name="Input 21 3 2 3 2 2" xfId="25206"/>
    <cellStyle name="Input 21 3 2 3 2 2 2" xfId="46392"/>
    <cellStyle name="Input 21 3 2 3 2 3" xfId="35788"/>
    <cellStyle name="Input 21 3 2 3 3" xfId="20093"/>
    <cellStyle name="Input 21 3 2 3 3 2" xfId="41280"/>
    <cellStyle name="Input 21 3 2 3 4" xfId="30597"/>
    <cellStyle name="Input 21 3 2 3_Table 2A-1_EFT (Annual)" xfId="15112"/>
    <cellStyle name="Input 21 3 2 4" xfId="10544"/>
    <cellStyle name="Input 21 3 2 4 2" xfId="22660"/>
    <cellStyle name="Input 21 3 2 4 2 2" xfId="43846"/>
    <cellStyle name="Input 21 3 2 4 3" xfId="33242"/>
    <cellStyle name="Input 21 3 2 5" xfId="17547"/>
    <cellStyle name="Input 21 3 2 5 2" xfId="38734"/>
    <cellStyle name="Input 21 3 2 6" xfId="27854"/>
    <cellStyle name="Input 21 3 2_Table 2A-1_EFT (Annual)" xfId="6901"/>
    <cellStyle name="Input 21 3 3" xfId="930"/>
    <cellStyle name="Input 21 3 3 2" xfId="4491"/>
    <cellStyle name="Input 21 3 3 2 2" xfId="12753"/>
    <cellStyle name="Input 21 3 3 2 2 2" xfId="24763"/>
    <cellStyle name="Input 21 3 3 2 2 2 2" xfId="45949"/>
    <cellStyle name="Input 21 3 3 2 2 3" xfId="35345"/>
    <cellStyle name="Input 21 3 3 2 3" xfId="19650"/>
    <cellStyle name="Input 21 3 3 2 3 2" xfId="40837"/>
    <cellStyle name="Input 21 3 3 2 4" xfId="30148"/>
    <cellStyle name="Input 21 3 3 2_Table 2A-1_EFT (Annual)" xfId="15113"/>
    <cellStyle name="Input 21 3 3 3" xfId="10100"/>
    <cellStyle name="Input 21 3 3 3 2" xfId="22217"/>
    <cellStyle name="Input 21 3 3 3 2 2" xfId="43403"/>
    <cellStyle name="Input 21 3 3 3 3" xfId="32799"/>
    <cellStyle name="Input 21 3 3 4" xfId="17104"/>
    <cellStyle name="Input 21 3 3 4 2" xfId="38291"/>
    <cellStyle name="Input 21 3 3 5" xfId="27405"/>
    <cellStyle name="Input 21 3 3_Table 2A-1_EFT (Annual)" xfId="6903"/>
    <cellStyle name="Input 21 3 4" xfId="2118"/>
    <cellStyle name="Input 21 3 4 2" xfId="5679"/>
    <cellStyle name="Input 21 3 4 2 2" xfId="13894"/>
    <cellStyle name="Input 21 3 4 2 2 2" xfId="25882"/>
    <cellStyle name="Input 21 3 4 2 2 2 2" xfId="47068"/>
    <cellStyle name="Input 21 3 4 2 2 3" xfId="36464"/>
    <cellStyle name="Input 21 3 4 2 3" xfId="20769"/>
    <cellStyle name="Input 21 3 4 2 3 2" xfId="41956"/>
    <cellStyle name="Input 21 3 4 2 4" xfId="31336"/>
    <cellStyle name="Input 21 3 4 2_Table 2A-1_EFT (Annual)" xfId="15114"/>
    <cellStyle name="Input 21 3 4 3" xfId="11238"/>
    <cellStyle name="Input 21 3 4 3 2" xfId="23336"/>
    <cellStyle name="Input 21 3 4 3 2 2" xfId="44522"/>
    <cellStyle name="Input 21 3 4 3 3" xfId="33918"/>
    <cellStyle name="Input 21 3 4 4" xfId="18223"/>
    <cellStyle name="Input 21 3 4 4 2" xfId="39410"/>
    <cellStyle name="Input 21 3 4 5" xfId="28593"/>
    <cellStyle name="Input 21 3 4_Table 2A-1_EFT (Annual)" xfId="6904"/>
    <cellStyle name="Input 21 3 5" xfId="3966"/>
    <cellStyle name="Input 21 3 5 2" xfId="12294"/>
    <cellStyle name="Input 21 3 5 2 2" xfId="24318"/>
    <cellStyle name="Input 21 3 5 2 2 2" xfId="45504"/>
    <cellStyle name="Input 21 3 5 2 3" xfId="34900"/>
    <cellStyle name="Input 21 3 5 3" xfId="19205"/>
    <cellStyle name="Input 21 3 5 3 2" xfId="40392"/>
    <cellStyle name="Input 21 3 5 4" xfId="29654"/>
    <cellStyle name="Input 21 3 5_Table 2A-1_EFT (Annual)" xfId="15115"/>
    <cellStyle name="Input 21 3 6" xfId="9631"/>
    <cellStyle name="Input 21 3 6 2" xfId="21772"/>
    <cellStyle name="Input 21 3 6 2 2" xfId="42958"/>
    <cellStyle name="Input 21 3 6 3" xfId="32354"/>
    <cellStyle name="Input 21 3 7" xfId="16659"/>
    <cellStyle name="Input 21 3 7 2" xfId="37846"/>
    <cellStyle name="Input 21 3 8" xfId="26911"/>
    <cellStyle name="Input 21 3_Table 2A-1_EFT (Annual)" xfId="3029"/>
    <cellStyle name="Input 21 4" xfId="1213"/>
    <cellStyle name="Input 21 4 2" xfId="2483"/>
    <cellStyle name="Input 21 4 2 2" xfId="6044"/>
    <cellStyle name="Input 21 4 2 2 2" xfId="14238"/>
    <cellStyle name="Input 21 4 2 2 2 2" xfId="26210"/>
    <cellStyle name="Input 21 4 2 2 2 2 2" xfId="47396"/>
    <cellStyle name="Input 21 4 2 2 2 3" xfId="36792"/>
    <cellStyle name="Input 21 4 2 2 3" xfId="21097"/>
    <cellStyle name="Input 21 4 2 2 3 2" xfId="42284"/>
    <cellStyle name="Input 21 4 2 2 4" xfId="31700"/>
    <cellStyle name="Input 21 4 2 2_Table 2A-1_EFT (Annual)" xfId="15116"/>
    <cellStyle name="Input 21 4 2 3" xfId="11580"/>
    <cellStyle name="Input 21 4 2 3 2" xfId="23664"/>
    <cellStyle name="Input 21 4 2 3 2 2" xfId="44850"/>
    <cellStyle name="Input 21 4 2 3 3" xfId="34246"/>
    <cellStyle name="Input 21 4 2 4" xfId="18551"/>
    <cellStyle name="Input 21 4 2 4 2" xfId="39738"/>
    <cellStyle name="Input 21 4 2 5" xfId="28957"/>
    <cellStyle name="Input 21 4 2_Table 2A-1_EFT (Annual)" xfId="6906"/>
    <cellStyle name="Input 21 4 3" xfId="4774"/>
    <cellStyle name="Input 21 4 3 2" xfId="13034"/>
    <cellStyle name="Input 21 4 3 2 2" xfId="25040"/>
    <cellStyle name="Input 21 4 3 2 2 2" xfId="46226"/>
    <cellStyle name="Input 21 4 3 2 3" xfId="35622"/>
    <cellStyle name="Input 21 4 3 3" xfId="19927"/>
    <cellStyle name="Input 21 4 3 3 2" xfId="41114"/>
    <cellStyle name="Input 21 4 3 4" xfId="30431"/>
    <cellStyle name="Input 21 4 3_Table 2A-1_EFT (Annual)" xfId="15117"/>
    <cellStyle name="Input 21 4 4" xfId="10378"/>
    <cellStyle name="Input 21 4 4 2" xfId="22494"/>
    <cellStyle name="Input 21 4 4 2 2" xfId="43680"/>
    <cellStyle name="Input 21 4 4 3" xfId="33076"/>
    <cellStyle name="Input 21 4 5" xfId="17381"/>
    <cellStyle name="Input 21 4 5 2" xfId="38568"/>
    <cellStyle name="Input 21 4 6" xfId="27688"/>
    <cellStyle name="Input 21 4_Table 2A-1_EFT (Annual)" xfId="6905"/>
    <cellStyle name="Input 21 5" xfId="771"/>
    <cellStyle name="Input 21 5 2" xfId="4332"/>
    <cellStyle name="Input 21 5 2 2" xfId="12612"/>
    <cellStyle name="Input 21 5 2 2 2" xfId="24629"/>
    <cellStyle name="Input 21 5 2 2 2 2" xfId="45815"/>
    <cellStyle name="Input 21 5 2 2 3" xfId="35211"/>
    <cellStyle name="Input 21 5 2 3" xfId="19516"/>
    <cellStyle name="Input 21 5 2 3 2" xfId="40703"/>
    <cellStyle name="Input 21 5 2 4" xfId="29989"/>
    <cellStyle name="Input 21 5 2_Table 2A-1_EFT (Annual)" xfId="15118"/>
    <cellStyle name="Input 21 5 3" xfId="9960"/>
    <cellStyle name="Input 21 5 3 2" xfId="22083"/>
    <cellStyle name="Input 21 5 3 2 2" xfId="43269"/>
    <cellStyle name="Input 21 5 3 3" xfId="32665"/>
    <cellStyle name="Input 21 5 4" xfId="16970"/>
    <cellStyle name="Input 21 5 4 2" xfId="38157"/>
    <cellStyle name="Input 21 5 5" xfId="27246"/>
    <cellStyle name="Input 21 5_Table 2A-1_EFT (Annual)" xfId="6907"/>
    <cellStyle name="Input 21 6" xfId="1952"/>
    <cellStyle name="Input 21 6 2" xfId="5513"/>
    <cellStyle name="Input 21 6 2 2" xfId="13728"/>
    <cellStyle name="Input 21 6 2 2 2" xfId="25716"/>
    <cellStyle name="Input 21 6 2 2 2 2" xfId="46902"/>
    <cellStyle name="Input 21 6 2 2 3" xfId="36298"/>
    <cellStyle name="Input 21 6 2 3" xfId="20603"/>
    <cellStyle name="Input 21 6 2 3 2" xfId="41790"/>
    <cellStyle name="Input 21 6 2 4" xfId="31170"/>
    <cellStyle name="Input 21 6 2_Table 2A-1_EFT (Annual)" xfId="15119"/>
    <cellStyle name="Input 21 6 3" xfId="11072"/>
    <cellStyle name="Input 21 6 3 2" xfId="23170"/>
    <cellStyle name="Input 21 6 3 2 2" xfId="44356"/>
    <cellStyle name="Input 21 6 3 3" xfId="33752"/>
    <cellStyle name="Input 21 6 4" xfId="18057"/>
    <cellStyle name="Input 21 6 4 2" xfId="39244"/>
    <cellStyle name="Input 21 6 5" xfId="28427"/>
    <cellStyle name="Input 21 6_Table 2A-1_EFT (Annual)" xfId="6908"/>
    <cellStyle name="Input 21 7" xfId="3754"/>
    <cellStyle name="Input 21 7 2" xfId="12122"/>
    <cellStyle name="Input 21 7 2 2" xfId="24152"/>
    <cellStyle name="Input 21 7 2 2 2" xfId="45338"/>
    <cellStyle name="Input 21 7 2 3" xfId="34734"/>
    <cellStyle name="Input 21 7 3" xfId="19039"/>
    <cellStyle name="Input 21 7 3 2" xfId="40226"/>
    <cellStyle name="Input 21 7 4" xfId="29463"/>
    <cellStyle name="Input 21 7_Table 2A-1_EFT (Annual)" xfId="15120"/>
    <cellStyle name="Input 21 8" xfId="9441"/>
    <cellStyle name="Input 21 8 2" xfId="21606"/>
    <cellStyle name="Input 21 8 2 2" xfId="42792"/>
    <cellStyle name="Input 21 8 3" xfId="32188"/>
    <cellStyle name="Input 21 9" xfId="16493"/>
    <cellStyle name="Input 21 9 2" xfId="37680"/>
    <cellStyle name="Input 21_Table 2A-1_EFT (Annual)" xfId="3027"/>
    <cellStyle name="Input 22" xfId="204"/>
    <cellStyle name="Input 22 10" xfId="26759"/>
    <cellStyle name="Input 22 2" xfId="597"/>
    <cellStyle name="Input 22 2 2" xfId="1574"/>
    <cellStyle name="Input 22 2 2 2" xfId="2844"/>
    <cellStyle name="Input 22 2 2 2 2" xfId="6405"/>
    <cellStyle name="Input 22 2 2 2 2 2" xfId="14599"/>
    <cellStyle name="Input 22 2 2 2 2 2 2" xfId="26571"/>
    <cellStyle name="Input 22 2 2 2 2 2 2 2" xfId="47757"/>
    <cellStyle name="Input 22 2 2 2 2 2 3" xfId="37153"/>
    <cellStyle name="Input 22 2 2 2 2 3" xfId="21458"/>
    <cellStyle name="Input 22 2 2 2 2 3 2" xfId="42645"/>
    <cellStyle name="Input 22 2 2 2 2 4" xfId="32061"/>
    <cellStyle name="Input 22 2 2 2 2_Table 2A-1_EFT (Annual)" xfId="15121"/>
    <cellStyle name="Input 22 2 2 2 3" xfId="11941"/>
    <cellStyle name="Input 22 2 2 2 3 2" xfId="24025"/>
    <cellStyle name="Input 22 2 2 2 3 2 2" xfId="45211"/>
    <cellStyle name="Input 22 2 2 2 3 3" xfId="34607"/>
    <cellStyle name="Input 22 2 2 2 4" xfId="18912"/>
    <cellStyle name="Input 22 2 2 2 4 2" xfId="40099"/>
    <cellStyle name="Input 22 2 2 2 5" xfId="29318"/>
    <cellStyle name="Input 22 2 2 2_Table 2A-1_EFT (Annual)" xfId="6910"/>
    <cellStyle name="Input 22 2 2 3" xfId="5135"/>
    <cellStyle name="Input 22 2 2 3 2" xfId="13395"/>
    <cellStyle name="Input 22 2 2 3 2 2" xfId="25401"/>
    <cellStyle name="Input 22 2 2 3 2 2 2" xfId="46587"/>
    <cellStyle name="Input 22 2 2 3 2 3" xfId="35983"/>
    <cellStyle name="Input 22 2 2 3 3" xfId="20288"/>
    <cellStyle name="Input 22 2 2 3 3 2" xfId="41475"/>
    <cellStyle name="Input 22 2 2 3 4" xfId="30792"/>
    <cellStyle name="Input 22 2 2 3_Table 2A-1_EFT (Annual)" xfId="15122"/>
    <cellStyle name="Input 22 2 2 4" xfId="10739"/>
    <cellStyle name="Input 22 2 2 4 2" xfId="22855"/>
    <cellStyle name="Input 22 2 2 4 2 2" xfId="44041"/>
    <cellStyle name="Input 22 2 2 4 3" xfId="33437"/>
    <cellStyle name="Input 22 2 2 5" xfId="17742"/>
    <cellStyle name="Input 22 2 2 5 2" xfId="38929"/>
    <cellStyle name="Input 22 2 2 6" xfId="28049"/>
    <cellStyle name="Input 22 2 2_Table 2A-1_EFT (Annual)" xfId="6909"/>
    <cellStyle name="Input 22 2 3" xfId="1094"/>
    <cellStyle name="Input 22 2 3 2" xfId="4655"/>
    <cellStyle name="Input 22 2 3 2 2" xfId="12915"/>
    <cellStyle name="Input 22 2 3 2 2 2" xfId="24921"/>
    <cellStyle name="Input 22 2 3 2 2 2 2" xfId="46107"/>
    <cellStyle name="Input 22 2 3 2 2 3" xfId="35503"/>
    <cellStyle name="Input 22 2 3 2 3" xfId="19808"/>
    <cellStyle name="Input 22 2 3 2 3 2" xfId="40995"/>
    <cellStyle name="Input 22 2 3 2 4" xfId="30312"/>
    <cellStyle name="Input 22 2 3 2_Table 2A-1_EFT (Annual)" xfId="15123"/>
    <cellStyle name="Input 22 2 3 3" xfId="10259"/>
    <cellStyle name="Input 22 2 3 3 2" xfId="22375"/>
    <cellStyle name="Input 22 2 3 3 2 2" xfId="43561"/>
    <cellStyle name="Input 22 2 3 3 3" xfId="32957"/>
    <cellStyle name="Input 22 2 3 4" xfId="17262"/>
    <cellStyle name="Input 22 2 3 4 2" xfId="38449"/>
    <cellStyle name="Input 22 2 3 5" xfId="27569"/>
    <cellStyle name="Input 22 2 3_Table 2A-1_EFT (Annual)" xfId="6911"/>
    <cellStyle name="Input 22 2 4" xfId="2313"/>
    <cellStyle name="Input 22 2 4 2" xfId="5874"/>
    <cellStyle name="Input 22 2 4 2 2" xfId="14089"/>
    <cellStyle name="Input 22 2 4 2 2 2" xfId="26077"/>
    <cellStyle name="Input 22 2 4 2 2 2 2" xfId="47263"/>
    <cellStyle name="Input 22 2 4 2 2 3" xfId="36659"/>
    <cellStyle name="Input 22 2 4 2 3" xfId="20964"/>
    <cellStyle name="Input 22 2 4 2 3 2" xfId="42151"/>
    <cellStyle name="Input 22 2 4 2 4" xfId="31531"/>
    <cellStyle name="Input 22 2 4 2_Table 2A-1_EFT (Annual)" xfId="15124"/>
    <cellStyle name="Input 22 2 4 3" xfId="11433"/>
    <cellStyle name="Input 22 2 4 3 2" xfId="23531"/>
    <cellStyle name="Input 22 2 4 3 2 2" xfId="44717"/>
    <cellStyle name="Input 22 2 4 3 3" xfId="34113"/>
    <cellStyle name="Input 22 2 4 4" xfId="18418"/>
    <cellStyle name="Input 22 2 4 4 2" xfId="39605"/>
    <cellStyle name="Input 22 2 4 5" xfId="28788"/>
    <cellStyle name="Input 22 2 4_Table 2A-1_EFT (Annual)" xfId="6912"/>
    <cellStyle name="Input 22 2 5" xfId="4167"/>
    <cellStyle name="Input 22 2 5 2" xfId="12491"/>
    <cellStyle name="Input 22 2 5 2 2" xfId="24513"/>
    <cellStyle name="Input 22 2 5 2 2 2" xfId="45699"/>
    <cellStyle name="Input 22 2 5 2 3" xfId="35095"/>
    <cellStyle name="Input 22 2 5 3" xfId="19400"/>
    <cellStyle name="Input 22 2 5 3 2" xfId="40587"/>
    <cellStyle name="Input 22 2 5 4" xfId="29855"/>
    <cellStyle name="Input 22 2 5_Table 2A-1_EFT (Annual)" xfId="15125"/>
    <cellStyle name="Input 22 2 6" xfId="9830"/>
    <cellStyle name="Input 22 2 6 2" xfId="21967"/>
    <cellStyle name="Input 22 2 6 2 2" xfId="43153"/>
    <cellStyle name="Input 22 2 6 3" xfId="32549"/>
    <cellStyle name="Input 22 2 7" xfId="16854"/>
    <cellStyle name="Input 22 2 7 2" xfId="38041"/>
    <cellStyle name="Input 22 2 8" xfId="27112"/>
    <cellStyle name="Input 22 2_Table 2A-1_EFT (Annual)" xfId="3031"/>
    <cellStyle name="Input 22 3" xfId="433"/>
    <cellStyle name="Input 22 3 2" xfId="1416"/>
    <cellStyle name="Input 22 3 2 2" xfId="2686"/>
    <cellStyle name="Input 22 3 2 2 2" xfId="6247"/>
    <cellStyle name="Input 22 3 2 2 2 2" xfId="14441"/>
    <cellStyle name="Input 22 3 2 2 2 2 2" xfId="26413"/>
    <cellStyle name="Input 22 3 2 2 2 2 2 2" xfId="47599"/>
    <cellStyle name="Input 22 3 2 2 2 2 3" xfId="36995"/>
    <cellStyle name="Input 22 3 2 2 2 3" xfId="21300"/>
    <cellStyle name="Input 22 3 2 2 2 3 2" xfId="42487"/>
    <cellStyle name="Input 22 3 2 2 2 4" xfId="31903"/>
    <cellStyle name="Input 22 3 2 2 2_Table 2A-1_EFT (Annual)" xfId="15126"/>
    <cellStyle name="Input 22 3 2 2 3" xfId="11783"/>
    <cellStyle name="Input 22 3 2 2 3 2" xfId="23867"/>
    <cellStyle name="Input 22 3 2 2 3 2 2" xfId="45053"/>
    <cellStyle name="Input 22 3 2 2 3 3" xfId="34449"/>
    <cellStyle name="Input 22 3 2 2 4" xfId="18754"/>
    <cellStyle name="Input 22 3 2 2 4 2" xfId="39941"/>
    <cellStyle name="Input 22 3 2 2 5" xfId="29160"/>
    <cellStyle name="Input 22 3 2 2_Table 2A-1_EFT (Annual)" xfId="6914"/>
    <cellStyle name="Input 22 3 2 3" xfId="4977"/>
    <cellStyle name="Input 22 3 2 3 2" xfId="13237"/>
    <cellStyle name="Input 22 3 2 3 2 2" xfId="25243"/>
    <cellStyle name="Input 22 3 2 3 2 2 2" xfId="46429"/>
    <cellStyle name="Input 22 3 2 3 2 3" xfId="35825"/>
    <cellStyle name="Input 22 3 2 3 3" xfId="20130"/>
    <cellStyle name="Input 22 3 2 3 3 2" xfId="41317"/>
    <cellStyle name="Input 22 3 2 3 4" xfId="30634"/>
    <cellStyle name="Input 22 3 2 3_Table 2A-1_EFT (Annual)" xfId="15127"/>
    <cellStyle name="Input 22 3 2 4" xfId="10581"/>
    <cellStyle name="Input 22 3 2 4 2" xfId="22697"/>
    <cellStyle name="Input 22 3 2 4 2 2" xfId="43883"/>
    <cellStyle name="Input 22 3 2 4 3" xfId="33279"/>
    <cellStyle name="Input 22 3 2 5" xfId="17584"/>
    <cellStyle name="Input 22 3 2 5 2" xfId="38771"/>
    <cellStyle name="Input 22 3 2 6" xfId="27891"/>
    <cellStyle name="Input 22 3 2_Table 2A-1_EFT (Annual)" xfId="6913"/>
    <cellStyle name="Input 22 3 3" xfId="960"/>
    <cellStyle name="Input 22 3 3 2" xfId="4521"/>
    <cellStyle name="Input 22 3 3 2 2" xfId="12783"/>
    <cellStyle name="Input 22 3 3 2 2 2" xfId="24793"/>
    <cellStyle name="Input 22 3 3 2 2 2 2" xfId="45979"/>
    <cellStyle name="Input 22 3 3 2 2 3" xfId="35375"/>
    <cellStyle name="Input 22 3 3 2 3" xfId="19680"/>
    <cellStyle name="Input 22 3 3 2 3 2" xfId="40867"/>
    <cellStyle name="Input 22 3 3 2 4" xfId="30178"/>
    <cellStyle name="Input 22 3 3 2_Table 2A-1_EFT (Annual)" xfId="15128"/>
    <cellStyle name="Input 22 3 3 3" xfId="10130"/>
    <cellStyle name="Input 22 3 3 3 2" xfId="22247"/>
    <cellStyle name="Input 22 3 3 3 2 2" xfId="43433"/>
    <cellStyle name="Input 22 3 3 3 3" xfId="32829"/>
    <cellStyle name="Input 22 3 3 4" xfId="17134"/>
    <cellStyle name="Input 22 3 3 4 2" xfId="38321"/>
    <cellStyle name="Input 22 3 3 5" xfId="27435"/>
    <cellStyle name="Input 22 3 3_Table 2A-1_EFT (Annual)" xfId="6915"/>
    <cellStyle name="Input 22 3 4" xfId="2155"/>
    <cellStyle name="Input 22 3 4 2" xfId="5716"/>
    <cellStyle name="Input 22 3 4 2 2" xfId="13931"/>
    <cellStyle name="Input 22 3 4 2 2 2" xfId="25919"/>
    <cellStyle name="Input 22 3 4 2 2 2 2" xfId="47105"/>
    <cellStyle name="Input 22 3 4 2 2 3" xfId="36501"/>
    <cellStyle name="Input 22 3 4 2 3" xfId="20806"/>
    <cellStyle name="Input 22 3 4 2 3 2" xfId="41993"/>
    <cellStyle name="Input 22 3 4 2 4" xfId="31373"/>
    <cellStyle name="Input 22 3 4 2_Table 2A-1_EFT (Annual)" xfId="15129"/>
    <cellStyle name="Input 22 3 4 3" xfId="11275"/>
    <cellStyle name="Input 22 3 4 3 2" xfId="23373"/>
    <cellStyle name="Input 22 3 4 3 2 2" xfId="44559"/>
    <cellStyle name="Input 22 3 4 3 3" xfId="33955"/>
    <cellStyle name="Input 22 3 4 4" xfId="18260"/>
    <cellStyle name="Input 22 3 4 4 2" xfId="39447"/>
    <cellStyle name="Input 22 3 4 5" xfId="28630"/>
    <cellStyle name="Input 22 3 4_Table 2A-1_EFT (Annual)" xfId="6916"/>
    <cellStyle name="Input 22 3 5" xfId="4003"/>
    <cellStyle name="Input 22 3 5 2" xfId="12331"/>
    <cellStyle name="Input 22 3 5 2 2" xfId="24355"/>
    <cellStyle name="Input 22 3 5 2 2 2" xfId="45541"/>
    <cellStyle name="Input 22 3 5 2 3" xfId="34937"/>
    <cellStyle name="Input 22 3 5 3" xfId="19242"/>
    <cellStyle name="Input 22 3 5 3 2" xfId="40429"/>
    <cellStyle name="Input 22 3 5 4" xfId="29691"/>
    <cellStyle name="Input 22 3 5_Table 2A-1_EFT (Annual)" xfId="15130"/>
    <cellStyle name="Input 22 3 6" xfId="9668"/>
    <cellStyle name="Input 22 3 6 2" xfId="21809"/>
    <cellStyle name="Input 22 3 6 2 2" xfId="42995"/>
    <cellStyle name="Input 22 3 6 3" xfId="32391"/>
    <cellStyle name="Input 22 3 7" xfId="16696"/>
    <cellStyle name="Input 22 3 7 2" xfId="37883"/>
    <cellStyle name="Input 22 3 8" xfId="26948"/>
    <cellStyle name="Input 22 3_Table 2A-1_EFT (Annual)" xfId="3032"/>
    <cellStyle name="Input 22 4" xfId="1252"/>
    <cellStyle name="Input 22 4 2" xfId="2522"/>
    <cellStyle name="Input 22 4 2 2" xfId="6083"/>
    <cellStyle name="Input 22 4 2 2 2" xfId="14277"/>
    <cellStyle name="Input 22 4 2 2 2 2" xfId="26249"/>
    <cellStyle name="Input 22 4 2 2 2 2 2" xfId="47435"/>
    <cellStyle name="Input 22 4 2 2 2 3" xfId="36831"/>
    <cellStyle name="Input 22 4 2 2 3" xfId="21136"/>
    <cellStyle name="Input 22 4 2 2 3 2" xfId="42323"/>
    <cellStyle name="Input 22 4 2 2 4" xfId="31739"/>
    <cellStyle name="Input 22 4 2 2_Table 2A-1_EFT (Annual)" xfId="15131"/>
    <cellStyle name="Input 22 4 2 3" xfId="11619"/>
    <cellStyle name="Input 22 4 2 3 2" xfId="23703"/>
    <cellStyle name="Input 22 4 2 3 2 2" xfId="44889"/>
    <cellStyle name="Input 22 4 2 3 3" xfId="34285"/>
    <cellStyle name="Input 22 4 2 4" xfId="18590"/>
    <cellStyle name="Input 22 4 2 4 2" xfId="39777"/>
    <cellStyle name="Input 22 4 2 5" xfId="28996"/>
    <cellStyle name="Input 22 4 2_Table 2A-1_EFT (Annual)" xfId="6918"/>
    <cellStyle name="Input 22 4 3" xfId="4813"/>
    <cellStyle name="Input 22 4 3 2" xfId="13073"/>
    <cellStyle name="Input 22 4 3 2 2" xfId="25079"/>
    <cellStyle name="Input 22 4 3 2 2 2" xfId="46265"/>
    <cellStyle name="Input 22 4 3 2 3" xfId="35661"/>
    <cellStyle name="Input 22 4 3 3" xfId="19966"/>
    <cellStyle name="Input 22 4 3 3 2" xfId="41153"/>
    <cellStyle name="Input 22 4 3 4" xfId="30470"/>
    <cellStyle name="Input 22 4 3_Table 2A-1_EFT (Annual)" xfId="15132"/>
    <cellStyle name="Input 22 4 4" xfId="10417"/>
    <cellStyle name="Input 22 4 4 2" xfId="22533"/>
    <cellStyle name="Input 22 4 4 2 2" xfId="43719"/>
    <cellStyle name="Input 22 4 4 3" xfId="33115"/>
    <cellStyle name="Input 22 4 5" xfId="17420"/>
    <cellStyle name="Input 22 4 5 2" xfId="38607"/>
    <cellStyle name="Input 22 4 6" xfId="27727"/>
    <cellStyle name="Input 22 4_Table 2A-1_EFT (Annual)" xfId="6917"/>
    <cellStyle name="Input 22 5" xfId="803"/>
    <cellStyle name="Input 22 5 2" xfId="4364"/>
    <cellStyle name="Input 22 5 2 2" xfId="12644"/>
    <cellStyle name="Input 22 5 2 2 2" xfId="24661"/>
    <cellStyle name="Input 22 5 2 2 2 2" xfId="45847"/>
    <cellStyle name="Input 22 5 2 2 3" xfId="35243"/>
    <cellStyle name="Input 22 5 2 3" xfId="19548"/>
    <cellStyle name="Input 22 5 2 3 2" xfId="40735"/>
    <cellStyle name="Input 22 5 2 4" xfId="30021"/>
    <cellStyle name="Input 22 5 2_Table 2A-1_EFT (Annual)" xfId="15133"/>
    <cellStyle name="Input 22 5 3" xfId="9992"/>
    <cellStyle name="Input 22 5 3 2" xfId="22115"/>
    <cellStyle name="Input 22 5 3 2 2" xfId="43301"/>
    <cellStyle name="Input 22 5 3 3" xfId="32697"/>
    <cellStyle name="Input 22 5 4" xfId="17002"/>
    <cellStyle name="Input 22 5 4 2" xfId="38189"/>
    <cellStyle name="Input 22 5 5" xfId="27278"/>
    <cellStyle name="Input 22 5_Table 2A-1_EFT (Annual)" xfId="6919"/>
    <cellStyle name="Input 22 6" xfId="1991"/>
    <cellStyle name="Input 22 6 2" xfId="5552"/>
    <cellStyle name="Input 22 6 2 2" xfId="13767"/>
    <cellStyle name="Input 22 6 2 2 2" xfId="25755"/>
    <cellStyle name="Input 22 6 2 2 2 2" xfId="46941"/>
    <cellStyle name="Input 22 6 2 2 3" xfId="36337"/>
    <cellStyle name="Input 22 6 2 3" xfId="20642"/>
    <cellStyle name="Input 22 6 2 3 2" xfId="41829"/>
    <cellStyle name="Input 22 6 2 4" xfId="31209"/>
    <cellStyle name="Input 22 6 2_Table 2A-1_EFT (Annual)" xfId="15134"/>
    <cellStyle name="Input 22 6 3" xfId="11111"/>
    <cellStyle name="Input 22 6 3 2" xfId="23209"/>
    <cellStyle name="Input 22 6 3 2 2" xfId="44395"/>
    <cellStyle name="Input 22 6 3 3" xfId="33791"/>
    <cellStyle name="Input 22 6 4" xfId="18096"/>
    <cellStyle name="Input 22 6 4 2" xfId="39283"/>
    <cellStyle name="Input 22 6 5" xfId="28466"/>
    <cellStyle name="Input 22 6_Table 2A-1_EFT (Annual)" xfId="6920"/>
    <cellStyle name="Input 22 7" xfId="3793"/>
    <cellStyle name="Input 22 7 2" xfId="12161"/>
    <cellStyle name="Input 22 7 2 2" xfId="24191"/>
    <cellStyle name="Input 22 7 2 2 2" xfId="45377"/>
    <cellStyle name="Input 22 7 2 3" xfId="34773"/>
    <cellStyle name="Input 22 7 3" xfId="19078"/>
    <cellStyle name="Input 22 7 3 2" xfId="40265"/>
    <cellStyle name="Input 22 7 4" xfId="29502"/>
    <cellStyle name="Input 22 7_Table 2A-1_EFT (Annual)" xfId="15135"/>
    <cellStyle name="Input 22 8" xfId="9480"/>
    <cellStyle name="Input 22 8 2" xfId="21645"/>
    <cellStyle name="Input 22 8 2 2" xfId="42831"/>
    <cellStyle name="Input 22 8 3" xfId="32227"/>
    <cellStyle name="Input 22 9" xfId="16532"/>
    <cellStyle name="Input 22 9 2" xfId="37719"/>
    <cellStyle name="Input 22_Table 2A-1_EFT (Annual)" xfId="3030"/>
    <cellStyle name="Input 23" xfId="189"/>
    <cellStyle name="Input 23 10" xfId="26744"/>
    <cellStyle name="Input 23 2" xfId="582"/>
    <cellStyle name="Input 23 2 2" xfId="1559"/>
    <cellStyle name="Input 23 2 2 2" xfId="2829"/>
    <cellStyle name="Input 23 2 2 2 2" xfId="6390"/>
    <cellStyle name="Input 23 2 2 2 2 2" xfId="14584"/>
    <cellStyle name="Input 23 2 2 2 2 2 2" xfId="26556"/>
    <cellStyle name="Input 23 2 2 2 2 2 2 2" xfId="47742"/>
    <cellStyle name="Input 23 2 2 2 2 2 3" xfId="37138"/>
    <cellStyle name="Input 23 2 2 2 2 3" xfId="21443"/>
    <cellStyle name="Input 23 2 2 2 2 3 2" xfId="42630"/>
    <cellStyle name="Input 23 2 2 2 2 4" xfId="32046"/>
    <cellStyle name="Input 23 2 2 2 2_Table 2A-1_EFT (Annual)" xfId="15136"/>
    <cellStyle name="Input 23 2 2 2 3" xfId="11926"/>
    <cellStyle name="Input 23 2 2 2 3 2" xfId="24010"/>
    <cellStyle name="Input 23 2 2 2 3 2 2" xfId="45196"/>
    <cellStyle name="Input 23 2 2 2 3 3" xfId="34592"/>
    <cellStyle name="Input 23 2 2 2 4" xfId="18897"/>
    <cellStyle name="Input 23 2 2 2 4 2" xfId="40084"/>
    <cellStyle name="Input 23 2 2 2 5" xfId="29303"/>
    <cellStyle name="Input 23 2 2 2_Table 2A-1_EFT (Annual)" xfId="6922"/>
    <cellStyle name="Input 23 2 2 3" xfId="5120"/>
    <cellStyle name="Input 23 2 2 3 2" xfId="13380"/>
    <cellStyle name="Input 23 2 2 3 2 2" xfId="25386"/>
    <cellStyle name="Input 23 2 2 3 2 2 2" xfId="46572"/>
    <cellStyle name="Input 23 2 2 3 2 3" xfId="35968"/>
    <cellStyle name="Input 23 2 2 3 3" xfId="20273"/>
    <cellStyle name="Input 23 2 2 3 3 2" xfId="41460"/>
    <cellStyle name="Input 23 2 2 3 4" xfId="30777"/>
    <cellStyle name="Input 23 2 2 3_Table 2A-1_EFT (Annual)" xfId="15137"/>
    <cellStyle name="Input 23 2 2 4" xfId="10724"/>
    <cellStyle name="Input 23 2 2 4 2" xfId="22840"/>
    <cellStyle name="Input 23 2 2 4 2 2" xfId="44026"/>
    <cellStyle name="Input 23 2 2 4 3" xfId="33422"/>
    <cellStyle name="Input 23 2 2 5" xfId="17727"/>
    <cellStyle name="Input 23 2 2 5 2" xfId="38914"/>
    <cellStyle name="Input 23 2 2 6" xfId="28034"/>
    <cellStyle name="Input 23 2 2_Table 2A-1_EFT (Annual)" xfId="6921"/>
    <cellStyle name="Input 23 2 3" xfId="1082"/>
    <cellStyle name="Input 23 2 3 2" xfId="4643"/>
    <cellStyle name="Input 23 2 3 2 2" xfId="12903"/>
    <cellStyle name="Input 23 2 3 2 2 2" xfId="24909"/>
    <cellStyle name="Input 23 2 3 2 2 2 2" xfId="46095"/>
    <cellStyle name="Input 23 2 3 2 2 3" xfId="35491"/>
    <cellStyle name="Input 23 2 3 2 3" xfId="19796"/>
    <cellStyle name="Input 23 2 3 2 3 2" xfId="40983"/>
    <cellStyle name="Input 23 2 3 2 4" xfId="30300"/>
    <cellStyle name="Input 23 2 3 2_Table 2A-1_EFT (Annual)" xfId="15138"/>
    <cellStyle name="Input 23 2 3 3" xfId="10247"/>
    <cellStyle name="Input 23 2 3 3 2" xfId="22363"/>
    <cellStyle name="Input 23 2 3 3 2 2" xfId="43549"/>
    <cellStyle name="Input 23 2 3 3 3" xfId="32945"/>
    <cellStyle name="Input 23 2 3 4" xfId="17250"/>
    <cellStyle name="Input 23 2 3 4 2" xfId="38437"/>
    <cellStyle name="Input 23 2 3 5" xfId="27557"/>
    <cellStyle name="Input 23 2 3_Table 2A-1_EFT (Annual)" xfId="6923"/>
    <cellStyle name="Input 23 2 4" xfId="2298"/>
    <cellStyle name="Input 23 2 4 2" xfId="5859"/>
    <cellStyle name="Input 23 2 4 2 2" xfId="14074"/>
    <cellStyle name="Input 23 2 4 2 2 2" xfId="26062"/>
    <cellStyle name="Input 23 2 4 2 2 2 2" xfId="47248"/>
    <cellStyle name="Input 23 2 4 2 2 3" xfId="36644"/>
    <cellStyle name="Input 23 2 4 2 3" xfId="20949"/>
    <cellStyle name="Input 23 2 4 2 3 2" xfId="42136"/>
    <cellStyle name="Input 23 2 4 2 4" xfId="31516"/>
    <cellStyle name="Input 23 2 4 2_Table 2A-1_EFT (Annual)" xfId="15139"/>
    <cellStyle name="Input 23 2 4 3" xfId="11418"/>
    <cellStyle name="Input 23 2 4 3 2" xfId="23516"/>
    <cellStyle name="Input 23 2 4 3 2 2" xfId="44702"/>
    <cellStyle name="Input 23 2 4 3 3" xfId="34098"/>
    <cellStyle name="Input 23 2 4 4" xfId="18403"/>
    <cellStyle name="Input 23 2 4 4 2" xfId="39590"/>
    <cellStyle name="Input 23 2 4 5" xfId="28773"/>
    <cellStyle name="Input 23 2 4_Table 2A-1_EFT (Annual)" xfId="6924"/>
    <cellStyle name="Input 23 2 5" xfId="4152"/>
    <cellStyle name="Input 23 2 5 2" xfId="12476"/>
    <cellStyle name="Input 23 2 5 2 2" xfId="24498"/>
    <cellStyle name="Input 23 2 5 2 2 2" xfId="45684"/>
    <cellStyle name="Input 23 2 5 2 3" xfId="35080"/>
    <cellStyle name="Input 23 2 5 3" xfId="19385"/>
    <cellStyle name="Input 23 2 5 3 2" xfId="40572"/>
    <cellStyle name="Input 23 2 5 4" xfId="29840"/>
    <cellStyle name="Input 23 2 5_Table 2A-1_EFT (Annual)" xfId="15140"/>
    <cellStyle name="Input 23 2 6" xfId="9815"/>
    <cellStyle name="Input 23 2 6 2" xfId="21952"/>
    <cellStyle name="Input 23 2 6 2 2" xfId="43138"/>
    <cellStyle name="Input 23 2 6 3" xfId="32534"/>
    <cellStyle name="Input 23 2 7" xfId="16839"/>
    <cellStyle name="Input 23 2 7 2" xfId="38026"/>
    <cellStyle name="Input 23 2 8" xfId="27097"/>
    <cellStyle name="Input 23 2_Table 2A-1_EFT (Annual)" xfId="3034"/>
    <cellStyle name="Input 23 3" xfId="419"/>
    <cellStyle name="Input 23 3 2" xfId="1402"/>
    <cellStyle name="Input 23 3 2 2" xfId="2672"/>
    <cellStyle name="Input 23 3 2 2 2" xfId="6233"/>
    <cellStyle name="Input 23 3 2 2 2 2" xfId="14427"/>
    <cellStyle name="Input 23 3 2 2 2 2 2" xfId="26399"/>
    <cellStyle name="Input 23 3 2 2 2 2 2 2" xfId="47585"/>
    <cellStyle name="Input 23 3 2 2 2 2 3" xfId="36981"/>
    <cellStyle name="Input 23 3 2 2 2 3" xfId="21286"/>
    <cellStyle name="Input 23 3 2 2 2 3 2" xfId="42473"/>
    <cellStyle name="Input 23 3 2 2 2 4" xfId="31889"/>
    <cellStyle name="Input 23 3 2 2 2_Table 2A-1_EFT (Annual)" xfId="15141"/>
    <cellStyle name="Input 23 3 2 2 3" xfId="11769"/>
    <cellStyle name="Input 23 3 2 2 3 2" xfId="23853"/>
    <cellStyle name="Input 23 3 2 2 3 2 2" xfId="45039"/>
    <cellStyle name="Input 23 3 2 2 3 3" xfId="34435"/>
    <cellStyle name="Input 23 3 2 2 4" xfId="18740"/>
    <cellStyle name="Input 23 3 2 2 4 2" xfId="39927"/>
    <cellStyle name="Input 23 3 2 2 5" xfId="29146"/>
    <cellStyle name="Input 23 3 2 2_Table 2A-1_EFT (Annual)" xfId="6926"/>
    <cellStyle name="Input 23 3 2 3" xfId="4963"/>
    <cellStyle name="Input 23 3 2 3 2" xfId="13223"/>
    <cellStyle name="Input 23 3 2 3 2 2" xfId="25229"/>
    <cellStyle name="Input 23 3 2 3 2 2 2" xfId="46415"/>
    <cellStyle name="Input 23 3 2 3 2 3" xfId="35811"/>
    <cellStyle name="Input 23 3 2 3 3" xfId="20116"/>
    <cellStyle name="Input 23 3 2 3 3 2" xfId="41303"/>
    <cellStyle name="Input 23 3 2 3 4" xfId="30620"/>
    <cellStyle name="Input 23 3 2 3_Table 2A-1_EFT (Annual)" xfId="15142"/>
    <cellStyle name="Input 23 3 2 4" xfId="10567"/>
    <cellStyle name="Input 23 3 2 4 2" xfId="22683"/>
    <cellStyle name="Input 23 3 2 4 2 2" xfId="43869"/>
    <cellStyle name="Input 23 3 2 4 3" xfId="33265"/>
    <cellStyle name="Input 23 3 2 5" xfId="17570"/>
    <cellStyle name="Input 23 3 2 5 2" xfId="38757"/>
    <cellStyle name="Input 23 3 2 6" xfId="27877"/>
    <cellStyle name="Input 23 3 2_Table 2A-1_EFT (Annual)" xfId="6925"/>
    <cellStyle name="Input 23 3 3" xfId="949"/>
    <cellStyle name="Input 23 3 3 2" xfId="4510"/>
    <cellStyle name="Input 23 3 3 2 2" xfId="12772"/>
    <cellStyle name="Input 23 3 3 2 2 2" xfId="24782"/>
    <cellStyle name="Input 23 3 3 2 2 2 2" xfId="45968"/>
    <cellStyle name="Input 23 3 3 2 2 3" xfId="35364"/>
    <cellStyle name="Input 23 3 3 2 3" xfId="19669"/>
    <cellStyle name="Input 23 3 3 2 3 2" xfId="40856"/>
    <cellStyle name="Input 23 3 3 2 4" xfId="30167"/>
    <cellStyle name="Input 23 3 3 2_Table 2A-1_EFT (Annual)" xfId="15143"/>
    <cellStyle name="Input 23 3 3 3" xfId="10119"/>
    <cellStyle name="Input 23 3 3 3 2" xfId="22236"/>
    <cellStyle name="Input 23 3 3 3 2 2" xfId="43422"/>
    <cellStyle name="Input 23 3 3 3 3" xfId="32818"/>
    <cellStyle name="Input 23 3 3 4" xfId="17123"/>
    <cellStyle name="Input 23 3 3 4 2" xfId="38310"/>
    <cellStyle name="Input 23 3 3 5" xfId="27424"/>
    <cellStyle name="Input 23 3 3_Table 2A-1_EFT (Annual)" xfId="6927"/>
    <cellStyle name="Input 23 3 4" xfId="2141"/>
    <cellStyle name="Input 23 3 4 2" xfId="5702"/>
    <cellStyle name="Input 23 3 4 2 2" xfId="13917"/>
    <cellStyle name="Input 23 3 4 2 2 2" xfId="25905"/>
    <cellStyle name="Input 23 3 4 2 2 2 2" xfId="47091"/>
    <cellStyle name="Input 23 3 4 2 2 3" xfId="36487"/>
    <cellStyle name="Input 23 3 4 2 3" xfId="20792"/>
    <cellStyle name="Input 23 3 4 2 3 2" xfId="41979"/>
    <cellStyle name="Input 23 3 4 2 4" xfId="31359"/>
    <cellStyle name="Input 23 3 4 2_Table 2A-1_EFT (Annual)" xfId="15144"/>
    <cellStyle name="Input 23 3 4 3" xfId="11261"/>
    <cellStyle name="Input 23 3 4 3 2" xfId="23359"/>
    <cellStyle name="Input 23 3 4 3 2 2" xfId="44545"/>
    <cellStyle name="Input 23 3 4 3 3" xfId="33941"/>
    <cellStyle name="Input 23 3 4 4" xfId="18246"/>
    <cellStyle name="Input 23 3 4 4 2" xfId="39433"/>
    <cellStyle name="Input 23 3 4 5" xfId="28616"/>
    <cellStyle name="Input 23 3 4_Table 2A-1_EFT (Annual)" xfId="6928"/>
    <cellStyle name="Input 23 3 5" xfId="3989"/>
    <cellStyle name="Input 23 3 5 2" xfId="12317"/>
    <cellStyle name="Input 23 3 5 2 2" xfId="24341"/>
    <cellStyle name="Input 23 3 5 2 2 2" xfId="45527"/>
    <cellStyle name="Input 23 3 5 2 3" xfId="34923"/>
    <cellStyle name="Input 23 3 5 3" xfId="19228"/>
    <cellStyle name="Input 23 3 5 3 2" xfId="40415"/>
    <cellStyle name="Input 23 3 5 4" xfId="29677"/>
    <cellStyle name="Input 23 3 5_Table 2A-1_EFT (Annual)" xfId="15145"/>
    <cellStyle name="Input 23 3 6" xfId="9654"/>
    <cellStyle name="Input 23 3 6 2" xfId="21795"/>
    <cellStyle name="Input 23 3 6 2 2" xfId="42981"/>
    <cellStyle name="Input 23 3 6 3" xfId="32377"/>
    <cellStyle name="Input 23 3 7" xfId="16682"/>
    <cellStyle name="Input 23 3 7 2" xfId="37869"/>
    <cellStyle name="Input 23 3 8" xfId="26934"/>
    <cellStyle name="Input 23 3_Table 2A-1_EFT (Annual)" xfId="3035"/>
    <cellStyle name="Input 23 4" xfId="1237"/>
    <cellStyle name="Input 23 4 2" xfId="2507"/>
    <cellStyle name="Input 23 4 2 2" xfId="6068"/>
    <cellStyle name="Input 23 4 2 2 2" xfId="14262"/>
    <cellStyle name="Input 23 4 2 2 2 2" xfId="26234"/>
    <cellStyle name="Input 23 4 2 2 2 2 2" xfId="47420"/>
    <cellStyle name="Input 23 4 2 2 2 3" xfId="36816"/>
    <cellStyle name="Input 23 4 2 2 3" xfId="21121"/>
    <cellStyle name="Input 23 4 2 2 3 2" xfId="42308"/>
    <cellStyle name="Input 23 4 2 2 4" xfId="31724"/>
    <cellStyle name="Input 23 4 2 2_Table 2A-1_EFT (Annual)" xfId="15146"/>
    <cellStyle name="Input 23 4 2 3" xfId="11604"/>
    <cellStyle name="Input 23 4 2 3 2" xfId="23688"/>
    <cellStyle name="Input 23 4 2 3 2 2" xfId="44874"/>
    <cellStyle name="Input 23 4 2 3 3" xfId="34270"/>
    <cellStyle name="Input 23 4 2 4" xfId="18575"/>
    <cellStyle name="Input 23 4 2 4 2" xfId="39762"/>
    <cellStyle name="Input 23 4 2 5" xfId="28981"/>
    <cellStyle name="Input 23 4 2_Table 2A-1_EFT (Annual)" xfId="6930"/>
    <cellStyle name="Input 23 4 3" xfId="4798"/>
    <cellStyle name="Input 23 4 3 2" xfId="13058"/>
    <cellStyle name="Input 23 4 3 2 2" xfId="25064"/>
    <cellStyle name="Input 23 4 3 2 2 2" xfId="46250"/>
    <cellStyle name="Input 23 4 3 2 3" xfId="35646"/>
    <cellStyle name="Input 23 4 3 3" xfId="19951"/>
    <cellStyle name="Input 23 4 3 3 2" xfId="41138"/>
    <cellStyle name="Input 23 4 3 4" xfId="30455"/>
    <cellStyle name="Input 23 4 3_Table 2A-1_EFT (Annual)" xfId="15147"/>
    <cellStyle name="Input 23 4 4" xfId="10402"/>
    <cellStyle name="Input 23 4 4 2" xfId="22518"/>
    <cellStyle name="Input 23 4 4 2 2" xfId="43704"/>
    <cellStyle name="Input 23 4 4 3" xfId="33100"/>
    <cellStyle name="Input 23 4 5" xfId="17405"/>
    <cellStyle name="Input 23 4 5 2" xfId="38592"/>
    <cellStyle name="Input 23 4 6" xfId="27712"/>
    <cellStyle name="Input 23 4_Table 2A-1_EFT (Annual)" xfId="6929"/>
    <cellStyle name="Input 23 5" xfId="791"/>
    <cellStyle name="Input 23 5 2" xfId="4352"/>
    <cellStyle name="Input 23 5 2 2" xfId="12632"/>
    <cellStyle name="Input 23 5 2 2 2" xfId="24649"/>
    <cellStyle name="Input 23 5 2 2 2 2" xfId="45835"/>
    <cellStyle name="Input 23 5 2 2 3" xfId="35231"/>
    <cellStyle name="Input 23 5 2 3" xfId="19536"/>
    <cellStyle name="Input 23 5 2 3 2" xfId="40723"/>
    <cellStyle name="Input 23 5 2 4" xfId="30009"/>
    <cellStyle name="Input 23 5 2_Table 2A-1_EFT (Annual)" xfId="15148"/>
    <cellStyle name="Input 23 5 3" xfId="9980"/>
    <cellStyle name="Input 23 5 3 2" xfId="22103"/>
    <cellStyle name="Input 23 5 3 2 2" xfId="43289"/>
    <cellStyle name="Input 23 5 3 3" xfId="32685"/>
    <cellStyle name="Input 23 5 4" xfId="16990"/>
    <cellStyle name="Input 23 5 4 2" xfId="38177"/>
    <cellStyle name="Input 23 5 5" xfId="27266"/>
    <cellStyle name="Input 23 5_Table 2A-1_EFT (Annual)" xfId="6931"/>
    <cellStyle name="Input 23 6" xfId="1976"/>
    <cellStyle name="Input 23 6 2" xfId="5537"/>
    <cellStyle name="Input 23 6 2 2" xfId="13752"/>
    <cellStyle name="Input 23 6 2 2 2" xfId="25740"/>
    <cellStyle name="Input 23 6 2 2 2 2" xfId="46926"/>
    <cellStyle name="Input 23 6 2 2 3" xfId="36322"/>
    <cellStyle name="Input 23 6 2 3" xfId="20627"/>
    <cellStyle name="Input 23 6 2 3 2" xfId="41814"/>
    <cellStyle name="Input 23 6 2 4" xfId="31194"/>
    <cellStyle name="Input 23 6 2_Table 2A-1_EFT (Annual)" xfId="15149"/>
    <cellStyle name="Input 23 6 3" xfId="11096"/>
    <cellStyle name="Input 23 6 3 2" xfId="23194"/>
    <cellStyle name="Input 23 6 3 2 2" xfId="44380"/>
    <cellStyle name="Input 23 6 3 3" xfId="33776"/>
    <cellStyle name="Input 23 6 4" xfId="18081"/>
    <cellStyle name="Input 23 6 4 2" xfId="39268"/>
    <cellStyle name="Input 23 6 5" xfId="28451"/>
    <cellStyle name="Input 23 6_Table 2A-1_EFT (Annual)" xfId="6932"/>
    <cellStyle name="Input 23 7" xfId="3778"/>
    <cellStyle name="Input 23 7 2" xfId="12146"/>
    <cellStyle name="Input 23 7 2 2" xfId="24176"/>
    <cellStyle name="Input 23 7 2 2 2" xfId="45362"/>
    <cellStyle name="Input 23 7 2 3" xfId="34758"/>
    <cellStyle name="Input 23 7 3" xfId="19063"/>
    <cellStyle name="Input 23 7 3 2" xfId="40250"/>
    <cellStyle name="Input 23 7 4" xfId="29487"/>
    <cellStyle name="Input 23 7_Table 2A-1_EFT (Annual)" xfId="15150"/>
    <cellStyle name="Input 23 8" xfId="9465"/>
    <cellStyle name="Input 23 8 2" xfId="21630"/>
    <cellStyle name="Input 23 8 2 2" xfId="42816"/>
    <cellStyle name="Input 23 8 3" xfId="32212"/>
    <cellStyle name="Input 23 9" xfId="16517"/>
    <cellStyle name="Input 23 9 2" xfId="37704"/>
    <cellStyle name="Input 23_Table 2A-1_EFT (Annual)" xfId="3033"/>
    <cellStyle name="Input 24" xfId="221"/>
    <cellStyle name="Input 24 10" xfId="26776"/>
    <cellStyle name="Input 24 2" xfId="614"/>
    <cellStyle name="Input 24 2 2" xfId="1591"/>
    <cellStyle name="Input 24 2 2 2" xfId="2861"/>
    <cellStyle name="Input 24 2 2 2 2" xfId="6422"/>
    <cellStyle name="Input 24 2 2 2 2 2" xfId="14616"/>
    <cellStyle name="Input 24 2 2 2 2 2 2" xfId="26588"/>
    <cellStyle name="Input 24 2 2 2 2 2 2 2" xfId="47774"/>
    <cellStyle name="Input 24 2 2 2 2 2 3" xfId="37170"/>
    <cellStyle name="Input 24 2 2 2 2 3" xfId="21475"/>
    <cellStyle name="Input 24 2 2 2 2 3 2" xfId="42662"/>
    <cellStyle name="Input 24 2 2 2 2 4" xfId="32078"/>
    <cellStyle name="Input 24 2 2 2 2_Table 2A-1_EFT (Annual)" xfId="15151"/>
    <cellStyle name="Input 24 2 2 2 3" xfId="11958"/>
    <cellStyle name="Input 24 2 2 2 3 2" xfId="24042"/>
    <cellStyle name="Input 24 2 2 2 3 2 2" xfId="45228"/>
    <cellStyle name="Input 24 2 2 2 3 3" xfId="34624"/>
    <cellStyle name="Input 24 2 2 2 4" xfId="18929"/>
    <cellStyle name="Input 24 2 2 2 4 2" xfId="40116"/>
    <cellStyle name="Input 24 2 2 2 5" xfId="29335"/>
    <cellStyle name="Input 24 2 2 2_Table 2A-1_EFT (Annual)" xfId="6934"/>
    <cellStyle name="Input 24 2 2 3" xfId="5152"/>
    <cellStyle name="Input 24 2 2 3 2" xfId="13412"/>
    <cellStyle name="Input 24 2 2 3 2 2" xfId="25418"/>
    <cellStyle name="Input 24 2 2 3 2 2 2" xfId="46604"/>
    <cellStyle name="Input 24 2 2 3 2 3" xfId="36000"/>
    <cellStyle name="Input 24 2 2 3 3" xfId="20305"/>
    <cellStyle name="Input 24 2 2 3 3 2" xfId="41492"/>
    <cellStyle name="Input 24 2 2 3 4" xfId="30809"/>
    <cellStyle name="Input 24 2 2 3_Table 2A-1_EFT (Annual)" xfId="15152"/>
    <cellStyle name="Input 24 2 2 4" xfId="10756"/>
    <cellStyle name="Input 24 2 2 4 2" xfId="22872"/>
    <cellStyle name="Input 24 2 2 4 2 2" xfId="44058"/>
    <cellStyle name="Input 24 2 2 4 3" xfId="33454"/>
    <cellStyle name="Input 24 2 2 5" xfId="17759"/>
    <cellStyle name="Input 24 2 2 5 2" xfId="38946"/>
    <cellStyle name="Input 24 2 2 6" xfId="28066"/>
    <cellStyle name="Input 24 2 2_Table 2A-1_EFT (Annual)" xfId="6933"/>
    <cellStyle name="Input 24 2 3" xfId="1107"/>
    <cellStyle name="Input 24 2 3 2" xfId="4668"/>
    <cellStyle name="Input 24 2 3 2 2" xfId="12928"/>
    <cellStyle name="Input 24 2 3 2 2 2" xfId="24934"/>
    <cellStyle name="Input 24 2 3 2 2 2 2" xfId="46120"/>
    <cellStyle name="Input 24 2 3 2 2 3" xfId="35516"/>
    <cellStyle name="Input 24 2 3 2 3" xfId="19821"/>
    <cellStyle name="Input 24 2 3 2 3 2" xfId="41008"/>
    <cellStyle name="Input 24 2 3 2 4" xfId="30325"/>
    <cellStyle name="Input 24 2 3 2_Table 2A-1_EFT (Annual)" xfId="15153"/>
    <cellStyle name="Input 24 2 3 3" xfId="10272"/>
    <cellStyle name="Input 24 2 3 3 2" xfId="22388"/>
    <cellStyle name="Input 24 2 3 3 2 2" xfId="43574"/>
    <cellStyle name="Input 24 2 3 3 3" xfId="32970"/>
    <cellStyle name="Input 24 2 3 4" xfId="17275"/>
    <cellStyle name="Input 24 2 3 4 2" xfId="38462"/>
    <cellStyle name="Input 24 2 3 5" xfId="27582"/>
    <cellStyle name="Input 24 2 3_Table 2A-1_EFT (Annual)" xfId="6935"/>
    <cellStyle name="Input 24 2 4" xfId="2330"/>
    <cellStyle name="Input 24 2 4 2" xfId="5891"/>
    <cellStyle name="Input 24 2 4 2 2" xfId="14106"/>
    <cellStyle name="Input 24 2 4 2 2 2" xfId="26094"/>
    <cellStyle name="Input 24 2 4 2 2 2 2" xfId="47280"/>
    <cellStyle name="Input 24 2 4 2 2 3" xfId="36676"/>
    <cellStyle name="Input 24 2 4 2 3" xfId="20981"/>
    <cellStyle name="Input 24 2 4 2 3 2" xfId="42168"/>
    <cellStyle name="Input 24 2 4 2 4" xfId="31548"/>
    <cellStyle name="Input 24 2 4 2_Table 2A-1_EFT (Annual)" xfId="15154"/>
    <cellStyle name="Input 24 2 4 3" xfId="11450"/>
    <cellStyle name="Input 24 2 4 3 2" xfId="23548"/>
    <cellStyle name="Input 24 2 4 3 2 2" xfId="44734"/>
    <cellStyle name="Input 24 2 4 3 3" xfId="34130"/>
    <cellStyle name="Input 24 2 4 4" xfId="18435"/>
    <cellStyle name="Input 24 2 4 4 2" xfId="39622"/>
    <cellStyle name="Input 24 2 4 5" xfId="28805"/>
    <cellStyle name="Input 24 2 4_Table 2A-1_EFT (Annual)" xfId="6936"/>
    <cellStyle name="Input 24 2 5" xfId="4184"/>
    <cellStyle name="Input 24 2 5 2" xfId="12508"/>
    <cellStyle name="Input 24 2 5 2 2" xfId="24530"/>
    <cellStyle name="Input 24 2 5 2 2 2" xfId="45716"/>
    <cellStyle name="Input 24 2 5 2 3" xfId="35112"/>
    <cellStyle name="Input 24 2 5 3" xfId="19417"/>
    <cellStyle name="Input 24 2 5 3 2" xfId="40604"/>
    <cellStyle name="Input 24 2 5 4" xfId="29872"/>
    <cellStyle name="Input 24 2 5_Table 2A-1_EFT (Annual)" xfId="15155"/>
    <cellStyle name="Input 24 2 6" xfId="9847"/>
    <cellStyle name="Input 24 2 6 2" xfId="21984"/>
    <cellStyle name="Input 24 2 6 2 2" xfId="43170"/>
    <cellStyle name="Input 24 2 6 3" xfId="32566"/>
    <cellStyle name="Input 24 2 7" xfId="16871"/>
    <cellStyle name="Input 24 2 7 2" xfId="38058"/>
    <cellStyle name="Input 24 2 8" xfId="27129"/>
    <cellStyle name="Input 24 2_Table 2A-1_EFT (Annual)" xfId="3037"/>
    <cellStyle name="Input 24 3" xfId="448"/>
    <cellStyle name="Input 24 3 2" xfId="1431"/>
    <cellStyle name="Input 24 3 2 2" xfId="2701"/>
    <cellStyle name="Input 24 3 2 2 2" xfId="6262"/>
    <cellStyle name="Input 24 3 2 2 2 2" xfId="14456"/>
    <cellStyle name="Input 24 3 2 2 2 2 2" xfId="26428"/>
    <cellStyle name="Input 24 3 2 2 2 2 2 2" xfId="47614"/>
    <cellStyle name="Input 24 3 2 2 2 2 3" xfId="37010"/>
    <cellStyle name="Input 24 3 2 2 2 3" xfId="21315"/>
    <cellStyle name="Input 24 3 2 2 2 3 2" xfId="42502"/>
    <cellStyle name="Input 24 3 2 2 2 4" xfId="31918"/>
    <cellStyle name="Input 24 3 2 2 2_Table 2A-1_EFT (Annual)" xfId="15156"/>
    <cellStyle name="Input 24 3 2 2 3" xfId="11798"/>
    <cellStyle name="Input 24 3 2 2 3 2" xfId="23882"/>
    <cellStyle name="Input 24 3 2 2 3 2 2" xfId="45068"/>
    <cellStyle name="Input 24 3 2 2 3 3" xfId="34464"/>
    <cellStyle name="Input 24 3 2 2 4" xfId="18769"/>
    <cellStyle name="Input 24 3 2 2 4 2" xfId="39956"/>
    <cellStyle name="Input 24 3 2 2 5" xfId="29175"/>
    <cellStyle name="Input 24 3 2 2_Table 2A-1_EFT (Annual)" xfId="6938"/>
    <cellStyle name="Input 24 3 2 3" xfId="4992"/>
    <cellStyle name="Input 24 3 2 3 2" xfId="13252"/>
    <cellStyle name="Input 24 3 2 3 2 2" xfId="25258"/>
    <cellStyle name="Input 24 3 2 3 2 2 2" xfId="46444"/>
    <cellStyle name="Input 24 3 2 3 2 3" xfId="35840"/>
    <cellStyle name="Input 24 3 2 3 3" xfId="20145"/>
    <cellStyle name="Input 24 3 2 3 3 2" xfId="41332"/>
    <cellStyle name="Input 24 3 2 3 4" xfId="30649"/>
    <cellStyle name="Input 24 3 2 3_Table 2A-1_EFT (Annual)" xfId="15157"/>
    <cellStyle name="Input 24 3 2 4" xfId="10596"/>
    <cellStyle name="Input 24 3 2 4 2" xfId="22712"/>
    <cellStyle name="Input 24 3 2 4 2 2" xfId="43898"/>
    <cellStyle name="Input 24 3 2 4 3" xfId="33294"/>
    <cellStyle name="Input 24 3 2 5" xfId="17599"/>
    <cellStyle name="Input 24 3 2 5 2" xfId="38786"/>
    <cellStyle name="Input 24 3 2 6" xfId="27906"/>
    <cellStyle name="Input 24 3 2_Table 2A-1_EFT (Annual)" xfId="6937"/>
    <cellStyle name="Input 24 3 3" xfId="972"/>
    <cellStyle name="Input 24 3 3 2" xfId="4533"/>
    <cellStyle name="Input 24 3 3 2 2" xfId="12795"/>
    <cellStyle name="Input 24 3 3 2 2 2" xfId="24805"/>
    <cellStyle name="Input 24 3 3 2 2 2 2" xfId="45991"/>
    <cellStyle name="Input 24 3 3 2 2 3" xfId="35387"/>
    <cellStyle name="Input 24 3 3 2 3" xfId="19692"/>
    <cellStyle name="Input 24 3 3 2 3 2" xfId="40879"/>
    <cellStyle name="Input 24 3 3 2 4" xfId="30190"/>
    <cellStyle name="Input 24 3 3 2_Table 2A-1_EFT (Annual)" xfId="15158"/>
    <cellStyle name="Input 24 3 3 3" xfId="10142"/>
    <cellStyle name="Input 24 3 3 3 2" xfId="22259"/>
    <cellStyle name="Input 24 3 3 3 2 2" xfId="43445"/>
    <cellStyle name="Input 24 3 3 3 3" xfId="32841"/>
    <cellStyle name="Input 24 3 3 4" xfId="17146"/>
    <cellStyle name="Input 24 3 3 4 2" xfId="38333"/>
    <cellStyle name="Input 24 3 3 5" xfId="27447"/>
    <cellStyle name="Input 24 3 3_Table 2A-1_EFT (Annual)" xfId="6939"/>
    <cellStyle name="Input 24 3 4" xfId="2170"/>
    <cellStyle name="Input 24 3 4 2" xfId="5731"/>
    <cellStyle name="Input 24 3 4 2 2" xfId="13946"/>
    <cellStyle name="Input 24 3 4 2 2 2" xfId="25934"/>
    <cellStyle name="Input 24 3 4 2 2 2 2" xfId="47120"/>
    <cellStyle name="Input 24 3 4 2 2 3" xfId="36516"/>
    <cellStyle name="Input 24 3 4 2 3" xfId="20821"/>
    <cellStyle name="Input 24 3 4 2 3 2" xfId="42008"/>
    <cellStyle name="Input 24 3 4 2 4" xfId="31388"/>
    <cellStyle name="Input 24 3 4 2_Table 2A-1_EFT (Annual)" xfId="15159"/>
    <cellStyle name="Input 24 3 4 3" xfId="11290"/>
    <cellStyle name="Input 24 3 4 3 2" xfId="23388"/>
    <cellStyle name="Input 24 3 4 3 2 2" xfId="44574"/>
    <cellStyle name="Input 24 3 4 3 3" xfId="33970"/>
    <cellStyle name="Input 24 3 4 4" xfId="18275"/>
    <cellStyle name="Input 24 3 4 4 2" xfId="39462"/>
    <cellStyle name="Input 24 3 4 5" xfId="28645"/>
    <cellStyle name="Input 24 3 4_Table 2A-1_EFT (Annual)" xfId="6940"/>
    <cellStyle name="Input 24 3 5" xfId="4018"/>
    <cellStyle name="Input 24 3 5 2" xfId="12346"/>
    <cellStyle name="Input 24 3 5 2 2" xfId="24370"/>
    <cellStyle name="Input 24 3 5 2 2 2" xfId="45556"/>
    <cellStyle name="Input 24 3 5 2 3" xfId="34952"/>
    <cellStyle name="Input 24 3 5 3" xfId="19257"/>
    <cellStyle name="Input 24 3 5 3 2" xfId="40444"/>
    <cellStyle name="Input 24 3 5 4" xfId="29706"/>
    <cellStyle name="Input 24 3 5_Table 2A-1_EFT (Annual)" xfId="15160"/>
    <cellStyle name="Input 24 3 6" xfId="9683"/>
    <cellStyle name="Input 24 3 6 2" xfId="21824"/>
    <cellStyle name="Input 24 3 6 2 2" xfId="43010"/>
    <cellStyle name="Input 24 3 6 3" xfId="32406"/>
    <cellStyle name="Input 24 3 7" xfId="16711"/>
    <cellStyle name="Input 24 3 7 2" xfId="37898"/>
    <cellStyle name="Input 24 3 8" xfId="26963"/>
    <cellStyle name="Input 24 3_Table 2A-1_EFT (Annual)" xfId="3038"/>
    <cellStyle name="Input 24 4" xfId="1269"/>
    <cellStyle name="Input 24 4 2" xfId="2539"/>
    <cellStyle name="Input 24 4 2 2" xfId="6100"/>
    <cellStyle name="Input 24 4 2 2 2" xfId="14294"/>
    <cellStyle name="Input 24 4 2 2 2 2" xfId="26266"/>
    <cellStyle name="Input 24 4 2 2 2 2 2" xfId="47452"/>
    <cellStyle name="Input 24 4 2 2 2 3" xfId="36848"/>
    <cellStyle name="Input 24 4 2 2 3" xfId="21153"/>
    <cellStyle name="Input 24 4 2 2 3 2" xfId="42340"/>
    <cellStyle name="Input 24 4 2 2 4" xfId="31756"/>
    <cellStyle name="Input 24 4 2 2_Table 2A-1_EFT (Annual)" xfId="15161"/>
    <cellStyle name="Input 24 4 2 3" xfId="11636"/>
    <cellStyle name="Input 24 4 2 3 2" xfId="23720"/>
    <cellStyle name="Input 24 4 2 3 2 2" xfId="44906"/>
    <cellStyle name="Input 24 4 2 3 3" xfId="34302"/>
    <cellStyle name="Input 24 4 2 4" xfId="18607"/>
    <cellStyle name="Input 24 4 2 4 2" xfId="39794"/>
    <cellStyle name="Input 24 4 2 5" xfId="29013"/>
    <cellStyle name="Input 24 4 2_Table 2A-1_EFT (Annual)" xfId="6942"/>
    <cellStyle name="Input 24 4 3" xfId="4830"/>
    <cellStyle name="Input 24 4 3 2" xfId="13090"/>
    <cellStyle name="Input 24 4 3 2 2" xfId="25096"/>
    <cellStyle name="Input 24 4 3 2 2 2" xfId="46282"/>
    <cellStyle name="Input 24 4 3 2 3" xfId="35678"/>
    <cellStyle name="Input 24 4 3 3" xfId="19983"/>
    <cellStyle name="Input 24 4 3 3 2" xfId="41170"/>
    <cellStyle name="Input 24 4 3 4" xfId="30487"/>
    <cellStyle name="Input 24 4 3_Table 2A-1_EFT (Annual)" xfId="15162"/>
    <cellStyle name="Input 24 4 4" xfId="10434"/>
    <cellStyle name="Input 24 4 4 2" xfId="22550"/>
    <cellStyle name="Input 24 4 4 2 2" xfId="43736"/>
    <cellStyle name="Input 24 4 4 3" xfId="33132"/>
    <cellStyle name="Input 24 4 5" xfId="17437"/>
    <cellStyle name="Input 24 4 5 2" xfId="38624"/>
    <cellStyle name="Input 24 4 6" xfId="27744"/>
    <cellStyle name="Input 24 4_Table 2A-1_EFT (Annual)" xfId="6941"/>
    <cellStyle name="Input 24 5" xfId="816"/>
    <cellStyle name="Input 24 5 2" xfId="4377"/>
    <cellStyle name="Input 24 5 2 2" xfId="12657"/>
    <cellStyle name="Input 24 5 2 2 2" xfId="24674"/>
    <cellStyle name="Input 24 5 2 2 2 2" xfId="45860"/>
    <cellStyle name="Input 24 5 2 2 3" xfId="35256"/>
    <cellStyle name="Input 24 5 2 3" xfId="19561"/>
    <cellStyle name="Input 24 5 2 3 2" xfId="40748"/>
    <cellStyle name="Input 24 5 2 4" xfId="30034"/>
    <cellStyle name="Input 24 5 2_Table 2A-1_EFT (Annual)" xfId="15163"/>
    <cellStyle name="Input 24 5 3" xfId="10005"/>
    <cellStyle name="Input 24 5 3 2" xfId="22128"/>
    <cellStyle name="Input 24 5 3 2 2" xfId="43314"/>
    <cellStyle name="Input 24 5 3 3" xfId="32710"/>
    <cellStyle name="Input 24 5 4" xfId="17015"/>
    <cellStyle name="Input 24 5 4 2" xfId="38202"/>
    <cellStyle name="Input 24 5 5" xfId="27291"/>
    <cellStyle name="Input 24 5_Table 2A-1_EFT (Annual)" xfId="6943"/>
    <cellStyle name="Input 24 6" xfId="2008"/>
    <cellStyle name="Input 24 6 2" xfId="5569"/>
    <cellStyle name="Input 24 6 2 2" xfId="13784"/>
    <cellStyle name="Input 24 6 2 2 2" xfId="25772"/>
    <cellStyle name="Input 24 6 2 2 2 2" xfId="46958"/>
    <cellStyle name="Input 24 6 2 2 3" xfId="36354"/>
    <cellStyle name="Input 24 6 2 3" xfId="20659"/>
    <cellStyle name="Input 24 6 2 3 2" xfId="41846"/>
    <cellStyle name="Input 24 6 2 4" xfId="31226"/>
    <cellStyle name="Input 24 6 2_Table 2A-1_EFT (Annual)" xfId="15164"/>
    <cellStyle name="Input 24 6 3" xfId="11128"/>
    <cellStyle name="Input 24 6 3 2" xfId="23226"/>
    <cellStyle name="Input 24 6 3 2 2" xfId="44412"/>
    <cellStyle name="Input 24 6 3 3" xfId="33808"/>
    <cellStyle name="Input 24 6 4" xfId="18113"/>
    <cellStyle name="Input 24 6 4 2" xfId="39300"/>
    <cellStyle name="Input 24 6 5" xfId="28483"/>
    <cellStyle name="Input 24 6_Table 2A-1_EFT (Annual)" xfId="6944"/>
    <cellStyle name="Input 24 7" xfId="3810"/>
    <cellStyle name="Input 24 7 2" xfId="12178"/>
    <cellStyle name="Input 24 7 2 2" xfId="24208"/>
    <cellStyle name="Input 24 7 2 2 2" xfId="45394"/>
    <cellStyle name="Input 24 7 2 3" xfId="34790"/>
    <cellStyle name="Input 24 7 3" xfId="19095"/>
    <cellStyle name="Input 24 7 3 2" xfId="40282"/>
    <cellStyle name="Input 24 7 4" xfId="29519"/>
    <cellStyle name="Input 24 7_Table 2A-1_EFT (Annual)" xfId="15165"/>
    <cellStyle name="Input 24 8" xfId="9497"/>
    <cellStyle name="Input 24 8 2" xfId="21662"/>
    <cellStyle name="Input 24 8 2 2" xfId="42848"/>
    <cellStyle name="Input 24 8 3" xfId="32244"/>
    <cellStyle name="Input 24 9" xfId="16549"/>
    <cellStyle name="Input 24 9 2" xfId="37736"/>
    <cellStyle name="Input 24_Table 2A-1_EFT (Annual)" xfId="3036"/>
    <cellStyle name="Input 25" xfId="203"/>
    <cellStyle name="Input 25 10" xfId="26758"/>
    <cellStyle name="Input 25 2" xfId="596"/>
    <cellStyle name="Input 25 2 2" xfId="1573"/>
    <cellStyle name="Input 25 2 2 2" xfId="2843"/>
    <cellStyle name="Input 25 2 2 2 2" xfId="6404"/>
    <cellStyle name="Input 25 2 2 2 2 2" xfId="14598"/>
    <cellStyle name="Input 25 2 2 2 2 2 2" xfId="26570"/>
    <cellStyle name="Input 25 2 2 2 2 2 2 2" xfId="47756"/>
    <cellStyle name="Input 25 2 2 2 2 2 3" xfId="37152"/>
    <cellStyle name="Input 25 2 2 2 2 3" xfId="21457"/>
    <cellStyle name="Input 25 2 2 2 2 3 2" xfId="42644"/>
    <cellStyle name="Input 25 2 2 2 2 4" xfId="32060"/>
    <cellStyle name="Input 25 2 2 2 2_Table 2A-1_EFT (Annual)" xfId="15166"/>
    <cellStyle name="Input 25 2 2 2 3" xfId="11940"/>
    <cellStyle name="Input 25 2 2 2 3 2" xfId="24024"/>
    <cellStyle name="Input 25 2 2 2 3 2 2" xfId="45210"/>
    <cellStyle name="Input 25 2 2 2 3 3" xfId="34606"/>
    <cellStyle name="Input 25 2 2 2 4" xfId="18911"/>
    <cellStyle name="Input 25 2 2 2 4 2" xfId="40098"/>
    <cellStyle name="Input 25 2 2 2 5" xfId="29317"/>
    <cellStyle name="Input 25 2 2 2_Table 2A-1_EFT (Annual)" xfId="6946"/>
    <cellStyle name="Input 25 2 2 3" xfId="5134"/>
    <cellStyle name="Input 25 2 2 3 2" xfId="13394"/>
    <cellStyle name="Input 25 2 2 3 2 2" xfId="25400"/>
    <cellStyle name="Input 25 2 2 3 2 2 2" xfId="46586"/>
    <cellStyle name="Input 25 2 2 3 2 3" xfId="35982"/>
    <cellStyle name="Input 25 2 2 3 3" xfId="20287"/>
    <cellStyle name="Input 25 2 2 3 3 2" xfId="41474"/>
    <cellStyle name="Input 25 2 2 3 4" xfId="30791"/>
    <cellStyle name="Input 25 2 2 3_Table 2A-1_EFT (Annual)" xfId="15167"/>
    <cellStyle name="Input 25 2 2 4" xfId="10738"/>
    <cellStyle name="Input 25 2 2 4 2" xfId="22854"/>
    <cellStyle name="Input 25 2 2 4 2 2" xfId="44040"/>
    <cellStyle name="Input 25 2 2 4 3" xfId="33436"/>
    <cellStyle name="Input 25 2 2 5" xfId="17741"/>
    <cellStyle name="Input 25 2 2 5 2" xfId="38928"/>
    <cellStyle name="Input 25 2 2 6" xfId="28048"/>
    <cellStyle name="Input 25 2 2_Table 2A-1_EFT (Annual)" xfId="6945"/>
    <cellStyle name="Input 25 2 3" xfId="1093"/>
    <cellStyle name="Input 25 2 3 2" xfId="4654"/>
    <cellStyle name="Input 25 2 3 2 2" xfId="12914"/>
    <cellStyle name="Input 25 2 3 2 2 2" xfId="24920"/>
    <cellStyle name="Input 25 2 3 2 2 2 2" xfId="46106"/>
    <cellStyle name="Input 25 2 3 2 2 3" xfId="35502"/>
    <cellStyle name="Input 25 2 3 2 3" xfId="19807"/>
    <cellStyle name="Input 25 2 3 2 3 2" xfId="40994"/>
    <cellStyle name="Input 25 2 3 2 4" xfId="30311"/>
    <cellStyle name="Input 25 2 3 2_Table 2A-1_EFT (Annual)" xfId="15168"/>
    <cellStyle name="Input 25 2 3 3" xfId="10258"/>
    <cellStyle name="Input 25 2 3 3 2" xfId="22374"/>
    <cellStyle name="Input 25 2 3 3 2 2" xfId="43560"/>
    <cellStyle name="Input 25 2 3 3 3" xfId="32956"/>
    <cellStyle name="Input 25 2 3 4" xfId="17261"/>
    <cellStyle name="Input 25 2 3 4 2" xfId="38448"/>
    <cellStyle name="Input 25 2 3 5" xfId="27568"/>
    <cellStyle name="Input 25 2 3_Table 2A-1_EFT (Annual)" xfId="6947"/>
    <cellStyle name="Input 25 2 4" xfId="2312"/>
    <cellStyle name="Input 25 2 4 2" xfId="5873"/>
    <cellStyle name="Input 25 2 4 2 2" xfId="14088"/>
    <cellStyle name="Input 25 2 4 2 2 2" xfId="26076"/>
    <cellStyle name="Input 25 2 4 2 2 2 2" xfId="47262"/>
    <cellStyle name="Input 25 2 4 2 2 3" xfId="36658"/>
    <cellStyle name="Input 25 2 4 2 3" xfId="20963"/>
    <cellStyle name="Input 25 2 4 2 3 2" xfId="42150"/>
    <cellStyle name="Input 25 2 4 2 4" xfId="31530"/>
    <cellStyle name="Input 25 2 4 2_Table 2A-1_EFT (Annual)" xfId="15169"/>
    <cellStyle name="Input 25 2 4 3" xfId="11432"/>
    <cellStyle name="Input 25 2 4 3 2" xfId="23530"/>
    <cellStyle name="Input 25 2 4 3 2 2" xfId="44716"/>
    <cellStyle name="Input 25 2 4 3 3" xfId="34112"/>
    <cellStyle name="Input 25 2 4 4" xfId="18417"/>
    <cellStyle name="Input 25 2 4 4 2" xfId="39604"/>
    <cellStyle name="Input 25 2 4 5" xfId="28787"/>
    <cellStyle name="Input 25 2 4_Table 2A-1_EFT (Annual)" xfId="6948"/>
    <cellStyle name="Input 25 2 5" xfId="4166"/>
    <cellStyle name="Input 25 2 5 2" xfId="12490"/>
    <cellStyle name="Input 25 2 5 2 2" xfId="24512"/>
    <cellStyle name="Input 25 2 5 2 2 2" xfId="45698"/>
    <cellStyle name="Input 25 2 5 2 3" xfId="35094"/>
    <cellStyle name="Input 25 2 5 3" xfId="19399"/>
    <cellStyle name="Input 25 2 5 3 2" xfId="40586"/>
    <cellStyle name="Input 25 2 5 4" xfId="29854"/>
    <cellStyle name="Input 25 2 5_Table 2A-1_EFT (Annual)" xfId="15170"/>
    <cellStyle name="Input 25 2 6" xfId="9829"/>
    <cellStyle name="Input 25 2 6 2" xfId="21966"/>
    <cellStyle name="Input 25 2 6 2 2" xfId="43152"/>
    <cellStyle name="Input 25 2 6 3" xfId="32548"/>
    <cellStyle name="Input 25 2 7" xfId="16853"/>
    <cellStyle name="Input 25 2 7 2" xfId="38040"/>
    <cellStyle name="Input 25 2 8" xfId="27111"/>
    <cellStyle name="Input 25 2_Table 2A-1_EFT (Annual)" xfId="3040"/>
    <cellStyle name="Input 25 3" xfId="432"/>
    <cellStyle name="Input 25 3 2" xfId="1415"/>
    <cellStyle name="Input 25 3 2 2" xfId="2685"/>
    <cellStyle name="Input 25 3 2 2 2" xfId="6246"/>
    <cellStyle name="Input 25 3 2 2 2 2" xfId="14440"/>
    <cellStyle name="Input 25 3 2 2 2 2 2" xfId="26412"/>
    <cellStyle name="Input 25 3 2 2 2 2 2 2" xfId="47598"/>
    <cellStyle name="Input 25 3 2 2 2 2 3" xfId="36994"/>
    <cellStyle name="Input 25 3 2 2 2 3" xfId="21299"/>
    <cellStyle name="Input 25 3 2 2 2 3 2" xfId="42486"/>
    <cellStyle name="Input 25 3 2 2 2 4" xfId="31902"/>
    <cellStyle name="Input 25 3 2 2 2_Table 2A-1_EFT (Annual)" xfId="15171"/>
    <cellStyle name="Input 25 3 2 2 3" xfId="11782"/>
    <cellStyle name="Input 25 3 2 2 3 2" xfId="23866"/>
    <cellStyle name="Input 25 3 2 2 3 2 2" xfId="45052"/>
    <cellStyle name="Input 25 3 2 2 3 3" xfId="34448"/>
    <cellStyle name="Input 25 3 2 2 4" xfId="18753"/>
    <cellStyle name="Input 25 3 2 2 4 2" xfId="39940"/>
    <cellStyle name="Input 25 3 2 2 5" xfId="29159"/>
    <cellStyle name="Input 25 3 2 2_Table 2A-1_EFT (Annual)" xfId="6950"/>
    <cellStyle name="Input 25 3 2 3" xfId="4976"/>
    <cellStyle name="Input 25 3 2 3 2" xfId="13236"/>
    <cellStyle name="Input 25 3 2 3 2 2" xfId="25242"/>
    <cellStyle name="Input 25 3 2 3 2 2 2" xfId="46428"/>
    <cellStyle name="Input 25 3 2 3 2 3" xfId="35824"/>
    <cellStyle name="Input 25 3 2 3 3" xfId="20129"/>
    <cellStyle name="Input 25 3 2 3 3 2" xfId="41316"/>
    <cellStyle name="Input 25 3 2 3 4" xfId="30633"/>
    <cellStyle name="Input 25 3 2 3_Table 2A-1_EFT (Annual)" xfId="15172"/>
    <cellStyle name="Input 25 3 2 4" xfId="10580"/>
    <cellStyle name="Input 25 3 2 4 2" xfId="22696"/>
    <cellStyle name="Input 25 3 2 4 2 2" xfId="43882"/>
    <cellStyle name="Input 25 3 2 4 3" xfId="33278"/>
    <cellStyle name="Input 25 3 2 5" xfId="17583"/>
    <cellStyle name="Input 25 3 2 5 2" xfId="38770"/>
    <cellStyle name="Input 25 3 2 6" xfId="27890"/>
    <cellStyle name="Input 25 3 2_Table 2A-1_EFT (Annual)" xfId="6949"/>
    <cellStyle name="Input 25 3 3" xfId="959"/>
    <cellStyle name="Input 25 3 3 2" xfId="4520"/>
    <cellStyle name="Input 25 3 3 2 2" xfId="12782"/>
    <cellStyle name="Input 25 3 3 2 2 2" xfId="24792"/>
    <cellStyle name="Input 25 3 3 2 2 2 2" xfId="45978"/>
    <cellStyle name="Input 25 3 3 2 2 3" xfId="35374"/>
    <cellStyle name="Input 25 3 3 2 3" xfId="19679"/>
    <cellStyle name="Input 25 3 3 2 3 2" xfId="40866"/>
    <cellStyle name="Input 25 3 3 2 4" xfId="30177"/>
    <cellStyle name="Input 25 3 3 2_Table 2A-1_EFT (Annual)" xfId="15173"/>
    <cellStyle name="Input 25 3 3 3" xfId="10129"/>
    <cellStyle name="Input 25 3 3 3 2" xfId="22246"/>
    <cellStyle name="Input 25 3 3 3 2 2" xfId="43432"/>
    <cellStyle name="Input 25 3 3 3 3" xfId="32828"/>
    <cellStyle name="Input 25 3 3 4" xfId="17133"/>
    <cellStyle name="Input 25 3 3 4 2" xfId="38320"/>
    <cellStyle name="Input 25 3 3 5" xfId="27434"/>
    <cellStyle name="Input 25 3 3_Table 2A-1_EFT (Annual)" xfId="6951"/>
    <cellStyle name="Input 25 3 4" xfId="2154"/>
    <cellStyle name="Input 25 3 4 2" xfId="5715"/>
    <cellStyle name="Input 25 3 4 2 2" xfId="13930"/>
    <cellStyle name="Input 25 3 4 2 2 2" xfId="25918"/>
    <cellStyle name="Input 25 3 4 2 2 2 2" xfId="47104"/>
    <cellStyle name="Input 25 3 4 2 2 3" xfId="36500"/>
    <cellStyle name="Input 25 3 4 2 3" xfId="20805"/>
    <cellStyle name="Input 25 3 4 2 3 2" xfId="41992"/>
    <cellStyle name="Input 25 3 4 2 4" xfId="31372"/>
    <cellStyle name="Input 25 3 4 2_Table 2A-1_EFT (Annual)" xfId="15174"/>
    <cellStyle name="Input 25 3 4 3" xfId="11274"/>
    <cellStyle name="Input 25 3 4 3 2" xfId="23372"/>
    <cellStyle name="Input 25 3 4 3 2 2" xfId="44558"/>
    <cellStyle name="Input 25 3 4 3 3" xfId="33954"/>
    <cellStyle name="Input 25 3 4 4" xfId="18259"/>
    <cellStyle name="Input 25 3 4 4 2" xfId="39446"/>
    <cellStyle name="Input 25 3 4 5" xfId="28629"/>
    <cellStyle name="Input 25 3 4_Table 2A-1_EFT (Annual)" xfId="6952"/>
    <cellStyle name="Input 25 3 5" xfId="4002"/>
    <cellStyle name="Input 25 3 5 2" xfId="12330"/>
    <cellStyle name="Input 25 3 5 2 2" xfId="24354"/>
    <cellStyle name="Input 25 3 5 2 2 2" xfId="45540"/>
    <cellStyle name="Input 25 3 5 2 3" xfId="34936"/>
    <cellStyle name="Input 25 3 5 3" xfId="19241"/>
    <cellStyle name="Input 25 3 5 3 2" xfId="40428"/>
    <cellStyle name="Input 25 3 5 4" xfId="29690"/>
    <cellStyle name="Input 25 3 5_Table 2A-1_EFT (Annual)" xfId="15175"/>
    <cellStyle name="Input 25 3 6" xfId="9667"/>
    <cellStyle name="Input 25 3 6 2" xfId="21808"/>
    <cellStyle name="Input 25 3 6 2 2" xfId="42994"/>
    <cellStyle name="Input 25 3 6 3" xfId="32390"/>
    <cellStyle name="Input 25 3 7" xfId="16695"/>
    <cellStyle name="Input 25 3 7 2" xfId="37882"/>
    <cellStyle name="Input 25 3 8" xfId="26947"/>
    <cellStyle name="Input 25 3_Table 2A-1_EFT (Annual)" xfId="3041"/>
    <cellStyle name="Input 25 4" xfId="1251"/>
    <cellStyle name="Input 25 4 2" xfId="2521"/>
    <cellStyle name="Input 25 4 2 2" xfId="6082"/>
    <cellStyle name="Input 25 4 2 2 2" xfId="14276"/>
    <cellStyle name="Input 25 4 2 2 2 2" xfId="26248"/>
    <cellStyle name="Input 25 4 2 2 2 2 2" xfId="47434"/>
    <cellStyle name="Input 25 4 2 2 2 3" xfId="36830"/>
    <cellStyle name="Input 25 4 2 2 3" xfId="21135"/>
    <cellStyle name="Input 25 4 2 2 3 2" xfId="42322"/>
    <cellStyle name="Input 25 4 2 2 4" xfId="31738"/>
    <cellStyle name="Input 25 4 2 2_Table 2A-1_EFT (Annual)" xfId="15176"/>
    <cellStyle name="Input 25 4 2 3" xfId="11618"/>
    <cellStyle name="Input 25 4 2 3 2" xfId="23702"/>
    <cellStyle name="Input 25 4 2 3 2 2" xfId="44888"/>
    <cellStyle name="Input 25 4 2 3 3" xfId="34284"/>
    <cellStyle name="Input 25 4 2 4" xfId="18589"/>
    <cellStyle name="Input 25 4 2 4 2" xfId="39776"/>
    <cellStyle name="Input 25 4 2 5" xfId="28995"/>
    <cellStyle name="Input 25 4 2_Table 2A-1_EFT (Annual)" xfId="6954"/>
    <cellStyle name="Input 25 4 3" xfId="4812"/>
    <cellStyle name="Input 25 4 3 2" xfId="13072"/>
    <cellStyle name="Input 25 4 3 2 2" xfId="25078"/>
    <cellStyle name="Input 25 4 3 2 2 2" xfId="46264"/>
    <cellStyle name="Input 25 4 3 2 3" xfId="35660"/>
    <cellStyle name="Input 25 4 3 3" xfId="19965"/>
    <cellStyle name="Input 25 4 3 3 2" xfId="41152"/>
    <cellStyle name="Input 25 4 3 4" xfId="30469"/>
    <cellStyle name="Input 25 4 3_Table 2A-1_EFT (Annual)" xfId="15177"/>
    <cellStyle name="Input 25 4 4" xfId="10416"/>
    <cellStyle name="Input 25 4 4 2" xfId="22532"/>
    <cellStyle name="Input 25 4 4 2 2" xfId="43718"/>
    <cellStyle name="Input 25 4 4 3" xfId="33114"/>
    <cellStyle name="Input 25 4 5" xfId="17419"/>
    <cellStyle name="Input 25 4 5 2" xfId="38606"/>
    <cellStyle name="Input 25 4 6" xfId="27726"/>
    <cellStyle name="Input 25 4_Table 2A-1_EFT (Annual)" xfId="6953"/>
    <cellStyle name="Input 25 5" xfId="802"/>
    <cellStyle name="Input 25 5 2" xfId="4363"/>
    <cellStyle name="Input 25 5 2 2" xfId="12643"/>
    <cellStyle name="Input 25 5 2 2 2" xfId="24660"/>
    <cellStyle name="Input 25 5 2 2 2 2" xfId="45846"/>
    <cellStyle name="Input 25 5 2 2 3" xfId="35242"/>
    <cellStyle name="Input 25 5 2 3" xfId="19547"/>
    <cellStyle name="Input 25 5 2 3 2" xfId="40734"/>
    <cellStyle name="Input 25 5 2 4" xfId="30020"/>
    <cellStyle name="Input 25 5 2_Table 2A-1_EFT (Annual)" xfId="15178"/>
    <cellStyle name="Input 25 5 3" xfId="9991"/>
    <cellStyle name="Input 25 5 3 2" xfId="22114"/>
    <cellStyle name="Input 25 5 3 2 2" xfId="43300"/>
    <cellStyle name="Input 25 5 3 3" xfId="32696"/>
    <cellStyle name="Input 25 5 4" xfId="17001"/>
    <cellStyle name="Input 25 5 4 2" xfId="38188"/>
    <cellStyle name="Input 25 5 5" xfId="27277"/>
    <cellStyle name="Input 25 5_Table 2A-1_EFT (Annual)" xfId="6955"/>
    <cellStyle name="Input 25 6" xfId="1990"/>
    <cellStyle name="Input 25 6 2" xfId="5551"/>
    <cellStyle name="Input 25 6 2 2" xfId="13766"/>
    <cellStyle name="Input 25 6 2 2 2" xfId="25754"/>
    <cellStyle name="Input 25 6 2 2 2 2" xfId="46940"/>
    <cellStyle name="Input 25 6 2 2 3" xfId="36336"/>
    <cellStyle name="Input 25 6 2 3" xfId="20641"/>
    <cellStyle name="Input 25 6 2 3 2" xfId="41828"/>
    <cellStyle name="Input 25 6 2 4" xfId="31208"/>
    <cellStyle name="Input 25 6 2_Table 2A-1_EFT (Annual)" xfId="15179"/>
    <cellStyle name="Input 25 6 3" xfId="11110"/>
    <cellStyle name="Input 25 6 3 2" xfId="23208"/>
    <cellStyle name="Input 25 6 3 2 2" xfId="44394"/>
    <cellStyle name="Input 25 6 3 3" xfId="33790"/>
    <cellStyle name="Input 25 6 4" xfId="18095"/>
    <cellStyle name="Input 25 6 4 2" xfId="39282"/>
    <cellStyle name="Input 25 6 5" xfId="28465"/>
    <cellStyle name="Input 25 6_Table 2A-1_EFT (Annual)" xfId="6956"/>
    <cellStyle name="Input 25 7" xfId="3792"/>
    <cellStyle name="Input 25 7 2" xfId="12160"/>
    <cellStyle name="Input 25 7 2 2" xfId="24190"/>
    <cellStyle name="Input 25 7 2 2 2" xfId="45376"/>
    <cellStyle name="Input 25 7 2 3" xfId="34772"/>
    <cellStyle name="Input 25 7 3" xfId="19077"/>
    <cellStyle name="Input 25 7 3 2" xfId="40264"/>
    <cellStyle name="Input 25 7 4" xfId="29501"/>
    <cellStyle name="Input 25 7_Table 2A-1_EFT (Annual)" xfId="15180"/>
    <cellStyle name="Input 25 8" xfId="9479"/>
    <cellStyle name="Input 25 8 2" xfId="21644"/>
    <cellStyle name="Input 25 8 2 2" xfId="42830"/>
    <cellStyle name="Input 25 8 3" xfId="32226"/>
    <cellStyle name="Input 25 9" xfId="16531"/>
    <cellStyle name="Input 25 9 2" xfId="37718"/>
    <cellStyle name="Input 25_Table 2A-1_EFT (Annual)" xfId="3039"/>
    <cellStyle name="Input 26" xfId="219"/>
    <cellStyle name="Input 26 10" xfId="26774"/>
    <cellStyle name="Input 26 2" xfId="612"/>
    <cellStyle name="Input 26 2 2" xfId="1589"/>
    <cellStyle name="Input 26 2 2 2" xfId="2859"/>
    <cellStyle name="Input 26 2 2 2 2" xfId="6420"/>
    <cellStyle name="Input 26 2 2 2 2 2" xfId="14614"/>
    <cellStyle name="Input 26 2 2 2 2 2 2" xfId="26586"/>
    <cellStyle name="Input 26 2 2 2 2 2 2 2" xfId="47772"/>
    <cellStyle name="Input 26 2 2 2 2 2 3" xfId="37168"/>
    <cellStyle name="Input 26 2 2 2 2 3" xfId="21473"/>
    <cellStyle name="Input 26 2 2 2 2 3 2" xfId="42660"/>
    <cellStyle name="Input 26 2 2 2 2 4" xfId="32076"/>
    <cellStyle name="Input 26 2 2 2 2_Table 2A-1_EFT (Annual)" xfId="15181"/>
    <cellStyle name="Input 26 2 2 2 3" xfId="11956"/>
    <cellStyle name="Input 26 2 2 2 3 2" xfId="24040"/>
    <cellStyle name="Input 26 2 2 2 3 2 2" xfId="45226"/>
    <cellStyle name="Input 26 2 2 2 3 3" xfId="34622"/>
    <cellStyle name="Input 26 2 2 2 4" xfId="18927"/>
    <cellStyle name="Input 26 2 2 2 4 2" xfId="40114"/>
    <cellStyle name="Input 26 2 2 2 5" xfId="29333"/>
    <cellStyle name="Input 26 2 2 2_Table 2A-1_EFT (Annual)" xfId="6958"/>
    <cellStyle name="Input 26 2 2 3" xfId="5150"/>
    <cellStyle name="Input 26 2 2 3 2" xfId="13410"/>
    <cellStyle name="Input 26 2 2 3 2 2" xfId="25416"/>
    <cellStyle name="Input 26 2 2 3 2 2 2" xfId="46602"/>
    <cellStyle name="Input 26 2 2 3 2 3" xfId="35998"/>
    <cellStyle name="Input 26 2 2 3 3" xfId="20303"/>
    <cellStyle name="Input 26 2 2 3 3 2" xfId="41490"/>
    <cellStyle name="Input 26 2 2 3 4" xfId="30807"/>
    <cellStyle name="Input 26 2 2 3_Table 2A-1_EFT (Annual)" xfId="15182"/>
    <cellStyle name="Input 26 2 2 4" xfId="10754"/>
    <cellStyle name="Input 26 2 2 4 2" xfId="22870"/>
    <cellStyle name="Input 26 2 2 4 2 2" xfId="44056"/>
    <cellStyle name="Input 26 2 2 4 3" xfId="33452"/>
    <cellStyle name="Input 26 2 2 5" xfId="17757"/>
    <cellStyle name="Input 26 2 2 5 2" xfId="38944"/>
    <cellStyle name="Input 26 2 2 6" xfId="28064"/>
    <cellStyle name="Input 26 2 2_Table 2A-1_EFT (Annual)" xfId="6957"/>
    <cellStyle name="Input 26 2 3" xfId="1106"/>
    <cellStyle name="Input 26 2 3 2" xfId="4667"/>
    <cellStyle name="Input 26 2 3 2 2" xfId="12927"/>
    <cellStyle name="Input 26 2 3 2 2 2" xfId="24933"/>
    <cellStyle name="Input 26 2 3 2 2 2 2" xfId="46119"/>
    <cellStyle name="Input 26 2 3 2 2 3" xfId="35515"/>
    <cellStyle name="Input 26 2 3 2 3" xfId="19820"/>
    <cellStyle name="Input 26 2 3 2 3 2" xfId="41007"/>
    <cellStyle name="Input 26 2 3 2 4" xfId="30324"/>
    <cellStyle name="Input 26 2 3 2_Table 2A-1_EFT (Annual)" xfId="15183"/>
    <cellStyle name="Input 26 2 3 3" xfId="10271"/>
    <cellStyle name="Input 26 2 3 3 2" xfId="22387"/>
    <cellStyle name="Input 26 2 3 3 2 2" xfId="43573"/>
    <cellStyle name="Input 26 2 3 3 3" xfId="32969"/>
    <cellStyle name="Input 26 2 3 4" xfId="17274"/>
    <cellStyle name="Input 26 2 3 4 2" xfId="38461"/>
    <cellStyle name="Input 26 2 3 5" xfId="27581"/>
    <cellStyle name="Input 26 2 3_Table 2A-1_EFT (Annual)" xfId="6959"/>
    <cellStyle name="Input 26 2 4" xfId="2328"/>
    <cellStyle name="Input 26 2 4 2" xfId="5889"/>
    <cellStyle name="Input 26 2 4 2 2" xfId="14104"/>
    <cellStyle name="Input 26 2 4 2 2 2" xfId="26092"/>
    <cellStyle name="Input 26 2 4 2 2 2 2" xfId="47278"/>
    <cellStyle name="Input 26 2 4 2 2 3" xfId="36674"/>
    <cellStyle name="Input 26 2 4 2 3" xfId="20979"/>
    <cellStyle name="Input 26 2 4 2 3 2" xfId="42166"/>
    <cellStyle name="Input 26 2 4 2 4" xfId="31546"/>
    <cellStyle name="Input 26 2 4 2_Table 2A-1_EFT (Annual)" xfId="15184"/>
    <cellStyle name="Input 26 2 4 3" xfId="11448"/>
    <cellStyle name="Input 26 2 4 3 2" xfId="23546"/>
    <cellStyle name="Input 26 2 4 3 2 2" xfId="44732"/>
    <cellStyle name="Input 26 2 4 3 3" xfId="34128"/>
    <cellStyle name="Input 26 2 4 4" xfId="18433"/>
    <cellStyle name="Input 26 2 4 4 2" xfId="39620"/>
    <cellStyle name="Input 26 2 4 5" xfId="28803"/>
    <cellStyle name="Input 26 2 4_Table 2A-1_EFT (Annual)" xfId="6960"/>
    <cellStyle name="Input 26 2 5" xfId="4182"/>
    <cellStyle name="Input 26 2 5 2" xfId="12506"/>
    <cellStyle name="Input 26 2 5 2 2" xfId="24528"/>
    <cellStyle name="Input 26 2 5 2 2 2" xfId="45714"/>
    <cellStyle name="Input 26 2 5 2 3" xfId="35110"/>
    <cellStyle name="Input 26 2 5 3" xfId="19415"/>
    <cellStyle name="Input 26 2 5 3 2" xfId="40602"/>
    <cellStyle name="Input 26 2 5 4" xfId="29870"/>
    <cellStyle name="Input 26 2 5_Table 2A-1_EFT (Annual)" xfId="15185"/>
    <cellStyle name="Input 26 2 6" xfId="9845"/>
    <cellStyle name="Input 26 2 6 2" xfId="21982"/>
    <cellStyle name="Input 26 2 6 2 2" xfId="43168"/>
    <cellStyle name="Input 26 2 6 3" xfId="32564"/>
    <cellStyle name="Input 26 2 7" xfId="16869"/>
    <cellStyle name="Input 26 2 7 2" xfId="38056"/>
    <cellStyle name="Input 26 2 8" xfId="27127"/>
    <cellStyle name="Input 26 2_Table 2A-1_EFT (Annual)" xfId="3043"/>
    <cellStyle name="Input 26 3" xfId="447"/>
    <cellStyle name="Input 26 3 2" xfId="1430"/>
    <cellStyle name="Input 26 3 2 2" xfId="2700"/>
    <cellStyle name="Input 26 3 2 2 2" xfId="6261"/>
    <cellStyle name="Input 26 3 2 2 2 2" xfId="14455"/>
    <cellStyle name="Input 26 3 2 2 2 2 2" xfId="26427"/>
    <cellStyle name="Input 26 3 2 2 2 2 2 2" xfId="47613"/>
    <cellStyle name="Input 26 3 2 2 2 2 3" xfId="37009"/>
    <cellStyle name="Input 26 3 2 2 2 3" xfId="21314"/>
    <cellStyle name="Input 26 3 2 2 2 3 2" xfId="42501"/>
    <cellStyle name="Input 26 3 2 2 2 4" xfId="31917"/>
    <cellStyle name="Input 26 3 2 2 2_Table 2A-1_EFT (Annual)" xfId="15186"/>
    <cellStyle name="Input 26 3 2 2 3" xfId="11797"/>
    <cellStyle name="Input 26 3 2 2 3 2" xfId="23881"/>
    <cellStyle name="Input 26 3 2 2 3 2 2" xfId="45067"/>
    <cellStyle name="Input 26 3 2 2 3 3" xfId="34463"/>
    <cellStyle name="Input 26 3 2 2 4" xfId="18768"/>
    <cellStyle name="Input 26 3 2 2 4 2" xfId="39955"/>
    <cellStyle name="Input 26 3 2 2 5" xfId="29174"/>
    <cellStyle name="Input 26 3 2 2_Table 2A-1_EFT (Annual)" xfId="6962"/>
    <cellStyle name="Input 26 3 2 3" xfId="4991"/>
    <cellStyle name="Input 26 3 2 3 2" xfId="13251"/>
    <cellStyle name="Input 26 3 2 3 2 2" xfId="25257"/>
    <cellStyle name="Input 26 3 2 3 2 2 2" xfId="46443"/>
    <cellStyle name="Input 26 3 2 3 2 3" xfId="35839"/>
    <cellStyle name="Input 26 3 2 3 3" xfId="20144"/>
    <cellStyle name="Input 26 3 2 3 3 2" xfId="41331"/>
    <cellStyle name="Input 26 3 2 3 4" xfId="30648"/>
    <cellStyle name="Input 26 3 2 3_Table 2A-1_EFT (Annual)" xfId="15187"/>
    <cellStyle name="Input 26 3 2 4" xfId="10595"/>
    <cellStyle name="Input 26 3 2 4 2" xfId="22711"/>
    <cellStyle name="Input 26 3 2 4 2 2" xfId="43897"/>
    <cellStyle name="Input 26 3 2 4 3" xfId="33293"/>
    <cellStyle name="Input 26 3 2 5" xfId="17598"/>
    <cellStyle name="Input 26 3 2 5 2" xfId="38785"/>
    <cellStyle name="Input 26 3 2 6" xfId="27905"/>
    <cellStyle name="Input 26 3 2_Table 2A-1_EFT (Annual)" xfId="6961"/>
    <cellStyle name="Input 26 3 3" xfId="971"/>
    <cellStyle name="Input 26 3 3 2" xfId="4532"/>
    <cellStyle name="Input 26 3 3 2 2" xfId="12794"/>
    <cellStyle name="Input 26 3 3 2 2 2" xfId="24804"/>
    <cellStyle name="Input 26 3 3 2 2 2 2" xfId="45990"/>
    <cellStyle name="Input 26 3 3 2 2 3" xfId="35386"/>
    <cellStyle name="Input 26 3 3 2 3" xfId="19691"/>
    <cellStyle name="Input 26 3 3 2 3 2" xfId="40878"/>
    <cellStyle name="Input 26 3 3 2 4" xfId="30189"/>
    <cellStyle name="Input 26 3 3 2_Table 2A-1_EFT (Annual)" xfId="15188"/>
    <cellStyle name="Input 26 3 3 3" xfId="10141"/>
    <cellStyle name="Input 26 3 3 3 2" xfId="22258"/>
    <cellStyle name="Input 26 3 3 3 2 2" xfId="43444"/>
    <cellStyle name="Input 26 3 3 3 3" xfId="32840"/>
    <cellStyle name="Input 26 3 3 4" xfId="17145"/>
    <cellStyle name="Input 26 3 3 4 2" xfId="38332"/>
    <cellStyle name="Input 26 3 3 5" xfId="27446"/>
    <cellStyle name="Input 26 3 3_Table 2A-1_EFT (Annual)" xfId="6963"/>
    <cellStyle name="Input 26 3 4" xfId="2169"/>
    <cellStyle name="Input 26 3 4 2" xfId="5730"/>
    <cellStyle name="Input 26 3 4 2 2" xfId="13945"/>
    <cellStyle name="Input 26 3 4 2 2 2" xfId="25933"/>
    <cellStyle name="Input 26 3 4 2 2 2 2" xfId="47119"/>
    <cellStyle name="Input 26 3 4 2 2 3" xfId="36515"/>
    <cellStyle name="Input 26 3 4 2 3" xfId="20820"/>
    <cellStyle name="Input 26 3 4 2 3 2" xfId="42007"/>
    <cellStyle name="Input 26 3 4 2 4" xfId="31387"/>
    <cellStyle name="Input 26 3 4 2_Table 2A-1_EFT (Annual)" xfId="15189"/>
    <cellStyle name="Input 26 3 4 3" xfId="11289"/>
    <cellStyle name="Input 26 3 4 3 2" xfId="23387"/>
    <cellStyle name="Input 26 3 4 3 2 2" xfId="44573"/>
    <cellStyle name="Input 26 3 4 3 3" xfId="33969"/>
    <cellStyle name="Input 26 3 4 4" xfId="18274"/>
    <cellStyle name="Input 26 3 4 4 2" xfId="39461"/>
    <cellStyle name="Input 26 3 4 5" xfId="28644"/>
    <cellStyle name="Input 26 3 4_Table 2A-1_EFT (Annual)" xfId="6964"/>
    <cellStyle name="Input 26 3 5" xfId="4017"/>
    <cellStyle name="Input 26 3 5 2" xfId="12345"/>
    <cellStyle name="Input 26 3 5 2 2" xfId="24369"/>
    <cellStyle name="Input 26 3 5 2 2 2" xfId="45555"/>
    <cellStyle name="Input 26 3 5 2 3" xfId="34951"/>
    <cellStyle name="Input 26 3 5 3" xfId="19256"/>
    <cellStyle name="Input 26 3 5 3 2" xfId="40443"/>
    <cellStyle name="Input 26 3 5 4" xfId="29705"/>
    <cellStyle name="Input 26 3 5_Table 2A-1_EFT (Annual)" xfId="15190"/>
    <cellStyle name="Input 26 3 6" xfId="9682"/>
    <cellStyle name="Input 26 3 6 2" xfId="21823"/>
    <cellStyle name="Input 26 3 6 2 2" xfId="43009"/>
    <cellStyle name="Input 26 3 6 3" xfId="32405"/>
    <cellStyle name="Input 26 3 7" xfId="16710"/>
    <cellStyle name="Input 26 3 7 2" xfId="37897"/>
    <cellStyle name="Input 26 3 8" xfId="26962"/>
    <cellStyle name="Input 26 3_Table 2A-1_EFT (Annual)" xfId="3044"/>
    <cellStyle name="Input 26 4" xfId="1267"/>
    <cellStyle name="Input 26 4 2" xfId="2537"/>
    <cellStyle name="Input 26 4 2 2" xfId="6098"/>
    <cellStyle name="Input 26 4 2 2 2" xfId="14292"/>
    <cellStyle name="Input 26 4 2 2 2 2" xfId="26264"/>
    <cellStyle name="Input 26 4 2 2 2 2 2" xfId="47450"/>
    <cellStyle name="Input 26 4 2 2 2 3" xfId="36846"/>
    <cellStyle name="Input 26 4 2 2 3" xfId="21151"/>
    <cellStyle name="Input 26 4 2 2 3 2" xfId="42338"/>
    <cellStyle name="Input 26 4 2 2 4" xfId="31754"/>
    <cellStyle name="Input 26 4 2 2_Table 2A-1_EFT (Annual)" xfId="15191"/>
    <cellStyle name="Input 26 4 2 3" xfId="11634"/>
    <cellStyle name="Input 26 4 2 3 2" xfId="23718"/>
    <cellStyle name="Input 26 4 2 3 2 2" xfId="44904"/>
    <cellStyle name="Input 26 4 2 3 3" xfId="34300"/>
    <cellStyle name="Input 26 4 2 4" xfId="18605"/>
    <cellStyle name="Input 26 4 2 4 2" xfId="39792"/>
    <cellStyle name="Input 26 4 2 5" xfId="29011"/>
    <cellStyle name="Input 26 4 2_Table 2A-1_EFT (Annual)" xfId="6966"/>
    <cellStyle name="Input 26 4 3" xfId="4828"/>
    <cellStyle name="Input 26 4 3 2" xfId="13088"/>
    <cellStyle name="Input 26 4 3 2 2" xfId="25094"/>
    <cellStyle name="Input 26 4 3 2 2 2" xfId="46280"/>
    <cellStyle name="Input 26 4 3 2 3" xfId="35676"/>
    <cellStyle name="Input 26 4 3 3" xfId="19981"/>
    <cellStyle name="Input 26 4 3 3 2" xfId="41168"/>
    <cellStyle name="Input 26 4 3 4" xfId="30485"/>
    <cellStyle name="Input 26 4 3_Table 2A-1_EFT (Annual)" xfId="15192"/>
    <cellStyle name="Input 26 4 4" xfId="10432"/>
    <cellStyle name="Input 26 4 4 2" xfId="22548"/>
    <cellStyle name="Input 26 4 4 2 2" xfId="43734"/>
    <cellStyle name="Input 26 4 4 3" xfId="33130"/>
    <cellStyle name="Input 26 4 5" xfId="17435"/>
    <cellStyle name="Input 26 4 5 2" xfId="38622"/>
    <cellStyle name="Input 26 4 6" xfId="27742"/>
    <cellStyle name="Input 26 4_Table 2A-1_EFT (Annual)" xfId="6965"/>
    <cellStyle name="Input 26 5" xfId="815"/>
    <cellStyle name="Input 26 5 2" xfId="4376"/>
    <cellStyle name="Input 26 5 2 2" xfId="12656"/>
    <cellStyle name="Input 26 5 2 2 2" xfId="24673"/>
    <cellStyle name="Input 26 5 2 2 2 2" xfId="45859"/>
    <cellStyle name="Input 26 5 2 2 3" xfId="35255"/>
    <cellStyle name="Input 26 5 2 3" xfId="19560"/>
    <cellStyle name="Input 26 5 2 3 2" xfId="40747"/>
    <cellStyle name="Input 26 5 2 4" xfId="30033"/>
    <cellStyle name="Input 26 5 2_Table 2A-1_EFT (Annual)" xfId="15193"/>
    <cellStyle name="Input 26 5 3" xfId="10004"/>
    <cellStyle name="Input 26 5 3 2" xfId="22127"/>
    <cellStyle name="Input 26 5 3 2 2" xfId="43313"/>
    <cellStyle name="Input 26 5 3 3" xfId="32709"/>
    <cellStyle name="Input 26 5 4" xfId="17014"/>
    <cellStyle name="Input 26 5 4 2" xfId="38201"/>
    <cellStyle name="Input 26 5 5" xfId="27290"/>
    <cellStyle name="Input 26 5_Table 2A-1_EFT (Annual)" xfId="6967"/>
    <cellStyle name="Input 26 6" xfId="2006"/>
    <cellStyle name="Input 26 6 2" xfId="5567"/>
    <cellStyle name="Input 26 6 2 2" xfId="13782"/>
    <cellStyle name="Input 26 6 2 2 2" xfId="25770"/>
    <cellStyle name="Input 26 6 2 2 2 2" xfId="46956"/>
    <cellStyle name="Input 26 6 2 2 3" xfId="36352"/>
    <cellStyle name="Input 26 6 2 3" xfId="20657"/>
    <cellStyle name="Input 26 6 2 3 2" xfId="41844"/>
    <cellStyle name="Input 26 6 2 4" xfId="31224"/>
    <cellStyle name="Input 26 6 2_Table 2A-1_EFT (Annual)" xfId="15194"/>
    <cellStyle name="Input 26 6 3" xfId="11126"/>
    <cellStyle name="Input 26 6 3 2" xfId="23224"/>
    <cellStyle name="Input 26 6 3 2 2" xfId="44410"/>
    <cellStyle name="Input 26 6 3 3" xfId="33806"/>
    <cellStyle name="Input 26 6 4" xfId="18111"/>
    <cellStyle name="Input 26 6 4 2" xfId="39298"/>
    <cellStyle name="Input 26 6 5" xfId="28481"/>
    <cellStyle name="Input 26 6_Table 2A-1_EFT (Annual)" xfId="6968"/>
    <cellStyle name="Input 26 7" xfId="3808"/>
    <cellStyle name="Input 26 7 2" xfId="12176"/>
    <cellStyle name="Input 26 7 2 2" xfId="24206"/>
    <cellStyle name="Input 26 7 2 2 2" xfId="45392"/>
    <cellStyle name="Input 26 7 2 3" xfId="34788"/>
    <cellStyle name="Input 26 7 3" xfId="19093"/>
    <cellStyle name="Input 26 7 3 2" xfId="40280"/>
    <cellStyle name="Input 26 7 4" xfId="29517"/>
    <cellStyle name="Input 26 7_Table 2A-1_EFT (Annual)" xfId="15195"/>
    <cellStyle name="Input 26 8" xfId="9495"/>
    <cellStyle name="Input 26 8 2" xfId="21660"/>
    <cellStyle name="Input 26 8 2 2" xfId="42846"/>
    <cellStyle name="Input 26 8 3" xfId="32242"/>
    <cellStyle name="Input 26 9" xfId="16547"/>
    <cellStyle name="Input 26 9 2" xfId="37734"/>
    <cellStyle name="Input 26_Table 2A-1_EFT (Annual)" xfId="3042"/>
    <cellStyle name="Input 27" xfId="237"/>
    <cellStyle name="Input 27 10" xfId="26792"/>
    <cellStyle name="Input 27 2" xfId="624"/>
    <cellStyle name="Input 27 2 2" xfId="1601"/>
    <cellStyle name="Input 27 2 2 2" xfId="2871"/>
    <cellStyle name="Input 27 2 2 2 2" xfId="6432"/>
    <cellStyle name="Input 27 2 2 2 2 2" xfId="14626"/>
    <cellStyle name="Input 27 2 2 2 2 2 2" xfId="26598"/>
    <cellStyle name="Input 27 2 2 2 2 2 2 2" xfId="47784"/>
    <cellStyle name="Input 27 2 2 2 2 2 3" xfId="37180"/>
    <cellStyle name="Input 27 2 2 2 2 3" xfId="21485"/>
    <cellStyle name="Input 27 2 2 2 2 3 2" xfId="42672"/>
    <cellStyle name="Input 27 2 2 2 2 4" xfId="32088"/>
    <cellStyle name="Input 27 2 2 2 2_Table 2A-1_EFT (Annual)" xfId="15196"/>
    <cellStyle name="Input 27 2 2 2 3" xfId="11968"/>
    <cellStyle name="Input 27 2 2 2 3 2" xfId="24052"/>
    <cellStyle name="Input 27 2 2 2 3 2 2" xfId="45238"/>
    <cellStyle name="Input 27 2 2 2 3 3" xfId="34634"/>
    <cellStyle name="Input 27 2 2 2 4" xfId="18939"/>
    <cellStyle name="Input 27 2 2 2 4 2" xfId="40126"/>
    <cellStyle name="Input 27 2 2 2 5" xfId="29345"/>
    <cellStyle name="Input 27 2 2 2_Table 2A-1_EFT (Annual)" xfId="6970"/>
    <cellStyle name="Input 27 2 2 3" xfId="5162"/>
    <cellStyle name="Input 27 2 2 3 2" xfId="13422"/>
    <cellStyle name="Input 27 2 2 3 2 2" xfId="25428"/>
    <cellStyle name="Input 27 2 2 3 2 2 2" xfId="46614"/>
    <cellStyle name="Input 27 2 2 3 2 3" xfId="36010"/>
    <cellStyle name="Input 27 2 2 3 3" xfId="20315"/>
    <cellStyle name="Input 27 2 2 3 3 2" xfId="41502"/>
    <cellStyle name="Input 27 2 2 3 4" xfId="30819"/>
    <cellStyle name="Input 27 2 2 3_Table 2A-1_EFT (Annual)" xfId="15197"/>
    <cellStyle name="Input 27 2 2 4" xfId="10766"/>
    <cellStyle name="Input 27 2 2 4 2" xfId="22882"/>
    <cellStyle name="Input 27 2 2 4 2 2" xfId="44068"/>
    <cellStyle name="Input 27 2 2 4 3" xfId="33464"/>
    <cellStyle name="Input 27 2 2 5" xfId="17769"/>
    <cellStyle name="Input 27 2 2 5 2" xfId="38956"/>
    <cellStyle name="Input 27 2 2 6" xfId="28076"/>
    <cellStyle name="Input 27 2 2_Table 2A-1_EFT (Annual)" xfId="6969"/>
    <cellStyle name="Input 27 2 3" xfId="1115"/>
    <cellStyle name="Input 27 2 3 2" xfId="4676"/>
    <cellStyle name="Input 27 2 3 2 2" xfId="12936"/>
    <cellStyle name="Input 27 2 3 2 2 2" xfId="24942"/>
    <cellStyle name="Input 27 2 3 2 2 2 2" xfId="46128"/>
    <cellStyle name="Input 27 2 3 2 2 3" xfId="35524"/>
    <cellStyle name="Input 27 2 3 2 3" xfId="19829"/>
    <cellStyle name="Input 27 2 3 2 3 2" xfId="41016"/>
    <cellStyle name="Input 27 2 3 2 4" xfId="30333"/>
    <cellStyle name="Input 27 2 3 2_Table 2A-1_EFT (Annual)" xfId="15198"/>
    <cellStyle name="Input 27 2 3 3" xfId="10280"/>
    <cellStyle name="Input 27 2 3 3 2" xfId="22396"/>
    <cellStyle name="Input 27 2 3 3 2 2" xfId="43582"/>
    <cellStyle name="Input 27 2 3 3 3" xfId="32978"/>
    <cellStyle name="Input 27 2 3 4" xfId="17283"/>
    <cellStyle name="Input 27 2 3 4 2" xfId="38470"/>
    <cellStyle name="Input 27 2 3 5" xfId="27590"/>
    <cellStyle name="Input 27 2 3_Table 2A-1_EFT (Annual)" xfId="6971"/>
    <cellStyle name="Input 27 2 4" xfId="2340"/>
    <cellStyle name="Input 27 2 4 2" xfId="5901"/>
    <cellStyle name="Input 27 2 4 2 2" xfId="14116"/>
    <cellStyle name="Input 27 2 4 2 2 2" xfId="26104"/>
    <cellStyle name="Input 27 2 4 2 2 2 2" xfId="47290"/>
    <cellStyle name="Input 27 2 4 2 2 3" xfId="36686"/>
    <cellStyle name="Input 27 2 4 2 3" xfId="20991"/>
    <cellStyle name="Input 27 2 4 2 3 2" xfId="42178"/>
    <cellStyle name="Input 27 2 4 2 4" xfId="31558"/>
    <cellStyle name="Input 27 2 4 2_Table 2A-1_EFT (Annual)" xfId="15199"/>
    <cellStyle name="Input 27 2 4 3" xfId="11460"/>
    <cellStyle name="Input 27 2 4 3 2" xfId="23558"/>
    <cellStyle name="Input 27 2 4 3 2 2" xfId="44744"/>
    <cellStyle name="Input 27 2 4 3 3" xfId="34140"/>
    <cellStyle name="Input 27 2 4 4" xfId="18445"/>
    <cellStyle name="Input 27 2 4 4 2" xfId="39632"/>
    <cellStyle name="Input 27 2 4 5" xfId="28815"/>
    <cellStyle name="Input 27 2 4_Table 2A-1_EFT (Annual)" xfId="6972"/>
    <cellStyle name="Input 27 2 5" xfId="4194"/>
    <cellStyle name="Input 27 2 5 2" xfId="12518"/>
    <cellStyle name="Input 27 2 5 2 2" xfId="24540"/>
    <cellStyle name="Input 27 2 5 2 2 2" xfId="45726"/>
    <cellStyle name="Input 27 2 5 2 3" xfId="35122"/>
    <cellStyle name="Input 27 2 5 3" xfId="19427"/>
    <cellStyle name="Input 27 2 5 3 2" xfId="40614"/>
    <cellStyle name="Input 27 2 5 4" xfId="29882"/>
    <cellStyle name="Input 27 2 5_Table 2A-1_EFT (Annual)" xfId="15200"/>
    <cellStyle name="Input 27 2 6" xfId="9857"/>
    <cellStyle name="Input 27 2 6 2" xfId="21994"/>
    <cellStyle name="Input 27 2 6 2 2" xfId="43180"/>
    <cellStyle name="Input 27 2 6 3" xfId="32576"/>
    <cellStyle name="Input 27 2 7" xfId="16881"/>
    <cellStyle name="Input 27 2 7 2" xfId="38068"/>
    <cellStyle name="Input 27 2 8" xfId="27139"/>
    <cellStyle name="Input 27 2_Table 2A-1_EFT (Annual)" xfId="3046"/>
    <cellStyle name="Input 27 3" xfId="463"/>
    <cellStyle name="Input 27 3 2" xfId="1440"/>
    <cellStyle name="Input 27 3 2 2" xfId="2710"/>
    <cellStyle name="Input 27 3 2 2 2" xfId="6271"/>
    <cellStyle name="Input 27 3 2 2 2 2" xfId="14465"/>
    <cellStyle name="Input 27 3 2 2 2 2 2" xfId="26437"/>
    <cellStyle name="Input 27 3 2 2 2 2 2 2" xfId="47623"/>
    <cellStyle name="Input 27 3 2 2 2 2 3" xfId="37019"/>
    <cellStyle name="Input 27 3 2 2 2 3" xfId="21324"/>
    <cellStyle name="Input 27 3 2 2 2 3 2" xfId="42511"/>
    <cellStyle name="Input 27 3 2 2 2 4" xfId="31927"/>
    <cellStyle name="Input 27 3 2 2 2_Table 2A-1_EFT (Annual)" xfId="15201"/>
    <cellStyle name="Input 27 3 2 2 3" xfId="11807"/>
    <cellStyle name="Input 27 3 2 2 3 2" xfId="23891"/>
    <cellStyle name="Input 27 3 2 2 3 2 2" xfId="45077"/>
    <cellStyle name="Input 27 3 2 2 3 3" xfId="34473"/>
    <cellStyle name="Input 27 3 2 2 4" xfId="18778"/>
    <cellStyle name="Input 27 3 2 2 4 2" xfId="39965"/>
    <cellStyle name="Input 27 3 2 2 5" xfId="29184"/>
    <cellStyle name="Input 27 3 2 2_Table 2A-1_EFT (Annual)" xfId="6974"/>
    <cellStyle name="Input 27 3 2 3" xfId="5001"/>
    <cellStyle name="Input 27 3 2 3 2" xfId="13261"/>
    <cellStyle name="Input 27 3 2 3 2 2" xfId="25267"/>
    <cellStyle name="Input 27 3 2 3 2 2 2" xfId="46453"/>
    <cellStyle name="Input 27 3 2 3 2 3" xfId="35849"/>
    <cellStyle name="Input 27 3 2 3 3" xfId="20154"/>
    <cellStyle name="Input 27 3 2 3 3 2" xfId="41341"/>
    <cellStyle name="Input 27 3 2 3 4" xfId="30658"/>
    <cellStyle name="Input 27 3 2 3_Table 2A-1_EFT (Annual)" xfId="15202"/>
    <cellStyle name="Input 27 3 2 4" xfId="10605"/>
    <cellStyle name="Input 27 3 2 4 2" xfId="22721"/>
    <cellStyle name="Input 27 3 2 4 2 2" xfId="43907"/>
    <cellStyle name="Input 27 3 2 4 3" xfId="33303"/>
    <cellStyle name="Input 27 3 2 5" xfId="17608"/>
    <cellStyle name="Input 27 3 2 5 2" xfId="38795"/>
    <cellStyle name="Input 27 3 2 6" xfId="27915"/>
    <cellStyle name="Input 27 3 2_Table 2A-1_EFT (Annual)" xfId="6973"/>
    <cellStyle name="Input 27 3 3" xfId="985"/>
    <cellStyle name="Input 27 3 3 2" xfId="4546"/>
    <cellStyle name="Input 27 3 3 2 2" xfId="12806"/>
    <cellStyle name="Input 27 3 3 2 2 2" xfId="24812"/>
    <cellStyle name="Input 27 3 3 2 2 2 2" xfId="45998"/>
    <cellStyle name="Input 27 3 3 2 2 3" xfId="35394"/>
    <cellStyle name="Input 27 3 3 2 3" xfId="19699"/>
    <cellStyle name="Input 27 3 3 2 3 2" xfId="40886"/>
    <cellStyle name="Input 27 3 3 2 4" xfId="30203"/>
    <cellStyle name="Input 27 3 3 2_Table 2A-1_EFT (Annual)" xfId="15203"/>
    <cellStyle name="Input 27 3 3 3" xfId="10150"/>
    <cellStyle name="Input 27 3 3 3 2" xfId="22266"/>
    <cellStyle name="Input 27 3 3 3 2 2" xfId="43452"/>
    <cellStyle name="Input 27 3 3 3 3" xfId="32848"/>
    <cellStyle name="Input 27 3 3 4" xfId="17153"/>
    <cellStyle name="Input 27 3 3 4 2" xfId="38340"/>
    <cellStyle name="Input 27 3 3 5" xfId="27460"/>
    <cellStyle name="Input 27 3 3_Table 2A-1_EFT (Annual)" xfId="6975"/>
    <cellStyle name="Input 27 3 4" xfId="2179"/>
    <cellStyle name="Input 27 3 4 2" xfId="5740"/>
    <cellStyle name="Input 27 3 4 2 2" xfId="13955"/>
    <cellStyle name="Input 27 3 4 2 2 2" xfId="25943"/>
    <cellStyle name="Input 27 3 4 2 2 2 2" xfId="47129"/>
    <cellStyle name="Input 27 3 4 2 2 3" xfId="36525"/>
    <cellStyle name="Input 27 3 4 2 3" xfId="20830"/>
    <cellStyle name="Input 27 3 4 2 3 2" xfId="42017"/>
    <cellStyle name="Input 27 3 4 2 4" xfId="31397"/>
    <cellStyle name="Input 27 3 4 2_Table 2A-1_EFT (Annual)" xfId="15204"/>
    <cellStyle name="Input 27 3 4 3" xfId="11299"/>
    <cellStyle name="Input 27 3 4 3 2" xfId="23397"/>
    <cellStyle name="Input 27 3 4 3 2 2" xfId="44583"/>
    <cellStyle name="Input 27 3 4 3 3" xfId="33979"/>
    <cellStyle name="Input 27 3 4 4" xfId="18284"/>
    <cellStyle name="Input 27 3 4 4 2" xfId="39471"/>
    <cellStyle name="Input 27 3 4 5" xfId="28654"/>
    <cellStyle name="Input 27 3 4_Table 2A-1_EFT (Annual)" xfId="6976"/>
    <cellStyle name="Input 27 3 5" xfId="4033"/>
    <cellStyle name="Input 27 3 5 2" xfId="12357"/>
    <cellStyle name="Input 27 3 5 2 2" xfId="24379"/>
    <cellStyle name="Input 27 3 5 2 2 2" xfId="45565"/>
    <cellStyle name="Input 27 3 5 2 3" xfId="34961"/>
    <cellStyle name="Input 27 3 5 3" xfId="19266"/>
    <cellStyle name="Input 27 3 5 3 2" xfId="40453"/>
    <cellStyle name="Input 27 3 5 4" xfId="29721"/>
    <cellStyle name="Input 27 3 5_Table 2A-1_EFT (Annual)" xfId="15205"/>
    <cellStyle name="Input 27 3 6" xfId="9696"/>
    <cellStyle name="Input 27 3 6 2" xfId="21833"/>
    <cellStyle name="Input 27 3 6 2 2" xfId="43019"/>
    <cellStyle name="Input 27 3 6 3" xfId="32415"/>
    <cellStyle name="Input 27 3 7" xfId="16720"/>
    <cellStyle name="Input 27 3 7 2" xfId="37907"/>
    <cellStyle name="Input 27 3 8" xfId="26978"/>
    <cellStyle name="Input 27 3_Table 2A-1_EFT (Annual)" xfId="3047"/>
    <cellStyle name="Input 27 4" xfId="1279"/>
    <cellStyle name="Input 27 4 2" xfId="2549"/>
    <cellStyle name="Input 27 4 2 2" xfId="6110"/>
    <cellStyle name="Input 27 4 2 2 2" xfId="14304"/>
    <cellStyle name="Input 27 4 2 2 2 2" xfId="26276"/>
    <cellStyle name="Input 27 4 2 2 2 2 2" xfId="47462"/>
    <cellStyle name="Input 27 4 2 2 2 3" xfId="36858"/>
    <cellStyle name="Input 27 4 2 2 3" xfId="21163"/>
    <cellStyle name="Input 27 4 2 2 3 2" xfId="42350"/>
    <cellStyle name="Input 27 4 2 2 4" xfId="31766"/>
    <cellStyle name="Input 27 4 2 2_Table 2A-1_EFT (Annual)" xfId="15206"/>
    <cellStyle name="Input 27 4 2 3" xfId="11646"/>
    <cellStyle name="Input 27 4 2 3 2" xfId="23730"/>
    <cellStyle name="Input 27 4 2 3 2 2" xfId="44916"/>
    <cellStyle name="Input 27 4 2 3 3" xfId="34312"/>
    <cellStyle name="Input 27 4 2 4" xfId="18617"/>
    <cellStyle name="Input 27 4 2 4 2" xfId="39804"/>
    <cellStyle name="Input 27 4 2 5" xfId="29023"/>
    <cellStyle name="Input 27 4 2_Table 2A-1_EFT (Annual)" xfId="6978"/>
    <cellStyle name="Input 27 4 3" xfId="4840"/>
    <cellStyle name="Input 27 4 3 2" xfId="13100"/>
    <cellStyle name="Input 27 4 3 2 2" xfId="25106"/>
    <cellStyle name="Input 27 4 3 2 2 2" xfId="46292"/>
    <cellStyle name="Input 27 4 3 2 3" xfId="35688"/>
    <cellStyle name="Input 27 4 3 3" xfId="19993"/>
    <cellStyle name="Input 27 4 3 3 2" xfId="41180"/>
    <cellStyle name="Input 27 4 3 4" xfId="30497"/>
    <cellStyle name="Input 27 4 3_Table 2A-1_EFT (Annual)" xfId="15207"/>
    <cellStyle name="Input 27 4 4" xfId="10444"/>
    <cellStyle name="Input 27 4 4 2" xfId="22560"/>
    <cellStyle name="Input 27 4 4 2 2" xfId="43746"/>
    <cellStyle name="Input 27 4 4 3" xfId="33142"/>
    <cellStyle name="Input 27 4 5" xfId="17447"/>
    <cellStyle name="Input 27 4 5 2" xfId="38634"/>
    <cellStyle name="Input 27 4 6" xfId="27754"/>
    <cellStyle name="Input 27 4_Table 2A-1_EFT (Annual)" xfId="6977"/>
    <cellStyle name="Input 27 5" xfId="830"/>
    <cellStyle name="Input 27 5 2" xfId="4391"/>
    <cellStyle name="Input 27 5 2 2" xfId="12665"/>
    <cellStyle name="Input 27 5 2 2 2" xfId="24682"/>
    <cellStyle name="Input 27 5 2 2 2 2" xfId="45868"/>
    <cellStyle name="Input 27 5 2 2 3" xfId="35264"/>
    <cellStyle name="Input 27 5 2 3" xfId="19569"/>
    <cellStyle name="Input 27 5 2 3 2" xfId="40756"/>
    <cellStyle name="Input 27 5 2 4" xfId="30048"/>
    <cellStyle name="Input 27 5 2_Table 2A-1_EFT (Annual)" xfId="15208"/>
    <cellStyle name="Input 27 5 3" xfId="10014"/>
    <cellStyle name="Input 27 5 3 2" xfId="22136"/>
    <cellStyle name="Input 27 5 3 2 2" xfId="43322"/>
    <cellStyle name="Input 27 5 3 3" xfId="32718"/>
    <cellStyle name="Input 27 5 4" xfId="17023"/>
    <cellStyle name="Input 27 5 4 2" xfId="38210"/>
    <cellStyle name="Input 27 5 5" xfId="27305"/>
    <cellStyle name="Input 27 5_Table 2A-1_EFT (Annual)" xfId="6979"/>
    <cellStyle name="Input 27 6" xfId="2018"/>
    <cellStyle name="Input 27 6 2" xfId="5579"/>
    <cellStyle name="Input 27 6 2 2" xfId="13794"/>
    <cellStyle name="Input 27 6 2 2 2" xfId="25782"/>
    <cellStyle name="Input 27 6 2 2 2 2" xfId="46968"/>
    <cellStyle name="Input 27 6 2 2 3" xfId="36364"/>
    <cellStyle name="Input 27 6 2 3" xfId="20669"/>
    <cellStyle name="Input 27 6 2 3 2" xfId="41856"/>
    <cellStyle name="Input 27 6 2 4" xfId="31236"/>
    <cellStyle name="Input 27 6 2_Table 2A-1_EFT (Annual)" xfId="15209"/>
    <cellStyle name="Input 27 6 3" xfId="11138"/>
    <cellStyle name="Input 27 6 3 2" xfId="23236"/>
    <cellStyle name="Input 27 6 3 2 2" xfId="44422"/>
    <cellStyle name="Input 27 6 3 3" xfId="33818"/>
    <cellStyle name="Input 27 6 4" xfId="18123"/>
    <cellStyle name="Input 27 6 4 2" xfId="39310"/>
    <cellStyle name="Input 27 6 5" xfId="28493"/>
    <cellStyle name="Input 27 6_Table 2A-1_EFT (Annual)" xfId="6980"/>
    <cellStyle name="Input 27 7" xfId="3826"/>
    <cellStyle name="Input 27 7 2" xfId="12189"/>
    <cellStyle name="Input 27 7 2 2" xfId="24218"/>
    <cellStyle name="Input 27 7 2 2 2" xfId="45404"/>
    <cellStyle name="Input 27 7 2 3" xfId="34800"/>
    <cellStyle name="Input 27 7 3" xfId="19105"/>
    <cellStyle name="Input 27 7 3 2" xfId="40292"/>
    <cellStyle name="Input 27 7 4" xfId="29535"/>
    <cellStyle name="Input 27 7_Table 2A-1_EFT (Annual)" xfId="15210"/>
    <cellStyle name="Input 27 8" xfId="9508"/>
    <cellStyle name="Input 27 8 2" xfId="21672"/>
    <cellStyle name="Input 27 8 2 2" xfId="42858"/>
    <cellStyle name="Input 27 8 3" xfId="32254"/>
    <cellStyle name="Input 27 9" xfId="16559"/>
    <cellStyle name="Input 27 9 2" xfId="37746"/>
    <cellStyle name="Input 27_Table 2A-1_EFT (Annual)" xfId="3045"/>
    <cellStyle name="Input 28" xfId="194"/>
    <cellStyle name="Input 28 10" xfId="26749"/>
    <cellStyle name="Input 28 2" xfId="587"/>
    <cellStyle name="Input 28 2 2" xfId="1564"/>
    <cellStyle name="Input 28 2 2 2" xfId="2834"/>
    <cellStyle name="Input 28 2 2 2 2" xfId="6395"/>
    <cellStyle name="Input 28 2 2 2 2 2" xfId="14589"/>
    <cellStyle name="Input 28 2 2 2 2 2 2" xfId="26561"/>
    <cellStyle name="Input 28 2 2 2 2 2 2 2" xfId="47747"/>
    <cellStyle name="Input 28 2 2 2 2 2 3" xfId="37143"/>
    <cellStyle name="Input 28 2 2 2 2 3" xfId="21448"/>
    <cellStyle name="Input 28 2 2 2 2 3 2" xfId="42635"/>
    <cellStyle name="Input 28 2 2 2 2 4" xfId="32051"/>
    <cellStyle name="Input 28 2 2 2 2_Table 2A-1_EFT (Annual)" xfId="15211"/>
    <cellStyle name="Input 28 2 2 2 3" xfId="11931"/>
    <cellStyle name="Input 28 2 2 2 3 2" xfId="24015"/>
    <cellStyle name="Input 28 2 2 2 3 2 2" xfId="45201"/>
    <cellStyle name="Input 28 2 2 2 3 3" xfId="34597"/>
    <cellStyle name="Input 28 2 2 2 4" xfId="18902"/>
    <cellStyle name="Input 28 2 2 2 4 2" xfId="40089"/>
    <cellStyle name="Input 28 2 2 2 5" xfId="29308"/>
    <cellStyle name="Input 28 2 2 2_Table 2A-1_EFT (Annual)" xfId="6982"/>
    <cellStyle name="Input 28 2 2 3" xfId="5125"/>
    <cellStyle name="Input 28 2 2 3 2" xfId="13385"/>
    <cellStyle name="Input 28 2 2 3 2 2" xfId="25391"/>
    <cellStyle name="Input 28 2 2 3 2 2 2" xfId="46577"/>
    <cellStyle name="Input 28 2 2 3 2 3" xfId="35973"/>
    <cellStyle name="Input 28 2 2 3 3" xfId="20278"/>
    <cellStyle name="Input 28 2 2 3 3 2" xfId="41465"/>
    <cellStyle name="Input 28 2 2 3 4" xfId="30782"/>
    <cellStyle name="Input 28 2 2 3_Table 2A-1_EFT (Annual)" xfId="15212"/>
    <cellStyle name="Input 28 2 2 4" xfId="10729"/>
    <cellStyle name="Input 28 2 2 4 2" xfId="22845"/>
    <cellStyle name="Input 28 2 2 4 2 2" xfId="44031"/>
    <cellStyle name="Input 28 2 2 4 3" xfId="33427"/>
    <cellStyle name="Input 28 2 2 5" xfId="17732"/>
    <cellStyle name="Input 28 2 2 5 2" xfId="38919"/>
    <cellStyle name="Input 28 2 2 6" xfId="28039"/>
    <cellStyle name="Input 28 2 2_Table 2A-1_EFT (Annual)" xfId="6981"/>
    <cellStyle name="Input 28 2 3" xfId="1086"/>
    <cellStyle name="Input 28 2 3 2" xfId="4647"/>
    <cellStyle name="Input 28 2 3 2 2" xfId="12907"/>
    <cellStyle name="Input 28 2 3 2 2 2" xfId="24913"/>
    <cellStyle name="Input 28 2 3 2 2 2 2" xfId="46099"/>
    <cellStyle name="Input 28 2 3 2 2 3" xfId="35495"/>
    <cellStyle name="Input 28 2 3 2 3" xfId="19800"/>
    <cellStyle name="Input 28 2 3 2 3 2" xfId="40987"/>
    <cellStyle name="Input 28 2 3 2 4" xfId="30304"/>
    <cellStyle name="Input 28 2 3 2_Table 2A-1_EFT (Annual)" xfId="15213"/>
    <cellStyle name="Input 28 2 3 3" xfId="10251"/>
    <cellStyle name="Input 28 2 3 3 2" xfId="22367"/>
    <cellStyle name="Input 28 2 3 3 2 2" xfId="43553"/>
    <cellStyle name="Input 28 2 3 3 3" xfId="32949"/>
    <cellStyle name="Input 28 2 3 4" xfId="17254"/>
    <cellStyle name="Input 28 2 3 4 2" xfId="38441"/>
    <cellStyle name="Input 28 2 3 5" xfId="27561"/>
    <cellStyle name="Input 28 2 3_Table 2A-1_EFT (Annual)" xfId="6983"/>
    <cellStyle name="Input 28 2 4" xfId="2303"/>
    <cellStyle name="Input 28 2 4 2" xfId="5864"/>
    <cellStyle name="Input 28 2 4 2 2" xfId="14079"/>
    <cellStyle name="Input 28 2 4 2 2 2" xfId="26067"/>
    <cellStyle name="Input 28 2 4 2 2 2 2" xfId="47253"/>
    <cellStyle name="Input 28 2 4 2 2 3" xfId="36649"/>
    <cellStyle name="Input 28 2 4 2 3" xfId="20954"/>
    <cellStyle name="Input 28 2 4 2 3 2" xfId="42141"/>
    <cellStyle name="Input 28 2 4 2 4" xfId="31521"/>
    <cellStyle name="Input 28 2 4 2_Table 2A-1_EFT (Annual)" xfId="15214"/>
    <cellStyle name="Input 28 2 4 3" xfId="11423"/>
    <cellStyle name="Input 28 2 4 3 2" xfId="23521"/>
    <cellStyle name="Input 28 2 4 3 2 2" xfId="44707"/>
    <cellStyle name="Input 28 2 4 3 3" xfId="34103"/>
    <cellStyle name="Input 28 2 4 4" xfId="18408"/>
    <cellStyle name="Input 28 2 4 4 2" xfId="39595"/>
    <cellStyle name="Input 28 2 4 5" xfId="28778"/>
    <cellStyle name="Input 28 2 4_Table 2A-1_EFT (Annual)" xfId="6984"/>
    <cellStyle name="Input 28 2 5" xfId="4157"/>
    <cellStyle name="Input 28 2 5 2" xfId="12481"/>
    <cellStyle name="Input 28 2 5 2 2" xfId="24503"/>
    <cellStyle name="Input 28 2 5 2 2 2" xfId="45689"/>
    <cellStyle name="Input 28 2 5 2 3" xfId="35085"/>
    <cellStyle name="Input 28 2 5 3" xfId="19390"/>
    <cellStyle name="Input 28 2 5 3 2" xfId="40577"/>
    <cellStyle name="Input 28 2 5 4" xfId="29845"/>
    <cellStyle name="Input 28 2 5_Table 2A-1_EFT (Annual)" xfId="15215"/>
    <cellStyle name="Input 28 2 6" xfId="9820"/>
    <cellStyle name="Input 28 2 6 2" xfId="21957"/>
    <cellStyle name="Input 28 2 6 2 2" xfId="43143"/>
    <cellStyle name="Input 28 2 6 3" xfId="32539"/>
    <cellStyle name="Input 28 2 7" xfId="16844"/>
    <cellStyle name="Input 28 2 7 2" xfId="38031"/>
    <cellStyle name="Input 28 2 8" xfId="27102"/>
    <cellStyle name="Input 28 2_Table 2A-1_EFT (Annual)" xfId="3049"/>
    <cellStyle name="Input 28 3" xfId="423"/>
    <cellStyle name="Input 28 3 2" xfId="1406"/>
    <cellStyle name="Input 28 3 2 2" xfId="2676"/>
    <cellStyle name="Input 28 3 2 2 2" xfId="6237"/>
    <cellStyle name="Input 28 3 2 2 2 2" xfId="14431"/>
    <cellStyle name="Input 28 3 2 2 2 2 2" xfId="26403"/>
    <cellStyle name="Input 28 3 2 2 2 2 2 2" xfId="47589"/>
    <cellStyle name="Input 28 3 2 2 2 2 3" xfId="36985"/>
    <cellStyle name="Input 28 3 2 2 2 3" xfId="21290"/>
    <cellStyle name="Input 28 3 2 2 2 3 2" xfId="42477"/>
    <cellStyle name="Input 28 3 2 2 2 4" xfId="31893"/>
    <cellStyle name="Input 28 3 2 2 2_Table 2A-1_EFT (Annual)" xfId="15216"/>
    <cellStyle name="Input 28 3 2 2 3" xfId="11773"/>
    <cellStyle name="Input 28 3 2 2 3 2" xfId="23857"/>
    <cellStyle name="Input 28 3 2 2 3 2 2" xfId="45043"/>
    <cellStyle name="Input 28 3 2 2 3 3" xfId="34439"/>
    <cellStyle name="Input 28 3 2 2 4" xfId="18744"/>
    <cellStyle name="Input 28 3 2 2 4 2" xfId="39931"/>
    <cellStyle name="Input 28 3 2 2 5" xfId="29150"/>
    <cellStyle name="Input 28 3 2 2_Table 2A-1_EFT (Annual)" xfId="6986"/>
    <cellStyle name="Input 28 3 2 3" xfId="4967"/>
    <cellStyle name="Input 28 3 2 3 2" xfId="13227"/>
    <cellStyle name="Input 28 3 2 3 2 2" xfId="25233"/>
    <cellStyle name="Input 28 3 2 3 2 2 2" xfId="46419"/>
    <cellStyle name="Input 28 3 2 3 2 3" xfId="35815"/>
    <cellStyle name="Input 28 3 2 3 3" xfId="20120"/>
    <cellStyle name="Input 28 3 2 3 3 2" xfId="41307"/>
    <cellStyle name="Input 28 3 2 3 4" xfId="30624"/>
    <cellStyle name="Input 28 3 2 3_Table 2A-1_EFT (Annual)" xfId="15217"/>
    <cellStyle name="Input 28 3 2 4" xfId="10571"/>
    <cellStyle name="Input 28 3 2 4 2" xfId="22687"/>
    <cellStyle name="Input 28 3 2 4 2 2" xfId="43873"/>
    <cellStyle name="Input 28 3 2 4 3" xfId="33269"/>
    <cellStyle name="Input 28 3 2 5" xfId="17574"/>
    <cellStyle name="Input 28 3 2 5 2" xfId="38761"/>
    <cellStyle name="Input 28 3 2 6" xfId="27881"/>
    <cellStyle name="Input 28 3 2_Table 2A-1_EFT (Annual)" xfId="6985"/>
    <cellStyle name="Input 28 3 3" xfId="952"/>
    <cellStyle name="Input 28 3 3 2" xfId="4513"/>
    <cellStyle name="Input 28 3 3 2 2" xfId="12775"/>
    <cellStyle name="Input 28 3 3 2 2 2" xfId="24785"/>
    <cellStyle name="Input 28 3 3 2 2 2 2" xfId="45971"/>
    <cellStyle name="Input 28 3 3 2 2 3" xfId="35367"/>
    <cellStyle name="Input 28 3 3 2 3" xfId="19672"/>
    <cellStyle name="Input 28 3 3 2 3 2" xfId="40859"/>
    <cellStyle name="Input 28 3 3 2 4" xfId="30170"/>
    <cellStyle name="Input 28 3 3 2_Table 2A-1_EFT (Annual)" xfId="15218"/>
    <cellStyle name="Input 28 3 3 3" xfId="10122"/>
    <cellStyle name="Input 28 3 3 3 2" xfId="22239"/>
    <cellStyle name="Input 28 3 3 3 2 2" xfId="43425"/>
    <cellStyle name="Input 28 3 3 3 3" xfId="32821"/>
    <cellStyle name="Input 28 3 3 4" xfId="17126"/>
    <cellStyle name="Input 28 3 3 4 2" xfId="38313"/>
    <cellStyle name="Input 28 3 3 5" xfId="27427"/>
    <cellStyle name="Input 28 3 3_Table 2A-1_EFT (Annual)" xfId="6987"/>
    <cellStyle name="Input 28 3 4" xfId="2145"/>
    <cellStyle name="Input 28 3 4 2" xfId="5706"/>
    <cellStyle name="Input 28 3 4 2 2" xfId="13921"/>
    <cellStyle name="Input 28 3 4 2 2 2" xfId="25909"/>
    <cellStyle name="Input 28 3 4 2 2 2 2" xfId="47095"/>
    <cellStyle name="Input 28 3 4 2 2 3" xfId="36491"/>
    <cellStyle name="Input 28 3 4 2 3" xfId="20796"/>
    <cellStyle name="Input 28 3 4 2 3 2" xfId="41983"/>
    <cellStyle name="Input 28 3 4 2 4" xfId="31363"/>
    <cellStyle name="Input 28 3 4 2_Table 2A-1_EFT (Annual)" xfId="15219"/>
    <cellStyle name="Input 28 3 4 3" xfId="11265"/>
    <cellStyle name="Input 28 3 4 3 2" xfId="23363"/>
    <cellStyle name="Input 28 3 4 3 2 2" xfId="44549"/>
    <cellStyle name="Input 28 3 4 3 3" xfId="33945"/>
    <cellStyle name="Input 28 3 4 4" xfId="18250"/>
    <cellStyle name="Input 28 3 4 4 2" xfId="39437"/>
    <cellStyle name="Input 28 3 4 5" xfId="28620"/>
    <cellStyle name="Input 28 3 4_Table 2A-1_EFT (Annual)" xfId="6988"/>
    <cellStyle name="Input 28 3 5" xfId="3993"/>
    <cellStyle name="Input 28 3 5 2" xfId="12321"/>
    <cellStyle name="Input 28 3 5 2 2" xfId="24345"/>
    <cellStyle name="Input 28 3 5 2 2 2" xfId="45531"/>
    <cellStyle name="Input 28 3 5 2 3" xfId="34927"/>
    <cellStyle name="Input 28 3 5 3" xfId="19232"/>
    <cellStyle name="Input 28 3 5 3 2" xfId="40419"/>
    <cellStyle name="Input 28 3 5 4" xfId="29681"/>
    <cellStyle name="Input 28 3 5_Table 2A-1_EFT (Annual)" xfId="15220"/>
    <cellStyle name="Input 28 3 6" xfId="9658"/>
    <cellStyle name="Input 28 3 6 2" xfId="21799"/>
    <cellStyle name="Input 28 3 6 2 2" xfId="42985"/>
    <cellStyle name="Input 28 3 6 3" xfId="32381"/>
    <cellStyle name="Input 28 3 7" xfId="16686"/>
    <cellStyle name="Input 28 3 7 2" xfId="37873"/>
    <cellStyle name="Input 28 3 8" xfId="26938"/>
    <cellStyle name="Input 28 3_Table 2A-1_EFT (Annual)" xfId="3050"/>
    <cellStyle name="Input 28 4" xfId="1242"/>
    <cellStyle name="Input 28 4 2" xfId="2512"/>
    <cellStyle name="Input 28 4 2 2" xfId="6073"/>
    <cellStyle name="Input 28 4 2 2 2" xfId="14267"/>
    <cellStyle name="Input 28 4 2 2 2 2" xfId="26239"/>
    <cellStyle name="Input 28 4 2 2 2 2 2" xfId="47425"/>
    <cellStyle name="Input 28 4 2 2 2 3" xfId="36821"/>
    <cellStyle name="Input 28 4 2 2 3" xfId="21126"/>
    <cellStyle name="Input 28 4 2 2 3 2" xfId="42313"/>
    <cellStyle name="Input 28 4 2 2 4" xfId="31729"/>
    <cellStyle name="Input 28 4 2 2_Table 2A-1_EFT (Annual)" xfId="15221"/>
    <cellStyle name="Input 28 4 2 3" xfId="11609"/>
    <cellStyle name="Input 28 4 2 3 2" xfId="23693"/>
    <cellStyle name="Input 28 4 2 3 2 2" xfId="44879"/>
    <cellStyle name="Input 28 4 2 3 3" xfId="34275"/>
    <cellStyle name="Input 28 4 2 4" xfId="18580"/>
    <cellStyle name="Input 28 4 2 4 2" xfId="39767"/>
    <cellStyle name="Input 28 4 2 5" xfId="28986"/>
    <cellStyle name="Input 28 4 2_Table 2A-1_EFT (Annual)" xfId="6990"/>
    <cellStyle name="Input 28 4 3" xfId="4803"/>
    <cellStyle name="Input 28 4 3 2" xfId="13063"/>
    <cellStyle name="Input 28 4 3 2 2" xfId="25069"/>
    <cellStyle name="Input 28 4 3 2 2 2" xfId="46255"/>
    <cellStyle name="Input 28 4 3 2 3" xfId="35651"/>
    <cellStyle name="Input 28 4 3 3" xfId="19956"/>
    <cellStyle name="Input 28 4 3 3 2" xfId="41143"/>
    <cellStyle name="Input 28 4 3 4" xfId="30460"/>
    <cellStyle name="Input 28 4 3_Table 2A-1_EFT (Annual)" xfId="15222"/>
    <cellStyle name="Input 28 4 4" xfId="10407"/>
    <cellStyle name="Input 28 4 4 2" xfId="22523"/>
    <cellStyle name="Input 28 4 4 2 2" xfId="43709"/>
    <cellStyle name="Input 28 4 4 3" xfId="33105"/>
    <cellStyle name="Input 28 4 5" xfId="17410"/>
    <cellStyle name="Input 28 4 5 2" xfId="38597"/>
    <cellStyle name="Input 28 4 6" xfId="27717"/>
    <cellStyle name="Input 28 4_Table 2A-1_EFT (Annual)" xfId="6989"/>
    <cellStyle name="Input 28 5" xfId="795"/>
    <cellStyle name="Input 28 5 2" xfId="4356"/>
    <cellStyle name="Input 28 5 2 2" xfId="12636"/>
    <cellStyle name="Input 28 5 2 2 2" xfId="24653"/>
    <cellStyle name="Input 28 5 2 2 2 2" xfId="45839"/>
    <cellStyle name="Input 28 5 2 2 3" xfId="35235"/>
    <cellStyle name="Input 28 5 2 3" xfId="19540"/>
    <cellStyle name="Input 28 5 2 3 2" xfId="40727"/>
    <cellStyle name="Input 28 5 2 4" xfId="30013"/>
    <cellStyle name="Input 28 5 2_Table 2A-1_EFT (Annual)" xfId="15223"/>
    <cellStyle name="Input 28 5 3" xfId="9984"/>
    <cellStyle name="Input 28 5 3 2" xfId="22107"/>
    <cellStyle name="Input 28 5 3 2 2" xfId="43293"/>
    <cellStyle name="Input 28 5 3 3" xfId="32689"/>
    <cellStyle name="Input 28 5 4" xfId="16994"/>
    <cellStyle name="Input 28 5 4 2" xfId="38181"/>
    <cellStyle name="Input 28 5 5" xfId="27270"/>
    <cellStyle name="Input 28 5_Table 2A-1_EFT (Annual)" xfId="6991"/>
    <cellStyle name="Input 28 6" xfId="1981"/>
    <cellStyle name="Input 28 6 2" xfId="5542"/>
    <cellStyle name="Input 28 6 2 2" xfId="13757"/>
    <cellStyle name="Input 28 6 2 2 2" xfId="25745"/>
    <cellStyle name="Input 28 6 2 2 2 2" xfId="46931"/>
    <cellStyle name="Input 28 6 2 2 3" xfId="36327"/>
    <cellStyle name="Input 28 6 2 3" xfId="20632"/>
    <cellStyle name="Input 28 6 2 3 2" xfId="41819"/>
    <cellStyle name="Input 28 6 2 4" xfId="31199"/>
    <cellStyle name="Input 28 6 2_Table 2A-1_EFT (Annual)" xfId="15224"/>
    <cellStyle name="Input 28 6 3" xfId="11101"/>
    <cellStyle name="Input 28 6 3 2" xfId="23199"/>
    <cellStyle name="Input 28 6 3 2 2" xfId="44385"/>
    <cellStyle name="Input 28 6 3 3" xfId="33781"/>
    <cellStyle name="Input 28 6 4" xfId="18086"/>
    <cellStyle name="Input 28 6 4 2" xfId="39273"/>
    <cellStyle name="Input 28 6 5" xfId="28456"/>
    <cellStyle name="Input 28 6_Table 2A-1_EFT (Annual)" xfId="6992"/>
    <cellStyle name="Input 28 7" xfId="3783"/>
    <cellStyle name="Input 28 7 2" xfId="12151"/>
    <cellStyle name="Input 28 7 2 2" xfId="24181"/>
    <cellStyle name="Input 28 7 2 2 2" xfId="45367"/>
    <cellStyle name="Input 28 7 2 3" xfId="34763"/>
    <cellStyle name="Input 28 7 3" xfId="19068"/>
    <cellStyle name="Input 28 7 3 2" xfId="40255"/>
    <cellStyle name="Input 28 7 4" xfId="29492"/>
    <cellStyle name="Input 28 7_Table 2A-1_EFT (Annual)" xfId="15225"/>
    <cellStyle name="Input 28 8" xfId="9470"/>
    <cellStyle name="Input 28 8 2" xfId="21635"/>
    <cellStyle name="Input 28 8 2 2" xfId="42821"/>
    <cellStyle name="Input 28 8 3" xfId="32217"/>
    <cellStyle name="Input 28 9" xfId="16522"/>
    <cellStyle name="Input 28 9 2" xfId="37709"/>
    <cellStyle name="Input 28_Table 2A-1_EFT (Annual)" xfId="3048"/>
    <cellStyle name="Input 29" xfId="238"/>
    <cellStyle name="Input 29 10" xfId="26793"/>
    <cellStyle name="Input 29 2" xfId="625"/>
    <cellStyle name="Input 29 2 2" xfId="1602"/>
    <cellStyle name="Input 29 2 2 2" xfId="2872"/>
    <cellStyle name="Input 29 2 2 2 2" xfId="6433"/>
    <cellStyle name="Input 29 2 2 2 2 2" xfId="14627"/>
    <cellStyle name="Input 29 2 2 2 2 2 2" xfId="26599"/>
    <cellStyle name="Input 29 2 2 2 2 2 2 2" xfId="47785"/>
    <cellStyle name="Input 29 2 2 2 2 2 3" xfId="37181"/>
    <cellStyle name="Input 29 2 2 2 2 3" xfId="21486"/>
    <cellStyle name="Input 29 2 2 2 2 3 2" xfId="42673"/>
    <cellStyle name="Input 29 2 2 2 2 4" xfId="32089"/>
    <cellStyle name="Input 29 2 2 2 2_Table 2A-1_EFT (Annual)" xfId="15226"/>
    <cellStyle name="Input 29 2 2 2 3" xfId="11969"/>
    <cellStyle name="Input 29 2 2 2 3 2" xfId="24053"/>
    <cellStyle name="Input 29 2 2 2 3 2 2" xfId="45239"/>
    <cellStyle name="Input 29 2 2 2 3 3" xfId="34635"/>
    <cellStyle name="Input 29 2 2 2 4" xfId="18940"/>
    <cellStyle name="Input 29 2 2 2 4 2" xfId="40127"/>
    <cellStyle name="Input 29 2 2 2 5" xfId="29346"/>
    <cellStyle name="Input 29 2 2 2_Table 2A-1_EFT (Annual)" xfId="6994"/>
    <cellStyle name="Input 29 2 2 3" xfId="5163"/>
    <cellStyle name="Input 29 2 2 3 2" xfId="13423"/>
    <cellStyle name="Input 29 2 2 3 2 2" xfId="25429"/>
    <cellStyle name="Input 29 2 2 3 2 2 2" xfId="46615"/>
    <cellStyle name="Input 29 2 2 3 2 3" xfId="36011"/>
    <cellStyle name="Input 29 2 2 3 3" xfId="20316"/>
    <cellStyle name="Input 29 2 2 3 3 2" xfId="41503"/>
    <cellStyle name="Input 29 2 2 3 4" xfId="30820"/>
    <cellStyle name="Input 29 2 2 3_Table 2A-1_EFT (Annual)" xfId="15227"/>
    <cellStyle name="Input 29 2 2 4" xfId="10767"/>
    <cellStyle name="Input 29 2 2 4 2" xfId="22883"/>
    <cellStyle name="Input 29 2 2 4 2 2" xfId="44069"/>
    <cellStyle name="Input 29 2 2 4 3" xfId="33465"/>
    <cellStyle name="Input 29 2 2 5" xfId="17770"/>
    <cellStyle name="Input 29 2 2 5 2" xfId="38957"/>
    <cellStyle name="Input 29 2 2 6" xfId="28077"/>
    <cellStyle name="Input 29 2 2_Table 2A-1_EFT (Annual)" xfId="6993"/>
    <cellStyle name="Input 29 2 3" xfId="1116"/>
    <cellStyle name="Input 29 2 3 2" xfId="4677"/>
    <cellStyle name="Input 29 2 3 2 2" xfId="12937"/>
    <cellStyle name="Input 29 2 3 2 2 2" xfId="24943"/>
    <cellStyle name="Input 29 2 3 2 2 2 2" xfId="46129"/>
    <cellStyle name="Input 29 2 3 2 2 3" xfId="35525"/>
    <cellStyle name="Input 29 2 3 2 3" xfId="19830"/>
    <cellStyle name="Input 29 2 3 2 3 2" xfId="41017"/>
    <cellStyle name="Input 29 2 3 2 4" xfId="30334"/>
    <cellStyle name="Input 29 2 3 2_Table 2A-1_EFT (Annual)" xfId="15228"/>
    <cellStyle name="Input 29 2 3 3" xfId="10281"/>
    <cellStyle name="Input 29 2 3 3 2" xfId="22397"/>
    <cellStyle name="Input 29 2 3 3 2 2" xfId="43583"/>
    <cellStyle name="Input 29 2 3 3 3" xfId="32979"/>
    <cellStyle name="Input 29 2 3 4" xfId="17284"/>
    <cellStyle name="Input 29 2 3 4 2" xfId="38471"/>
    <cellStyle name="Input 29 2 3 5" xfId="27591"/>
    <cellStyle name="Input 29 2 3_Table 2A-1_EFT (Annual)" xfId="6995"/>
    <cellStyle name="Input 29 2 4" xfId="2341"/>
    <cellStyle name="Input 29 2 4 2" xfId="5902"/>
    <cellStyle name="Input 29 2 4 2 2" xfId="14117"/>
    <cellStyle name="Input 29 2 4 2 2 2" xfId="26105"/>
    <cellStyle name="Input 29 2 4 2 2 2 2" xfId="47291"/>
    <cellStyle name="Input 29 2 4 2 2 3" xfId="36687"/>
    <cellStyle name="Input 29 2 4 2 3" xfId="20992"/>
    <cellStyle name="Input 29 2 4 2 3 2" xfId="42179"/>
    <cellStyle name="Input 29 2 4 2 4" xfId="31559"/>
    <cellStyle name="Input 29 2 4 2_Table 2A-1_EFT (Annual)" xfId="15229"/>
    <cellStyle name="Input 29 2 4 3" xfId="11461"/>
    <cellStyle name="Input 29 2 4 3 2" xfId="23559"/>
    <cellStyle name="Input 29 2 4 3 2 2" xfId="44745"/>
    <cellStyle name="Input 29 2 4 3 3" xfId="34141"/>
    <cellStyle name="Input 29 2 4 4" xfId="18446"/>
    <cellStyle name="Input 29 2 4 4 2" xfId="39633"/>
    <cellStyle name="Input 29 2 4 5" xfId="28816"/>
    <cellStyle name="Input 29 2 4_Table 2A-1_EFT (Annual)" xfId="6996"/>
    <cellStyle name="Input 29 2 5" xfId="4195"/>
    <cellStyle name="Input 29 2 5 2" xfId="12519"/>
    <cellStyle name="Input 29 2 5 2 2" xfId="24541"/>
    <cellStyle name="Input 29 2 5 2 2 2" xfId="45727"/>
    <cellStyle name="Input 29 2 5 2 3" xfId="35123"/>
    <cellStyle name="Input 29 2 5 3" xfId="19428"/>
    <cellStyle name="Input 29 2 5 3 2" xfId="40615"/>
    <cellStyle name="Input 29 2 5 4" xfId="29883"/>
    <cellStyle name="Input 29 2 5_Table 2A-1_EFT (Annual)" xfId="15230"/>
    <cellStyle name="Input 29 2 6" xfId="9858"/>
    <cellStyle name="Input 29 2 6 2" xfId="21995"/>
    <cellStyle name="Input 29 2 6 2 2" xfId="43181"/>
    <cellStyle name="Input 29 2 6 3" xfId="32577"/>
    <cellStyle name="Input 29 2 7" xfId="16882"/>
    <cellStyle name="Input 29 2 7 2" xfId="38069"/>
    <cellStyle name="Input 29 2 8" xfId="27140"/>
    <cellStyle name="Input 29 2_Table 2A-1_EFT (Annual)" xfId="3052"/>
    <cellStyle name="Input 29 3" xfId="464"/>
    <cellStyle name="Input 29 3 2" xfId="1441"/>
    <cellStyle name="Input 29 3 2 2" xfId="2711"/>
    <cellStyle name="Input 29 3 2 2 2" xfId="6272"/>
    <cellStyle name="Input 29 3 2 2 2 2" xfId="14466"/>
    <cellStyle name="Input 29 3 2 2 2 2 2" xfId="26438"/>
    <cellStyle name="Input 29 3 2 2 2 2 2 2" xfId="47624"/>
    <cellStyle name="Input 29 3 2 2 2 2 3" xfId="37020"/>
    <cellStyle name="Input 29 3 2 2 2 3" xfId="21325"/>
    <cellStyle name="Input 29 3 2 2 2 3 2" xfId="42512"/>
    <cellStyle name="Input 29 3 2 2 2 4" xfId="31928"/>
    <cellStyle name="Input 29 3 2 2 2_Table 2A-1_EFT (Annual)" xfId="15231"/>
    <cellStyle name="Input 29 3 2 2 3" xfId="11808"/>
    <cellStyle name="Input 29 3 2 2 3 2" xfId="23892"/>
    <cellStyle name="Input 29 3 2 2 3 2 2" xfId="45078"/>
    <cellStyle name="Input 29 3 2 2 3 3" xfId="34474"/>
    <cellStyle name="Input 29 3 2 2 4" xfId="18779"/>
    <cellStyle name="Input 29 3 2 2 4 2" xfId="39966"/>
    <cellStyle name="Input 29 3 2 2 5" xfId="29185"/>
    <cellStyle name="Input 29 3 2 2_Table 2A-1_EFT (Annual)" xfId="6998"/>
    <cellStyle name="Input 29 3 2 3" xfId="5002"/>
    <cellStyle name="Input 29 3 2 3 2" xfId="13262"/>
    <cellStyle name="Input 29 3 2 3 2 2" xfId="25268"/>
    <cellStyle name="Input 29 3 2 3 2 2 2" xfId="46454"/>
    <cellStyle name="Input 29 3 2 3 2 3" xfId="35850"/>
    <cellStyle name="Input 29 3 2 3 3" xfId="20155"/>
    <cellStyle name="Input 29 3 2 3 3 2" xfId="41342"/>
    <cellStyle name="Input 29 3 2 3 4" xfId="30659"/>
    <cellStyle name="Input 29 3 2 3_Table 2A-1_EFT (Annual)" xfId="15232"/>
    <cellStyle name="Input 29 3 2 4" xfId="10606"/>
    <cellStyle name="Input 29 3 2 4 2" xfId="22722"/>
    <cellStyle name="Input 29 3 2 4 2 2" xfId="43908"/>
    <cellStyle name="Input 29 3 2 4 3" xfId="33304"/>
    <cellStyle name="Input 29 3 2 5" xfId="17609"/>
    <cellStyle name="Input 29 3 2 5 2" xfId="38796"/>
    <cellStyle name="Input 29 3 2 6" xfId="27916"/>
    <cellStyle name="Input 29 3 2_Table 2A-1_EFT (Annual)" xfId="6997"/>
    <cellStyle name="Input 29 3 3" xfId="986"/>
    <cellStyle name="Input 29 3 3 2" xfId="4547"/>
    <cellStyle name="Input 29 3 3 2 2" xfId="12807"/>
    <cellStyle name="Input 29 3 3 2 2 2" xfId="24813"/>
    <cellStyle name="Input 29 3 3 2 2 2 2" xfId="45999"/>
    <cellStyle name="Input 29 3 3 2 2 3" xfId="35395"/>
    <cellStyle name="Input 29 3 3 2 3" xfId="19700"/>
    <cellStyle name="Input 29 3 3 2 3 2" xfId="40887"/>
    <cellStyle name="Input 29 3 3 2 4" xfId="30204"/>
    <cellStyle name="Input 29 3 3 2_Table 2A-1_EFT (Annual)" xfId="15233"/>
    <cellStyle name="Input 29 3 3 3" xfId="10151"/>
    <cellStyle name="Input 29 3 3 3 2" xfId="22267"/>
    <cellStyle name="Input 29 3 3 3 2 2" xfId="43453"/>
    <cellStyle name="Input 29 3 3 3 3" xfId="32849"/>
    <cellStyle name="Input 29 3 3 4" xfId="17154"/>
    <cellStyle name="Input 29 3 3 4 2" xfId="38341"/>
    <cellStyle name="Input 29 3 3 5" xfId="27461"/>
    <cellStyle name="Input 29 3 3_Table 2A-1_EFT (Annual)" xfId="6999"/>
    <cellStyle name="Input 29 3 4" xfId="2180"/>
    <cellStyle name="Input 29 3 4 2" xfId="5741"/>
    <cellStyle name="Input 29 3 4 2 2" xfId="13956"/>
    <cellStyle name="Input 29 3 4 2 2 2" xfId="25944"/>
    <cellStyle name="Input 29 3 4 2 2 2 2" xfId="47130"/>
    <cellStyle name="Input 29 3 4 2 2 3" xfId="36526"/>
    <cellStyle name="Input 29 3 4 2 3" xfId="20831"/>
    <cellStyle name="Input 29 3 4 2 3 2" xfId="42018"/>
    <cellStyle name="Input 29 3 4 2 4" xfId="31398"/>
    <cellStyle name="Input 29 3 4 2_Table 2A-1_EFT (Annual)" xfId="15234"/>
    <cellStyle name="Input 29 3 4 3" xfId="11300"/>
    <cellStyle name="Input 29 3 4 3 2" xfId="23398"/>
    <cellStyle name="Input 29 3 4 3 2 2" xfId="44584"/>
    <cellStyle name="Input 29 3 4 3 3" xfId="33980"/>
    <cellStyle name="Input 29 3 4 4" xfId="18285"/>
    <cellStyle name="Input 29 3 4 4 2" xfId="39472"/>
    <cellStyle name="Input 29 3 4 5" xfId="28655"/>
    <cellStyle name="Input 29 3 4_Table 2A-1_EFT (Annual)" xfId="7000"/>
    <cellStyle name="Input 29 3 5" xfId="4034"/>
    <cellStyle name="Input 29 3 5 2" xfId="12358"/>
    <cellStyle name="Input 29 3 5 2 2" xfId="24380"/>
    <cellStyle name="Input 29 3 5 2 2 2" xfId="45566"/>
    <cellStyle name="Input 29 3 5 2 3" xfId="34962"/>
    <cellStyle name="Input 29 3 5 3" xfId="19267"/>
    <cellStyle name="Input 29 3 5 3 2" xfId="40454"/>
    <cellStyle name="Input 29 3 5 4" xfId="29722"/>
    <cellStyle name="Input 29 3 5_Table 2A-1_EFT (Annual)" xfId="15235"/>
    <cellStyle name="Input 29 3 6" xfId="9697"/>
    <cellStyle name="Input 29 3 6 2" xfId="21834"/>
    <cellStyle name="Input 29 3 6 2 2" xfId="43020"/>
    <cellStyle name="Input 29 3 6 3" xfId="32416"/>
    <cellStyle name="Input 29 3 7" xfId="16721"/>
    <cellStyle name="Input 29 3 7 2" xfId="37908"/>
    <cellStyle name="Input 29 3 8" xfId="26979"/>
    <cellStyle name="Input 29 3_Table 2A-1_EFT (Annual)" xfId="3053"/>
    <cellStyle name="Input 29 4" xfId="1280"/>
    <cellStyle name="Input 29 4 2" xfId="2550"/>
    <cellStyle name="Input 29 4 2 2" xfId="6111"/>
    <cellStyle name="Input 29 4 2 2 2" xfId="14305"/>
    <cellStyle name="Input 29 4 2 2 2 2" xfId="26277"/>
    <cellStyle name="Input 29 4 2 2 2 2 2" xfId="47463"/>
    <cellStyle name="Input 29 4 2 2 2 3" xfId="36859"/>
    <cellStyle name="Input 29 4 2 2 3" xfId="21164"/>
    <cellStyle name="Input 29 4 2 2 3 2" xfId="42351"/>
    <cellStyle name="Input 29 4 2 2 4" xfId="31767"/>
    <cellStyle name="Input 29 4 2 2_Table 2A-1_EFT (Annual)" xfId="15236"/>
    <cellStyle name="Input 29 4 2 3" xfId="11647"/>
    <cellStyle name="Input 29 4 2 3 2" xfId="23731"/>
    <cellStyle name="Input 29 4 2 3 2 2" xfId="44917"/>
    <cellStyle name="Input 29 4 2 3 3" xfId="34313"/>
    <cellStyle name="Input 29 4 2 4" xfId="18618"/>
    <cellStyle name="Input 29 4 2 4 2" xfId="39805"/>
    <cellStyle name="Input 29 4 2 5" xfId="29024"/>
    <cellStyle name="Input 29 4 2_Table 2A-1_EFT (Annual)" xfId="7002"/>
    <cellStyle name="Input 29 4 3" xfId="4841"/>
    <cellStyle name="Input 29 4 3 2" xfId="13101"/>
    <cellStyle name="Input 29 4 3 2 2" xfId="25107"/>
    <cellStyle name="Input 29 4 3 2 2 2" xfId="46293"/>
    <cellStyle name="Input 29 4 3 2 3" xfId="35689"/>
    <cellStyle name="Input 29 4 3 3" xfId="19994"/>
    <cellStyle name="Input 29 4 3 3 2" xfId="41181"/>
    <cellStyle name="Input 29 4 3 4" xfId="30498"/>
    <cellStyle name="Input 29 4 3_Table 2A-1_EFT (Annual)" xfId="15237"/>
    <cellStyle name="Input 29 4 4" xfId="10445"/>
    <cellStyle name="Input 29 4 4 2" xfId="22561"/>
    <cellStyle name="Input 29 4 4 2 2" xfId="43747"/>
    <cellStyle name="Input 29 4 4 3" xfId="33143"/>
    <cellStyle name="Input 29 4 5" xfId="17448"/>
    <cellStyle name="Input 29 4 5 2" xfId="38635"/>
    <cellStyle name="Input 29 4 6" xfId="27755"/>
    <cellStyle name="Input 29 4_Table 2A-1_EFT (Annual)" xfId="7001"/>
    <cellStyle name="Input 29 5" xfId="831"/>
    <cellStyle name="Input 29 5 2" xfId="4392"/>
    <cellStyle name="Input 29 5 2 2" xfId="12666"/>
    <cellStyle name="Input 29 5 2 2 2" xfId="24683"/>
    <cellStyle name="Input 29 5 2 2 2 2" xfId="45869"/>
    <cellStyle name="Input 29 5 2 2 3" xfId="35265"/>
    <cellStyle name="Input 29 5 2 3" xfId="19570"/>
    <cellStyle name="Input 29 5 2 3 2" xfId="40757"/>
    <cellStyle name="Input 29 5 2 4" xfId="30049"/>
    <cellStyle name="Input 29 5 2_Table 2A-1_EFT (Annual)" xfId="15238"/>
    <cellStyle name="Input 29 5 3" xfId="10015"/>
    <cellStyle name="Input 29 5 3 2" xfId="22137"/>
    <cellStyle name="Input 29 5 3 2 2" xfId="43323"/>
    <cellStyle name="Input 29 5 3 3" xfId="32719"/>
    <cellStyle name="Input 29 5 4" xfId="17024"/>
    <cellStyle name="Input 29 5 4 2" xfId="38211"/>
    <cellStyle name="Input 29 5 5" xfId="27306"/>
    <cellStyle name="Input 29 5_Table 2A-1_EFT (Annual)" xfId="7003"/>
    <cellStyle name="Input 29 6" xfId="2019"/>
    <cellStyle name="Input 29 6 2" xfId="5580"/>
    <cellStyle name="Input 29 6 2 2" xfId="13795"/>
    <cellStyle name="Input 29 6 2 2 2" xfId="25783"/>
    <cellStyle name="Input 29 6 2 2 2 2" xfId="46969"/>
    <cellStyle name="Input 29 6 2 2 3" xfId="36365"/>
    <cellStyle name="Input 29 6 2 3" xfId="20670"/>
    <cellStyle name="Input 29 6 2 3 2" xfId="41857"/>
    <cellStyle name="Input 29 6 2 4" xfId="31237"/>
    <cellStyle name="Input 29 6 2_Table 2A-1_EFT (Annual)" xfId="15239"/>
    <cellStyle name="Input 29 6 3" xfId="11139"/>
    <cellStyle name="Input 29 6 3 2" xfId="23237"/>
    <cellStyle name="Input 29 6 3 2 2" xfId="44423"/>
    <cellStyle name="Input 29 6 3 3" xfId="33819"/>
    <cellStyle name="Input 29 6 4" xfId="18124"/>
    <cellStyle name="Input 29 6 4 2" xfId="39311"/>
    <cellStyle name="Input 29 6 5" xfId="28494"/>
    <cellStyle name="Input 29 6_Table 2A-1_EFT (Annual)" xfId="7004"/>
    <cellStyle name="Input 29 7" xfId="3827"/>
    <cellStyle name="Input 29 7 2" xfId="12190"/>
    <cellStyle name="Input 29 7 2 2" xfId="24219"/>
    <cellStyle name="Input 29 7 2 2 2" xfId="45405"/>
    <cellStyle name="Input 29 7 2 3" xfId="34801"/>
    <cellStyle name="Input 29 7 3" xfId="19106"/>
    <cellStyle name="Input 29 7 3 2" xfId="40293"/>
    <cellStyle name="Input 29 7 4" xfId="29536"/>
    <cellStyle name="Input 29 7_Table 2A-1_EFT (Annual)" xfId="15240"/>
    <cellStyle name="Input 29 8" xfId="9509"/>
    <cellStyle name="Input 29 8 2" xfId="21673"/>
    <cellStyle name="Input 29 8 2 2" xfId="42859"/>
    <cellStyle name="Input 29 8 3" xfId="32255"/>
    <cellStyle name="Input 29 9" xfId="16560"/>
    <cellStyle name="Input 29 9 2" xfId="37747"/>
    <cellStyle name="Input 29_Table 2A-1_EFT (Annual)" xfId="3051"/>
    <cellStyle name="Input 3" xfId="109"/>
    <cellStyle name="Input 3 10" xfId="21510"/>
    <cellStyle name="Input 3 10 2" xfId="42697"/>
    <cellStyle name="Input 3 11" xfId="26664"/>
    <cellStyle name="Input 3 2" xfId="502"/>
    <cellStyle name="Input 3 2 2" xfId="1479"/>
    <cellStyle name="Input 3 2 2 2" xfId="2749"/>
    <cellStyle name="Input 3 2 2 2 2" xfId="6310"/>
    <cellStyle name="Input 3 2 2 2 2 2" xfId="14504"/>
    <cellStyle name="Input 3 2 2 2 2 2 2" xfId="26476"/>
    <cellStyle name="Input 3 2 2 2 2 2 2 2" xfId="47662"/>
    <cellStyle name="Input 3 2 2 2 2 2 3" xfId="37058"/>
    <cellStyle name="Input 3 2 2 2 2 3" xfId="21363"/>
    <cellStyle name="Input 3 2 2 2 2 3 2" xfId="42550"/>
    <cellStyle name="Input 3 2 2 2 2 4" xfId="31966"/>
    <cellStyle name="Input 3 2 2 2 2_Table 2A-1_EFT (Annual)" xfId="15241"/>
    <cellStyle name="Input 3 2 2 2 3" xfId="11846"/>
    <cellStyle name="Input 3 2 2 2 3 2" xfId="23930"/>
    <cellStyle name="Input 3 2 2 2 3 2 2" xfId="45116"/>
    <cellStyle name="Input 3 2 2 2 3 3" xfId="34512"/>
    <cellStyle name="Input 3 2 2 2 4" xfId="18817"/>
    <cellStyle name="Input 3 2 2 2 4 2" xfId="40004"/>
    <cellStyle name="Input 3 2 2 2 5" xfId="29223"/>
    <cellStyle name="Input 3 2 2 2_Table 2A-1_EFT (Annual)" xfId="7006"/>
    <cellStyle name="Input 3 2 2 3" xfId="5040"/>
    <cellStyle name="Input 3 2 2 3 2" xfId="13300"/>
    <cellStyle name="Input 3 2 2 3 2 2" xfId="25306"/>
    <cellStyle name="Input 3 2 2 3 2 2 2" xfId="46492"/>
    <cellStyle name="Input 3 2 2 3 2 3" xfId="35888"/>
    <cellStyle name="Input 3 2 2 3 3" xfId="20193"/>
    <cellStyle name="Input 3 2 2 3 3 2" xfId="41380"/>
    <cellStyle name="Input 3 2 2 3 4" xfId="30697"/>
    <cellStyle name="Input 3 2 2 3_Table 2A-1_EFT (Annual)" xfId="15242"/>
    <cellStyle name="Input 3 2 2 4" xfId="10644"/>
    <cellStyle name="Input 3 2 2 4 2" xfId="22760"/>
    <cellStyle name="Input 3 2 2 4 2 2" xfId="43946"/>
    <cellStyle name="Input 3 2 2 4 3" xfId="33342"/>
    <cellStyle name="Input 3 2 2 5" xfId="17647"/>
    <cellStyle name="Input 3 2 2 5 2" xfId="38834"/>
    <cellStyle name="Input 3 2 2 6" xfId="27954"/>
    <cellStyle name="Input 3 2 2_Table 2A-1_EFT (Annual)" xfId="7005"/>
    <cellStyle name="Input 3 2 3" xfId="1016"/>
    <cellStyle name="Input 3 2 3 2" xfId="4577"/>
    <cellStyle name="Input 3 2 3 2 2" xfId="12837"/>
    <cellStyle name="Input 3 2 3 2 2 2" xfId="24843"/>
    <cellStyle name="Input 3 2 3 2 2 2 2" xfId="46029"/>
    <cellStyle name="Input 3 2 3 2 2 3" xfId="35425"/>
    <cellStyle name="Input 3 2 3 2 3" xfId="19730"/>
    <cellStyle name="Input 3 2 3 2 3 2" xfId="40917"/>
    <cellStyle name="Input 3 2 3 2 4" xfId="30234"/>
    <cellStyle name="Input 3 2 3 2_Table 2A-1_EFT (Annual)" xfId="15243"/>
    <cellStyle name="Input 3 2 3 3" xfId="10181"/>
    <cellStyle name="Input 3 2 3 3 2" xfId="22297"/>
    <cellStyle name="Input 3 2 3 3 2 2" xfId="43483"/>
    <cellStyle name="Input 3 2 3 3 3" xfId="32879"/>
    <cellStyle name="Input 3 2 3 4" xfId="17184"/>
    <cellStyle name="Input 3 2 3 4 2" xfId="38371"/>
    <cellStyle name="Input 3 2 3 5" xfId="27491"/>
    <cellStyle name="Input 3 2 3_Table 2A-1_EFT (Annual)" xfId="7007"/>
    <cellStyle name="Input 3 2 4" xfId="2218"/>
    <cellStyle name="Input 3 2 4 2" xfId="5779"/>
    <cellStyle name="Input 3 2 4 2 2" xfId="13994"/>
    <cellStyle name="Input 3 2 4 2 2 2" xfId="25982"/>
    <cellStyle name="Input 3 2 4 2 2 2 2" xfId="47168"/>
    <cellStyle name="Input 3 2 4 2 2 3" xfId="36564"/>
    <cellStyle name="Input 3 2 4 2 3" xfId="20869"/>
    <cellStyle name="Input 3 2 4 2 3 2" xfId="42056"/>
    <cellStyle name="Input 3 2 4 2 4" xfId="31436"/>
    <cellStyle name="Input 3 2 4 2_Table 2A-1_EFT (Annual)" xfId="15244"/>
    <cellStyle name="Input 3 2 4 3" xfId="11338"/>
    <cellStyle name="Input 3 2 4 3 2" xfId="23436"/>
    <cellStyle name="Input 3 2 4 3 2 2" xfId="44622"/>
    <cellStyle name="Input 3 2 4 3 3" xfId="34018"/>
    <cellStyle name="Input 3 2 4 4" xfId="18323"/>
    <cellStyle name="Input 3 2 4 4 2" xfId="39510"/>
    <cellStyle name="Input 3 2 4 5" xfId="28693"/>
    <cellStyle name="Input 3 2 4_Table 2A-1_EFT (Annual)" xfId="7008"/>
    <cellStyle name="Input 3 2 5" xfId="4072"/>
    <cellStyle name="Input 3 2 5 2" xfId="12396"/>
    <cellStyle name="Input 3 2 5 2 2" xfId="24418"/>
    <cellStyle name="Input 3 2 5 2 2 2" xfId="45604"/>
    <cellStyle name="Input 3 2 5 2 3" xfId="35000"/>
    <cellStyle name="Input 3 2 5 3" xfId="19305"/>
    <cellStyle name="Input 3 2 5 3 2" xfId="40492"/>
    <cellStyle name="Input 3 2 5 4" xfId="29760"/>
    <cellStyle name="Input 3 2 5_Table 2A-1_EFT (Annual)" xfId="15245"/>
    <cellStyle name="Input 3 2 6" xfId="9735"/>
    <cellStyle name="Input 3 2 6 2" xfId="21872"/>
    <cellStyle name="Input 3 2 6 2 2" xfId="43058"/>
    <cellStyle name="Input 3 2 6 3" xfId="32454"/>
    <cellStyle name="Input 3 2 7" xfId="16759"/>
    <cellStyle name="Input 3 2 7 2" xfId="37946"/>
    <cellStyle name="Input 3 2 8" xfId="27017"/>
    <cellStyle name="Input 3 2_Table 2A-1_EFT (Annual)" xfId="3055"/>
    <cellStyle name="Input 3 3" xfId="340"/>
    <cellStyle name="Input 3 3 2" xfId="1323"/>
    <cellStyle name="Input 3 3 2 2" xfId="2593"/>
    <cellStyle name="Input 3 3 2 2 2" xfId="6154"/>
    <cellStyle name="Input 3 3 2 2 2 2" xfId="14348"/>
    <cellStyle name="Input 3 3 2 2 2 2 2" xfId="26320"/>
    <cellStyle name="Input 3 3 2 2 2 2 2 2" xfId="47506"/>
    <cellStyle name="Input 3 3 2 2 2 2 3" xfId="36902"/>
    <cellStyle name="Input 3 3 2 2 2 3" xfId="21207"/>
    <cellStyle name="Input 3 3 2 2 2 3 2" xfId="42394"/>
    <cellStyle name="Input 3 3 2 2 2 4" xfId="31810"/>
    <cellStyle name="Input 3 3 2 2 2_Table 2A-1_EFT (Annual)" xfId="15246"/>
    <cellStyle name="Input 3 3 2 2 3" xfId="11690"/>
    <cellStyle name="Input 3 3 2 2 3 2" xfId="23774"/>
    <cellStyle name="Input 3 3 2 2 3 2 2" xfId="44960"/>
    <cellStyle name="Input 3 3 2 2 3 3" xfId="34356"/>
    <cellStyle name="Input 3 3 2 2 4" xfId="18661"/>
    <cellStyle name="Input 3 3 2 2 4 2" xfId="39848"/>
    <cellStyle name="Input 3 3 2 2 5" xfId="29067"/>
    <cellStyle name="Input 3 3 2 2_Table 2A-1_EFT (Annual)" xfId="7010"/>
    <cellStyle name="Input 3 3 2 3" xfId="4884"/>
    <cellStyle name="Input 3 3 2 3 2" xfId="13144"/>
    <cellStyle name="Input 3 3 2 3 2 2" xfId="25150"/>
    <cellStyle name="Input 3 3 2 3 2 2 2" xfId="46336"/>
    <cellStyle name="Input 3 3 2 3 2 3" xfId="35732"/>
    <cellStyle name="Input 3 3 2 3 3" xfId="20037"/>
    <cellStyle name="Input 3 3 2 3 3 2" xfId="41224"/>
    <cellStyle name="Input 3 3 2 3 4" xfId="30541"/>
    <cellStyle name="Input 3 3 2 3_Table 2A-1_EFT (Annual)" xfId="15247"/>
    <cellStyle name="Input 3 3 2 4" xfId="10488"/>
    <cellStyle name="Input 3 3 2 4 2" xfId="22604"/>
    <cellStyle name="Input 3 3 2 4 2 2" xfId="43790"/>
    <cellStyle name="Input 3 3 2 4 3" xfId="33186"/>
    <cellStyle name="Input 3 3 2 5" xfId="17491"/>
    <cellStyle name="Input 3 3 2 5 2" xfId="38678"/>
    <cellStyle name="Input 3 3 2 6" xfId="27798"/>
    <cellStyle name="Input 3 3 2_Table 2A-1_EFT (Annual)" xfId="7009"/>
    <cellStyle name="Input 3 3 3" xfId="884"/>
    <cellStyle name="Input 3 3 3 2" xfId="4445"/>
    <cellStyle name="Input 3 3 3 2 2" xfId="12707"/>
    <cellStyle name="Input 3 3 3 2 2 2" xfId="24717"/>
    <cellStyle name="Input 3 3 3 2 2 2 2" xfId="45903"/>
    <cellStyle name="Input 3 3 3 2 2 3" xfId="35299"/>
    <cellStyle name="Input 3 3 3 2 3" xfId="19604"/>
    <cellStyle name="Input 3 3 3 2 3 2" xfId="40791"/>
    <cellStyle name="Input 3 3 3 2 4" xfId="30102"/>
    <cellStyle name="Input 3 3 3 2_Table 2A-1_EFT (Annual)" xfId="15248"/>
    <cellStyle name="Input 3 3 3 3" xfId="10054"/>
    <cellStyle name="Input 3 3 3 3 2" xfId="22171"/>
    <cellStyle name="Input 3 3 3 3 2 2" xfId="43357"/>
    <cellStyle name="Input 3 3 3 3 3" xfId="32753"/>
    <cellStyle name="Input 3 3 3 4" xfId="17058"/>
    <cellStyle name="Input 3 3 3 4 2" xfId="38245"/>
    <cellStyle name="Input 3 3 3 5" xfId="27359"/>
    <cellStyle name="Input 3 3 3_Table 2A-1_EFT (Annual)" xfId="7011"/>
    <cellStyle name="Input 3 3 4" xfId="2062"/>
    <cellStyle name="Input 3 3 4 2" xfId="5623"/>
    <cellStyle name="Input 3 3 4 2 2" xfId="13838"/>
    <cellStyle name="Input 3 3 4 2 2 2" xfId="25826"/>
    <cellStyle name="Input 3 3 4 2 2 2 2" xfId="47012"/>
    <cellStyle name="Input 3 3 4 2 2 3" xfId="36408"/>
    <cellStyle name="Input 3 3 4 2 3" xfId="20713"/>
    <cellStyle name="Input 3 3 4 2 3 2" xfId="41900"/>
    <cellStyle name="Input 3 3 4 2 4" xfId="31280"/>
    <cellStyle name="Input 3 3 4 2_Table 2A-1_EFT (Annual)" xfId="15249"/>
    <cellStyle name="Input 3 3 4 3" xfId="11182"/>
    <cellStyle name="Input 3 3 4 3 2" xfId="23280"/>
    <cellStyle name="Input 3 3 4 3 2 2" xfId="44466"/>
    <cellStyle name="Input 3 3 4 3 3" xfId="33862"/>
    <cellStyle name="Input 3 3 4 4" xfId="18167"/>
    <cellStyle name="Input 3 3 4 4 2" xfId="39354"/>
    <cellStyle name="Input 3 3 4 5" xfId="28537"/>
    <cellStyle name="Input 3 3 4_Table 2A-1_EFT (Annual)" xfId="7012"/>
    <cellStyle name="Input 3 3 5" xfId="3910"/>
    <cellStyle name="Input 3 3 5 2" xfId="12238"/>
    <cellStyle name="Input 3 3 5 2 2" xfId="24262"/>
    <cellStyle name="Input 3 3 5 2 2 2" xfId="45448"/>
    <cellStyle name="Input 3 3 5 2 3" xfId="34844"/>
    <cellStyle name="Input 3 3 5 3" xfId="19149"/>
    <cellStyle name="Input 3 3 5 3 2" xfId="40336"/>
    <cellStyle name="Input 3 3 5 4" xfId="29598"/>
    <cellStyle name="Input 3 3 5_Table 2A-1_EFT (Annual)" xfId="15250"/>
    <cellStyle name="Input 3 3 6" xfId="9575"/>
    <cellStyle name="Input 3 3 6 2" xfId="21716"/>
    <cellStyle name="Input 3 3 6 2 2" xfId="42902"/>
    <cellStyle name="Input 3 3 6 3" xfId="32298"/>
    <cellStyle name="Input 3 3 7" xfId="16603"/>
    <cellStyle name="Input 3 3 7 2" xfId="37790"/>
    <cellStyle name="Input 3 3 8" xfId="26855"/>
    <cellStyle name="Input 3 3_Table 2A-1_EFT (Annual)" xfId="3056"/>
    <cellStyle name="Input 3 4" xfId="1157"/>
    <cellStyle name="Input 3 4 2" xfId="2427"/>
    <cellStyle name="Input 3 4 2 2" xfId="5988"/>
    <cellStyle name="Input 3 4 2 2 2" xfId="14182"/>
    <cellStyle name="Input 3 4 2 2 2 2" xfId="26154"/>
    <cellStyle name="Input 3 4 2 2 2 2 2" xfId="47340"/>
    <cellStyle name="Input 3 4 2 2 2 3" xfId="36736"/>
    <cellStyle name="Input 3 4 2 2 3" xfId="21041"/>
    <cellStyle name="Input 3 4 2 2 3 2" xfId="42228"/>
    <cellStyle name="Input 3 4 2 2 4" xfId="31644"/>
    <cellStyle name="Input 3 4 2 2_Table 2A-1_EFT (Annual)" xfId="15251"/>
    <cellStyle name="Input 3 4 2 3" xfId="11524"/>
    <cellStyle name="Input 3 4 2 3 2" xfId="23608"/>
    <cellStyle name="Input 3 4 2 3 2 2" xfId="44794"/>
    <cellStyle name="Input 3 4 2 3 3" xfId="34190"/>
    <cellStyle name="Input 3 4 2 4" xfId="18495"/>
    <cellStyle name="Input 3 4 2 4 2" xfId="39682"/>
    <cellStyle name="Input 3 4 2 5" xfId="28901"/>
    <cellStyle name="Input 3 4 2_Table 2A-1_EFT (Annual)" xfId="7014"/>
    <cellStyle name="Input 3 4 3" xfId="4718"/>
    <cellStyle name="Input 3 4 3 2" xfId="12978"/>
    <cellStyle name="Input 3 4 3 2 2" xfId="24984"/>
    <cellStyle name="Input 3 4 3 2 2 2" xfId="46170"/>
    <cellStyle name="Input 3 4 3 2 3" xfId="35566"/>
    <cellStyle name="Input 3 4 3 3" xfId="19871"/>
    <cellStyle name="Input 3 4 3 3 2" xfId="41058"/>
    <cellStyle name="Input 3 4 3 4" xfId="30375"/>
    <cellStyle name="Input 3 4 3_Table 2A-1_EFT (Annual)" xfId="15252"/>
    <cellStyle name="Input 3 4 4" xfId="10322"/>
    <cellStyle name="Input 3 4 4 2" xfId="22438"/>
    <cellStyle name="Input 3 4 4 2 2" xfId="43624"/>
    <cellStyle name="Input 3 4 4 3" xfId="33020"/>
    <cellStyle name="Input 3 4 5" xfId="17325"/>
    <cellStyle name="Input 3 4 5 2" xfId="38512"/>
    <cellStyle name="Input 3 4 6" xfId="27632"/>
    <cellStyle name="Input 3 4_Table 2A-1_EFT (Annual)" xfId="7013"/>
    <cellStyle name="Input 3 5" xfId="725"/>
    <cellStyle name="Input 3 5 2" xfId="4286"/>
    <cellStyle name="Input 3 5 2 2" xfId="12566"/>
    <cellStyle name="Input 3 5 2 2 2" xfId="24583"/>
    <cellStyle name="Input 3 5 2 2 2 2" xfId="45769"/>
    <cellStyle name="Input 3 5 2 2 3" xfId="35165"/>
    <cellStyle name="Input 3 5 2 3" xfId="19470"/>
    <cellStyle name="Input 3 5 2 3 2" xfId="40657"/>
    <cellStyle name="Input 3 5 2 4" xfId="29943"/>
    <cellStyle name="Input 3 5 2_Table 2A-1_EFT (Annual)" xfId="15253"/>
    <cellStyle name="Input 3 5 3" xfId="9914"/>
    <cellStyle name="Input 3 5 3 2" xfId="22037"/>
    <cellStyle name="Input 3 5 3 2 2" xfId="43223"/>
    <cellStyle name="Input 3 5 3 3" xfId="32619"/>
    <cellStyle name="Input 3 5 4" xfId="16924"/>
    <cellStyle name="Input 3 5 4 2" xfId="38111"/>
    <cellStyle name="Input 3 5 5" xfId="27200"/>
    <cellStyle name="Input 3 5_Table 2A-1_EFT (Annual)" xfId="7015"/>
    <cellStyle name="Input 3 6" xfId="1802"/>
    <cellStyle name="Input 3 6 2" xfId="5363"/>
    <cellStyle name="Input 3 6 2 2" xfId="13578"/>
    <cellStyle name="Input 3 6 2 2 2" xfId="25566"/>
    <cellStyle name="Input 3 6 2 2 2 2" xfId="46752"/>
    <cellStyle name="Input 3 6 2 2 3" xfId="36148"/>
    <cellStyle name="Input 3 6 2 3" xfId="20453"/>
    <cellStyle name="Input 3 6 2 3 2" xfId="41640"/>
    <cellStyle name="Input 3 6 2 4" xfId="31020"/>
    <cellStyle name="Input 3 6 2_Table 2A-1_EFT (Annual)" xfId="15254"/>
    <cellStyle name="Input 3 6 3" xfId="10922"/>
    <cellStyle name="Input 3 6 3 2" xfId="23020"/>
    <cellStyle name="Input 3 6 3 2 2" xfId="44206"/>
    <cellStyle name="Input 3 6 3 3" xfId="33602"/>
    <cellStyle name="Input 3 6 4" xfId="17907"/>
    <cellStyle name="Input 3 6 4 2" xfId="39094"/>
    <cellStyle name="Input 3 6 5" xfId="28277"/>
    <cellStyle name="Input 3 6_Table 2A-1_EFT (Annual)" xfId="7016"/>
    <cellStyle name="Input 3 7" xfId="3698"/>
    <cellStyle name="Input 3 7 2" xfId="12066"/>
    <cellStyle name="Input 3 7 2 2" xfId="24096"/>
    <cellStyle name="Input 3 7 2 2 2" xfId="45282"/>
    <cellStyle name="Input 3 7 2 3" xfId="34678"/>
    <cellStyle name="Input 3 7 3" xfId="18983"/>
    <cellStyle name="Input 3 7 3 2" xfId="40170"/>
    <cellStyle name="Input 3 7 4" xfId="29407"/>
    <cellStyle name="Input 3 7_Table 2A-1_EFT (Annual)" xfId="15255"/>
    <cellStyle name="Input 3 8" xfId="9385"/>
    <cellStyle name="Input 3 8 2" xfId="21550"/>
    <cellStyle name="Input 3 8 2 2" xfId="42736"/>
    <cellStyle name="Input 3 8 3" xfId="32132"/>
    <cellStyle name="Input 3 9" xfId="16437"/>
    <cellStyle name="Input 3 9 2" xfId="37624"/>
    <cellStyle name="Input 3_Table 2A-1_EFT (Annual)" xfId="3054"/>
    <cellStyle name="Input 30" xfId="236"/>
    <cellStyle name="Input 30 10" xfId="26791"/>
    <cellStyle name="Input 30 2" xfId="623"/>
    <cellStyle name="Input 30 2 2" xfId="1600"/>
    <cellStyle name="Input 30 2 2 2" xfId="2870"/>
    <cellStyle name="Input 30 2 2 2 2" xfId="6431"/>
    <cellStyle name="Input 30 2 2 2 2 2" xfId="14625"/>
    <cellStyle name="Input 30 2 2 2 2 2 2" xfId="26597"/>
    <cellStyle name="Input 30 2 2 2 2 2 2 2" xfId="47783"/>
    <cellStyle name="Input 30 2 2 2 2 2 3" xfId="37179"/>
    <cellStyle name="Input 30 2 2 2 2 3" xfId="21484"/>
    <cellStyle name="Input 30 2 2 2 2 3 2" xfId="42671"/>
    <cellStyle name="Input 30 2 2 2 2 4" xfId="32087"/>
    <cellStyle name="Input 30 2 2 2 2_Table 2A-1_EFT (Annual)" xfId="15256"/>
    <cellStyle name="Input 30 2 2 2 3" xfId="11967"/>
    <cellStyle name="Input 30 2 2 2 3 2" xfId="24051"/>
    <cellStyle name="Input 30 2 2 2 3 2 2" xfId="45237"/>
    <cellStyle name="Input 30 2 2 2 3 3" xfId="34633"/>
    <cellStyle name="Input 30 2 2 2 4" xfId="18938"/>
    <cellStyle name="Input 30 2 2 2 4 2" xfId="40125"/>
    <cellStyle name="Input 30 2 2 2 5" xfId="29344"/>
    <cellStyle name="Input 30 2 2 2_Table 2A-1_EFT (Annual)" xfId="7018"/>
    <cellStyle name="Input 30 2 2 3" xfId="5161"/>
    <cellStyle name="Input 30 2 2 3 2" xfId="13421"/>
    <cellStyle name="Input 30 2 2 3 2 2" xfId="25427"/>
    <cellStyle name="Input 30 2 2 3 2 2 2" xfId="46613"/>
    <cellStyle name="Input 30 2 2 3 2 3" xfId="36009"/>
    <cellStyle name="Input 30 2 2 3 3" xfId="20314"/>
    <cellStyle name="Input 30 2 2 3 3 2" xfId="41501"/>
    <cellStyle name="Input 30 2 2 3 4" xfId="30818"/>
    <cellStyle name="Input 30 2 2 3_Table 2A-1_EFT (Annual)" xfId="15257"/>
    <cellStyle name="Input 30 2 2 4" xfId="10765"/>
    <cellStyle name="Input 30 2 2 4 2" xfId="22881"/>
    <cellStyle name="Input 30 2 2 4 2 2" xfId="44067"/>
    <cellStyle name="Input 30 2 2 4 3" xfId="33463"/>
    <cellStyle name="Input 30 2 2 5" xfId="17768"/>
    <cellStyle name="Input 30 2 2 5 2" xfId="38955"/>
    <cellStyle name="Input 30 2 2 6" xfId="28075"/>
    <cellStyle name="Input 30 2 2_Table 2A-1_EFT (Annual)" xfId="7017"/>
    <cellStyle name="Input 30 2 3" xfId="1114"/>
    <cellStyle name="Input 30 2 3 2" xfId="4675"/>
    <cellStyle name="Input 30 2 3 2 2" xfId="12935"/>
    <cellStyle name="Input 30 2 3 2 2 2" xfId="24941"/>
    <cellStyle name="Input 30 2 3 2 2 2 2" xfId="46127"/>
    <cellStyle name="Input 30 2 3 2 2 3" xfId="35523"/>
    <cellStyle name="Input 30 2 3 2 3" xfId="19828"/>
    <cellStyle name="Input 30 2 3 2 3 2" xfId="41015"/>
    <cellStyle name="Input 30 2 3 2 4" xfId="30332"/>
    <cellStyle name="Input 30 2 3 2_Table 2A-1_EFT (Annual)" xfId="15258"/>
    <cellStyle name="Input 30 2 3 3" xfId="10279"/>
    <cellStyle name="Input 30 2 3 3 2" xfId="22395"/>
    <cellStyle name="Input 30 2 3 3 2 2" xfId="43581"/>
    <cellStyle name="Input 30 2 3 3 3" xfId="32977"/>
    <cellStyle name="Input 30 2 3 4" xfId="17282"/>
    <cellStyle name="Input 30 2 3 4 2" xfId="38469"/>
    <cellStyle name="Input 30 2 3 5" xfId="27589"/>
    <cellStyle name="Input 30 2 3_Table 2A-1_EFT (Annual)" xfId="7019"/>
    <cellStyle name="Input 30 2 4" xfId="2339"/>
    <cellStyle name="Input 30 2 4 2" xfId="5900"/>
    <cellStyle name="Input 30 2 4 2 2" xfId="14115"/>
    <cellStyle name="Input 30 2 4 2 2 2" xfId="26103"/>
    <cellStyle name="Input 30 2 4 2 2 2 2" xfId="47289"/>
    <cellStyle name="Input 30 2 4 2 2 3" xfId="36685"/>
    <cellStyle name="Input 30 2 4 2 3" xfId="20990"/>
    <cellStyle name="Input 30 2 4 2 3 2" xfId="42177"/>
    <cellStyle name="Input 30 2 4 2 4" xfId="31557"/>
    <cellStyle name="Input 30 2 4 2_Table 2A-1_EFT (Annual)" xfId="15259"/>
    <cellStyle name="Input 30 2 4 3" xfId="11459"/>
    <cellStyle name="Input 30 2 4 3 2" xfId="23557"/>
    <cellStyle name="Input 30 2 4 3 2 2" xfId="44743"/>
    <cellStyle name="Input 30 2 4 3 3" xfId="34139"/>
    <cellStyle name="Input 30 2 4 4" xfId="18444"/>
    <cellStyle name="Input 30 2 4 4 2" xfId="39631"/>
    <cellStyle name="Input 30 2 4 5" xfId="28814"/>
    <cellStyle name="Input 30 2 4_Table 2A-1_EFT (Annual)" xfId="7020"/>
    <cellStyle name="Input 30 2 5" xfId="4193"/>
    <cellStyle name="Input 30 2 5 2" xfId="12517"/>
    <cellStyle name="Input 30 2 5 2 2" xfId="24539"/>
    <cellStyle name="Input 30 2 5 2 2 2" xfId="45725"/>
    <cellStyle name="Input 30 2 5 2 3" xfId="35121"/>
    <cellStyle name="Input 30 2 5 3" xfId="19426"/>
    <cellStyle name="Input 30 2 5 3 2" xfId="40613"/>
    <cellStyle name="Input 30 2 5 4" xfId="29881"/>
    <cellStyle name="Input 30 2 5_Table 2A-1_EFT (Annual)" xfId="15260"/>
    <cellStyle name="Input 30 2 6" xfId="9856"/>
    <cellStyle name="Input 30 2 6 2" xfId="21993"/>
    <cellStyle name="Input 30 2 6 2 2" xfId="43179"/>
    <cellStyle name="Input 30 2 6 3" xfId="32575"/>
    <cellStyle name="Input 30 2 7" xfId="16880"/>
    <cellStyle name="Input 30 2 7 2" xfId="38067"/>
    <cellStyle name="Input 30 2 8" xfId="27138"/>
    <cellStyle name="Input 30 2_Table 2A-1_EFT (Annual)" xfId="3058"/>
    <cellStyle name="Input 30 3" xfId="462"/>
    <cellStyle name="Input 30 3 2" xfId="1439"/>
    <cellStyle name="Input 30 3 2 2" xfId="2709"/>
    <cellStyle name="Input 30 3 2 2 2" xfId="6270"/>
    <cellStyle name="Input 30 3 2 2 2 2" xfId="14464"/>
    <cellStyle name="Input 30 3 2 2 2 2 2" xfId="26436"/>
    <cellStyle name="Input 30 3 2 2 2 2 2 2" xfId="47622"/>
    <cellStyle name="Input 30 3 2 2 2 2 3" xfId="37018"/>
    <cellStyle name="Input 30 3 2 2 2 3" xfId="21323"/>
    <cellStyle name="Input 30 3 2 2 2 3 2" xfId="42510"/>
    <cellStyle name="Input 30 3 2 2 2 4" xfId="31926"/>
    <cellStyle name="Input 30 3 2 2 2_Table 2A-1_EFT (Annual)" xfId="15261"/>
    <cellStyle name="Input 30 3 2 2 3" xfId="11806"/>
    <cellStyle name="Input 30 3 2 2 3 2" xfId="23890"/>
    <cellStyle name="Input 30 3 2 2 3 2 2" xfId="45076"/>
    <cellStyle name="Input 30 3 2 2 3 3" xfId="34472"/>
    <cellStyle name="Input 30 3 2 2 4" xfId="18777"/>
    <cellStyle name="Input 30 3 2 2 4 2" xfId="39964"/>
    <cellStyle name="Input 30 3 2 2 5" xfId="29183"/>
    <cellStyle name="Input 30 3 2 2_Table 2A-1_EFT (Annual)" xfId="7022"/>
    <cellStyle name="Input 30 3 2 3" xfId="5000"/>
    <cellStyle name="Input 30 3 2 3 2" xfId="13260"/>
    <cellStyle name="Input 30 3 2 3 2 2" xfId="25266"/>
    <cellStyle name="Input 30 3 2 3 2 2 2" xfId="46452"/>
    <cellStyle name="Input 30 3 2 3 2 3" xfId="35848"/>
    <cellStyle name="Input 30 3 2 3 3" xfId="20153"/>
    <cellStyle name="Input 30 3 2 3 3 2" xfId="41340"/>
    <cellStyle name="Input 30 3 2 3 4" xfId="30657"/>
    <cellStyle name="Input 30 3 2 3_Table 2A-1_EFT (Annual)" xfId="15262"/>
    <cellStyle name="Input 30 3 2 4" xfId="10604"/>
    <cellStyle name="Input 30 3 2 4 2" xfId="22720"/>
    <cellStyle name="Input 30 3 2 4 2 2" xfId="43906"/>
    <cellStyle name="Input 30 3 2 4 3" xfId="33302"/>
    <cellStyle name="Input 30 3 2 5" xfId="17607"/>
    <cellStyle name="Input 30 3 2 5 2" xfId="38794"/>
    <cellStyle name="Input 30 3 2 6" xfId="27914"/>
    <cellStyle name="Input 30 3 2_Table 2A-1_EFT (Annual)" xfId="7021"/>
    <cellStyle name="Input 30 3 3" xfId="984"/>
    <cellStyle name="Input 30 3 3 2" xfId="4545"/>
    <cellStyle name="Input 30 3 3 2 2" xfId="12805"/>
    <cellStyle name="Input 30 3 3 2 2 2" xfId="24811"/>
    <cellStyle name="Input 30 3 3 2 2 2 2" xfId="45997"/>
    <cellStyle name="Input 30 3 3 2 2 3" xfId="35393"/>
    <cellStyle name="Input 30 3 3 2 3" xfId="19698"/>
    <cellStyle name="Input 30 3 3 2 3 2" xfId="40885"/>
    <cellStyle name="Input 30 3 3 2 4" xfId="30202"/>
    <cellStyle name="Input 30 3 3 2_Table 2A-1_EFT (Annual)" xfId="15263"/>
    <cellStyle name="Input 30 3 3 3" xfId="10149"/>
    <cellStyle name="Input 30 3 3 3 2" xfId="22265"/>
    <cellStyle name="Input 30 3 3 3 2 2" xfId="43451"/>
    <cellStyle name="Input 30 3 3 3 3" xfId="32847"/>
    <cellStyle name="Input 30 3 3 4" xfId="17152"/>
    <cellStyle name="Input 30 3 3 4 2" xfId="38339"/>
    <cellStyle name="Input 30 3 3 5" xfId="27459"/>
    <cellStyle name="Input 30 3 3_Table 2A-1_EFT (Annual)" xfId="7023"/>
    <cellStyle name="Input 30 3 4" xfId="2178"/>
    <cellStyle name="Input 30 3 4 2" xfId="5739"/>
    <cellStyle name="Input 30 3 4 2 2" xfId="13954"/>
    <cellStyle name="Input 30 3 4 2 2 2" xfId="25942"/>
    <cellStyle name="Input 30 3 4 2 2 2 2" xfId="47128"/>
    <cellStyle name="Input 30 3 4 2 2 3" xfId="36524"/>
    <cellStyle name="Input 30 3 4 2 3" xfId="20829"/>
    <cellStyle name="Input 30 3 4 2 3 2" xfId="42016"/>
    <cellStyle name="Input 30 3 4 2 4" xfId="31396"/>
    <cellStyle name="Input 30 3 4 2_Table 2A-1_EFT (Annual)" xfId="15264"/>
    <cellStyle name="Input 30 3 4 3" xfId="11298"/>
    <cellStyle name="Input 30 3 4 3 2" xfId="23396"/>
    <cellStyle name="Input 30 3 4 3 2 2" xfId="44582"/>
    <cellStyle name="Input 30 3 4 3 3" xfId="33978"/>
    <cellStyle name="Input 30 3 4 4" xfId="18283"/>
    <cellStyle name="Input 30 3 4 4 2" xfId="39470"/>
    <cellStyle name="Input 30 3 4 5" xfId="28653"/>
    <cellStyle name="Input 30 3 4_Table 2A-1_EFT (Annual)" xfId="7024"/>
    <cellStyle name="Input 30 3 5" xfId="4032"/>
    <cellStyle name="Input 30 3 5 2" xfId="12356"/>
    <cellStyle name="Input 30 3 5 2 2" xfId="24378"/>
    <cellStyle name="Input 30 3 5 2 2 2" xfId="45564"/>
    <cellStyle name="Input 30 3 5 2 3" xfId="34960"/>
    <cellStyle name="Input 30 3 5 3" xfId="19265"/>
    <cellStyle name="Input 30 3 5 3 2" xfId="40452"/>
    <cellStyle name="Input 30 3 5 4" xfId="29720"/>
    <cellStyle name="Input 30 3 5_Table 2A-1_EFT (Annual)" xfId="15265"/>
    <cellStyle name="Input 30 3 6" xfId="9695"/>
    <cellStyle name="Input 30 3 6 2" xfId="21832"/>
    <cellStyle name="Input 30 3 6 2 2" xfId="43018"/>
    <cellStyle name="Input 30 3 6 3" xfId="32414"/>
    <cellStyle name="Input 30 3 7" xfId="16719"/>
    <cellStyle name="Input 30 3 7 2" xfId="37906"/>
    <cellStyle name="Input 30 3 8" xfId="26977"/>
    <cellStyle name="Input 30 3_Table 2A-1_EFT (Annual)" xfId="3059"/>
    <cellStyle name="Input 30 4" xfId="1278"/>
    <cellStyle name="Input 30 4 2" xfId="2548"/>
    <cellStyle name="Input 30 4 2 2" xfId="6109"/>
    <cellStyle name="Input 30 4 2 2 2" xfId="14303"/>
    <cellStyle name="Input 30 4 2 2 2 2" xfId="26275"/>
    <cellStyle name="Input 30 4 2 2 2 2 2" xfId="47461"/>
    <cellStyle name="Input 30 4 2 2 2 3" xfId="36857"/>
    <cellStyle name="Input 30 4 2 2 3" xfId="21162"/>
    <cellStyle name="Input 30 4 2 2 3 2" xfId="42349"/>
    <cellStyle name="Input 30 4 2 2 4" xfId="31765"/>
    <cellStyle name="Input 30 4 2 2_Table 2A-1_EFT (Annual)" xfId="15266"/>
    <cellStyle name="Input 30 4 2 3" xfId="11645"/>
    <cellStyle name="Input 30 4 2 3 2" xfId="23729"/>
    <cellStyle name="Input 30 4 2 3 2 2" xfId="44915"/>
    <cellStyle name="Input 30 4 2 3 3" xfId="34311"/>
    <cellStyle name="Input 30 4 2 4" xfId="18616"/>
    <cellStyle name="Input 30 4 2 4 2" xfId="39803"/>
    <cellStyle name="Input 30 4 2 5" xfId="29022"/>
    <cellStyle name="Input 30 4 2_Table 2A-1_EFT (Annual)" xfId="7026"/>
    <cellStyle name="Input 30 4 3" xfId="4839"/>
    <cellStyle name="Input 30 4 3 2" xfId="13099"/>
    <cellStyle name="Input 30 4 3 2 2" xfId="25105"/>
    <cellStyle name="Input 30 4 3 2 2 2" xfId="46291"/>
    <cellStyle name="Input 30 4 3 2 3" xfId="35687"/>
    <cellStyle name="Input 30 4 3 3" xfId="19992"/>
    <cellStyle name="Input 30 4 3 3 2" xfId="41179"/>
    <cellStyle name="Input 30 4 3 4" xfId="30496"/>
    <cellStyle name="Input 30 4 3_Table 2A-1_EFT (Annual)" xfId="15267"/>
    <cellStyle name="Input 30 4 4" xfId="10443"/>
    <cellStyle name="Input 30 4 4 2" xfId="22559"/>
    <cellStyle name="Input 30 4 4 2 2" xfId="43745"/>
    <cellStyle name="Input 30 4 4 3" xfId="33141"/>
    <cellStyle name="Input 30 4 5" xfId="17446"/>
    <cellStyle name="Input 30 4 5 2" xfId="38633"/>
    <cellStyle name="Input 30 4 6" xfId="27753"/>
    <cellStyle name="Input 30 4_Table 2A-1_EFT (Annual)" xfId="7025"/>
    <cellStyle name="Input 30 5" xfId="829"/>
    <cellStyle name="Input 30 5 2" xfId="4390"/>
    <cellStyle name="Input 30 5 2 2" xfId="12664"/>
    <cellStyle name="Input 30 5 2 2 2" xfId="24681"/>
    <cellStyle name="Input 30 5 2 2 2 2" xfId="45867"/>
    <cellStyle name="Input 30 5 2 2 3" xfId="35263"/>
    <cellStyle name="Input 30 5 2 3" xfId="19568"/>
    <cellStyle name="Input 30 5 2 3 2" xfId="40755"/>
    <cellStyle name="Input 30 5 2 4" xfId="30047"/>
    <cellStyle name="Input 30 5 2_Table 2A-1_EFT (Annual)" xfId="15268"/>
    <cellStyle name="Input 30 5 3" xfId="10013"/>
    <cellStyle name="Input 30 5 3 2" xfId="22135"/>
    <cellStyle name="Input 30 5 3 2 2" xfId="43321"/>
    <cellStyle name="Input 30 5 3 3" xfId="32717"/>
    <cellStyle name="Input 30 5 4" xfId="17022"/>
    <cellStyle name="Input 30 5 4 2" xfId="38209"/>
    <cellStyle name="Input 30 5 5" xfId="27304"/>
    <cellStyle name="Input 30 5_Table 2A-1_EFT (Annual)" xfId="7027"/>
    <cellStyle name="Input 30 6" xfId="2017"/>
    <cellStyle name="Input 30 6 2" xfId="5578"/>
    <cellStyle name="Input 30 6 2 2" xfId="13793"/>
    <cellStyle name="Input 30 6 2 2 2" xfId="25781"/>
    <cellStyle name="Input 30 6 2 2 2 2" xfId="46967"/>
    <cellStyle name="Input 30 6 2 2 3" xfId="36363"/>
    <cellStyle name="Input 30 6 2 3" xfId="20668"/>
    <cellStyle name="Input 30 6 2 3 2" xfId="41855"/>
    <cellStyle name="Input 30 6 2 4" xfId="31235"/>
    <cellStyle name="Input 30 6 2_Table 2A-1_EFT (Annual)" xfId="15269"/>
    <cellStyle name="Input 30 6 3" xfId="11137"/>
    <cellStyle name="Input 30 6 3 2" xfId="23235"/>
    <cellStyle name="Input 30 6 3 2 2" xfId="44421"/>
    <cellStyle name="Input 30 6 3 3" xfId="33817"/>
    <cellStyle name="Input 30 6 4" xfId="18122"/>
    <cellStyle name="Input 30 6 4 2" xfId="39309"/>
    <cellStyle name="Input 30 6 5" xfId="28492"/>
    <cellStyle name="Input 30 6_Table 2A-1_EFT (Annual)" xfId="7028"/>
    <cellStyle name="Input 30 7" xfId="3825"/>
    <cellStyle name="Input 30 7 2" xfId="12188"/>
    <cellStyle name="Input 30 7 2 2" xfId="24217"/>
    <cellStyle name="Input 30 7 2 2 2" xfId="45403"/>
    <cellStyle name="Input 30 7 2 3" xfId="34799"/>
    <cellStyle name="Input 30 7 3" xfId="19104"/>
    <cellStyle name="Input 30 7 3 2" xfId="40291"/>
    <cellStyle name="Input 30 7 4" xfId="29534"/>
    <cellStyle name="Input 30 7_Table 2A-1_EFT (Annual)" xfId="15270"/>
    <cellStyle name="Input 30 8" xfId="9507"/>
    <cellStyle name="Input 30 8 2" xfId="21671"/>
    <cellStyle name="Input 30 8 2 2" xfId="42857"/>
    <cellStyle name="Input 30 8 3" xfId="32253"/>
    <cellStyle name="Input 30 9" xfId="16558"/>
    <cellStyle name="Input 30 9 2" xfId="37745"/>
    <cellStyle name="Input 30_Table 2A-1_EFT (Annual)" xfId="3057"/>
    <cellStyle name="Input 31" xfId="184"/>
    <cellStyle name="Input 31 10" xfId="26739"/>
    <cellStyle name="Input 31 2" xfId="577"/>
    <cellStyle name="Input 31 2 2" xfId="1554"/>
    <cellStyle name="Input 31 2 2 2" xfId="2824"/>
    <cellStyle name="Input 31 2 2 2 2" xfId="6385"/>
    <cellStyle name="Input 31 2 2 2 2 2" xfId="14579"/>
    <cellStyle name="Input 31 2 2 2 2 2 2" xfId="26551"/>
    <cellStyle name="Input 31 2 2 2 2 2 2 2" xfId="47737"/>
    <cellStyle name="Input 31 2 2 2 2 2 3" xfId="37133"/>
    <cellStyle name="Input 31 2 2 2 2 3" xfId="21438"/>
    <cellStyle name="Input 31 2 2 2 2 3 2" xfId="42625"/>
    <cellStyle name="Input 31 2 2 2 2 4" xfId="32041"/>
    <cellStyle name="Input 31 2 2 2 2_Table 2A-1_EFT (Annual)" xfId="15271"/>
    <cellStyle name="Input 31 2 2 2 3" xfId="11921"/>
    <cellStyle name="Input 31 2 2 2 3 2" xfId="24005"/>
    <cellStyle name="Input 31 2 2 2 3 2 2" xfId="45191"/>
    <cellStyle name="Input 31 2 2 2 3 3" xfId="34587"/>
    <cellStyle name="Input 31 2 2 2 4" xfId="18892"/>
    <cellStyle name="Input 31 2 2 2 4 2" xfId="40079"/>
    <cellStyle name="Input 31 2 2 2 5" xfId="29298"/>
    <cellStyle name="Input 31 2 2 2_Table 2A-1_EFT (Annual)" xfId="7030"/>
    <cellStyle name="Input 31 2 2 3" xfId="5115"/>
    <cellStyle name="Input 31 2 2 3 2" xfId="13375"/>
    <cellStyle name="Input 31 2 2 3 2 2" xfId="25381"/>
    <cellStyle name="Input 31 2 2 3 2 2 2" xfId="46567"/>
    <cellStyle name="Input 31 2 2 3 2 3" xfId="35963"/>
    <cellStyle name="Input 31 2 2 3 3" xfId="20268"/>
    <cellStyle name="Input 31 2 2 3 3 2" xfId="41455"/>
    <cellStyle name="Input 31 2 2 3 4" xfId="30772"/>
    <cellStyle name="Input 31 2 2 3_Table 2A-1_EFT (Annual)" xfId="15272"/>
    <cellStyle name="Input 31 2 2 4" xfId="10719"/>
    <cellStyle name="Input 31 2 2 4 2" xfId="22835"/>
    <cellStyle name="Input 31 2 2 4 2 2" xfId="44021"/>
    <cellStyle name="Input 31 2 2 4 3" xfId="33417"/>
    <cellStyle name="Input 31 2 2 5" xfId="17722"/>
    <cellStyle name="Input 31 2 2 5 2" xfId="38909"/>
    <cellStyle name="Input 31 2 2 6" xfId="28029"/>
    <cellStyle name="Input 31 2 2_Table 2A-1_EFT (Annual)" xfId="7029"/>
    <cellStyle name="Input 31 2 3" xfId="1077"/>
    <cellStyle name="Input 31 2 3 2" xfId="4638"/>
    <cellStyle name="Input 31 2 3 2 2" xfId="12898"/>
    <cellStyle name="Input 31 2 3 2 2 2" xfId="24904"/>
    <cellStyle name="Input 31 2 3 2 2 2 2" xfId="46090"/>
    <cellStyle name="Input 31 2 3 2 2 3" xfId="35486"/>
    <cellStyle name="Input 31 2 3 2 3" xfId="19791"/>
    <cellStyle name="Input 31 2 3 2 3 2" xfId="40978"/>
    <cellStyle name="Input 31 2 3 2 4" xfId="30295"/>
    <cellStyle name="Input 31 2 3 2_Table 2A-1_EFT (Annual)" xfId="15273"/>
    <cellStyle name="Input 31 2 3 3" xfId="10242"/>
    <cellStyle name="Input 31 2 3 3 2" xfId="22358"/>
    <cellStyle name="Input 31 2 3 3 2 2" xfId="43544"/>
    <cellStyle name="Input 31 2 3 3 3" xfId="32940"/>
    <cellStyle name="Input 31 2 3 4" xfId="17245"/>
    <cellStyle name="Input 31 2 3 4 2" xfId="38432"/>
    <cellStyle name="Input 31 2 3 5" xfId="27552"/>
    <cellStyle name="Input 31 2 3_Table 2A-1_EFT (Annual)" xfId="7031"/>
    <cellStyle name="Input 31 2 4" xfId="2293"/>
    <cellStyle name="Input 31 2 4 2" xfId="5854"/>
    <cellStyle name="Input 31 2 4 2 2" xfId="14069"/>
    <cellStyle name="Input 31 2 4 2 2 2" xfId="26057"/>
    <cellStyle name="Input 31 2 4 2 2 2 2" xfId="47243"/>
    <cellStyle name="Input 31 2 4 2 2 3" xfId="36639"/>
    <cellStyle name="Input 31 2 4 2 3" xfId="20944"/>
    <cellStyle name="Input 31 2 4 2 3 2" xfId="42131"/>
    <cellStyle name="Input 31 2 4 2 4" xfId="31511"/>
    <cellStyle name="Input 31 2 4 2_Table 2A-1_EFT (Annual)" xfId="15274"/>
    <cellStyle name="Input 31 2 4 3" xfId="11413"/>
    <cellStyle name="Input 31 2 4 3 2" xfId="23511"/>
    <cellStyle name="Input 31 2 4 3 2 2" xfId="44697"/>
    <cellStyle name="Input 31 2 4 3 3" xfId="34093"/>
    <cellStyle name="Input 31 2 4 4" xfId="18398"/>
    <cellStyle name="Input 31 2 4 4 2" xfId="39585"/>
    <cellStyle name="Input 31 2 4 5" xfId="28768"/>
    <cellStyle name="Input 31 2 4_Table 2A-1_EFT (Annual)" xfId="7032"/>
    <cellStyle name="Input 31 2 5" xfId="4147"/>
    <cellStyle name="Input 31 2 5 2" xfId="12471"/>
    <cellStyle name="Input 31 2 5 2 2" xfId="24493"/>
    <cellStyle name="Input 31 2 5 2 2 2" xfId="45679"/>
    <cellStyle name="Input 31 2 5 2 3" xfId="35075"/>
    <cellStyle name="Input 31 2 5 3" xfId="19380"/>
    <cellStyle name="Input 31 2 5 3 2" xfId="40567"/>
    <cellStyle name="Input 31 2 5 4" xfId="29835"/>
    <cellStyle name="Input 31 2 5_Table 2A-1_EFT (Annual)" xfId="15275"/>
    <cellStyle name="Input 31 2 6" xfId="9810"/>
    <cellStyle name="Input 31 2 6 2" xfId="21947"/>
    <cellStyle name="Input 31 2 6 2 2" xfId="43133"/>
    <cellStyle name="Input 31 2 6 3" xfId="32529"/>
    <cellStyle name="Input 31 2 7" xfId="16834"/>
    <cellStyle name="Input 31 2 7 2" xfId="38021"/>
    <cellStyle name="Input 31 2 8" xfId="27092"/>
    <cellStyle name="Input 31 2_Table 2A-1_EFT (Annual)" xfId="3061"/>
    <cellStyle name="Input 31 3" xfId="415"/>
    <cellStyle name="Input 31 3 2" xfId="1398"/>
    <cellStyle name="Input 31 3 2 2" xfId="2668"/>
    <cellStyle name="Input 31 3 2 2 2" xfId="6229"/>
    <cellStyle name="Input 31 3 2 2 2 2" xfId="14423"/>
    <cellStyle name="Input 31 3 2 2 2 2 2" xfId="26395"/>
    <cellStyle name="Input 31 3 2 2 2 2 2 2" xfId="47581"/>
    <cellStyle name="Input 31 3 2 2 2 2 3" xfId="36977"/>
    <cellStyle name="Input 31 3 2 2 2 3" xfId="21282"/>
    <cellStyle name="Input 31 3 2 2 2 3 2" xfId="42469"/>
    <cellStyle name="Input 31 3 2 2 2 4" xfId="31885"/>
    <cellStyle name="Input 31 3 2 2 2_Table 2A-1_EFT (Annual)" xfId="15276"/>
    <cellStyle name="Input 31 3 2 2 3" xfId="11765"/>
    <cellStyle name="Input 31 3 2 2 3 2" xfId="23849"/>
    <cellStyle name="Input 31 3 2 2 3 2 2" xfId="45035"/>
    <cellStyle name="Input 31 3 2 2 3 3" xfId="34431"/>
    <cellStyle name="Input 31 3 2 2 4" xfId="18736"/>
    <cellStyle name="Input 31 3 2 2 4 2" xfId="39923"/>
    <cellStyle name="Input 31 3 2 2 5" xfId="29142"/>
    <cellStyle name="Input 31 3 2 2_Table 2A-1_EFT (Annual)" xfId="7034"/>
    <cellStyle name="Input 31 3 2 3" xfId="4959"/>
    <cellStyle name="Input 31 3 2 3 2" xfId="13219"/>
    <cellStyle name="Input 31 3 2 3 2 2" xfId="25225"/>
    <cellStyle name="Input 31 3 2 3 2 2 2" xfId="46411"/>
    <cellStyle name="Input 31 3 2 3 2 3" xfId="35807"/>
    <cellStyle name="Input 31 3 2 3 3" xfId="20112"/>
    <cellStyle name="Input 31 3 2 3 3 2" xfId="41299"/>
    <cellStyle name="Input 31 3 2 3 4" xfId="30616"/>
    <cellStyle name="Input 31 3 2 3_Table 2A-1_EFT (Annual)" xfId="15277"/>
    <cellStyle name="Input 31 3 2 4" xfId="10563"/>
    <cellStyle name="Input 31 3 2 4 2" xfId="22679"/>
    <cellStyle name="Input 31 3 2 4 2 2" xfId="43865"/>
    <cellStyle name="Input 31 3 2 4 3" xfId="33261"/>
    <cellStyle name="Input 31 3 2 5" xfId="17566"/>
    <cellStyle name="Input 31 3 2 5 2" xfId="38753"/>
    <cellStyle name="Input 31 3 2 6" xfId="27873"/>
    <cellStyle name="Input 31 3 2_Table 2A-1_EFT (Annual)" xfId="7033"/>
    <cellStyle name="Input 31 3 3" xfId="945"/>
    <cellStyle name="Input 31 3 3 2" xfId="4506"/>
    <cellStyle name="Input 31 3 3 2 2" xfId="12768"/>
    <cellStyle name="Input 31 3 3 2 2 2" xfId="24778"/>
    <cellStyle name="Input 31 3 3 2 2 2 2" xfId="45964"/>
    <cellStyle name="Input 31 3 3 2 2 3" xfId="35360"/>
    <cellStyle name="Input 31 3 3 2 3" xfId="19665"/>
    <cellStyle name="Input 31 3 3 2 3 2" xfId="40852"/>
    <cellStyle name="Input 31 3 3 2 4" xfId="30163"/>
    <cellStyle name="Input 31 3 3 2_Table 2A-1_EFT (Annual)" xfId="15278"/>
    <cellStyle name="Input 31 3 3 3" xfId="10115"/>
    <cellStyle name="Input 31 3 3 3 2" xfId="22232"/>
    <cellStyle name="Input 31 3 3 3 2 2" xfId="43418"/>
    <cellStyle name="Input 31 3 3 3 3" xfId="32814"/>
    <cellStyle name="Input 31 3 3 4" xfId="17119"/>
    <cellStyle name="Input 31 3 3 4 2" xfId="38306"/>
    <cellStyle name="Input 31 3 3 5" xfId="27420"/>
    <cellStyle name="Input 31 3 3_Table 2A-1_EFT (Annual)" xfId="7035"/>
    <cellStyle name="Input 31 3 4" xfId="2137"/>
    <cellStyle name="Input 31 3 4 2" xfId="5698"/>
    <cellStyle name="Input 31 3 4 2 2" xfId="13913"/>
    <cellStyle name="Input 31 3 4 2 2 2" xfId="25901"/>
    <cellStyle name="Input 31 3 4 2 2 2 2" xfId="47087"/>
    <cellStyle name="Input 31 3 4 2 2 3" xfId="36483"/>
    <cellStyle name="Input 31 3 4 2 3" xfId="20788"/>
    <cellStyle name="Input 31 3 4 2 3 2" xfId="41975"/>
    <cellStyle name="Input 31 3 4 2 4" xfId="31355"/>
    <cellStyle name="Input 31 3 4 2_Table 2A-1_EFT (Annual)" xfId="15279"/>
    <cellStyle name="Input 31 3 4 3" xfId="11257"/>
    <cellStyle name="Input 31 3 4 3 2" xfId="23355"/>
    <cellStyle name="Input 31 3 4 3 2 2" xfId="44541"/>
    <cellStyle name="Input 31 3 4 3 3" xfId="33937"/>
    <cellStyle name="Input 31 3 4 4" xfId="18242"/>
    <cellStyle name="Input 31 3 4 4 2" xfId="39429"/>
    <cellStyle name="Input 31 3 4 5" xfId="28612"/>
    <cellStyle name="Input 31 3 4_Table 2A-1_EFT (Annual)" xfId="7036"/>
    <cellStyle name="Input 31 3 5" xfId="3985"/>
    <cellStyle name="Input 31 3 5 2" xfId="12313"/>
    <cellStyle name="Input 31 3 5 2 2" xfId="24337"/>
    <cellStyle name="Input 31 3 5 2 2 2" xfId="45523"/>
    <cellStyle name="Input 31 3 5 2 3" xfId="34919"/>
    <cellStyle name="Input 31 3 5 3" xfId="19224"/>
    <cellStyle name="Input 31 3 5 3 2" xfId="40411"/>
    <cellStyle name="Input 31 3 5 4" xfId="29673"/>
    <cellStyle name="Input 31 3 5_Table 2A-1_EFT (Annual)" xfId="15280"/>
    <cellStyle name="Input 31 3 6" xfId="9650"/>
    <cellStyle name="Input 31 3 6 2" xfId="21791"/>
    <cellStyle name="Input 31 3 6 2 2" xfId="42977"/>
    <cellStyle name="Input 31 3 6 3" xfId="32373"/>
    <cellStyle name="Input 31 3 7" xfId="16678"/>
    <cellStyle name="Input 31 3 7 2" xfId="37865"/>
    <cellStyle name="Input 31 3 8" xfId="26930"/>
    <cellStyle name="Input 31 3_Table 2A-1_EFT (Annual)" xfId="3062"/>
    <cellStyle name="Input 31 4" xfId="1232"/>
    <cellStyle name="Input 31 4 2" xfId="2502"/>
    <cellStyle name="Input 31 4 2 2" xfId="6063"/>
    <cellStyle name="Input 31 4 2 2 2" xfId="14257"/>
    <cellStyle name="Input 31 4 2 2 2 2" xfId="26229"/>
    <cellStyle name="Input 31 4 2 2 2 2 2" xfId="47415"/>
    <cellStyle name="Input 31 4 2 2 2 3" xfId="36811"/>
    <cellStyle name="Input 31 4 2 2 3" xfId="21116"/>
    <cellStyle name="Input 31 4 2 2 3 2" xfId="42303"/>
    <cellStyle name="Input 31 4 2 2 4" xfId="31719"/>
    <cellStyle name="Input 31 4 2 2_Table 2A-1_EFT (Annual)" xfId="15281"/>
    <cellStyle name="Input 31 4 2 3" xfId="11599"/>
    <cellStyle name="Input 31 4 2 3 2" xfId="23683"/>
    <cellStyle name="Input 31 4 2 3 2 2" xfId="44869"/>
    <cellStyle name="Input 31 4 2 3 3" xfId="34265"/>
    <cellStyle name="Input 31 4 2 4" xfId="18570"/>
    <cellStyle name="Input 31 4 2 4 2" xfId="39757"/>
    <cellStyle name="Input 31 4 2 5" xfId="28976"/>
    <cellStyle name="Input 31 4 2_Table 2A-1_EFT (Annual)" xfId="7038"/>
    <cellStyle name="Input 31 4 3" xfId="4793"/>
    <cellStyle name="Input 31 4 3 2" xfId="13053"/>
    <cellStyle name="Input 31 4 3 2 2" xfId="25059"/>
    <cellStyle name="Input 31 4 3 2 2 2" xfId="46245"/>
    <cellStyle name="Input 31 4 3 2 3" xfId="35641"/>
    <cellStyle name="Input 31 4 3 3" xfId="19946"/>
    <cellStyle name="Input 31 4 3 3 2" xfId="41133"/>
    <cellStyle name="Input 31 4 3 4" xfId="30450"/>
    <cellStyle name="Input 31 4 3_Table 2A-1_EFT (Annual)" xfId="15282"/>
    <cellStyle name="Input 31 4 4" xfId="10397"/>
    <cellStyle name="Input 31 4 4 2" xfId="22513"/>
    <cellStyle name="Input 31 4 4 2 2" xfId="43699"/>
    <cellStyle name="Input 31 4 4 3" xfId="33095"/>
    <cellStyle name="Input 31 4 5" xfId="17400"/>
    <cellStyle name="Input 31 4 5 2" xfId="38587"/>
    <cellStyle name="Input 31 4 6" xfId="27707"/>
    <cellStyle name="Input 31 4_Table 2A-1_EFT (Annual)" xfId="7037"/>
    <cellStyle name="Input 31 5" xfId="786"/>
    <cellStyle name="Input 31 5 2" xfId="4347"/>
    <cellStyle name="Input 31 5 2 2" xfId="12627"/>
    <cellStyle name="Input 31 5 2 2 2" xfId="24644"/>
    <cellStyle name="Input 31 5 2 2 2 2" xfId="45830"/>
    <cellStyle name="Input 31 5 2 2 3" xfId="35226"/>
    <cellStyle name="Input 31 5 2 3" xfId="19531"/>
    <cellStyle name="Input 31 5 2 3 2" xfId="40718"/>
    <cellStyle name="Input 31 5 2 4" xfId="30004"/>
    <cellStyle name="Input 31 5 2_Table 2A-1_EFT (Annual)" xfId="15283"/>
    <cellStyle name="Input 31 5 3" xfId="9975"/>
    <cellStyle name="Input 31 5 3 2" xfId="22098"/>
    <cellStyle name="Input 31 5 3 2 2" xfId="43284"/>
    <cellStyle name="Input 31 5 3 3" xfId="32680"/>
    <cellStyle name="Input 31 5 4" xfId="16985"/>
    <cellStyle name="Input 31 5 4 2" xfId="38172"/>
    <cellStyle name="Input 31 5 5" xfId="27261"/>
    <cellStyle name="Input 31 5_Table 2A-1_EFT (Annual)" xfId="7039"/>
    <cellStyle name="Input 31 6" xfId="1971"/>
    <cellStyle name="Input 31 6 2" xfId="5532"/>
    <cellStyle name="Input 31 6 2 2" xfId="13747"/>
    <cellStyle name="Input 31 6 2 2 2" xfId="25735"/>
    <cellStyle name="Input 31 6 2 2 2 2" xfId="46921"/>
    <cellStyle name="Input 31 6 2 2 3" xfId="36317"/>
    <cellStyle name="Input 31 6 2 3" xfId="20622"/>
    <cellStyle name="Input 31 6 2 3 2" xfId="41809"/>
    <cellStyle name="Input 31 6 2 4" xfId="31189"/>
    <cellStyle name="Input 31 6 2_Table 2A-1_EFT (Annual)" xfId="15284"/>
    <cellStyle name="Input 31 6 3" xfId="11091"/>
    <cellStyle name="Input 31 6 3 2" xfId="23189"/>
    <cellStyle name="Input 31 6 3 2 2" xfId="44375"/>
    <cellStyle name="Input 31 6 3 3" xfId="33771"/>
    <cellStyle name="Input 31 6 4" xfId="18076"/>
    <cellStyle name="Input 31 6 4 2" xfId="39263"/>
    <cellStyle name="Input 31 6 5" xfId="28446"/>
    <cellStyle name="Input 31 6_Table 2A-1_EFT (Annual)" xfId="7040"/>
    <cellStyle name="Input 31 7" xfId="3773"/>
    <cellStyle name="Input 31 7 2" xfId="12141"/>
    <cellStyle name="Input 31 7 2 2" xfId="24171"/>
    <cellStyle name="Input 31 7 2 2 2" xfId="45357"/>
    <cellStyle name="Input 31 7 2 3" xfId="34753"/>
    <cellStyle name="Input 31 7 3" xfId="19058"/>
    <cellStyle name="Input 31 7 3 2" xfId="40245"/>
    <cellStyle name="Input 31 7 4" xfId="29482"/>
    <cellStyle name="Input 31 7_Table 2A-1_EFT (Annual)" xfId="15285"/>
    <cellStyle name="Input 31 8" xfId="9460"/>
    <cellStyle name="Input 31 8 2" xfId="21625"/>
    <cellStyle name="Input 31 8 2 2" xfId="42811"/>
    <cellStyle name="Input 31 8 3" xfId="32207"/>
    <cellStyle name="Input 31 9" xfId="16512"/>
    <cellStyle name="Input 31 9 2" xfId="37699"/>
    <cellStyle name="Input 31_Table 2A-1_EFT (Annual)" xfId="3060"/>
    <cellStyle name="Input 32" xfId="182"/>
    <cellStyle name="Input 32 10" xfId="26737"/>
    <cellStyle name="Input 32 2" xfId="575"/>
    <cellStyle name="Input 32 2 2" xfId="1552"/>
    <cellStyle name="Input 32 2 2 2" xfId="2822"/>
    <cellStyle name="Input 32 2 2 2 2" xfId="6383"/>
    <cellStyle name="Input 32 2 2 2 2 2" xfId="14577"/>
    <cellStyle name="Input 32 2 2 2 2 2 2" xfId="26549"/>
    <cellStyle name="Input 32 2 2 2 2 2 2 2" xfId="47735"/>
    <cellStyle name="Input 32 2 2 2 2 2 3" xfId="37131"/>
    <cellStyle name="Input 32 2 2 2 2 3" xfId="21436"/>
    <cellStyle name="Input 32 2 2 2 2 3 2" xfId="42623"/>
    <cellStyle name="Input 32 2 2 2 2 4" xfId="32039"/>
    <cellStyle name="Input 32 2 2 2 2_Table 2A-1_EFT (Annual)" xfId="15286"/>
    <cellStyle name="Input 32 2 2 2 3" xfId="11919"/>
    <cellStyle name="Input 32 2 2 2 3 2" xfId="24003"/>
    <cellStyle name="Input 32 2 2 2 3 2 2" xfId="45189"/>
    <cellStyle name="Input 32 2 2 2 3 3" xfId="34585"/>
    <cellStyle name="Input 32 2 2 2 4" xfId="18890"/>
    <cellStyle name="Input 32 2 2 2 4 2" xfId="40077"/>
    <cellStyle name="Input 32 2 2 2 5" xfId="29296"/>
    <cellStyle name="Input 32 2 2 2_Table 2A-1_EFT (Annual)" xfId="7042"/>
    <cellStyle name="Input 32 2 2 3" xfId="5113"/>
    <cellStyle name="Input 32 2 2 3 2" xfId="13373"/>
    <cellStyle name="Input 32 2 2 3 2 2" xfId="25379"/>
    <cellStyle name="Input 32 2 2 3 2 2 2" xfId="46565"/>
    <cellStyle name="Input 32 2 2 3 2 3" xfId="35961"/>
    <cellStyle name="Input 32 2 2 3 3" xfId="20266"/>
    <cellStyle name="Input 32 2 2 3 3 2" xfId="41453"/>
    <cellStyle name="Input 32 2 2 3 4" xfId="30770"/>
    <cellStyle name="Input 32 2 2 3_Table 2A-1_EFT (Annual)" xfId="15287"/>
    <cellStyle name="Input 32 2 2 4" xfId="10717"/>
    <cellStyle name="Input 32 2 2 4 2" xfId="22833"/>
    <cellStyle name="Input 32 2 2 4 2 2" xfId="44019"/>
    <cellStyle name="Input 32 2 2 4 3" xfId="33415"/>
    <cellStyle name="Input 32 2 2 5" xfId="17720"/>
    <cellStyle name="Input 32 2 2 5 2" xfId="38907"/>
    <cellStyle name="Input 32 2 2 6" xfId="28027"/>
    <cellStyle name="Input 32 2 2_Table 2A-1_EFT (Annual)" xfId="7041"/>
    <cellStyle name="Input 32 2 3" xfId="1076"/>
    <cellStyle name="Input 32 2 3 2" xfId="4637"/>
    <cellStyle name="Input 32 2 3 2 2" xfId="12897"/>
    <cellStyle name="Input 32 2 3 2 2 2" xfId="24903"/>
    <cellStyle name="Input 32 2 3 2 2 2 2" xfId="46089"/>
    <cellStyle name="Input 32 2 3 2 2 3" xfId="35485"/>
    <cellStyle name="Input 32 2 3 2 3" xfId="19790"/>
    <cellStyle name="Input 32 2 3 2 3 2" xfId="40977"/>
    <cellStyle name="Input 32 2 3 2 4" xfId="30294"/>
    <cellStyle name="Input 32 2 3 2_Table 2A-1_EFT (Annual)" xfId="15288"/>
    <cellStyle name="Input 32 2 3 3" xfId="10241"/>
    <cellStyle name="Input 32 2 3 3 2" xfId="22357"/>
    <cellStyle name="Input 32 2 3 3 2 2" xfId="43543"/>
    <cellStyle name="Input 32 2 3 3 3" xfId="32939"/>
    <cellStyle name="Input 32 2 3 4" xfId="17244"/>
    <cellStyle name="Input 32 2 3 4 2" xfId="38431"/>
    <cellStyle name="Input 32 2 3 5" xfId="27551"/>
    <cellStyle name="Input 32 2 3_Table 2A-1_EFT (Annual)" xfId="7043"/>
    <cellStyle name="Input 32 2 4" xfId="2291"/>
    <cellStyle name="Input 32 2 4 2" xfId="5852"/>
    <cellStyle name="Input 32 2 4 2 2" xfId="14067"/>
    <cellStyle name="Input 32 2 4 2 2 2" xfId="26055"/>
    <cellStyle name="Input 32 2 4 2 2 2 2" xfId="47241"/>
    <cellStyle name="Input 32 2 4 2 2 3" xfId="36637"/>
    <cellStyle name="Input 32 2 4 2 3" xfId="20942"/>
    <cellStyle name="Input 32 2 4 2 3 2" xfId="42129"/>
    <cellStyle name="Input 32 2 4 2 4" xfId="31509"/>
    <cellStyle name="Input 32 2 4 2_Table 2A-1_EFT (Annual)" xfId="15289"/>
    <cellStyle name="Input 32 2 4 3" xfId="11411"/>
    <cellStyle name="Input 32 2 4 3 2" xfId="23509"/>
    <cellStyle name="Input 32 2 4 3 2 2" xfId="44695"/>
    <cellStyle name="Input 32 2 4 3 3" xfId="34091"/>
    <cellStyle name="Input 32 2 4 4" xfId="18396"/>
    <cellStyle name="Input 32 2 4 4 2" xfId="39583"/>
    <cellStyle name="Input 32 2 4 5" xfId="28766"/>
    <cellStyle name="Input 32 2 4_Table 2A-1_EFT (Annual)" xfId="7044"/>
    <cellStyle name="Input 32 2 5" xfId="4145"/>
    <cellStyle name="Input 32 2 5 2" xfId="12469"/>
    <cellStyle name="Input 32 2 5 2 2" xfId="24491"/>
    <cellStyle name="Input 32 2 5 2 2 2" xfId="45677"/>
    <cellStyle name="Input 32 2 5 2 3" xfId="35073"/>
    <cellStyle name="Input 32 2 5 3" xfId="19378"/>
    <cellStyle name="Input 32 2 5 3 2" xfId="40565"/>
    <cellStyle name="Input 32 2 5 4" xfId="29833"/>
    <cellStyle name="Input 32 2 5_Table 2A-1_EFT (Annual)" xfId="15290"/>
    <cellStyle name="Input 32 2 6" xfId="9808"/>
    <cellStyle name="Input 32 2 6 2" xfId="21945"/>
    <cellStyle name="Input 32 2 6 2 2" xfId="43131"/>
    <cellStyle name="Input 32 2 6 3" xfId="32527"/>
    <cellStyle name="Input 32 2 7" xfId="16832"/>
    <cellStyle name="Input 32 2 7 2" xfId="38019"/>
    <cellStyle name="Input 32 2 8" xfId="27090"/>
    <cellStyle name="Input 32 2_Table 2A-1_EFT (Annual)" xfId="3064"/>
    <cellStyle name="Input 32 3" xfId="413"/>
    <cellStyle name="Input 32 3 2" xfId="1396"/>
    <cellStyle name="Input 32 3 2 2" xfId="2666"/>
    <cellStyle name="Input 32 3 2 2 2" xfId="6227"/>
    <cellStyle name="Input 32 3 2 2 2 2" xfId="14421"/>
    <cellStyle name="Input 32 3 2 2 2 2 2" xfId="26393"/>
    <cellStyle name="Input 32 3 2 2 2 2 2 2" xfId="47579"/>
    <cellStyle name="Input 32 3 2 2 2 2 3" xfId="36975"/>
    <cellStyle name="Input 32 3 2 2 2 3" xfId="21280"/>
    <cellStyle name="Input 32 3 2 2 2 3 2" xfId="42467"/>
    <cellStyle name="Input 32 3 2 2 2 4" xfId="31883"/>
    <cellStyle name="Input 32 3 2 2 2_Table 2A-1_EFT (Annual)" xfId="15291"/>
    <cellStyle name="Input 32 3 2 2 3" xfId="11763"/>
    <cellStyle name="Input 32 3 2 2 3 2" xfId="23847"/>
    <cellStyle name="Input 32 3 2 2 3 2 2" xfId="45033"/>
    <cellStyle name="Input 32 3 2 2 3 3" xfId="34429"/>
    <cellStyle name="Input 32 3 2 2 4" xfId="18734"/>
    <cellStyle name="Input 32 3 2 2 4 2" xfId="39921"/>
    <cellStyle name="Input 32 3 2 2 5" xfId="29140"/>
    <cellStyle name="Input 32 3 2 2_Table 2A-1_EFT (Annual)" xfId="7046"/>
    <cellStyle name="Input 32 3 2 3" xfId="4957"/>
    <cellStyle name="Input 32 3 2 3 2" xfId="13217"/>
    <cellStyle name="Input 32 3 2 3 2 2" xfId="25223"/>
    <cellStyle name="Input 32 3 2 3 2 2 2" xfId="46409"/>
    <cellStyle name="Input 32 3 2 3 2 3" xfId="35805"/>
    <cellStyle name="Input 32 3 2 3 3" xfId="20110"/>
    <cellStyle name="Input 32 3 2 3 3 2" xfId="41297"/>
    <cellStyle name="Input 32 3 2 3 4" xfId="30614"/>
    <cellStyle name="Input 32 3 2 3_Table 2A-1_EFT (Annual)" xfId="15292"/>
    <cellStyle name="Input 32 3 2 4" xfId="10561"/>
    <cellStyle name="Input 32 3 2 4 2" xfId="22677"/>
    <cellStyle name="Input 32 3 2 4 2 2" xfId="43863"/>
    <cellStyle name="Input 32 3 2 4 3" xfId="33259"/>
    <cellStyle name="Input 32 3 2 5" xfId="17564"/>
    <cellStyle name="Input 32 3 2 5 2" xfId="38751"/>
    <cellStyle name="Input 32 3 2 6" xfId="27871"/>
    <cellStyle name="Input 32 3 2_Table 2A-1_EFT (Annual)" xfId="7045"/>
    <cellStyle name="Input 32 3 3" xfId="944"/>
    <cellStyle name="Input 32 3 3 2" xfId="4505"/>
    <cellStyle name="Input 32 3 3 2 2" xfId="12767"/>
    <cellStyle name="Input 32 3 3 2 2 2" xfId="24777"/>
    <cellStyle name="Input 32 3 3 2 2 2 2" xfId="45963"/>
    <cellStyle name="Input 32 3 3 2 2 3" xfId="35359"/>
    <cellStyle name="Input 32 3 3 2 3" xfId="19664"/>
    <cellStyle name="Input 32 3 3 2 3 2" xfId="40851"/>
    <cellStyle name="Input 32 3 3 2 4" xfId="30162"/>
    <cellStyle name="Input 32 3 3 2_Table 2A-1_EFT (Annual)" xfId="15293"/>
    <cellStyle name="Input 32 3 3 3" xfId="10114"/>
    <cellStyle name="Input 32 3 3 3 2" xfId="22231"/>
    <cellStyle name="Input 32 3 3 3 2 2" xfId="43417"/>
    <cellStyle name="Input 32 3 3 3 3" xfId="32813"/>
    <cellStyle name="Input 32 3 3 4" xfId="17118"/>
    <cellStyle name="Input 32 3 3 4 2" xfId="38305"/>
    <cellStyle name="Input 32 3 3 5" xfId="27419"/>
    <cellStyle name="Input 32 3 3_Table 2A-1_EFT (Annual)" xfId="7047"/>
    <cellStyle name="Input 32 3 4" xfId="2135"/>
    <cellStyle name="Input 32 3 4 2" xfId="5696"/>
    <cellStyle name="Input 32 3 4 2 2" xfId="13911"/>
    <cellStyle name="Input 32 3 4 2 2 2" xfId="25899"/>
    <cellStyle name="Input 32 3 4 2 2 2 2" xfId="47085"/>
    <cellStyle name="Input 32 3 4 2 2 3" xfId="36481"/>
    <cellStyle name="Input 32 3 4 2 3" xfId="20786"/>
    <cellStyle name="Input 32 3 4 2 3 2" xfId="41973"/>
    <cellStyle name="Input 32 3 4 2 4" xfId="31353"/>
    <cellStyle name="Input 32 3 4 2_Table 2A-1_EFT (Annual)" xfId="15294"/>
    <cellStyle name="Input 32 3 4 3" xfId="11255"/>
    <cellStyle name="Input 32 3 4 3 2" xfId="23353"/>
    <cellStyle name="Input 32 3 4 3 2 2" xfId="44539"/>
    <cellStyle name="Input 32 3 4 3 3" xfId="33935"/>
    <cellStyle name="Input 32 3 4 4" xfId="18240"/>
    <cellStyle name="Input 32 3 4 4 2" xfId="39427"/>
    <cellStyle name="Input 32 3 4 5" xfId="28610"/>
    <cellStyle name="Input 32 3 4_Table 2A-1_EFT (Annual)" xfId="7048"/>
    <cellStyle name="Input 32 3 5" xfId="3983"/>
    <cellStyle name="Input 32 3 5 2" xfId="12311"/>
    <cellStyle name="Input 32 3 5 2 2" xfId="24335"/>
    <cellStyle name="Input 32 3 5 2 2 2" xfId="45521"/>
    <cellStyle name="Input 32 3 5 2 3" xfId="34917"/>
    <cellStyle name="Input 32 3 5 3" xfId="19222"/>
    <cellStyle name="Input 32 3 5 3 2" xfId="40409"/>
    <cellStyle name="Input 32 3 5 4" xfId="29671"/>
    <cellStyle name="Input 32 3 5_Table 2A-1_EFT (Annual)" xfId="15295"/>
    <cellStyle name="Input 32 3 6" xfId="9648"/>
    <cellStyle name="Input 32 3 6 2" xfId="21789"/>
    <cellStyle name="Input 32 3 6 2 2" xfId="42975"/>
    <cellStyle name="Input 32 3 6 3" xfId="32371"/>
    <cellStyle name="Input 32 3 7" xfId="16676"/>
    <cellStyle name="Input 32 3 7 2" xfId="37863"/>
    <cellStyle name="Input 32 3 8" xfId="26928"/>
    <cellStyle name="Input 32 3_Table 2A-1_EFT (Annual)" xfId="3065"/>
    <cellStyle name="Input 32 4" xfId="1230"/>
    <cellStyle name="Input 32 4 2" xfId="2500"/>
    <cellStyle name="Input 32 4 2 2" xfId="6061"/>
    <cellStyle name="Input 32 4 2 2 2" xfId="14255"/>
    <cellStyle name="Input 32 4 2 2 2 2" xfId="26227"/>
    <cellStyle name="Input 32 4 2 2 2 2 2" xfId="47413"/>
    <cellStyle name="Input 32 4 2 2 2 3" xfId="36809"/>
    <cellStyle name="Input 32 4 2 2 3" xfId="21114"/>
    <cellStyle name="Input 32 4 2 2 3 2" xfId="42301"/>
    <cellStyle name="Input 32 4 2 2 4" xfId="31717"/>
    <cellStyle name="Input 32 4 2 2_Table 2A-1_EFT (Annual)" xfId="15296"/>
    <cellStyle name="Input 32 4 2 3" xfId="11597"/>
    <cellStyle name="Input 32 4 2 3 2" xfId="23681"/>
    <cellStyle name="Input 32 4 2 3 2 2" xfId="44867"/>
    <cellStyle name="Input 32 4 2 3 3" xfId="34263"/>
    <cellStyle name="Input 32 4 2 4" xfId="18568"/>
    <cellStyle name="Input 32 4 2 4 2" xfId="39755"/>
    <cellStyle name="Input 32 4 2 5" xfId="28974"/>
    <cellStyle name="Input 32 4 2_Table 2A-1_EFT (Annual)" xfId="7050"/>
    <cellStyle name="Input 32 4 3" xfId="4791"/>
    <cellStyle name="Input 32 4 3 2" xfId="13051"/>
    <cellStyle name="Input 32 4 3 2 2" xfId="25057"/>
    <cellStyle name="Input 32 4 3 2 2 2" xfId="46243"/>
    <cellStyle name="Input 32 4 3 2 3" xfId="35639"/>
    <cellStyle name="Input 32 4 3 3" xfId="19944"/>
    <cellStyle name="Input 32 4 3 3 2" xfId="41131"/>
    <cellStyle name="Input 32 4 3 4" xfId="30448"/>
    <cellStyle name="Input 32 4 3_Table 2A-1_EFT (Annual)" xfId="15297"/>
    <cellStyle name="Input 32 4 4" xfId="10395"/>
    <cellStyle name="Input 32 4 4 2" xfId="22511"/>
    <cellStyle name="Input 32 4 4 2 2" xfId="43697"/>
    <cellStyle name="Input 32 4 4 3" xfId="33093"/>
    <cellStyle name="Input 32 4 5" xfId="17398"/>
    <cellStyle name="Input 32 4 5 2" xfId="38585"/>
    <cellStyle name="Input 32 4 6" xfId="27705"/>
    <cellStyle name="Input 32 4_Table 2A-1_EFT (Annual)" xfId="7049"/>
    <cellStyle name="Input 32 5" xfId="785"/>
    <cellStyle name="Input 32 5 2" xfId="4346"/>
    <cellStyle name="Input 32 5 2 2" xfId="12626"/>
    <cellStyle name="Input 32 5 2 2 2" xfId="24643"/>
    <cellStyle name="Input 32 5 2 2 2 2" xfId="45829"/>
    <cellStyle name="Input 32 5 2 2 3" xfId="35225"/>
    <cellStyle name="Input 32 5 2 3" xfId="19530"/>
    <cellStyle name="Input 32 5 2 3 2" xfId="40717"/>
    <cellStyle name="Input 32 5 2 4" xfId="30003"/>
    <cellStyle name="Input 32 5 2_Table 2A-1_EFT (Annual)" xfId="15298"/>
    <cellStyle name="Input 32 5 3" xfId="9974"/>
    <cellStyle name="Input 32 5 3 2" xfId="22097"/>
    <cellStyle name="Input 32 5 3 2 2" xfId="43283"/>
    <cellStyle name="Input 32 5 3 3" xfId="32679"/>
    <cellStyle name="Input 32 5 4" xfId="16984"/>
    <cellStyle name="Input 32 5 4 2" xfId="38171"/>
    <cellStyle name="Input 32 5 5" xfId="27260"/>
    <cellStyle name="Input 32 5_Table 2A-1_EFT (Annual)" xfId="7051"/>
    <cellStyle name="Input 32 6" xfId="1969"/>
    <cellStyle name="Input 32 6 2" xfId="5530"/>
    <cellStyle name="Input 32 6 2 2" xfId="13745"/>
    <cellStyle name="Input 32 6 2 2 2" xfId="25733"/>
    <cellStyle name="Input 32 6 2 2 2 2" xfId="46919"/>
    <cellStyle name="Input 32 6 2 2 3" xfId="36315"/>
    <cellStyle name="Input 32 6 2 3" xfId="20620"/>
    <cellStyle name="Input 32 6 2 3 2" xfId="41807"/>
    <cellStyle name="Input 32 6 2 4" xfId="31187"/>
    <cellStyle name="Input 32 6 2_Table 2A-1_EFT (Annual)" xfId="15299"/>
    <cellStyle name="Input 32 6 3" xfId="11089"/>
    <cellStyle name="Input 32 6 3 2" xfId="23187"/>
    <cellStyle name="Input 32 6 3 2 2" xfId="44373"/>
    <cellStyle name="Input 32 6 3 3" xfId="33769"/>
    <cellStyle name="Input 32 6 4" xfId="18074"/>
    <cellStyle name="Input 32 6 4 2" xfId="39261"/>
    <cellStyle name="Input 32 6 5" xfId="28444"/>
    <cellStyle name="Input 32 6_Table 2A-1_EFT (Annual)" xfId="7052"/>
    <cellStyle name="Input 32 7" xfId="3771"/>
    <cellStyle name="Input 32 7 2" xfId="12139"/>
    <cellStyle name="Input 32 7 2 2" xfId="24169"/>
    <cellStyle name="Input 32 7 2 2 2" xfId="45355"/>
    <cellStyle name="Input 32 7 2 3" xfId="34751"/>
    <cellStyle name="Input 32 7 3" xfId="19056"/>
    <cellStyle name="Input 32 7 3 2" xfId="40243"/>
    <cellStyle name="Input 32 7 4" xfId="29480"/>
    <cellStyle name="Input 32 7_Table 2A-1_EFT (Annual)" xfId="15300"/>
    <cellStyle name="Input 32 8" xfId="9458"/>
    <cellStyle name="Input 32 8 2" xfId="21623"/>
    <cellStyle name="Input 32 8 2 2" xfId="42809"/>
    <cellStyle name="Input 32 8 3" xfId="32205"/>
    <cellStyle name="Input 32 9" xfId="16510"/>
    <cellStyle name="Input 32 9 2" xfId="37697"/>
    <cellStyle name="Input 32_Table 2A-1_EFT (Annual)" xfId="3063"/>
    <cellStyle name="Input 33" xfId="244"/>
    <cellStyle name="Input 33 10" xfId="26799"/>
    <cellStyle name="Input 33 2" xfId="631"/>
    <cellStyle name="Input 33 2 2" xfId="1608"/>
    <cellStyle name="Input 33 2 2 2" xfId="2878"/>
    <cellStyle name="Input 33 2 2 2 2" xfId="6439"/>
    <cellStyle name="Input 33 2 2 2 2 2" xfId="14633"/>
    <cellStyle name="Input 33 2 2 2 2 2 2" xfId="26605"/>
    <cellStyle name="Input 33 2 2 2 2 2 2 2" xfId="47791"/>
    <cellStyle name="Input 33 2 2 2 2 2 3" xfId="37187"/>
    <cellStyle name="Input 33 2 2 2 2 3" xfId="21492"/>
    <cellStyle name="Input 33 2 2 2 2 3 2" xfId="42679"/>
    <cellStyle name="Input 33 2 2 2 2 4" xfId="32095"/>
    <cellStyle name="Input 33 2 2 2 2_Table 2A-1_EFT (Annual)" xfId="15301"/>
    <cellStyle name="Input 33 2 2 2 3" xfId="11975"/>
    <cellStyle name="Input 33 2 2 2 3 2" xfId="24059"/>
    <cellStyle name="Input 33 2 2 2 3 2 2" xfId="45245"/>
    <cellStyle name="Input 33 2 2 2 3 3" xfId="34641"/>
    <cellStyle name="Input 33 2 2 2 4" xfId="18946"/>
    <cellStyle name="Input 33 2 2 2 4 2" xfId="40133"/>
    <cellStyle name="Input 33 2 2 2 5" xfId="29352"/>
    <cellStyle name="Input 33 2 2 2_Table 2A-1_EFT (Annual)" xfId="7054"/>
    <cellStyle name="Input 33 2 2 3" xfId="5169"/>
    <cellStyle name="Input 33 2 2 3 2" xfId="13429"/>
    <cellStyle name="Input 33 2 2 3 2 2" xfId="25435"/>
    <cellStyle name="Input 33 2 2 3 2 2 2" xfId="46621"/>
    <cellStyle name="Input 33 2 2 3 2 3" xfId="36017"/>
    <cellStyle name="Input 33 2 2 3 3" xfId="20322"/>
    <cellStyle name="Input 33 2 2 3 3 2" xfId="41509"/>
    <cellStyle name="Input 33 2 2 3 4" xfId="30826"/>
    <cellStyle name="Input 33 2 2 3_Table 2A-1_EFT (Annual)" xfId="15302"/>
    <cellStyle name="Input 33 2 2 4" xfId="10773"/>
    <cellStyle name="Input 33 2 2 4 2" xfId="22889"/>
    <cellStyle name="Input 33 2 2 4 2 2" xfId="44075"/>
    <cellStyle name="Input 33 2 2 4 3" xfId="33471"/>
    <cellStyle name="Input 33 2 2 5" xfId="17776"/>
    <cellStyle name="Input 33 2 2 5 2" xfId="38963"/>
    <cellStyle name="Input 33 2 2 6" xfId="28083"/>
    <cellStyle name="Input 33 2 2_Table 2A-1_EFT (Annual)" xfId="7053"/>
    <cellStyle name="Input 33 2 3" xfId="1121"/>
    <cellStyle name="Input 33 2 3 2" xfId="4682"/>
    <cellStyle name="Input 33 2 3 2 2" xfId="12942"/>
    <cellStyle name="Input 33 2 3 2 2 2" xfId="24948"/>
    <cellStyle name="Input 33 2 3 2 2 2 2" xfId="46134"/>
    <cellStyle name="Input 33 2 3 2 2 3" xfId="35530"/>
    <cellStyle name="Input 33 2 3 2 3" xfId="19835"/>
    <cellStyle name="Input 33 2 3 2 3 2" xfId="41022"/>
    <cellStyle name="Input 33 2 3 2 4" xfId="30339"/>
    <cellStyle name="Input 33 2 3 2_Table 2A-1_EFT (Annual)" xfId="15303"/>
    <cellStyle name="Input 33 2 3 3" xfId="10286"/>
    <cellStyle name="Input 33 2 3 3 2" xfId="22402"/>
    <cellStyle name="Input 33 2 3 3 2 2" xfId="43588"/>
    <cellStyle name="Input 33 2 3 3 3" xfId="32984"/>
    <cellStyle name="Input 33 2 3 4" xfId="17289"/>
    <cellStyle name="Input 33 2 3 4 2" xfId="38476"/>
    <cellStyle name="Input 33 2 3 5" xfId="27596"/>
    <cellStyle name="Input 33 2 3_Table 2A-1_EFT (Annual)" xfId="7055"/>
    <cellStyle name="Input 33 2 4" xfId="2347"/>
    <cellStyle name="Input 33 2 4 2" xfId="5908"/>
    <cellStyle name="Input 33 2 4 2 2" xfId="14123"/>
    <cellStyle name="Input 33 2 4 2 2 2" xfId="26111"/>
    <cellStyle name="Input 33 2 4 2 2 2 2" xfId="47297"/>
    <cellStyle name="Input 33 2 4 2 2 3" xfId="36693"/>
    <cellStyle name="Input 33 2 4 2 3" xfId="20998"/>
    <cellStyle name="Input 33 2 4 2 3 2" xfId="42185"/>
    <cellStyle name="Input 33 2 4 2 4" xfId="31565"/>
    <cellStyle name="Input 33 2 4 2_Table 2A-1_EFT (Annual)" xfId="15304"/>
    <cellStyle name="Input 33 2 4 3" xfId="11467"/>
    <cellStyle name="Input 33 2 4 3 2" xfId="23565"/>
    <cellStyle name="Input 33 2 4 3 2 2" xfId="44751"/>
    <cellStyle name="Input 33 2 4 3 3" xfId="34147"/>
    <cellStyle name="Input 33 2 4 4" xfId="18452"/>
    <cellStyle name="Input 33 2 4 4 2" xfId="39639"/>
    <cellStyle name="Input 33 2 4 5" xfId="28822"/>
    <cellStyle name="Input 33 2 4_Table 2A-1_EFT (Annual)" xfId="7056"/>
    <cellStyle name="Input 33 2 5" xfId="4201"/>
    <cellStyle name="Input 33 2 5 2" xfId="12525"/>
    <cellStyle name="Input 33 2 5 2 2" xfId="24547"/>
    <cellStyle name="Input 33 2 5 2 2 2" xfId="45733"/>
    <cellStyle name="Input 33 2 5 2 3" xfId="35129"/>
    <cellStyle name="Input 33 2 5 3" xfId="19434"/>
    <cellStyle name="Input 33 2 5 3 2" xfId="40621"/>
    <cellStyle name="Input 33 2 5 4" xfId="29889"/>
    <cellStyle name="Input 33 2 5_Table 2A-1_EFT (Annual)" xfId="15305"/>
    <cellStyle name="Input 33 2 6" xfId="9864"/>
    <cellStyle name="Input 33 2 6 2" xfId="22001"/>
    <cellStyle name="Input 33 2 6 2 2" xfId="43187"/>
    <cellStyle name="Input 33 2 6 3" xfId="32583"/>
    <cellStyle name="Input 33 2 7" xfId="16888"/>
    <cellStyle name="Input 33 2 7 2" xfId="38075"/>
    <cellStyle name="Input 33 2 8" xfId="27146"/>
    <cellStyle name="Input 33 2_Table 2A-1_EFT (Annual)" xfId="3067"/>
    <cellStyle name="Input 33 3" xfId="470"/>
    <cellStyle name="Input 33 3 2" xfId="1447"/>
    <cellStyle name="Input 33 3 2 2" xfId="2717"/>
    <cellStyle name="Input 33 3 2 2 2" xfId="6278"/>
    <cellStyle name="Input 33 3 2 2 2 2" xfId="14472"/>
    <cellStyle name="Input 33 3 2 2 2 2 2" xfId="26444"/>
    <cellStyle name="Input 33 3 2 2 2 2 2 2" xfId="47630"/>
    <cellStyle name="Input 33 3 2 2 2 2 3" xfId="37026"/>
    <cellStyle name="Input 33 3 2 2 2 3" xfId="21331"/>
    <cellStyle name="Input 33 3 2 2 2 3 2" xfId="42518"/>
    <cellStyle name="Input 33 3 2 2 2 4" xfId="31934"/>
    <cellStyle name="Input 33 3 2 2 2_Table 2A-1_EFT (Annual)" xfId="15306"/>
    <cellStyle name="Input 33 3 2 2 3" xfId="11814"/>
    <cellStyle name="Input 33 3 2 2 3 2" xfId="23898"/>
    <cellStyle name="Input 33 3 2 2 3 2 2" xfId="45084"/>
    <cellStyle name="Input 33 3 2 2 3 3" xfId="34480"/>
    <cellStyle name="Input 33 3 2 2 4" xfId="18785"/>
    <cellStyle name="Input 33 3 2 2 4 2" xfId="39972"/>
    <cellStyle name="Input 33 3 2 2 5" xfId="29191"/>
    <cellStyle name="Input 33 3 2 2_Table 2A-1_EFT (Annual)" xfId="7058"/>
    <cellStyle name="Input 33 3 2 3" xfId="5008"/>
    <cellStyle name="Input 33 3 2 3 2" xfId="13268"/>
    <cellStyle name="Input 33 3 2 3 2 2" xfId="25274"/>
    <cellStyle name="Input 33 3 2 3 2 2 2" xfId="46460"/>
    <cellStyle name="Input 33 3 2 3 2 3" xfId="35856"/>
    <cellStyle name="Input 33 3 2 3 3" xfId="20161"/>
    <cellStyle name="Input 33 3 2 3 3 2" xfId="41348"/>
    <cellStyle name="Input 33 3 2 3 4" xfId="30665"/>
    <cellStyle name="Input 33 3 2 3_Table 2A-1_EFT (Annual)" xfId="15307"/>
    <cellStyle name="Input 33 3 2 4" xfId="10612"/>
    <cellStyle name="Input 33 3 2 4 2" xfId="22728"/>
    <cellStyle name="Input 33 3 2 4 2 2" xfId="43914"/>
    <cellStyle name="Input 33 3 2 4 3" xfId="33310"/>
    <cellStyle name="Input 33 3 2 5" xfId="17615"/>
    <cellStyle name="Input 33 3 2 5 2" xfId="38802"/>
    <cellStyle name="Input 33 3 2 6" xfId="27922"/>
    <cellStyle name="Input 33 3 2_Table 2A-1_EFT (Annual)" xfId="7057"/>
    <cellStyle name="Input 33 3 3" xfId="991"/>
    <cellStyle name="Input 33 3 3 2" xfId="4552"/>
    <cellStyle name="Input 33 3 3 2 2" xfId="12812"/>
    <cellStyle name="Input 33 3 3 2 2 2" xfId="24818"/>
    <cellStyle name="Input 33 3 3 2 2 2 2" xfId="46004"/>
    <cellStyle name="Input 33 3 3 2 2 3" xfId="35400"/>
    <cellStyle name="Input 33 3 3 2 3" xfId="19705"/>
    <cellStyle name="Input 33 3 3 2 3 2" xfId="40892"/>
    <cellStyle name="Input 33 3 3 2 4" xfId="30209"/>
    <cellStyle name="Input 33 3 3 2_Table 2A-1_EFT (Annual)" xfId="15308"/>
    <cellStyle name="Input 33 3 3 3" xfId="10156"/>
    <cellStyle name="Input 33 3 3 3 2" xfId="22272"/>
    <cellStyle name="Input 33 3 3 3 2 2" xfId="43458"/>
    <cellStyle name="Input 33 3 3 3 3" xfId="32854"/>
    <cellStyle name="Input 33 3 3 4" xfId="17159"/>
    <cellStyle name="Input 33 3 3 4 2" xfId="38346"/>
    <cellStyle name="Input 33 3 3 5" xfId="27466"/>
    <cellStyle name="Input 33 3 3_Table 2A-1_EFT (Annual)" xfId="7059"/>
    <cellStyle name="Input 33 3 4" xfId="2186"/>
    <cellStyle name="Input 33 3 4 2" xfId="5747"/>
    <cellStyle name="Input 33 3 4 2 2" xfId="13962"/>
    <cellStyle name="Input 33 3 4 2 2 2" xfId="25950"/>
    <cellStyle name="Input 33 3 4 2 2 2 2" xfId="47136"/>
    <cellStyle name="Input 33 3 4 2 2 3" xfId="36532"/>
    <cellStyle name="Input 33 3 4 2 3" xfId="20837"/>
    <cellStyle name="Input 33 3 4 2 3 2" xfId="42024"/>
    <cellStyle name="Input 33 3 4 2 4" xfId="31404"/>
    <cellStyle name="Input 33 3 4 2_Table 2A-1_EFT (Annual)" xfId="15309"/>
    <cellStyle name="Input 33 3 4 3" xfId="11306"/>
    <cellStyle name="Input 33 3 4 3 2" xfId="23404"/>
    <cellStyle name="Input 33 3 4 3 2 2" xfId="44590"/>
    <cellStyle name="Input 33 3 4 3 3" xfId="33986"/>
    <cellStyle name="Input 33 3 4 4" xfId="18291"/>
    <cellStyle name="Input 33 3 4 4 2" xfId="39478"/>
    <cellStyle name="Input 33 3 4 5" xfId="28661"/>
    <cellStyle name="Input 33 3 4_Table 2A-1_EFT (Annual)" xfId="7060"/>
    <cellStyle name="Input 33 3 5" xfId="4040"/>
    <cellStyle name="Input 33 3 5 2" xfId="12364"/>
    <cellStyle name="Input 33 3 5 2 2" xfId="24386"/>
    <cellStyle name="Input 33 3 5 2 2 2" xfId="45572"/>
    <cellStyle name="Input 33 3 5 2 3" xfId="34968"/>
    <cellStyle name="Input 33 3 5 3" xfId="19273"/>
    <cellStyle name="Input 33 3 5 3 2" xfId="40460"/>
    <cellStyle name="Input 33 3 5 4" xfId="29728"/>
    <cellStyle name="Input 33 3 5_Table 2A-1_EFT (Annual)" xfId="15310"/>
    <cellStyle name="Input 33 3 6" xfId="9703"/>
    <cellStyle name="Input 33 3 6 2" xfId="21840"/>
    <cellStyle name="Input 33 3 6 2 2" xfId="43026"/>
    <cellStyle name="Input 33 3 6 3" xfId="32422"/>
    <cellStyle name="Input 33 3 7" xfId="16727"/>
    <cellStyle name="Input 33 3 7 2" xfId="37914"/>
    <cellStyle name="Input 33 3 8" xfId="26985"/>
    <cellStyle name="Input 33 3_Table 2A-1_EFT (Annual)" xfId="3068"/>
    <cellStyle name="Input 33 4" xfId="1286"/>
    <cellStyle name="Input 33 4 2" xfId="2556"/>
    <cellStyle name="Input 33 4 2 2" xfId="6117"/>
    <cellStyle name="Input 33 4 2 2 2" xfId="14311"/>
    <cellStyle name="Input 33 4 2 2 2 2" xfId="26283"/>
    <cellStyle name="Input 33 4 2 2 2 2 2" xfId="47469"/>
    <cellStyle name="Input 33 4 2 2 2 3" xfId="36865"/>
    <cellStyle name="Input 33 4 2 2 3" xfId="21170"/>
    <cellStyle name="Input 33 4 2 2 3 2" xfId="42357"/>
    <cellStyle name="Input 33 4 2 2 4" xfId="31773"/>
    <cellStyle name="Input 33 4 2 2_Table 2A-1_EFT (Annual)" xfId="15311"/>
    <cellStyle name="Input 33 4 2 3" xfId="11653"/>
    <cellStyle name="Input 33 4 2 3 2" xfId="23737"/>
    <cellStyle name="Input 33 4 2 3 2 2" xfId="44923"/>
    <cellStyle name="Input 33 4 2 3 3" xfId="34319"/>
    <cellStyle name="Input 33 4 2 4" xfId="18624"/>
    <cellStyle name="Input 33 4 2 4 2" xfId="39811"/>
    <cellStyle name="Input 33 4 2 5" xfId="29030"/>
    <cellStyle name="Input 33 4 2_Table 2A-1_EFT (Annual)" xfId="7062"/>
    <cellStyle name="Input 33 4 3" xfId="4847"/>
    <cellStyle name="Input 33 4 3 2" xfId="13107"/>
    <cellStyle name="Input 33 4 3 2 2" xfId="25113"/>
    <cellStyle name="Input 33 4 3 2 2 2" xfId="46299"/>
    <cellStyle name="Input 33 4 3 2 3" xfId="35695"/>
    <cellStyle name="Input 33 4 3 3" xfId="20000"/>
    <cellStyle name="Input 33 4 3 3 2" xfId="41187"/>
    <cellStyle name="Input 33 4 3 4" xfId="30504"/>
    <cellStyle name="Input 33 4 3_Table 2A-1_EFT (Annual)" xfId="15312"/>
    <cellStyle name="Input 33 4 4" xfId="10451"/>
    <cellStyle name="Input 33 4 4 2" xfId="22567"/>
    <cellStyle name="Input 33 4 4 2 2" xfId="43753"/>
    <cellStyle name="Input 33 4 4 3" xfId="33149"/>
    <cellStyle name="Input 33 4 5" xfId="17454"/>
    <cellStyle name="Input 33 4 5 2" xfId="38641"/>
    <cellStyle name="Input 33 4 6" xfId="27761"/>
    <cellStyle name="Input 33 4_Table 2A-1_EFT (Annual)" xfId="7061"/>
    <cellStyle name="Input 33 5" xfId="836"/>
    <cellStyle name="Input 33 5 2" xfId="4397"/>
    <cellStyle name="Input 33 5 2 2" xfId="12671"/>
    <cellStyle name="Input 33 5 2 2 2" xfId="24688"/>
    <cellStyle name="Input 33 5 2 2 2 2" xfId="45874"/>
    <cellStyle name="Input 33 5 2 2 3" xfId="35270"/>
    <cellStyle name="Input 33 5 2 3" xfId="19575"/>
    <cellStyle name="Input 33 5 2 3 2" xfId="40762"/>
    <cellStyle name="Input 33 5 2 4" xfId="30054"/>
    <cellStyle name="Input 33 5 2_Table 2A-1_EFT (Annual)" xfId="15313"/>
    <cellStyle name="Input 33 5 3" xfId="10020"/>
    <cellStyle name="Input 33 5 3 2" xfId="22142"/>
    <cellStyle name="Input 33 5 3 2 2" xfId="43328"/>
    <cellStyle name="Input 33 5 3 3" xfId="32724"/>
    <cellStyle name="Input 33 5 4" xfId="17029"/>
    <cellStyle name="Input 33 5 4 2" xfId="38216"/>
    <cellStyle name="Input 33 5 5" xfId="27311"/>
    <cellStyle name="Input 33 5_Table 2A-1_EFT (Annual)" xfId="7063"/>
    <cellStyle name="Input 33 6" xfId="2025"/>
    <cellStyle name="Input 33 6 2" xfId="5586"/>
    <cellStyle name="Input 33 6 2 2" xfId="13801"/>
    <cellStyle name="Input 33 6 2 2 2" xfId="25789"/>
    <cellStyle name="Input 33 6 2 2 2 2" xfId="46975"/>
    <cellStyle name="Input 33 6 2 2 3" xfId="36371"/>
    <cellStyle name="Input 33 6 2 3" xfId="20676"/>
    <cellStyle name="Input 33 6 2 3 2" xfId="41863"/>
    <cellStyle name="Input 33 6 2 4" xfId="31243"/>
    <cellStyle name="Input 33 6 2_Table 2A-1_EFT (Annual)" xfId="15314"/>
    <cellStyle name="Input 33 6 3" xfId="11145"/>
    <cellStyle name="Input 33 6 3 2" xfId="23243"/>
    <cellStyle name="Input 33 6 3 2 2" xfId="44429"/>
    <cellStyle name="Input 33 6 3 3" xfId="33825"/>
    <cellStyle name="Input 33 6 4" xfId="18130"/>
    <cellStyle name="Input 33 6 4 2" xfId="39317"/>
    <cellStyle name="Input 33 6 5" xfId="28500"/>
    <cellStyle name="Input 33 6_Table 2A-1_EFT (Annual)" xfId="7064"/>
    <cellStyle name="Input 33 7" xfId="3833"/>
    <cellStyle name="Input 33 7 2" xfId="12196"/>
    <cellStyle name="Input 33 7 2 2" xfId="24225"/>
    <cellStyle name="Input 33 7 2 2 2" xfId="45411"/>
    <cellStyle name="Input 33 7 2 3" xfId="34807"/>
    <cellStyle name="Input 33 7 3" xfId="19112"/>
    <cellStyle name="Input 33 7 3 2" xfId="40299"/>
    <cellStyle name="Input 33 7 4" xfId="29542"/>
    <cellStyle name="Input 33 7_Table 2A-1_EFT (Annual)" xfId="15315"/>
    <cellStyle name="Input 33 8" xfId="9515"/>
    <cellStyle name="Input 33 8 2" xfId="21679"/>
    <cellStyle name="Input 33 8 2 2" xfId="42865"/>
    <cellStyle name="Input 33 8 3" xfId="32261"/>
    <cellStyle name="Input 33 9" xfId="16566"/>
    <cellStyle name="Input 33 9 2" xfId="37753"/>
    <cellStyle name="Input 33_Table 2A-1_EFT (Annual)" xfId="3066"/>
    <cellStyle name="Input 34" xfId="193"/>
    <cellStyle name="Input 34 2" xfId="586"/>
    <cellStyle name="Input 34 2 2" xfId="1563"/>
    <cellStyle name="Input 34 2 2 2" xfId="2833"/>
    <cellStyle name="Input 34 2 2 2 2" xfId="6394"/>
    <cellStyle name="Input 34 2 2 2 2 2" xfId="14588"/>
    <cellStyle name="Input 34 2 2 2 2 2 2" xfId="26560"/>
    <cellStyle name="Input 34 2 2 2 2 2 2 2" xfId="47746"/>
    <cellStyle name="Input 34 2 2 2 2 2 3" xfId="37142"/>
    <cellStyle name="Input 34 2 2 2 2 3" xfId="21447"/>
    <cellStyle name="Input 34 2 2 2 2 3 2" xfId="42634"/>
    <cellStyle name="Input 34 2 2 2 2 4" xfId="32050"/>
    <cellStyle name="Input 34 2 2 2 2_Table 2A-1_EFT (Annual)" xfId="15316"/>
    <cellStyle name="Input 34 2 2 2 3" xfId="11930"/>
    <cellStyle name="Input 34 2 2 2 3 2" xfId="24014"/>
    <cellStyle name="Input 34 2 2 2 3 2 2" xfId="45200"/>
    <cellStyle name="Input 34 2 2 2 3 3" xfId="34596"/>
    <cellStyle name="Input 34 2 2 2 4" xfId="18901"/>
    <cellStyle name="Input 34 2 2 2 4 2" xfId="40088"/>
    <cellStyle name="Input 34 2 2 2 5" xfId="29307"/>
    <cellStyle name="Input 34 2 2 2_Table 2A-1_EFT (Annual)" xfId="7066"/>
    <cellStyle name="Input 34 2 2 3" xfId="5124"/>
    <cellStyle name="Input 34 2 2 3 2" xfId="13384"/>
    <cellStyle name="Input 34 2 2 3 2 2" xfId="25390"/>
    <cellStyle name="Input 34 2 2 3 2 2 2" xfId="46576"/>
    <cellStyle name="Input 34 2 2 3 2 3" xfId="35972"/>
    <cellStyle name="Input 34 2 2 3 3" xfId="20277"/>
    <cellStyle name="Input 34 2 2 3 3 2" xfId="41464"/>
    <cellStyle name="Input 34 2 2 3 4" xfId="30781"/>
    <cellStyle name="Input 34 2 2 3_Table 2A-1_EFT (Annual)" xfId="15317"/>
    <cellStyle name="Input 34 2 2 4" xfId="10728"/>
    <cellStyle name="Input 34 2 2 4 2" xfId="22844"/>
    <cellStyle name="Input 34 2 2 4 2 2" xfId="44030"/>
    <cellStyle name="Input 34 2 2 4 3" xfId="33426"/>
    <cellStyle name="Input 34 2 2 5" xfId="17731"/>
    <cellStyle name="Input 34 2 2 5 2" xfId="38918"/>
    <cellStyle name="Input 34 2 2 6" xfId="28038"/>
    <cellStyle name="Input 34 2 2_Table 2A-1_EFT (Annual)" xfId="7065"/>
    <cellStyle name="Input 34 2 3" xfId="1085"/>
    <cellStyle name="Input 34 2 3 2" xfId="4646"/>
    <cellStyle name="Input 34 2 3 2 2" xfId="12906"/>
    <cellStyle name="Input 34 2 3 2 2 2" xfId="24912"/>
    <cellStyle name="Input 34 2 3 2 2 2 2" xfId="46098"/>
    <cellStyle name="Input 34 2 3 2 2 3" xfId="35494"/>
    <cellStyle name="Input 34 2 3 2 3" xfId="19799"/>
    <cellStyle name="Input 34 2 3 2 3 2" xfId="40986"/>
    <cellStyle name="Input 34 2 3 2 4" xfId="30303"/>
    <cellStyle name="Input 34 2 3 2_Table 2A-1_EFT (Annual)" xfId="15318"/>
    <cellStyle name="Input 34 2 3 3" xfId="10250"/>
    <cellStyle name="Input 34 2 3 3 2" xfId="22366"/>
    <cellStyle name="Input 34 2 3 3 2 2" xfId="43552"/>
    <cellStyle name="Input 34 2 3 3 3" xfId="32948"/>
    <cellStyle name="Input 34 2 3 4" xfId="17253"/>
    <cellStyle name="Input 34 2 3 4 2" xfId="38440"/>
    <cellStyle name="Input 34 2 3 5" xfId="27560"/>
    <cellStyle name="Input 34 2 3_Table 2A-1_EFT (Annual)" xfId="7067"/>
    <cellStyle name="Input 34 2 4" xfId="2302"/>
    <cellStyle name="Input 34 2 4 2" xfId="5863"/>
    <cellStyle name="Input 34 2 4 2 2" xfId="14078"/>
    <cellStyle name="Input 34 2 4 2 2 2" xfId="26066"/>
    <cellStyle name="Input 34 2 4 2 2 2 2" xfId="47252"/>
    <cellStyle name="Input 34 2 4 2 2 3" xfId="36648"/>
    <cellStyle name="Input 34 2 4 2 3" xfId="20953"/>
    <cellStyle name="Input 34 2 4 2 3 2" xfId="42140"/>
    <cellStyle name="Input 34 2 4 2 4" xfId="31520"/>
    <cellStyle name="Input 34 2 4 2_Table 2A-1_EFT (Annual)" xfId="15319"/>
    <cellStyle name="Input 34 2 4 3" xfId="11422"/>
    <cellStyle name="Input 34 2 4 3 2" xfId="23520"/>
    <cellStyle name="Input 34 2 4 3 2 2" xfId="44706"/>
    <cellStyle name="Input 34 2 4 3 3" xfId="34102"/>
    <cellStyle name="Input 34 2 4 4" xfId="18407"/>
    <cellStyle name="Input 34 2 4 4 2" xfId="39594"/>
    <cellStyle name="Input 34 2 4 5" xfId="28777"/>
    <cellStyle name="Input 34 2 4_Table 2A-1_EFT (Annual)" xfId="7068"/>
    <cellStyle name="Input 34 2 5" xfId="4156"/>
    <cellStyle name="Input 34 2 5 2" xfId="12480"/>
    <cellStyle name="Input 34 2 5 2 2" xfId="24502"/>
    <cellStyle name="Input 34 2 5 2 2 2" xfId="45688"/>
    <cellStyle name="Input 34 2 5 2 3" xfId="35084"/>
    <cellStyle name="Input 34 2 5 3" xfId="19389"/>
    <cellStyle name="Input 34 2 5 3 2" xfId="40576"/>
    <cellStyle name="Input 34 2 5 4" xfId="29844"/>
    <cellStyle name="Input 34 2 5_Table 2A-1_EFT (Annual)" xfId="15320"/>
    <cellStyle name="Input 34 2 6" xfId="9819"/>
    <cellStyle name="Input 34 2 6 2" xfId="21956"/>
    <cellStyle name="Input 34 2 6 2 2" xfId="43142"/>
    <cellStyle name="Input 34 2 6 3" xfId="32538"/>
    <cellStyle name="Input 34 2 7" xfId="16843"/>
    <cellStyle name="Input 34 2 7 2" xfId="38030"/>
    <cellStyle name="Input 34 2 8" xfId="27101"/>
    <cellStyle name="Input 34 2_Table 2A-1_EFT (Annual)" xfId="3070"/>
    <cellStyle name="Input 34 3" xfId="1241"/>
    <cellStyle name="Input 34 3 2" xfId="2511"/>
    <cellStyle name="Input 34 3 2 2" xfId="6072"/>
    <cellStyle name="Input 34 3 2 2 2" xfId="14266"/>
    <cellStyle name="Input 34 3 2 2 2 2" xfId="26238"/>
    <cellStyle name="Input 34 3 2 2 2 2 2" xfId="47424"/>
    <cellStyle name="Input 34 3 2 2 2 3" xfId="36820"/>
    <cellStyle name="Input 34 3 2 2 3" xfId="21125"/>
    <cellStyle name="Input 34 3 2 2 3 2" xfId="42312"/>
    <cellStyle name="Input 34 3 2 2 4" xfId="31728"/>
    <cellStyle name="Input 34 3 2 2_Table 2A-1_EFT (Annual)" xfId="15321"/>
    <cellStyle name="Input 34 3 2 3" xfId="11608"/>
    <cellStyle name="Input 34 3 2 3 2" xfId="23692"/>
    <cellStyle name="Input 34 3 2 3 2 2" xfId="44878"/>
    <cellStyle name="Input 34 3 2 3 3" xfId="34274"/>
    <cellStyle name="Input 34 3 2 4" xfId="18579"/>
    <cellStyle name="Input 34 3 2 4 2" xfId="39766"/>
    <cellStyle name="Input 34 3 2 5" xfId="28985"/>
    <cellStyle name="Input 34 3 2_Table 2A-1_EFT (Annual)" xfId="7070"/>
    <cellStyle name="Input 34 3 3" xfId="4802"/>
    <cellStyle name="Input 34 3 3 2" xfId="13062"/>
    <cellStyle name="Input 34 3 3 2 2" xfId="25068"/>
    <cellStyle name="Input 34 3 3 2 2 2" xfId="46254"/>
    <cellStyle name="Input 34 3 3 2 3" xfId="35650"/>
    <cellStyle name="Input 34 3 3 3" xfId="19955"/>
    <cellStyle name="Input 34 3 3 3 2" xfId="41142"/>
    <cellStyle name="Input 34 3 3 4" xfId="30459"/>
    <cellStyle name="Input 34 3 3_Table 2A-1_EFT (Annual)" xfId="15322"/>
    <cellStyle name="Input 34 3 4" xfId="10406"/>
    <cellStyle name="Input 34 3 4 2" xfId="22522"/>
    <cellStyle name="Input 34 3 4 2 2" xfId="43708"/>
    <cellStyle name="Input 34 3 4 3" xfId="33104"/>
    <cellStyle name="Input 34 3 5" xfId="17409"/>
    <cellStyle name="Input 34 3 5 2" xfId="38596"/>
    <cellStyle name="Input 34 3 6" xfId="27716"/>
    <cellStyle name="Input 34 3_Table 2A-1_EFT (Annual)" xfId="7069"/>
    <cellStyle name="Input 34 4" xfId="794"/>
    <cellStyle name="Input 34 4 2" xfId="4355"/>
    <cellStyle name="Input 34 4 2 2" xfId="12635"/>
    <cellStyle name="Input 34 4 2 2 2" xfId="24652"/>
    <cellStyle name="Input 34 4 2 2 2 2" xfId="45838"/>
    <cellStyle name="Input 34 4 2 2 3" xfId="35234"/>
    <cellStyle name="Input 34 4 2 3" xfId="19539"/>
    <cellStyle name="Input 34 4 2 3 2" xfId="40726"/>
    <cellStyle name="Input 34 4 2 4" xfId="30012"/>
    <cellStyle name="Input 34 4 2_Table 2A-1_EFT (Annual)" xfId="15323"/>
    <cellStyle name="Input 34 4 3" xfId="9983"/>
    <cellStyle name="Input 34 4 3 2" xfId="22106"/>
    <cellStyle name="Input 34 4 3 2 2" xfId="43292"/>
    <cellStyle name="Input 34 4 3 3" xfId="32688"/>
    <cellStyle name="Input 34 4 4" xfId="16993"/>
    <cellStyle name="Input 34 4 4 2" xfId="38180"/>
    <cellStyle name="Input 34 4 5" xfId="27269"/>
    <cellStyle name="Input 34 4_Table 2A-1_EFT (Annual)" xfId="7071"/>
    <cellStyle name="Input 34 5" xfId="1980"/>
    <cellStyle name="Input 34 5 2" xfId="5541"/>
    <cellStyle name="Input 34 5 2 2" xfId="13756"/>
    <cellStyle name="Input 34 5 2 2 2" xfId="25744"/>
    <cellStyle name="Input 34 5 2 2 2 2" xfId="46930"/>
    <cellStyle name="Input 34 5 2 2 3" xfId="36326"/>
    <cellStyle name="Input 34 5 2 3" xfId="20631"/>
    <cellStyle name="Input 34 5 2 3 2" xfId="41818"/>
    <cellStyle name="Input 34 5 2 4" xfId="31198"/>
    <cellStyle name="Input 34 5 2_Table 2A-1_EFT (Annual)" xfId="15324"/>
    <cellStyle name="Input 34 5 3" xfId="11100"/>
    <cellStyle name="Input 34 5 3 2" xfId="23198"/>
    <cellStyle name="Input 34 5 3 2 2" xfId="44384"/>
    <cellStyle name="Input 34 5 3 3" xfId="33780"/>
    <cellStyle name="Input 34 5 4" xfId="18085"/>
    <cellStyle name="Input 34 5 4 2" xfId="39272"/>
    <cellStyle name="Input 34 5 5" xfId="28455"/>
    <cellStyle name="Input 34 5_Table 2A-1_EFT (Annual)" xfId="7072"/>
    <cellStyle name="Input 34 6" xfId="3782"/>
    <cellStyle name="Input 34 6 2" xfId="12150"/>
    <cellStyle name="Input 34 6 2 2" xfId="24180"/>
    <cellStyle name="Input 34 6 2 2 2" xfId="45366"/>
    <cellStyle name="Input 34 6 2 3" xfId="34762"/>
    <cellStyle name="Input 34 6 3" xfId="19067"/>
    <cellStyle name="Input 34 6 3 2" xfId="40254"/>
    <cellStyle name="Input 34 6 4" xfId="29491"/>
    <cellStyle name="Input 34 6_Table 2A-1_EFT (Annual)" xfId="15325"/>
    <cellStyle name="Input 34 7" xfId="9469"/>
    <cellStyle name="Input 34 7 2" xfId="21634"/>
    <cellStyle name="Input 34 7 2 2" xfId="42820"/>
    <cellStyle name="Input 34 7 3" xfId="32216"/>
    <cellStyle name="Input 34 8" xfId="16521"/>
    <cellStyle name="Input 34 8 2" xfId="37708"/>
    <cellStyle name="Input 34 9" xfId="26748"/>
    <cellStyle name="Input 34_Table 2A-1_EFT (Annual)" xfId="3069"/>
    <cellStyle name="Input 35" xfId="289"/>
    <cellStyle name="Input 35 2" xfId="1295"/>
    <cellStyle name="Input 35 2 2" xfId="2565"/>
    <cellStyle name="Input 35 2 2 2" xfId="6126"/>
    <cellStyle name="Input 35 2 2 2 2" xfId="14320"/>
    <cellStyle name="Input 35 2 2 2 2 2" xfId="26292"/>
    <cellStyle name="Input 35 2 2 2 2 2 2" xfId="47478"/>
    <cellStyle name="Input 35 2 2 2 2 3" xfId="36874"/>
    <cellStyle name="Input 35 2 2 2 3" xfId="21179"/>
    <cellStyle name="Input 35 2 2 2 3 2" xfId="42366"/>
    <cellStyle name="Input 35 2 2 2 4" xfId="31782"/>
    <cellStyle name="Input 35 2 2 2_Table 2A-1_EFT (Annual)" xfId="15326"/>
    <cellStyle name="Input 35 2 2 3" xfId="11662"/>
    <cellStyle name="Input 35 2 2 3 2" xfId="23746"/>
    <cellStyle name="Input 35 2 2 3 2 2" xfId="44932"/>
    <cellStyle name="Input 35 2 2 3 3" xfId="34328"/>
    <cellStyle name="Input 35 2 2 4" xfId="18633"/>
    <cellStyle name="Input 35 2 2 4 2" xfId="39820"/>
    <cellStyle name="Input 35 2 2 5" xfId="29039"/>
    <cellStyle name="Input 35 2 2_Table 2A-1_EFT (Annual)" xfId="7074"/>
    <cellStyle name="Input 35 2 3" xfId="4856"/>
    <cellStyle name="Input 35 2 3 2" xfId="13116"/>
    <cellStyle name="Input 35 2 3 2 2" xfId="25122"/>
    <cellStyle name="Input 35 2 3 2 2 2" xfId="46308"/>
    <cellStyle name="Input 35 2 3 2 3" xfId="35704"/>
    <cellStyle name="Input 35 2 3 3" xfId="20009"/>
    <cellStyle name="Input 35 2 3 3 2" xfId="41196"/>
    <cellStyle name="Input 35 2 3 4" xfId="30513"/>
    <cellStyle name="Input 35 2 3_Table 2A-1_EFT (Annual)" xfId="15327"/>
    <cellStyle name="Input 35 2 4" xfId="10460"/>
    <cellStyle name="Input 35 2 4 2" xfId="22576"/>
    <cellStyle name="Input 35 2 4 2 2" xfId="43762"/>
    <cellStyle name="Input 35 2 4 3" xfId="33158"/>
    <cellStyle name="Input 35 2 5" xfId="17463"/>
    <cellStyle name="Input 35 2 5 2" xfId="38650"/>
    <cellStyle name="Input 35 2 6" xfId="27770"/>
    <cellStyle name="Input 35 2_Table 2A-1_EFT (Annual)" xfId="7073"/>
    <cellStyle name="Input 35 3" xfId="845"/>
    <cellStyle name="Input 35 3 2" xfId="4406"/>
    <cellStyle name="Input 35 3 2 2" xfId="12679"/>
    <cellStyle name="Input 35 3 2 2 2" xfId="24696"/>
    <cellStyle name="Input 35 3 2 2 2 2" xfId="45882"/>
    <cellStyle name="Input 35 3 2 2 3" xfId="35278"/>
    <cellStyle name="Input 35 3 2 3" xfId="19583"/>
    <cellStyle name="Input 35 3 2 3 2" xfId="40770"/>
    <cellStyle name="Input 35 3 2 4" xfId="30063"/>
    <cellStyle name="Input 35 3 2_Table 2A-1_EFT (Annual)" xfId="15328"/>
    <cellStyle name="Input 35 3 3" xfId="10028"/>
    <cellStyle name="Input 35 3 3 2" xfId="22150"/>
    <cellStyle name="Input 35 3 3 2 2" xfId="43336"/>
    <cellStyle name="Input 35 3 3 3" xfId="32732"/>
    <cellStyle name="Input 35 3 4" xfId="17037"/>
    <cellStyle name="Input 35 3 4 2" xfId="38224"/>
    <cellStyle name="Input 35 3 5" xfId="27320"/>
    <cellStyle name="Input 35 3_Table 2A-1_EFT (Annual)" xfId="7075"/>
    <cellStyle name="Input 35 4" xfId="2034"/>
    <cellStyle name="Input 35 4 2" xfId="5595"/>
    <cellStyle name="Input 35 4 2 2" xfId="13810"/>
    <cellStyle name="Input 35 4 2 2 2" xfId="25798"/>
    <cellStyle name="Input 35 4 2 2 2 2" xfId="46984"/>
    <cellStyle name="Input 35 4 2 2 3" xfId="36380"/>
    <cellStyle name="Input 35 4 2 3" xfId="20685"/>
    <cellStyle name="Input 35 4 2 3 2" xfId="41872"/>
    <cellStyle name="Input 35 4 2 4" xfId="31252"/>
    <cellStyle name="Input 35 4 2_Table 2A-1_EFT (Annual)" xfId="15329"/>
    <cellStyle name="Input 35 4 3" xfId="11154"/>
    <cellStyle name="Input 35 4 3 2" xfId="23252"/>
    <cellStyle name="Input 35 4 3 2 2" xfId="44438"/>
    <cellStyle name="Input 35 4 3 3" xfId="33834"/>
    <cellStyle name="Input 35 4 4" xfId="18139"/>
    <cellStyle name="Input 35 4 4 2" xfId="39326"/>
    <cellStyle name="Input 35 4 5" xfId="28509"/>
    <cellStyle name="Input 35 4_Table 2A-1_EFT (Annual)" xfId="7076"/>
    <cellStyle name="Input 35 5" xfId="3861"/>
    <cellStyle name="Input 35 5 2" xfId="12205"/>
    <cellStyle name="Input 35 5 2 2" xfId="24234"/>
    <cellStyle name="Input 35 5 2 2 2" xfId="45420"/>
    <cellStyle name="Input 35 5 2 3" xfId="34816"/>
    <cellStyle name="Input 35 5 3" xfId="19121"/>
    <cellStyle name="Input 35 5 3 2" xfId="40308"/>
    <cellStyle name="Input 35 5 4" xfId="29552"/>
    <cellStyle name="Input 35 5_Table 2A-1_EFT (Annual)" xfId="15330"/>
    <cellStyle name="Input 35 6" xfId="9539"/>
    <cellStyle name="Input 35 6 2" xfId="21688"/>
    <cellStyle name="Input 35 6 2 2" xfId="42874"/>
    <cellStyle name="Input 35 6 3" xfId="32270"/>
    <cellStyle name="Input 35 7" xfId="16575"/>
    <cellStyle name="Input 35 7 2" xfId="37762"/>
    <cellStyle name="Input 35 8" xfId="26809"/>
    <cellStyle name="Input 35_Table 2A-1_EFT (Annual)" xfId="3071"/>
    <cellStyle name="Input 36" xfId="642"/>
    <cellStyle name="Input 36 2" xfId="1619"/>
    <cellStyle name="Input 36 2 2" xfId="2889"/>
    <cellStyle name="Input 36 2 2 2" xfId="6450"/>
    <cellStyle name="Input 36 2 2 2 2" xfId="14644"/>
    <cellStyle name="Input 36 2 2 2 2 2" xfId="26616"/>
    <cellStyle name="Input 36 2 2 2 2 2 2" xfId="47802"/>
    <cellStyle name="Input 36 2 2 2 2 3" xfId="37198"/>
    <cellStyle name="Input 36 2 2 2 3" xfId="21503"/>
    <cellStyle name="Input 36 2 2 2 3 2" xfId="42690"/>
    <cellStyle name="Input 36 2 2 2 4" xfId="32106"/>
    <cellStyle name="Input 36 2 2 2_Table 2A-1_EFT (Annual)" xfId="15331"/>
    <cellStyle name="Input 36 2 2 3" xfId="11986"/>
    <cellStyle name="Input 36 2 2 3 2" xfId="24070"/>
    <cellStyle name="Input 36 2 2 3 2 2" xfId="45256"/>
    <cellStyle name="Input 36 2 2 3 3" xfId="34652"/>
    <cellStyle name="Input 36 2 2 4" xfId="18957"/>
    <cellStyle name="Input 36 2 2 4 2" xfId="40144"/>
    <cellStyle name="Input 36 2 2 5" xfId="29363"/>
    <cellStyle name="Input 36 2 2_Table 2A-1_EFT (Annual)" xfId="7078"/>
    <cellStyle name="Input 36 2 3" xfId="5180"/>
    <cellStyle name="Input 36 2 3 2" xfId="13440"/>
    <cellStyle name="Input 36 2 3 2 2" xfId="25446"/>
    <cellStyle name="Input 36 2 3 2 2 2" xfId="46632"/>
    <cellStyle name="Input 36 2 3 2 3" xfId="36028"/>
    <cellStyle name="Input 36 2 3 3" xfId="20333"/>
    <cellStyle name="Input 36 2 3 3 2" xfId="41520"/>
    <cellStyle name="Input 36 2 3 4" xfId="30837"/>
    <cellStyle name="Input 36 2 3_Table 2A-1_EFT (Annual)" xfId="15332"/>
    <cellStyle name="Input 36 2 4" xfId="10784"/>
    <cellStyle name="Input 36 2 4 2" xfId="22900"/>
    <cellStyle name="Input 36 2 4 2 2" xfId="44086"/>
    <cellStyle name="Input 36 2 4 3" xfId="33482"/>
    <cellStyle name="Input 36 2 5" xfId="17787"/>
    <cellStyle name="Input 36 2 5 2" xfId="38974"/>
    <cellStyle name="Input 36 2 6" xfId="28094"/>
    <cellStyle name="Input 36 2_Table 2A-1_EFT (Annual)" xfId="7077"/>
    <cellStyle name="Input 36 3" xfId="1131"/>
    <cellStyle name="Input 36 3 2" xfId="4692"/>
    <cellStyle name="Input 36 3 2 2" xfId="12952"/>
    <cellStyle name="Input 36 3 2 2 2" xfId="24958"/>
    <cellStyle name="Input 36 3 2 2 2 2" xfId="46144"/>
    <cellStyle name="Input 36 3 2 2 3" xfId="35540"/>
    <cellStyle name="Input 36 3 2 3" xfId="19845"/>
    <cellStyle name="Input 36 3 2 3 2" xfId="41032"/>
    <cellStyle name="Input 36 3 2 4" xfId="30349"/>
    <cellStyle name="Input 36 3 2_Table 2A-1_EFT (Annual)" xfId="15333"/>
    <cellStyle name="Input 36 3 3" xfId="10296"/>
    <cellStyle name="Input 36 3 3 2" xfId="22412"/>
    <cellStyle name="Input 36 3 3 2 2" xfId="43598"/>
    <cellStyle name="Input 36 3 3 3" xfId="32994"/>
    <cellStyle name="Input 36 3 4" xfId="17299"/>
    <cellStyle name="Input 36 3 4 2" xfId="38486"/>
    <cellStyle name="Input 36 3 5" xfId="27606"/>
    <cellStyle name="Input 36 3_Table 2A-1_EFT (Annual)" xfId="7079"/>
    <cellStyle name="Input 36 4" xfId="2358"/>
    <cellStyle name="Input 36 4 2" xfId="5919"/>
    <cellStyle name="Input 36 4 2 2" xfId="14134"/>
    <cellStyle name="Input 36 4 2 2 2" xfId="26122"/>
    <cellStyle name="Input 36 4 2 2 2 2" xfId="47308"/>
    <cellStyle name="Input 36 4 2 2 3" xfId="36704"/>
    <cellStyle name="Input 36 4 2 3" xfId="21009"/>
    <cellStyle name="Input 36 4 2 3 2" xfId="42196"/>
    <cellStyle name="Input 36 4 2 4" xfId="31576"/>
    <cellStyle name="Input 36 4 2_Table 2A-1_EFT (Annual)" xfId="15334"/>
    <cellStyle name="Input 36 4 3" xfId="11478"/>
    <cellStyle name="Input 36 4 3 2" xfId="23576"/>
    <cellStyle name="Input 36 4 3 2 2" xfId="44762"/>
    <cellStyle name="Input 36 4 3 3" xfId="34158"/>
    <cellStyle name="Input 36 4 4" xfId="18463"/>
    <cellStyle name="Input 36 4 4 2" xfId="39650"/>
    <cellStyle name="Input 36 4 5" xfId="28833"/>
    <cellStyle name="Input 36 4_Table 2A-1_EFT (Annual)" xfId="7080"/>
    <cellStyle name="Input 36 5" xfId="4212"/>
    <cellStyle name="Input 36 5 2" xfId="12536"/>
    <cellStyle name="Input 36 5 2 2" xfId="24558"/>
    <cellStyle name="Input 36 5 2 2 2" xfId="45744"/>
    <cellStyle name="Input 36 5 2 3" xfId="35140"/>
    <cellStyle name="Input 36 5 3" xfId="19445"/>
    <cellStyle name="Input 36 5 3 2" xfId="40632"/>
    <cellStyle name="Input 36 5 4" xfId="29900"/>
    <cellStyle name="Input 36 5_Table 2A-1_EFT (Annual)" xfId="15335"/>
    <cellStyle name="Input 36 6" xfId="9875"/>
    <cellStyle name="Input 36 6 2" xfId="22012"/>
    <cellStyle name="Input 36 6 2 2" xfId="43198"/>
    <cellStyle name="Input 36 6 3" xfId="32594"/>
    <cellStyle name="Input 36 7" xfId="16899"/>
    <cellStyle name="Input 36 7 2" xfId="38086"/>
    <cellStyle name="Input 36 8" xfId="27157"/>
    <cellStyle name="Input 36_Table 2A-1_EFT (Annual)" xfId="3072"/>
    <cellStyle name="Input 37" xfId="693"/>
    <cellStyle name="Input 37 2" xfId="2362"/>
    <cellStyle name="Input 37 2 2" xfId="5923"/>
    <cellStyle name="Input 37 2 2 2" xfId="14137"/>
    <cellStyle name="Input 37 2 2 2 2" xfId="26125"/>
    <cellStyle name="Input 37 2 2 2 2 2" xfId="47311"/>
    <cellStyle name="Input 37 2 2 2 3" xfId="36707"/>
    <cellStyle name="Input 37 2 2 3" xfId="21012"/>
    <cellStyle name="Input 37 2 2 3 2" xfId="42199"/>
    <cellStyle name="Input 37 2 2 4" xfId="31579"/>
    <cellStyle name="Input 37 2 2_Table 2A-1_EFT (Annual)" xfId="15336"/>
    <cellStyle name="Input 37 2 3" xfId="11482"/>
    <cellStyle name="Input 37 2 3 2" xfId="23579"/>
    <cellStyle name="Input 37 2 3 2 2" xfId="44765"/>
    <cellStyle name="Input 37 2 3 3" xfId="34161"/>
    <cellStyle name="Input 37 2 4" xfId="18466"/>
    <cellStyle name="Input 37 2 4 2" xfId="39653"/>
    <cellStyle name="Input 37 2 5" xfId="28836"/>
    <cellStyle name="Input 37 2_Table 2A-1_EFT (Annual)" xfId="7082"/>
    <cellStyle name="Input 37 3" xfId="4257"/>
    <cellStyle name="Input 37 3 2" xfId="12543"/>
    <cellStyle name="Input 37 3 2 2" xfId="24561"/>
    <cellStyle name="Input 37 3 2 2 2" xfId="45747"/>
    <cellStyle name="Input 37 3 2 3" xfId="35143"/>
    <cellStyle name="Input 37 3 3" xfId="19448"/>
    <cellStyle name="Input 37 3 3 2" xfId="40635"/>
    <cellStyle name="Input 37 3 4" xfId="29916"/>
    <cellStyle name="Input 37 3_Table 2A-1_EFT (Annual)" xfId="15337"/>
    <cellStyle name="Input 37 4" xfId="9889"/>
    <cellStyle name="Input 37 4 2" xfId="22015"/>
    <cellStyle name="Input 37 4 2 2" xfId="43201"/>
    <cellStyle name="Input 37 4 3" xfId="32597"/>
    <cellStyle name="Input 37 5" xfId="16902"/>
    <cellStyle name="Input 37 5 2" xfId="38089"/>
    <cellStyle name="Input 37 6" xfId="27173"/>
    <cellStyle name="Input 37_Table 2A-1_EFT (Annual)" xfId="7081"/>
    <cellStyle name="Input 38" xfId="16007"/>
    <cellStyle name="Input 38 2" xfId="37202"/>
    <cellStyle name="Input 39" xfId="47806"/>
    <cellStyle name="Input 4" xfId="88"/>
    <cellStyle name="Input 4 10" xfId="21521"/>
    <cellStyle name="Input 4 10 2" xfId="42708"/>
    <cellStyle name="Input 4 11" xfId="26644"/>
    <cellStyle name="Input 4 2" xfId="487"/>
    <cellStyle name="Input 4 2 2" xfId="1464"/>
    <cellStyle name="Input 4 2 2 2" xfId="2734"/>
    <cellStyle name="Input 4 2 2 2 2" xfId="6295"/>
    <cellStyle name="Input 4 2 2 2 2 2" xfId="14489"/>
    <cellStyle name="Input 4 2 2 2 2 2 2" xfId="26461"/>
    <cellStyle name="Input 4 2 2 2 2 2 2 2" xfId="47647"/>
    <cellStyle name="Input 4 2 2 2 2 2 3" xfId="37043"/>
    <cellStyle name="Input 4 2 2 2 2 3" xfId="21348"/>
    <cellStyle name="Input 4 2 2 2 2 3 2" xfId="42535"/>
    <cellStyle name="Input 4 2 2 2 2 4" xfId="31951"/>
    <cellStyle name="Input 4 2 2 2 2_Table 2A-1_EFT (Annual)" xfId="15338"/>
    <cellStyle name="Input 4 2 2 2 3" xfId="11831"/>
    <cellStyle name="Input 4 2 2 2 3 2" xfId="23915"/>
    <cellStyle name="Input 4 2 2 2 3 2 2" xfId="45101"/>
    <cellStyle name="Input 4 2 2 2 3 3" xfId="34497"/>
    <cellStyle name="Input 4 2 2 2 4" xfId="18802"/>
    <cellStyle name="Input 4 2 2 2 4 2" xfId="39989"/>
    <cellStyle name="Input 4 2 2 2 5" xfId="29208"/>
    <cellStyle name="Input 4 2 2 2_Table 2A-1_EFT (Annual)" xfId="7084"/>
    <cellStyle name="Input 4 2 2 3" xfId="5025"/>
    <cellStyle name="Input 4 2 2 3 2" xfId="13285"/>
    <cellStyle name="Input 4 2 2 3 2 2" xfId="25291"/>
    <cellStyle name="Input 4 2 2 3 2 2 2" xfId="46477"/>
    <cellStyle name="Input 4 2 2 3 2 3" xfId="35873"/>
    <cellStyle name="Input 4 2 2 3 3" xfId="20178"/>
    <cellStyle name="Input 4 2 2 3 3 2" xfId="41365"/>
    <cellStyle name="Input 4 2 2 3 4" xfId="30682"/>
    <cellStyle name="Input 4 2 2 3_Table 2A-1_EFT (Annual)" xfId="15339"/>
    <cellStyle name="Input 4 2 2 4" xfId="10629"/>
    <cellStyle name="Input 4 2 2 4 2" xfId="22745"/>
    <cellStyle name="Input 4 2 2 4 2 2" xfId="43931"/>
    <cellStyle name="Input 4 2 2 4 3" xfId="33327"/>
    <cellStyle name="Input 4 2 2 5" xfId="17632"/>
    <cellStyle name="Input 4 2 2 5 2" xfId="38819"/>
    <cellStyle name="Input 4 2 2 6" xfId="27939"/>
    <cellStyle name="Input 4 2 2_Table 2A-1_EFT (Annual)" xfId="7083"/>
    <cellStyle name="Input 4 2 3" xfId="1005"/>
    <cellStyle name="Input 4 2 3 2" xfId="4566"/>
    <cellStyle name="Input 4 2 3 2 2" xfId="12826"/>
    <cellStyle name="Input 4 2 3 2 2 2" xfId="24832"/>
    <cellStyle name="Input 4 2 3 2 2 2 2" xfId="46018"/>
    <cellStyle name="Input 4 2 3 2 2 3" xfId="35414"/>
    <cellStyle name="Input 4 2 3 2 3" xfId="19719"/>
    <cellStyle name="Input 4 2 3 2 3 2" xfId="40906"/>
    <cellStyle name="Input 4 2 3 2 4" xfId="30223"/>
    <cellStyle name="Input 4 2 3 2_Table 2A-1_EFT (Annual)" xfId="15340"/>
    <cellStyle name="Input 4 2 3 3" xfId="10170"/>
    <cellStyle name="Input 4 2 3 3 2" xfId="22286"/>
    <cellStyle name="Input 4 2 3 3 2 2" xfId="43472"/>
    <cellStyle name="Input 4 2 3 3 3" xfId="32868"/>
    <cellStyle name="Input 4 2 3 4" xfId="17173"/>
    <cellStyle name="Input 4 2 3 4 2" xfId="38360"/>
    <cellStyle name="Input 4 2 3 5" xfId="27480"/>
    <cellStyle name="Input 4 2 3_Table 2A-1_EFT (Annual)" xfId="7085"/>
    <cellStyle name="Input 4 2 4" xfId="2203"/>
    <cellStyle name="Input 4 2 4 2" xfId="5764"/>
    <cellStyle name="Input 4 2 4 2 2" xfId="13979"/>
    <cellStyle name="Input 4 2 4 2 2 2" xfId="25967"/>
    <cellStyle name="Input 4 2 4 2 2 2 2" xfId="47153"/>
    <cellStyle name="Input 4 2 4 2 2 3" xfId="36549"/>
    <cellStyle name="Input 4 2 4 2 3" xfId="20854"/>
    <cellStyle name="Input 4 2 4 2 3 2" xfId="42041"/>
    <cellStyle name="Input 4 2 4 2 4" xfId="31421"/>
    <cellStyle name="Input 4 2 4 2_Table 2A-1_EFT (Annual)" xfId="15341"/>
    <cellStyle name="Input 4 2 4 3" xfId="11323"/>
    <cellStyle name="Input 4 2 4 3 2" xfId="23421"/>
    <cellStyle name="Input 4 2 4 3 2 2" xfId="44607"/>
    <cellStyle name="Input 4 2 4 3 3" xfId="34003"/>
    <cellStyle name="Input 4 2 4 4" xfId="18308"/>
    <cellStyle name="Input 4 2 4 4 2" xfId="39495"/>
    <cellStyle name="Input 4 2 4 5" xfId="28678"/>
    <cellStyle name="Input 4 2 4_Table 2A-1_EFT (Annual)" xfId="7086"/>
    <cellStyle name="Input 4 2 5" xfId="4057"/>
    <cellStyle name="Input 4 2 5 2" xfId="12381"/>
    <cellStyle name="Input 4 2 5 2 2" xfId="24403"/>
    <cellStyle name="Input 4 2 5 2 2 2" xfId="45589"/>
    <cellStyle name="Input 4 2 5 2 3" xfId="34985"/>
    <cellStyle name="Input 4 2 5 3" xfId="19290"/>
    <cellStyle name="Input 4 2 5 3 2" xfId="40477"/>
    <cellStyle name="Input 4 2 5 4" xfId="29745"/>
    <cellStyle name="Input 4 2 5_Table 2A-1_EFT (Annual)" xfId="15342"/>
    <cellStyle name="Input 4 2 6" xfId="9720"/>
    <cellStyle name="Input 4 2 6 2" xfId="21857"/>
    <cellStyle name="Input 4 2 6 2 2" xfId="43043"/>
    <cellStyle name="Input 4 2 6 3" xfId="32439"/>
    <cellStyle name="Input 4 2 7" xfId="16744"/>
    <cellStyle name="Input 4 2 7 2" xfId="37931"/>
    <cellStyle name="Input 4 2 8" xfId="27002"/>
    <cellStyle name="Input 4 2_Table 2A-1_EFT (Annual)" xfId="3074"/>
    <cellStyle name="Input 4 3" xfId="320"/>
    <cellStyle name="Input 4 3 2" xfId="1308"/>
    <cellStyle name="Input 4 3 2 2" xfId="2578"/>
    <cellStyle name="Input 4 3 2 2 2" xfId="6139"/>
    <cellStyle name="Input 4 3 2 2 2 2" xfId="14333"/>
    <cellStyle name="Input 4 3 2 2 2 2 2" xfId="26305"/>
    <cellStyle name="Input 4 3 2 2 2 2 2 2" xfId="47491"/>
    <cellStyle name="Input 4 3 2 2 2 2 3" xfId="36887"/>
    <cellStyle name="Input 4 3 2 2 2 3" xfId="21192"/>
    <cellStyle name="Input 4 3 2 2 2 3 2" xfId="42379"/>
    <cellStyle name="Input 4 3 2 2 2 4" xfId="31795"/>
    <cellStyle name="Input 4 3 2 2 2_Table 2A-1_EFT (Annual)" xfId="15343"/>
    <cellStyle name="Input 4 3 2 2 3" xfId="11675"/>
    <cellStyle name="Input 4 3 2 2 3 2" xfId="23759"/>
    <cellStyle name="Input 4 3 2 2 3 2 2" xfId="44945"/>
    <cellStyle name="Input 4 3 2 2 3 3" xfId="34341"/>
    <cellStyle name="Input 4 3 2 2 4" xfId="18646"/>
    <cellStyle name="Input 4 3 2 2 4 2" xfId="39833"/>
    <cellStyle name="Input 4 3 2 2 5" xfId="29052"/>
    <cellStyle name="Input 4 3 2 2_Table 2A-1_EFT (Annual)" xfId="7088"/>
    <cellStyle name="Input 4 3 2 3" xfId="4869"/>
    <cellStyle name="Input 4 3 2 3 2" xfId="13129"/>
    <cellStyle name="Input 4 3 2 3 2 2" xfId="25135"/>
    <cellStyle name="Input 4 3 2 3 2 2 2" xfId="46321"/>
    <cellStyle name="Input 4 3 2 3 2 3" xfId="35717"/>
    <cellStyle name="Input 4 3 2 3 3" xfId="20022"/>
    <cellStyle name="Input 4 3 2 3 3 2" xfId="41209"/>
    <cellStyle name="Input 4 3 2 3 4" xfId="30526"/>
    <cellStyle name="Input 4 3 2 3_Table 2A-1_EFT (Annual)" xfId="15344"/>
    <cellStyle name="Input 4 3 2 4" xfId="10473"/>
    <cellStyle name="Input 4 3 2 4 2" xfId="22589"/>
    <cellStyle name="Input 4 3 2 4 2 2" xfId="43775"/>
    <cellStyle name="Input 4 3 2 4 3" xfId="33171"/>
    <cellStyle name="Input 4 3 2 5" xfId="17476"/>
    <cellStyle name="Input 4 3 2 5 2" xfId="38663"/>
    <cellStyle name="Input 4 3 2 6" xfId="27783"/>
    <cellStyle name="Input 4 3 2_Table 2A-1_EFT (Annual)" xfId="7087"/>
    <cellStyle name="Input 4 3 3" xfId="868"/>
    <cellStyle name="Input 4 3 3 2" xfId="4429"/>
    <cellStyle name="Input 4 3 3 2 2" xfId="12694"/>
    <cellStyle name="Input 4 3 3 2 2 2" xfId="24706"/>
    <cellStyle name="Input 4 3 3 2 2 2 2" xfId="45892"/>
    <cellStyle name="Input 4 3 3 2 2 3" xfId="35288"/>
    <cellStyle name="Input 4 3 3 2 3" xfId="19593"/>
    <cellStyle name="Input 4 3 3 2 3 2" xfId="40780"/>
    <cellStyle name="Input 4 3 3 2 4" xfId="30086"/>
    <cellStyle name="Input 4 3 3 2_Table 2A-1_EFT (Annual)" xfId="15345"/>
    <cellStyle name="Input 4 3 3 3" xfId="10041"/>
    <cellStyle name="Input 4 3 3 3 2" xfId="22160"/>
    <cellStyle name="Input 4 3 3 3 2 2" xfId="43346"/>
    <cellStyle name="Input 4 3 3 3 3" xfId="32742"/>
    <cellStyle name="Input 4 3 3 4" xfId="17047"/>
    <cellStyle name="Input 4 3 3 4 2" xfId="38234"/>
    <cellStyle name="Input 4 3 3 5" xfId="27343"/>
    <cellStyle name="Input 4 3 3_Table 2A-1_EFT (Annual)" xfId="7089"/>
    <cellStyle name="Input 4 3 4" xfId="2047"/>
    <cellStyle name="Input 4 3 4 2" xfId="5608"/>
    <cellStyle name="Input 4 3 4 2 2" xfId="13823"/>
    <cellStyle name="Input 4 3 4 2 2 2" xfId="25811"/>
    <cellStyle name="Input 4 3 4 2 2 2 2" xfId="46997"/>
    <cellStyle name="Input 4 3 4 2 2 3" xfId="36393"/>
    <cellStyle name="Input 4 3 4 2 3" xfId="20698"/>
    <cellStyle name="Input 4 3 4 2 3 2" xfId="41885"/>
    <cellStyle name="Input 4 3 4 2 4" xfId="31265"/>
    <cellStyle name="Input 4 3 4 2_Table 2A-1_EFT (Annual)" xfId="15346"/>
    <cellStyle name="Input 4 3 4 3" xfId="11167"/>
    <cellStyle name="Input 4 3 4 3 2" xfId="23265"/>
    <cellStyle name="Input 4 3 4 3 2 2" xfId="44451"/>
    <cellStyle name="Input 4 3 4 3 3" xfId="33847"/>
    <cellStyle name="Input 4 3 4 4" xfId="18152"/>
    <cellStyle name="Input 4 3 4 4 2" xfId="39339"/>
    <cellStyle name="Input 4 3 4 5" xfId="28522"/>
    <cellStyle name="Input 4 3 4_Table 2A-1_EFT (Annual)" xfId="7090"/>
    <cellStyle name="Input 4 3 5" xfId="3890"/>
    <cellStyle name="Input 4 3 5 2" xfId="12222"/>
    <cellStyle name="Input 4 3 5 2 2" xfId="24247"/>
    <cellStyle name="Input 4 3 5 2 2 2" xfId="45433"/>
    <cellStyle name="Input 4 3 5 2 3" xfId="34829"/>
    <cellStyle name="Input 4 3 5 3" xfId="19134"/>
    <cellStyle name="Input 4 3 5 3 2" xfId="40321"/>
    <cellStyle name="Input 4 3 5 4" xfId="29578"/>
    <cellStyle name="Input 4 3 5_Table 2A-1_EFT (Annual)" xfId="15347"/>
    <cellStyle name="Input 4 3 6" xfId="9559"/>
    <cellStyle name="Input 4 3 6 2" xfId="21701"/>
    <cellStyle name="Input 4 3 6 2 2" xfId="42887"/>
    <cellStyle name="Input 4 3 6 3" xfId="32283"/>
    <cellStyle name="Input 4 3 7" xfId="16588"/>
    <cellStyle name="Input 4 3 7 2" xfId="37775"/>
    <cellStyle name="Input 4 3 8" xfId="26835"/>
    <cellStyle name="Input 4 3_Table 2A-1_EFT (Annual)" xfId="3075"/>
    <cellStyle name="Input 4 4" xfId="1142"/>
    <cellStyle name="Input 4 4 2" xfId="2412"/>
    <cellStyle name="Input 4 4 2 2" xfId="5973"/>
    <cellStyle name="Input 4 4 2 2 2" xfId="14167"/>
    <cellStyle name="Input 4 4 2 2 2 2" xfId="26139"/>
    <cellStyle name="Input 4 4 2 2 2 2 2" xfId="47325"/>
    <cellStyle name="Input 4 4 2 2 2 3" xfId="36721"/>
    <cellStyle name="Input 4 4 2 2 3" xfId="21026"/>
    <cellStyle name="Input 4 4 2 2 3 2" xfId="42213"/>
    <cellStyle name="Input 4 4 2 2 4" xfId="31629"/>
    <cellStyle name="Input 4 4 2 2_Table 2A-1_EFT (Annual)" xfId="15348"/>
    <cellStyle name="Input 4 4 2 3" xfId="11509"/>
    <cellStyle name="Input 4 4 2 3 2" xfId="23593"/>
    <cellStyle name="Input 4 4 2 3 2 2" xfId="44779"/>
    <cellStyle name="Input 4 4 2 3 3" xfId="34175"/>
    <cellStyle name="Input 4 4 2 4" xfId="18480"/>
    <cellStyle name="Input 4 4 2 4 2" xfId="39667"/>
    <cellStyle name="Input 4 4 2 5" xfId="28886"/>
    <cellStyle name="Input 4 4 2_Table 2A-1_EFT (Annual)" xfId="7092"/>
    <cellStyle name="Input 4 4 3" xfId="4703"/>
    <cellStyle name="Input 4 4 3 2" xfId="12963"/>
    <cellStyle name="Input 4 4 3 2 2" xfId="24969"/>
    <cellStyle name="Input 4 4 3 2 2 2" xfId="46155"/>
    <cellStyle name="Input 4 4 3 2 3" xfId="35551"/>
    <cellStyle name="Input 4 4 3 3" xfId="19856"/>
    <cellStyle name="Input 4 4 3 3 2" xfId="41043"/>
    <cellStyle name="Input 4 4 3 4" xfId="30360"/>
    <cellStyle name="Input 4 4 3_Table 2A-1_EFT (Annual)" xfId="15349"/>
    <cellStyle name="Input 4 4 4" xfId="10307"/>
    <cellStyle name="Input 4 4 4 2" xfId="22423"/>
    <cellStyle name="Input 4 4 4 2 2" xfId="43609"/>
    <cellStyle name="Input 4 4 4 3" xfId="33005"/>
    <cellStyle name="Input 4 4 5" xfId="17310"/>
    <cellStyle name="Input 4 4 5 2" xfId="38497"/>
    <cellStyle name="Input 4 4 6" xfId="27617"/>
    <cellStyle name="Input 4 4_Table 2A-1_EFT (Annual)" xfId="7091"/>
    <cellStyle name="Input 4 5" xfId="709"/>
    <cellStyle name="Input 4 5 2" xfId="4270"/>
    <cellStyle name="Input 4 5 2 2" xfId="12554"/>
    <cellStyle name="Input 4 5 2 2 2" xfId="24572"/>
    <cellStyle name="Input 4 5 2 2 2 2" xfId="45758"/>
    <cellStyle name="Input 4 5 2 2 3" xfId="35154"/>
    <cellStyle name="Input 4 5 2 3" xfId="19459"/>
    <cellStyle name="Input 4 5 2 3 2" xfId="40646"/>
    <cellStyle name="Input 4 5 2 4" xfId="29927"/>
    <cellStyle name="Input 4 5 2_Table 2A-1_EFT (Annual)" xfId="15350"/>
    <cellStyle name="Input 4 5 3" xfId="9901"/>
    <cellStyle name="Input 4 5 3 2" xfId="22026"/>
    <cellStyle name="Input 4 5 3 2 2" xfId="43212"/>
    <cellStyle name="Input 4 5 3 3" xfId="32608"/>
    <cellStyle name="Input 4 5 4" xfId="16913"/>
    <cellStyle name="Input 4 5 4 2" xfId="38100"/>
    <cellStyle name="Input 4 5 5" xfId="27184"/>
    <cellStyle name="Input 4 5_Table 2A-1_EFT (Annual)" xfId="7093"/>
    <cellStyle name="Input 4 6" xfId="1883"/>
    <cellStyle name="Input 4 6 2" xfId="5444"/>
    <cellStyle name="Input 4 6 2 2" xfId="13659"/>
    <cellStyle name="Input 4 6 2 2 2" xfId="25647"/>
    <cellStyle name="Input 4 6 2 2 2 2" xfId="46833"/>
    <cellStyle name="Input 4 6 2 2 3" xfId="36229"/>
    <cellStyle name="Input 4 6 2 3" xfId="20534"/>
    <cellStyle name="Input 4 6 2 3 2" xfId="41721"/>
    <cellStyle name="Input 4 6 2 4" xfId="31101"/>
    <cellStyle name="Input 4 6 2_Table 2A-1_EFT (Annual)" xfId="15351"/>
    <cellStyle name="Input 4 6 3" xfId="11003"/>
    <cellStyle name="Input 4 6 3 2" xfId="23101"/>
    <cellStyle name="Input 4 6 3 2 2" xfId="44287"/>
    <cellStyle name="Input 4 6 3 3" xfId="33683"/>
    <cellStyle name="Input 4 6 4" xfId="17988"/>
    <cellStyle name="Input 4 6 4 2" xfId="39175"/>
    <cellStyle name="Input 4 6 5" xfId="28358"/>
    <cellStyle name="Input 4 6_Table 2A-1_EFT (Annual)" xfId="7094"/>
    <cellStyle name="Input 4 7" xfId="3677"/>
    <cellStyle name="Input 4 7 2" xfId="12050"/>
    <cellStyle name="Input 4 7 2 2" xfId="24081"/>
    <cellStyle name="Input 4 7 2 2 2" xfId="45267"/>
    <cellStyle name="Input 4 7 2 3" xfId="34663"/>
    <cellStyle name="Input 4 7 3" xfId="18968"/>
    <cellStyle name="Input 4 7 3 2" xfId="40155"/>
    <cellStyle name="Input 4 7 4" xfId="29387"/>
    <cellStyle name="Input 4 7_Table 2A-1_EFT (Annual)" xfId="15352"/>
    <cellStyle name="Input 4 8" xfId="9367"/>
    <cellStyle name="Input 4 8 2" xfId="21535"/>
    <cellStyle name="Input 4 8 2 2" xfId="42721"/>
    <cellStyle name="Input 4 8 3" xfId="32117"/>
    <cellStyle name="Input 4 9" xfId="16422"/>
    <cellStyle name="Input 4 9 2" xfId="37609"/>
    <cellStyle name="Input 4_Table 2A-1_EFT (Annual)" xfId="3073"/>
    <cellStyle name="Input 5" xfId="119"/>
    <cellStyle name="Input 5 10" xfId="21506"/>
    <cellStyle name="Input 5 10 2" xfId="42693"/>
    <cellStyle name="Input 5 11" xfId="26674"/>
    <cellStyle name="Input 5 2" xfId="512"/>
    <cellStyle name="Input 5 2 2" xfId="1489"/>
    <cellStyle name="Input 5 2 2 2" xfId="2759"/>
    <cellStyle name="Input 5 2 2 2 2" xfId="6320"/>
    <cellStyle name="Input 5 2 2 2 2 2" xfId="14514"/>
    <cellStyle name="Input 5 2 2 2 2 2 2" xfId="26486"/>
    <cellStyle name="Input 5 2 2 2 2 2 2 2" xfId="47672"/>
    <cellStyle name="Input 5 2 2 2 2 2 3" xfId="37068"/>
    <cellStyle name="Input 5 2 2 2 2 3" xfId="21373"/>
    <cellStyle name="Input 5 2 2 2 2 3 2" xfId="42560"/>
    <cellStyle name="Input 5 2 2 2 2 4" xfId="31976"/>
    <cellStyle name="Input 5 2 2 2 2_Table 2A-1_EFT (Annual)" xfId="15353"/>
    <cellStyle name="Input 5 2 2 2 3" xfId="11856"/>
    <cellStyle name="Input 5 2 2 2 3 2" xfId="23940"/>
    <cellStyle name="Input 5 2 2 2 3 2 2" xfId="45126"/>
    <cellStyle name="Input 5 2 2 2 3 3" xfId="34522"/>
    <cellStyle name="Input 5 2 2 2 4" xfId="18827"/>
    <cellStyle name="Input 5 2 2 2 4 2" xfId="40014"/>
    <cellStyle name="Input 5 2 2 2 5" xfId="29233"/>
    <cellStyle name="Input 5 2 2 2_Table 2A-1_EFT (Annual)" xfId="7096"/>
    <cellStyle name="Input 5 2 2 3" xfId="5050"/>
    <cellStyle name="Input 5 2 2 3 2" xfId="13310"/>
    <cellStyle name="Input 5 2 2 3 2 2" xfId="25316"/>
    <cellStyle name="Input 5 2 2 3 2 2 2" xfId="46502"/>
    <cellStyle name="Input 5 2 2 3 2 3" xfId="35898"/>
    <cellStyle name="Input 5 2 2 3 3" xfId="20203"/>
    <cellStyle name="Input 5 2 2 3 3 2" xfId="41390"/>
    <cellStyle name="Input 5 2 2 3 4" xfId="30707"/>
    <cellStyle name="Input 5 2 2 3_Table 2A-1_EFT (Annual)" xfId="15354"/>
    <cellStyle name="Input 5 2 2 4" xfId="10654"/>
    <cellStyle name="Input 5 2 2 4 2" xfId="22770"/>
    <cellStyle name="Input 5 2 2 4 2 2" xfId="43956"/>
    <cellStyle name="Input 5 2 2 4 3" xfId="33352"/>
    <cellStyle name="Input 5 2 2 5" xfId="17657"/>
    <cellStyle name="Input 5 2 2 5 2" xfId="38844"/>
    <cellStyle name="Input 5 2 2 6" xfId="27964"/>
    <cellStyle name="Input 5 2 2_Table 2A-1_EFT (Annual)" xfId="7095"/>
    <cellStyle name="Input 5 2 3" xfId="1023"/>
    <cellStyle name="Input 5 2 3 2" xfId="4584"/>
    <cellStyle name="Input 5 2 3 2 2" xfId="12844"/>
    <cellStyle name="Input 5 2 3 2 2 2" xfId="24850"/>
    <cellStyle name="Input 5 2 3 2 2 2 2" xfId="46036"/>
    <cellStyle name="Input 5 2 3 2 2 3" xfId="35432"/>
    <cellStyle name="Input 5 2 3 2 3" xfId="19737"/>
    <cellStyle name="Input 5 2 3 2 3 2" xfId="40924"/>
    <cellStyle name="Input 5 2 3 2 4" xfId="30241"/>
    <cellStyle name="Input 5 2 3 2_Table 2A-1_EFT (Annual)" xfId="15355"/>
    <cellStyle name="Input 5 2 3 3" xfId="10188"/>
    <cellStyle name="Input 5 2 3 3 2" xfId="22304"/>
    <cellStyle name="Input 5 2 3 3 2 2" xfId="43490"/>
    <cellStyle name="Input 5 2 3 3 3" xfId="32886"/>
    <cellStyle name="Input 5 2 3 4" xfId="17191"/>
    <cellStyle name="Input 5 2 3 4 2" xfId="38378"/>
    <cellStyle name="Input 5 2 3 5" xfId="27498"/>
    <cellStyle name="Input 5 2 3_Table 2A-1_EFT (Annual)" xfId="7097"/>
    <cellStyle name="Input 5 2 4" xfId="2228"/>
    <cellStyle name="Input 5 2 4 2" xfId="5789"/>
    <cellStyle name="Input 5 2 4 2 2" xfId="14004"/>
    <cellStyle name="Input 5 2 4 2 2 2" xfId="25992"/>
    <cellStyle name="Input 5 2 4 2 2 2 2" xfId="47178"/>
    <cellStyle name="Input 5 2 4 2 2 3" xfId="36574"/>
    <cellStyle name="Input 5 2 4 2 3" xfId="20879"/>
    <cellStyle name="Input 5 2 4 2 3 2" xfId="42066"/>
    <cellStyle name="Input 5 2 4 2 4" xfId="31446"/>
    <cellStyle name="Input 5 2 4 2_Table 2A-1_EFT (Annual)" xfId="15356"/>
    <cellStyle name="Input 5 2 4 3" xfId="11348"/>
    <cellStyle name="Input 5 2 4 3 2" xfId="23446"/>
    <cellStyle name="Input 5 2 4 3 2 2" xfId="44632"/>
    <cellStyle name="Input 5 2 4 3 3" xfId="34028"/>
    <cellStyle name="Input 5 2 4 4" xfId="18333"/>
    <cellStyle name="Input 5 2 4 4 2" xfId="39520"/>
    <cellStyle name="Input 5 2 4 5" xfId="28703"/>
    <cellStyle name="Input 5 2 4_Table 2A-1_EFT (Annual)" xfId="7098"/>
    <cellStyle name="Input 5 2 5" xfId="4082"/>
    <cellStyle name="Input 5 2 5 2" xfId="12406"/>
    <cellStyle name="Input 5 2 5 2 2" xfId="24428"/>
    <cellStyle name="Input 5 2 5 2 2 2" xfId="45614"/>
    <cellStyle name="Input 5 2 5 2 3" xfId="35010"/>
    <cellStyle name="Input 5 2 5 3" xfId="19315"/>
    <cellStyle name="Input 5 2 5 3 2" xfId="40502"/>
    <cellStyle name="Input 5 2 5 4" xfId="29770"/>
    <cellStyle name="Input 5 2 5_Table 2A-1_EFT (Annual)" xfId="15357"/>
    <cellStyle name="Input 5 2 6" xfId="9745"/>
    <cellStyle name="Input 5 2 6 2" xfId="21882"/>
    <cellStyle name="Input 5 2 6 2 2" xfId="43068"/>
    <cellStyle name="Input 5 2 6 3" xfId="32464"/>
    <cellStyle name="Input 5 2 7" xfId="16769"/>
    <cellStyle name="Input 5 2 7 2" xfId="37956"/>
    <cellStyle name="Input 5 2 8" xfId="27027"/>
    <cellStyle name="Input 5 2_Table 2A-1_EFT (Annual)" xfId="3077"/>
    <cellStyle name="Input 5 3" xfId="350"/>
    <cellStyle name="Input 5 3 2" xfId="1333"/>
    <cellStyle name="Input 5 3 2 2" xfId="2603"/>
    <cellStyle name="Input 5 3 2 2 2" xfId="6164"/>
    <cellStyle name="Input 5 3 2 2 2 2" xfId="14358"/>
    <cellStyle name="Input 5 3 2 2 2 2 2" xfId="26330"/>
    <cellStyle name="Input 5 3 2 2 2 2 2 2" xfId="47516"/>
    <cellStyle name="Input 5 3 2 2 2 2 3" xfId="36912"/>
    <cellStyle name="Input 5 3 2 2 2 3" xfId="21217"/>
    <cellStyle name="Input 5 3 2 2 2 3 2" xfId="42404"/>
    <cellStyle name="Input 5 3 2 2 2 4" xfId="31820"/>
    <cellStyle name="Input 5 3 2 2 2_Table 2A-1_EFT (Annual)" xfId="15358"/>
    <cellStyle name="Input 5 3 2 2 3" xfId="11700"/>
    <cellStyle name="Input 5 3 2 2 3 2" xfId="23784"/>
    <cellStyle name="Input 5 3 2 2 3 2 2" xfId="44970"/>
    <cellStyle name="Input 5 3 2 2 3 3" xfId="34366"/>
    <cellStyle name="Input 5 3 2 2 4" xfId="18671"/>
    <cellStyle name="Input 5 3 2 2 4 2" xfId="39858"/>
    <cellStyle name="Input 5 3 2 2 5" xfId="29077"/>
    <cellStyle name="Input 5 3 2 2_Table 2A-1_EFT (Annual)" xfId="7100"/>
    <cellStyle name="Input 5 3 2 3" xfId="4894"/>
    <cellStyle name="Input 5 3 2 3 2" xfId="13154"/>
    <cellStyle name="Input 5 3 2 3 2 2" xfId="25160"/>
    <cellStyle name="Input 5 3 2 3 2 2 2" xfId="46346"/>
    <cellStyle name="Input 5 3 2 3 2 3" xfId="35742"/>
    <cellStyle name="Input 5 3 2 3 3" xfId="20047"/>
    <cellStyle name="Input 5 3 2 3 3 2" xfId="41234"/>
    <cellStyle name="Input 5 3 2 3 4" xfId="30551"/>
    <cellStyle name="Input 5 3 2 3_Table 2A-1_EFT (Annual)" xfId="15359"/>
    <cellStyle name="Input 5 3 2 4" xfId="10498"/>
    <cellStyle name="Input 5 3 2 4 2" xfId="22614"/>
    <cellStyle name="Input 5 3 2 4 2 2" xfId="43800"/>
    <cellStyle name="Input 5 3 2 4 3" xfId="33196"/>
    <cellStyle name="Input 5 3 2 5" xfId="17501"/>
    <cellStyle name="Input 5 3 2 5 2" xfId="38688"/>
    <cellStyle name="Input 5 3 2 6" xfId="27808"/>
    <cellStyle name="Input 5 3 2_Table 2A-1_EFT (Annual)" xfId="7099"/>
    <cellStyle name="Input 5 3 3" xfId="891"/>
    <cellStyle name="Input 5 3 3 2" xfId="4452"/>
    <cellStyle name="Input 5 3 3 2 2" xfId="12714"/>
    <cellStyle name="Input 5 3 3 2 2 2" xfId="24724"/>
    <cellStyle name="Input 5 3 3 2 2 2 2" xfId="45910"/>
    <cellStyle name="Input 5 3 3 2 2 3" xfId="35306"/>
    <cellStyle name="Input 5 3 3 2 3" xfId="19611"/>
    <cellStyle name="Input 5 3 3 2 3 2" xfId="40798"/>
    <cellStyle name="Input 5 3 3 2 4" xfId="30109"/>
    <cellStyle name="Input 5 3 3 2_Table 2A-1_EFT (Annual)" xfId="15360"/>
    <cellStyle name="Input 5 3 3 3" xfId="10061"/>
    <cellStyle name="Input 5 3 3 3 2" xfId="22178"/>
    <cellStyle name="Input 5 3 3 3 2 2" xfId="43364"/>
    <cellStyle name="Input 5 3 3 3 3" xfId="32760"/>
    <cellStyle name="Input 5 3 3 4" xfId="17065"/>
    <cellStyle name="Input 5 3 3 4 2" xfId="38252"/>
    <cellStyle name="Input 5 3 3 5" xfId="27366"/>
    <cellStyle name="Input 5 3 3_Table 2A-1_EFT (Annual)" xfId="7101"/>
    <cellStyle name="Input 5 3 4" xfId="2072"/>
    <cellStyle name="Input 5 3 4 2" xfId="5633"/>
    <cellStyle name="Input 5 3 4 2 2" xfId="13848"/>
    <cellStyle name="Input 5 3 4 2 2 2" xfId="25836"/>
    <cellStyle name="Input 5 3 4 2 2 2 2" xfId="47022"/>
    <cellStyle name="Input 5 3 4 2 2 3" xfId="36418"/>
    <cellStyle name="Input 5 3 4 2 3" xfId="20723"/>
    <cellStyle name="Input 5 3 4 2 3 2" xfId="41910"/>
    <cellStyle name="Input 5 3 4 2 4" xfId="31290"/>
    <cellStyle name="Input 5 3 4 2_Table 2A-1_EFT (Annual)" xfId="15361"/>
    <cellStyle name="Input 5 3 4 3" xfId="11192"/>
    <cellStyle name="Input 5 3 4 3 2" xfId="23290"/>
    <cellStyle name="Input 5 3 4 3 2 2" xfId="44476"/>
    <cellStyle name="Input 5 3 4 3 3" xfId="33872"/>
    <cellStyle name="Input 5 3 4 4" xfId="18177"/>
    <cellStyle name="Input 5 3 4 4 2" xfId="39364"/>
    <cellStyle name="Input 5 3 4 5" xfId="28547"/>
    <cellStyle name="Input 5 3 4_Table 2A-1_EFT (Annual)" xfId="7102"/>
    <cellStyle name="Input 5 3 5" xfId="3920"/>
    <cellStyle name="Input 5 3 5 2" xfId="12248"/>
    <cellStyle name="Input 5 3 5 2 2" xfId="24272"/>
    <cellStyle name="Input 5 3 5 2 2 2" xfId="45458"/>
    <cellStyle name="Input 5 3 5 2 3" xfId="34854"/>
    <cellStyle name="Input 5 3 5 3" xfId="19159"/>
    <cellStyle name="Input 5 3 5 3 2" xfId="40346"/>
    <cellStyle name="Input 5 3 5 4" xfId="29608"/>
    <cellStyle name="Input 5 3 5_Table 2A-1_EFT (Annual)" xfId="15362"/>
    <cellStyle name="Input 5 3 6" xfId="9585"/>
    <cellStyle name="Input 5 3 6 2" xfId="21726"/>
    <cellStyle name="Input 5 3 6 2 2" xfId="42912"/>
    <cellStyle name="Input 5 3 6 3" xfId="32308"/>
    <cellStyle name="Input 5 3 7" xfId="16613"/>
    <cellStyle name="Input 5 3 7 2" xfId="37800"/>
    <cellStyle name="Input 5 3 8" xfId="26865"/>
    <cellStyle name="Input 5 3_Table 2A-1_EFT (Annual)" xfId="3078"/>
    <cellStyle name="Input 5 4" xfId="1167"/>
    <cellStyle name="Input 5 4 2" xfId="2437"/>
    <cellStyle name="Input 5 4 2 2" xfId="5998"/>
    <cellStyle name="Input 5 4 2 2 2" xfId="14192"/>
    <cellStyle name="Input 5 4 2 2 2 2" xfId="26164"/>
    <cellStyle name="Input 5 4 2 2 2 2 2" xfId="47350"/>
    <cellStyle name="Input 5 4 2 2 2 3" xfId="36746"/>
    <cellStyle name="Input 5 4 2 2 3" xfId="21051"/>
    <cellStyle name="Input 5 4 2 2 3 2" xfId="42238"/>
    <cellStyle name="Input 5 4 2 2 4" xfId="31654"/>
    <cellStyle name="Input 5 4 2 2_Table 2A-1_EFT (Annual)" xfId="15363"/>
    <cellStyle name="Input 5 4 2 3" xfId="11534"/>
    <cellStyle name="Input 5 4 2 3 2" xfId="23618"/>
    <cellStyle name="Input 5 4 2 3 2 2" xfId="44804"/>
    <cellStyle name="Input 5 4 2 3 3" xfId="34200"/>
    <cellStyle name="Input 5 4 2 4" xfId="18505"/>
    <cellStyle name="Input 5 4 2 4 2" xfId="39692"/>
    <cellStyle name="Input 5 4 2 5" xfId="28911"/>
    <cellStyle name="Input 5 4 2_Table 2A-1_EFT (Annual)" xfId="7104"/>
    <cellStyle name="Input 5 4 3" xfId="4728"/>
    <cellStyle name="Input 5 4 3 2" xfId="12988"/>
    <cellStyle name="Input 5 4 3 2 2" xfId="24994"/>
    <cellStyle name="Input 5 4 3 2 2 2" xfId="46180"/>
    <cellStyle name="Input 5 4 3 2 3" xfId="35576"/>
    <cellStyle name="Input 5 4 3 3" xfId="19881"/>
    <cellStyle name="Input 5 4 3 3 2" xfId="41068"/>
    <cellStyle name="Input 5 4 3 4" xfId="30385"/>
    <cellStyle name="Input 5 4 3_Table 2A-1_EFT (Annual)" xfId="15364"/>
    <cellStyle name="Input 5 4 4" xfId="10332"/>
    <cellStyle name="Input 5 4 4 2" xfId="22448"/>
    <cellStyle name="Input 5 4 4 2 2" xfId="43634"/>
    <cellStyle name="Input 5 4 4 3" xfId="33030"/>
    <cellStyle name="Input 5 4 5" xfId="17335"/>
    <cellStyle name="Input 5 4 5 2" xfId="38522"/>
    <cellStyle name="Input 5 4 6" xfId="27642"/>
    <cellStyle name="Input 5 4_Table 2A-1_EFT (Annual)" xfId="7103"/>
    <cellStyle name="Input 5 5" xfId="732"/>
    <cellStyle name="Input 5 5 2" xfId="4293"/>
    <cellStyle name="Input 5 5 2 2" xfId="12573"/>
    <cellStyle name="Input 5 5 2 2 2" xfId="24590"/>
    <cellStyle name="Input 5 5 2 2 2 2" xfId="45776"/>
    <cellStyle name="Input 5 5 2 2 3" xfId="35172"/>
    <cellStyle name="Input 5 5 2 3" xfId="19477"/>
    <cellStyle name="Input 5 5 2 3 2" xfId="40664"/>
    <cellStyle name="Input 5 5 2 4" xfId="29950"/>
    <cellStyle name="Input 5 5 2_Table 2A-1_EFT (Annual)" xfId="15365"/>
    <cellStyle name="Input 5 5 3" xfId="9921"/>
    <cellStyle name="Input 5 5 3 2" xfId="22044"/>
    <cellStyle name="Input 5 5 3 2 2" xfId="43230"/>
    <cellStyle name="Input 5 5 3 3" xfId="32626"/>
    <cellStyle name="Input 5 5 4" xfId="16931"/>
    <cellStyle name="Input 5 5 4 2" xfId="38118"/>
    <cellStyle name="Input 5 5 5" xfId="27207"/>
    <cellStyle name="Input 5 5_Table 2A-1_EFT (Annual)" xfId="7105"/>
    <cellStyle name="Input 5 6" xfId="1797"/>
    <cellStyle name="Input 5 6 2" xfId="5358"/>
    <cellStyle name="Input 5 6 2 2" xfId="13573"/>
    <cellStyle name="Input 5 6 2 2 2" xfId="25561"/>
    <cellStyle name="Input 5 6 2 2 2 2" xfId="46747"/>
    <cellStyle name="Input 5 6 2 2 3" xfId="36143"/>
    <cellStyle name="Input 5 6 2 3" xfId="20448"/>
    <cellStyle name="Input 5 6 2 3 2" xfId="41635"/>
    <cellStyle name="Input 5 6 2 4" xfId="31015"/>
    <cellStyle name="Input 5 6 2_Table 2A-1_EFT (Annual)" xfId="15366"/>
    <cellStyle name="Input 5 6 3" xfId="10917"/>
    <cellStyle name="Input 5 6 3 2" xfId="23015"/>
    <cellStyle name="Input 5 6 3 2 2" xfId="44201"/>
    <cellStyle name="Input 5 6 3 3" xfId="33597"/>
    <cellStyle name="Input 5 6 4" xfId="17902"/>
    <cellStyle name="Input 5 6 4 2" xfId="39089"/>
    <cellStyle name="Input 5 6 5" xfId="28272"/>
    <cellStyle name="Input 5 6_Table 2A-1_EFT (Annual)" xfId="7106"/>
    <cellStyle name="Input 5 7" xfId="3708"/>
    <cellStyle name="Input 5 7 2" xfId="12076"/>
    <cellStyle name="Input 5 7 2 2" xfId="24106"/>
    <cellStyle name="Input 5 7 2 2 2" xfId="45292"/>
    <cellStyle name="Input 5 7 2 3" xfId="34688"/>
    <cellStyle name="Input 5 7 3" xfId="18993"/>
    <cellStyle name="Input 5 7 3 2" xfId="40180"/>
    <cellStyle name="Input 5 7 4" xfId="29417"/>
    <cellStyle name="Input 5 7_Table 2A-1_EFT (Annual)" xfId="15367"/>
    <cellStyle name="Input 5 8" xfId="9395"/>
    <cellStyle name="Input 5 8 2" xfId="21560"/>
    <cellStyle name="Input 5 8 2 2" xfId="42746"/>
    <cellStyle name="Input 5 8 3" xfId="32142"/>
    <cellStyle name="Input 5 9" xfId="16447"/>
    <cellStyle name="Input 5 9 2" xfId="37634"/>
    <cellStyle name="Input 5_Table 2A-1_EFT (Annual)" xfId="3076"/>
    <cellStyle name="Input 6" xfId="79"/>
    <cellStyle name="Input 6 10" xfId="26635"/>
    <cellStyle name="Input 6 2" xfId="478"/>
    <cellStyle name="Input 6 2 2" xfId="1455"/>
    <cellStyle name="Input 6 2 2 2" xfId="2725"/>
    <cellStyle name="Input 6 2 2 2 2" xfId="6286"/>
    <cellStyle name="Input 6 2 2 2 2 2" xfId="14480"/>
    <cellStyle name="Input 6 2 2 2 2 2 2" xfId="26452"/>
    <cellStyle name="Input 6 2 2 2 2 2 2 2" xfId="47638"/>
    <cellStyle name="Input 6 2 2 2 2 2 3" xfId="37034"/>
    <cellStyle name="Input 6 2 2 2 2 3" xfId="21339"/>
    <cellStyle name="Input 6 2 2 2 2 3 2" xfId="42526"/>
    <cellStyle name="Input 6 2 2 2 2 4" xfId="31942"/>
    <cellStyle name="Input 6 2 2 2 2_Table 2A-1_EFT (Annual)" xfId="15368"/>
    <cellStyle name="Input 6 2 2 2 3" xfId="11822"/>
    <cellStyle name="Input 6 2 2 2 3 2" xfId="23906"/>
    <cellStyle name="Input 6 2 2 2 3 2 2" xfId="45092"/>
    <cellStyle name="Input 6 2 2 2 3 3" xfId="34488"/>
    <cellStyle name="Input 6 2 2 2 4" xfId="18793"/>
    <cellStyle name="Input 6 2 2 2 4 2" xfId="39980"/>
    <cellStyle name="Input 6 2 2 2 5" xfId="29199"/>
    <cellStyle name="Input 6 2 2 2_Table 2A-1_EFT (Annual)" xfId="7108"/>
    <cellStyle name="Input 6 2 2 3" xfId="5016"/>
    <cellStyle name="Input 6 2 2 3 2" xfId="13276"/>
    <cellStyle name="Input 6 2 2 3 2 2" xfId="25282"/>
    <cellStyle name="Input 6 2 2 3 2 2 2" xfId="46468"/>
    <cellStyle name="Input 6 2 2 3 2 3" xfId="35864"/>
    <cellStyle name="Input 6 2 2 3 3" xfId="20169"/>
    <cellStyle name="Input 6 2 2 3 3 2" xfId="41356"/>
    <cellStyle name="Input 6 2 2 3 4" xfId="30673"/>
    <cellStyle name="Input 6 2 2 3_Table 2A-1_EFT (Annual)" xfId="15369"/>
    <cellStyle name="Input 6 2 2 4" xfId="10620"/>
    <cellStyle name="Input 6 2 2 4 2" xfId="22736"/>
    <cellStyle name="Input 6 2 2 4 2 2" xfId="43922"/>
    <cellStyle name="Input 6 2 2 4 3" xfId="33318"/>
    <cellStyle name="Input 6 2 2 5" xfId="17623"/>
    <cellStyle name="Input 6 2 2 5 2" xfId="38810"/>
    <cellStyle name="Input 6 2 2 6" xfId="27930"/>
    <cellStyle name="Input 6 2 2_Table 2A-1_EFT (Annual)" xfId="7107"/>
    <cellStyle name="Input 6 2 3" xfId="998"/>
    <cellStyle name="Input 6 2 3 2" xfId="4559"/>
    <cellStyle name="Input 6 2 3 2 2" xfId="12819"/>
    <cellStyle name="Input 6 2 3 2 2 2" xfId="24825"/>
    <cellStyle name="Input 6 2 3 2 2 2 2" xfId="46011"/>
    <cellStyle name="Input 6 2 3 2 2 3" xfId="35407"/>
    <cellStyle name="Input 6 2 3 2 3" xfId="19712"/>
    <cellStyle name="Input 6 2 3 2 3 2" xfId="40899"/>
    <cellStyle name="Input 6 2 3 2 4" xfId="30216"/>
    <cellStyle name="Input 6 2 3 2_Table 2A-1_EFT (Annual)" xfId="15370"/>
    <cellStyle name="Input 6 2 3 3" xfId="10163"/>
    <cellStyle name="Input 6 2 3 3 2" xfId="22279"/>
    <cellStyle name="Input 6 2 3 3 2 2" xfId="43465"/>
    <cellStyle name="Input 6 2 3 3 3" xfId="32861"/>
    <cellStyle name="Input 6 2 3 4" xfId="17166"/>
    <cellStyle name="Input 6 2 3 4 2" xfId="38353"/>
    <cellStyle name="Input 6 2 3 5" xfId="27473"/>
    <cellStyle name="Input 6 2 3_Table 2A-1_EFT (Annual)" xfId="7109"/>
    <cellStyle name="Input 6 2 4" xfId="2194"/>
    <cellStyle name="Input 6 2 4 2" xfId="5755"/>
    <cellStyle name="Input 6 2 4 2 2" xfId="13970"/>
    <cellStyle name="Input 6 2 4 2 2 2" xfId="25958"/>
    <cellStyle name="Input 6 2 4 2 2 2 2" xfId="47144"/>
    <cellStyle name="Input 6 2 4 2 2 3" xfId="36540"/>
    <cellStyle name="Input 6 2 4 2 3" xfId="20845"/>
    <cellStyle name="Input 6 2 4 2 3 2" xfId="42032"/>
    <cellStyle name="Input 6 2 4 2 4" xfId="31412"/>
    <cellStyle name="Input 6 2 4 2_Table 2A-1_EFT (Annual)" xfId="15371"/>
    <cellStyle name="Input 6 2 4 3" xfId="11314"/>
    <cellStyle name="Input 6 2 4 3 2" xfId="23412"/>
    <cellStyle name="Input 6 2 4 3 2 2" xfId="44598"/>
    <cellStyle name="Input 6 2 4 3 3" xfId="33994"/>
    <cellStyle name="Input 6 2 4 4" xfId="18299"/>
    <cellStyle name="Input 6 2 4 4 2" xfId="39486"/>
    <cellStyle name="Input 6 2 4 5" xfId="28669"/>
    <cellStyle name="Input 6 2 4_Table 2A-1_EFT (Annual)" xfId="7110"/>
    <cellStyle name="Input 6 2 5" xfId="4048"/>
    <cellStyle name="Input 6 2 5 2" xfId="12372"/>
    <cellStyle name="Input 6 2 5 2 2" xfId="24394"/>
    <cellStyle name="Input 6 2 5 2 2 2" xfId="45580"/>
    <cellStyle name="Input 6 2 5 2 3" xfId="34976"/>
    <cellStyle name="Input 6 2 5 3" xfId="19281"/>
    <cellStyle name="Input 6 2 5 3 2" xfId="40468"/>
    <cellStyle name="Input 6 2 5 4" xfId="29736"/>
    <cellStyle name="Input 6 2 5_Table 2A-1_EFT (Annual)" xfId="15372"/>
    <cellStyle name="Input 6 2 6" xfId="9711"/>
    <cellStyle name="Input 6 2 6 2" xfId="21848"/>
    <cellStyle name="Input 6 2 6 2 2" xfId="43034"/>
    <cellStyle name="Input 6 2 6 3" xfId="32430"/>
    <cellStyle name="Input 6 2 7" xfId="16735"/>
    <cellStyle name="Input 6 2 7 2" xfId="37922"/>
    <cellStyle name="Input 6 2 8" xfId="26993"/>
    <cellStyle name="Input 6 2_Table 2A-1_EFT (Annual)" xfId="3080"/>
    <cellStyle name="Input 6 3" xfId="311"/>
    <cellStyle name="Input 6 3 2" xfId="1299"/>
    <cellStyle name="Input 6 3 2 2" xfId="2569"/>
    <cellStyle name="Input 6 3 2 2 2" xfId="6130"/>
    <cellStyle name="Input 6 3 2 2 2 2" xfId="14324"/>
    <cellStyle name="Input 6 3 2 2 2 2 2" xfId="26296"/>
    <cellStyle name="Input 6 3 2 2 2 2 2 2" xfId="47482"/>
    <cellStyle name="Input 6 3 2 2 2 2 3" xfId="36878"/>
    <cellStyle name="Input 6 3 2 2 2 3" xfId="21183"/>
    <cellStyle name="Input 6 3 2 2 2 3 2" xfId="42370"/>
    <cellStyle name="Input 6 3 2 2 2 4" xfId="31786"/>
    <cellStyle name="Input 6 3 2 2 2_Table 2A-1_EFT (Annual)" xfId="15373"/>
    <cellStyle name="Input 6 3 2 2 3" xfId="11666"/>
    <cellStyle name="Input 6 3 2 2 3 2" xfId="23750"/>
    <cellStyle name="Input 6 3 2 2 3 2 2" xfId="44936"/>
    <cellStyle name="Input 6 3 2 2 3 3" xfId="34332"/>
    <cellStyle name="Input 6 3 2 2 4" xfId="18637"/>
    <cellStyle name="Input 6 3 2 2 4 2" xfId="39824"/>
    <cellStyle name="Input 6 3 2 2 5" xfId="29043"/>
    <cellStyle name="Input 6 3 2 2_Table 2A-1_EFT (Annual)" xfId="7112"/>
    <cellStyle name="Input 6 3 2 3" xfId="4860"/>
    <cellStyle name="Input 6 3 2 3 2" xfId="13120"/>
    <cellStyle name="Input 6 3 2 3 2 2" xfId="25126"/>
    <cellStyle name="Input 6 3 2 3 2 2 2" xfId="46312"/>
    <cellStyle name="Input 6 3 2 3 2 3" xfId="35708"/>
    <cellStyle name="Input 6 3 2 3 3" xfId="20013"/>
    <cellStyle name="Input 6 3 2 3 3 2" xfId="41200"/>
    <cellStyle name="Input 6 3 2 3 4" xfId="30517"/>
    <cellStyle name="Input 6 3 2 3_Table 2A-1_EFT (Annual)" xfId="15374"/>
    <cellStyle name="Input 6 3 2 4" xfId="10464"/>
    <cellStyle name="Input 6 3 2 4 2" xfId="22580"/>
    <cellStyle name="Input 6 3 2 4 2 2" xfId="43766"/>
    <cellStyle name="Input 6 3 2 4 3" xfId="33162"/>
    <cellStyle name="Input 6 3 2 5" xfId="17467"/>
    <cellStyle name="Input 6 3 2 5 2" xfId="38654"/>
    <cellStyle name="Input 6 3 2 6" xfId="27774"/>
    <cellStyle name="Input 6 3 2_Table 2A-1_EFT (Annual)" xfId="7111"/>
    <cellStyle name="Input 6 3 3" xfId="861"/>
    <cellStyle name="Input 6 3 3 2" xfId="4422"/>
    <cellStyle name="Input 6 3 3 2 2" xfId="12687"/>
    <cellStyle name="Input 6 3 3 2 2 2" xfId="24699"/>
    <cellStyle name="Input 6 3 3 2 2 2 2" xfId="45885"/>
    <cellStyle name="Input 6 3 3 2 2 3" xfId="35281"/>
    <cellStyle name="Input 6 3 3 2 3" xfId="19586"/>
    <cellStyle name="Input 6 3 3 2 3 2" xfId="40773"/>
    <cellStyle name="Input 6 3 3 2 4" xfId="30079"/>
    <cellStyle name="Input 6 3 3 2_Table 2A-1_EFT (Annual)" xfId="15375"/>
    <cellStyle name="Input 6 3 3 3" xfId="10034"/>
    <cellStyle name="Input 6 3 3 3 2" xfId="22153"/>
    <cellStyle name="Input 6 3 3 3 2 2" xfId="43339"/>
    <cellStyle name="Input 6 3 3 3 3" xfId="32735"/>
    <cellStyle name="Input 6 3 3 4" xfId="17040"/>
    <cellStyle name="Input 6 3 3 4 2" xfId="38227"/>
    <cellStyle name="Input 6 3 3 5" xfId="27336"/>
    <cellStyle name="Input 6 3 3_Table 2A-1_EFT (Annual)" xfId="7113"/>
    <cellStyle name="Input 6 3 4" xfId="2038"/>
    <cellStyle name="Input 6 3 4 2" xfId="5599"/>
    <cellStyle name="Input 6 3 4 2 2" xfId="13814"/>
    <cellStyle name="Input 6 3 4 2 2 2" xfId="25802"/>
    <cellStyle name="Input 6 3 4 2 2 2 2" xfId="46988"/>
    <cellStyle name="Input 6 3 4 2 2 3" xfId="36384"/>
    <cellStyle name="Input 6 3 4 2 3" xfId="20689"/>
    <cellStyle name="Input 6 3 4 2 3 2" xfId="41876"/>
    <cellStyle name="Input 6 3 4 2 4" xfId="31256"/>
    <cellStyle name="Input 6 3 4 2_Table 2A-1_EFT (Annual)" xfId="15376"/>
    <cellStyle name="Input 6 3 4 3" xfId="11158"/>
    <cellStyle name="Input 6 3 4 3 2" xfId="23256"/>
    <cellStyle name="Input 6 3 4 3 2 2" xfId="44442"/>
    <cellStyle name="Input 6 3 4 3 3" xfId="33838"/>
    <cellStyle name="Input 6 3 4 4" xfId="18143"/>
    <cellStyle name="Input 6 3 4 4 2" xfId="39330"/>
    <cellStyle name="Input 6 3 4 5" xfId="28513"/>
    <cellStyle name="Input 6 3 4_Table 2A-1_EFT (Annual)" xfId="7114"/>
    <cellStyle name="Input 6 3 5" xfId="3881"/>
    <cellStyle name="Input 6 3 5 2" xfId="12213"/>
    <cellStyle name="Input 6 3 5 2 2" xfId="24238"/>
    <cellStyle name="Input 6 3 5 2 2 2" xfId="45424"/>
    <cellStyle name="Input 6 3 5 2 3" xfId="34820"/>
    <cellStyle name="Input 6 3 5 3" xfId="19125"/>
    <cellStyle name="Input 6 3 5 3 2" xfId="40312"/>
    <cellStyle name="Input 6 3 5 4" xfId="29569"/>
    <cellStyle name="Input 6 3 5_Table 2A-1_EFT (Annual)" xfId="15377"/>
    <cellStyle name="Input 6 3 6" xfId="9550"/>
    <cellStyle name="Input 6 3 6 2" xfId="21692"/>
    <cellStyle name="Input 6 3 6 2 2" xfId="42878"/>
    <cellStyle name="Input 6 3 6 3" xfId="32274"/>
    <cellStyle name="Input 6 3 7" xfId="16579"/>
    <cellStyle name="Input 6 3 7 2" xfId="37766"/>
    <cellStyle name="Input 6 3 8" xfId="26826"/>
    <cellStyle name="Input 6 3_Table 2A-1_EFT (Annual)" xfId="3081"/>
    <cellStyle name="Input 6 4" xfId="1133"/>
    <cellStyle name="Input 6 4 2" xfId="2403"/>
    <cellStyle name="Input 6 4 2 2" xfId="5964"/>
    <cellStyle name="Input 6 4 2 2 2" xfId="14158"/>
    <cellStyle name="Input 6 4 2 2 2 2" xfId="26130"/>
    <cellStyle name="Input 6 4 2 2 2 2 2" xfId="47316"/>
    <cellStyle name="Input 6 4 2 2 2 3" xfId="36712"/>
    <cellStyle name="Input 6 4 2 2 3" xfId="21017"/>
    <cellStyle name="Input 6 4 2 2 3 2" xfId="42204"/>
    <cellStyle name="Input 6 4 2 2 4" xfId="31620"/>
    <cellStyle name="Input 6 4 2 2_Table 2A-1_EFT (Annual)" xfId="15378"/>
    <cellStyle name="Input 6 4 2 3" xfId="11500"/>
    <cellStyle name="Input 6 4 2 3 2" xfId="23584"/>
    <cellStyle name="Input 6 4 2 3 2 2" xfId="44770"/>
    <cellStyle name="Input 6 4 2 3 3" xfId="34166"/>
    <cellStyle name="Input 6 4 2 4" xfId="18471"/>
    <cellStyle name="Input 6 4 2 4 2" xfId="39658"/>
    <cellStyle name="Input 6 4 2 5" xfId="28877"/>
    <cellStyle name="Input 6 4 2_Table 2A-1_EFT (Annual)" xfId="7116"/>
    <cellStyle name="Input 6 4 3" xfId="4694"/>
    <cellStyle name="Input 6 4 3 2" xfId="12954"/>
    <cellStyle name="Input 6 4 3 2 2" xfId="24960"/>
    <cellStyle name="Input 6 4 3 2 2 2" xfId="46146"/>
    <cellStyle name="Input 6 4 3 2 3" xfId="35542"/>
    <cellStyle name="Input 6 4 3 3" xfId="19847"/>
    <cellStyle name="Input 6 4 3 3 2" xfId="41034"/>
    <cellStyle name="Input 6 4 3 4" xfId="30351"/>
    <cellStyle name="Input 6 4 3_Table 2A-1_EFT (Annual)" xfId="15379"/>
    <cellStyle name="Input 6 4 4" xfId="10298"/>
    <cellStyle name="Input 6 4 4 2" xfId="22414"/>
    <cellStyle name="Input 6 4 4 2 2" xfId="43600"/>
    <cellStyle name="Input 6 4 4 3" xfId="32996"/>
    <cellStyle name="Input 6 4 5" xfId="17301"/>
    <cellStyle name="Input 6 4 5 2" xfId="38488"/>
    <cellStyle name="Input 6 4 6" xfId="27608"/>
    <cellStyle name="Input 6 4_Table 2A-1_EFT (Annual)" xfId="7115"/>
    <cellStyle name="Input 6 5" xfId="702"/>
    <cellStyle name="Input 6 5 2" xfId="4263"/>
    <cellStyle name="Input 6 5 2 2" xfId="12547"/>
    <cellStyle name="Input 6 5 2 2 2" xfId="24565"/>
    <cellStyle name="Input 6 5 2 2 2 2" xfId="45751"/>
    <cellStyle name="Input 6 5 2 2 3" xfId="35147"/>
    <cellStyle name="Input 6 5 2 3" xfId="19452"/>
    <cellStyle name="Input 6 5 2 3 2" xfId="40639"/>
    <cellStyle name="Input 6 5 2 4" xfId="29920"/>
    <cellStyle name="Input 6 5 2_Table 2A-1_EFT (Annual)" xfId="15380"/>
    <cellStyle name="Input 6 5 3" xfId="9894"/>
    <cellStyle name="Input 6 5 3 2" xfId="22019"/>
    <cellStyle name="Input 6 5 3 2 2" xfId="43205"/>
    <cellStyle name="Input 6 5 3 3" xfId="32601"/>
    <cellStyle name="Input 6 5 4" xfId="16906"/>
    <cellStyle name="Input 6 5 4 2" xfId="38093"/>
    <cellStyle name="Input 6 5 5" xfId="27177"/>
    <cellStyle name="Input 6 5_Table 2A-1_EFT (Annual)" xfId="7117"/>
    <cellStyle name="Input 6 6" xfId="1805"/>
    <cellStyle name="Input 6 6 2" xfId="5366"/>
    <cellStyle name="Input 6 6 2 2" xfId="13581"/>
    <cellStyle name="Input 6 6 2 2 2" xfId="25569"/>
    <cellStyle name="Input 6 6 2 2 2 2" xfId="46755"/>
    <cellStyle name="Input 6 6 2 2 3" xfId="36151"/>
    <cellStyle name="Input 6 6 2 3" xfId="20456"/>
    <cellStyle name="Input 6 6 2 3 2" xfId="41643"/>
    <cellStyle name="Input 6 6 2 4" xfId="31023"/>
    <cellStyle name="Input 6 6 2_Table 2A-1_EFT (Annual)" xfId="15381"/>
    <cellStyle name="Input 6 6 3" xfId="10925"/>
    <cellStyle name="Input 6 6 3 2" xfId="23023"/>
    <cellStyle name="Input 6 6 3 2 2" xfId="44209"/>
    <cellStyle name="Input 6 6 3 3" xfId="33605"/>
    <cellStyle name="Input 6 6 4" xfId="17910"/>
    <cellStyle name="Input 6 6 4 2" xfId="39097"/>
    <cellStyle name="Input 6 6 5" xfId="28280"/>
    <cellStyle name="Input 6 6_Table 2A-1_EFT (Annual)" xfId="7118"/>
    <cellStyle name="Input 6 7" xfId="3668"/>
    <cellStyle name="Input 6 7 2" xfId="12041"/>
    <cellStyle name="Input 6 7 2 2" xfId="24072"/>
    <cellStyle name="Input 6 7 2 2 2" xfId="45258"/>
    <cellStyle name="Input 6 7 2 3" xfId="34654"/>
    <cellStyle name="Input 6 7 3" xfId="18959"/>
    <cellStyle name="Input 6 7 3 2" xfId="40146"/>
    <cellStyle name="Input 6 7 4" xfId="29378"/>
    <cellStyle name="Input 6 7_Table 2A-1_EFT (Annual)" xfId="15382"/>
    <cellStyle name="Input 6 8" xfId="9358"/>
    <cellStyle name="Input 6 8 2" xfId="21526"/>
    <cellStyle name="Input 6 8 2 2" xfId="42712"/>
    <cellStyle name="Input 6 8 3" xfId="32108"/>
    <cellStyle name="Input 6 9" xfId="16413"/>
    <cellStyle name="Input 6 9 2" xfId="37600"/>
    <cellStyle name="Input 6_Table 2A-1_EFT (Annual)" xfId="3079"/>
    <cellStyle name="Input 7" xfId="127"/>
    <cellStyle name="Input 7 10" xfId="26682"/>
    <cellStyle name="Input 7 2" xfId="520"/>
    <cellStyle name="Input 7 2 2" xfId="1497"/>
    <cellStyle name="Input 7 2 2 2" xfId="2767"/>
    <cellStyle name="Input 7 2 2 2 2" xfId="6328"/>
    <cellStyle name="Input 7 2 2 2 2 2" xfId="14522"/>
    <cellStyle name="Input 7 2 2 2 2 2 2" xfId="26494"/>
    <cellStyle name="Input 7 2 2 2 2 2 2 2" xfId="47680"/>
    <cellStyle name="Input 7 2 2 2 2 2 3" xfId="37076"/>
    <cellStyle name="Input 7 2 2 2 2 3" xfId="21381"/>
    <cellStyle name="Input 7 2 2 2 2 3 2" xfId="42568"/>
    <cellStyle name="Input 7 2 2 2 2 4" xfId="31984"/>
    <cellStyle name="Input 7 2 2 2 2_Table 2A-1_EFT (Annual)" xfId="15383"/>
    <cellStyle name="Input 7 2 2 2 3" xfId="11864"/>
    <cellStyle name="Input 7 2 2 2 3 2" xfId="23948"/>
    <cellStyle name="Input 7 2 2 2 3 2 2" xfId="45134"/>
    <cellStyle name="Input 7 2 2 2 3 3" xfId="34530"/>
    <cellStyle name="Input 7 2 2 2 4" xfId="18835"/>
    <cellStyle name="Input 7 2 2 2 4 2" xfId="40022"/>
    <cellStyle name="Input 7 2 2 2 5" xfId="29241"/>
    <cellStyle name="Input 7 2 2 2_Table 2A-1_EFT (Annual)" xfId="7120"/>
    <cellStyle name="Input 7 2 2 3" xfId="5058"/>
    <cellStyle name="Input 7 2 2 3 2" xfId="13318"/>
    <cellStyle name="Input 7 2 2 3 2 2" xfId="25324"/>
    <cellStyle name="Input 7 2 2 3 2 2 2" xfId="46510"/>
    <cellStyle name="Input 7 2 2 3 2 3" xfId="35906"/>
    <cellStyle name="Input 7 2 2 3 3" xfId="20211"/>
    <cellStyle name="Input 7 2 2 3 3 2" xfId="41398"/>
    <cellStyle name="Input 7 2 2 3 4" xfId="30715"/>
    <cellStyle name="Input 7 2 2 3_Table 2A-1_EFT (Annual)" xfId="15384"/>
    <cellStyle name="Input 7 2 2 4" xfId="10662"/>
    <cellStyle name="Input 7 2 2 4 2" xfId="22778"/>
    <cellStyle name="Input 7 2 2 4 2 2" xfId="43964"/>
    <cellStyle name="Input 7 2 2 4 3" xfId="33360"/>
    <cellStyle name="Input 7 2 2 5" xfId="17665"/>
    <cellStyle name="Input 7 2 2 5 2" xfId="38852"/>
    <cellStyle name="Input 7 2 2 6" xfId="27972"/>
    <cellStyle name="Input 7 2 2_Table 2A-1_EFT (Annual)" xfId="7119"/>
    <cellStyle name="Input 7 2 3" xfId="1030"/>
    <cellStyle name="Input 7 2 3 2" xfId="4591"/>
    <cellStyle name="Input 7 2 3 2 2" xfId="12851"/>
    <cellStyle name="Input 7 2 3 2 2 2" xfId="24857"/>
    <cellStyle name="Input 7 2 3 2 2 2 2" xfId="46043"/>
    <cellStyle name="Input 7 2 3 2 2 3" xfId="35439"/>
    <cellStyle name="Input 7 2 3 2 3" xfId="19744"/>
    <cellStyle name="Input 7 2 3 2 3 2" xfId="40931"/>
    <cellStyle name="Input 7 2 3 2 4" xfId="30248"/>
    <cellStyle name="Input 7 2 3 2_Table 2A-1_EFT (Annual)" xfId="15385"/>
    <cellStyle name="Input 7 2 3 3" xfId="10195"/>
    <cellStyle name="Input 7 2 3 3 2" xfId="22311"/>
    <cellStyle name="Input 7 2 3 3 2 2" xfId="43497"/>
    <cellStyle name="Input 7 2 3 3 3" xfId="32893"/>
    <cellStyle name="Input 7 2 3 4" xfId="17198"/>
    <cellStyle name="Input 7 2 3 4 2" xfId="38385"/>
    <cellStyle name="Input 7 2 3 5" xfId="27505"/>
    <cellStyle name="Input 7 2 3_Table 2A-1_EFT (Annual)" xfId="7121"/>
    <cellStyle name="Input 7 2 4" xfId="2236"/>
    <cellStyle name="Input 7 2 4 2" xfId="5797"/>
    <cellStyle name="Input 7 2 4 2 2" xfId="14012"/>
    <cellStyle name="Input 7 2 4 2 2 2" xfId="26000"/>
    <cellStyle name="Input 7 2 4 2 2 2 2" xfId="47186"/>
    <cellStyle name="Input 7 2 4 2 2 3" xfId="36582"/>
    <cellStyle name="Input 7 2 4 2 3" xfId="20887"/>
    <cellStyle name="Input 7 2 4 2 3 2" xfId="42074"/>
    <cellStyle name="Input 7 2 4 2 4" xfId="31454"/>
    <cellStyle name="Input 7 2 4 2_Table 2A-1_EFT (Annual)" xfId="15386"/>
    <cellStyle name="Input 7 2 4 3" xfId="11356"/>
    <cellStyle name="Input 7 2 4 3 2" xfId="23454"/>
    <cellStyle name="Input 7 2 4 3 2 2" xfId="44640"/>
    <cellStyle name="Input 7 2 4 3 3" xfId="34036"/>
    <cellStyle name="Input 7 2 4 4" xfId="18341"/>
    <cellStyle name="Input 7 2 4 4 2" xfId="39528"/>
    <cellStyle name="Input 7 2 4 5" xfId="28711"/>
    <cellStyle name="Input 7 2 4_Table 2A-1_EFT (Annual)" xfId="7122"/>
    <cellStyle name="Input 7 2 5" xfId="4090"/>
    <cellStyle name="Input 7 2 5 2" xfId="12414"/>
    <cellStyle name="Input 7 2 5 2 2" xfId="24436"/>
    <cellStyle name="Input 7 2 5 2 2 2" xfId="45622"/>
    <cellStyle name="Input 7 2 5 2 3" xfId="35018"/>
    <cellStyle name="Input 7 2 5 3" xfId="19323"/>
    <cellStyle name="Input 7 2 5 3 2" xfId="40510"/>
    <cellStyle name="Input 7 2 5 4" xfId="29778"/>
    <cellStyle name="Input 7 2 5_Table 2A-1_EFT (Annual)" xfId="15387"/>
    <cellStyle name="Input 7 2 6" xfId="9753"/>
    <cellStyle name="Input 7 2 6 2" xfId="21890"/>
    <cellStyle name="Input 7 2 6 2 2" xfId="43076"/>
    <cellStyle name="Input 7 2 6 3" xfId="32472"/>
    <cellStyle name="Input 7 2 7" xfId="16777"/>
    <cellStyle name="Input 7 2 7 2" xfId="37964"/>
    <cellStyle name="Input 7 2 8" xfId="27035"/>
    <cellStyle name="Input 7 2_Table 2A-1_EFT (Annual)" xfId="3083"/>
    <cellStyle name="Input 7 3" xfId="358"/>
    <cellStyle name="Input 7 3 2" xfId="1341"/>
    <cellStyle name="Input 7 3 2 2" xfId="2611"/>
    <cellStyle name="Input 7 3 2 2 2" xfId="6172"/>
    <cellStyle name="Input 7 3 2 2 2 2" xfId="14366"/>
    <cellStyle name="Input 7 3 2 2 2 2 2" xfId="26338"/>
    <cellStyle name="Input 7 3 2 2 2 2 2 2" xfId="47524"/>
    <cellStyle name="Input 7 3 2 2 2 2 3" xfId="36920"/>
    <cellStyle name="Input 7 3 2 2 2 3" xfId="21225"/>
    <cellStyle name="Input 7 3 2 2 2 3 2" xfId="42412"/>
    <cellStyle name="Input 7 3 2 2 2 4" xfId="31828"/>
    <cellStyle name="Input 7 3 2 2 2_Table 2A-1_EFT (Annual)" xfId="15388"/>
    <cellStyle name="Input 7 3 2 2 3" xfId="11708"/>
    <cellStyle name="Input 7 3 2 2 3 2" xfId="23792"/>
    <cellStyle name="Input 7 3 2 2 3 2 2" xfId="44978"/>
    <cellStyle name="Input 7 3 2 2 3 3" xfId="34374"/>
    <cellStyle name="Input 7 3 2 2 4" xfId="18679"/>
    <cellStyle name="Input 7 3 2 2 4 2" xfId="39866"/>
    <cellStyle name="Input 7 3 2 2 5" xfId="29085"/>
    <cellStyle name="Input 7 3 2 2_Table 2A-1_EFT (Annual)" xfId="7124"/>
    <cellStyle name="Input 7 3 2 3" xfId="4902"/>
    <cellStyle name="Input 7 3 2 3 2" xfId="13162"/>
    <cellStyle name="Input 7 3 2 3 2 2" xfId="25168"/>
    <cellStyle name="Input 7 3 2 3 2 2 2" xfId="46354"/>
    <cellStyle name="Input 7 3 2 3 2 3" xfId="35750"/>
    <cellStyle name="Input 7 3 2 3 3" xfId="20055"/>
    <cellStyle name="Input 7 3 2 3 3 2" xfId="41242"/>
    <cellStyle name="Input 7 3 2 3 4" xfId="30559"/>
    <cellStyle name="Input 7 3 2 3_Table 2A-1_EFT (Annual)" xfId="15389"/>
    <cellStyle name="Input 7 3 2 4" xfId="10506"/>
    <cellStyle name="Input 7 3 2 4 2" xfId="22622"/>
    <cellStyle name="Input 7 3 2 4 2 2" xfId="43808"/>
    <cellStyle name="Input 7 3 2 4 3" xfId="33204"/>
    <cellStyle name="Input 7 3 2 5" xfId="17509"/>
    <cellStyle name="Input 7 3 2 5 2" xfId="38696"/>
    <cellStyle name="Input 7 3 2 6" xfId="27816"/>
    <cellStyle name="Input 7 3 2_Table 2A-1_EFT (Annual)" xfId="7123"/>
    <cellStyle name="Input 7 3 3" xfId="898"/>
    <cellStyle name="Input 7 3 3 2" xfId="4459"/>
    <cellStyle name="Input 7 3 3 2 2" xfId="12721"/>
    <cellStyle name="Input 7 3 3 2 2 2" xfId="24731"/>
    <cellStyle name="Input 7 3 3 2 2 2 2" xfId="45917"/>
    <cellStyle name="Input 7 3 3 2 2 3" xfId="35313"/>
    <cellStyle name="Input 7 3 3 2 3" xfId="19618"/>
    <cellStyle name="Input 7 3 3 2 3 2" xfId="40805"/>
    <cellStyle name="Input 7 3 3 2 4" xfId="30116"/>
    <cellStyle name="Input 7 3 3 2_Table 2A-1_EFT (Annual)" xfId="15390"/>
    <cellStyle name="Input 7 3 3 3" xfId="10068"/>
    <cellStyle name="Input 7 3 3 3 2" xfId="22185"/>
    <cellStyle name="Input 7 3 3 3 2 2" xfId="43371"/>
    <cellStyle name="Input 7 3 3 3 3" xfId="32767"/>
    <cellStyle name="Input 7 3 3 4" xfId="17072"/>
    <cellStyle name="Input 7 3 3 4 2" xfId="38259"/>
    <cellStyle name="Input 7 3 3 5" xfId="27373"/>
    <cellStyle name="Input 7 3 3_Table 2A-1_EFT (Annual)" xfId="7125"/>
    <cellStyle name="Input 7 3 4" xfId="2080"/>
    <cellStyle name="Input 7 3 4 2" xfId="5641"/>
    <cellStyle name="Input 7 3 4 2 2" xfId="13856"/>
    <cellStyle name="Input 7 3 4 2 2 2" xfId="25844"/>
    <cellStyle name="Input 7 3 4 2 2 2 2" xfId="47030"/>
    <cellStyle name="Input 7 3 4 2 2 3" xfId="36426"/>
    <cellStyle name="Input 7 3 4 2 3" xfId="20731"/>
    <cellStyle name="Input 7 3 4 2 3 2" xfId="41918"/>
    <cellStyle name="Input 7 3 4 2 4" xfId="31298"/>
    <cellStyle name="Input 7 3 4 2_Table 2A-1_EFT (Annual)" xfId="15391"/>
    <cellStyle name="Input 7 3 4 3" xfId="11200"/>
    <cellStyle name="Input 7 3 4 3 2" xfId="23298"/>
    <cellStyle name="Input 7 3 4 3 2 2" xfId="44484"/>
    <cellStyle name="Input 7 3 4 3 3" xfId="33880"/>
    <cellStyle name="Input 7 3 4 4" xfId="18185"/>
    <cellStyle name="Input 7 3 4 4 2" xfId="39372"/>
    <cellStyle name="Input 7 3 4 5" xfId="28555"/>
    <cellStyle name="Input 7 3 4_Table 2A-1_EFT (Annual)" xfId="7126"/>
    <cellStyle name="Input 7 3 5" xfId="3928"/>
    <cellStyle name="Input 7 3 5 2" xfId="12256"/>
    <cellStyle name="Input 7 3 5 2 2" xfId="24280"/>
    <cellStyle name="Input 7 3 5 2 2 2" xfId="45466"/>
    <cellStyle name="Input 7 3 5 2 3" xfId="34862"/>
    <cellStyle name="Input 7 3 5 3" xfId="19167"/>
    <cellStyle name="Input 7 3 5 3 2" xfId="40354"/>
    <cellStyle name="Input 7 3 5 4" xfId="29616"/>
    <cellStyle name="Input 7 3 5_Table 2A-1_EFT (Annual)" xfId="15392"/>
    <cellStyle name="Input 7 3 6" xfId="9593"/>
    <cellStyle name="Input 7 3 6 2" xfId="21734"/>
    <cellStyle name="Input 7 3 6 2 2" xfId="42920"/>
    <cellStyle name="Input 7 3 6 3" xfId="32316"/>
    <cellStyle name="Input 7 3 7" xfId="16621"/>
    <cellStyle name="Input 7 3 7 2" xfId="37808"/>
    <cellStyle name="Input 7 3 8" xfId="26873"/>
    <cellStyle name="Input 7 3_Table 2A-1_EFT (Annual)" xfId="3084"/>
    <cellStyle name="Input 7 4" xfId="1175"/>
    <cellStyle name="Input 7 4 2" xfId="2445"/>
    <cellStyle name="Input 7 4 2 2" xfId="6006"/>
    <cellStyle name="Input 7 4 2 2 2" xfId="14200"/>
    <cellStyle name="Input 7 4 2 2 2 2" xfId="26172"/>
    <cellStyle name="Input 7 4 2 2 2 2 2" xfId="47358"/>
    <cellStyle name="Input 7 4 2 2 2 3" xfId="36754"/>
    <cellStyle name="Input 7 4 2 2 3" xfId="21059"/>
    <cellStyle name="Input 7 4 2 2 3 2" xfId="42246"/>
    <cellStyle name="Input 7 4 2 2 4" xfId="31662"/>
    <cellStyle name="Input 7 4 2 2_Table 2A-1_EFT (Annual)" xfId="15393"/>
    <cellStyle name="Input 7 4 2 3" xfId="11542"/>
    <cellStyle name="Input 7 4 2 3 2" xfId="23626"/>
    <cellStyle name="Input 7 4 2 3 2 2" xfId="44812"/>
    <cellStyle name="Input 7 4 2 3 3" xfId="34208"/>
    <cellStyle name="Input 7 4 2 4" xfId="18513"/>
    <cellStyle name="Input 7 4 2 4 2" xfId="39700"/>
    <cellStyle name="Input 7 4 2 5" xfId="28919"/>
    <cellStyle name="Input 7 4 2_Table 2A-1_EFT (Annual)" xfId="7128"/>
    <cellStyle name="Input 7 4 3" xfId="4736"/>
    <cellStyle name="Input 7 4 3 2" xfId="12996"/>
    <cellStyle name="Input 7 4 3 2 2" xfId="25002"/>
    <cellStyle name="Input 7 4 3 2 2 2" xfId="46188"/>
    <cellStyle name="Input 7 4 3 2 3" xfId="35584"/>
    <cellStyle name="Input 7 4 3 3" xfId="19889"/>
    <cellStyle name="Input 7 4 3 3 2" xfId="41076"/>
    <cellStyle name="Input 7 4 3 4" xfId="30393"/>
    <cellStyle name="Input 7 4 3_Table 2A-1_EFT (Annual)" xfId="15394"/>
    <cellStyle name="Input 7 4 4" xfId="10340"/>
    <cellStyle name="Input 7 4 4 2" xfId="22456"/>
    <cellStyle name="Input 7 4 4 2 2" xfId="43642"/>
    <cellStyle name="Input 7 4 4 3" xfId="33038"/>
    <cellStyle name="Input 7 4 5" xfId="17343"/>
    <cellStyle name="Input 7 4 5 2" xfId="38530"/>
    <cellStyle name="Input 7 4 6" xfId="27650"/>
    <cellStyle name="Input 7 4_Table 2A-1_EFT (Annual)" xfId="7127"/>
    <cellStyle name="Input 7 5" xfId="739"/>
    <cellStyle name="Input 7 5 2" xfId="4300"/>
    <cellStyle name="Input 7 5 2 2" xfId="12580"/>
    <cellStyle name="Input 7 5 2 2 2" xfId="24597"/>
    <cellStyle name="Input 7 5 2 2 2 2" xfId="45783"/>
    <cellStyle name="Input 7 5 2 2 3" xfId="35179"/>
    <cellStyle name="Input 7 5 2 3" xfId="19484"/>
    <cellStyle name="Input 7 5 2 3 2" xfId="40671"/>
    <cellStyle name="Input 7 5 2 4" xfId="29957"/>
    <cellStyle name="Input 7 5 2_Table 2A-1_EFT (Annual)" xfId="15395"/>
    <cellStyle name="Input 7 5 3" xfId="9928"/>
    <cellStyle name="Input 7 5 3 2" xfId="22051"/>
    <cellStyle name="Input 7 5 3 2 2" xfId="43237"/>
    <cellStyle name="Input 7 5 3 3" xfId="32633"/>
    <cellStyle name="Input 7 5 4" xfId="16938"/>
    <cellStyle name="Input 7 5 4 2" xfId="38125"/>
    <cellStyle name="Input 7 5 5" xfId="27214"/>
    <cellStyle name="Input 7 5_Table 2A-1_EFT (Annual)" xfId="7129"/>
    <cellStyle name="Input 7 6" xfId="1793"/>
    <cellStyle name="Input 7 6 2" xfId="5354"/>
    <cellStyle name="Input 7 6 2 2" xfId="13569"/>
    <cellStyle name="Input 7 6 2 2 2" xfId="25557"/>
    <cellStyle name="Input 7 6 2 2 2 2" xfId="46743"/>
    <cellStyle name="Input 7 6 2 2 3" xfId="36139"/>
    <cellStyle name="Input 7 6 2 3" xfId="20444"/>
    <cellStyle name="Input 7 6 2 3 2" xfId="41631"/>
    <cellStyle name="Input 7 6 2 4" xfId="31011"/>
    <cellStyle name="Input 7 6 2_Table 2A-1_EFT (Annual)" xfId="15396"/>
    <cellStyle name="Input 7 6 3" xfId="10913"/>
    <cellStyle name="Input 7 6 3 2" xfId="23011"/>
    <cellStyle name="Input 7 6 3 2 2" xfId="44197"/>
    <cellStyle name="Input 7 6 3 3" xfId="33593"/>
    <cellStyle name="Input 7 6 4" xfId="17898"/>
    <cellStyle name="Input 7 6 4 2" xfId="39085"/>
    <cellStyle name="Input 7 6 5" xfId="28268"/>
    <cellStyle name="Input 7 6_Table 2A-1_EFT (Annual)" xfId="7130"/>
    <cellStyle name="Input 7 7" xfId="3716"/>
    <cellStyle name="Input 7 7 2" xfId="12084"/>
    <cellStyle name="Input 7 7 2 2" xfId="24114"/>
    <cellStyle name="Input 7 7 2 2 2" xfId="45300"/>
    <cellStyle name="Input 7 7 2 3" xfId="34696"/>
    <cellStyle name="Input 7 7 3" xfId="19001"/>
    <cellStyle name="Input 7 7 3 2" xfId="40188"/>
    <cellStyle name="Input 7 7 4" xfId="29425"/>
    <cellStyle name="Input 7 7_Table 2A-1_EFT (Annual)" xfId="15397"/>
    <cellStyle name="Input 7 8" xfId="9403"/>
    <cellStyle name="Input 7 8 2" xfId="21568"/>
    <cellStyle name="Input 7 8 2 2" xfId="42754"/>
    <cellStyle name="Input 7 8 3" xfId="32150"/>
    <cellStyle name="Input 7 9" xfId="16455"/>
    <cellStyle name="Input 7 9 2" xfId="37642"/>
    <cellStyle name="Input 7_Table 2A-1_EFT (Annual)" xfId="3082"/>
    <cellStyle name="Input 8" xfId="122"/>
    <cellStyle name="Input 8 10" xfId="26677"/>
    <cellStyle name="Input 8 2" xfId="515"/>
    <cellStyle name="Input 8 2 2" xfId="1492"/>
    <cellStyle name="Input 8 2 2 2" xfId="2762"/>
    <cellStyle name="Input 8 2 2 2 2" xfId="6323"/>
    <cellStyle name="Input 8 2 2 2 2 2" xfId="14517"/>
    <cellStyle name="Input 8 2 2 2 2 2 2" xfId="26489"/>
    <cellStyle name="Input 8 2 2 2 2 2 2 2" xfId="47675"/>
    <cellStyle name="Input 8 2 2 2 2 2 3" xfId="37071"/>
    <cellStyle name="Input 8 2 2 2 2 3" xfId="21376"/>
    <cellStyle name="Input 8 2 2 2 2 3 2" xfId="42563"/>
    <cellStyle name="Input 8 2 2 2 2 4" xfId="31979"/>
    <cellStyle name="Input 8 2 2 2 2_Table 2A-1_EFT (Annual)" xfId="15398"/>
    <cellStyle name="Input 8 2 2 2 3" xfId="11859"/>
    <cellStyle name="Input 8 2 2 2 3 2" xfId="23943"/>
    <cellStyle name="Input 8 2 2 2 3 2 2" xfId="45129"/>
    <cellStyle name="Input 8 2 2 2 3 3" xfId="34525"/>
    <cellStyle name="Input 8 2 2 2 4" xfId="18830"/>
    <cellStyle name="Input 8 2 2 2 4 2" xfId="40017"/>
    <cellStyle name="Input 8 2 2 2 5" xfId="29236"/>
    <cellStyle name="Input 8 2 2 2_Table 2A-1_EFT (Annual)" xfId="7132"/>
    <cellStyle name="Input 8 2 2 3" xfId="5053"/>
    <cellStyle name="Input 8 2 2 3 2" xfId="13313"/>
    <cellStyle name="Input 8 2 2 3 2 2" xfId="25319"/>
    <cellStyle name="Input 8 2 2 3 2 2 2" xfId="46505"/>
    <cellStyle name="Input 8 2 2 3 2 3" xfId="35901"/>
    <cellStyle name="Input 8 2 2 3 3" xfId="20206"/>
    <cellStyle name="Input 8 2 2 3 3 2" xfId="41393"/>
    <cellStyle name="Input 8 2 2 3 4" xfId="30710"/>
    <cellStyle name="Input 8 2 2 3_Table 2A-1_EFT (Annual)" xfId="15399"/>
    <cellStyle name="Input 8 2 2 4" xfId="10657"/>
    <cellStyle name="Input 8 2 2 4 2" xfId="22773"/>
    <cellStyle name="Input 8 2 2 4 2 2" xfId="43959"/>
    <cellStyle name="Input 8 2 2 4 3" xfId="33355"/>
    <cellStyle name="Input 8 2 2 5" xfId="17660"/>
    <cellStyle name="Input 8 2 2 5 2" xfId="38847"/>
    <cellStyle name="Input 8 2 2 6" xfId="27967"/>
    <cellStyle name="Input 8 2 2_Table 2A-1_EFT (Annual)" xfId="7131"/>
    <cellStyle name="Input 8 2 3" xfId="1026"/>
    <cellStyle name="Input 8 2 3 2" xfId="4587"/>
    <cellStyle name="Input 8 2 3 2 2" xfId="12847"/>
    <cellStyle name="Input 8 2 3 2 2 2" xfId="24853"/>
    <cellStyle name="Input 8 2 3 2 2 2 2" xfId="46039"/>
    <cellStyle name="Input 8 2 3 2 2 3" xfId="35435"/>
    <cellStyle name="Input 8 2 3 2 3" xfId="19740"/>
    <cellStyle name="Input 8 2 3 2 3 2" xfId="40927"/>
    <cellStyle name="Input 8 2 3 2 4" xfId="30244"/>
    <cellStyle name="Input 8 2 3 2_Table 2A-1_EFT (Annual)" xfId="15400"/>
    <cellStyle name="Input 8 2 3 3" xfId="10191"/>
    <cellStyle name="Input 8 2 3 3 2" xfId="22307"/>
    <cellStyle name="Input 8 2 3 3 2 2" xfId="43493"/>
    <cellStyle name="Input 8 2 3 3 3" xfId="32889"/>
    <cellStyle name="Input 8 2 3 4" xfId="17194"/>
    <cellStyle name="Input 8 2 3 4 2" xfId="38381"/>
    <cellStyle name="Input 8 2 3 5" xfId="27501"/>
    <cellStyle name="Input 8 2 3_Table 2A-1_EFT (Annual)" xfId="7133"/>
    <cellStyle name="Input 8 2 4" xfId="2231"/>
    <cellStyle name="Input 8 2 4 2" xfId="5792"/>
    <cellStyle name="Input 8 2 4 2 2" xfId="14007"/>
    <cellStyle name="Input 8 2 4 2 2 2" xfId="25995"/>
    <cellStyle name="Input 8 2 4 2 2 2 2" xfId="47181"/>
    <cellStyle name="Input 8 2 4 2 2 3" xfId="36577"/>
    <cellStyle name="Input 8 2 4 2 3" xfId="20882"/>
    <cellStyle name="Input 8 2 4 2 3 2" xfId="42069"/>
    <cellStyle name="Input 8 2 4 2 4" xfId="31449"/>
    <cellStyle name="Input 8 2 4 2_Table 2A-1_EFT (Annual)" xfId="15401"/>
    <cellStyle name="Input 8 2 4 3" xfId="11351"/>
    <cellStyle name="Input 8 2 4 3 2" xfId="23449"/>
    <cellStyle name="Input 8 2 4 3 2 2" xfId="44635"/>
    <cellStyle name="Input 8 2 4 3 3" xfId="34031"/>
    <cellStyle name="Input 8 2 4 4" xfId="18336"/>
    <cellStyle name="Input 8 2 4 4 2" xfId="39523"/>
    <cellStyle name="Input 8 2 4 5" xfId="28706"/>
    <cellStyle name="Input 8 2 4_Table 2A-1_EFT (Annual)" xfId="7134"/>
    <cellStyle name="Input 8 2 5" xfId="4085"/>
    <cellStyle name="Input 8 2 5 2" xfId="12409"/>
    <cellStyle name="Input 8 2 5 2 2" xfId="24431"/>
    <cellStyle name="Input 8 2 5 2 2 2" xfId="45617"/>
    <cellStyle name="Input 8 2 5 2 3" xfId="35013"/>
    <cellStyle name="Input 8 2 5 3" xfId="19318"/>
    <cellStyle name="Input 8 2 5 3 2" xfId="40505"/>
    <cellStyle name="Input 8 2 5 4" xfId="29773"/>
    <cellStyle name="Input 8 2 5_Table 2A-1_EFT (Annual)" xfId="15402"/>
    <cellStyle name="Input 8 2 6" xfId="9748"/>
    <cellStyle name="Input 8 2 6 2" xfId="21885"/>
    <cellStyle name="Input 8 2 6 2 2" xfId="43071"/>
    <cellStyle name="Input 8 2 6 3" xfId="32467"/>
    <cellStyle name="Input 8 2 7" xfId="16772"/>
    <cellStyle name="Input 8 2 7 2" xfId="37959"/>
    <cellStyle name="Input 8 2 8" xfId="27030"/>
    <cellStyle name="Input 8 2_Table 2A-1_EFT (Annual)" xfId="3086"/>
    <cellStyle name="Input 8 3" xfId="353"/>
    <cellStyle name="Input 8 3 2" xfId="1336"/>
    <cellStyle name="Input 8 3 2 2" xfId="2606"/>
    <cellStyle name="Input 8 3 2 2 2" xfId="6167"/>
    <cellStyle name="Input 8 3 2 2 2 2" xfId="14361"/>
    <cellStyle name="Input 8 3 2 2 2 2 2" xfId="26333"/>
    <cellStyle name="Input 8 3 2 2 2 2 2 2" xfId="47519"/>
    <cellStyle name="Input 8 3 2 2 2 2 3" xfId="36915"/>
    <cellStyle name="Input 8 3 2 2 2 3" xfId="21220"/>
    <cellStyle name="Input 8 3 2 2 2 3 2" xfId="42407"/>
    <cellStyle name="Input 8 3 2 2 2 4" xfId="31823"/>
    <cellStyle name="Input 8 3 2 2 2_Table 2A-1_EFT (Annual)" xfId="15403"/>
    <cellStyle name="Input 8 3 2 2 3" xfId="11703"/>
    <cellStyle name="Input 8 3 2 2 3 2" xfId="23787"/>
    <cellStyle name="Input 8 3 2 2 3 2 2" xfId="44973"/>
    <cellStyle name="Input 8 3 2 2 3 3" xfId="34369"/>
    <cellStyle name="Input 8 3 2 2 4" xfId="18674"/>
    <cellStyle name="Input 8 3 2 2 4 2" xfId="39861"/>
    <cellStyle name="Input 8 3 2 2 5" xfId="29080"/>
    <cellStyle name="Input 8 3 2 2_Table 2A-1_EFT (Annual)" xfId="7136"/>
    <cellStyle name="Input 8 3 2 3" xfId="4897"/>
    <cellStyle name="Input 8 3 2 3 2" xfId="13157"/>
    <cellStyle name="Input 8 3 2 3 2 2" xfId="25163"/>
    <cellStyle name="Input 8 3 2 3 2 2 2" xfId="46349"/>
    <cellStyle name="Input 8 3 2 3 2 3" xfId="35745"/>
    <cellStyle name="Input 8 3 2 3 3" xfId="20050"/>
    <cellStyle name="Input 8 3 2 3 3 2" xfId="41237"/>
    <cellStyle name="Input 8 3 2 3 4" xfId="30554"/>
    <cellStyle name="Input 8 3 2 3_Table 2A-1_EFT (Annual)" xfId="15404"/>
    <cellStyle name="Input 8 3 2 4" xfId="10501"/>
    <cellStyle name="Input 8 3 2 4 2" xfId="22617"/>
    <cellStyle name="Input 8 3 2 4 2 2" xfId="43803"/>
    <cellStyle name="Input 8 3 2 4 3" xfId="33199"/>
    <cellStyle name="Input 8 3 2 5" xfId="17504"/>
    <cellStyle name="Input 8 3 2 5 2" xfId="38691"/>
    <cellStyle name="Input 8 3 2 6" xfId="27811"/>
    <cellStyle name="Input 8 3 2_Table 2A-1_EFT (Annual)" xfId="7135"/>
    <cellStyle name="Input 8 3 3" xfId="894"/>
    <cellStyle name="Input 8 3 3 2" xfId="4455"/>
    <cellStyle name="Input 8 3 3 2 2" xfId="12717"/>
    <cellStyle name="Input 8 3 3 2 2 2" xfId="24727"/>
    <cellStyle name="Input 8 3 3 2 2 2 2" xfId="45913"/>
    <cellStyle name="Input 8 3 3 2 2 3" xfId="35309"/>
    <cellStyle name="Input 8 3 3 2 3" xfId="19614"/>
    <cellStyle name="Input 8 3 3 2 3 2" xfId="40801"/>
    <cellStyle name="Input 8 3 3 2 4" xfId="30112"/>
    <cellStyle name="Input 8 3 3 2_Table 2A-1_EFT (Annual)" xfId="15405"/>
    <cellStyle name="Input 8 3 3 3" xfId="10064"/>
    <cellStyle name="Input 8 3 3 3 2" xfId="22181"/>
    <cellStyle name="Input 8 3 3 3 2 2" xfId="43367"/>
    <cellStyle name="Input 8 3 3 3 3" xfId="32763"/>
    <cellStyle name="Input 8 3 3 4" xfId="17068"/>
    <cellStyle name="Input 8 3 3 4 2" xfId="38255"/>
    <cellStyle name="Input 8 3 3 5" xfId="27369"/>
    <cellStyle name="Input 8 3 3_Table 2A-1_EFT (Annual)" xfId="7137"/>
    <cellStyle name="Input 8 3 4" xfId="2075"/>
    <cellStyle name="Input 8 3 4 2" xfId="5636"/>
    <cellStyle name="Input 8 3 4 2 2" xfId="13851"/>
    <cellStyle name="Input 8 3 4 2 2 2" xfId="25839"/>
    <cellStyle name="Input 8 3 4 2 2 2 2" xfId="47025"/>
    <cellStyle name="Input 8 3 4 2 2 3" xfId="36421"/>
    <cellStyle name="Input 8 3 4 2 3" xfId="20726"/>
    <cellStyle name="Input 8 3 4 2 3 2" xfId="41913"/>
    <cellStyle name="Input 8 3 4 2 4" xfId="31293"/>
    <cellStyle name="Input 8 3 4 2_Table 2A-1_EFT (Annual)" xfId="15406"/>
    <cellStyle name="Input 8 3 4 3" xfId="11195"/>
    <cellStyle name="Input 8 3 4 3 2" xfId="23293"/>
    <cellStyle name="Input 8 3 4 3 2 2" xfId="44479"/>
    <cellStyle name="Input 8 3 4 3 3" xfId="33875"/>
    <cellStyle name="Input 8 3 4 4" xfId="18180"/>
    <cellStyle name="Input 8 3 4 4 2" xfId="39367"/>
    <cellStyle name="Input 8 3 4 5" xfId="28550"/>
    <cellStyle name="Input 8 3 4_Table 2A-1_EFT (Annual)" xfId="7138"/>
    <cellStyle name="Input 8 3 5" xfId="3923"/>
    <cellStyle name="Input 8 3 5 2" xfId="12251"/>
    <cellStyle name="Input 8 3 5 2 2" xfId="24275"/>
    <cellStyle name="Input 8 3 5 2 2 2" xfId="45461"/>
    <cellStyle name="Input 8 3 5 2 3" xfId="34857"/>
    <cellStyle name="Input 8 3 5 3" xfId="19162"/>
    <cellStyle name="Input 8 3 5 3 2" xfId="40349"/>
    <cellStyle name="Input 8 3 5 4" xfId="29611"/>
    <cellStyle name="Input 8 3 5_Table 2A-1_EFT (Annual)" xfId="15407"/>
    <cellStyle name="Input 8 3 6" xfId="9588"/>
    <cellStyle name="Input 8 3 6 2" xfId="21729"/>
    <cellStyle name="Input 8 3 6 2 2" xfId="42915"/>
    <cellStyle name="Input 8 3 6 3" xfId="32311"/>
    <cellStyle name="Input 8 3 7" xfId="16616"/>
    <cellStyle name="Input 8 3 7 2" xfId="37803"/>
    <cellStyle name="Input 8 3 8" xfId="26868"/>
    <cellStyle name="Input 8 3_Table 2A-1_EFT (Annual)" xfId="3087"/>
    <cellStyle name="Input 8 4" xfId="1170"/>
    <cellStyle name="Input 8 4 2" xfId="2440"/>
    <cellStyle name="Input 8 4 2 2" xfId="6001"/>
    <cellStyle name="Input 8 4 2 2 2" xfId="14195"/>
    <cellStyle name="Input 8 4 2 2 2 2" xfId="26167"/>
    <cellStyle name="Input 8 4 2 2 2 2 2" xfId="47353"/>
    <cellStyle name="Input 8 4 2 2 2 3" xfId="36749"/>
    <cellStyle name="Input 8 4 2 2 3" xfId="21054"/>
    <cellStyle name="Input 8 4 2 2 3 2" xfId="42241"/>
    <cellStyle name="Input 8 4 2 2 4" xfId="31657"/>
    <cellStyle name="Input 8 4 2 2_Table 2A-1_EFT (Annual)" xfId="15408"/>
    <cellStyle name="Input 8 4 2 3" xfId="11537"/>
    <cellStyle name="Input 8 4 2 3 2" xfId="23621"/>
    <cellStyle name="Input 8 4 2 3 2 2" xfId="44807"/>
    <cellStyle name="Input 8 4 2 3 3" xfId="34203"/>
    <cellStyle name="Input 8 4 2 4" xfId="18508"/>
    <cellStyle name="Input 8 4 2 4 2" xfId="39695"/>
    <cellStyle name="Input 8 4 2 5" xfId="28914"/>
    <cellStyle name="Input 8 4 2_Table 2A-1_EFT (Annual)" xfId="7140"/>
    <cellStyle name="Input 8 4 3" xfId="4731"/>
    <cellStyle name="Input 8 4 3 2" xfId="12991"/>
    <cellStyle name="Input 8 4 3 2 2" xfId="24997"/>
    <cellStyle name="Input 8 4 3 2 2 2" xfId="46183"/>
    <cellStyle name="Input 8 4 3 2 3" xfId="35579"/>
    <cellStyle name="Input 8 4 3 3" xfId="19884"/>
    <cellStyle name="Input 8 4 3 3 2" xfId="41071"/>
    <cellStyle name="Input 8 4 3 4" xfId="30388"/>
    <cellStyle name="Input 8 4 3_Table 2A-1_EFT (Annual)" xfId="15409"/>
    <cellStyle name="Input 8 4 4" xfId="10335"/>
    <cellStyle name="Input 8 4 4 2" xfId="22451"/>
    <cellStyle name="Input 8 4 4 2 2" xfId="43637"/>
    <cellStyle name="Input 8 4 4 3" xfId="33033"/>
    <cellStyle name="Input 8 4 5" xfId="17338"/>
    <cellStyle name="Input 8 4 5 2" xfId="38525"/>
    <cellStyle name="Input 8 4 6" xfId="27645"/>
    <cellStyle name="Input 8 4_Table 2A-1_EFT (Annual)" xfId="7139"/>
    <cellStyle name="Input 8 5" xfId="735"/>
    <cellStyle name="Input 8 5 2" xfId="4296"/>
    <cellStyle name="Input 8 5 2 2" xfId="12576"/>
    <cellStyle name="Input 8 5 2 2 2" xfId="24593"/>
    <cellStyle name="Input 8 5 2 2 2 2" xfId="45779"/>
    <cellStyle name="Input 8 5 2 2 3" xfId="35175"/>
    <cellStyle name="Input 8 5 2 3" xfId="19480"/>
    <cellStyle name="Input 8 5 2 3 2" xfId="40667"/>
    <cellStyle name="Input 8 5 2 4" xfId="29953"/>
    <cellStyle name="Input 8 5 2_Table 2A-1_EFT (Annual)" xfId="15410"/>
    <cellStyle name="Input 8 5 3" xfId="9924"/>
    <cellStyle name="Input 8 5 3 2" xfId="22047"/>
    <cellStyle name="Input 8 5 3 2 2" xfId="43233"/>
    <cellStyle name="Input 8 5 3 3" xfId="32629"/>
    <cellStyle name="Input 8 5 4" xfId="16934"/>
    <cellStyle name="Input 8 5 4 2" xfId="38121"/>
    <cellStyle name="Input 8 5 5" xfId="27210"/>
    <cellStyle name="Input 8 5_Table 2A-1_EFT (Annual)" xfId="7141"/>
    <cellStyle name="Input 8 6" xfId="1863"/>
    <cellStyle name="Input 8 6 2" xfId="5424"/>
    <cellStyle name="Input 8 6 2 2" xfId="13639"/>
    <cellStyle name="Input 8 6 2 2 2" xfId="25627"/>
    <cellStyle name="Input 8 6 2 2 2 2" xfId="46813"/>
    <cellStyle name="Input 8 6 2 2 3" xfId="36209"/>
    <cellStyle name="Input 8 6 2 3" xfId="20514"/>
    <cellStyle name="Input 8 6 2 3 2" xfId="41701"/>
    <cellStyle name="Input 8 6 2 4" xfId="31081"/>
    <cellStyle name="Input 8 6 2_Table 2A-1_EFT (Annual)" xfId="15411"/>
    <cellStyle name="Input 8 6 3" xfId="10983"/>
    <cellStyle name="Input 8 6 3 2" xfId="23081"/>
    <cellStyle name="Input 8 6 3 2 2" xfId="44267"/>
    <cellStyle name="Input 8 6 3 3" xfId="33663"/>
    <cellStyle name="Input 8 6 4" xfId="17968"/>
    <cellStyle name="Input 8 6 4 2" xfId="39155"/>
    <cellStyle name="Input 8 6 5" xfId="28338"/>
    <cellStyle name="Input 8 6_Table 2A-1_EFT (Annual)" xfId="7142"/>
    <cellStyle name="Input 8 7" xfId="3711"/>
    <cellStyle name="Input 8 7 2" xfId="12079"/>
    <cellStyle name="Input 8 7 2 2" xfId="24109"/>
    <cellStyle name="Input 8 7 2 2 2" xfId="45295"/>
    <cellStyle name="Input 8 7 2 3" xfId="34691"/>
    <cellStyle name="Input 8 7 3" xfId="18996"/>
    <cellStyle name="Input 8 7 3 2" xfId="40183"/>
    <cellStyle name="Input 8 7 4" xfId="29420"/>
    <cellStyle name="Input 8 7_Table 2A-1_EFT (Annual)" xfId="15412"/>
    <cellStyle name="Input 8 8" xfId="9398"/>
    <cellStyle name="Input 8 8 2" xfId="21563"/>
    <cellStyle name="Input 8 8 2 2" xfId="42749"/>
    <cellStyle name="Input 8 8 3" xfId="32145"/>
    <cellStyle name="Input 8 9" xfId="16450"/>
    <cellStyle name="Input 8 9 2" xfId="37637"/>
    <cellStyle name="Input 8_Table 2A-1_EFT (Annual)" xfId="3085"/>
    <cellStyle name="Input 9" xfId="112"/>
    <cellStyle name="Input 9 10" xfId="26667"/>
    <cellStyle name="Input 9 2" xfId="505"/>
    <cellStyle name="Input 9 2 2" xfId="1482"/>
    <cellStyle name="Input 9 2 2 2" xfId="2752"/>
    <cellStyle name="Input 9 2 2 2 2" xfId="6313"/>
    <cellStyle name="Input 9 2 2 2 2 2" xfId="14507"/>
    <cellStyle name="Input 9 2 2 2 2 2 2" xfId="26479"/>
    <cellStyle name="Input 9 2 2 2 2 2 2 2" xfId="47665"/>
    <cellStyle name="Input 9 2 2 2 2 2 3" xfId="37061"/>
    <cellStyle name="Input 9 2 2 2 2 3" xfId="21366"/>
    <cellStyle name="Input 9 2 2 2 2 3 2" xfId="42553"/>
    <cellStyle name="Input 9 2 2 2 2 4" xfId="31969"/>
    <cellStyle name="Input 9 2 2 2 2_Table 2A-1_EFT (Annual)" xfId="15413"/>
    <cellStyle name="Input 9 2 2 2 3" xfId="11849"/>
    <cellStyle name="Input 9 2 2 2 3 2" xfId="23933"/>
    <cellStyle name="Input 9 2 2 2 3 2 2" xfId="45119"/>
    <cellStyle name="Input 9 2 2 2 3 3" xfId="34515"/>
    <cellStyle name="Input 9 2 2 2 4" xfId="18820"/>
    <cellStyle name="Input 9 2 2 2 4 2" xfId="40007"/>
    <cellStyle name="Input 9 2 2 2 5" xfId="29226"/>
    <cellStyle name="Input 9 2 2 2_Table 2A-1_EFT (Annual)" xfId="7144"/>
    <cellStyle name="Input 9 2 2 3" xfId="5043"/>
    <cellStyle name="Input 9 2 2 3 2" xfId="13303"/>
    <cellStyle name="Input 9 2 2 3 2 2" xfId="25309"/>
    <cellStyle name="Input 9 2 2 3 2 2 2" xfId="46495"/>
    <cellStyle name="Input 9 2 2 3 2 3" xfId="35891"/>
    <cellStyle name="Input 9 2 2 3 3" xfId="20196"/>
    <cellStyle name="Input 9 2 2 3 3 2" xfId="41383"/>
    <cellStyle name="Input 9 2 2 3 4" xfId="30700"/>
    <cellStyle name="Input 9 2 2 3_Table 2A-1_EFT (Annual)" xfId="15414"/>
    <cellStyle name="Input 9 2 2 4" xfId="10647"/>
    <cellStyle name="Input 9 2 2 4 2" xfId="22763"/>
    <cellStyle name="Input 9 2 2 4 2 2" xfId="43949"/>
    <cellStyle name="Input 9 2 2 4 3" xfId="33345"/>
    <cellStyle name="Input 9 2 2 5" xfId="17650"/>
    <cellStyle name="Input 9 2 2 5 2" xfId="38837"/>
    <cellStyle name="Input 9 2 2 6" xfId="27957"/>
    <cellStyle name="Input 9 2 2_Table 2A-1_EFT (Annual)" xfId="7143"/>
    <cellStyle name="Input 9 2 3" xfId="1018"/>
    <cellStyle name="Input 9 2 3 2" xfId="4579"/>
    <cellStyle name="Input 9 2 3 2 2" xfId="12839"/>
    <cellStyle name="Input 9 2 3 2 2 2" xfId="24845"/>
    <cellStyle name="Input 9 2 3 2 2 2 2" xfId="46031"/>
    <cellStyle name="Input 9 2 3 2 2 3" xfId="35427"/>
    <cellStyle name="Input 9 2 3 2 3" xfId="19732"/>
    <cellStyle name="Input 9 2 3 2 3 2" xfId="40919"/>
    <cellStyle name="Input 9 2 3 2 4" xfId="30236"/>
    <cellStyle name="Input 9 2 3 2_Table 2A-1_EFT (Annual)" xfId="15415"/>
    <cellStyle name="Input 9 2 3 3" xfId="10183"/>
    <cellStyle name="Input 9 2 3 3 2" xfId="22299"/>
    <cellStyle name="Input 9 2 3 3 2 2" xfId="43485"/>
    <cellStyle name="Input 9 2 3 3 3" xfId="32881"/>
    <cellStyle name="Input 9 2 3 4" xfId="17186"/>
    <cellStyle name="Input 9 2 3 4 2" xfId="38373"/>
    <cellStyle name="Input 9 2 3 5" xfId="27493"/>
    <cellStyle name="Input 9 2 3_Table 2A-1_EFT (Annual)" xfId="7145"/>
    <cellStyle name="Input 9 2 4" xfId="2221"/>
    <cellStyle name="Input 9 2 4 2" xfId="5782"/>
    <cellStyle name="Input 9 2 4 2 2" xfId="13997"/>
    <cellStyle name="Input 9 2 4 2 2 2" xfId="25985"/>
    <cellStyle name="Input 9 2 4 2 2 2 2" xfId="47171"/>
    <cellStyle name="Input 9 2 4 2 2 3" xfId="36567"/>
    <cellStyle name="Input 9 2 4 2 3" xfId="20872"/>
    <cellStyle name="Input 9 2 4 2 3 2" xfId="42059"/>
    <cellStyle name="Input 9 2 4 2 4" xfId="31439"/>
    <cellStyle name="Input 9 2 4 2_Table 2A-1_EFT (Annual)" xfId="15416"/>
    <cellStyle name="Input 9 2 4 3" xfId="11341"/>
    <cellStyle name="Input 9 2 4 3 2" xfId="23439"/>
    <cellStyle name="Input 9 2 4 3 2 2" xfId="44625"/>
    <cellStyle name="Input 9 2 4 3 3" xfId="34021"/>
    <cellStyle name="Input 9 2 4 4" xfId="18326"/>
    <cellStyle name="Input 9 2 4 4 2" xfId="39513"/>
    <cellStyle name="Input 9 2 4 5" xfId="28696"/>
    <cellStyle name="Input 9 2 4_Table 2A-1_EFT (Annual)" xfId="7146"/>
    <cellStyle name="Input 9 2 5" xfId="4075"/>
    <cellStyle name="Input 9 2 5 2" xfId="12399"/>
    <cellStyle name="Input 9 2 5 2 2" xfId="24421"/>
    <cellStyle name="Input 9 2 5 2 2 2" xfId="45607"/>
    <cellStyle name="Input 9 2 5 2 3" xfId="35003"/>
    <cellStyle name="Input 9 2 5 3" xfId="19308"/>
    <cellStyle name="Input 9 2 5 3 2" xfId="40495"/>
    <cellStyle name="Input 9 2 5 4" xfId="29763"/>
    <cellStyle name="Input 9 2 5_Table 2A-1_EFT (Annual)" xfId="15417"/>
    <cellStyle name="Input 9 2 6" xfId="9738"/>
    <cellStyle name="Input 9 2 6 2" xfId="21875"/>
    <cellStyle name="Input 9 2 6 2 2" xfId="43061"/>
    <cellStyle name="Input 9 2 6 3" xfId="32457"/>
    <cellStyle name="Input 9 2 7" xfId="16762"/>
    <cellStyle name="Input 9 2 7 2" xfId="37949"/>
    <cellStyle name="Input 9 2 8" xfId="27020"/>
    <cellStyle name="Input 9 2_Table 2A-1_EFT (Annual)" xfId="3089"/>
    <cellStyle name="Input 9 3" xfId="343"/>
    <cellStyle name="Input 9 3 2" xfId="1326"/>
    <cellStyle name="Input 9 3 2 2" xfId="2596"/>
    <cellStyle name="Input 9 3 2 2 2" xfId="6157"/>
    <cellStyle name="Input 9 3 2 2 2 2" xfId="14351"/>
    <cellStyle name="Input 9 3 2 2 2 2 2" xfId="26323"/>
    <cellStyle name="Input 9 3 2 2 2 2 2 2" xfId="47509"/>
    <cellStyle name="Input 9 3 2 2 2 2 3" xfId="36905"/>
    <cellStyle name="Input 9 3 2 2 2 3" xfId="21210"/>
    <cellStyle name="Input 9 3 2 2 2 3 2" xfId="42397"/>
    <cellStyle name="Input 9 3 2 2 2 4" xfId="31813"/>
    <cellStyle name="Input 9 3 2 2 2_Table 2A-1_EFT (Annual)" xfId="15418"/>
    <cellStyle name="Input 9 3 2 2 3" xfId="11693"/>
    <cellStyle name="Input 9 3 2 2 3 2" xfId="23777"/>
    <cellStyle name="Input 9 3 2 2 3 2 2" xfId="44963"/>
    <cellStyle name="Input 9 3 2 2 3 3" xfId="34359"/>
    <cellStyle name="Input 9 3 2 2 4" xfId="18664"/>
    <cellStyle name="Input 9 3 2 2 4 2" xfId="39851"/>
    <cellStyle name="Input 9 3 2 2 5" xfId="29070"/>
    <cellStyle name="Input 9 3 2 2_Table 2A-1_EFT (Annual)" xfId="7148"/>
    <cellStyle name="Input 9 3 2 3" xfId="4887"/>
    <cellStyle name="Input 9 3 2 3 2" xfId="13147"/>
    <cellStyle name="Input 9 3 2 3 2 2" xfId="25153"/>
    <cellStyle name="Input 9 3 2 3 2 2 2" xfId="46339"/>
    <cellStyle name="Input 9 3 2 3 2 3" xfId="35735"/>
    <cellStyle name="Input 9 3 2 3 3" xfId="20040"/>
    <cellStyle name="Input 9 3 2 3 3 2" xfId="41227"/>
    <cellStyle name="Input 9 3 2 3 4" xfId="30544"/>
    <cellStyle name="Input 9 3 2 3_Table 2A-1_EFT (Annual)" xfId="15419"/>
    <cellStyle name="Input 9 3 2 4" xfId="10491"/>
    <cellStyle name="Input 9 3 2 4 2" xfId="22607"/>
    <cellStyle name="Input 9 3 2 4 2 2" xfId="43793"/>
    <cellStyle name="Input 9 3 2 4 3" xfId="33189"/>
    <cellStyle name="Input 9 3 2 5" xfId="17494"/>
    <cellStyle name="Input 9 3 2 5 2" xfId="38681"/>
    <cellStyle name="Input 9 3 2 6" xfId="27801"/>
    <cellStyle name="Input 9 3 2_Table 2A-1_EFT (Annual)" xfId="7147"/>
    <cellStyle name="Input 9 3 3" xfId="886"/>
    <cellStyle name="Input 9 3 3 2" xfId="4447"/>
    <cellStyle name="Input 9 3 3 2 2" xfId="12709"/>
    <cellStyle name="Input 9 3 3 2 2 2" xfId="24719"/>
    <cellStyle name="Input 9 3 3 2 2 2 2" xfId="45905"/>
    <cellStyle name="Input 9 3 3 2 2 3" xfId="35301"/>
    <cellStyle name="Input 9 3 3 2 3" xfId="19606"/>
    <cellStyle name="Input 9 3 3 2 3 2" xfId="40793"/>
    <cellStyle name="Input 9 3 3 2 4" xfId="30104"/>
    <cellStyle name="Input 9 3 3 2_Table 2A-1_EFT (Annual)" xfId="15420"/>
    <cellStyle name="Input 9 3 3 3" xfId="10056"/>
    <cellStyle name="Input 9 3 3 3 2" xfId="22173"/>
    <cellStyle name="Input 9 3 3 3 2 2" xfId="43359"/>
    <cellStyle name="Input 9 3 3 3 3" xfId="32755"/>
    <cellStyle name="Input 9 3 3 4" xfId="17060"/>
    <cellStyle name="Input 9 3 3 4 2" xfId="38247"/>
    <cellStyle name="Input 9 3 3 5" xfId="27361"/>
    <cellStyle name="Input 9 3 3_Table 2A-1_EFT (Annual)" xfId="7149"/>
    <cellStyle name="Input 9 3 4" xfId="2065"/>
    <cellStyle name="Input 9 3 4 2" xfId="5626"/>
    <cellStyle name="Input 9 3 4 2 2" xfId="13841"/>
    <cellStyle name="Input 9 3 4 2 2 2" xfId="25829"/>
    <cellStyle name="Input 9 3 4 2 2 2 2" xfId="47015"/>
    <cellStyle name="Input 9 3 4 2 2 3" xfId="36411"/>
    <cellStyle name="Input 9 3 4 2 3" xfId="20716"/>
    <cellStyle name="Input 9 3 4 2 3 2" xfId="41903"/>
    <cellStyle name="Input 9 3 4 2 4" xfId="31283"/>
    <cellStyle name="Input 9 3 4 2_Table 2A-1_EFT (Annual)" xfId="15421"/>
    <cellStyle name="Input 9 3 4 3" xfId="11185"/>
    <cellStyle name="Input 9 3 4 3 2" xfId="23283"/>
    <cellStyle name="Input 9 3 4 3 2 2" xfId="44469"/>
    <cellStyle name="Input 9 3 4 3 3" xfId="33865"/>
    <cellStyle name="Input 9 3 4 4" xfId="18170"/>
    <cellStyle name="Input 9 3 4 4 2" xfId="39357"/>
    <cellStyle name="Input 9 3 4 5" xfId="28540"/>
    <cellStyle name="Input 9 3 4_Table 2A-1_EFT (Annual)" xfId="7150"/>
    <cellStyle name="Input 9 3 5" xfId="3913"/>
    <cellStyle name="Input 9 3 5 2" xfId="12241"/>
    <cellStyle name="Input 9 3 5 2 2" xfId="24265"/>
    <cellStyle name="Input 9 3 5 2 2 2" xfId="45451"/>
    <cellStyle name="Input 9 3 5 2 3" xfId="34847"/>
    <cellStyle name="Input 9 3 5 3" xfId="19152"/>
    <cellStyle name="Input 9 3 5 3 2" xfId="40339"/>
    <cellStyle name="Input 9 3 5 4" xfId="29601"/>
    <cellStyle name="Input 9 3 5_Table 2A-1_EFT (Annual)" xfId="15422"/>
    <cellStyle name="Input 9 3 6" xfId="9578"/>
    <cellStyle name="Input 9 3 6 2" xfId="21719"/>
    <cellStyle name="Input 9 3 6 2 2" xfId="42905"/>
    <cellStyle name="Input 9 3 6 3" xfId="32301"/>
    <cellStyle name="Input 9 3 7" xfId="16606"/>
    <cellStyle name="Input 9 3 7 2" xfId="37793"/>
    <cellStyle name="Input 9 3 8" xfId="26858"/>
    <cellStyle name="Input 9 3_Table 2A-1_EFT (Annual)" xfId="3090"/>
    <cellStyle name="Input 9 4" xfId="1160"/>
    <cellStyle name="Input 9 4 2" xfId="2430"/>
    <cellStyle name="Input 9 4 2 2" xfId="5991"/>
    <cellStyle name="Input 9 4 2 2 2" xfId="14185"/>
    <cellStyle name="Input 9 4 2 2 2 2" xfId="26157"/>
    <cellStyle name="Input 9 4 2 2 2 2 2" xfId="47343"/>
    <cellStyle name="Input 9 4 2 2 2 3" xfId="36739"/>
    <cellStyle name="Input 9 4 2 2 3" xfId="21044"/>
    <cellStyle name="Input 9 4 2 2 3 2" xfId="42231"/>
    <cellStyle name="Input 9 4 2 2 4" xfId="31647"/>
    <cellStyle name="Input 9 4 2 2_Table 2A-1_EFT (Annual)" xfId="15423"/>
    <cellStyle name="Input 9 4 2 3" xfId="11527"/>
    <cellStyle name="Input 9 4 2 3 2" xfId="23611"/>
    <cellStyle name="Input 9 4 2 3 2 2" xfId="44797"/>
    <cellStyle name="Input 9 4 2 3 3" xfId="34193"/>
    <cellStyle name="Input 9 4 2 4" xfId="18498"/>
    <cellStyle name="Input 9 4 2 4 2" xfId="39685"/>
    <cellStyle name="Input 9 4 2 5" xfId="28904"/>
    <cellStyle name="Input 9 4 2_Table 2A-1_EFT (Annual)" xfId="7152"/>
    <cellStyle name="Input 9 4 3" xfId="4721"/>
    <cellStyle name="Input 9 4 3 2" xfId="12981"/>
    <cellStyle name="Input 9 4 3 2 2" xfId="24987"/>
    <cellStyle name="Input 9 4 3 2 2 2" xfId="46173"/>
    <cellStyle name="Input 9 4 3 2 3" xfId="35569"/>
    <cellStyle name="Input 9 4 3 3" xfId="19874"/>
    <cellStyle name="Input 9 4 3 3 2" xfId="41061"/>
    <cellStyle name="Input 9 4 3 4" xfId="30378"/>
    <cellStyle name="Input 9 4 3_Table 2A-1_EFT (Annual)" xfId="15424"/>
    <cellStyle name="Input 9 4 4" xfId="10325"/>
    <cellStyle name="Input 9 4 4 2" xfId="22441"/>
    <cellStyle name="Input 9 4 4 2 2" xfId="43627"/>
    <cellStyle name="Input 9 4 4 3" xfId="33023"/>
    <cellStyle name="Input 9 4 5" xfId="17328"/>
    <cellStyle name="Input 9 4 5 2" xfId="38515"/>
    <cellStyle name="Input 9 4 6" xfId="27635"/>
    <cellStyle name="Input 9 4_Table 2A-1_EFT (Annual)" xfId="7151"/>
    <cellStyle name="Input 9 5" xfId="727"/>
    <cellStyle name="Input 9 5 2" xfId="4288"/>
    <cellStyle name="Input 9 5 2 2" xfId="12568"/>
    <cellStyle name="Input 9 5 2 2 2" xfId="24585"/>
    <cellStyle name="Input 9 5 2 2 2 2" xfId="45771"/>
    <cellStyle name="Input 9 5 2 2 3" xfId="35167"/>
    <cellStyle name="Input 9 5 2 3" xfId="19472"/>
    <cellStyle name="Input 9 5 2 3 2" xfId="40659"/>
    <cellStyle name="Input 9 5 2 4" xfId="29945"/>
    <cellStyle name="Input 9 5 2_Table 2A-1_EFT (Annual)" xfId="15425"/>
    <cellStyle name="Input 9 5 3" xfId="9916"/>
    <cellStyle name="Input 9 5 3 2" xfId="22039"/>
    <cellStyle name="Input 9 5 3 2 2" xfId="43225"/>
    <cellStyle name="Input 9 5 3 3" xfId="32621"/>
    <cellStyle name="Input 9 5 4" xfId="16926"/>
    <cellStyle name="Input 9 5 4 2" xfId="38113"/>
    <cellStyle name="Input 9 5 5" xfId="27202"/>
    <cellStyle name="Input 9 5_Table 2A-1_EFT (Annual)" xfId="7153"/>
    <cellStyle name="Input 9 6" xfId="1868"/>
    <cellStyle name="Input 9 6 2" xfId="5429"/>
    <cellStyle name="Input 9 6 2 2" xfId="13644"/>
    <cellStyle name="Input 9 6 2 2 2" xfId="25632"/>
    <cellStyle name="Input 9 6 2 2 2 2" xfId="46818"/>
    <cellStyle name="Input 9 6 2 2 3" xfId="36214"/>
    <cellStyle name="Input 9 6 2 3" xfId="20519"/>
    <cellStyle name="Input 9 6 2 3 2" xfId="41706"/>
    <cellStyle name="Input 9 6 2 4" xfId="31086"/>
    <cellStyle name="Input 9 6 2_Table 2A-1_EFT (Annual)" xfId="15426"/>
    <cellStyle name="Input 9 6 3" xfId="10988"/>
    <cellStyle name="Input 9 6 3 2" xfId="23086"/>
    <cellStyle name="Input 9 6 3 2 2" xfId="44272"/>
    <cellStyle name="Input 9 6 3 3" xfId="33668"/>
    <cellStyle name="Input 9 6 4" xfId="17973"/>
    <cellStyle name="Input 9 6 4 2" xfId="39160"/>
    <cellStyle name="Input 9 6 5" xfId="28343"/>
    <cellStyle name="Input 9 6_Table 2A-1_EFT (Annual)" xfId="7154"/>
    <cellStyle name="Input 9 7" xfId="3701"/>
    <cellStyle name="Input 9 7 2" xfId="12069"/>
    <cellStyle name="Input 9 7 2 2" xfId="24099"/>
    <cellStyle name="Input 9 7 2 2 2" xfId="45285"/>
    <cellStyle name="Input 9 7 2 3" xfId="34681"/>
    <cellStyle name="Input 9 7 3" xfId="18986"/>
    <cellStyle name="Input 9 7 3 2" xfId="40173"/>
    <cellStyle name="Input 9 7 4" xfId="29410"/>
    <cellStyle name="Input 9 7_Table 2A-1_EFT (Annual)" xfId="15427"/>
    <cellStyle name="Input 9 8" xfId="9388"/>
    <cellStyle name="Input 9 8 2" xfId="21553"/>
    <cellStyle name="Input 9 8 2 2" xfId="42739"/>
    <cellStyle name="Input 9 8 3" xfId="32135"/>
    <cellStyle name="Input 9 9" xfId="16440"/>
    <cellStyle name="Input 9 9 2" xfId="37627"/>
    <cellStyle name="Input 9_Table 2A-1_EFT (Annual)" xfId="3088"/>
    <cellStyle name="Linked Cell" xfId="42" builtinId="24" customBuiltin="1"/>
    <cellStyle name="Linked Cell 2" xfId="290"/>
    <cellStyle name="Linked Cell 3" xfId="694"/>
    <cellStyle name="Linked Cell 4" xfId="16008"/>
    <cellStyle name="Neutral" xfId="43" builtinId="28" customBuiltin="1"/>
    <cellStyle name="Neutral 2" xfId="291"/>
    <cellStyle name="Neutral 3" xfId="695"/>
    <cellStyle name="Neutral 4" xfId="16009"/>
    <cellStyle name="Normal" xfId="0" builtinId="0"/>
    <cellStyle name="Normal 10" xfId="73"/>
    <cellStyle name="Normal 10 2" xfId="228"/>
    <cellStyle name="Normal 10 2 2" xfId="455"/>
    <cellStyle name="Normal 10 2 2 2" xfId="979"/>
    <cellStyle name="Normal 10 2 2 2 2" xfId="2399"/>
    <cellStyle name="Normal 10 2 2 2 2 2" xfId="5960"/>
    <cellStyle name="Normal 10 2 2 2 2 2 2" xfId="16408"/>
    <cellStyle name="Normal 10 2 2 2 2 2 2 2" xfId="37597"/>
    <cellStyle name="Normal 10 2 2 2 2 2 3" xfId="31616"/>
    <cellStyle name="Normal 10 2 2 2 2 3" xfId="16210"/>
    <cellStyle name="Normal 10 2 2 2 2 3 2" xfId="37400"/>
    <cellStyle name="Normal 10 2 2 2 2 4" xfId="28873"/>
    <cellStyle name="Normal 10 2 2 2 2_Table 2A-1_EFT (Annual)" xfId="3095"/>
    <cellStyle name="Normal 10 2 2 2 3" xfId="4540"/>
    <cellStyle name="Normal 10 2 2 2 3 2" xfId="16308"/>
    <cellStyle name="Normal 10 2 2 2 3 2 2" xfId="37498"/>
    <cellStyle name="Normal 10 2 2 2 3 3" xfId="30197"/>
    <cellStyle name="Normal 10 2 2 2 4" xfId="16111"/>
    <cellStyle name="Normal 10 2 2 2 4 2" xfId="37301"/>
    <cellStyle name="Normal 10 2 2 2 5" xfId="27454"/>
    <cellStyle name="Normal 10 2 2 2_Table 2A-1_EFT (Annual)" xfId="3094"/>
    <cellStyle name="Normal 10 2 2 3" xfId="1727"/>
    <cellStyle name="Normal 10 2 2 3 2" xfId="5288"/>
    <cellStyle name="Normal 10 2 2 3 2 2" xfId="16359"/>
    <cellStyle name="Normal 10 2 2 3 2 2 2" xfId="37548"/>
    <cellStyle name="Normal 10 2 2 3 2 3" xfId="30945"/>
    <cellStyle name="Normal 10 2 2 3 3" xfId="16161"/>
    <cellStyle name="Normal 10 2 2 3 3 2" xfId="37351"/>
    <cellStyle name="Normal 10 2 2 3 4" xfId="28202"/>
    <cellStyle name="Normal 10 2 2 3_Table 2A-1_EFT (Annual)" xfId="3096"/>
    <cellStyle name="Normal 10 2 2 4" xfId="4025"/>
    <cellStyle name="Normal 10 2 2 4 2" xfId="16259"/>
    <cellStyle name="Normal 10 2 2 4 2 2" xfId="37449"/>
    <cellStyle name="Normal 10 2 2 4 3" xfId="29713"/>
    <cellStyle name="Normal 10 2 2 5" xfId="16062"/>
    <cellStyle name="Normal 10 2 2 5 2" xfId="37252"/>
    <cellStyle name="Normal 10 2 2 6" xfId="26970"/>
    <cellStyle name="Normal 10 2 2_Table 2A-1_EFT (Annual)" xfId="3093"/>
    <cellStyle name="Normal 10 2 3" xfId="823"/>
    <cellStyle name="Normal 10 2 3 2" xfId="2374"/>
    <cellStyle name="Normal 10 2 3 2 2" xfId="5935"/>
    <cellStyle name="Normal 10 2 3 2 2 2" xfId="16383"/>
    <cellStyle name="Normal 10 2 3 2 2 2 2" xfId="37572"/>
    <cellStyle name="Normal 10 2 3 2 2 3" xfId="31591"/>
    <cellStyle name="Normal 10 2 3 2 3" xfId="16185"/>
    <cellStyle name="Normal 10 2 3 2 3 2" xfId="37375"/>
    <cellStyle name="Normal 10 2 3 2 4" xfId="28848"/>
    <cellStyle name="Normal 10 2 3 2_Table 2A-1_EFT (Annual)" xfId="3098"/>
    <cellStyle name="Normal 10 2 3 3" xfId="4384"/>
    <cellStyle name="Normal 10 2 3 3 2" xfId="16283"/>
    <cellStyle name="Normal 10 2 3 3 2 2" xfId="37473"/>
    <cellStyle name="Normal 10 2 3 3 3" xfId="30041"/>
    <cellStyle name="Normal 10 2 3 4" xfId="16086"/>
    <cellStyle name="Normal 10 2 3 4 2" xfId="37276"/>
    <cellStyle name="Normal 10 2 3 5" xfId="27298"/>
    <cellStyle name="Normal 10 2 3_Table 2A-1_EFT (Annual)" xfId="3097"/>
    <cellStyle name="Normal 10 2 4" xfId="1671"/>
    <cellStyle name="Normal 10 2 4 2" xfId="5232"/>
    <cellStyle name="Normal 10 2 4 2 2" xfId="16334"/>
    <cellStyle name="Normal 10 2 4 2 2 2" xfId="37523"/>
    <cellStyle name="Normal 10 2 4 2 3" xfId="30889"/>
    <cellStyle name="Normal 10 2 4 3" xfId="16136"/>
    <cellStyle name="Normal 10 2 4 3 2" xfId="37326"/>
    <cellStyle name="Normal 10 2 4 4" xfId="28146"/>
    <cellStyle name="Normal 10 2 4_Table 2A-1_EFT (Annual)" xfId="3099"/>
    <cellStyle name="Normal 10 2 5" xfId="3817"/>
    <cellStyle name="Normal 10 2 5 2" xfId="16234"/>
    <cellStyle name="Normal 10 2 5 2 2" xfId="37424"/>
    <cellStyle name="Normal 10 2 5 3" xfId="29526"/>
    <cellStyle name="Normal 10 2 6" xfId="16037"/>
    <cellStyle name="Normal 10 2 6 2" xfId="37227"/>
    <cellStyle name="Normal 10 2 7" xfId="26783"/>
    <cellStyle name="Normal 10 2_Table 2A-1_EFT (Annual)" xfId="3092"/>
    <cellStyle name="Normal 10 3" xfId="307"/>
    <cellStyle name="Normal 10 3 2" xfId="857"/>
    <cellStyle name="Normal 10 3 2 2" xfId="2387"/>
    <cellStyle name="Normal 10 3 2 2 2" xfId="5948"/>
    <cellStyle name="Normal 10 3 2 2 2 2" xfId="16396"/>
    <cellStyle name="Normal 10 3 2 2 2 2 2" xfId="37585"/>
    <cellStyle name="Normal 10 3 2 2 2 3" xfId="31604"/>
    <cellStyle name="Normal 10 3 2 2 3" xfId="16198"/>
    <cellStyle name="Normal 10 3 2 2 3 2" xfId="37388"/>
    <cellStyle name="Normal 10 3 2 2 4" xfId="28861"/>
    <cellStyle name="Normal 10 3 2 2_Table 2A-1_EFT (Annual)" xfId="3102"/>
    <cellStyle name="Normal 10 3 2 3" xfId="4418"/>
    <cellStyle name="Normal 10 3 2 3 2" xfId="16296"/>
    <cellStyle name="Normal 10 3 2 3 2 2" xfId="37486"/>
    <cellStyle name="Normal 10 3 2 3 3" xfId="30075"/>
    <cellStyle name="Normal 10 3 2 4" xfId="16099"/>
    <cellStyle name="Normal 10 3 2 4 2" xfId="37289"/>
    <cellStyle name="Normal 10 3 2 5" xfId="27332"/>
    <cellStyle name="Normal 10 3 2_Table 2A-1_EFT (Annual)" xfId="3101"/>
    <cellStyle name="Normal 10 3 3" xfId="1689"/>
    <cellStyle name="Normal 10 3 3 2" xfId="5250"/>
    <cellStyle name="Normal 10 3 3 2 2" xfId="16347"/>
    <cellStyle name="Normal 10 3 3 2 2 2" xfId="37536"/>
    <cellStyle name="Normal 10 3 3 2 3" xfId="30907"/>
    <cellStyle name="Normal 10 3 3 3" xfId="16149"/>
    <cellStyle name="Normal 10 3 3 3 2" xfId="37339"/>
    <cellStyle name="Normal 10 3 3 4" xfId="28164"/>
    <cellStyle name="Normal 10 3 3_Table 2A-1_EFT (Annual)" xfId="3103"/>
    <cellStyle name="Normal 10 3 4" xfId="3877"/>
    <cellStyle name="Normal 10 3 4 2" xfId="16247"/>
    <cellStyle name="Normal 10 3 4 2 2" xfId="37437"/>
    <cellStyle name="Normal 10 3 4 3" xfId="29565"/>
    <cellStyle name="Normal 10 3 5" xfId="16050"/>
    <cellStyle name="Normal 10 3 5 2" xfId="37240"/>
    <cellStyle name="Normal 10 3 6" xfId="26822"/>
    <cellStyle name="Normal 10 3_Table 2A-1_EFT (Annual)" xfId="3100"/>
    <cellStyle name="Normal 10 4" xfId="653"/>
    <cellStyle name="Normal 10 4 2" xfId="1774"/>
    <cellStyle name="Normal 10 4 2 2" xfId="5335"/>
    <cellStyle name="Normal 10 4 2 2 2" xfId="16371"/>
    <cellStyle name="Normal 10 4 2 2 2 2" xfId="37560"/>
    <cellStyle name="Normal 10 4 2 2 3" xfId="30992"/>
    <cellStyle name="Normal 10 4 2 3" xfId="16173"/>
    <cellStyle name="Normal 10 4 2 3 2" xfId="37363"/>
    <cellStyle name="Normal 10 4 2 4" xfId="28249"/>
    <cellStyle name="Normal 10 4 2_Table 2A-1_EFT (Annual)" xfId="3105"/>
    <cellStyle name="Normal 10 4 3" xfId="4223"/>
    <cellStyle name="Normal 10 4 3 2" xfId="16271"/>
    <cellStyle name="Normal 10 4 3 2 2" xfId="37461"/>
    <cellStyle name="Normal 10 4 3 3" xfId="29911"/>
    <cellStyle name="Normal 10 4 4" xfId="16074"/>
    <cellStyle name="Normal 10 4 4 2" xfId="37264"/>
    <cellStyle name="Normal 10 4 5" xfId="27168"/>
    <cellStyle name="Normal 10 4_Table 2A-1_EFT (Annual)" xfId="3104"/>
    <cellStyle name="Normal 10 5" xfId="1632"/>
    <cellStyle name="Normal 10 5 2" xfId="5193"/>
    <cellStyle name="Normal 10 5 2 2" xfId="16322"/>
    <cellStyle name="Normal 10 5 2 2 2" xfId="37511"/>
    <cellStyle name="Normal 10 5 2 3" xfId="30850"/>
    <cellStyle name="Normal 10 5 3" xfId="16124"/>
    <cellStyle name="Normal 10 5 3 2" xfId="37314"/>
    <cellStyle name="Normal 10 5 4" xfId="28107"/>
    <cellStyle name="Normal 10 5_Table 2A-1_EFT (Annual)" xfId="3106"/>
    <cellStyle name="Normal 10 6" xfId="3664"/>
    <cellStyle name="Normal 10 6 2" xfId="16222"/>
    <cellStyle name="Normal 10 6 2 2" xfId="37412"/>
    <cellStyle name="Normal 10 6 3" xfId="29374"/>
    <cellStyle name="Normal 10 7" xfId="16025"/>
    <cellStyle name="Normal 10 7 2" xfId="37215"/>
    <cellStyle name="Normal 10 8" xfId="26631"/>
    <cellStyle name="Normal 10 9" xfId="47819"/>
    <cellStyle name="Normal 10_Table 2A-1_EFT (Annual)" xfId="3091"/>
    <cellStyle name="Normal 11" xfId="74"/>
    <cellStyle name="Normal 11 2" xfId="229"/>
    <cellStyle name="Normal 11 2 2" xfId="456"/>
    <cellStyle name="Normal 11 2 2 2" xfId="980"/>
    <cellStyle name="Normal 11 2 2 2 2" xfId="2400"/>
    <cellStyle name="Normal 11 2 2 2 2 2" xfId="5961"/>
    <cellStyle name="Normal 11 2 2 2 2 2 2" xfId="16409"/>
    <cellStyle name="Normal 11 2 2 2 2 2 2 2" xfId="37598"/>
    <cellStyle name="Normal 11 2 2 2 2 2 3" xfId="31617"/>
    <cellStyle name="Normal 11 2 2 2 2 3" xfId="16211"/>
    <cellStyle name="Normal 11 2 2 2 2 3 2" xfId="37401"/>
    <cellStyle name="Normal 11 2 2 2 2 4" xfId="28874"/>
    <cellStyle name="Normal 11 2 2 2 2_Table 2A-1_EFT (Annual)" xfId="3111"/>
    <cellStyle name="Normal 11 2 2 2 3" xfId="4541"/>
    <cellStyle name="Normal 11 2 2 2 3 2" xfId="16309"/>
    <cellStyle name="Normal 11 2 2 2 3 2 2" xfId="37499"/>
    <cellStyle name="Normal 11 2 2 2 3 3" xfId="30198"/>
    <cellStyle name="Normal 11 2 2 2 4" xfId="16112"/>
    <cellStyle name="Normal 11 2 2 2 4 2" xfId="37302"/>
    <cellStyle name="Normal 11 2 2 2 5" xfId="27455"/>
    <cellStyle name="Normal 11 2 2 2_Table 2A-1_EFT (Annual)" xfId="3110"/>
    <cellStyle name="Normal 11 2 2 3" xfId="1728"/>
    <cellStyle name="Normal 11 2 2 3 2" xfId="5289"/>
    <cellStyle name="Normal 11 2 2 3 2 2" xfId="16360"/>
    <cellStyle name="Normal 11 2 2 3 2 2 2" xfId="37549"/>
    <cellStyle name="Normal 11 2 2 3 2 3" xfId="30946"/>
    <cellStyle name="Normal 11 2 2 3 3" xfId="16162"/>
    <cellStyle name="Normal 11 2 2 3 3 2" xfId="37352"/>
    <cellStyle name="Normal 11 2 2 3 4" xfId="28203"/>
    <cellStyle name="Normal 11 2 2 3_Table 2A-1_EFT (Annual)" xfId="3112"/>
    <cellStyle name="Normal 11 2 2 4" xfId="4026"/>
    <cellStyle name="Normal 11 2 2 4 2" xfId="16260"/>
    <cellStyle name="Normal 11 2 2 4 2 2" xfId="37450"/>
    <cellStyle name="Normal 11 2 2 4 3" xfId="29714"/>
    <cellStyle name="Normal 11 2 2 5" xfId="16063"/>
    <cellStyle name="Normal 11 2 2 5 2" xfId="37253"/>
    <cellStyle name="Normal 11 2 2 6" xfId="26971"/>
    <cellStyle name="Normal 11 2 2_Table 2A-1_EFT (Annual)" xfId="3109"/>
    <cellStyle name="Normal 11 2 3" xfId="824"/>
    <cellStyle name="Normal 11 2 3 2" xfId="2375"/>
    <cellStyle name="Normal 11 2 3 2 2" xfId="5936"/>
    <cellStyle name="Normal 11 2 3 2 2 2" xfId="16384"/>
    <cellStyle name="Normal 11 2 3 2 2 2 2" xfId="37573"/>
    <cellStyle name="Normal 11 2 3 2 2 3" xfId="31592"/>
    <cellStyle name="Normal 11 2 3 2 3" xfId="16186"/>
    <cellStyle name="Normal 11 2 3 2 3 2" xfId="37376"/>
    <cellStyle name="Normal 11 2 3 2 4" xfId="28849"/>
    <cellStyle name="Normal 11 2 3 2_Table 2A-1_EFT (Annual)" xfId="3114"/>
    <cellStyle name="Normal 11 2 3 3" xfId="4385"/>
    <cellStyle name="Normal 11 2 3 3 2" xfId="16284"/>
    <cellStyle name="Normal 11 2 3 3 2 2" xfId="37474"/>
    <cellStyle name="Normal 11 2 3 3 3" xfId="30042"/>
    <cellStyle name="Normal 11 2 3 4" xfId="16087"/>
    <cellStyle name="Normal 11 2 3 4 2" xfId="37277"/>
    <cellStyle name="Normal 11 2 3 5" xfId="27299"/>
    <cellStyle name="Normal 11 2 3_Table 2A-1_EFT (Annual)" xfId="3113"/>
    <cellStyle name="Normal 11 2 4" xfId="1672"/>
    <cellStyle name="Normal 11 2 4 2" xfId="5233"/>
    <cellStyle name="Normal 11 2 4 2 2" xfId="16335"/>
    <cellStyle name="Normal 11 2 4 2 2 2" xfId="37524"/>
    <cellStyle name="Normal 11 2 4 2 3" xfId="30890"/>
    <cellStyle name="Normal 11 2 4 3" xfId="16137"/>
    <cellStyle name="Normal 11 2 4 3 2" xfId="37327"/>
    <cellStyle name="Normal 11 2 4 4" xfId="28147"/>
    <cellStyle name="Normal 11 2 4_Table 2A-1_EFT (Annual)" xfId="3115"/>
    <cellStyle name="Normal 11 2 5" xfId="3818"/>
    <cellStyle name="Normal 11 2 5 2" xfId="16235"/>
    <cellStyle name="Normal 11 2 5 2 2" xfId="37425"/>
    <cellStyle name="Normal 11 2 5 3" xfId="29527"/>
    <cellStyle name="Normal 11 2 6" xfId="16038"/>
    <cellStyle name="Normal 11 2 6 2" xfId="37228"/>
    <cellStyle name="Normal 11 2 7" xfId="26784"/>
    <cellStyle name="Normal 11 2_Table 2A-1_EFT (Annual)" xfId="3108"/>
    <cellStyle name="Normal 11 3" xfId="308"/>
    <cellStyle name="Normal 11 3 2" xfId="858"/>
    <cellStyle name="Normal 11 3 2 2" xfId="2388"/>
    <cellStyle name="Normal 11 3 2 2 2" xfId="5949"/>
    <cellStyle name="Normal 11 3 2 2 2 2" xfId="16397"/>
    <cellStyle name="Normal 11 3 2 2 2 2 2" xfId="37586"/>
    <cellStyle name="Normal 11 3 2 2 2 3" xfId="31605"/>
    <cellStyle name="Normal 11 3 2 2 3" xfId="16199"/>
    <cellStyle name="Normal 11 3 2 2 3 2" xfId="37389"/>
    <cellStyle name="Normal 11 3 2 2 4" xfId="28862"/>
    <cellStyle name="Normal 11 3 2 2_Table 2A-1_EFT (Annual)" xfId="3118"/>
    <cellStyle name="Normal 11 3 2 3" xfId="4419"/>
    <cellStyle name="Normal 11 3 2 3 2" xfId="16297"/>
    <cellStyle name="Normal 11 3 2 3 2 2" xfId="37487"/>
    <cellStyle name="Normal 11 3 2 3 3" xfId="30076"/>
    <cellStyle name="Normal 11 3 2 4" xfId="16100"/>
    <cellStyle name="Normal 11 3 2 4 2" xfId="37290"/>
    <cellStyle name="Normal 11 3 2 5" xfId="27333"/>
    <cellStyle name="Normal 11 3 2_Table 2A-1_EFT (Annual)" xfId="3117"/>
    <cellStyle name="Normal 11 3 3" xfId="1690"/>
    <cellStyle name="Normal 11 3 3 2" xfId="5251"/>
    <cellStyle name="Normal 11 3 3 2 2" xfId="16348"/>
    <cellStyle name="Normal 11 3 3 2 2 2" xfId="37537"/>
    <cellStyle name="Normal 11 3 3 2 3" xfId="30908"/>
    <cellStyle name="Normal 11 3 3 3" xfId="16150"/>
    <cellStyle name="Normal 11 3 3 3 2" xfId="37340"/>
    <cellStyle name="Normal 11 3 3 4" xfId="28165"/>
    <cellStyle name="Normal 11 3 3_Table 2A-1_EFT (Annual)" xfId="3119"/>
    <cellStyle name="Normal 11 3 4" xfId="3878"/>
    <cellStyle name="Normal 11 3 4 2" xfId="16248"/>
    <cellStyle name="Normal 11 3 4 2 2" xfId="37438"/>
    <cellStyle name="Normal 11 3 4 3" xfId="29566"/>
    <cellStyle name="Normal 11 3 5" xfId="16051"/>
    <cellStyle name="Normal 11 3 5 2" xfId="37241"/>
    <cellStyle name="Normal 11 3 6" xfId="26823"/>
    <cellStyle name="Normal 11 3_Table 2A-1_EFT (Annual)" xfId="3116"/>
    <cellStyle name="Normal 11 4" xfId="654"/>
    <cellStyle name="Normal 11 4 2" xfId="1775"/>
    <cellStyle name="Normal 11 4 2 2" xfId="5336"/>
    <cellStyle name="Normal 11 4 2 2 2" xfId="16372"/>
    <cellStyle name="Normal 11 4 2 2 2 2" xfId="37561"/>
    <cellStyle name="Normal 11 4 2 2 3" xfId="30993"/>
    <cellStyle name="Normal 11 4 2 3" xfId="16174"/>
    <cellStyle name="Normal 11 4 2 3 2" xfId="37364"/>
    <cellStyle name="Normal 11 4 2 4" xfId="28250"/>
    <cellStyle name="Normal 11 4 2_Table 2A-1_EFT (Annual)" xfId="3121"/>
    <cellStyle name="Normal 11 4 3" xfId="4224"/>
    <cellStyle name="Normal 11 4 3 2" xfId="16272"/>
    <cellStyle name="Normal 11 4 3 2 2" xfId="37462"/>
    <cellStyle name="Normal 11 4 3 3" xfId="29912"/>
    <cellStyle name="Normal 11 4 4" xfId="16075"/>
    <cellStyle name="Normal 11 4 4 2" xfId="37265"/>
    <cellStyle name="Normal 11 4 5" xfId="27169"/>
    <cellStyle name="Normal 11 4_Table 2A-1_EFT (Annual)" xfId="3120"/>
    <cellStyle name="Normal 11 5" xfId="1633"/>
    <cellStyle name="Normal 11 5 2" xfId="5194"/>
    <cellStyle name="Normal 11 5 2 2" xfId="16323"/>
    <cellStyle name="Normal 11 5 2 2 2" xfId="37512"/>
    <cellStyle name="Normal 11 5 2 3" xfId="30851"/>
    <cellStyle name="Normal 11 5 3" xfId="16125"/>
    <cellStyle name="Normal 11 5 3 2" xfId="37315"/>
    <cellStyle name="Normal 11 5 4" xfId="28108"/>
    <cellStyle name="Normal 11 5_Table 2A-1_EFT (Annual)" xfId="3122"/>
    <cellStyle name="Normal 11 6" xfId="3665"/>
    <cellStyle name="Normal 11 6 2" xfId="16223"/>
    <cellStyle name="Normal 11 6 2 2" xfId="37413"/>
    <cellStyle name="Normal 11 6 3" xfId="29375"/>
    <cellStyle name="Normal 11 7" xfId="16026"/>
    <cellStyle name="Normal 11 7 2" xfId="37216"/>
    <cellStyle name="Normal 11 8" xfId="26632"/>
    <cellStyle name="Normal 11 9" xfId="47820"/>
    <cellStyle name="Normal 11_Table 2A-1_EFT (Annual)" xfId="3107"/>
    <cellStyle name="Normal 12" xfId="75"/>
    <cellStyle name="Normal 12 2" xfId="230"/>
    <cellStyle name="Normal 12 2 2" xfId="457"/>
    <cellStyle name="Normal 12 2 2 2" xfId="981"/>
    <cellStyle name="Normal 12 2 2 2 2" xfId="2401"/>
    <cellStyle name="Normal 12 2 2 2 2 2" xfId="5962"/>
    <cellStyle name="Normal 12 2 2 2 2 2 2" xfId="16410"/>
    <cellStyle name="Normal 12 2 2 2 2 2 2 2" xfId="37599"/>
    <cellStyle name="Normal 12 2 2 2 2 2 3" xfId="31618"/>
    <cellStyle name="Normal 12 2 2 2 2 3" xfId="16212"/>
    <cellStyle name="Normal 12 2 2 2 2 3 2" xfId="37402"/>
    <cellStyle name="Normal 12 2 2 2 2 4" xfId="28875"/>
    <cellStyle name="Normal 12 2 2 2 2_Table 2A-1_EFT (Annual)" xfId="3127"/>
    <cellStyle name="Normal 12 2 2 2 3" xfId="4542"/>
    <cellStyle name="Normal 12 2 2 2 3 2" xfId="16310"/>
    <cellStyle name="Normal 12 2 2 2 3 2 2" xfId="37500"/>
    <cellStyle name="Normal 12 2 2 2 3 3" xfId="30199"/>
    <cellStyle name="Normal 12 2 2 2 4" xfId="16113"/>
    <cellStyle name="Normal 12 2 2 2 4 2" xfId="37303"/>
    <cellStyle name="Normal 12 2 2 2 5" xfId="27456"/>
    <cellStyle name="Normal 12 2 2 2_Table 2A-1_EFT (Annual)" xfId="3126"/>
    <cellStyle name="Normal 12 2 2 3" xfId="1729"/>
    <cellStyle name="Normal 12 2 2 3 2" xfId="5290"/>
    <cellStyle name="Normal 12 2 2 3 2 2" xfId="16361"/>
    <cellStyle name="Normal 12 2 2 3 2 2 2" xfId="37550"/>
    <cellStyle name="Normal 12 2 2 3 2 3" xfId="30947"/>
    <cellStyle name="Normal 12 2 2 3 3" xfId="16163"/>
    <cellStyle name="Normal 12 2 2 3 3 2" xfId="37353"/>
    <cellStyle name="Normal 12 2 2 3 4" xfId="28204"/>
    <cellStyle name="Normal 12 2 2 3_Table 2A-1_EFT (Annual)" xfId="3128"/>
    <cellStyle name="Normal 12 2 2 4" xfId="4027"/>
    <cellStyle name="Normal 12 2 2 4 2" xfId="16261"/>
    <cellStyle name="Normal 12 2 2 4 2 2" xfId="37451"/>
    <cellStyle name="Normal 12 2 2 4 3" xfId="29715"/>
    <cellStyle name="Normal 12 2 2 5" xfId="16064"/>
    <cellStyle name="Normal 12 2 2 5 2" xfId="37254"/>
    <cellStyle name="Normal 12 2 2 6" xfId="26972"/>
    <cellStyle name="Normal 12 2 2_Table 2A-1_EFT (Annual)" xfId="3125"/>
    <cellStyle name="Normal 12 2 3" xfId="825"/>
    <cellStyle name="Normal 12 2 3 2" xfId="2376"/>
    <cellStyle name="Normal 12 2 3 2 2" xfId="5937"/>
    <cellStyle name="Normal 12 2 3 2 2 2" xfId="16385"/>
    <cellStyle name="Normal 12 2 3 2 2 2 2" xfId="37574"/>
    <cellStyle name="Normal 12 2 3 2 2 3" xfId="31593"/>
    <cellStyle name="Normal 12 2 3 2 3" xfId="16187"/>
    <cellStyle name="Normal 12 2 3 2 3 2" xfId="37377"/>
    <cellStyle name="Normal 12 2 3 2 4" xfId="28850"/>
    <cellStyle name="Normal 12 2 3 2_Table 2A-1_EFT (Annual)" xfId="3130"/>
    <cellStyle name="Normal 12 2 3 3" xfId="4386"/>
    <cellStyle name="Normal 12 2 3 3 2" xfId="16285"/>
    <cellStyle name="Normal 12 2 3 3 2 2" xfId="37475"/>
    <cellStyle name="Normal 12 2 3 3 3" xfId="30043"/>
    <cellStyle name="Normal 12 2 3 4" xfId="16088"/>
    <cellStyle name="Normal 12 2 3 4 2" xfId="37278"/>
    <cellStyle name="Normal 12 2 3 5" xfId="27300"/>
    <cellStyle name="Normal 12 2 3_Table 2A-1_EFT (Annual)" xfId="3129"/>
    <cellStyle name="Normal 12 2 4" xfId="1673"/>
    <cellStyle name="Normal 12 2 4 2" xfId="5234"/>
    <cellStyle name="Normal 12 2 4 2 2" xfId="16336"/>
    <cellStyle name="Normal 12 2 4 2 2 2" xfId="37525"/>
    <cellStyle name="Normal 12 2 4 2 3" xfId="30891"/>
    <cellStyle name="Normal 12 2 4 3" xfId="16138"/>
    <cellStyle name="Normal 12 2 4 3 2" xfId="37328"/>
    <cellStyle name="Normal 12 2 4 4" xfId="28148"/>
    <cellStyle name="Normal 12 2 4_Table 2A-1_EFT (Annual)" xfId="3131"/>
    <cellStyle name="Normal 12 2 5" xfId="3819"/>
    <cellStyle name="Normal 12 2 5 2" xfId="16236"/>
    <cellStyle name="Normal 12 2 5 2 2" xfId="37426"/>
    <cellStyle name="Normal 12 2 5 3" xfId="29528"/>
    <cellStyle name="Normal 12 2 6" xfId="16039"/>
    <cellStyle name="Normal 12 2 6 2" xfId="37229"/>
    <cellStyle name="Normal 12 2 7" xfId="26785"/>
    <cellStyle name="Normal 12 2_Table 2A-1_EFT (Annual)" xfId="3124"/>
    <cellStyle name="Normal 12 3" xfId="309"/>
    <cellStyle name="Normal 12 3 2" xfId="859"/>
    <cellStyle name="Normal 12 3 2 2" xfId="2389"/>
    <cellStyle name="Normal 12 3 2 2 2" xfId="5950"/>
    <cellStyle name="Normal 12 3 2 2 2 2" xfId="16398"/>
    <cellStyle name="Normal 12 3 2 2 2 2 2" xfId="37587"/>
    <cellStyle name="Normal 12 3 2 2 2 3" xfId="31606"/>
    <cellStyle name="Normal 12 3 2 2 3" xfId="16200"/>
    <cellStyle name="Normal 12 3 2 2 3 2" xfId="37390"/>
    <cellStyle name="Normal 12 3 2 2 4" xfId="28863"/>
    <cellStyle name="Normal 12 3 2 2_Table 2A-1_EFT (Annual)" xfId="3134"/>
    <cellStyle name="Normal 12 3 2 3" xfId="4420"/>
    <cellStyle name="Normal 12 3 2 3 2" xfId="16298"/>
    <cellStyle name="Normal 12 3 2 3 2 2" xfId="37488"/>
    <cellStyle name="Normal 12 3 2 3 3" xfId="30077"/>
    <cellStyle name="Normal 12 3 2 4" xfId="16101"/>
    <cellStyle name="Normal 12 3 2 4 2" xfId="37291"/>
    <cellStyle name="Normal 12 3 2 5" xfId="27334"/>
    <cellStyle name="Normal 12 3 2_Table 2A-1_EFT (Annual)" xfId="3133"/>
    <cellStyle name="Normal 12 3 3" xfId="1691"/>
    <cellStyle name="Normal 12 3 3 2" xfId="5252"/>
    <cellStyle name="Normal 12 3 3 2 2" xfId="16349"/>
    <cellStyle name="Normal 12 3 3 2 2 2" xfId="37538"/>
    <cellStyle name="Normal 12 3 3 2 3" xfId="30909"/>
    <cellStyle name="Normal 12 3 3 3" xfId="16151"/>
    <cellStyle name="Normal 12 3 3 3 2" xfId="37341"/>
    <cellStyle name="Normal 12 3 3 4" xfId="28166"/>
    <cellStyle name="Normal 12 3 3_Table 2A-1_EFT (Annual)" xfId="3135"/>
    <cellStyle name="Normal 12 3 4" xfId="3879"/>
    <cellStyle name="Normal 12 3 4 2" xfId="16249"/>
    <cellStyle name="Normal 12 3 4 2 2" xfId="37439"/>
    <cellStyle name="Normal 12 3 4 3" xfId="29567"/>
    <cellStyle name="Normal 12 3 5" xfId="16052"/>
    <cellStyle name="Normal 12 3 5 2" xfId="37242"/>
    <cellStyle name="Normal 12 3 6" xfId="26824"/>
    <cellStyle name="Normal 12 3_Table 2A-1_EFT (Annual)" xfId="3132"/>
    <cellStyle name="Normal 12 4" xfId="655"/>
    <cellStyle name="Normal 12 4 2" xfId="1776"/>
    <cellStyle name="Normal 12 4 2 2" xfId="5337"/>
    <cellStyle name="Normal 12 4 2 2 2" xfId="16373"/>
    <cellStyle name="Normal 12 4 2 2 2 2" xfId="37562"/>
    <cellStyle name="Normal 12 4 2 2 3" xfId="30994"/>
    <cellStyle name="Normal 12 4 2 3" xfId="16175"/>
    <cellStyle name="Normal 12 4 2 3 2" xfId="37365"/>
    <cellStyle name="Normal 12 4 2 4" xfId="28251"/>
    <cellStyle name="Normal 12 4 2_Table 2A-1_EFT (Annual)" xfId="3137"/>
    <cellStyle name="Normal 12 4 3" xfId="4225"/>
    <cellStyle name="Normal 12 4 3 2" xfId="16273"/>
    <cellStyle name="Normal 12 4 3 2 2" xfId="37463"/>
    <cellStyle name="Normal 12 4 3 3" xfId="29913"/>
    <cellStyle name="Normal 12 4 4" xfId="16076"/>
    <cellStyle name="Normal 12 4 4 2" xfId="37266"/>
    <cellStyle name="Normal 12 4 5" xfId="27170"/>
    <cellStyle name="Normal 12 4_Table 2A-1_EFT (Annual)" xfId="3136"/>
    <cellStyle name="Normal 12 5" xfId="1634"/>
    <cellStyle name="Normal 12 5 2" xfId="5195"/>
    <cellStyle name="Normal 12 5 2 2" xfId="16324"/>
    <cellStyle name="Normal 12 5 2 2 2" xfId="37513"/>
    <cellStyle name="Normal 12 5 2 3" xfId="30852"/>
    <cellStyle name="Normal 12 5 3" xfId="16126"/>
    <cellStyle name="Normal 12 5 3 2" xfId="37316"/>
    <cellStyle name="Normal 12 5 4" xfId="28109"/>
    <cellStyle name="Normal 12 5_Table 2A-1_EFT (Annual)" xfId="3138"/>
    <cellStyle name="Normal 12 6" xfId="3666"/>
    <cellStyle name="Normal 12 6 2" xfId="16224"/>
    <cellStyle name="Normal 12 6 2 2" xfId="37414"/>
    <cellStyle name="Normal 12 6 3" xfId="29376"/>
    <cellStyle name="Normal 12 7" xfId="16027"/>
    <cellStyle name="Normal 12 7 2" xfId="37217"/>
    <cellStyle name="Normal 12 8" xfId="26633"/>
    <cellStyle name="Normal 12 9" xfId="47821"/>
    <cellStyle name="Normal 12_Table 2A-1_EFT (Annual)" xfId="3123"/>
    <cellStyle name="Normal 13" xfId="253"/>
    <cellStyle name="Normal 14" xfId="252"/>
    <cellStyle name="Normal 14 2" xfId="843"/>
    <cellStyle name="Normal 14 2 2" xfId="2377"/>
    <cellStyle name="Normal 14 2 2 2" xfId="5938"/>
    <cellStyle name="Normal 14 2 2 2 2" xfId="16386"/>
    <cellStyle name="Normal 14 2 2 2 2 2" xfId="37575"/>
    <cellStyle name="Normal 14 2 2 2 3" xfId="31594"/>
    <cellStyle name="Normal 14 2 2 3" xfId="16188"/>
    <cellStyle name="Normal 14 2 2 3 2" xfId="37378"/>
    <cellStyle name="Normal 14 2 2 4" xfId="28851"/>
    <cellStyle name="Normal 14 2 2_Table 2A-1_EFT (Annual)" xfId="3141"/>
    <cellStyle name="Normal 14 2 3" xfId="4404"/>
    <cellStyle name="Normal 14 2 3 2" xfId="16286"/>
    <cellStyle name="Normal 14 2 3 2 2" xfId="37476"/>
    <cellStyle name="Normal 14 2 3 3" xfId="30061"/>
    <cellStyle name="Normal 14 2 4" xfId="16089"/>
    <cellStyle name="Normal 14 2 4 2" xfId="37279"/>
    <cellStyle name="Normal 14 2 5" xfId="27318"/>
    <cellStyle name="Normal 14 2_Table 2A-1_EFT (Annual)" xfId="3140"/>
    <cellStyle name="Normal 14 3" xfId="1678"/>
    <cellStyle name="Normal 14 3 2" xfId="5239"/>
    <cellStyle name="Normal 14 3 2 2" xfId="16337"/>
    <cellStyle name="Normal 14 3 2 2 2" xfId="37526"/>
    <cellStyle name="Normal 14 3 2 3" xfId="30896"/>
    <cellStyle name="Normal 14 3 3" xfId="16139"/>
    <cellStyle name="Normal 14 3 3 2" xfId="37329"/>
    <cellStyle name="Normal 14 3 4" xfId="28153"/>
    <cellStyle name="Normal 14 3_Table 2A-1_EFT (Annual)" xfId="3142"/>
    <cellStyle name="Normal 14 4" xfId="3841"/>
    <cellStyle name="Normal 14 4 2" xfId="16237"/>
    <cellStyle name="Normal 14 4 2 2" xfId="37427"/>
    <cellStyle name="Normal 14 4 3" xfId="29550"/>
    <cellStyle name="Normal 14 5" xfId="16040"/>
    <cellStyle name="Normal 14 5 2" xfId="37230"/>
    <cellStyle name="Normal 14 6" xfId="26807"/>
    <cellStyle name="Normal 14_Table 2A-1_EFT (Annual)" xfId="3139"/>
    <cellStyle name="Normal 15" xfId="657"/>
    <cellStyle name="Normal 15 2" xfId="2360"/>
    <cellStyle name="Normal 15_Table 2A-1_EFT (Annual)" xfId="15428"/>
    <cellStyle name="Normal 16" xfId="1621"/>
    <cellStyle name="Normal 16 2" xfId="5182"/>
    <cellStyle name="Normal 16 2 2" xfId="16312"/>
    <cellStyle name="Normal 16 2 2 2" xfId="37501"/>
    <cellStyle name="Normal 16 2 3" xfId="30839"/>
    <cellStyle name="Normal 16 3" xfId="16114"/>
    <cellStyle name="Normal 16 3 2" xfId="37304"/>
    <cellStyle name="Normal 16 4" xfId="28096"/>
    <cellStyle name="Normal 16_Table 2A-1_EFT (Annual)" xfId="3143"/>
    <cellStyle name="Normal 17" xfId="15971"/>
    <cellStyle name="Normal 17 2" xfId="16311"/>
    <cellStyle name="Normal 18" xfId="16412"/>
    <cellStyle name="Normal 18 2" xfId="26619"/>
    <cellStyle name="Normal 19" xfId="21525"/>
    <cellStyle name="Normal 19 2" xfId="16411"/>
    <cellStyle name="Normal 2" xfId="44"/>
    <cellStyle name="Normal 2 2" xfId="64"/>
    <cellStyle name="Normal 2 3" xfId="76"/>
    <cellStyle name="Normal 2 4" xfId="77"/>
    <cellStyle name="Normal 2_Table 2A-1_EFT (Annual)" xfId="3144"/>
    <cellStyle name="Normal 20" xfId="26618"/>
    <cellStyle name="Normal 20 2" xfId="26620"/>
    <cellStyle name="Normal 21" xfId="15970"/>
    <cellStyle name="Normal 21 2" xfId="37200"/>
    <cellStyle name="Normal 22" xfId="26621"/>
    <cellStyle name="Normal 23" xfId="47804"/>
    <cellStyle name="Normal 24" xfId="47823"/>
    <cellStyle name="Normal 3" xfId="53"/>
    <cellStyle name="Normal 4" xfId="60"/>
    <cellStyle name="Normal 4 2" xfId="104"/>
    <cellStyle name="Normal 4 2 2" xfId="335"/>
    <cellStyle name="Normal 4 2 2 2" xfId="879"/>
    <cellStyle name="Normal 4 2 2 2 2" xfId="2392"/>
    <cellStyle name="Normal 4 2 2 2 2 2" xfId="5953"/>
    <cellStyle name="Normal 4 2 2 2 2 2 2" xfId="16401"/>
    <cellStyle name="Normal 4 2 2 2 2 2 2 2" xfId="37590"/>
    <cellStyle name="Normal 4 2 2 2 2 2 3" xfId="31609"/>
    <cellStyle name="Normal 4 2 2 2 2 3" xfId="16203"/>
    <cellStyle name="Normal 4 2 2 2 2 3 2" xfId="37393"/>
    <cellStyle name="Normal 4 2 2 2 2 4" xfId="28866"/>
    <cellStyle name="Normal 4 2 2 2 2_Table 2A-1_EFT (Annual)" xfId="3149"/>
    <cellStyle name="Normal 4 2 2 2 3" xfId="4440"/>
    <cellStyle name="Normal 4 2 2 2 3 2" xfId="16301"/>
    <cellStyle name="Normal 4 2 2 2 3 2 2" xfId="37491"/>
    <cellStyle name="Normal 4 2 2 2 3 3" xfId="30097"/>
    <cellStyle name="Normal 4 2 2 2 4" xfId="16104"/>
    <cellStyle name="Normal 4 2 2 2 4 2" xfId="37294"/>
    <cellStyle name="Normal 4 2 2 2 5" xfId="27354"/>
    <cellStyle name="Normal 4 2 2 2_Table 2A-1_EFT (Annual)" xfId="3148"/>
    <cellStyle name="Normal 4 2 2 3" xfId="1700"/>
    <cellStyle name="Normal 4 2 2 3 2" xfId="5261"/>
    <cellStyle name="Normal 4 2 2 3 2 2" xfId="16352"/>
    <cellStyle name="Normal 4 2 2 3 2 2 2" xfId="37541"/>
    <cellStyle name="Normal 4 2 2 3 2 3" xfId="30918"/>
    <cellStyle name="Normal 4 2 2 3 3" xfId="16154"/>
    <cellStyle name="Normal 4 2 2 3 3 2" xfId="37344"/>
    <cellStyle name="Normal 4 2 2 3 4" xfId="28175"/>
    <cellStyle name="Normal 4 2 2 3_Table 2A-1_EFT (Annual)" xfId="3150"/>
    <cellStyle name="Normal 4 2 2 4" xfId="3905"/>
    <cellStyle name="Normal 4 2 2 4 2" xfId="16252"/>
    <cellStyle name="Normal 4 2 2 4 2 2" xfId="37442"/>
    <cellStyle name="Normal 4 2 2 4 3" xfId="29593"/>
    <cellStyle name="Normal 4 2 2 5" xfId="16055"/>
    <cellStyle name="Normal 4 2 2 5 2" xfId="37245"/>
    <cellStyle name="Normal 4 2 2 6" xfId="26850"/>
    <cellStyle name="Normal 4 2 2_Table 2A-1_EFT (Annual)" xfId="3147"/>
    <cellStyle name="Normal 4 2 3" xfId="720"/>
    <cellStyle name="Normal 4 2 3 2" xfId="2367"/>
    <cellStyle name="Normal 4 2 3 2 2" xfId="5928"/>
    <cellStyle name="Normal 4 2 3 2 2 2" xfId="16376"/>
    <cellStyle name="Normal 4 2 3 2 2 2 2" xfId="37565"/>
    <cellStyle name="Normal 4 2 3 2 2 3" xfId="31584"/>
    <cellStyle name="Normal 4 2 3 2 3" xfId="16178"/>
    <cellStyle name="Normal 4 2 3 2 3 2" xfId="37368"/>
    <cellStyle name="Normal 4 2 3 2 4" xfId="28841"/>
    <cellStyle name="Normal 4 2 3 2_Table 2A-1_EFT (Annual)" xfId="3152"/>
    <cellStyle name="Normal 4 2 3 3" xfId="4281"/>
    <cellStyle name="Normal 4 2 3 3 2" xfId="16276"/>
    <cellStyle name="Normal 4 2 3 3 2 2" xfId="37466"/>
    <cellStyle name="Normal 4 2 3 3 3" xfId="29938"/>
    <cellStyle name="Normal 4 2 3 4" xfId="16079"/>
    <cellStyle name="Normal 4 2 3 4 2" xfId="37269"/>
    <cellStyle name="Normal 4 2 3 5" xfId="27195"/>
    <cellStyle name="Normal 4 2 3_Table 2A-1_EFT (Annual)" xfId="3151"/>
    <cellStyle name="Normal 4 2 4" xfId="1643"/>
    <cellStyle name="Normal 4 2 4 2" xfId="5204"/>
    <cellStyle name="Normal 4 2 4 2 2" xfId="16327"/>
    <cellStyle name="Normal 4 2 4 2 2 2" xfId="37516"/>
    <cellStyle name="Normal 4 2 4 2 3" xfId="30861"/>
    <cellStyle name="Normal 4 2 4 3" xfId="16129"/>
    <cellStyle name="Normal 4 2 4 3 2" xfId="37319"/>
    <cellStyle name="Normal 4 2 4 4" xfId="28118"/>
    <cellStyle name="Normal 4 2 4_Table 2A-1_EFT (Annual)" xfId="3153"/>
    <cellStyle name="Normal 4 2 5" xfId="3693"/>
    <cellStyle name="Normal 4 2 5 2" xfId="16227"/>
    <cellStyle name="Normal 4 2 5 2 2" xfId="37417"/>
    <cellStyle name="Normal 4 2 5 3" xfId="29402"/>
    <cellStyle name="Normal 4 2 6" xfId="16030"/>
    <cellStyle name="Normal 4 2 6 2" xfId="37220"/>
    <cellStyle name="Normal 4 2 7" xfId="26659"/>
    <cellStyle name="Normal 4 2_Table 2A-1_EFT (Annual)" xfId="3146"/>
    <cellStyle name="Normal 4 3" xfId="300"/>
    <cellStyle name="Normal 4 3 2" xfId="850"/>
    <cellStyle name="Normal 4 3 2 2" xfId="2380"/>
    <cellStyle name="Normal 4 3 2 2 2" xfId="5941"/>
    <cellStyle name="Normal 4 3 2 2 2 2" xfId="16389"/>
    <cellStyle name="Normal 4 3 2 2 2 2 2" xfId="37578"/>
    <cellStyle name="Normal 4 3 2 2 2 3" xfId="31597"/>
    <cellStyle name="Normal 4 3 2 2 3" xfId="16191"/>
    <cellStyle name="Normal 4 3 2 2 3 2" xfId="37381"/>
    <cellStyle name="Normal 4 3 2 2 4" xfId="28854"/>
    <cellStyle name="Normal 4 3 2 2_Table 2A-1_EFT (Annual)" xfId="3156"/>
    <cellStyle name="Normal 4 3 2 3" xfId="4411"/>
    <cellStyle name="Normal 4 3 2 3 2" xfId="16289"/>
    <cellStyle name="Normal 4 3 2 3 2 2" xfId="37479"/>
    <cellStyle name="Normal 4 3 2 3 3" xfId="30068"/>
    <cellStyle name="Normal 4 3 2 4" xfId="16092"/>
    <cellStyle name="Normal 4 3 2 4 2" xfId="37282"/>
    <cellStyle name="Normal 4 3 2 5" xfId="27325"/>
    <cellStyle name="Normal 4 3 2_Table 2A-1_EFT (Annual)" xfId="3155"/>
    <cellStyle name="Normal 4 3 3" xfId="1682"/>
    <cellStyle name="Normal 4 3 3 2" xfId="5243"/>
    <cellStyle name="Normal 4 3 3 2 2" xfId="16340"/>
    <cellStyle name="Normal 4 3 3 2 2 2" xfId="37529"/>
    <cellStyle name="Normal 4 3 3 2 3" xfId="30900"/>
    <cellStyle name="Normal 4 3 3 3" xfId="16142"/>
    <cellStyle name="Normal 4 3 3 3 2" xfId="37332"/>
    <cellStyle name="Normal 4 3 3 4" xfId="28157"/>
    <cellStyle name="Normal 4 3 3_Table 2A-1_EFT (Annual)" xfId="3157"/>
    <cellStyle name="Normal 4 3 4" xfId="3870"/>
    <cellStyle name="Normal 4 3 4 2" xfId="16240"/>
    <cellStyle name="Normal 4 3 4 2 2" xfId="37430"/>
    <cellStyle name="Normal 4 3 4 3" xfId="29558"/>
    <cellStyle name="Normal 4 3 5" xfId="16043"/>
    <cellStyle name="Normal 4 3 5 2" xfId="37233"/>
    <cellStyle name="Normal 4 3 6" xfId="26815"/>
    <cellStyle name="Normal 4 3_Table 2A-1_EFT (Annual)" xfId="3154"/>
    <cellStyle name="Normal 4 4" xfId="646"/>
    <cellStyle name="Normal 4 4 2" xfId="1767"/>
    <cellStyle name="Normal 4 4 2 2" xfId="5328"/>
    <cellStyle name="Normal 4 4 2 2 2" xfId="16364"/>
    <cellStyle name="Normal 4 4 2 2 2 2" xfId="37553"/>
    <cellStyle name="Normal 4 4 2 2 3" xfId="30985"/>
    <cellStyle name="Normal 4 4 2 3" xfId="16166"/>
    <cellStyle name="Normal 4 4 2 3 2" xfId="37356"/>
    <cellStyle name="Normal 4 4 2 4" xfId="28242"/>
    <cellStyle name="Normal 4 4 2_Table 2A-1_EFT (Annual)" xfId="3159"/>
    <cellStyle name="Normal 4 4 3" xfId="4216"/>
    <cellStyle name="Normal 4 4 3 2" xfId="16264"/>
    <cellStyle name="Normal 4 4 3 2 2" xfId="37454"/>
    <cellStyle name="Normal 4 4 3 3" xfId="29904"/>
    <cellStyle name="Normal 4 4 4" xfId="16067"/>
    <cellStyle name="Normal 4 4 4 2" xfId="37257"/>
    <cellStyle name="Normal 4 4 5" xfId="27161"/>
    <cellStyle name="Normal 4 4_Table 2A-1_EFT (Annual)" xfId="3158"/>
    <cellStyle name="Normal 4 5" xfId="1625"/>
    <cellStyle name="Normal 4 5 2" xfId="5186"/>
    <cellStyle name="Normal 4 5 2 2" xfId="16315"/>
    <cellStyle name="Normal 4 5 2 2 2" xfId="37504"/>
    <cellStyle name="Normal 4 5 2 3" xfId="30843"/>
    <cellStyle name="Normal 4 5 3" xfId="16117"/>
    <cellStyle name="Normal 4 5 3 2" xfId="37307"/>
    <cellStyle name="Normal 4 5 4" xfId="28100"/>
    <cellStyle name="Normal 4 5_Table 2A-1_EFT (Annual)" xfId="3160"/>
    <cellStyle name="Normal 4 6" xfId="3651"/>
    <cellStyle name="Normal 4 6 2" xfId="16215"/>
    <cellStyle name="Normal 4 6 2 2" xfId="37405"/>
    <cellStyle name="Normal 4 6 3" xfId="29367"/>
    <cellStyle name="Normal 4 7" xfId="16018"/>
    <cellStyle name="Normal 4 7 2" xfId="37208"/>
    <cellStyle name="Normal 4 8" xfId="26624"/>
    <cellStyle name="Normal 4 9" xfId="47812"/>
    <cellStyle name="Normal 4_Table 2A-1_EFT (Annual)" xfId="3145"/>
    <cellStyle name="Normal 5" xfId="61"/>
    <cellStyle name="Normal 5 2" xfId="105"/>
    <cellStyle name="Normal 5 2 2" xfId="336"/>
    <cellStyle name="Normal 5 2 2 2" xfId="880"/>
    <cellStyle name="Normal 5 2 2 2 2" xfId="2393"/>
    <cellStyle name="Normal 5 2 2 2 2 2" xfId="5954"/>
    <cellStyle name="Normal 5 2 2 2 2 2 2" xfId="16402"/>
    <cellStyle name="Normal 5 2 2 2 2 2 2 2" xfId="37591"/>
    <cellStyle name="Normal 5 2 2 2 2 2 3" xfId="31610"/>
    <cellStyle name="Normal 5 2 2 2 2 3" xfId="16204"/>
    <cellStyle name="Normal 5 2 2 2 2 3 2" xfId="37394"/>
    <cellStyle name="Normal 5 2 2 2 2 4" xfId="28867"/>
    <cellStyle name="Normal 5 2 2 2 2_Table 2A-1_EFT (Annual)" xfId="3165"/>
    <cellStyle name="Normal 5 2 2 2 3" xfId="4441"/>
    <cellStyle name="Normal 5 2 2 2 3 2" xfId="16302"/>
    <cellStyle name="Normal 5 2 2 2 3 2 2" xfId="37492"/>
    <cellStyle name="Normal 5 2 2 2 3 3" xfId="30098"/>
    <cellStyle name="Normal 5 2 2 2 4" xfId="16105"/>
    <cellStyle name="Normal 5 2 2 2 4 2" xfId="37295"/>
    <cellStyle name="Normal 5 2 2 2 5" xfId="27355"/>
    <cellStyle name="Normal 5 2 2 2_Table 2A-1_EFT (Annual)" xfId="3164"/>
    <cellStyle name="Normal 5 2 2 3" xfId="1701"/>
    <cellStyle name="Normal 5 2 2 3 2" xfId="5262"/>
    <cellStyle name="Normal 5 2 2 3 2 2" xfId="16353"/>
    <cellStyle name="Normal 5 2 2 3 2 2 2" xfId="37542"/>
    <cellStyle name="Normal 5 2 2 3 2 3" xfId="30919"/>
    <cellStyle name="Normal 5 2 2 3 3" xfId="16155"/>
    <cellStyle name="Normal 5 2 2 3 3 2" xfId="37345"/>
    <cellStyle name="Normal 5 2 2 3 4" xfId="28176"/>
    <cellStyle name="Normal 5 2 2 3_Table 2A-1_EFT (Annual)" xfId="3166"/>
    <cellStyle name="Normal 5 2 2 4" xfId="3906"/>
    <cellStyle name="Normal 5 2 2 4 2" xfId="16253"/>
    <cellStyle name="Normal 5 2 2 4 2 2" xfId="37443"/>
    <cellStyle name="Normal 5 2 2 4 3" xfId="29594"/>
    <cellStyle name="Normal 5 2 2 5" xfId="16056"/>
    <cellStyle name="Normal 5 2 2 5 2" xfId="37246"/>
    <cellStyle name="Normal 5 2 2 6" xfId="26851"/>
    <cellStyle name="Normal 5 2 2_Table 2A-1_EFT (Annual)" xfId="3163"/>
    <cellStyle name="Normal 5 2 3" xfId="721"/>
    <cellStyle name="Normal 5 2 3 2" xfId="2368"/>
    <cellStyle name="Normal 5 2 3 2 2" xfId="5929"/>
    <cellStyle name="Normal 5 2 3 2 2 2" xfId="16377"/>
    <cellStyle name="Normal 5 2 3 2 2 2 2" xfId="37566"/>
    <cellStyle name="Normal 5 2 3 2 2 3" xfId="31585"/>
    <cellStyle name="Normal 5 2 3 2 3" xfId="16179"/>
    <cellStyle name="Normal 5 2 3 2 3 2" xfId="37369"/>
    <cellStyle name="Normal 5 2 3 2 4" xfId="28842"/>
    <cellStyle name="Normal 5 2 3 2_Table 2A-1_EFT (Annual)" xfId="3168"/>
    <cellStyle name="Normal 5 2 3 3" xfId="4282"/>
    <cellStyle name="Normal 5 2 3 3 2" xfId="16277"/>
    <cellStyle name="Normal 5 2 3 3 2 2" xfId="37467"/>
    <cellStyle name="Normal 5 2 3 3 3" xfId="29939"/>
    <cellStyle name="Normal 5 2 3 4" xfId="16080"/>
    <cellStyle name="Normal 5 2 3 4 2" xfId="37270"/>
    <cellStyle name="Normal 5 2 3 5" xfId="27196"/>
    <cellStyle name="Normal 5 2 3_Table 2A-1_EFT (Annual)" xfId="3167"/>
    <cellStyle name="Normal 5 2 4" xfId="1644"/>
    <cellStyle name="Normal 5 2 4 2" xfId="5205"/>
    <cellStyle name="Normal 5 2 4 2 2" xfId="16328"/>
    <cellStyle name="Normal 5 2 4 2 2 2" xfId="37517"/>
    <cellStyle name="Normal 5 2 4 2 3" xfId="30862"/>
    <cellStyle name="Normal 5 2 4 3" xfId="16130"/>
    <cellStyle name="Normal 5 2 4 3 2" xfId="37320"/>
    <cellStyle name="Normal 5 2 4 4" xfId="28119"/>
    <cellStyle name="Normal 5 2 4_Table 2A-1_EFT (Annual)" xfId="3169"/>
    <cellStyle name="Normal 5 2 5" xfId="3694"/>
    <cellStyle name="Normal 5 2 5 2" xfId="16228"/>
    <cellStyle name="Normal 5 2 5 2 2" xfId="37418"/>
    <cellStyle name="Normal 5 2 5 3" xfId="29403"/>
    <cellStyle name="Normal 5 2 6" xfId="16031"/>
    <cellStyle name="Normal 5 2 6 2" xfId="37221"/>
    <cellStyle name="Normal 5 2 7" xfId="26660"/>
    <cellStyle name="Normal 5 2_Table 2A-1_EFT (Annual)" xfId="3162"/>
    <cellStyle name="Normal 5 3" xfId="301"/>
    <cellStyle name="Normal 5 3 2" xfId="851"/>
    <cellStyle name="Normal 5 3 2 2" xfId="2381"/>
    <cellStyle name="Normal 5 3 2 2 2" xfId="5942"/>
    <cellStyle name="Normal 5 3 2 2 2 2" xfId="16390"/>
    <cellStyle name="Normal 5 3 2 2 2 2 2" xfId="37579"/>
    <cellStyle name="Normal 5 3 2 2 2 3" xfId="31598"/>
    <cellStyle name="Normal 5 3 2 2 3" xfId="16192"/>
    <cellStyle name="Normal 5 3 2 2 3 2" xfId="37382"/>
    <cellStyle name="Normal 5 3 2 2 4" xfId="28855"/>
    <cellStyle name="Normal 5 3 2 2_Table 2A-1_EFT (Annual)" xfId="3172"/>
    <cellStyle name="Normal 5 3 2 3" xfId="4412"/>
    <cellStyle name="Normal 5 3 2 3 2" xfId="16290"/>
    <cellStyle name="Normal 5 3 2 3 2 2" xfId="37480"/>
    <cellStyle name="Normal 5 3 2 3 3" xfId="30069"/>
    <cellStyle name="Normal 5 3 2 4" xfId="16093"/>
    <cellStyle name="Normal 5 3 2 4 2" xfId="37283"/>
    <cellStyle name="Normal 5 3 2 5" xfId="27326"/>
    <cellStyle name="Normal 5 3 2_Table 2A-1_EFT (Annual)" xfId="3171"/>
    <cellStyle name="Normal 5 3 3" xfId="1683"/>
    <cellStyle name="Normal 5 3 3 2" xfId="5244"/>
    <cellStyle name="Normal 5 3 3 2 2" xfId="16341"/>
    <cellStyle name="Normal 5 3 3 2 2 2" xfId="37530"/>
    <cellStyle name="Normal 5 3 3 2 3" xfId="30901"/>
    <cellStyle name="Normal 5 3 3 3" xfId="16143"/>
    <cellStyle name="Normal 5 3 3 3 2" xfId="37333"/>
    <cellStyle name="Normal 5 3 3 4" xfId="28158"/>
    <cellStyle name="Normal 5 3 3_Table 2A-1_EFT (Annual)" xfId="3173"/>
    <cellStyle name="Normal 5 3 4" xfId="3871"/>
    <cellStyle name="Normal 5 3 4 2" xfId="16241"/>
    <cellStyle name="Normal 5 3 4 2 2" xfId="37431"/>
    <cellStyle name="Normal 5 3 4 3" xfId="29559"/>
    <cellStyle name="Normal 5 3 5" xfId="16044"/>
    <cellStyle name="Normal 5 3 5 2" xfId="37234"/>
    <cellStyle name="Normal 5 3 6" xfId="26816"/>
    <cellStyle name="Normal 5 3_Table 2A-1_EFT (Annual)" xfId="3170"/>
    <cellStyle name="Normal 5 4" xfId="647"/>
    <cellStyle name="Normal 5 4 2" xfId="1768"/>
    <cellStyle name="Normal 5 4 2 2" xfId="5329"/>
    <cellStyle name="Normal 5 4 2 2 2" xfId="16365"/>
    <cellStyle name="Normal 5 4 2 2 2 2" xfId="37554"/>
    <cellStyle name="Normal 5 4 2 2 3" xfId="30986"/>
    <cellStyle name="Normal 5 4 2 3" xfId="16167"/>
    <cellStyle name="Normal 5 4 2 3 2" xfId="37357"/>
    <cellStyle name="Normal 5 4 2 4" xfId="28243"/>
    <cellStyle name="Normal 5 4 2_Table 2A-1_EFT (Annual)" xfId="3175"/>
    <cellStyle name="Normal 5 4 3" xfId="4217"/>
    <cellStyle name="Normal 5 4 3 2" xfId="16265"/>
    <cellStyle name="Normal 5 4 3 2 2" xfId="37455"/>
    <cellStyle name="Normal 5 4 3 3" xfId="29905"/>
    <cellStyle name="Normal 5 4 4" xfId="16068"/>
    <cellStyle name="Normal 5 4 4 2" xfId="37258"/>
    <cellStyle name="Normal 5 4 5" xfId="27162"/>
    <cellStyle name="Normal 5 4_Table 2A-1_EFT (Annual)" xfId="3174"/>
    <cellStyle name="Normal 5 5" xfId="1626"/>
    <cellStyle name="Normal 5 5 2" xfId="5187"/>
    <cellStyle name="Normal 5 5 2 2" xfId="16316"/>
    <cellStyle name="Normal 5 5 2 2 2" xfId="37505"/>
    <cellStyle name="Normal 5 5 2 3" xfId="30844"/>
    <cellStyle name="Normal 5 5 3" xfId="16118"/>
    <cellStyle name="Normal 5 5 3 2" xfId="37308"/>
    <cellStyle name="Normal 5 5 4" xfId="28101"/>
    <cellStyle name="Normal 5 5_Table 2A-1_EFT (Annual)" xfId="3176"/>
    <cellStyle name="Normal 5 6" xfId="3652"/>
    <cellStyle name="Normal 5 6 2" xfId="16216"/>
    <cellStyle name="Normal 5 6 2 2" xfId="37406"/>
    <cellStyle name="Normal 5 6 3" xfId="29368"/>
    <cellStyle name="Normal 5 7" xfId="16019"/>
    <cellStyle name="Normal 5 7 2" xfId="37209"/>
    <cellStyle name="Normal 5 8" xfId="26625"/>
    <cellStyle name="Normal 5 9" xfId="47813"/>
    <cellStyle name="Normal 5_Table 2A-1_EFT (Annual)" xfId="3161"/>
    <cellStyle name="Normal 6" xfId="62"/>
    <cellStyle name="Normal 6 2" xfId="106"/>
    <cellStyle name="Normal 6 2 2" xfId="337"/>
    <cellStyle name="Normal 6 2 2 2" xfId="881"/>
    <cellStyle name="Normal 6 2 2 2 2" xfId="2394"/>
    <cellStyle name="Normal 6 2 2 2 2 2" xfId="5955"/>
    <cellStyle name="Normal 6 2 2 2 2 2 2" xfId="16403"/>
    <cellStyle name="Normal 6 2 2 2 2 2 2 2" xfId="37592"/>
    <cellStyle name="Normal 6 2 2 2 2 2 3" xfId="31611"/>
    <cellStyle name="Normal 6 2 2 2 2 3" xfId="16205"/>
    <cellStyle name="Normal 6 2 2 2 2 3 2" xfId="37395"/>
    <cellStyle name="Normal 6 2 2 2 2 4" xfId="28868"/>
    <cellStyle name="Normal 6 2 2 2 2_Table 2A-1_EFT (Annual)" xfId="3181"/>
    <cellStyle name="Normal 6 2 2 2 3" xfId="4442"/>
    <cellStyle name="Normal 6 2 2 2 3 2" xfId="16303"/>
    <cellStyle name="Normal 6 2 2 2 3 2 2" xfId="37493"/>
    <cellStyle name="Normal 6 2 2 2 3 3" xfId="30099"/>
    <cellStyle name="Normal 6 2 2 2 4" xfId="16106"/>
    <cellStyle name="Normal 6 2 2 2 4 2" xfId="37296"/>
    <cellStyle name="Normal 6 2 2 2 5" xfId="27356"/>
    <cellStyle name="Normal 6 2 2 2_Table 2A-1_EFT (Annual)" xfId="3180"/>
    <cellStyle name="Normal 6 2 2 3" xfId="1702"/>
    <cellStyle name="Normal 6 2 2 3 2" xfId="5263"/>
    <cellStyle name="Normal 6 2 2 3 2 2" xfId="16354"/>
    <cellStyle name="Normal 6 2 2 3 2 2 2" xfId="37543"/>
    <cellStyle name="Normal 6 2 2 3 2 3" xfId="30920"/>
    <cellStyle name="Normal 6 2 2 3 3" xfId="16156"/>
    <cellStyle name="Normal 6 2 2 3 3 2" xfId="37346"/>
    <cellStyle name="Normal 6 2 2 3 4" xfId="28177"/>
    <cellStyle name="Normal 6 2 2 3_Table 2A-1_EFT (Annual)" xfId="3182"/>
    <cellStyle name="Normal 6 2 2 4" xfId="3907"/>
    <cellStyle name="Normal 6 2 2 4 2" xfId="16254"/>
    <cellStyle name="Normal 6 2 2 4 2 2" xfId="37444"/>
    <cellStyle name="Normal 6 2 2 4 3" xfId="29595"/>
    <cellStyle name="Normal 6 2 2 5" xfId="16057"/>
    <cellStyle name="Normal 6 2 2 5 2" xfId="37247"/>
    <cellStyle name="Normal 6 2 2 6" xfId="26852"/>
    <cellStyle name="Normal 6 2 2_Table 2A-1_EFT (Annual)" xfId="3179"/>
    <cellStyle name="Normal 6 2 3" xfId="722"/>
    <cellStyle name="Normal 6 2 3 2" xfId="2369"/>
    <cellStyle name="Normal 6 2 3 2 2" xfId="5930"/>
    <cellStyle name="Normal 6 2 3 2 2 2" xfId="16378"/>
    <cellStyle name="Normal 6 2 3 2 2 2 2" xfId="37567"/>
    <cellStyle name="Normal 6 2 3 2 2 3" xfId="31586"/>
    <cellStyle name="Normal 6 2 3 2 3" xfId="16180"/>
    <cellStyle name="Normal 6 2 3 2 3 2" xfId="37370"/>
    <cellStyle name="Normal 6 2 3 2 4" xfId="28843"/>
    <cellStyle name="Normal 6 2 3 2_Table 2A-1_EFT (Annual)" xfId="3184"/>
    <cellStyle name="Normal 6 2 3 3" xfId="4283"/>
    <cellStyle name="Normal 6 2 3 3 2" xfId="16278"/>
    <cellStyle name="Normal 6 2 3 3 2 2" xfId="37468"/>
    <cellStyle name="Normal 6 2 3 3 3" xfId="29940"/>
    <cellStyle name="Normal 6 2 3 4" xfId="16081"/>
    <cellStyle name="Normal 6 2 3 4 2" xfId="37271"/>
    <cellStyle name="Normal 6 2 3 5" xfId="27197"/>
    <cellStyle name="Normal 6 2 3_Table 2A-1_EFT (Annual)" xfId="3183"/>
    <cellStyle name="Normal 6 2 4" xfId="1645"/>
    <cellStyle name="Normal 6 2 4 2" xfId="5206"/>
    <cellStyle name="Normal 6 2 4 2 2" xfId="16329"/>
    <cellStyle name="Normal 6 2 4 2 2 2" xfId="37518"/>
    <cellStyle name="Normal 6 2 4 2 3" xfId="30863"/>
    <cellStyle name="Normal 6 2 4 3" xfId="16131"/>
    <cellStyle name="Normal 6 2 4 3 2" xfId="37321"/>
    <cellStyle name="Normal 6 2 4 4" xfId="28120"/>
    <cellStyle name="Normal 6 2 4_Table 2A-1_EFT (Annual)" xfId="3185"/>
    <cellStyle name="Normal 6 2 5" xfId="3695"/>
    <cellStyle name="Normal 6 2 5 2" xfId="16229"/>
    <cellStyle name="Normal 6 2 5 2 2" xfId="37419"/>
    <cellStyle name="Normal 6 2 5 3" xfId="29404"/>
    <cellStyle name="Normal 6 2 6" xfId="16032"/>
    <cellStyle name="Normal 6 2 6 2" xfId="37222"/>
    <cellStyle name="Normal 6 2 7" xfId="26661"/>
    <cellStyle name="Normal 6 2_Table 2A-1_EFT (Annual)" xfId="3178"/>
    <cellStyle name="Normal 6 3" xfId="302"/>
    <cellStyle name="Normal 6 3 2" xfId="852"/>
    <cellStyle name="Normal 6 3 2 2" xfId="2382"/>
    <cellStyle name="Normal 6 3 2 2 2" xfId="5943"/>
    <cellStyle name="Normal 6 3 2 2 2 2" xfId="16391"/>
    <cellStyle name="Normal 6 3 2 2 2 2 2" xfId="37580"/>
    <cellStyle name="Normal 6 3 2 2 2 3" xfId="31599"/>
    <cellStyle name="Normal 6 3 2 2 3" xfId="16193"/>
    <cellStyle name="Normal 6 3 2 2 3 2" xfId="37383"/>
    <cellStyle name="Normal 6 3 2 2 4" xfId="28856"/>
    <cellStyle name="Normal 6 3 2 2_Table 2A-1_EFT (Annual)" xfId="3188"/>
    <cellStyle name="Normal 6 3 2 3" xfId="4413"/>
    <cellStyle name="Normal 6 3 2 3 2" xfId="16291"/>
    <cellStyle name="Normal 6 3 2 3 2 2" xfId="37481"/>
    <cellStyle name="Normal 6 3 2 3 3" xfId="30070"/>
    <cellStyle name="Normal 6 3 2 4" xfId="16094"/>
    <cellStyle name="Normal 6 3 2 4 2" xfId="37284"/>
    <cellStyle name="Normal 6 3 2 5" xfId="27327"/>
    <cellStyle name="Normal 6 3 2_Table 2A-1_EFT (Annual)" xfId="3187"/>
    <cellStyle name="Normal 6 3 3" xfId="1684"/>
    <cellStyle name="Normal 6 3 3 2" xfId="5245"/>
    <cellStyle name="Normal 6 3 3 2 2" xfId="16342"/>
    <cellStyle name="Normal 6 3 3 2 2 2" xfId="37531"/>
    <cellStyle name="Normal 6 3 3 2 3" xfId="30902"/>
    <cellStyle name="Normal 6 3 3 3" xfId="16144"/>
    <cellStyle name="Normal 6 3 3 3 2" xfId="37334"/>
    <cellStyle name="Normal 6 3 3 4" xfId="28159"/>
    <cellStyle name="Normal 6 3 3_Table 2A-1_EFT (Annual)" xfId="3189"/>
    <cellStyle name="Normal 6 3 4" xfId="3872"/>
    <cellStyle name="Normal 6 3 4 2" xfId="16242"/>
    <cellStyle name="Normal 6 3 4 2 2" xfId="37432"/>
    <cellStyle name="Normal 6 3 4 3" xfId="29560"/>
    <cellStyle name="Normal 6 3 5" xfId="16045"/>
    <cellStyle name="Normal 6 3 5 2" xfId="37235"/>
    <cellStyle name="Normal 6 3 6" xfId="26817"/>
    <cellStyle name="Normal 6 3_Table 2A-1_EFT (Annual)" xfId="3186"/>
    <cellStyle name="Normal 6 4" xfId="648"/>
    <cellStyle name="Normal 6 4 2" xfId="1769"/>
    <cellStyle name="Normal 6 4 2 2" xfId="5330"/>
    <cellStyle name="Normal 6 4 2 2 2" xfId="16366"/>
    <cellStyle name="Normal 6 4 2 2 2 2" xfId="37555"/>
    <cellStyle name="Normal 6 4 2 2 3" xfId="30987"/>
    <cellStyle name="Normal 6 4 2 3" xfId="16168"/>
    <cellStyle name="Normal 6 4 2 3 2" xfId="37358"/>
    <cellStyle name="Normal 6 4 2 4" xfId="28244"/>
    <cellStyle name="Normal 6 4 2_Table 2A-1_EFT (Annual)" xfId="3191"/>
    <cellStyle name="Normal 6 4 3" xfId="4218"/>
    <cellStyle name="Normal 6 4 3 2" xfId="16266"/>
    <cellStyle name="Normal 6 4 3 2 2" xfId="37456"/>
    <cellStyle name="Normal 6 4 3 3" xfId="29906"/>
    <cellStyle name="Normal 6 4 4" xfId="16069"/>
    <cellStyle name="Normal 6 4 4 2" xfId="37259"/>
    <cellStyle name="Normal 6 4 5" xfId="27163"/>
    <cellStyle name="Normal 6 4_Table 2A-1_EFT (Annual)" xfId="3190"/>
    <cellStyle name="Normal 6 5" xfId="1627"/>
    <cellStyle name="Normal 6 5 2" xfId="5188"/>
    <cellStyle name="Normal 6 5 2 2" xfId="16317"/>
    <cellStyle name="Normal 6 5 2 2 2" xfId="37506"/>
    <cellStyle name="Normal 6 5 2 3" xfId="30845"/>
    <cellStyle name="Normal 6 5 3" xfId="16119"/>
    <cellStyle name="Normal 6 5 3 2" xfId="37309"/>
    <cellStyle name="Normal 6 5 4" xfId="28102"/>
    <cellStyle name="Normal 6 5_Table 2A-1_EFT (Annual)" xfId="3192"/>
    <cellStyle name="Normal 6 6" xfId="3653"/>
    <cellStyle name="Normal 6 6 2" xfId="16217"/>
    <cellStyle name="Normal 6 6 2 2" xfId="37407"/>
    <cellStyle name="Normal 6 6 3" xfId="29369"/>
    <cellStyle name="Normal 6 7" xfId="16020"/>
    <cellStyle name="Normal 6 7 2" xfId="37210"/>
    <cellStyle name="Normal 6 8" xfId="26626"/>
    <cellStyle name="Normal 6 9" xfId="47814"/>
    <cellStyle name="Normal 6_Table 2A-1_EFT (Annual)" xfId="3177"/>
    <cellStyle name="Normal 7" xfId="69"/>
    <cellStyle name="Normal 7 2" xfId="224"/>
    <cellStyle name="Normal 7 2 2" xfId="451"/>
    <cellStyle name="Normal 7 2 2 2" xfId="975"/>
    <cellStyle name="Normal 7 2 2 2 2" xfId="2397"/>
    <cellStyle name="Normal 7 2 2 2 2 2" xfId="5958"/>
    <cellStyle name="Normal 7 2 2 2 2 2 2" xfId="16406"/>
    <cellStyle name="Normal 7 2 2 2 2 2 2 2" xfId="37595"/>
    <cellStyle name="Normal 7 2 2 2 2 2 3" xfId="31614"/>
    <cellStyle name="Normal 7 2 2 2 2 3" xfId="16208"/>
    <cellStyle name="Normal 7 2 2 2 2 3 2" xfId="37398"/>
    <cellStyle name="Normal 7 2 2 2 2 4" xfId="28871"/>
    <cellStyle name="Normal 7 2 2 2 2_Table 2A-1_EFT (Annual)" xfId="3197"/>
    <cellStyle name="Normal 7 2 2 2 3" xfId="4536"/>
    <cellStyle name="Normal 7 2 2 2 3 2" xfId="16306"/>
    <cellStyle name="Normal 7 2 2 2 3 2 2" xfId="37496"/>
    <cellStyle name="Normal 7 2 2 2 3 3" xfId="30193"/>
    <cellStyle name="Normal 7 2 2 2 4" xfId="16109"/>
    <cellStyle name="Normal 7 2 2 2 4 2" xfId="37299"/>
    <cellStyle name="Normal 7 2 2 2 5" xfId="27450"/>
    <cellStyle name="Normal 7 2 2 2_Table 2A-1_EFT (Annual)" xfId="3196"/>
    <cellStyle name="Normal 7 2 2 3" xfId="1725"/>
    <cellStyle name="Normal 7 2 2 3 2" xfId="5286"/>
    <cellStyle name="Normal 7 2 2 3 2 2" xfId="16357"/>
    <cellStyle name="Normal 7 2 2 3 2 2 2" xfId="37546"/>
    <cellStyle name="Normal 7 2 2 3 2 3" xfId="30943"/>
    <cellStyle name="Normal 7 2 2 3 3" xfId="16159"/>
    <cellStyle name="Normal 7 2 2 3 3 2" xfId="37349"/>
    <cellStyle name="Normal 7 2 2 3 4" xfId="28200"/>
    <cellStyle name="Normal 7 2 2 3_Table 2A-1_EFT (Annual)" xfId="3198"/>
    <cellStyle name="Normal 7 2 2 4" xfId="4021"/>
    <cellStyle name="Normal 7 2 2 4 2" xfId="16257"/>
    <cellStyle name="Normal 7 2 2 4 2 2" xfId="37447"/>
    <cellStyle name="Normal 7 2 2 4 3" xfId="29709"/>
    <cellStyle name="Normal 7 2 2 5" xfId="16060"/>
    <cellStyle name="Normal 7 2 2 5 2" xfId="37250"/>
    <cellStyle name="Normal 7 2 2 6" xfId="26966"/>
    <cellStyle name="Normal 7 2 2_Table 2A-1_EFT (Annual)" xfId="3195"/>
    <cellStyle name="Normal 7 2 3" xfId="819"/>
    <cellStyle name="Normal 7 2 3 2" xfId="2372"/>
    <cellStyle name="Normal 7 2 3 2 2" xfId="5933"/>
    <cellStyle name="Normal 7 2 3 2 2 2" xfId="16381"/>
    <cellStyle name="Normal 7 2 3 2 2 2 2" xfId="37570"/>
    <cellStyle name="Normal 7 2 3 2 2 3" xfId="31589"/>
    <cellStyle name="Normal 7 2 3 2 3" xfId="16183"/>
    <cellStyle name="Normal 7 2 3 2 3 2" xfId="37373"/>
    <cellStyle name="Normal 7 2 3 2 4" xfId="28846"/>
    <cellStyle name="Normal 7 2 3 2_Table 2A-1_EFT (Annual)" xfId="3200"/>
    <cellStyle name="Normal 7 2 3 3" xfId="4380"/>
    <cellStyle name="Normal 7 2 3 3 2" xfId="16281"/>
    <cellStyle name="Normal 7 2 3 3 2 2" xfId="37471"/>
    <cellStyle name="Normal 7 2 3 3 3" xfId="30037"/>
    <cellStyle name="Normal 7 2 3 4" xfId="16084"/>
    <cellStyle name="Normal 7 2 3 4 2" xfId="37274"/>
    <cellStyle name="Normal 7 2 3 5" xfId="27294"/>
    <cellStyle name="Normal 7 2 3_Table 2A-1_EFT (Annual)" xfId="3199"/>
    <cellStyle name="Normal 7 2 4" xfId="1669"/>
    <cellStyle name="Normal 7 2 4 2" xfId="5230"/>
    <cellStyle name="Normal 7 2 4 2 2" xfId="16332"/>
    <cellStyle name="Normal 7 2 4 2 2 2" xfId="37521"/>
    <cellStyle name="Normal 7 2 4 2 3" xfId="30887"/>
    <cellStyle name="Normal 7 2 4 3" xfId="16134"/>
    <cellStyle name="Normal 7 2 4 3 2" xfId="37324"/>
    <cellStyle name="Normal 7 2 4 4" xfId="28144"/>
    <cellStyle name="Normal 7 2 4_Table 2A-1_EFT (Annual)" xfId="3201"/>
    <cellStyle name="Normal 7 2 5" xfId="3813"/>
    <cellStyle name="Normal 7 2 5 2" xfId="16232"/>
    <cellStyle name="Normal 7 2 5 2 2" xfId="37422"/>
    <cellStyle name="Normal 7 2 5 3" xfId="29522"/>
    <cellStyle name="Normal 7 2 6" xfId="16035"/>
    <cellStyle name="Normal 7 2 6 2" xfId="37225"/>
    <cellStyle name="Normal 7 2 7" xfId="26779"/>
    <cellStyle name="Normal 7 2_Table 2A-1_EFT (Annual)" xfId="3194"/>
    <cellStyle name="Normal 7 3" xfId="305"/>
    <cellStyle name="Normal 7 3 2" xfId="855"/>
    <cellStyle name="Normal 7 3 2 2" xfId="2385"/>
    <cellStyle name="Normal 7 3 2 2 2" xfId="5946"/>
    <cellStyle name="Normal 7 3 2 2 2 2" xfId="16394"/>
    <cellStyle name="Normal 7 3 2 2 2 2 2" xfId="37583"/>
    <cellStyle name="Normal 7 3 2 2 2 3" xfId="31602"/>
    <cellStyle name="Normal 7 3 2 2 3" xfId="16196"/>
    <cellStyle name="Normal 7 3 2 2 3 2" xfId="37386"/>
    <cellStyle name="Normal 7 3 2 2 4" xfId="28859"/>
    <cellStyle name="Normal 7 3 2 2_Table 2A-1_EFT (Annual)" xfId="3204"/>
    <cellStyle name="Normal 7 3 2 3" xfId="4416"/>
    <cellStyle name="Normal 7 3 2 3 2" xfId="16294"/>
    <cellStyle name="Normal 7 3 2 3 2 2" xfId="37484"/>
    <cellStyle name="Normal 7 3 2 3 3" xfId="30073"/>
    <cellStyle name="Normal 7 3 2 4" xfId="16097"/>
    <cellStyle name="Normal 7 3 2 4 2" xfId="37287"/>
    <cellStyle name="Normal 7 3 2 5" xfId="27330"/>
    <cellStyle name="Normal 7 3 2_Table 2A-1_EFT (Annual)" xfId="3203"/>
    <cellStyle name="Normal 7 3 3" xfId="1687"/>
    <cellStyle name="Normal 7 3 3 2" xfId="5248"/>
    <cellStyle name="Normal 7 3 3 2 2" xfId="16345"/>
    <cellStyle name="Normal 7 3 3 2 2 2" xfId="37534"/>
    <cellStyle name="Normal 7 3 3 2 3" xfId="30905"/>
    <cellStyle name="Normal 7 3 3 3" xfId="16147"/>
    <cellStyle name="Normal 7 3 3 3 2" xfId="37337"/>
    <cellStyle name="Normal 7 3 3 4" xfId="28162"/>
    <cellStyle name="Normal 7 3 3_Table 2A-1_EFT (Annual)" xfId="3205"/>
    <cellStyle name="Normal 7 3 4" xfId="3875"/>
    <cellStyle name="Normal 7 3 4 2" xfId="16245"/>
    <cellStyle name="Normal 7 3 4 2 2" xfId="37435"/>
    <cellStyle name="Normal 7 3 4 3" xfId="29563"/>
    <cellStyle name="Normal 7 3 5" xfId="16048"/>
    <cellStyle name="Normal 7 3 5 2" xfId="37238"/>
    <cellStyle name="Normal 7 3 6" xfId="26820"/>
    <cellStyle name="Normal 7 3_Table 2A-1_EFT (Annual)" xfId="3202"/>
    <cellStyle name="Normal 7 4" xfId="651"/>
    <cellStyle name="Normal 7 4 2" xfId="1772"/>
    <cellStyle name="Normal 7 4 2 2" xfId="5333"/>
    <cellStyle name="Normal 7 4 2 2 2" xfId="16369"/>
    <cellStyle name="Normal 7 4 2 2 2 2" xfId="37558"/>
    <cellStyle name="Normal 7 4 2 2 3" xfId="30990"/>
    <cellStyle name="Normal 7 4 2 3" xfId="16171"/>
    <cellStyle name="Normal 7 4 2 3 2" xfId="37361"/>
    <cellStyle name="Normal 7 4 2 4" xfId="28247"/>
    <cellStyle name="Normal 7 4 2_Table 2A-1_EFT (Annual)" xfId="3207"/>
    <cellStyle name="Normal 7 4 3" xfId="4221"/>
    <cellStyle name="Normal 7 4 3 2" xfId="16269"/>
    <cellStyle name="Normal 7 4 3 2 2" xfId="37459"/>
    <cellStyle name="Normal 7 4 3 3" xfId="29909"/>
    <cellStyle name="Normal 7 4 4" xfId="16072"/>
    <cellStyle name="Normal 7 4 4 2" xfId="37262"/>
    <cellStyle name="Normal 7 4 5" xfId="27166"/>
    <cellStyle name="Normal 7 4_Table 2A-1_EFT (Annual)" xfId="3206"/>
    <cellStyle name="Normal 7 5" xfId="1630"/>
    <cellStyle name="Normal 7 5 2" xfId="5191"/>
    <cellStyle name="Normal 7 5 2 2" xfId="16320"/>
    <cellStyle name="Normal 7 5 2 2 2" xfId="37509"/>
    <cellStyle name="Normal 7 5 2 3" xfId="30848"/>
    <cellStyle name="Normal 7 5 3" xfId="16122"/>
    <cellStyle name="Normal 7 5 3 2" xfId="37312"/>
    <cellStyle name="Normal 7 5 4" xfId="28105"/>
    <cellStyle name="Normal 7 5_Table 2A-1_EFT (Annual)" xfId="3208"/>
    <cellStyle name="Normal 7 6" xfId="3660"/>
    <cellStyle name="Normal 7 6 2" xfId="16220"/>
    <cellStyle name="Normal 7 6 2 2" xfId="37410"/>
    <cellStyle name="Normal 7 6 3" xfId="29372"/>
    <cellStyle name="Normal 7 7" xfId="16023"/>
    <cellStyle name="Normal 7 7 2" xfId="37213"/>
    <cellStyle name="Normal 7 8" xfId="26629"/>
    <cellStyle name="Normal 7 9" xfId="47817"/>
    <cellStyle name="Normal 7_Table 2A-1_EFT (Annual)" xfId="3193"/>
    <cellStyle name="Normal 8" xfId="58"/>
    <cellStyle name="Normal 9" xfId="59"/>
    <cellStyle name="Normal 9 2" xfId="103"/>
    <cellStyle name="Normal 9 2 2" xfId="334"/>
    <cellStyle name="Normal 9 2 2 2" xfId="878"/>
    <cellStyle name="Normal 9 2 2 2 2" xfId="2391"/>
    <cellStyle name="Normal 9 2 2 2 2 2" xfId="5952"/>
    <cellStyle name="Normal 9 2 2 2 2 2 2" xfId="16400"/>
    <cellStyle name="Normal 9 2 2 2 2 2 2 2" xfId="37589"/>
    <cellStyle name="Normal 9 2 2 2 2 2 3" xfId="31608"/>
    <cellStyle name="Normal 9 2 2 2 2 3" xfId="16202"/>
    <cellStyle name="Normal 9 2 2 2 2 3 2" xfId="37392"/>
    <cellStyle name="Normal 9 2 2 2 2 4" xfId="28865"/>
    <cellStyle name="Normal 9 2 2 2 2_Table 2A-1_EFT (Annual)" xfId="3213"/>
    <cellStyle name="Normal 9 2 2 2 3" xfId="4439"/>
    <cellStyle name="Normal 9 2 2 2 3 2" xfId="16300"/>
    <cellStyle name="Normal 9 2 2 2 3 2 2" xfId="37490"/>
    <cellStyle name="Normal 9 2 2 2 3 3" xfId="30096"/>
    <cellStyle name="Normal 9 2 2 2 4" xfId="16103"/>
    <cellStyle name="Normal 9 2 2 2 4 2" xfId="37293"/>
    <cellStyle name="Normal 9 2 2 2 5" xfId="27353"/>
    <cellStyle name="Normal 9 2 2 2_Table 2A-1_EFT (Annual)" xfId="3212"/>
    <cellStyle name="Normal 9 2 2 3" xfId="1699"/>
    <cellStyle name="Normal 9 2 2 3 2" xfId="5260"/>
    <cellStyle name="Normal 9 2 2 3 2 2" xfId="16351"/>
    <cellStyle name="Normal 9 2 2 3 2 2 2" xfId="37540"/>
    <cellStyle name="Normal 9 2 2 3 2 3" xfId="30917"/>
    <cellStyle name="Normal 9 2 2 3 3" xfId="16153"/>
    <cellStyle name="Normal 9 2 2 3 3 2" xfId="37343"/>
    <cellStyle name="Normal 9 2 2 3 4" xfId="28174"/>
    <cellStyle name="Normal 9 2 2 3_Table 2A-1_EFT (Annual)" xfId="3214"/>
    <cellStyle name="Normal 9 2 2 4" xfId="3904"/>
    <cellStyle name="Normal 9 2 2 4 2" xfId="16251"/>
    <cellStyle name="Normal 9 2 2 4 2 2" xfId="37441"/>
    <cellStyle name="Normal 9 2 2 4 3" xfId="29592"/>
    <cellStyle name="Normal 9 2 2 5" xfId="16054"/>
    <cellStyle name="Normal 9 2 2 5 2" xfId="37244"/>
    <cellStyle name="Normal 9 2 2 6" xfId="26849"/>
    <cellStyle name="Normal 9 2 2_Table 2A-1_EFT (Annual)" xfId="3211"/>
    <cellStyle name="Normal 9 2 3" xfId="719"/>
    <cellStyle name="Normal 9 2 3 2" xfId="2366"/>
    <cellStyle name="Normal 9 2 3 2 2" xfId="5927"/>
    <cellStyle name="Normal 9 2 3 2 2 2" xfId="16375"/>
    <cellStyle name="Normal 9 2 3 2 2 2 2" xfId="37564"/>
    <cellStyle name="Normal 9 2 3 2 2 3" xfId="31583"/>
    <cellStyle name="Normal 9 2 3 2 3" xfId="16177"/>
    <cellStyle name="Normal 9 2 3 2 3 2" xfId="37367"/>
    <cellStyle name="Normal 9 2 3 2 4" xfId="28840"/>
    <cellStyle name="Normal 9 2 3 2_Table 2A-1_EFT (Annual)" xfId="3216"/>
    <cellStyle name="Normal 9 2 3 3" xfId="4280"/>
    <cellStyle name="Normal 9 2 3 3 2" xfId="16275"/>
    <cellStyle name="Normal 9 2 3 3 2 2" xfId="37465"/>
    <cellStyle name="Normal 9 2 3 3 3" xfId="29937"/>
    <cellStyle name="Normal 9 2 3 4" xfId="16078"/>
    <cellStyle name="Normal 9 2 3 4 2" xfId="37268"/>
    <cellStyle name="Normal 9 2 3 5" xfId="27194"/>
    <cellStyle name="Normal 9 2 3_Table 2A-1_EFT (Annual)" xfId="3215"/>
    <cellStyle name="Normal 9 2 4" xfId="1642"/>
    <cellStyle name="Normal 9 2 4 2" xfId="5203"/>
    <cellStyle name="Normal 9 2 4 2 2" xfId="16326"/>
    <cellStyle name="Normal 9 2 4 2 2 2" xfId="37515"/>
    <cellStyle name="Normal 9 2 4 2 3" xfId="30860"/>
    <cellStyle name="Normal 9 2 4 3" xfId="16128"/>
    <cellStyle name="Normal 9 2 4 3 2" xfId="37318"/>
    <cellStyle name="Normal 9 2 4 4" xfId="28117"/>
    <cellStyle name="Normal 9 2 4_Table 2A-1_EFT (Annual)" xfId="3217"/>
    <cellStyle name="Normal 9 2 5" xfId="3692"/>
    <cellStyle name="Normal 9 2 5 2" xfId="16226"/>
    <cellStyle name="Normal 9 2 5 2 2" xfId="37416"/>
    <cellStyle name="Normal 9 2 5 3" xfId="29401"/>
    <cellStyle name="Normal 9 2 6" xfId="16029"/>
    <cellStyle name="Normal 9 2 6 2" xfId="37219"/>
    <cellStyle name="Normal 9 2 7" xfId="26658"/>
    <cellStyle name="Normal 9 2_Table 2A-1_EFT (Annual)" xfId="3210"/>
    <cellStyle name="Normal 9 3" xfId="299"/>
    <cellStyle name="Normal 9 3 2" xfId="849"/>
    <cellStyle name="Normal 9 3 2 2" xfId="2379"/>
    <cellStyle name="Normal 9 3 2 2 2" xfId="5940"/>
    <cellStyle name="Normal 9 3 2 2 2 2" xfId="16388"/>
    <cellStyle name="Normal 9 3 2 2 2 2 2" xfId="37577"/>
    <cellStyle name="Normal 9 3 2 2 2 3" xfId="31596"/>
    <cellStyle name="Normal 9 3 2 2 3" xfId="16190"/>
    <cellStyle name="Normal 9 3 2 2 3 2" xfId="37380"/>
    <cellStyle name="Normal 9 3 2 2 4" xfId="28853"/>
    <cellStyle name="Normal 9 3 2 2_Table 2A-1_EFT (Annual)" xfId="3220"/>
    <cellStyle name="Normal 9 3 2 3" xfId="4410"/>
    <cellStyle name="Normal 9 3 2 3 2" xfId="16288"/>
    <cellStyle name="Normal 9 3 2 3 2 2" xfId="37478"/>
    <cellStyle name="Normal 9 3 2 3 3" xfId="30067"/>
    <cellStyle name="Normal 9 3 2 4" xfId="16091"/>
    <cellStyle name="Normal 9 3 2 4 2" xfId="37281"/>
    <cellStyle name="Normal 9 3 2 5" xfId="27324"/>
    <cellStyle name="Normal 9 3 2_Table 2A-1_EFT (Annual)" xfId="3219"/>
    <cellStyle name="Normal 9 3 3" xfId="1681"/>
    <cellStyle name="Normal 9 3 3 2" xfId="5242"/>
    <cellStyle name="Normal 9 3 3 2 2" xfId="16339"/>
    <cellStyle name="Normal 9 3 3 2 2 2" xfId="37528"/>
    <cellStyle name="Normal 9 3 3 2 3" xfId="30899"/>
    <cellStyle name="Normal 9 3 3 3" xfId="16141"/>
    <cellStyle name="Normal 9 3 3 3 2" xfId="37331"/>
    <cellStyle name="Normal 9 3 3 4" xfId="28156"/>
    <cellStyle name="Normal 9 3 3_Table 2A-1_EFT (Annual)" xfId="3221"/>
    <cellStyle name="Normal 9 3 4" xfId="3869"/>
    <cellStyle name="Normal 9 3 4 2" xfId="16239"/>
    <cellStyle name="Normal 9 3 4 2 2" xfId="37429"/>
    <cellStyle name="Normal 9 3 4 3" xfId="29557"/>
    <cellStyle name="Normal 9 3 5" xfId="16042"/>
    <cellStyle name="Normal 9 3 5 2" xfId="37232"/>
    <cellStyle name="Normal 9 3 6" xfId="26814"/>
    <cellStyle name="Normal 9 3_Table 2A-1_EFT (Annual)" xfId="3218"/>
    <cellStyle name="Normal 9 4" xfId="645"/>
    <cellStyle name="Normal 9 4 2" xfId="1766"/>
    <cellStyle name="Normal 9 4 2 2" xfId="5327"/>
    <cellStyle name="Normal 9 4 2 2 2" xfId="16363"/>
    <cellStyle name="Normal 9 4 2 2 2 2" xfId="37552"/>
    <cellStyle name="Normal 9 4 2 2 3" xfId="30984"/>
    <cellStyle name="Normal 9 4 2 3" xfId="16165"/>
    <cellStyle name="Normal 9 4 2 3 2" xfId="37355"/>
    <cellStyle name="Normal 9 4 2 4" xfId="28241"/>
    <cellStyle name="Normal 9 4 2_Table 2A-1_EFT (Annual)" xfId="3223"/>
    <cellStyle name="Normal 9 4 3" xfId="4215"/>
    <cellStyle name="Normal 9 4 3 2" xfId="16263"/>
    <cellStyle name="Normal 9 4 3 2 2" xfId="37453"/>
    <cellStyle name="Normal 9 4 3 3" xfId="29903"/>
    <cellStyle name="Normal 9 4 4" xfId="16066"/>
    <cellStyle name="Normal 9 4 4 2" xfId="37256"/>
    <cellStyle name="Normal 9 4 5" xfId="27160"/>
    <cellStyle name="Normal 9 4_Table 2A-1_EFT (Annual)" xfId="3222"/>
    <cellStyle name="Normal 9 5" xfId="1624"/>
    <cellStyle name="Normal 9 5 2" xfId="5185"/>
    <cellStyle name="Normal 9 5 2 2" xfId="16314"/>
    <cellStyle name="Normal 9 5 2 2 2" xfId="37503"/>
    <cellStyle name="Normal 9 5 2 3" xfId="30842"/>
    <cellStyle name="Normal 9 5 3" xfId="16116"/>
    <cellStyle name="Normal 9 5 3 2" xfId="37306"/>
    <cellStyle name="Normal 9 5 4" xfId="28099"/>
    <cellStyle name="Normal 9 5_Table 2A-1_EFT (Annual)" xfId="3224"/>
    <cellStyle name="Normal 9 6" xfId="3650"/>
    <cellStyle name="Normal 9 6 2" xfId="16214"/>
    <cellStyle name="Normal 9 6 2 2" xfId="37404"/>
    <cellStyle name="Normal 9 6 3" xfId="29366"/>
    <cellStyle name="Normal 9 7" xfId="16017"/>
    <cellStyle name="Normal 9 7 2" xfId="37207"/>
    <cellStyle name="Normal 9 8" xfId="26623"/>
    <cellStyle name="Normal 9 9" xfId="47811"/>
    <cellStyle name="Normal 9_Table 2A-1_EFT (Annual)" xfId="3209"/>
    <cellStyle name="Normal_Sheet1" xfId="45"/>
    <cellStyle name="Normal_Sheet1 2" xfId="71"/>
    <cellStyle name="Normal_Sheet1 3 2" xfId="70"/>
    <cellStyle name="Note" xfId="46" builtinId="10" customBuiltin="1"/>
    <cellStyle name="Note 10" xfId="136"/>
    <cellStyle name="Note 10 10" xfId="26691"/>
    <cellStyle name="Note 10 2" xfId="529"/>
    <cellStyle name="Note 10 2 2" xfId="1506"/>
    <cellStyle name="Note 10 2 2 2" xfId="2776"/>
    <cellStyle name="Note 10 2 2 2 2" xfId="6337"/>
    <cellStyle name="Note 10 2 2 2 2 2" xfId="14531"/>
    <cellStyle name="Note 10 2 2 2 2 2 2" xfId="26503"/>
    <cellStyle name="Note 10 2 2 2 2 2 2 2" xfId="47689"/>
    <cellStyle name="Note 10 2 2 2 2 2 3" xfId="37085"/>
    <cellStyle name="Note 10 2 2 2 2 3" xfId="21390"/>
    <cellStyle name="Note 10 2 2 2 2 3 2" xfId="42577"/>
    <cellStyle name="Note 10 2 2 2 2 4" xfId="31993"/>
    <cellStyle name="Note 10 2 2 2 2_Table 2A-1_EFT (Annual)" xfId="15429"/>
    <cellStyle name="Note 10 2 2 2 3" xfId="11873"/>
    <cellStyle name="Note 10 2 2 2 3 2" xfId="23957"/>
    <cellStyle name="Note 10 2 2 2 3 2 2" xfId="45143"/>
    <cellStyle name="Note 10 2 2 2 3 3" xfId="34539"/>
    <cellStyle name="Note 10 2 2 2 4" xfId="18844"/>
    <cellStyle name="Note 10 2 2 2 4 2" xfId="40031"/>
    <cellStyle name="Note 10 2 2 2 5" xfId="29250"/>
    <cellStyle name="Note 10 2 2 2_Table 2A-1_EFT (Annual)" xfId="7156"/>
    <cellStyle name="Note 10 2 2 3" xfId="5067"/>
    <cellStyle name="Note 10 2 2 3 2" xfId="13327"/>
    <cellStyle name="Note 10 2 2 3 2 2" xfId="25333"/>
    <cellStyle name="Note 10 2 2 3 2 2 2" xfId="46519"/>
    <cellStyle name="Note 10 2 2 3 2 3" xfId="35915"/>
    <cellStyle name="Note 10 2 2 3 3" xfId="20220"/>
    <cellStyle name="Note 10 2 2 3 3 2" xfId="41407"/>
    <cellStyle name="Note 10 2 2 3 4" xfId="30724"/>
    <cellStyle name="Note 10 2 2 3_Table 2A-1_EFT (Annual)" xfId="15430"/>
    <cellStyle name="Note 10 2 2 4" xfId="10671"/>
    <cellStyle name="Note 10 2 2 4 2" xfId="22787"/>
    <cellStyle name="Note 10 2 2 4 2 2" xfId="43973"/>
    <cellStyle name="Note 10 2 2 4 3" xfId="33369"/>
    <cellStyle name="Note 10 2 2 5" xfId="17674"/>
    <cellStyle name="Note 10 2 2 5 2" xfId="38861"/>
    <cellStyle name="Note 10 2 2 6" xfId="27981"/>
    <cellStyle name="Note 10 2 2_Table 2A-1_EFT (Annual)" xfId="7155"/>
    <cellStyle name="Note 10 2 3" xfId="1039"/>
    <cellStyle name="Note 10 2 3 2" xfId="4600"/>
    <cellStyle name="Note 10 2 3 2 2" xfId="12860"/>
    <cellStyle name="Note 10 2 3 2 2 2" xfId="24866"/>
    <cellStyle name="Note 10 2 3 2 2 2 2" xfId="46052"/>
    <cellStyle name="Note 10 2 3 2 2 3" xfId="35448"/>
    <cellStyle name="Note 10 2 3 2 3" xfId="19753"/>
    <cellStyle name="Note 10 2 3 2 3 2" xfId="40940"/>
    <cellStyle name="Note 10 2 3 2 4" xfId="30257"/>
    <cellStyle name="Note 10 2 3 2_Table 2A-1_EFT (Annual)" xfId="15431"/>
    <cellStyle name="Note 10 2 3 3" xfId="10204"/>
    <cellStyle name="Note 10 2 3 3 2" xfId="22320"/>
    <cellStyle name="Note 10 2 3 3 2 2" xfId="43506"/>
    <cellStyle name="Note 10 2 3 3 3" xfId="32902"/>
    <cellStyle name="Note 10 2 3 4" xfId="17207"/>
    <cellStyle name="Note 10 2 3 4 2" xfId="38394"/>
    <cellStyle name="Note 10 2 3 5" xfId="27514"/>
    <cellStyle name="Note 10 2 3_Table 2A-1_EFT (Annual)" xfId="7157"/>
    <cellStyle name="Note 10 2 4" xfId="2245"/>
    <cellStyle name="Note 10 2 4 2" xfId="5806"/>
    <cellStyle name="Note 10 2 4 2 2" xfId="14021"/>
    <cellStyle name="Note 10 2 4 2 2 2" xfId="26009"/>
    <cellStyle name="Note 10 2 4 2 2 2 2" xfId="47195"/>
    <cellStyle name="Note 10 2 4 2 2 3" xfId="36591"/>
    <cellStyle name="Note 10 2 4 2 3" xfId="20896"/>
    <cellStyle name="Note 10 2 4 2 3 2" xfId="42083"/>
    <cellStyle name="Note 10 2 4 2 4" xfId="31463"/>
    <cellStyle name="Note 10 2 4 2_Table 2A-1_EFT (Annual)" xfId="15432"/>
    <cellStyle name="Note 10 2 4 3" xfId="11365"/>
    <cellStyle name="Note 10 2 4 3 2" xfId="23463"/>
    <cellStyle name="Note 10 2 4 3 2 2" xfId="44649"/>
    <cellStyle name="Note 10 2 4 3 3" xfId="34045"/>
    <cellStyle name="Note 10 2 4 4" xfId="18350"/>
    <cellStyle name="Note 10 2 4 4 2" xfId="39537"/>
    <cellStyle name="Note 10 2 4 5" xfId="28720"/>
    <cellStyle name="Note 10 2 4_Table 2A-1_EFT (Annual)" xfId="7158"/>
    <cellStyle name="Note 10 2 5" xfId="4099"/>
    <cellStyle name="Note 10 2 5 2" xfId="12423"/>
    <cellStyle name="Note 10 2 5 2 2" xfId="24445"/>
    <cellStyle name="Note 10 2 5 2 2 2" xfId="45631"/>
    <cellStyle name="Note 10 2 5 2 3" xfId="35027"/>
    <cellStyle name="Note 10 2 5 3" xfId="19332"/>
    <cellStyle name="Note 10 2 5 3 2" xfId="40519"/>
    <cellStyle name="Note 10 2 5 4" xfId="29787"/>
    <cellStyle name="Note 10 2 5_Table 2A-1_EFT (Annual)" xfId="15433"/>
    <cellStyle name="Note 10 2 6" xfId="9762"/>
    <cellStyle name="Note 10 2 6 2" xfId="21899"/>
    <cellStyle name="Note 10 2 6 2 2" xfId="43085"/>
    <cellStyle name="Note 10 2 6 3" xfId="32481"/>
    <cellStyle name="Note 10 2 7" xfId="16786"/>
    <cellStyle name="Note 10 2 7 2" xfId="37973"/>
    <cellStyle name="Note 10 2 8" xfId="27044"/>
    <cellStyle name="Note 10 2_Table 2A-1_EFT (Annual)" xfId="3226"/>
    <cellStyle name="Note 10 3" xfId="367"/>
    <cellStyle name="Note 10 3 2" xfId="1350"/>
    <cellStyle name="Note 10 3 2 2" xfId="2620"/>
    <cellStyle name="Note 10 3 2 2 2" xfId="6181"/>
    <cellStyle name="Note 10 3 2 2 2 2" xfId="14375"/>
    <cellStyle name="Note 10 3 2 2 2 2 2" xfId="26347"/>
    <cellStyle name="Note 10 3 2 2 2 2 2 2" xfId="47533"/>
    <cellStyle name="Note 10 3 2 2 2 2 3" xfId="36929"/>
    <cellStyle name="Note 10 3 2 2 2 3" xfId="21234"/>
    <cellStyle name="Note 10 3 2 2 2 3 2" xfId="42421"/>
    <cellStyle name="Note 10 3 2 2 2 4" xfId="31837"/>
    <cellStyle name="Note 10 3 2 2 2_Table 2A-1_EFT (Annual)" xfId="15434"/>
    <cellStyle name="Note 10 3 2 2 3" xfId="11717"/>
    <cellStyle name="Note 10 3 2 2 3 2" xfId="23801"/>
    <cellStyle name="Note 10 3 2 2 3 2 2" xfId="44987"/>
    <cellStyle name="Note 10 3 2 2 3 3" xfId="34383"/>
    <cellStyle name="Note 10 3 2 2 4" xfId="18688"/>
    <cellStyle name="Note 10 3 2 2 4 2" xfId="39875"/>
    <cellStyle name="Note 10 3 2 2 5" xfId="29094"/>
    <cellStyle name="Note 10 3 2 2_Table 2A-1_EFT (Annual)" xfId="7160"/>
    <cellStyle name="Note 10 3 2 3" xfId="4911"/>
    <cellStyle name="Note 10 3 2 3 2" xfId="13171"/>
    <cellStyle name="Note 10 3 2 3 2 2" xfId="25177"/>
    <cellStyle name="Note 10 3 2 3 2 2 2" xfId="46363"/>
    <cellStyle name="Note 10 3 2 3 2 3" xfId="35759"/>
    <cellStyle name="Note 10 3 2 3 3" xfId="20064"/>
    <cellStyle name="Note 10 3 2 3 3 2" xfId="41251"/>
    <cellStyle name="Note 10 3 2 3 4" xfId="30568"/>
    <cellStyle name="Note 10 3 2 3_Table 2A-1_EFT (Annual)" xfId="15435"/>
    <cellStyle name="Note 10 3 2 4" xfId="10515"/>
    <cellStyle name="Note 10 3 2 4 2" xfId="22631"/>
    <cellStyle name="Note 10 3 2 4 2 2" xfId="43817"/>
    <cellStyle name="Note 10 3 2 4 3" xfId="33213"/>
    <cellStyle name="Note 10 3 2 5" xfId="17518"/>
    <cellStyle name="Note 10 3 2 5 2" xfId="38705"/>
    <cellStyle name="Note 10 3 2 6" xfId="27825"/>
    <cellStyle name="Note 10 3 2_Table 2A-1_EFT (Annual)" xfId="7159"/>
    <cellStyle name="Note 10 3 3" xfId="907"/>
    <cellStyle name="Note 10 3 3 2" xfId="4468"/>
    <cellStyle name="Note 10 3 3 2 2" xfId="12730"/>
    <cellStyle name="Note 10 3 3 2 2 2" xfId="24740"/>
    <cellStyle name="Note 10 3 3 2 2 2 2" xfId="45926"/>
    <cellStyle name="Note 10 3 3 2 2 3" xfId="35322"/>
    <cellStyle name="Note 10 3 3 2 3" xfId="19627"/>
    <cellStyle name="Note 10 3 3 2 3 2" xfId="40814"/>
    <cellStyle name="Note 10 3 3 2 4" xfId="30125"/>
    <cellStyle name="Note 10 3 3 2_Table 2A-1_EFT (Annual)" xfId="15436"/>
    <cellStyle name="Note 10 3 3 3" xfId="10077"/>
    <cellStyle name="Note 10 3 3 3 2" xfId="22194"/>
    <cellStyle name="Note 10 3 3 3 2 2" xfId="43380"/>
    <cellStyle name="Note 10 3 3 3 3" xfId="32776"/>
    <cellStyle name="Note 10 3 3 4" xfId="17081"/>
    <cellStyle name="Note 10 3 3 4 2" xfId="38268"/>
    <cellStyle name="Note 10 3 3 5" xfId="27382"/>
    <cellStyle name="Note 10 3 3_Table 2A-1_EFT (Annual)" xfId="7161"/>
    <cellStyle name="Note 10 3 4" xfId="2089"/>
    <cellStyle name="Note 10 3 4 2" xfId="5650"/>
    <cellStyle name="Note 10 3 4 2 2" xfId="13865"/>
    <cellStyle name="Note 10 3 4 2 2 2" xfId="25853"/>
    <cellStyle name="Note 10 3 4 2 2 2 2" xfId="47039"/>
    <cellStyle name="Note 10 3 4 2 2 3" xfId="36435"/>
    <cellStyle name="Note 10 3 4 2 3" xfId="20740"/>
    <cellStyle name="Note 10 3 4 2 3 2" xfId="41927"/>
    <cellStyle name="Note 10 3 4 2 4" xfId="31307"/>
    <cellStyle name="Note 10 3 4 2_Table 2A-1_EFT (Annual)" xfId="15437"/>
    <cellStyle name="Note 10 3 4 3" xfId="11209"/>
    <cellStyle name="Note 10 3 4 3 2" xfId="23307"/>
    <cellStyle name="Note 10 3 4 3 2 2" xfId="44493"/>
    <cellStyle name="Note 10 3 4 3 3" xfId="33889"/>
    <cellStyle name="Note 10 3 4 4" xfId="18194"/>
    <cellStyle name="Note 10 3 4 4 2" xfId="39381"/>
    <cellStyle name="Note 10 3 4 5" xfId="28564"/>
    <cellStyle name="Note 10 3 4_Table 2A-1_EFT (Annual)" xfId="7162"/>
    <cellStyle name="Note 10 3 5" xfId="3937"/>
    <cellStyle name="Note 10 3 5 2" xfId="12265"/>
    <cellStyle name="Note 10 3 5 2 2" xfId="24289"/>
    <cellStyle name="Note 10 3 5 2 2 2" xfId="45475"/>
    <cellStyle name="Note 10 3 5 2 3" xfId="34871"/>
    <cellStyle name="Note 10 3 5 3" xfId="19176"/>
    <cellStyle name="Note 10 3 5 3 2" xfId="40363"/>
    <cellStyle name="Note 10 3 5 4" xfId="29625"/>
    <cellStyle name="Note 10 3 5_Table 2A-1_EFT (Annual)" xfId="15438"/>
    <cellStyle name="Note 10 3 6" xfId="9602"/>
    <cellStyle name="Note 10 3 6 2" xfId="21743"/>
    <cellStyle name="Note 10 3 6 2 2" xfId="42929"/>
    <cellStyle name="Note 10 3 6 3" xfId="32325"/>
    <cellStyle name="Note 10 3 7" xfId="16630"/>
    <cellStyle name="Note 10 3 7 2" xfId="37817"/>
    <cellStyle name="Note 10 3 8" xfId="26882"/>
    <cellStyle name="Note 10 3_Table 2A-1_EFT (Annual)" xfId="3227"/>
    <cellStyle name="Note 10 4" xfId="1184"/>
    <cellStyle name="Note 10 4 2" xfId="2454"/>
    <cellStyle name="Note 10 4 2 2" xfId="6015"/>
    <cellStyle name="Note 10 4 2 2 2" xfId="14209"/>
    <cellStyle name="Note 10 4 2 2 2 2" xfId="26181"/>
    <cellStyle name="Note 10 4 2 2 2 2 2" xfId="47367"/>
    <cellStyle name="Note 10 4 2 2 2 3" xfId="36763"/>
    <cellStyle name="Note 10 4 2 2 3" xfId="21068"/>
    <cellStyle name="Note 10 4 2 2 3 2" xfId="42255"/>
    <cellStyle name="Note 10 4 2 2 4" xfId="31671"/>
    <cellStyle name="Note 10 4 2 2_Table 2A-1_EFT (Annual)" xfId="15439"/>
    <cellStyle name="Note 10 4 2 3" xfId="11551"/>
    <cellStyle name="Note 10 4 2 3 2" xfId="23635"/>
    <cellStyle name="Note 10 4 2 3 2 2" xfId="44821"/>
    <cellStyle name="Note 10 4 2 3 3" xfId="34217"/>
    <cellStyle name="Note 10 4 2 4" xfId="18522"/>
    <cellStyle name="Note 10 4 2 4 2" xfId="39709"/>
    <cellStyle name="Note 10 4 2 5" xfId="28928"/>
    <cellStyle name="Note 10 4 2_Table 2A-1_EFT (Annual)" xfId="7164"/>
    <cellStyle name="Note 10 4 3" xfId="4745"/>
    <cellStyle name="Note 10 4 3 2" xfId="13005"/>
    <cellStyle name="Note 10 4 3 2 2" xfId="25011"/>
    <cellStyle name="Note 10 4 3 2 2 2" xfId="46197"/>
    <cellStyle name="Note 10 4 3 2 3" xfId="35593"/>
    <cellStyle name="Note 10 4 3 3" xfId="19898"/>
    <cellStyle name="Note 10 4 3 3 2" xfId="41085"/>
    <cellStyle name="Note 10 4 3 4" xfId="30402"/>
    <cellStyle name="Note 10 4 3_Table 2A-1_EFT (Annual)" xfId="15440"/>
    <cellStyle name="Note 10 4 4" xfId="10349"/>
    <cellStyle name="Note 10 4 4 2" xfId="22465"/>
    <cellStyle name="Note 10 4 4 2 2" xfId="43651"/>
    <cellStyle name="Note 10 4 4 3" xfId="33047"/>
    <cellStyle name="Note 10 4 5" xfId="17352"/>
    <cellStyle name="Note 10 4 5 2" xfId="38539"/>
    <cellStyle name="Note 10 4 6" xfId="27659"/>
    <cellStyle name="Note 10 4_Table 2A-1_EFT (Annual)" xfId="7163"/>
    <cellStyle name="Note 10 5" xfId="748"/>
    <cellStyle name="Note 10 5 2" xfId="4309"/>
    <cellStyle name="Note 10 5 2 2" xfId="12589"/>
    <cellStyle name="Note 10 5 2 2 2" xfId="24606"/>
    <cellStyle name="Note 10 5 2 2 2 2" xfId="45792"/>
    <cellStyle name="Note 10 5 2 2 3" xfId="35188"/>
    <cellStyle name="Note 10 5 2 3" xfId="19493"/>
    <cellStyle name="Note 10 5 2 3 2" xfId="40680"/>
    <cellStyle name="Note 10 5 2 4" xfId="29966"/>
    <cellStyle name="Note 10 5 2_Table 2A-1_EFT (Annual)" xfId="15441"/>
    <cellStyle name="Note 10 5 3" xfId="9937"/>
    <cellStyle name="Note 10 5 3 2" xfId="22060"/>
    <cellStyle name="Note 10 5 3 2 2" xfId="43246"/>
    <cellStyle name="Note 10 5 3 3" xfId="32642"/>
    <cellStyle name="Note 10 5 4" xfId="16947"/>
    <cellStyle name="Note 10 5 4 2" xfId="38134"/>
    <cellStyle name="Note 10 5 5" xfId="27223"/>
    <cellStyle name="Note 10 5_Table 2A-1_EFT (Annual)" xfId="7165"/>
    <cellStyle name="Note 10 6" xfId="1856"/>
    <cellStyle name="Note 10 6 2" xfId="5417"/>
    <cellStyle name="Note 10 6 2 2" xfId="13632"/>
    <cellStyle name="Note 10 6 2 2 2" xfId="25620"/>
    <cellStyle name="Note 10 6 2 2 2 2" xfId="46806"/>
    <cellStyle name="Note 10 6 2 2 3" xfId="36202"/>
    <cellStyle name="Note 10 6 2 3" xfId="20507"/>
    <cellStyle name="Note 10 6 2 3 2" xfId="41694"/>
    <cellStyle name="Note 10 6 2 4" xfId="31074"/>
    <cellStyle name="Note 10 6 2_Table 2A-1_EFT (Annual)" xfId="15442"/>
    <cellStyle name="Note 10 6 3" xfId="10976"/>
    <cellStyle name="Note 10 6 3 2" xfId="23074"/>
    <cellStyle name="Note 10 6 3 2 2" xfId="44260"/>
    <cellStyle name="Note 10 6 3 3" xfId="33656"/>
    <cellStyle name="Note 10 6 4" xfId="17961"/>
    <cellStyle name="Note 10 6 4 2" xfId="39148"/>
    <cellStyle name="Note 10 6 5" xfId="28331"/>
    <cellStyle name="Note 10 6_Table 2A-1_EFT (Annual)" xfId="7166"/>
    <cellStyle name="Note 10 7" xfId="3725"/>
    <cellStyle name="Note 10 7 2" xfId="12093"/>
    <cellStyle name="Note 10 7 2 2" xfId="24123"/>
    <cellStyle name="Note 10 7 2 2 2" xfId="45309"/>
    <cellStyle name="Note 10 7 2 3" xfId="34705"/>
    <cellStyle name="Note 10 7 3" xfId="19010"/>
    <cellStyle name="Note 10 7 3 2" xfId="40197"/>
    <cellStyle name="Note 10 7 4" xfId="29434"/>
    <cellStyle name="Note 10 7_Table 2A-1_EFT (Annual)" xfId="15443"/>
    <cellStyle name="Note 10 8" xfId="9412"/>
    <cellStyle name="Note 10 8 2" xfId="21577"/>
    <cellStyle name="Note 10 8 2 2" xfId="42763"/>
    <cellStyle name="Note 10 8 3" xfId="32159"/>
    <cellStyle name="Note 10 9" xfId="16464"/>
    <cellStyle name="Note 10 9 2" xfId="37651"/>
    <cellStyle name="Note 10_Table 2A-1_EFT (Annual)" xfId="3225"/>
    <cellStyle name="Note 11" xfId="135"/>
    <cellStyle name="Note 11 10" xfId="26690"/>
    <cellStyle name="Note 11 2" xfId="528"/>
    <cellStyle name="Note 11 2 2" xfId="1505"/>
    <cellStyle name="Note 11 2 2 2" xfId="2775"/>
    <cellStyle name="Note 11 2 2 2 2" xfId="6336"/>
    <cellStyle name="Note 11 2 2 2 2 2" xfId="14530"/>
    <cellStyle name="Note 11 2 2 2 2 2 2" xfId="26502"/>
    <cellStyle name="Note 11 2 2 2 2 2 2 2" xfId="47688"/>
    <cellStyle name="Note 11 2 2 2 2 2 3" xfId="37084"/>
    <cellStyle name="Note 11 2 2 2 2 3" xfId="21389"/>
    <cellStyle name="Note 11 2 2 2 2 3 2" xfId="42576"/>
    <cellStyle name="Note 11 2 2 2 2 4" xfId="31992"/>
    <cellStyle name="Note 11 2 2 2 2_Table 2A-1_EFT (Annual)" xfId="15444"/>
    <cellStyle name="Note 11 2 2 2 3" xfId="11872"/>
    <cellStyle name="Note 11 2 2 2 3 2" xfId="23956"/>
    <cellStyle name="Note 11 2 2 2 3 2 2" xfId="45142"/>
    <cellStyle name="Note 11 2 2 2 3 3" xfId="34538"/>
    <cellStyle name="Note 11 2 2 2 4" xfId="18843"/>
    <cellStyle name="Note 11 2 2 2 4 2" xfId="40030"/>
    <cellStyle name="Note 11 2 2 2 5" xfId="29249"/>
    <cellStyle name="Note 11 2 2 2_Table 2A-1_EFT (Annual)" xfId="7168"/>
    <cellStyle name="Note 11 2 2 3" xfId="5066"/>
    <cellStyle name="Note 11 2 2 3 2" xfId="13326"/>
    <cellStyle name="Note 11 2 2 3 2 2" xfId="25332"/>
    <cellStyle name="Note 11 2 2 3 2 2 2" xfId="46518"/>
    <cellStyle name="Note 11 2 2 3 2 3" xfId="35914"/>
    <cellStyle name="Note 11 2 2 3 3" xfId="20219"/>
    <cellStyle name="Note 11 2 2 3 3 2" xfId="41406"/>
    <cellStyle name="Note 11 2 2 3 4" xfId="30723"/>
    <cellStyle name="Note 11 2 2 3_Table 2A-1_EFT (Annual)" xfId="15445"/>
    <cellStyle name="Note 11 2 2 4" xfId="10670"/>
    <cellStyle name="Note 11 2 2 4 2" xfId="22786"/>
    <cellStyle name="Note 11 2 2 4 2 2" xfId="43972"/>
    <cellStyle name="Note 11 2 2 4 3" xfId="33368"/>
    <cellStyle name="Note 11 2 2 5" xfId="17673"/>
    <cellStyle name="Note 11 2 2 5 2" xfId="38860"/>
    <cellStyle name="Note 11 2 2 6" xfId="27980"/>
    <cellStyle name="Note 11 2 2_Table 2A-1_EFT (Annual)" xfId="7167"/>
    <cellStyle name="Note 11 2 3" xfId="1038"/>
    <cellStyle name="Note 11 2 3 2" xfId="4599"/>
    <cellStyle name="Note 11 2 3 2 2" xfId="12859"/>
    <cellStyle name="Note 11 2 3 2 2 2" xfId="24865"/>
    <cellStyle name="Note 11 2 3 2 2 2 2" xfId="46051"/>
    <cellStyle name="Note 11 2 3 2 2 3" xfId="35447"/>
    <cellStyle name="Note 11 2 3 2 3" xfId="19752"/>
    <cellStyle name="Note 11 2 3 2 3 2" xfId="40939"/>
    <cellStyle name="Note 11 2 3 2 4" xfId="30256"/>
    <cellStyle name="Note 11 2 3 2_Table 2A-1_EFT (Annual)" xfId="15446"/>
    <cellStyle name="Note 11 2 3 3" xfId="10203"/>
    <cellStyle name="Note 11 2 3 3 2" xfId="22319"/>
    <cellStyle name="Note 11 2 3 3 2 2" xfId="43505"/>
    <cellStyle name="Note 11 2 3 3 3" xfId="32901"/>
    <cellStyle name="Note 11 2 3 4" xfId="17206"/>
    <cellStyle name="Note 11 2 3 4 2" xfId="38393"/>
    <cellStyle name="Note 11 2 3 5" xfId="27513"/>
    <cellStyle name="Note 11 2 3_Table 2A-1_EFT (Annual)" xfId="7169"/>
    <cellStyle name="Note 11 2 4" xfId="2244"/>
    <cellStyle name="Note 11 2 4 2" xfId="5805"/>
    <cellStyle name="Note 11 2 4 2 2" xfId="14020"/>
    <cellStyle name="Note 11 2 4 2 2 2" xfId="26008"/>
    <cellStyle name="Note 11 2 4 2 2 2 2" xfId="47194"/>
    <cellStyle name="Note 11 2 4 2 2 3" xfId="36590"/>
    <cellStyle name="Note 11 2 4 2 3" xfId="20895"/>
    <cellStyle name="Note 11 2 4 2 3 2" xfId="42082"/>
    <cellStyle name="Note 11 2 4 2 4" xfId="31462"/>
    <cellStyle name="Note 11 2 4 2_Table 2A-1_EFT (Annual)" xfId="15447"/>
    <cellStyle name="Note 11 2 4 3" xfId="11364"/>
    <cellStyle name="Note 11 2 4 3 2" xfId="23462"/>
    <cellStyle name="Note 11 2 4 3 2 2" xfId="44648"/>
    <cellStyle name="Note 11 2 4 3 3" xfId="34044"/>
    <cellStyle name="Note 11 2 4 4" xfId="18349"/>
    <cellStyle name="Note 11 2 4 4 2" xfId="39536"/>
    <cellStyle name="Note 11 2 4 5" xfId="28719"/>
    <cellStyle name="Note 11 2 4_Table 2A-1_EFT (Annual)" xfId="7170"/>
    <cellStyle name="Note 11 2 5" xfId="4098"/>
    <cellStyle name="Note 11 2 5 2" xfId="12422"/>
    <cellStyle name="Note 11 2 5 2 2" xfId="24444"/>
    <cellStyle name="Note 11 2 5 2 2 2" xfId="45630"/>
    <cellStyle name="Note 11 2 5 2 3" xfId="35026"/>
    <cellStyle name="Note 11 2 5 3" xfId="19331"/>
    <cellStyle name="Note 11 2 5 3 2" xfId="40518"/>
    <cellStyle name="Note 11 2 5 4" xfId="29786"/>
    <cellStyle name="Note 11 2 5_Table 2A-1_EFT (Annual)" xfId="15448"/>
    <cellStyle name="Note 11 2 6" xfId="9761"/>
    <cellStyle name="Note 11 2 6 2" xfId="21898"/>
    <cellStyle name="Note 11 2 6 2 2" xfId="43084"/>
    <cellStyle name="Note 11 2 6 3" xfId="32480"/>
    <cellStyle name="Note 11 2 7" xfId="16785"/>
    <cellStyle name="Note 11 2 7 2" xfId="37972"/>
    <cellStyle name="Note 11 2 8" xfId="27043"/>
    <cellStyle name="Note 11 2_Table 2A-1_EFT (Annual)" xfId="3229"/>
    <cellStyle name="Note 11 3" xfId="366"/>
    <cellStyle name="Note 11 3 2" xfId="1349"/>
    <cellStyle name="Note 11 3 2 2" xfId="2619"/>
    <cellStyle name="Note 11 3 2 2 2" xfId="6180"/>
    <cellStyle name="Note 11 3 2 2 2 2" xfId="14374"/>
    <cellStyle name="Note 11 3 2 2 2 2 2" xfId="26346"/>
    <cellStyle name="Note 11 3 2 2 2 2 2 2" xfId="47532"/>
    <cellStyle name="Note 11 3 2 2 2 2 3" xfId="36928"/>
    <cellStyle name="Note 11 3 2 2 2 3" xfId="21233"/>
    <cellStyle name="Note 11 3 2 2 2 3 2" xfId="42420"/>
    <cellStyle name="Note 11 3 2 2 2 4" xfId="31836"/>
    <cellStyle name="Note 11 3 2 2 2_Table 2A-1_EFT (Annual)" xfId="15449"/>
    <cellStyle name="Note 11 3 2 2 3" xfId="11716"/>
    <cellStyle name="Note 11 3 2 2 3 2" xfId="23800"/>
    <cellStyle name="Note 11 3 2 2 3 2 2" xfId="44986"/>
    <cellStyle name="Note 11 3 2 2 3 3" xfId="34382"/>
    <cellStyle name="Note 11 3 2 2 4" xfId="18687"/>
    <cellStyle name="Note 11 3 2 2 4 2" xfId="39874"/>
    <cellStyle name="Note 11 3 2 2 5" xfId="29093"/>
    <cellStyle name="Note 11 3 2 2_Table 2A-1_EFT (Annual)" xfId="7172"/>
    <cellStyle name="Note 11 3 2 3" xfId="4910"/>
    <cellStyle name="Note 11 3 2 3 2" xfId="13170"/>
    <cellStyle name="Note 11 3 2 3 2 2" xfId="25176"/>
    <cellStyle name="Note 11 3 2 3 2 2 2" xfId="46362"/>
    <cellStyle name="Note 11 3 2 3 2 3" xfId="35758"/>
    <cellStyle name="Note 11 3 2 3 3" xfId="20063"/>
    <cellStyle name="Note 11 3 2 3 3 2" xfId="41250"/>
    <cellStyle name="Note 11 3 2 3 4" xfId="30567"/>
    <cellStyle name="Note 11 3 2 3_Table 2A-1_EFT (Annual)" xfId="15450"/>
    <cellStyle name="Note 11 3 2 4" xfId="10514"/>
    <cellStyle name="Note 11 3 2 4 2" xfId="22630"/>
    <cellStyle name="Note 11 3 2 4 2 2" xfId="43816"/>
    <cellStyle name="Note 11 3 2 4 3" xfId="33212"/>
    <cellStyle name="Note 11 3 2 5" xfId="17517"/>
    <cellStyle name="Note 11 3 2 5 2" xfId="38704"/>
    <cellStyle name="Note 11 3 2 6" xfId="27824"/>
    <cellStyle name="Note 11 3 2_Table 2A-1_EFT (Annual)" xfId="7171"/>
    <cellStyle name="Note 11 3 3" xfId="906"/>
    <cellStyle name="Note 11 3 3 2" xfId="4467"/>
    <cellStyle name="Note 11 3 3 2 2" xfId="12729"/>
    <cellStyle name="Note 11 3 3 2 2 2" xfId="24739"/>
    <cellStyle name="Note 11 3 3 2 2 2 2" xfId="45925"/>
    <cellStyle name="Note 11 3 3 2 2 3" xfId="35321"/>
    <cellStyle name="Note 11 3 3 2 3" xfId="19626"/>
    <cellStyle name="Note 11 3 3 2 3 2" xfId="40813"/>
    <cellStyle name="Note 11 3 3 2 4" xfId="30124"/>
    <cellStyle name="Note 11 3 3 2_Table 2A-1_EFT (Annual)" xfId="15451"/>
    <cellStyle name="Note 11 3 3 3" xfId="10076"/>
    <cellStyle name="Note 11 3 3 3 2" xfId="22193"/>
    <cellStyle name="Note 11 3 3 3 2 2" xfId="43379"/>
    <cellStyle name="Note 11 3 3 3 3" xfId="32775"/>
    <cellStyle name="Note 11 3 3 4" xfId="17080"/>
    <cellStyle name="Note 11 3 3 4 2" xfId="38267"/>
    <cellStyle name="Note 11 3 3 5" xfId="27381"/>
    <cellStyle name="Note 11 3 3_Table 2A-1_EFT (Annual)" xfId="7173"/>
    <cellStyle name="Note 11 3 4" xfId="2088"/>
    <cellStyle name="Note 11 3 4 2" xfId="5649"/>
    <cellStyle name="Note 11 3 4 2 2" xfId="13864"/>
    <cellStyle name="Note 11 3 4 2 2 2" xfId="25852"/>
    <cellStyle name="Note 11 3 4 2 2 2 2" xfId="47038"/>
    <cellStyle name="Note 11 3 4 2 2 3" xfId="36434"/>
    <cellStyle name="Note 11 3 4 2 3" xfId="20739"/>
    <cellStyle name="Note 11 3 4 2 3 2" xfId="41926"/>
    <cellStyle name="Note 11 3 4 2 4" xfId="31306"/>
    <cellStyle name="Note 11 3 4 2_Table 2A-1_EFT (Annual)" xfId="15452"/>
    <cellStyle name="Note 11 3 4 3" xfId="11208"/>
    <cellStyle name="Note 11 3 4 3 2" xfId="23306"/>
    <cellStyle name="Note 11 3 4 3 2 2" xfId="44492"/>
    <cellStyle name="Note 11 3 4 3 3" xfId="33888"/>
    <cellStyle name="Note 11 3 4 4" xfId="18193"/>
    <cellStyle name="Note 11 3 4 4 2" xfId="39380"/>
    <cellStyle name="Note 11 3 4 5" xfId="28563"/>
    <cellStyle name="Note 11 3 4_Table 2A-1_EFT (Annual)" xfId="7174"/>
    <cellStyle name="Note 11 3 5" xfId="3936"/>
    <cellStyle name="Note 11 3 5 2" xfId="12264"/>
    <cellStyle name="Note 11 3 5 2 2" xfId="24288"/>
    <cellStyle name="Note 11 3 5 2 2 2" xfId="45474"/>
    <cellStyle name="Note 11 3 5 2 3" xfId="34870"/>
    <cellStyle name="Note 11 3 5 3" xfId="19175"/>
    <cellStyle name="Note 11 3 5 3 2" xfId="40362"/>
    <cellStyle name="Note 11 3 5 4" xfId="29624"/>
    <cellStyle name="Note 11 3 5_Table 2A-1_EFT (Annual)" xfId="15453"/>
    <cellStyle name="Note 11 3 6" xfId="9601"/>
    <cellStyle name="Note 11 3 6 2" xfId="21742"/>
    <cellStyle name="Note 11 3 6 2 2" xfId="42928"/>
    <cellStyle name="Note 11 3 6 3" xfId="32324"/>
    <cellStyle name="Note 11 3 7" xfId="16629"/>
    <cellStyle name="Note 11 3 7 2" xfId="37816"/>
    <cellStyle name="Note 11 3 8" xfId="26881"/>
    <cellStyle name="Note 11 3_Table 2A-1_EFT (Annual)" xfId="3230"/>
    <cellStyle name="Note 11 4" xfId="1183"/>
    <cellStyle name="Note 11 4 2" xfId="2453"/>
    <cellStyle name="Note 11 4 2 2" xfId="6014"/>
    <cellStyle name="Note 11 4 2 2 2" xfId="14208"/>
    <cellStyle name="Note 11 4 2 2 2 2" xfId="26180"/>
    <cellStyle name="Note 11 4 2 2 2 2 2" xfId="47366"/>
    <cellStyle name="Note 11 4 2 2 2 3" xfId="36762"/>
    <cellStyle name="Note 11 4 2 2 3" xfId="21067"/>
    <cellStyle name="Note 11 4 2 2 3 2" xfId="42254"/>
    <cellStyle name="Note 11 4 2 2 4" xfId="31670"/>
    <cellStyle name="Note 11 4 2 2_Table 2A-1_EFT (Annual)" xfId="15454"/>
    <cellStyle name="Note 11 4 2 3" xfId="11550"/>
    <cellStyle name="Note 11 4 2 3 2" xfId="23634"/>
    <cellStyle name="Note 11 4 2 3 2 2" xfId="44820"/>
    <cellStyle name="Note 11 4 2 3 3" xfId="34216"/>
    <cellStyle name="Note 11 4 2 4" xfId="18521"/>
    <cellStyle name="Note 11 4 2 4 2" xfId="39708"/>
    <cellStyle name="Note 11 4 2 5" xfId="28927"/>
    <cellStyle name="Note 11 4 2_Table 2A-1_EFT (Annual)" xfId="7176"/>
    <cellStyle name="Note 11 4 3" xfId="4744"/>
    <cellStyle name="Note 11 4 3 2" xfId="13004"/>
    <cellStyle name="Note 11 4 3 2 2" xfId="25010"/>
    <cellStyle name="Note 11 4 3 2 2 2" xfId="46196"/>
    <cellStyle name="Note 11 4 3 2 3" xfId="35592"/>
    <cellStyle name="Note 11 4 3 3" xfId="19897"/>
    <cellStyle name="Note 11 4 3 3 2" xfId="41084"/>
    <cellStyle name="Note 11 4 3 4" xfId="30401"/>
    <cellStyle name="Note 11 4 3_Table 2A-1_EFT (Annual)" xfId="15455"/>
    <cellStyle name="Note 11 4 4" xfId="10348"/>
    <cellStyle name="Note 11 4 4 2" xfId="22464"/>
    <cellStyle name="Note 11 4 4 2 2" xfId="43650"/>
    <cellStyle name="Note 11 4 4 3" xfId="33046"/>
    <cellStyle name="Note 11 4 5" xfId="17351"/>
    <cellStyle name="Note 11 4 5 2" xfId="38538"/>
    <cellStyle name="Note 11 4 6" xfId="27658"/>
    <cellStyle name="Note 11 4_Table 2A-1_EFT (Annual)" xfId="7175"/>
    <cellStyle name="Note 11 5" xfId="747"/>
    <cellStyle name="Note 11 5 2" xfId="4308"/>
    <cellStyle name="Note 11 5 2 2" xfId="12588"/>
    <cellStyle name="Note 11 5 2 2 2" xfId="24605"/>
    <cellStyle name="Note 11 5 2 2 2 2" xfId="45791"/>
    <cellStyle name="Note 11 5 2 2 3" xfId="35187"/>
    <cellStyle name="Note 11 5 2 3" xfId="19492"/>
    <cellStyle name="Note 11 5 2 3 2" xfId="40679"/>
    <cellStyle name="Note 11 5 2 4" xfId="29965"/>
    <cellStyle name="Note 11 5 2_Table 2A-1_EFT (Annual)" xfId="15456"/>
    <cellStyle name="Note 11 5 3" xfId="9936"/>
    <cellStyle name="Note 11 5 3 2" xfId="22059"/>
    <cellStyle name="Note 11 5 3 2 2" xfId="43245"/>
    <cellStyle name="Note 11 5 3 3" xfId="32641"/>
    <cellStyle name="Note 11 5 4" xfId="16946"/>
    <cellStyle name="Note 11 5 4 2" xfId="38133"/>
    <cellStyle name="Note 11 5 5" xfId="27222"/>
    <cellStyle name="Note 11 5_Table 2A-1_EFT (Annual)" xfId="7177"/>
    <cellStyle name="Note 11 6" xfId="1789"/>
    <cellStyle name="Note 11 6 2" xfId="5350"/>
    <cellStyle name="Note 11 6 2 2" xfId="13565"/>
    <cellStyle name="Note 11 6 2 2 2" xfId="25553"/>
    <cellStyle name="Note 11 6 2 2 2 2" xfId="46739"/>
    <cellStyle name="Note 11 6 2 2 3" xfId="36135"/>
    <cellStyle name="Note 11 6 2 3" xfId="20440"/>
    <cellStyle name="Note 11 6 2 3 2" xfId="41627"/>
    <cellStyle name="Note 11 6 2 4" xfId="31007"/>
    <cellStyle name="Note 11 6 2_Table 2A-1_EFT (Annual)" xfId="15457"/>
    <cellStyle name="Note 11 6 3" xfId="10909"/>
    <cellStyle name="Note 11 6 3 2" xfId="23007"/>
    <cellStyle name="Note 11 6 3 2 2" xfId="44193"/>
    <cellStyle name="Note 11 6 3 3" xfId="33589"/>
    <cellStyle name="Note 11 6 4" xfId="17894"/>
    <cellStyle name="Note 11 6 4 2" xfId="39081"/>
    <cellStyle name="Note 11 6 5" xfId="28264"/>
    <cellStyle name="Note 11 6_Table 2A-1_EFT (Annual)" xfId="7178"/>
    <cellStyle name="Note 11 7" xfId="3724"/>
    <cellStyle name="Note 11 7 2" xfId="12092"/>
    <cellStyle name="Note 11 7 2 2" xfId="24122"/>
    <cellStyle name="Note 11 7 2 2 2" xfId="45308"/>
    <cellStyle name="Note 11 7 2 3" xfId="34704"/>
    <cellStyle name="Note 11 7 3" xfId="19009"/>
    <cellStyle name="Note 11 7 3 2" xfId="40196"/>
    <cellStyle name="Note 11 7 4" xfId="29433"/>
    <cellStyle name="Note 11 7_Table 2A-1_EFT (Annual)" xfId="15458"/>
    <cellStyle name="Note 11 8" xfId="9411"/>
    <cellStyle name="Note 11 8 2" xfId="21576"/>
    <cellStyle name="Note 11 8 2 2" xfId="42762"/>
    <cellStyle name="Note 11 8 3" xfId="32158"/>
    <cellStyle name="Note 11 9" xfId="16463"/>
    <cellStyle name="Note 11 9 2" xfId="37650"/>
    <cellStyle name="Note 11_Table 2A-1_EFT (Annual)" xfId="3228"/>
    <cellStyle name="Note 12" xfId="143"/>
    <cellStyle name="Note 12 10" xfId="26698"/>
    <cellStyle name="Note 12 2" xfId="536"/>
    <cellStyle name="Note 12 2 2" xfId="1513"/>
    <cellStyle name="Note 12 2 2 2" xfId="2783"/>
    <cellStyle name="Note 12 2 2 2 2" xfId="6344"/>
    <cellStyle name="Note 12 2 2 2 2 2" xfId="14538"/>
    <cellStyle name="Note 12 2 2 2 2 2 2" xfId="26510"/>
    <cellStyle name="Note 12 2 2 2 2 2 2 2" xfId="47696"/>
    <cellStyle name="Note 12 2 2 2 2 2 3" xfId="37092"/>
    <cellStyle name="Note 12 2 2 2 2 3" xfId="21397"/>
    <cellStyle name="Note 12 2 2 2 2 3 2" xfId="42584"/>
    <cellStyle name="Note 12 2 2 2 2 4" xfId="32000"/>
    <cellStyle name="Note 12 2 2 2 2_Table 2A-1_EFT (Annual)" xfId="15459"/>
    <cellStyle name="Note 12 2 2 2 3" xfId="11880"/>
    <cellStyle name="Note 12 2 2 2 3 2" xfId="23964"/>
    <cellStyle name="Note 12 2 2 2 3 2 2" xfId="45150"/>
    <cellStyle name="Note 12 2 2 2 3 3" xfId="34546"/>
    <cellStyle name="Note 12 2 2 2 4" xfId="18851"/>
    <cellStyle name="Note 12 2 2 2 4 2" xfId="40038"/>
    <cellStyle name="Note 12 2 2 2 5" xfId="29257"/>
    <cellStyle name="Note 12 2 2 2_Table 2A-1_EFT (Annual)" xfId="7180"/>
    <cellStyle name="Note 12 2 2 3" xfId="5074"/>
    <cellStyle name="Note 12 2 2 3 2" xfId="13334"/>
    <cellStyle name="Note 12 2 2 3 2 2" xfId="25340"/>
    <cellStyle name="Note 12 2 2 3 2 2 2" xfId="46526"/>
    <cellStyle name="Note 12 2 2 3 2 3" xfId="35922"/>
    <cellStyle name="Note 12 2 2 3 3" xfId="20227"/>
    <cellStyle name="Note 12 2 2 3 3 2" xfId="41414"/>
    <cellStyle name="Note 12 2 2 3 4" xfId="30731"/>
    <cellStyle name="Note 12 2 2 3_Table 2A-1_EFT (Annual)" xfId="15460"/>
    <cellStyle name="Note 12 2 2 4" xfId="10678"/>
    <cellStyle name="Note 12 2 2 4 2" xfId="22794"/>
    <cellStyle name="Note 12 2 2 4 2 2" xfId="43980"/>
    <cellStyle name="Note 12 2 2 4 3" xfId="33376"/>
    <cellStyle name="Note 12 2 2 5" xfId="17681"/>
    <cellStyle name="Note 12 2 2 5 2" xfId="38868"/>
    <cellStyle name="Note 12 2 2 6" xfId="27988"/>
    <cellStyle name="Note 12 2 2_Table 2A-1_EFT (Annual)" xfId="7179"/>
    <cellStyle name="Note 12 2 3" xfId="1045"/>
    <cellStyle name="Note 12 2 3 2" xfId="4606"/>
    <cellStyle name="Note 12 2 3 2 2" xfId="12866"/>
    <cellStyle name="Note 12 2 3 2 2 2" xfId="24872"/>
    <cellStyle name="Note 12 2 3 2 2 2 2" xfId="46058"/>
    <cellStyle name="Note 12 2 3 2 2 3" xfId="35454"/>
    <cellStyle name="Note 12 2 3 2 3" xfId="19759"/>
    <cellStyle name="Note 12 2 3 2 3 2" xfId="40946"/>
    <cellStyle name="Note 12 2 3 2 4" xfId="30263"/>
    <cellStyle name="Note 12 2 3 2_Table 2A-1_EFT (Annual)" xfId="15461"/>
    <cellStyle name="Note 12 2 3 3" xfId="10210"/>
    <cellStyle name="Note 12 2 3 3 2" xfId="22326"/>
    <cellStyle name="Note 12 2 3 3 2 2" xfId="43512"/>
    <cellStyle name="Note 12 2 3 3 3" xfId="32908"/>
    <cellStyle name="Note 12 2 3 4" xfId="17213"/>
    <cellStyle name="Note 12 2 3 4 2" xfId="38400"/>
    <cellStyle name="Note 12 2 3 5" xfId="27520"/>
    <cellStyle name="Note 12 2 3_Table 2A-1_EFT (Annual)" xfId="7181"/>
    <cellStyle name="Note 12 2 4" xfId="2252"/>
    <cellStyle name="Note 12 2 4 2" xfId="5813"/>
    <cellStyle name="Note 12 2 4 2 2" xfId="14028"/>
    <cellStyle name="Note 12 2 4 2 2 2" xfId="26016"/>
    <cellStyle name="Note 12 2 4 2 2 2 2" xfId="47202"/>
    <cellStyle name="Note 12 2 4 2 2 3" xfId="36598"/>
    <cellStyle name="Note 12 2 4 2 3" xfId="20903"/>
    <cellStyle name="Note 12 2 4 2 3 2" xfId="42090"/>
    <cellStyle name="Note 12 2 4 2 4" xfId="31470"/>
    <cellStyle name="Note 12 2 4 2_Table 2A-1_EFT (Annual)" xfId="15462"/>
    <cellStyle name="Note 12 2 4 3" xfId="11372"/>
    <cellStyle name="Note 12 2 4 3 2" xfId="23470"/>
    <cellStyle name="Note 12 2 4 3 2 2" xfId="44656"/>
    <cellStyle name="Note 12 2 4 3 3" xfId="34052"/>
    <cellStyle name="Note 12 2 4 4" xfId="18357"/>
    <cellStyle name="Note 12 2 4 4 2" xfId="39544"/>
    <cellStyle name="Note 12 2 4 5" xfId="28727"/>
    <cellStyle name="Note 12 2 4_Table 2A-1_EFT (Annual)" xfId="7182"/>
    <cellStyle name="Note 12 2 5" xfId="4106"/>
    <cellStyle name="Note 12 2 5 2" xfId="12430"/>
    <cellStyle name="Note 12 2 5 2 2" xfId="24452"/>
    <cellStyle name="Note 12 2 5 2 2 2" xfId="45638"/>
    <cellStyle name="Note 12 2 5 2 3" xfId="35034"/>
    <cellStyle name="Note 12 2 5 3" xfId="19339"/>
    <cellStyle name="Note 12 2 5 3 2" xfId="40526"/>
    <cellStyle name="Note 12 2 5 4" xfId="29794"/>
    <cellStyle name="Note 12 2 5_Table 2A-1_EFT (Annual)" xfId="15463"/>
    <cellStyle name="Note 12 2 6" xfId="9769"/>
    <cellStyle name="Note 12 2 6 2" xfId="21906"/>
    <cellStyle name="Note 12 2 6 2 2" xfId="43092"/>
    <cellStyle name="Note 12 2 6 3" xfId="32488"/>
    <cellStyle name="Note 12 2 7" xfId="16793"/>
    <cellStyle name="Note 12 2 7 2" xfId="37980"/>
    <cellStyle name="Note 12 2 8" xfId="27051"/>
    <cellStyle name="Note 12 2_Table 2A-1_EFT (Annual)" xfId="3232"/>
    <cellStyle name="Note 12 3" xfId="374"/>
    <cellStyle name="Note 12 3 2" xfId="1357"/>
    <cellStyle name="Note 12 3 2 2" xfId="2627"/>
    <cellStyle name="Note 12 3 2 2 2" xfId="6188"/>
    <cellStyle name="Note 12 3 2 2 2 2" xfId="14382"/>
    <cellStyle name="Note 12 3 2 2 2 2 2" xfId="26354"/>
    <cellStyle name="Note 12 3 2 2 2 2 2 2" xfId="47540"/>
    <cellStyle name="Note 12 3 2 2 2 2 3" xfId="36936"/>
    <cellStyle name="Note 12 3 2 2 2 3" xfId="21241"/>
    <cellStyle name="Note 12 3 2 2 2 3 2" xfId="42428"/>
    <cellStyle name="Note 12 3 2 2 2 4" xfId="31844"/>
    <cellStyle name="Note 12 3 2 2 2_Table 2A-1_EFT (Annual)" xfId="15464"/>
    <cellStyle name="Note 12 3 2 2 3" xfId="11724"/>
    <cellStyle name="Note 12 3 2 2 3 2" xfId="23808"/>
    <cellStyle name="Note 12 3 2 2 3 2 2" xfId="44994"/>
    <cellStyle name="Note 12 3 2 2 3 3" xfId="34390"/>
    <cellStyle name="Note 12 3 2 2 4" xfId="18695"/>
    <cellStyle name="Note 12 3 2 2 4 2" xfId="39882"/>
    <cellStyle name="Note 12 3 2 2 5" xfId="29101"/>
    <cellStyle name="Note 12 3 2 2_Table 2A-1_EFT (Annual)" xfId="7184"/>
    <cellStyle name="Note 12 3 2 3" xfId="4918"/>
    <cellStyle name="Note 12 3 2 3 2" xfId="13178"/>
    <cellStyle name="Note 12 3 2 3 2 2" xfId="25184"/>
    <cellStyle name="Note 12 3 2 3 2 2 2" xfId="46370"/>
    <cellStyle name="Note 12 3 2 3 2 3" xfId="35766"/>
    <cellStyle name="Note 12 3 2 3 3" xfId="20071"/>
    <cellStyle name="Note 12 3 2 3 3 2" xfId="41258"/>
    <cellStyle name="Note 12 3 2 3 4" xfId="30575"/>
    <cellStyle name="Note 12 3 2 3_Table 2A-1_EFT (Annual)" xfId="15465"/>
    <cellStyle name="Note 12 3 2 4" xfId="10522"/>
    <cellStyle name="Note 12 3 2 4 2" xfId="22638"/>
    <cellStyle name="Note 12 3 2 4 2 2" xfId="43824"/>
    <cellStyle name="Note 12 3 2 4 3" xfId="33220"/>
    <cellStyle name="Note 12 3 2 5" xfId="17525"/>
    <cellStyle name="Note 12 3 2 5 2" xfId="38712"/>
    <cellStyle name="Note 12 3 2 6" xfId="27832"/>
    <cellStyle name="Note 12 3 2_Table 2A-1_EFT (Annual)" xfId="7183"/>
    <cellStyle name="Note 12 3 3" xfId="913"/>
    <cellStyle name="Note 12 3 3 2" xfId="4474"/>
    <cellStyle name="Note 12 3 3 2 2" xfId="12736"/>
    <cellStyle name="Note 12 3 3 2 2 2" xfId="24746"/>
    <cellStyle name="Note 12 3 3 2 2 2 2" xfId="45932"/>
    <cellStyle name="Note 12 3 3 2 2 3" xfId="35328"/>
    <cellStyle name="Note 12 3 3 2 3" xfId="19633"/>
    <cellStyle name="Note 12 3 3 2 3 2" xfId="40820"/>
    <cellStyle name="Note 12 3 3 2 4" xfId="30131"/>
    <cellStyle name="Note 12 3 3 2_Table 2A-1_EFT (Annual)" xfId="15466"/>
    <cellStyle name="Note 12 3 3 3" xfId="10083"/>
    <cellStyle name="Note 12 3 3 3 2" xfId="22200"/>
    <cellStyle name="Note 12 3 3 3 2 2" xfId="43386"/>
    <cellStyle name="Note 12 3 3 3 3" xfId="32782"/>
    <cellStyle name="Note 12 3 3 4" xfId="17087"/>
    <cellStyle name="Note 12 3 3 4 2" xfId="38274"/>
    <cellStyle name="Note 12 3 3 5" xfId="27388"/>
    <cellStyle name="Note 12 3 3_Table 2A-1_EFT (Annual)" xfId="7185"/>
    <cellStyle name="Note 12 3 4" xfId="2096"/>
    <cellStyle name="Note 12 3 4 2" xfId="5657"/>
    <cellStyle name="Note 12 3 4 2 2" xfId="13872"/>
    <cellStyle name="Note 12 3 4 2 2 2" xfId="25860"/>
    <cellStyle name="Note 12 3 4 2 2 2 2" xfId="47046"/>
    <cellStyle name="Note 12 3 4 2 2 3" xfId="36442"/>
    <cellStyle name="Note 12 3 4 2 3" xfId="20747"/>
    <cellStyle name="Note 12 3 4 2 3 2" xfId="41934"/>
    <cellStyle name="Note 12 3 4 2 4" xfId="31314"/>
    <cellStyle name="Note 12 3 4 2_Table 2A-1_EFT (Annual)" xfId="15467"/>
    <cellStyle name="Note 12 3 4 3" xfId="11216"/>
    <cellStyle name="Note 12 3 4 3 2" xfId="23314"/>
    <cellStyle name="Note 12 3 4 3 2 2" xfId="44500"/>
    <cellStyle name="Note 12 3 4 3 3" xfId="33896"/>
    <cellStyle name="Note 12 3 4 4" xfId="18201"/>
    <cellStyle name="Note 12 3 4 4 2" xfId="39388"/>
    <cellStyle name="Note 12 3 4 5" xfId="28571"/>
    <cellStyle name="Note 12 3 4_Table 2A-1_EFT (Annual)" xfId="7186"/>
    <cellStyle name="Note 12 3 5" xfId="3944"/>
    <cellStyle name="Note 12 3 5 2" xfId="12272"/>
    <cellStyle name="Note 12 3 5 2 2" xfId="24296"/>
    <cellStyle name="Note 12 3 5 2 2 2" xfId="45482"/>
    <cellStyle name="Note 12 3 5 2 3" xfId="34878"/>
    <cellStyle name="Note 12 3 5 3" xfId="19183"/>
    <cellStyle name="Note 12 3 5 3 2" xfId="40370"/>
    <cellStyle name="Note 12 3 5 4" xfId="29632"/>
    <cellStyle name="Note 12 3 5_Table 2A-1_EFT (Annual)" xfId="15468"/>
    <cellStyle name="Note 12 3 6" xfId="9609"/>
    <cellStyle name="Note 12 3 6 2" xfId="21750"/>
    <cellStyle name="Note 12 3 6 2 2" xfId="42936"/>
    <cellStyle name="Note 12 3 6 3" xfId="32332"/>
    <cellStyle name="Note 12 3 7" xfId="16637"/>
    <cellStyle name="Note 12 3 7 2" xfId="37824"/>
    <cellStyle name="Note 12 3 8" xfId="26889"/>
    <cellStyle name="Note 12 3_Table 2A-1_EFT (Annual)" xfId="3233"/>
    <cellStyle name="Note 12 4" xfId="1191"/>
    <cellStyle name="Note 12 4 2" xfId="2461"/>
    <cellStyle name="Note 12 4 2 2" xfId="6022"/>
    <cellStyle name="Note 12 4 2 2 2" xfId="14216"/>
    <cellStyle name="Note 12 4 2 2 2 2" xfId="26188"/>
    <cellStyle name="Note 12 4 2 2 2 2 2" xfId="47374"/>
    <cellStyle name="Note 12 4 2 2 2 3" xfId="36770"/>
    <cellStyle name="Note 12 4 2 2 3" xfId="21075"/>
    <cellStyle name="Note 12 4 2 2 3 2" xfId="42262"/>
    <cellStyle name="Note 12 4 2 2 4" xfId="31678"/>
    <cellStyle name="Note 12 4 2 2_Table 2A-1_EFT (Annual)" xfId="15469"/>
    <cellStyle name="Note 12 4 2 3" xfId="11558"/>
    <cellStyle name="Note 12 4 2 3 2" xfId="23642"/>
    <cellStyle name="Note 12 4 2 3 2 2" xfId="44828"/>
    <cellStyle name="Note 12 4 2 3 3" xfId="34224"/>
    <cellStyle name="Note 12 4 2 4" xfId="18529"/>
    <cellStyle name="Note 12 4 2 4 2" xfId="39716"/>
    <cellStyle name="Note 12 4 2 5" xfId="28935"/>
    <cellStyle name="Note 12 4 2_Table 2A-1_EFT (Annual)" xfId="7188"/>
    <cellStyle name="Note 12 4 3" xfId="4752"/>
    <cellStyle name="Note 12 4 3 2" xfId="13012"/>
    <cellStyle name="Note 12 4 3 2 2" xfId="25018"/>
    <cellStyle name="Note 12 4 3 2 2 2" xfId="46204"/>
    <cellStyle name="Note 12 4 3 2 3" xfId="35600"/>
    <cellStyle name="Note 12 4 3 3" xfId="19905"/>
    <cellStyle name="Note 12 4 3 3 2" xfId="41092"/>
    <cellStyle name="Note 12 4 3 4" xfId="30409"/>
    <cellStyle name="Note 12 4 3_Table 2A-1_EFT (Annual)" xfId="15470"/>
    <cellStyle name="Note 12 4 4" xfId="10356"/>
    <cellStyle name="Note 12 4 4 2" xfId="22472"/>
    <cellStyle name="Note 12 4 4 2 2" xfId="43658"/>
    <cellStyle name="Note 12 4 4 3" xfId="33054"/>
    <cellStyle name="Note 12 4 5" xfId="17359"/>
    <cellStyle name="Note 12 4 5 2" xfId="38546"/>
    <cellStyle name="Note 12 4 6" xfId="27666"/>
    <cellStyle name="Note 12 4_Table 2A-1_EFT (Annual)" xfId="7187"/>
    <cellStyle name="Note 12 5" xfId="754"/>
    <cellStyle name="Note 12 5 2" xfId="4315"/>
    <cellStyle name="Note 12 5 2 2" xfId="12595"/>
    <cellStyle name="Note 12 5 2 2 2" xfId="24612"/>
    <cellStyle name="Note 12 5 2 2 2 2" xfId="45798"/>
    <cellStyle name="Note 12 5 2 2 3" xfId="35194"/>
    <cellStyle name="Note 12 5 2 3" xfId="19499"/>
    <cellStyle name="Note 12 5 2 3 2" xfId="40686"/>
    <cellStyle name="Note 12 5 2 4" xfId="29972"/>
    <cellStyle name="Note 12 5 2_Table 2A-1_EFT (Annual)" xfId="15471"/>
    <cellStyle name="Note 12 5 3" xfId="9943"/>
    <cellStyle name="Note 12 5 3 2" xfId="22066"/>
    <cellStyle name="Note 12 5 3 2 2" xfId="43252"/>
    <cellStyle name="Note 12 5 3 3" xfId="32648"/>
    <cellStyle name="Note 12 5 4" xfId="16953"/>
    <cellStyle name="Note 12 5 4 2" xfId="38140"/>
    <cellStyle name="Note 12 5 5" xfId="27229"/>
    <cellStyle name="Note 12 5_Table 2A-1_EFT (Annual)" xfId="7189"/>
    <cellStyle name="Note 12 6" xfId="1785"/>
    <cellStyle name="Note 12 6 2" xfId="5346"/>
    <cellStyle name="Note 12 6 2 2" xfId="13561"/>
    <cellStyle name="Note 12 6 2 2 2" xfId="25549"/>
    <cellStyle name="Note 12 6 2 2 2 2" xfId="46735"/>
    <cellStyle name="Note 12 6 2 2 3" xfId="36131"/>
    <cellStyle name="Note 12 6 2 3" xfId="20436"/>
    <cellStyle name="Note 12 6 2 3 2" xfId="41623"/>
    <cellStyle name="Note 12 6 2 4" xfId="31003"/>
    <cellStyle name="Note 12 6 2_Table 2A-1_EFT (Annual)" xfId="15472"/>
    <cellStyle name="Note 12 6 3" xfId="10905"/>
    <cellStyle name="Note 12 6 3 2" xfId="23003"/>
    <cellStyle name="Note 12 6 3 2 2" xfId="44189"/>
    <cellStyle name="Note 12 6 3 3" xfId="33585"/>
    <cellStyle name="Note 12 6 4" xfId="17890"/>
    <cellStyle name="Note 12 6 4 2" xfId="39077"/>
    <cellStyle name="Note 12 6 5" xfId="28260"/>
    <cellStyle name="Note 12 6_Table 2A-1_EFT (Annual)" xfId="7190"/>
    <cellStyle name="Note 12 7" xfId="3732"/>
    <cellStyle name="Note 12 7 2" xfId="12100"/>
    <cellStyle name="Note 12 7 2 2" xfId="24130"/>
    <cellStyle name="Note 12 7 2 2 2" xfId="45316"/>
    <cellStyle name="Note 12 7 2 3" xfId="34712"/>
    <cellStyle name="Note 12 7 3" xfId="19017"/>
    <cellStyle name="Note 12 7 3 2" xfId="40204"/>
    <cellStyle name="Note 12 7 4" xfId="29441"/>
    <cellStyle name="Note 12 7_Table 2A-1_EFT (Annual)" xfId="15473"/>
    <cellStyle name="Note 12 8" xfId="9419"/>
    <cellStyle name="Note 12 8 2" xfId="21584"/>
    <cellStyle name="Note 12 8 2 2" xfId="42770"/>
    <cellStyle name="Note 12 8 3" xfId="32166"/>
    <cellStyle name="Note 12 9" xfId="16471"/>
    <cellStyle name="Note 12 9 2" xfId="37658"/>
    <cellStyle name="Note 12_Table 2A-1_EFT (Annual)" xfId="3231"/>
    <cellStyle name="Note 13" xfId="150"/>
    <cellStyle name="Note 13 10" xfId="26705"/>
    <cellStyle name="Note 13 2" xfId="543"/>
    <cellStyle name="Note 13 2 2" xfId="1520"/>
    <cellStyle name="Note 13 2 2 2" xfId="2790"/>
    <cellStyle name="Note 13 2 2 2 2" xfId="6351"/>
    <cellStyle name="Note 13 2 2 2 2 2" xfId="14545"/>
    <cellStyle name="Note 13 2 2 2 2 2 2" xfId="26517"/>
    <cellStyle name="Note 13 2 2 2 2 2 2 2" xfId="47703"/>
    <cellStyle name="Note 13 2 2 2 2 2 3" xfId="37099"/>
    <cellStyle name="Note 13 2 2 2 2 3" xfId="21404"/>
    <cellStyle name="Note 13 2 2 2 2 3 2" xfId="42591"/>
    <cellStyle name="Note 13 2 2 2 2 4" xfId="32007"/>
    <cellStyle name="Note 13 2 2 2 2_Table 2A-1_EFT (Annual)" xfId="15474"/>
    <cellStyle name="Note 13 2 2 2 3" xfId="11887"/>
    <cellStyle name="Note 13 2 2 2 3 2" xfId="23971"/>
    <cellStyle name="Note 13 2 2 2 3 2 2" xfId="45157"/>
    <cellStyle name="Note 13 2 2 2 3 3" xfId="34553"/>
    <cellStyle name="Note 13 2 2 2 4" xfId="18858"/>
    <cellStyle name="Note 13 2 2 2 4 2" xfId="40045"/>
    <cellStyle name="Note 13 2 2 2 5" xfId="29264"/>
    <cellStyle name="Note 13 2 2 2_Table 2A-1_EFT (Annual)" xfId="7192"/>
    <cellStyle name="Note 13 2 2 3" xfId="5081"/>
    <cellStyle name="Note 13 2 2 3 2" xfId="13341"/>
    <cellStyle name="Note 13 2 2 3 2 2" xfId="25347"/>
    <cellStyle name="Note 13 2 2 3 2 2 2" xfId="46533"/>
    <cellStyle name="Note 13 2 2 3 2 3" xfId="35929"/>
    <cellStyle name="Note 13 2 2 3 3" xfId="20234"/>
    <cellStyle name="Note 13 2 2 3 3 2" xfId="41421"/>
    <cellStyle name="Note 13 2 2 3 4" xfId="30738"/>
    <cellStyle name="Note 13 2 2 3_Table 2A-1_EFT (Annual)" xfId="15475"/>
    <cellStyle name="Note 13 2 2 4" xfId="10685"/>
    <cellStyle name="Note 13 2 2 4 2" xfId="22801"/>
    <cellStyle name="Note 13 2 2 4 2 2" xfId="43987"/>
    <cellStyle name="Note 13 2 2 4 3" xfId="33383"/>
    <cellStyle name="Note 13 2 2 5" xfId="17688"/>
    <cellStyle name="Note 13 2 2 5 2" xfId="38875"/>
    <cellStyle name="Note 13 2 2 6" xfId="27995"/>
    <cellStyle name="Note 13 2 2_Table 2A-1_EFT (Annual)" xfId="7191"/>
    <cellStyle name="Note 13 2 3" xfId="1051"/>
    <cellStyle name="Note 13 2 3 2" xfId="4612"/>
    <cellStyle name="Note 13 2 3 2 2" xfId="12872"/>
    <cellStyle name="Note 13 2 3 2 2 2" xfId="24878"/>
    <cellStyle name="Note 13 2 3 2 2 2 2" xfId="46064"/>
    <cellStyle name="Note 13 2 3 2 2 3" xfId="35460"/>
    <cellStyle name="Note 13 2 3 2 3" xfId="19765"/>
    <cellStyle name="Note 13 2 3 2 3 2" xfId="40952"/>
    <cellStyle name="Note 13 2 3 2 4" xfId="30269"/>
    <cellStyle name="Note 13 2 3 2_Table 2A-1_EFT (Annual)" xfId="15476"/>
    <cellStyle name="Note 13 2 3 3" xfId="10216"/>
    <cellStyle name="Note 13 2 3 3 2" xfId="22332"/>
    <cellStyle name="Note 13 2 3 3 2 2" xfId="43518"/>
    <cellStyle name="Note 13 2 3 3 3" xfId="32914"/>
    <cellStyle name="Note 13 2 3 4" xfId="17219"/>
    <cellStyle name="Note 13 2 3 4 2" xfId="38406"/>
    <cellStyle name="Note 13 2 3 5" xfId="27526"/>
    <cellStyle name="Note 13 2 3_Table 2A-1_EFT (Annual)" xfId="7193"/>
    <cellStyle name="Note 13 2 4" xfId="2259"/>
    <cellStyle name="Note 13 2 4 2" xfId="5820"/>
    <cellStyle name="Note 13 2 4 2 2" xfId="14035"/>
    <cellStyle name="Note 13 2 4 2 2 2" xfId="26023"/>
    <cellStyle name="Note 13 2 4 2 2 2 2" xfId="47209"/>
    <cellStyle name="Note 13 2 4 2 2 3" xfId="36605"/>
    <cellStyle name="Note 13 2 4 2 3" xfId="20910"/>
    <cellStyle name="Note 13 2 4 2 3 2" xfId="42097"/>
    <cellStyle name="Note 13 2 4 2 4" xfId="31477"/>
    <cellStyle name="Note 13 2 4 2_Table 2A-1_EFT (Annual)" xfId="15477"/>
    <cellStyle name="Note 13 2 4 3" xfId="11379"/>
    <cellStyle name="Note 13 2 4 3 2" xfId="23477"/>
    <cellStyle name="Note 13 2 4 3 2 2" xfId="44663"/>
    <cellStyle name="Note 13 2 4 3 3" xfId="34059"/>
    <cellStyle name="Note 13 2 4 4" xfId="18364"/>
    <cellStyle name="Note 13 2 4 4 2" xfId="39551"/>
    <cellStyle name="Note 13 2 4 5" xfId="28734"/>
    <cellStyle name="Note 13 2 4_Table 2A-1_EFT (Annual)" xfId="7194"/>
    <cellStyle name="Note 13 2 5" xfId="4113"/>
    <cellStyle name="Note 13 2 5 2" xfId="12437"/>
    <cellStyle name="Note 13 2 5 2 2" xfId="24459"/>
    <cellStyle name="Note 13 2 5 2 2 2" xfId="45645"/>
    <cellStyle name="Note 13 2 5 2 3" xfId="35041"/>
    <cellStyle name="Note 13 2 5 3" xfId="19346"/>
    <cellStyle name="Note 13 2 5 3 2" xfId="40533"/>
    <cellStyle name="Note 13 2 5 4" xfId="29801"/>
    <cellStyle name="Note 13 2 5_Table 2A-1_EFT (Annual)" xfId="15478"/>
    <cellStyle name="Note 13 2 6" xfId="9776"/>
    <cellStyle name="Note 13 2 6 2" xfId="21913"/>
    <cellStyle name="Note 13 2 6 2 2" xfId="43099"/>
    <cellStyle name="Note 13 2 6 3" xfId="32495"/>
    <cellStyle name="Note 13 2 7" xfId="16800"/>
    <cellStyle name="Note 13 2 7 2" xfId="37987"/>
    <cellStyle name="Note 13 2 8" xfId="27058"/>
    <cellStyle name="Note 13 2_Table 2A-1_EFT (Annual)" xfId="3235"/>
    <cellStyle name="Note 13 3" xfId="381"/>
    <cellStyle name="Note 13 3 2" xfId="1364"/>
    <cellStyle name="Note 13 3 2 2" xfId="2634"/>
    <cellStyle name="Note 13 3 2 2 2" xfId="6195"/>
    <cellStyle name="Note 13 3 2 2 2 2" xfId="14389"/>
    <cellStyle name="Note 13 3 2 2 2 2 2" xfId="26361"/>
    <cellStyle name="Note 13 3 2 2 2 2 2 2" xfId="47547"/>
    <cellStyle name="Note 13 3 2 2 2 2 3" xfId="36943"/>
    <cellStyle name="Note 13 3 2 2 2 3" xfId="21248"/>
    <cellStyle name="Note 13 3 2 2 2 3 2" xfId="42435"/>
    <cellStyle name="Note 13 3 2 2 2 4" xfId="31851"/>
    <cellStyle name="Note 13 3 2 2 2_Table 2A-1_EFT (Annual)" xfId="15479"/>
    <cellStyle name="Note 13 3 2 2 3" xfId="11731"/>
    <cellStyle name="Note 13 3 2 2 3 2" xfId="23815"/>
    <cellStyle name="Note 13 3 2 2 3 2 2" xfId="45001"/>
    <cellStyle name="Note 13 3 2 2 3 3" xfId="34397"/>
    <cellStyle name="Note 13 3 2 2 4" xfId="18702"/>
    <cellStyle name="Note 13 3 2 2 4 2" xfId="39889"/>
    <cellStyle name="Note 13 3 2 2 5" xfId="29108"/>
    <cellStyle name="Note 13 3 2 2_Table 2A-1_EFT (Annual)" xfId="7196"/>
    <cellStyle name="Note 13 3 2 3" xfId="4925"/>
    <cellStyle name="Note 13 3 2 3 2" xfId="13185"/>
    <cellStyle name="Note 13 3 2 3 2 2" xfId="25191"/>
    <cellStyle name="Note 13 3 2 3 2 2 2" xfId="46377"/>
    <cellStyle name="Note 13 3 2 3 2 3" xfId="35773"/>
    <cellStyle name="Note 13 3 2 3 3" xfId="20078"/>
    <cellStyle name="Note 13 3 2 3 3 2" xfId="41265"/>
    <cellStyle name="Note 13 3 2 3 4" xfId="30582"/>
    <cellStyle name="Note 13 3 2 3_Table 2A-1_EFT (Annual)" xfId="15480"/>
    <cellStyle name="Note 13 3 2 4" xfId="10529"/>
    <cellStyle name="Note 13 3 2 4 2" xfId="22645"/>
    <cellStyle name="Note 13 3 2 4 2 2" xfId="43831"/>
    <cellStyle name="Note 13 3 2 4 3" xfId="33227"/>
    <cellStyle name="Note 13 3 2 5" xfId="17532"/>
    <cellStyle name="Note 13 3 2 5 2" xfId="38719"/>
    <cellStyle name="Note 13 3 2 6" xfId="27839"/>
    <cellStyle name="Note 13 3 2_Table 2A-1_EFT (Annual)" xfId="7195"/>
    <cellStyle name="Note 13 3 3" xfId="919"/>
    <cellStyle name="Note 13 3 3 2" xfId="4480"/>
    <cellStyle name="Note 13 3 3 2 2" xfId="12742"/>
    <cellStyle name="Note 13 3 3 2 2 2" xfId="24752"/>
    <cellStyle name="Note 13 3 3 2 2 2 2" xfId="45938"/>
    <cellStyle name="Note 13 3 3 2 2 3" xfId="35334"/>
    <cellStyle name="Note 13 3 3 2 3" xfId="19639"/>
    <cellStyle name="Note 13 3 3 2 3 2" xfId="40826"/>
    <cellStyle name="Note 13 3 3 2 4" xfId="30137"/>
    <cellStyle name="Note 13 3 3 2_Table 2A-1_EFT (Annual)" xfId="15481"/>
    <cellStyle name="Note 13 3 3 3" xfId="10089"/>
    <cellStyle name="Note 13 3 3 3 2" xfId="22206"/>
    <cellStyle name="Note 13 3 3 3 2 2" xfId="43392"/>
    <cellStyle name="Note 13 3 3 3 3" xfId="32788"/>
    <cellStyle name="Note 13 3 3 4" xfId="17093"/>
    <cellStyle name="Note 13 3 3 4 2" xfId="38280"/>
    <cellStyle name="Note 13 3 3 5" xfId="27394"/>
    <cellStyle name="Note 13 3 3_Table 2A-1_EFT (Annual)" xfId="7197"/>
    <cellStyle name="Note 13 3 4" xfId="2103"/>
    <cellStyle name="Note 13 3 4 2" xfId="5664"/>
    <cellStyle name="Note 13 3 4 2 2" xfId="13879"/>
    <cellStyle name="Note 13 3 4 2 2 2" xfId="25867"/>
    <cellStyle name="Note 13 3 4 2 2 2 2" xfId="47053"/>
    <cellStyle name="Note 13 3 4 2 2 3" xfId="36449"/>
    <cellStyle name="Note 13 3 4 2 3" xfId="20754"/>
    <cellStyle name="Note 13 3 4 2 3 2" xfId="41941"/>
    <cellStyle name="Note 13 3 4 2 4" xfId="31321"/>
    <cellStyle name="Note 13 3 4 2_Table 2A-1_EFT (Annual)" xfId="15482"/>
    <cellStyle name="Note 13 3 4 3" xfId="11223"/>
    <cellStyle name="Note 13 3 4 3 2" xfId="23321"/>
    <cellStyle name="Note 13 3 4 3 2 2" xfId="44507"/>
    <cellStyle name="Note 13 3 4 3 3" xfId="33903"/>
    <cellStyle name="Note 13 3 4 4" xfId="18208"/>
    <cellStyle name="Note 13 3 4 4 2" xfId="39395"/>
    <cellStyle name="Note 13 3 4 5" xfId="28578"/>
    <cellStyle name="Note 13 3 4_Table 2A-1_EFT (Annual)" xfId="7198"/>
    <cellStyle name="Note 13 3 5" xfId="3951"/>
    <cellStyle name="Note 13 3 5 2" xfId="12279"/>
    <cellStyle name="Note 13 3 5 2 2" xfId="24303"/>
    <cellStyle name="Note 13 3 5 2 2 2" xfId="45489"/>
    <cellStyle name="Note 13 3 5 2 3" xfId="34885"/>
    <cellStyle name="Note 13 3 5 3" xfId="19190"/>
    <cellStyle name="Note 13 3 5 3 2" xfId="40377"/>
    <cellStyle name="Note 13 3 5 4" xfId="29639"/>
    <cellStyle name="Note 13 3 5_Table 2A-1_EFT (Annual)" xfId="15483"/>
    <cellStyle name="Note 13 3 6" xfId="9616"/>
    <cellStyle name="Note 13 3 6 2" xfId="21757"/>
    <cellStyle name="Note 13 3 6 2 2" xfId="42943"/>
    <cellStyle name="Note 13 3 6 3" xfId="32339"/>
    <cellStyle name="Note 13 3 7" xfId="16644"/>
    <cellStyle name="Note 13 3 7 2" xfId="37831"/>
    <cellStyle name="Note 13 3 8" xfId="26896"/>
    <cellStyle name="Note 13 3_Table 2A-1_EFT (Annual)" xfId="3236"/>
    <cellStyle name="Note 13 4" xfId="1198"/>
    <cellStyle name="Note 13 4 2" xfId="2468"/>
    <cellStyle name="Note 13 4 2 2" xfId="6029"/>
    <cellStyle name="Note 13 4 2 2 2" xfId="14223"/>
    <cellStyle name="Note 13 4 2 2 2 2" xfId="26195"/>
    <cellStyle name="Note 13 4 2 2 2 2 2" xfId="47381"/>
    <cellStyle name="Note 13 4 2 2 2 3" xfId="36777"/>
    <cellStyle name="Note 13 4 2 2 3" xfId="21082"/>
    <cellStyle name="Note 13 4 2 2 3 2" xfId="42269"/>
    <cellStyle name="Note 13 4 2 2 4" xfId="31685"/>
    <cellStyle name="Note 13 4 2 2_Table 2A-1_EFT (Annual)" xfId="15484"/>
    <cellStyle name="Note 13 4 2 3" xfId="11565"/>
    <cellStyle name="Note 13 4 2 3 2" xfId="23649"/>
    <cellStyle name="Note 13 4 2 3 2 2" xfId="44835"/>
    <cellStyle name="Note 13 4 2 3 3" xfId="34231"/>
    <cellStyle name="Note 13 4 2 4" xfId="18536"/>
    <cellStyle name="Note 13 4 2 4 2" xfId="39723"/>
    <cellStyle name="Note 13 4 2 5" xfId="28942"/>
    <cellStyle name="Note 13 4 2_Table 2A-1_EFT (Annual)" xfId="7200"/>
    <cellStyle name="Note 13 4 3" xfId="4759"/>
    <cellStyle name="Note 13 4 3 2" xfId="13019"/>
    <cellStyle name="Note 13 4 3 2 2" xfId="25025"/>
    <cellStyle name="Note 13 4 3 2 2 2" xfId="46211"/>
    <cellStyle name="Note 13 4 3 2 3" xfId="35607"/>
    <cellStyle name="Note 13 4 3 3" xfId="19912"/>
    <cellStyle name="Note 13 4 3 3 2" xfId="41099"/>
    <cellStyle name="Note 13 4 3 4" xfId="30416"/>
    <cellStyle name="Note 13 4 3_Table 2A-1_EFT (Annual)" xfId="15485"/>
    <cellStyle name="Note 13 4 4" xfId="10363"/>
    <cellStyle name="Note 13 4 4 2" xfId="22479"/>
    <cellStyle name="Note 13 4 4 2 2" xfId="43665"/>
    <cellStyle name="Note 13 4 4 3" xfId="33061"/>
    <cellStyle name="Note 13 4 5" xfId="17366"/>
    <cellStyle name="Note 13 4 5 2" xfId="38553"/>
    <cellStyle name="Note 13 4 6" xfId="27673"/>
    <cellStyle name="Note 13 4_Table 2A-1_EFT (Annual)" xfId="7199"/>
    <cellStyle name="Note 13 5" xfId="760"/>
    <cellStyle name="Note 13 5 2" xfId="4321"/>
    <cellStyle name="Note 13 5 2 2" xfId="12601"/>
    <cellStyle name="Note 13 5 2 2 2" xfId="24618"/>
    <cellStyle name="Note 13 5 2 2 2 2" xfId="45804"/>
    <cellStyle name="Note 13 5 2 2 3" xfId="35200"/>
    <cellStyle name="Note 13 5 2 3" xfId="19505"/>
    <cellStyle name="Note 13 5 2 3 2" xfId="40692"/>
    <cellStyle name="Note 13 5 2 4" xfId="29978"/>
    <cellStyle name="Note 13 5 2_Table 2A-1_EFT (Annual)" xfId="15486"/>
    <cellStyle name="Note 13 5 3" xfId="9949"/>
    <cellStyle name="Note 13 5 3 2" xfId="22072"/>
    <cellStyle name="Note 13 5 3 2 2" xfId="43258"/>
    <cellStyle name="Note 13 5 3 3" xfId="32654"/>
    <cellStyle name="Note 13 5 4" xfId="16959"/>
    <cellStyle name="Note 13 5 4 2" xfId="38146"/>
    <cellStyle name="Note 13 5 5" xfId="27235"/>
    <cellStyle name="Note 13 5_Table 2A-1_EFT (Annual)" xfId="7201"/>
    <cellStyle name="Note 13 6" xfId="1849"/>
    <cellStyle name="Note 13 6 2" xfId="5410"/>
    <cellStyle name="Note 13 6 2 2" xfId="13625"/>
    <cellStyle name="Note 13 6 2 2 2" xfId="25613"/>
    <cellStyle name="Note 13 6 2 2 2 2" xfId="46799"/>
    <cellStyle name="Note 13 6 2 2 3" xfId="36195"/>
    <cellStyle name="Note 13 6 2 3" xfId="20500"/>
    <cellStyle name="Note 13 6 2 3 2" xfId="41687"/>
    <cellStyle name="Note 13 6 2 4" xfId="31067"/>
    <cellStyle name="Note 13 6 2_Table 2A-1_EFT (Annual)" xfId="15487"/>
    <cellStyle name="Note 13 6 3" xfId="10969"/>
    <cellStyle name="Note 13 6 3 2" xfId="23067"/>
    <cellStyle name="Note 13 6 3 2 2" xfId="44253"/>
    <cellStyle name="Note 13 6 3 3" xfId="33649"/>
    <cellStyle name="Note 13 6 4" xfId="17954"/>
    <cellStyle name="Note 13 6 4 2" xfId="39141"/>
    <cellStyle name="Note 13 6 5" xfId="28324"/>
    <cellStyle name="Note 13 6_Table 2A-1_EFT (Annual)" xfId="7202"/>
    <cellStyle name="Note 13 7" xfId="3739"/>
    <cellStyle name="Note 13 7 2" xfId="12107"/>
    <cellStyle name="Note 13 7 2 2" xfId="24137"/>
    <cellStyle name="Note 13 7 2 2 2" xfId="45323"/>
    <cellStyle name="Note 13 7 2 3" xfId="34719"/>
    <cellStyle name="Note 13 7 3" xfId="19024"/>
    <cellStyle name="Note 13 7 3 2" xfId="40211"/>
    <cellStyle name="Note 13 7 4" xfId="29448"/>
    <cellStyle name="Note 13 7_Table 2A-1_EFT (Annual)" xfId="15488"/>
    <cellStyle name="Note 13 8" xfId="9426"/>
    <cellStyle name="Note 13 8 2" xfId="21591"/>
    <cellStyle name="Note 13 8 2 2" xfId="42777"/>
    <cellStyle name="Note 13 8 3" xfId="32173"/>
    <cellStyle name="Note 13 9" xfId="16478"/>
    <cellStyle name="Note 13 9 2" xfId="37665"/>
    <cellStyle name="Note 13_Table 2A-1_EFT (Annual)" xfId="3234"/>
    <cellStyle name="Note 14" xfId="133"/>
    <cellStyle name="Note 14 10" xfId="26688"/>
    <cellStyle name="Note 14 2" xfId="526"/>
    <cellStyle name="Note 14 2 2" xfId="1503"/>
    <cellStyle name="Note 14 2 2 2" xfId="2773"/>
    <cellStyle name="Note 14 2 2 2 2" xfId="6334"/>
    <cellStyle name="Note 14 2 2 2 2 2" xfId="14528"/>
    <cellStyle name="Note 14 2 2 2 2 2 2" xfId="26500"/>
    <cellStyle name="Note 14 2 2 2 2 2 2 2" xfId="47686"/>
    <cellStyle name="Note 14 2 2 2 2 2 3" xfId="37082"/>
    <cellStyle name="Note 14 2 2 2 2 3" xfId="21387"/>
    <cellStyle name="Note 14 2 2 2 2 3 2" xfId="42574"/>
    <cellStyle name="Note 14 2 2 2 2 4" xfId="31990"/>
    <cellStyle name="Note 14 2 2 2 2_Table 2A-1_EFT (Annual)" xfId="15489"/>
    <cellStyle name="Note 14 2 2 2 3" xfId="11870"/>
    <cellStyle name="Note 14 2 2 2 3 2" xfId="23954"/>
    <cellStyle name="Note 14 2 2 2 3 2 2" xfId="45140"/>
    <cellStyle name="Note 14 2 2 2 3 3" xfId="34536"/>
    <cellStyle name="Note 14 2 2 2 4" xfId="18841"/>
    <cellStyle name="Note 14 2 2 2 4 2" xfId="40028"/>
    <cellStyle name="Note 14 2 2 2 5" xfId="29247"/>
    <cellStyle name="Note 14 2 2 2_Table 2A-1_EFT (Annual)" xfId="7204"/>
    <cellStyle name="Note 14 2 2 3" xfId="5064"/>
    <cellStyle name="Note 14 2 2 3 2" xfId="13324"/>
    <cellStyle name="Note 14 2 2 3 2 2" xfId="25330"/>
    <cellStyle name="Note 14 2 2 3 2 2 2" xfId="46516"/>
    <cellStyle name="Note 14 2 2 3 2 3" xfId="35912"/>
    <cellStyle name="Note 14 2 2 3 3" xfId="20217"/>
    <cellStyle name="Note 14 2 2 3 3 2" xfId="41404"/>
    <cellStyle name="Note 14 2 2 3 4" xfId="30721"/>
    <cellStyle name="Note 14 2 2 3_Table 2A-1_EFT (Annual)" xfId="15490"/>
    <cellStyle name="Note 14 2 2 4" xfId="10668"/>
    <cellStyle name="Note 14 2 2 4 2" xfId="22784"/>
    <cellStyle name="Note 14 2 2 4 2 2" xfId="43970"/>
    <cellStyle name="Note 14 2 2 4 3" xfId="33366"/>
    <cellStyle name="Note 14 2 2 5" xfId="17671"/>
    <cellStyle name="Note 14 2 2 5 2" xfId="38858"/>
    <cellStyle name="Note 14 2 2 6" xfId="27978"/>
    <cellStyle name="Note 14 2 2_Table 2A-1_EFT (Annual)" xfId="7203"/>
    <cellStyle name="Note 14 2 3" xfId="1036"/>
    <cellStyle name="Note 14 2 3 2" xfId="4597"/>
    <cellStyle name="Note 14 2 3 2 2" xfId="12857"/>
    <cellStyle name="Note 14 2 3 2 2 2" xfId="24863"/>
    <cellStyle name="Note 14 2 3 2 2 2 2" xfId="46049"/>
    <cellStyle name="Note 14 2 3 2 2 3" xfId="35445"/>
    <cellStyle name="Note 14 2 3 2 3" xfId="19750"/>
    <cellStyle name="Note 14 2 3 2 3 2" xfId="40937"/>
    <cellStyle name="Note 14 2 3 2 4" xfId="30254"/>
    <cellStyle name="Note 14 2 3 2_Table 2A-1_EFT (Annual)" xfId="15491"/>
    <cellStyle name="Note 14 2 3 3" xfId="10201"/>
    <cellStyle name="Note 14 2 3 3 2" xfId="22317"/>
    <cellStyle name="Note 14 2 3 3 2 2" xfId="43503"/>
    <cellStyle name="Note 14 2 3 3 3" xfId="32899"/>
    <cellStyle name="Note 14 2 3 4" xfId="17204"/>
    <cellStyle name="Note 14 2 3 4 2" xfId="38391"/>
    <cellStyle name="Note 14 2 3 5" xfId="27511"/>
    <cellStyle name="Note 14 2 3_Table 2A-1_EFT (Annual)" xfId="7205"/>
    <cellStyle name="Note 14 2 4" xfId="2242"/>
    <cellStyle name="Note 14 2 4 2" xfId="5803"/>
    <cellStyle name="Note 14 2 4 2 2" xfId="14018"/>
    <cellStyle name="Note 14 2 4 2 2 2" xfId="26006"/>
    <cellStyle name="Note 14 2 4 2 2 2 2" xfId="47192"/>
    <cellStyle name="Note 14 2 4 2 2 3" xfId="36588"/>
    <cellStyle name="Note 14 2 4 2 3" xfId="20893"/>
    <cellStyle name="Note 14 2 4 2 3 2" xfId="42080"/>
    <cellStyle name="Note 14 2 4 2 4" xfId="31460"/>
    <cellStyle name="Note 14 2 4 2_Table 2A-1_EFT (Annual)" xfId="15492"/>
    <cellStyle name="Note 14 2 4 3" xfId="11362"/>
    <cellStyle name="Note 14 2 4 3 2" xfId="23460"/>
    <cellStyle name="Note 14 2 4 3 2 2" xfId="44646"/>
    <cellStyle name="Note 14 2 4 3 3" xfId="34042"/>
    <cellStyle name="Note 14 2 4 4" xfId="18347"/>
    <cellStyle name="Note 14 2 4 4 2" xfId="39534"/>
    <cellStyle name="Note 14 2 4 5" xfId="28717"/>
    <cellStyle name="Note 14 2 4_Table 2A-1_EFT (Annual)" xfId="7206"/>
    <cellStyle name="Note 14 2 5" xfId="4096"/>
    <cellStyle name="Note 14 2 5 2" xfId="12420"/>
    <cellStyle name="Note 14 2 5 2 2" xfId="24442"/>
    <cellStyle name="Note 14 2 5 2 2 2" xfId="45628"/>
    <cellStyle name="Note 14 2 5 2 3" xfId="35024"/>
    <cellStyle name="Note 14 2 5 3" xfId="19329"/>
    <cellStyle name="Note 14 2 5 3 2" xfId="40516"/>
    <cellStyle name="Note 14 2 5 4" xfId="29784"/>
    <cellStyle name="Note 14 2 5_Table 2A-1_EFT (Annual)" xfId="15493"/>
    <cellStyle name="Note 14 2 6" xfId="9759"/>
    <cellStyle name="Note 14 2 6 2" xfId="21896"/>
    <cellStyle name="Note 14 2 6 2 2" xfId="43082"/>
    <cellStyle name="Note 14 2 6 3" xfId="32478"/>
    <cellStyle name="Note 14 2 7" xfId="16783"/>
    <cellStyle name="Note 14 2 7 2" xfId="37970"/>
    <cellStyle name="Note 14 2 8" xfId="27041"/>
    <cellStyle name="Note 14 2_Table 2A-1_EFT (Annual)" xfId="3238"/>
    <cellStyle name="Note 14 3" xfId="364"/>
    <cellStyle name="Note 14 3 2" xfId="1347"/>
    <cellStyle name="Note 14 3 2 2" xfId="2617"/>
    <cellStyle name="Note 14 3 2 2 2" xfId="6178"/>
    <cellStyle name="Note 14 3 2 2 2 2" xfId="14372"/>
    <cellStyle name="Note 14 3 2 2 2 2 2" xfId="26344"/>
    <cellStyle name="Note 14 3 2 2 2 2 2 2" xfId="47530"/>
    <cellStyle name="Note 14 3 2 2 2 2 3" xfId="36926"/>
    <cellStyle name="Note 14 3 2 2 2 3" xfId="21231"/>
    <cellStyle name="Note 14 3 2 2 2 3 2" xfId="42418"/>
    <cellStyle name="Note 14 3 2 2 2 4" xfId="31834"/>
    <cellStyle name="Note 14 3 2 2 2_Table 2A-1_EFT (Annual)" xfId="15494"/>
    <cellStyle name="Note 14 3 2 2 3" xfId="11714"/>
    <cellStyle name="Note 14 3 2 2 3 2" xfId="23798"/>
    <cellStyle name="Note 14 3 2 2 3 2 2" xfId="44984"/>
    <cellStyle name="Note 14 3 2 2 3 3" xfId="34380"/>
    <cellStyle name="Note 14 3 2 2 4" xfId="18685"/>
    <cellStyle name="Note 14 3 2 2 4 2" xfId="39872"/>
    <cellStyle name="Note 14 3 2 2 5" xfId="29091"/>
    <cellStyle name="Note 14 3 2 2_Table 2A-1_EFT (Annual)" xfId="7208"/>
    <cellStyle name="Note 14 3 2 3" xfId="4908"/>
    <cellStyle name="Note 14 3 2 3 2" xfId="13168"/>
    <cellStyle name="Note 14 3 2 3 2 2" xfId="25174"/>
    <cellStyle name="Note 14 3 2 3 2 2 2" xfId="46360"/>
    <cellStyle name="Note 14 3 2 3 2 3" xfId="35756"/>
    <cellStyle name="Note 14 3 2 3 3" xfId="20061"/>
    <cellStyle name="Note 14 3 2 3 3 2" xfId="41248"/>
    <cellStyle name="Note 14 3 2 3 4" xfId="30565"/>
    <cellStyle name="Note 14 3 2 3_Table 2A-1_EFT (Annual)" xfId="15495"/>
    <cellStyle name="Note 14 3 2 4" xfId="10512"/>
    <cellStyle name="Note 14 3 2 4 2" xfId="22628"/>
    <cellStyle name="Note 14 3 2 4 2 2" xfId="43814"/>
    <cellStyle name="Note 14 3 2 4 3" xfId="33210"/>
    <cellStyle name="Note 14 3 2 5" xfId="17515"/>
    <cellStyle name="Note 14 3 2 5 2" xfId="38702"/>
    <cellStyle name="Note 14 3 2 6" xfId="27822"/>
    <cellStyle name="Note 14 3 2_Table 2A-1_EFT (Annual)" xfId="7207"/>
    <cellStyle name="Note 14 3 3" xfId="904"/>
    <cellStyle name="Note 14 3 3 2" xfId="4465"/>
    <cellStyle name="Note 14 3 3 2 2" xfId="12727"/>
    <cellStyle name="Note 14 3 3 2 2 2" xfId="24737"/>
    <cellStyle name="Note 14 3 3 2 2 2 2" xfId="45923"/>
    <cellStyle name="Note 14 3 3 2 2 3" xfId="35319"/>
    <cellStyle name="Note 14 3 3 2 3" xfId="19624"/>
    <cellStyle name="Note 14 3 3 2 3 2" xfId="40811"/>
    <cellStyle name="Note 14 3 3 2 4" xfId="30122"/>
    <cellStyle name="Note 14 3 3 2_Table 2A-1_EFT (Annual)" xfId="15496"/>
    <cellStyle name="Note 14 3 3 3" xfId="10074"/>
    <cellStyle name="Note 14 3 3 3 2" xfId="22191"/>
    <cellStyle name="Note 14 3 3 3 2 2" xfId="43377"/>
    <cellStyle name="Note 14 3 3 3 3" xfId="32773"/>
    <cellStyle name="Note 14 3 3 4" xfId="17078"/>
    <cellStyle name="Note 14 3 3 4 2" xfId="38265"/>
    <cellStyle name="Note 14 3 3 5" xfId="27379"/>
    <cellStyle name="Note 14 3 3_Table 2A-1_EFT (Annual)" xfId="7209"/>
    <cellStyle name="Note 14 3 4" xfId="2086"/>
    <cellStyle name="Note 14 3 4 2" xfId="5647"/>
    <cellStyle name="Note 14 3 4 2 2" xfId="13862"/>
    <cellStyle name="Note 14 3 4 2 2 2" xfId="25850"/>
    <cellStyle name="Note 14 3 4 2 2 2 2" xfId="47036"/>
    <cellStyle name="Note 14 3 4 2 2 3" xfId="36432"/>
    <cellStyle name="Note 14 3 4 2 3" xfId="20737"/>
    <cellStyle name="Note 14 3 4 2 3 2" xfId="41924"/>
    <cellStyle name="Note 14 3 4 2 4" xfId="31304"/>
    <cellStyle name="Note 14 3 4 2_Table 2A-1_EFT (Annual)" xfId="15497"/>
    <cellStyle name="Note 14 3 4 3" xfId="11206"/>
    <cellStyle name="Note 14 3 4 3 2" xfId="23304"/>
    <cellStyle name="Note 14 3 4 3 2 2" xfId="44490"/>
    <cellStyle name="Note 14 3 4 3 3" xfId="33886"/>
    <cellStyle name="Note 14 3 4 4" xfId="18191"/>
    <cellStyle name="Note 14 3 4 4 2" xfId="39378"/>
    <cellStyle name="Note 14 3 4 5" xfId="28561"/>
    <cellStyle name="Note 14 3 4_Table 2A-1_EFT (Annual)" xfId="7210"/>
    <cellStyle name="Note 14 3 5" xfId="3934"/>
    <cellStyle name="Note 14 3 5 2" xfId="12262"/>
    <cellStyle name="Note 14 3 5 2 2" xfId="24286"/>
    <cellStyle name="Note 14 3 5 2 2 2" xfId="45472"/>
    <cellStyle name="Note 14 3 5 2 3" xfId="34868"/>
    <cellStyle name="Note 14 3 5 3" xfId="19173"/>
    <cellStyle name="Note 14 3 5 3 2" xfId="40360"/>
    <cellStyle name="Note 14 3 5 4" xfId="29622"/>
    <cellStyle name="Note 14 3 5_Table 2A-1_EFT (Annual)" xfId="15498"/>
    <cellStyle name="Note 14 3 6" xfId="9599"/>
    <cellStyle name="Note 14 3 6 2" xfId="21740"/>
    <cellStyle name="Note 14 3 6 2 2" xfId="42926"/>
    <cellStyle name="Note 14 3 6 3" xfId="32322"/>
    <cellStyle name="Note 14 3 7" xfId="16627"/>
    <cellStyle name="Note 14 3 7 2" xfId="37814"/>
    <cellStyle name="Note 14 3 8" xfId="26879"/>
    <cellStyle name="Note 14 3_Table 2A-1_EFT (Annual)" xfId="3239"/>
    <cellStyle name="Note 14 4" xfId="1181"/>
    <cellStyle name="Note 14 4 2" xfId="2451"/>
    <cellStyle name="Note 14 4 2 2" xfId="6012"/>
    <cellStyle name="Note 14 4 2 2 2" xfId="14206"/>
    <cellStyle name="Note 14 4 2 2 2 2" xfId="26178"/>
    <cellStyle name="Note 14 4 2 2 2 2 2" xfId="47364"/>
    <cellStyle name="Note 14 4 2 2 2 3" xfId="36760"/>
    <cellStyle name="Note 14 4 2 2 3" xfId="21065"/>
    <cellStyle name="Note 14 4 2 2 3 2" xfId="42252"/>
    <cellStyle name="Note 14 4 2 2 4" xfId="31668"/>
    <cellStyle name="Note 14 4 2 2_Table 2A-1_EFT (Annual)" xfId="15499"/>
    <cellStyle name="Note 14 4 2 3" xfId="11548"/>
    <cellStyle name="Note 14 4 2 3 2" xfId="23632"/>
    <cellStyle name="Note 14 4 2 3 2 2" xfId="44818"/>
    <cellStyle name="Note 14 4 2 3 3" xfId="34214"/>
    <cellStyle name="Note 14 4 2 4" xfId="18519"/>
    <cellStyle name="Note 14 4 2 4 2" xfId="39706"/>
    <cellStyle name="Note 14 4 2 5" xfId="28925"/>
    <cellStyle name="Note 14 4 2_Table 2A-1_EFT (Annual)" xfId="7212"/>
    <cellStyle name="Note 14 4 3" xfId="4742"/>
    <cellStyle name="Note 14 4 3 2" xfId="13002"/>
    <cellStyle name="Note 14 4 3 2 2" xfId="25008"/>
    <cellStyle name="Note 14 4 3 2 2 2" xfId="46194"/>
    <cellStyle name="Note 14 4 3 2 3" xfId="35590"/>
    <cellStyle name="Note 14 4 3 3" xfId="19895"/>
    <cellStyle name="Note 14 4 3 3 2" xfId="41082"/>
    <cellStyle name="Note 14 4 3 4" xfId="30399"/>
    <cellStyle name="Note 14 4 3_Table 2A-1_EFT (Annual)" xfId="15500"/>
    <cellStyle name="Note 14 4 4" xfId="10346"/>
    <cellStyle name="Note 14 4 4 2" xfId="22462"/>
    <cellStyle name="Note 14 4 4 2 2" xfId="43648"/>
    <cellStyle name="Note 14 4 4 3" xfId="33044"/>
    <cellStyle name="Note 14 4 5" xfId="17349"/>
    <cellStyle name="Note 14 4 5 2" xfId="38536"/>
    <cellStyle name="Note 14 4 6" xfId="27656"/>
    <cellStyle name="Note 14 4_Table 2A-1_EFT (Annual)" xfId="7211"/>
    <cellStyle name="Note 14 5" xfId="745"/>
    <cellStyle name="Note 14 5 2" xfId="4306"/>
    <cellStyle name="Note 14 5 2 2" xfId="12586"/>
    <cellStyle name="Note 14 5 2 2 2" xfId="24603"/>
    <cellStyle name="Note 14 5 2 2 2 2" xfId="45789"/>
    <cellStyle name="Note 14 5 2 2 3" xfId="35185"/>
    <cellStyle name="Note 14 5 2 3" xfId="19490"/>
    <cellStyle name="Note 14 5 2 3 2" xfId="40677"/>
    <cellStyle name="Note 14 5 2 4" xfId="29963"/>
    <cellStyle name="Note 14 5 2_Table 2A-1_EFT (Annual)" xfId="15501"/>
    <cellStyle name="Note 14 5 3" xfId="9934"/>
    <cellStyle name="Note 14 5 3 2" xfId="22057"/>
    <cellStyle name="Note 14 5 3 2 2" xfId="43243"/>
    <cellStyle name="Note 14 5 3 3" xfId="32639"/>
    <cellStyle name="Note 14 5 4" xfId="16944"/>
    <cellStyle name="Note 14 5 4 2" xfId="38131"/>
    <cellStyle name="Note 14 5 5" xfId="27220"/>
    <cellStyle name="Note 14 5_Table 2A-1_EFT (Annual)" xfId="7213"/>
    <cellStyle name="Note 14 6" xfId="1790"/>
    <cellStyle name="Note 14 6 2" xfId="5351"/>
    <cellStyle name="Note 14 6 2 2" xfId="13566"/>
    <cellStyle name="Note 14 6 2 2 2" xfId="25554"/>
    <cellStyle name="Note 14 6 2 2 2 2" xfId="46740"/>
    <cellStyle name="Note 14 6 2 2 3" xfId="36136"/>
    <cellStyle name="Note 14 6 2 3" xfId="20441"/>
    <cellStyle name="Note 14 6 2 3 2" xfId="41628"/>
    <cellStyle name="Note 14 6 2 4" xfId="31008"/>
    <cellStyle name="Note 14 6 2_Table 2A-1_EFT (Annual)" xfId="15502"/>
    <cellStyle name="Note 14 6 3" xfId="10910"/>
    <cellStyle name="Note 14 6 3 2" xfId="23008"/>
    <cellStyle name="Note 14 6 3 2 2" xfId="44194"/>
    <cellStyle name="Note 14 6 3 3" xfId="33590"/>
    <cellStyle name="Note 14 6 4" xfId="17895"/>
    <cellStyle name="Note 14 6 4 2" xfId="39082"/>
    <cellStyle name="Note 14 6 5" xfId="28265"/>
    <cellStyle name="Note 14 6_Table 2A-1_EFT (Annual)" xfId="7214"/>
    <cellStyle name="Note 14 7" xfId="3722"/>
    <cellStyle name="Note 14 7 2" xfId="12090"/>
    <cellStyle name="Note 14 7 2 2" xfId="24120"/>
    <cellStyle name="Note 14 7 2 2 2" xfId="45306"/>
    <cellStyle name="Note 14 7 2 3" xfId="34702"/>
    <cellStyle name="Note 14 7 3" xfId="19007"/>
    <cellStyle name="Note 14 7 3 2" xfId="40194"/>
    <cellStyle name="Note 14 7 4" xfId="29431"/>
    <cellStyle name="Note 14 7_Table 2A-1_EFT (Annual)" xfId="15503"/>
    <cellStyle name="Note 14 8" xfId="9409"/>
    <cellStyle name="Note 14 8 2" xfId="21574"/>
    <cellStyle name="Note 14 8 2 2" xfId="42760"/>
    <cellStyle name="Note 14 8 3" xfId="32156"/>
    <cellStyle name="Note 14 9" xfId="16461"/>
    <cellStyle name="Note 14 9 2" xfId="37648"/>
    <cellStyle name="Note 14_Table 2A-1_EFT (Annual)" xfId="3237"/>
    <cellStyle name="Note 15" xfId="146"/>
    <cellStyle name="Note 15 10" xfId="26701"/>
    <cellStyle name="Note 15 2" xfId="539"/>
    <cellStyle name="Note 15 2 2" xfId="1516"/>
    <cellStyle name="Note 15 2 2 2" xfId="2786"/>
    <cellStyle name="Note 15 2 2 2 2" xfId="6347"/>
    <cellStyle name="Note 15 2 2 2 2 2" xfId="14541"/>
    <cellStyle name="Note 15 2 2 2 2 2 2" xfId="26513"/>
    <cellStyle name="Note 15 2 2 2 2 2 2 2" xfId="47699"/>
    <cellStyle name="Note 15 2 2 2 2 2 3" xfId="37095"/>
    <cellStyle name="Note 15 2 2 2 2 3" xfId="21400"/>
    <cellStyle name="Note 15 2 2 2 2 3 2" xfId="42587"/>
    <cellStyle name="Note 15 2 2 2 2 4" xfId="32003"/>
    <cellStyle name="Note 15 2 2 2 2_Table 2A-1_EFT (Annual)" xfId="15504"/>
    <cellStyle name="Note 15 2 2 2 3" xfId="11883"/>
    <cellStyle name="Note 15 2 2 2 3 2" xfId="23967"/>
    <cellStyle name="Note 15 2 2 2 3 2 2" xfId="45153"/>
    <cellStyle name="Note 15 2 2 2 3 3" xfId="34549"/>
    <cellStyle name="Note 15 2 2 2 4" xfId="18854"/>
    <cellStyle name="Note 15 2 2 2 4 2" xfId="40041"/>
    <cellStyle name="Note 15 2 2 2 5" xfId="29260"/>
    <cellStyle name="Note 15 2 2 2_Table 2A-1_EFT (Annual)" xfId="7216"/>
    <cellStyle name="Note 15 2 2 3" xfId="5077"/>
    <cellStyle name="Note 15 2 2 3 2" xfId="13337"/>
    <cellStyle name="Note 15 2 2 3 2 2" xfId="25343"/>
    <cellStyle name="Note 15 2 2 3 2 2 2" xfId="46529"/>
    <cellStyle name="Note 15 2 2 3 2 3" xfId="35925"/>
    <cellStyle name="Note 15 2 2 3 3" xfId="20230"/>
    <cellStyle name="Note 15 2 2 3 3 2" xfId="41417"/>
    <cellStyle name="Note 15 2 2 3 4" xfId="30734"/>
    <cellStyle name="Note 15 2 2 3_Table 2A-1_EFT (Annual)" xfId="15505"/>
    <cellStyle name="Note 15 2 2 4" xfId="10681"/>
    <cellStyle name="Note 15 2 2 4 2" xfId="22797"/>
    <cellStyle name="Note 15 2 2 4 2 2" xfId="43983"/>
    <cellStyle name="Note 15 2 2 4 3" xfId="33379"/>
    <cellStyle name="Note 15 2 2 5" xfId="17684"/>
    <cellStyle name="Note 15 2 2 5 2" xfId="38871"/>
    <cellStyle name="Note 15 2 2 6" xfId="27991"/>
    <cellStyle name="Note 15 2 2_Table 2A-1_EFT (Annual)" xfId="7215"/>
    <cellStyle name="Note 15 2 3" xfId="1047"/>
    <cellStyle name="Note 15 2 3 2" xfId="4608"/>
    <cellStyle name="Note 15 2 3 2 2" xfId="12868"/>
    <cellStyle name="Note 15 2 3 2 2 2" xfId="24874"/>
    <cellStyle name="Note 15 2 3 2 2 2 2" xfId="46060"/>
    <cellStyle name="Note 15 2 3 2 2 3" xfId="35456"/>
    <cellStyle name="Note 15 2 3 2 3" xfId="19761"/>
    <cellStyle name="Note 15 2 3 2 3 2" xfId="40948"/>
    <cellStyle name="Note 15 2 3 2 4" xfId="30265"/>
    <cellStyle name="Note 15 2 3 2_Table 2A-1_EFT (Annual)" xfId="15506"/>
    <cellStyle name="Note 15 2 3 3" xfId="10212"/>
    <cellStyle name="Note 15 2 3 3 2" xfId="22328"/>
    <cellStyle name="Note 15 2 3 3 2 2" xfId="43514"/>
    <cellStyle name="Note 15 2 3 3 3" xfId="32910"/>
    <cellStyle name="Note 15 2 3 4" xfId="17215"/>
    <cellStyle name="Note 15 2 3 4 2" xfId="38402"/>
    <cellStyle name="Note 15 2 3 5" xfId="27522"/>
    <cellStyle name="Note 15 2 3_Table 2A-1_EFT (Annual)" xfId="7217"/>
    <cellStyle name="Note 15 2 4" xfId="2255"/>
    <cellStyle name="Note 15 2 4 2" xfId="5816"/>
    <cellStyle name="Note 15 2 4 2 2" xfId="14031"/>
    <cellStyle name="Note 15 2 4 2 2 2" xfId="26019"/>
    <cellStyle name="Note 15 2 4 2 2 2 2" xfId="47205"/>
    <cellStyle name="Note 15 2 4 2 2 3" xfId="36601"/>
    <cellStyle name="Note 15 2 4 2 3" xfId="20906"/>
    <cellStyle name="Note 15 2 4 2 3 2" xfId="42093"/>
    <cellStyle name="Note 15 2 4 2 4" xfId="31473"/>
    <cellStyle name="Note 15 2 4 2_Table 2A-1_EFT (Annual)" xfId="15507"/>
    <cellStyle name="Note 15 2 4 3" xfId="11375"/>
    <cellStyle name="Note 15 2 4 3 2" xfId="23473"/>
    <cellStyle name="Note 15 2 4 3 2 2" xfId="44659"/>
    <cellStyle name="Note 15 2 4 3 3" xfId="34055"/>
    <cellStyle name="Note 15 2 4 4" xfId="18360"/>
    <cellStyle name="Note 15 2 4 4 2" xfId="39547"/>
    <cellStyle name="Note 15 2 4 5" xfId="28730"/>
    <cellStyle name="Note 15 2 4_Table 2A-1_EFT (Annual)" xfId="7218"/>
    <cellStyle name="Note 15 2 5" xfId="4109"/>
    <cellStyle name="Note 15 2 5 2" xfId="12433"/>
    <cellStyle name="Note 15 2 5 2 2" xfId="24455"/>
    <cellStyle name="Note 15 2 5 2 2 2" xfId="45641"/>
    <cellStyle name="Note 15 2 5 2 3" xfId="35037"/>
    <cellStyle name="Note 15 2 5 3" xfId="19342"/>
    <cellStyle name="Note 15 2 5 3 2" xfId="40529"/>
    <cellStyle name="Note 15 2 5 4" xfId="29797"/>
    <cellStyle name="Note 15 2 5_Table 2A-1_EFT (Annual)" xfId="15508"/>
    <cellStyle name="Note 15 2 6" xfId="9772"/>
    <cellStyle name="Note 15 2 6 2" xfId="21909"/>
    <cellStyle name="Note 15 2 6 2 2" xfId="43095"/>
    <cellStyle name="Note 15 2 6 3" xfId="32491"/>
    <cellStyle name="Note 15 2 7" xfId="16796"/>
    <cellStyle name="Note 15 2 7 2" xfId="37983"/>
    <cellStyle name="Note 15 2 8" xfId="27054"/>
    <cellStyle name="Note 15 2_Table 2A-1_EFT (Annual)" xfId="3241"/>
    <cellStyle name="Note 15 3" xfId="377"/>
    <cellStyle name="Note 15 3 2" xfId="1360"/>
    <cellStyle name="Note 15 3 2 2" xfId="2630"/>
    <cellStyle name="Note 15 3 2 2 2" xfId="6191"/>
    <cellStyle name="Note 15 3 2 2 2 2" xfId="14385"/>
    <cellStyle name="Note 15 3 2 2 2 2 2" xfId="26357"/>
    <cellStyle name="Note 15 3 2 2 2 2 2 2" xfId="47543"/>
    <cellStyle name="Note 15 3 2 2 2 2 3" xfId="36939"/>
    <cellStyle name="Note 15 3 2 2 2 3" xfId="21244"/>
    <cellStyle name="Note 15 3 2 2 2 3 2" xfId="42431"/>
    <cellStyle name="Note 15 3 2 2 2 4" xfId="31847"/>
    <cellStyle name="Note 15 3 2 2 2_Table 2A-1_EFT (Annual)" xfId="15509"/>
    <cellStyle name="Note 15 3 2 2 3" xfId="11727"/>
    <cellStyle name="Note 15 3 2 2 3 2" xfId="23811"/>
    <cellStyle name="Note 15 3 2 2 3 2 2" xfId="44997"/>
    <cellStyle name="Note 15 3 2 2 3 3" xfId="34393"/>
    <cellStyle name="Note 15 3 2 2 4" xfId="18698"/>
    <cellStyle name="Note 15 3 2 2 4 2" xfId="39885"/>
    <cellStyle name="Note 15 3 2 2 5" xfId="29104"/>
    <cellStyle name="Note 15 3 2 2_Table 2A-1_EFT (Annual)" xfId="7220"/>
    <cellStyle name="Note 15 3 2 3" xfId="4921"/>
    <cellStyle name="Note 15 3 2 3 2" xfId="13181"/>
    <cellStyle name="Note 15 3 2 3 2 2" xfId="25187"/>
    <cellStyle name="Note 15 3 2 3 2 2 2" xfId="46373"/>
    <cellStyle name="Note 15 3 2 3 2 3" xfId="35769"/>
    <cellStyle name="Note 15 3 2 3 3" xfId="20074"/>
    <cellStyle name="Note 15 3 2 3 3 2" xfId="41261"/>
    <cellStyle name="Note 15 3 2 3 4" xfId="30578"/>
    <cellStyle name="Note 15 3 2 3_Table 2A-1_EFT (Annual)" xfId="15510"/>
    <cellStyle name="Note 15 3 2 4" xfId="10525"/>
    <cellStyle name="Note 15 3 2 4 2" xfId="22641"/>
    <cellStyle name="Note 15 3 2 4 2 2" xfId="43827"/>
    <cellStyle name="Note 15 3 2 4 3" xfId="33223"/>
    <cellStyle name="Note 15 3 2 5" xfId="17528"/>
    <cellStyle name="Note 15 3 2 5 2" xfId="38715"/>
    <cellStyle name="Note 15 3 2 6" xfId="27835"/>
    <cellStyle name="Note 15 3 2_Table 2A-1_EFT (Annual)" xfId="7219"/>
    <cellStyle name="Note 15 3 3" xfId="915"/>
    <cellStyle name="Note 15 3 3 2" xfId="4476"/>
    <cellStyle name="Note 15 3 3 2 2" xfId="12738"/>
    <cellStyle name="Note 15 3 3 2 2 2" xfId="24748"/>
    <cellStyle name="Note 15 3 3 2 2 2 2" xfId="45934"/>
    <cellStyle name="Note 15 3 3 2 2 3" xfId="35330"/>
    <cellStyle name="Note 15 3 3 2 3" xfId="19635"/>
    <cellStyle name="Note 15 3 3 2 3 2" xfId="40822"/>
    <cellStyle name="Note 15 3 3 2 4" xfId="30133"/>
    <cellStyle name="Note 15 3 3 2_Table 2A-1_EFT (Annual)" xfId="15511"/>
    <cellStyle name="Note 15 3 3 3" xfId="10085"/>
    <cellStyle name="Note 15 3 3 3 2" xfId="22202"/>
    <cellStyle name="Note 15 3 3 3 2 2" xfId="43388"/>
    <cellStyle name="Note 15 3 3 3 3" xfId="32784"/>
    <cellStyle name="Note 15 3 3 4" xfId="17089"/>
    <cellStyle name="Note 15 3 3 4 2" xfId="38276"/>
    <cellStyle name="Note 15 3 3 5" xfId="27390"/>
    <cellStyle name="Note 15 3 3_Table 2A-1_EFT (Annual)" xfId="7221"/>
    <cellStyle name="Note 15 3 4" xfId="2099"/>
    <cellStyle name="Note 15 3 4 2" xfId="5660"/>
    <cellStyle name="Note 15 3 4 2 2" xfId="13875"/>
    <cellStyle name="Note 15 3 4 2 2 2" xfId="25863"/>
    <cellStyle name="Note 15 3 4 2 2 2 2" xfId="47049"/>
    <cellStyle name="Note 15 3 4 2 2 3" xfId="36445"/>
    <cellStyle name="Note 15 3 4 2 3" xfId="20750"/>
    <cellStyle name="Note 15 3 4 2 3 2" xfId="41937"/>
    <cellStyle name="Note 15 3 4 2 4" xfId="31317"/>
    <cellStyle name="Note 15 3 4 2_Table 2A-1_EFT (Annual)" xfId="15512"/>
    <cellStyle name="Note 15 3 4 3" xfId="11219"/>
    <cellStyle name="Note 15 3 4 3 2" xfId="23317"/>
    <cellStyle name="Note 15 3 4 3 2 2" xfId="44503"/>
    <cellStyle name="Note 15 3 4 3 3" xfId="33899"/>
    <cellStyle name="Note 15 3 4 4" xfId="18204"/>
    <cellStyle name="Note 15 3 4 4 2" xfId="39391"/>
    <cellStyle name="Note 15 3 4 5" xfId="28574"/>
    <cellStyle name="Note 15 3 4_Table 2A-1_EFT (Annual)" xfId="7222"/>
    <cellStyle name="Note 15 3 5" xfId="3947"/>
    <cellStyle name="Note 15 3 5 2" xfId="12275"/>
    <cellStyle name="Note 15 3 5 2 2" xfId="24299"/>
    <cellStyle name="Note 15 3 5 2 2 2" xfId="45485"/>
    <cellStyle name="Note 15 3 5 2 3" xfId="34881"/>
    <cellStyle name="Note 15 3 5 3" xfId="19186"/>
    <cellStyle name="Note 15 3 5 3 2" xfId="40373"/>
    <cellStyle name="Note 15 3 5 4" xfId="29635"/>
    <cellStyle name="Note 15 3 5_Table 2A-1_EFT (Annual)" xfId="15513"/>
    <cellStyle name="Note 15 3 6" xfId="9612"/>
    <cellStyle name="Note 15 3 6 2" xfId="21753"/>
    <cellStyle name="Note 15 3 6 2 2" xfId="42939"/>
    <cellStyle name="Note 15 3 6 3" xfId="32335"/>
    <cellStyle name="Note 15 3 7" xfId="16640"/>
    <cellStyle name="Note 15 3 7 2" xfId="37827"/>
    <cellStyle name="Note 15 3 8" xfId="26892"/>
    <cellStyle name="Note 15 3_Table 2A-1_EFT (Annual)" xfId="3242"/>
    <cellStyle name="Note 15 4" xfId="1194"/>
    <cellStyle name="Note 15 4 2" xfId="2464"/>
    <cellStyle name="Note 15 4 2 2" xfId="6025"/>
    <cellStyle name="Note 15 4 2 2 2" xfId="14219"/>
    <cellStyle name="Note 15 4 2 2 2 2" xfId="26191"/>
    <cellStyle name="Note 15 4 2 2 2 2 2" xfId="47377"/>
    <cellStyle name="Note 15 4 2 2 2 3" xfId="36773"/>
    <cellStyle name="Note 15 4 2 2 3" xfId="21078"/>
    <cellStyle name="Note 15 4 2 2 3 2" xfId="42265"/>
    <cellStyle name="Note 15 4 2 2 4" xfId="31681"/>
    <cellStyle name="Note 15 4 2 2_Table 2A-1_EFT (Annual)" xfId="15514"/>
    <cellStyle name="Note 15 4 2 3" xfId="11561"/>
    <cellStyle name="Note 15 4 2 3 2" xfId="23645"/>
    <cellStyle name="Note 15 4 2 3 2 2" xfId="44831"/>
    <cellStyle name="Note 15 4 2 3 3" xfId="34227"/>
    <cellStyle name="Note 15 4 2 4" xfId="18532"/>
    <cellStyle name="Note 15 4 2 4 2" xfId="39719"/>
    <cellStyle name="Note 15 4 2 5" xfId="28938"/>
    <cellStyle name="Note 15 4 2_Table 2A-1_EFT (Annual)" xfId="7224"/>
    <cellStyle name="Note 15 4 3" xfId="4755"/>
    <cellStyle name="Note 15 4 3 2" xfId="13015"/>
    <cellStyle name="Note 15 4 3 2 2" xfId="25021"/>
    <cellStyle name="Note 15 4 3 2 2 2" xfId="46207"/>
    <cellStyle name="Note 15 4 3 2 3" xfId="35603"/>
    <cellStyle name="Note 15 4 3 3" xfId="19908"/>
    <cellStyle name="Note 15 4 3 3 2" xfId="41095"/>
    <cellStyle name="Note 15 4 3 4" xfId="30412"/>
    <cellStyle name="Note 15 4 3_Table 2A-1_EFT (Annual)" xfId="15515"/>
    <cellStyle name="Note 15 4 4" xfId="10359"/>
    <cellStyle name="Note 15 4 4 2" xfId="22475"/>
    <cellStyle name="Note 15 4 4 2 2" xfId="43661"/>
    <cellStyle name="Note 15 4 4 3" xfId="33057"/>
    <cellStyle name="Note 15 4 5" xfId="17362"/>
    <cellStyle name="Note 15 4 5 2" xfId="38549"/>
    <cellStyle name="Note 15 4 6" xfId="27669"/>
    <cellStyle name="Note 15 4_Table 2A-1_EFT (Annual)" xfId="7223"/>
    <cellStyle name="Note 15 5" xfId="756"/>
    <cellStyle name="Note 15 5 2" xfId="4317"/>
    <cellStyle name="Note 15 5 2 2" xfId="12597"/>
    <cellStyle name="Note 15 5 2 2 2" xfId="24614"/>
    <cellStyle name="Note 15 5 2 2 2 2" xfId="45800"/>
    <cellStyle name="Note 15 5 2 2 3" xfId="35196"/>
    <cellStyle name="Note 15 5 2 3" xfId="19501"/>
    <cellStyle name="Note 15 5 2 3 2" xfId="40688"/>
    <cellStyle name="Note 15 5 2 4" xfId="29974"/>
    <cellStyle name="Note 15 5 2_Table 2A-1_EFT (Annual)" xfId="15516"/>
    <cellStyle name="Note 15 5 3" xfId="9945"/>
    <cellStyle name="Note 15 5 3 2" xfId="22068"/>
    <cellStyle name="Note 15 5 3 2 2" xfId="43254"/>
    <cellStyle name="Note 15 5 3 3" xfId="32650"/>
    <cellStyle name="Note 15 5 4" xfId="16955"/>
    <cellStyle name="Note 15 5 4 2" xfId="38142"/>
    <cellStyle name="Note 15 5 5" xfId="27231"/>
    <cellStyle name="Note 15 5_Table 2A-1_EFT (Annual)" xfId="7225"/>
    <cellStyle name="Note 15 6" xfId="1851"/>
    <cellStyle name="Note 15 6 2" xfId="5412"/>
    <cellStyle name="Note 15 6 2 2" xfId="13627"/>
    <cellStyle name="Note 15 6 2 2 2" xfId="25615"/>
    <cellStyle name="Note 15 6 2 2 2 2" xfId="46801"/>
    <cellStyle name="Note 15 6 2 2 3" xfId="36197"/>
    <cellStyle name="Note 15 6 2 3" xfId="20502"/>
    <cellStyle name="Note 15 6 2 3 2" xfId="41689"/>
    <cellStyle name="Note 15 6 2 4" xfId="31069"/>
    <cellStyle name="Note 15 6 2_Table 2A-1_EFT (Annual)" xfId="15517"/>
    <cellStyle name="Note 15 6 3" xfId="10971"/>
    <cellStyle name="Note 15 6 3 2" xfId="23069"/>
    <cellStyle name="Note 15 6 3 2 2" xfId="44255"/>
    <cellStyle name="Note 15 6 3 3" xfId="33651"/>
    <cellStyle name="Note 15 6 4" xfId="17956"/>
    <cellStyle name="Note 15 6 4 2" xfId="39143"/>
    <cellStyle name="Note 15 6 5" xfId="28326"/>
    <cellStyle name="Note 15 6_Table 2A-1_EFT (Annual)" xfId="7226"/>
    <cellStyle name="Note 15 7" xfId="3735"/>
    <cellStyle name="Note 15 7 2" xfId="12103"/>
    <cellStyle name="Note 15 7 2 2" xfId="24133"/>
    <cellStyle name="Note 15 7 2 2 2" xfId="45319"/>
    <cellStyle name="Note 15 7 2 3" xfId="34715"/>
    <cellStyle name="Note 15 7 3" xfId="19020"/>
    <cellStyle name="Note 15 7 3 2" xfId="40207"/>
    <cellStyle name="Note 15 7 4" xfId="29444"/>
    <cellStyle name="Note 15 7_Table 2A-1_EFT (Annual)" xfId="15518"/>
    <cellStyle name="Note 15 8" xfId="9422"/>
    <cellStyle name="Note 15 8 2" xfId="21587"/>
    <cellStyle name="Note 15 8 2 2" xfId="42773"/>
    <cellStyle name="Note 15 8 3" xfId="32169"/>
    <cellStyle name="Note 15 9" xfId="16474"/>
    <cellStyle name="Note 15 9 2" xfId="37661"/>
    <cellStyle name="Note 15_Table 2A-1_EFT (Annual)" xfId="3240"/>
    <cellStyle name="Note 16" xfId="162"/>
    <cellStyle name="Note 16 10" xfId="26717"/>
    <cellStyle name="Note 16 2" xfId="555"/>
    <cellStyle name="Note 16 2 2" xfId="1532"/>
    <cellStyle name="Note 16 2 2 2" xfId="2802"/>
    <cellStyle name="Note 16 2 2 2 2" xfId="6363"/>
    <cellStyle name="Note 16 2 2 2 2 2" xfId="14557"/>
    <cellStyle name="Note 16 2 2 2 2 2 2" xfId="26529"/>
    <cellStyle name="Note 16 2 2 2 2 2 2 2" xfId="47715"/>
    <cellStyle name="Note 16 2 2 2 2 2 3" xfId="37111"/>
    <cellStyle name="Note 16 2 2 2 2 3" xfId="21416"/>
    <cellStyle name="Note 16 2 2 2 2 3 2" xfId="42603"/>
    <cellStyle name="Note 16 2 2 2 2 4" xfId="32019"/>
    <cellStyle name="Note 16 2 2 2 2_Table 2A-1_EFT (Annual)" xfId="15519"/>
    <cellStyle name="Note 16 2 2 2 3" xfId="11899"/>
    <cellStyle name="Note 16 2 2 2 3 2" xfId="23983"/>
    <cellStyle name="Note 16 2 2 2 3 2 2" xfId="45169"/>
    <cellStyle name="Note 16 2 2 2 3 3" xfId="34565"/>
    <cellStyle name="Note 16 2 2 2 4" xfId="18870"/>
    <cellStyle name="Note 16 2 2 2 4 2" xfId="40057"/>
    <cellStyle name="Note 16 2 2 2 5" xfId="29276"/>
    <cellStyle name="Note 16 2 2 2_Table 2A-1_EFT (Annual)" xfId="7228"/>
    <cellStyle name="Note 16 2 2 3" xfId="5093"/>
    <cellStyle name="Note 16 2 2 3 2" xfId="13353"/>
    <cellStyle name="Note 16 2 2 3 2 2" xfId="25359"/>
    <cellStyle name="Note 16 2 2 3 2 2 2" xfId="46545"/>
    <cellStyle name="Note 16 2 2 3 2 3" xfId="35941"/>
    <cellStyle name="Note 16 2 2 3 3" xfId="20246"/>
    <cellStyle name="Note 16 2 2 3 3 2" xfId="41433"/>
    <cellStyle name="Note 16 2 2 3 4" xfId="30750"/>
    <cellStyle name="Note 16 2 2 3_Table 2A-1_EFT (Annual)" xfId="15520"/>
    <cellStyle name="Note 16 2 2 4" xfId="10697"/>
    <cellStyle name="Note 16 2 2 4 2" xfId="22813"/>
    <cellStyle name="Note 16 2 2 4 2 2" xfId="43999"/>
    <cellStyle name="Note 16 2 2 4 3" xfId="33395"/>
    <cellStyle name="Note 16 2 2 5" xfId="17700"/>
    <cellStyle name="Note 16 2 2 5 2" xfId="38887"/>
    <cellStyle name="Note 16 2 2 6" xfId="28007"/>
    <cellStyle name="Note 16 2 2_Table 2A-1_EFT (Annual)" xfId="7227"/>
    <cellStyle name="Note 16 2 3" xfId="1060"/>
    <cellStyle name="Note 16 2 3 2" xfId="4621"/>
    <cellStyle name="Note 16 2 3 2 2" xfId="12881"/>
    <cellStyle name="Note 16 2 3 2 2 2" xfId="24887"/>
    <cellStyle name="Note 16 2 3 2 2 2 2" xfId="46073"/>
    <cellStyle name="Note 16 2 3 2 2 3" xfId="35469"/>
    <cellStyle name="Note 16 2 3 2 3" xfId="19774"/>
    <cellStyle name="Note 16 2 3 2 3 2" xfId="40961"/>
    <cellStyle name="Note 16 2 3 2 4" xfId="30278"/>
    <cellStyle name="Note 16 2 3 2_Table 2A-1_EFT (Annual)" xfId="15521"/>
    <cellStyle name="Note 16 2 3 3" xfId="10225"/>
    <cellStyle name="Note 16 2 3 3 2" xfId="22341"/>
    <cellStyle name="Note 16 2 3 3 2 2" xfId="43527"/>
    <cellStyle name="Note 16 2 3 3 3" xfId="32923"/>
    <cellStyle name="Note 16 2 3 4" xfId="17228"/>
    <cellStyle name="Note 16 2 3 4 2" xfId="38415"/>
    <cellStyle name="Note 16 2 3 5" xfId="27535"/>
    <cellStyle name="Note 16 2 3_Table 2A-1_EFT (Annual)" xfId="7229"/>
    <cellStyle name="Note 16 2 4" xfId="2271"/>
    <cellStyle name="Note 16 2 4 2" xfId="5832"/>
    <cellStyle name="Note 16 2 4 2 2" xfId="14047"/>
    <cellStyle name="Note 16 2 4 2 2 2" xfId="26035"/>
    <cellStyle name="Note 16 2 4 2 2 2 2" xfId="47221"/>
    <cellStyle name="Note 16 2 4 2 2 3" xfId="36617"/>
    <cellStyle name="Note 16 2 4 2 3" xfId="20922"/>
    <cellStyle name="Note 16 2 4 2 3 2" xfId="42109"/>
    <cellStyle name="Note 16 2 4 2 4" xfId="31489"/>
    <cellStyle name="Note 16 2 4 2_Table 2A-1_EFT (Annual)" xfId="15522"/>
    <cellStyle name="Note 16 2 4 3" xfId="11391"/>
    <cellStyle name="Note 16 2 4 3 2" xfId="23489"/>
    <cellStyle name="Note 16 2 4 3 2 2" xfId="44675"/>
    <cellStyle name="Note 16 2 4 3 3" xfId="34071"/>
    <cellStyle name="Note 16 2 4 4" xfId="18376"/>
    <cellStyle name="Note 16 2 4 4 2" xfId="39563"/>
    <cellStyle name="Note 16 2 4 5" xfId="28746"/>
    <cellStyle name="Note 16 2 4_Table 2A-1_EFT (Annual)" xfId="7230"/>
    <cellStyle name="Note 16 2 5" xfId="4125"/>
    <cellStyle name="Note 16 2 5 2" xfId="12449"/>
    <cellStyle name="Note 16 2 5 2 2" xfId="24471"/>
    <cellStyle name="Note 16 2 5 2 2 2" xfId="45657"/>
    <cellStyle name="Note 16 2 5 2 3" xfId="35053"/>
    <cellStyle name="Note 16 2 5 3" xfId="19358"/>
    <cellStyle name="Note 16 2 5 3 2" xfId="40545"/>
    <cellStyle name="Note 16 2 5 4" xfId="29813"/>
    <cellStyle name="Note 16 2 5_Table 2A-1_EFT (Annual)" xfId="15523"/>
    <cellStyle name="Note 16 2 6" xfId="9788"/>
    <cellStyle name="Note 16 2 6 2" xfId="21925"/>
    <cellStyle name="Note 16 2 6 2 2" xfId="43111"/>
    <cellStyle name="Note 16 2 6 3" xfId="32507"/>
    <cellStyle name="Note 16 2 7" xfId="16812"/>
    <cellStyle name="Note 16 2 7 2" xfId="37999"/>
    <cellStyle name="Note 16 2 8" xfId="27070"/>
    <cellStyle name="Note 16 2_Table 2A-1_EFT (Annual)" xfId="3244"/>
    <cellStyle name="Note 16 3" xfId="393"/>
    <cellStyle name="Note 16 3 2" xfId="1376"/>
    <cellStyle name="Note 16 3 2 2" xfId="2646"/>
    <cellStyle name="Note 16 3 2 2 2" xfId="6207"/>
    <cellStyle name="Note 16 3 2 2 2 2" xfId="14401"/>
    <cellStyle name="Note 16 3 2 2 2 2 2" xfId="26373"/>
    <cellStyle name="Note 16 3 2 2 2 2 2 2" xfId="47559"/>
    <cellStyle name="Note 16 3 2 2 2 2 3" xfId="36955"/>
    <cellStyle name="Note 16 3 2 2 2 3" xfId="21260"/>
    <cellStyle name="Note 16 3 2 2 2 3 2" xfId="42447"/>
    <cellStyle name="Note 16 3 2 2 2 4" xfId="31863"/>
    <cellStyle name="Note 16 3 2 2 2_Table 2A-1_EFT (Annual)" xfId="15524"/>
    <cellStyle name="Note 16 3 2 2 3" xfId="11743"/>
    <cellStyle name="Note 16 3 2 2 3 2" xfId="23827"/>
    <cellStyle name="Note 16 3 2 2 3 2 2" xfId="45013"/>
    <cellStyle name="Note 16 3 2 2 3 3" xfId="34409"/>
    <cellStyle name="Note 16 3 2 2 4" xfId="18714"/>
    <cellStyle name="Note 16 3 2 2 4 2" xfId="39901"/>
    <cellStyle name="Note 16 3 2 2 5" xfId="29120"/>
    <cellStyle name="Note 16 3 2 2_Table 2A-1_EFT (Annual)" xfId="7232"/>
    <cellStyle name="Note 16 3 2 3" xfId="4937"/>
    <cellStyle name="Note 16 3 2 3 2" xfId="13197"/>
    <cellStyle name="Note 16 3 2 3 2 2" xfId="25203"/>
    <cellStyle name="Note 16 3 2 3 2 2 2" xfId="46389"/>
    <cellStyle name="Note 16 3 2 3 2 3" xfId="35785"/>
    <cellStyle name="Note 16 3 2 3 3" xfId="20090"/>
    <cellStyle name="Note 16 3 2 3 3 2" xfId="41277"/>
    <cellStyle name="Note 16 3 2 3 4" xfId="30594"/>
    <cellStyle name="Note 16 3 2 3_Table 2A-1_EFT (Annual)" xfId="15525"/>
    <cellStyle name="Note 16 3 2 4" xfId="10541"/>
    <cellStyle name="Note 16 3 2 4 2" xfId="22657"/>
    <cellStyle name="Note 16 3 2 4 2 2" xfId="43843"/>
    <cellStyle name="Note 16 3 2 4 3" xfId="33239"/>
    <cellStyle name="Note 16 3 2 5" xfId="17544"/>
    <cellStyle name="Note 16 3 2 5 2" xfId="38731"/>
    <cellStyle name="Note 16 3 2 6" xfId="27851"/>
    <cellStyle name="Note 16 3 2_Table 2A-1_EFT (Annual)" xfId="7231"/>
    <cellStyle name="Note 16 3 3" xfId="928"/>
    <cellStyle name="Note 16 3 3 2" xfId="4489"/>
    <cellStyle name="Note 16 3 3 2 2" xfId="12751"/>
    <cellStyle name="Note 16 3 3 2 2 2" xfId="24761"/>
    <cellStyle name="Note 16 3 3 2 2 2 2" xfId="45947"/>
    <cellStyle name="Note 16 3 3 2 2 3" xfId="35343"/>
    <cellStyle name="Note 16 3 3 2 3" xfId="19648"/>
    <cellStyle name="Note 16 3 3 2 3 2" xfId="40835"/>
    <cellStyle name="Note 16 3 3 2 4" xfId="30146"/>
    <cellStyle name="Note 16 3 3 2_Table 2A-1_EFT (Annual)" xfId="15526"/>
    <cellStyle name="Note 16 3 3 3" xfId="10098"/>
    <cellStyle name="Note 16 3 3 3 2" xfId="22215"/>
    <cellStyle name="Note 16 3 3 3 2 2" xfId="43401"/>
    <cellStyle name="Note 16 3 3 3 3" xfId="32797"/>
    <cellStyle name="Note 16 3 3 4" xfId="17102"/>
    <cellStyle name="Note 16 3 3 4 2" xfId="38289"/>
    <cellStyle name="Note 16 3 3 5" xfId="27403"/>
    <cellStyle name="Note 16 3 3_Table 2A-1_EFT (Annual)" xfId="7233"/>
    <cellStyle name="Note 16 3 4" xfId="2115"/>
    <cellStyle name="Note 16 3 4 2" xfId="5676"/>
    <cellStyle name="Note 16 3 4 2 2" xfId="13891"/>
    <cellStyle name="Note 16 3 4 2 2 2" xfId="25879"/>
    <cellStyle name="Note 16 3 4 2 2 2 2" xfId="47065"/>
    <cellStyle name="Note 16 3 4 2 2 3" xfId="36461"/>
    <cellStyle name="Note 16 3 4 2 3" xfId="20766"/>
    <cellStyle name="Note 16 3 4 2 3 2" xfId="41953"/>
    <cellStyle name="Note 16 3 4 2 4" xfId="31333"/>
    <cellStyle name="Note 16 3 4 2_Table 2A-1_EFT (Annual)" xfId="15527"/>
    <cellStyle name="Note 16 3 4 3" xfId="11235"/>
    <cellStyle name="Note 16 3 4 3 2" xfId="23333"/>
    <cellStyle name="Note 16 3 4 3 2 2" xfId="44519"/>
    <cellStyle name="Note 16 3 4 3 3" xfId="33915"/>
    <cellStyle name="Note 16 3 4 4" xfId="18220"/>
    <cellStyle name="Note 16 3 4 4 2" xfId="39407"/>
    <cellStyle name="Note 16 3 4 5" xfId="28590"/>
    <cellStyle name="Note 16 3 4_Table 2A-1_EFT (Annual)" xfId="7234"/>
    <cellStyle name="Note 16 3 5" xfId="3963"/>
    <cellStyle name="Note 16 3 5 2" xfId="12291"/>
    <cellStyle name="Note 16 3 5 2 2" xfId="24315"/>
    <cellStyle name="Note 16 3 5 2 2 2" xfId="45501"/>
    <cellStyle name="Note 16 3 5 2 3" xfId="34897"/>
    <cellStyle name="Note 16 3 5 3" xfId="19202"/>
    <cellStyle name="Note 16 3 5 3 2" xfId="40389"/>
    <cellStyle name="Note 16 3 5 4" xfId="29651"/>
    <cellStyle name="Note 16 3 5_Table 2A-1_EFT (Annual)" xfId="15528"/>
    <cellStyle name="Note 16 3 6" xfId="9628"/>
    <cellStyle name="Note 16 3 6 2" xfId="21769"/>
    <cellStyle name="Note 16 3 6 2 2" xfId="42955"/>
    <cellStyle name="Note 16 3 6 3" xfId="32351"/>
    <cellStyle name="Note 16 3 7" xfId="16656"/>
    <cellStyle name="Note 16 3 7 2" xfId="37843"/>
    <cellStyle name="Note 16 3 8" xfId="26908"/>
    <cellStyle name="Note 16 3_Table 2A-1_EFT (Annual)" xfId="3245"/>
    <cellStyle name="Note 16 4" xfId="1210"/>
    <cellStyle name="Note 16 4 2" xfId="2480"/>
    <cellStyle name="Note 16 4 2 2" xfId="6041"/>
    <cellStyle name="Note 16 4 2 2 2" xfId="14235"/>
    <cellStyle name="Note 16 4 2 2 2 2" xfId="26207"/>
    <cellStyle name="Note 16 4 2 2 2 2 2" xfId="47393"/>
    <cellStyle name="Note 16 4 2 2 2 3" xfId="36789"/>
    <cellStyle name="Note 16 4 2 2 3" xfId="21094"/>
    <cellStyle name="Note 16 4 2 2 3 2" xfId="42281"/>
    <cellStyle name="Note 16 4 2 2 4" xfId="31697"/>
    <cellStyle name="Note 16 4 2 2_Table 2A-1_EFT (Annual)" xfId="15529"/>
    <cellStyle name="Note 16 4 2 3" xfId="11577"/>
    <cellStyle name="Note 16 4 2 3 2" xfId="23661"/>
    <cellStyle name="Note 16 4 2 3 2 2" xfId="44847"/>
    <cellStyle name="Note 16 4 2 3 3" xfId="34243"/>
    <cellStyle name="Note 16 4 2 4" xfId="18548"/>
    <cellStyle name="Note 16 4 2 4 2" xfId="39735"/>
    <cellStyle name="Note 16 4 2 5" xfId="28954"/>
    <cellStyle name="Note 16 4 2_Table 2A-1_EFT (Annual)" xfId="7236"/>
    <cellStyle name="Note 16 4 3" xfId="4771"/>
    <cellStyle name="Note 16 4 3 2" xfId="13031"/>
    <cellStyle name="Note 16 4 3 2 2" xfId="25037"/>
    <cellStyle name="Note 16 4 3 2 2 2" xfId="46223"/>
    <cellStyle name="Note 16 4 3 2 3" xfId="35619"/>
    <cellStyle name="Note 16 4 3 3" xfId="19924"/>
    <cellStyle name="Note 16 4 3 3 2" xfId="41111"/>
    <cellStyle name="Note 16 4 3 4" xfId="30428"/>
    <cellStyle name="Note 16 4 3_Table 2A-1_EFT (Annual)" xfId="15530"/>
    <cellStyle name="Note 16 4 4" xfId="10375"/>
    <cellStyle name="Note 16 4 4 2" xfId="22491"/>
    <cellStyle name="Note 16 4 4 2 2" xfId="43677"/>
    <cellStyle name="Note 16 4 4 3" xfId="33073"/>
    <cellStyle name="Note 16 4 5" xfId="17378"/>
    <cellStyle name="Note 16 4 5 2" xfId="38565"/>
    <cellStyle name="Note 16 4 6" xfId="27685"/>
    <cellStyle name="Note 16 4_Table 2A-1_EFT (Annual)" xfId="7235"/>
    <cellStyle name="Note 16 5" xfId="769"/>
    <cellStyle name="Note 16 5 2" xfId="4330"/>
    <cellStyle name="Note 16 5 2 2" xfId="12610"/>
    <cellStyle name="Note 16 5 2 2 2" xfId="24627"/>
    <cellStyle name="Note 16 5 2 2 2 2" xfId="45813"/>
    <cellStyle name="Note 16 5 2 2 3" xfId="35209"/>
    <cellStyle name="Note 16 5 2 3" xfId="19514"/>
    <cellStyle name="Note 16 5 2 3 2" xfId="40701"/>
    <cellStyle name="Note 16 5 2 4" xfId="29987"/>
    <cellStyle name="Note 16 5 2_Table 2A-1_EFT (Annual)" xfId="15531"/>
    <cellStyle name="Note 16 5 3" xfId="9958"/>
    <cellStyle name="Note 16 5 3 2" xfId="22081"/>
    <cellStyle name="Note 16 5 3 2 2" xfId="43267"/>
    <cellStyle name="Note 16 5 3 3" xfId="32663"/>
    <cellStyle name="Note 16 5 4" xfId="16968"/>
    <cellStyle name="Note 16 5 4 2" xfId="38155"/>
    <cellStyle name="Note 16 5 5" xfId="27244"/>
    <cellStyle name="Note 16 5_Table 2A-1_EFT (Annual)" xfId="7237"/>
    <cellStyle name="Note 16 6" xfId="1949"/>
    <cellStyle name="Note 16 6 2" xfId="5510"/>
    <cellStyle name="Note 16 6 2 2" xfId="13725"/>
    <cellStyle name="Note 16 6 2 2 2" xfId="25713"/>
    <cellStyle name="Note 16 6 2 2 2 2" xfId="46899"/>
    <cellStyle name="Note 16 6 2 2 3" xfId="36295"/>
    <cellStyle name="Note 16 6 2 3" xfId="20600"/>
    <cellStyle name="Note 16 6 2 3 2" xfId="41787"/>
    <cellStyle name="Note 16 6 2 4" xfId="31167"/>
    <cellStyle name="Note 16 6 2_Table 2A-1_EFT (Annual)" xfId="15532"/>
    <cellStyle name="Note 16 6 3" xfId="11069"/>
    <cellStyle name="Note 16 6 3 2" xfId="23167"/>
    <cellStyle name="Note 16 6 3 2 2" xfId="44353"/>
    <cellStyle name="Note 16 6 3 3" xfId="33749"/>
    <cellStyle name="Note 16 6 4" xfId="18054"/>
    <cellStyle name="Note 16 6 4 2" xfId="39241"/>
    <cellStyle name="Note 16 6 5" xfId="28424"/>
    <cellStyle name="Note 16 6_Table 2A-1_EFT (Annual)" xfId="7238"/>
    <cellStyle name="Note 16 7" xfId="3751"/>
    <cellStyle name="Note 16 7 2" xfId="12119"/>
    <cellStyle name="Note 16 7 2 2" xfId="24149"/>
    <cellStyle name="Note 16 7 2 2 2" xfId="45335"/>
    <cellStyle name="Note 16 7 2 3" xfId="34731"/>
    <cellStyle name="Note 16 7 3" xfId="19036"/>
    <cellStyle name="Note 16 7 3 2" xfId="40223"/>
    <cellStyle name="Note 16 7 4" xfId="29460"/>
    <cellStyle name="Note 16 7_Table 2A-1_EFT (Annual)" xfId="15533"/>
    <cellStyle name="Note 16 8" xfId="9438"/>
    <cellStyle name="Note 16 8 2" xfId="21603"/>
    <cellStyle name="Note 16 8 2 2" xfId="42789"/>
    <cellStyle name="Note 16 8 3" xfId="32185"/>
    <cellStyle name="Note 16 9" xfId="16490"/>
    <cellStyle name="Note 16 9 2" xfId="37677"/>
    <cellStyle name="Note 16_Table 2A-1_EFT (Annual)" xfId="3243"/>
    <cellStyle name="Note 17" xfId="155"/>
    <cellStyle name="Note 17 10" xfId="26710"/>
    <cellStyle name="Note 17 2" xfId="548"/>
    <cellStyle name="Note 17 2 2" xfId="1525"/>
    <cellStyle name="Note 17 2 2 2" xfId="2795"/>
    <cellStyle name="Note 17 2 2 2 2" xfId="6356"/>
    <cellStyle name="Note 17 2 2 2 2 2" xfId="14550"/>
    <cellStyle name="Note 17 2 2 2 2 2 2" xfId="26522"/>
    <cellStyle name="Note 17 2 2 2 2 2 2 2" xfId="47708"/>
    <cellStyle name="Note 17 2 2 2 2 2 3" xfId="37104"/>
    <cellStyle name="Note 17 2 2 2 2 3" xfId="21409"/>
    <cellStyle name="Note 17 2 2 2 2 3 2" xfId="42596"/>
    <cellStyle name="Note 17 2 2 2 2 4" xfId="32012"/>
    <cellStyle name="Note 17 2 2 2 2_Table 2A-1_EFT (Annual)" xfId="15534"/>
    <cellStyle name="Note 17 2 2 2 3" xfId="11892"/>
    <cellStyle name="Note 17 2 2 2 3 2" xfId="23976"/>
    <cellStyle name="Note 17 2 2 2 3 2 2" xfId="45162"/>
    <cellStyle name="Note 17 2 2 2 3 3" xfId="34558"/>
    <cellStyle name="Note 17 2 2 2 4" xfId="18863"/>
    <cellStyle name="Note 17 2 2 2 4 2" xfId="40050"/>
    <cellStyle name="Note 17 2 2 2 5" xfId="29269"/>
    <cellStyle name="Note 17 2 2 2_Table 2A-1_EFT (Annual)" xfId="7240"/>
    <cellStyle name="Note 17 2 2 3" xfId="5086"/>
    <cellStyle name="Note 17 2 2 3 2" xfId="13346"/>
    <cellStyle name="Note 17 2 2 3 2 2" xfId="25352"/>
    <cellStyle name="Note 17 2 2 3 2 2 2" xfId="46538"/>
    <cellStyle name="Note 17 2 2 3 2 3" xfId="35934"/>
    <cellStyle name="Note 17 2 2 3 3" xfId="20239"/>
    <cellStyle name="Note 17 2 2 3 3 2" xfId="41426"/>
    <cellStyle name="Note 17 2 2 3 4" xfId="30743"/>
    <cellStyle name="Note 17 2 2 3_Table 2A-1_EFT (Annual)" xfId="15535"/>
    <cellStyle name="Note 17 2 2 4" xfId="10690"/>
    <cellStyle name="Note 17 2 2 4 2" xfId="22806"/>
    <cellStyle name="Note 17 2 2 4 2 2" xfId="43992"/>
    <cellStyle name="Note 17 2 2 4 3" xfId="33388"/>
    <cellStyle name="Note 17 2 2 5" xfId="17693"/>
    <cellStyle name="Note 17 2 2 5 2" xfId="38880"/>
    <cellStyle name="Note 17 2 2 6" xfId="28000"/>
    <cellStyle name="Note 17 2 2_Table 2A-1_EFT (Annual)" xfId="7239"/>
    <cellStyle name="Note 17 2 3" xfId="1054"/>
    <cellStyle name="Note 17 2 3 2" xfId="4615"/>
    <cellStyle name="Note 17 2 3 2 2" xfId="12875"/>
    <cellStyle name="Note 17 2 3 2 2 2" xfId="24881"/>
    <cellStyle name="Note 17 2 3 2 2 2 2" xfId="46067"/>
    <cellStyle name="Note 17 2 3 2 2 3" xfId="35463"/>
    <cellStyle name="Note 17 2 3 2 3" xfId="19768"/>
    <cellStyle name="Note 17 2 3 2 3 2" xfId="40955"/>
    <cellStyle name="Note 17 2 3 2 4" xfId="30272"/>
    <cellStyle name="Note 17 2 3 2_Table 2A-1_EFT (Annual)" xfId="15536"/>
    <cellStyle name="Note 17 2 3 3" xfId="10219"/>
    <cellStyle name="Note 17 2 3 3 2" xfId="22335"/>
    <cellStyle name="Note 17 2 3 3 2 2" xfId="43521"/>
    <cellStyle name="Note 17 2 3 3 3" xfId="32917"/>
    <cellStyle name="Note 17 2 3 4" xfId="17222"/>
    <cellStyle name="Note 17 2 3 4 2" xfId="38409"/>
    <cellStyle name="Note 17 2 3 5" xfId="27529"/>
    <cellStyle name="Note 17 2 3_Table 2A-1_EFT (Annual)" xfId="7241"/>
    <cellStyle name="Note 17 2 4" xfId="2264"/>
    <cellStyle name="Note 17 2 4 2" xfId="5825"/>
    <cellStyle name="Note 17 2 4 2 2" xfId="14040"/>
    <cellStyle name="Note 17 2 4 2 2 2" xfId="26028"/>
    <cellStyle name="Note 17 2 4 2 2 2 2" xfId="47214"/>
    <cellStyle name="Note 17 2 4 2 2 3" xfId="36610"/>
    <cellStyle name="Note 17 2 4 2 3" xfId="20915"/>
    <cellStyle name="Note 17 2 4 2 3 2" xfId="42102"/>
    <cellStyle name="Note 17 2 4 2 4" xfId="31482"/>
    <cellStyle name="Note 17 2 4 2_Table 2A-1_EFT (Annual)" xfId="15537"/>
    <cellStyle name="Note 17 2 4 3" xfId="11384"/>
    <cellStyle name="Note 17 2 4 3 2" xfId="23482"/>
    <cellStyle name="Note 17 2 4 3 2 2" xfId="44668"/>
    <cellStyle name="Note 17 2 4 3 3" xfId="34064"/>
    <cellStyle name="Note 17 2 4 4" xfId="18369"/>
    <cellStyle name="Note 17 2 4 4 2" xfId="39556"/>
    <cellStyle name="Note 17 2 4 5" xfId="28739"/>
    <cellStyle name="Note 17 2 4_Table 2A-1_EFT (Annual)" xfId="7242"/>
    <cellStyle name="Note 17 2 5" xfId="4118"/>
    <cellStyle name="Note 17 2 5 2" xfId="12442"/>
    <cellStyle name="Note 17 2 5 2 2" xfId="24464"/>
    <cellStyle name="Note 17 2 5 2 2 2" xfId="45650"/>
    <cellStyle name="Note 17 2 5 2 3" xfId="35046"/>
    <cellStyle name="Note 17 2 5 3" xfId="19351"/>
    <cellStyle name="Note 17 2 5 3 2" xfId="40538"/>
    <cellStyle name="Note 17 2 5 4" xfId="29806"/>
    <cellStyle name="Note 17 2 5_Table 2A-1_EFT (Annual)" xfId="15538"/>
    <cellStyle name="Note 17 2 6" xfId="9781"/>
    <cellStyle name="Note 17 2 6 2" xfId="21918"/>
    <cellStyle name="Note 17 2 6 2 2" xfId="43104"/>
    <cellStyle name="Note 17 2 6 3" xfId="32500"/>
    <cellStyle name="Note 17 2 7" xfId="16805"/>
    <cellStyle name="Note 17 2 7 2" xfId="37992"/>
    <cellStyle name="Note 17 2 8" xfId="27063"/>
    <cellStyle name="Note 17 2_Table 2A-1_EFT (Annual)" xfId="3247"/>
    <cellStyle name="Note 17 3" xfId="386"/>
    <cellStyle name="Note 17 3 2" xfId="1369"/>
    <cellStyle name="Note 17 3 2 2" xfId="2639"/>
    <cellStyle name="Note 17 3 2 2 2" xfId="6200"/>
    <cellStyle name="Note 17 3 2 2 2 2" xfId="14394"/>
    <cellStyle name="Note 17 3 2 2 2 2 2" xfId="26366"/>
    <cellStyle name="Note 17 3 2 2 2 2 2 2" xfId="47552"/>
    <cellStyle name="Note 17 3 2 2 2 2 3" xfId="36948"/>
    <cellStyle name="Note 17 3 2 2 2 3" xfId="21253"/>
    <cellStyle name="Note 17 3 2 2 2 3 2" xfId="42440"/>
    <cellStyle name="Note 17 3 2 2 2 4" xfId="31856"/>
    <cellStyle name="Note 17 3 2 2 2_Table 2A-1_EFT (Annual)" xfId="15539"/>
    <cellStyle name="Note 17 3 2 2 3" xfId="11736"/>
    <cellStyle name="Note 17 3 2 2 3 2" xfId="23820"/>
    <cellStyle name="Note 17 3 2 2 3 2 2" xfId="45006"/>
    <cellStyle name="Note 17 3 2 2 3 3" xfId="34402"/>
    <cellStyle name="Note 17 3 2 2 4" xfId="18707"/>
    <cellStyle name="Note 17 3 2 2 4 2" xfId="39894"/>
    <cellStyle name="Note 17 3 2 2 5" xfId="29113"/>
    <cellStyle name="Note 17 3 2 2_Table 2A-1_EFT (Annual)" xfId="7244"/>
    <cellStyle name="Note 17 3 2 3" xfId="4930"/>
    <cellStyle name="Note 17 3 2 3 2" xfId="13190"/>
    <cellStyle name="Note 17 3 2 3 2 2" xfId="25196"/>
    <cellStyle name="Note 17 3 2 3 2 2 2" xfId="46382"/>
    <cellStyle name="Note 17 3 2 3 2 3" xfId="35778"/>
    <cellStyle name="Note 17 3 2 3 3" xfId="20083"/>
    <cellStyle name="Note 17 3 2 3 3 2" xfId="41270"/>
    <cellStyle name="Note 17 3 2 3 4" xfId="30587"/>
    <cellStyle name="Note 17 3 2 3_Table 2A-1_EFT (Annual)" xfId="15540"/>
    <cellStyle name="Note 17 3 2 4" xfId="10534"/>
    <cellStyle name="Note 17 3 2 4 2" xfId="22650"/>
    <cellStyle name="Note 17 3 2 4 2 2" xfId="43836"/>
    <cellStyle name="Note 17 3 2 4 3" xfId="33232"/>
    <cellStyle name="Note 17 3 2 5" xfId="17537"/>
    <cellStyle name="Note 17 3 2 5 2" xfId="38724"/>
    <cellStyle name="Note 17 3 2 6" xfId="27844"/>
    <cellStyle name="Note 17 3 2_Table 2A-1_EFT (Annual)" xfId="7243"/>
    <cellStyle name="Note 17 3 3" xfId="922"/>
    <cellStyle name="Note 17 3 3 2" xfId="4483"/>
    <cellStyle name="Note 17 3 3 2 2" xfId="12745"/>
    <cellStyle name="Note 17 3 3 2 2 2" xfId="24755"/>
    <cellStyle name="Note 17 3 3 2 2 2 2" xfId="45941"/>
    <cellStyle name="Note 17 3 3 2 2 3" xfId="35337"/>
    <cellStyle name="Note 17 3 3 2 3" xfId="19642"/>
    <cellStyle name="Note 17 3 3 2 3 2" xfId="40829"/>
    <cellStyle name="Note 17 3 3 2 4" xfId="30140"/>
    <cellStyle name="Note 17 3 3 2_Table 2A-1_EFT (Annual)" xfId="15541"/>
    <cellStyle name="Note 17 3 3 3" xfId="10092"/>
    <cellStyle name="Note 17 3 3 3 2" xfId="22209"/>
    <cellStyle name="Note 17 3 3 3 2 2" xfId="43395"/>
    <cellStyle name="Note 17 3 3 3 3" xfId="32791"/>
    <cellStyle name="Note 17 3 3 4" xfId="17096"/>
    <cellStyle name="Note 17 3 3 4 2" xfId="38283"/>
    <cellStyle name="Note 17 3 3 5" xfId="27397"/>
    <cellStyle name="Note 17 3 3_Table 2A-1_EFT (Annual)" xfId="7245"/>
    <cellStyle name="Note 17 3 4" xfId="2108"/>
    <cellStyle name="Note 17 3 4 2" xfId="5669"/>
    <cellStyle name="Note 17 3 4 2 2" xfId="13884"/>
    <cellStyle name="Note 17 3 4 2 2 2" xfId="25872"/>
    <cellStyle name="Note 17 3 4 2 2 2 2" xfId="47058"/>
    <cellStyle name="Note 17 3 4 2 2 3" xfId="36454"/>
    <cellStyle name="Note 17 3 4 2 3" xfId="20759"/>
    <cellStyle name="Note 17 3 4 2 3 2" xfId="41946"/>
    <cellStyle name="Note 17 3 4 2 4" xfId="31326"/>
    <cellStyle name="Note 17 3 4 2_Table 2A-1_EFT (Annual)" xfId="15542"/>
    <cellStyle name="Note 17 3 4 3" xfId="11228"/>
    <cellStyle name="Note 17 3 4 3 2" xfId="23326"/>
    <cellStyle name="Note 17 3 4 3 2 2" xfId="44512"/>
    <cellStyle name="Note 17 3 4 3 3" xfId="33908"/>
    <cellStyle name="Note 17 3 4 4" xfId="18213"/>
    <cellStyle name="Note 17 3 4 4 2" xfId="39400"/>
    <cellStyle name="Note 17 3 4 5" xfId="28583"/>
    <cellStyle name="Note 17 3 4_Table 2A-1_EFT (Annual)" xfId="7246"/>
    <cellStyle name="Note 17 3 5" xfId="3956"/>
    <cellStyle name="Note 17 3 5 2" xfId="12284"/>
    <cellStyle name="Note 17 3 5 2 2" xfId="24308"/>
    <cellStyle name="Note 17 3 5 2 2 2" xfId="45494"/>
    <cellStyle name="Note 17 3 5 2 3" xfId="34890"/>
    <cellStyle name="Note 17 3 5 3" xfId="19195"/>
    <cellStyle name="Note 17 3 5 3 2" xfId="40382"/>
    <cellStyle name="Note 17 3 5 4" xfId="29644"/>
    <cellStyle name="Note 17 3 5_Table 2A-1_EFT (Annual)" xfId="15543"/>
    <cellStyle name="Note 17 3 6" xfId="9621"/>
    <cellStyle name="Note 17 3 6 2" xfId="21762"/>
    <cellStyle name="Note 17 3 6 2 2" xfId="42948"/>
    <cellStyle name="Note 17 3 6 3" xfId="32344"/>
    <cellStyle name="Note 17 3 7" xfId="16649"/>
    <cellStyle name="Note 17 3 7 2" xfId="37836"/>
    <cellStyle name="Note 17 3 8" xfId="26901"/>
    <cellStyle name="Note 17 3_Table 2A-1_EFT (Annual)" xfId="3248"/>
    <cellStyle name="Note 17 4" xfId="1203"/>
    <cellStyle name="Note 17 4 2" xfId="2473"/>
    <cellStyle name="Note 17 4 2 2" xfId="6034"/>
    <cellStyle name="Note 17 4 2 2 2" xfId="14228"/>
    <cellStyle name="Note 17 4 2 2 2 2" xfId="26200"/>
    <cellStyle name="Note 17 4 2 2 2 2 2" xfId="47386"/>
    <cellStyle name="Note 17 4 2 2 2 3" xfId="36782"/>
    <cellStyle name="Note 17 4 2 2 3" xfId="21087"/>
    <cellStyle name="Note 17 4 2 2 3 2" xfId="42274"/>
    <cellStyle name="Note 17 4 2 2 4" xfId="31690"/>
    <cellStyle name="Note 17 4 2 2_Table 2A-1_EFT (Annual)" xfId="15544"/>
    <cellStyle name="Note 17 4 2 3" xfId="11570"/>
    <cellStyle name="Note 17 4 2 3 2" xfId="23654"/>
    <cellStyle name="Note 17 4 2 3 2 2" xfId="44840"/>
    <cellStyle name="Note 17 4 2 3 3" xfId="34236"/>
    <cellStyle name="Note 17 4 2 4" xfId="18541"/>
    <cellStyle name="Note 17 4 2 4 2" xfId="39728"/>
    <cellStyle name="Note 17 4 2 5" xfId="28947"/>
    <cellStyle name="Note 17 4 2_Table 2A-1_EFT (Annual)" xfId="7248"/>
    <cellStyle name="Note 17 4 3" xfId="4764"/>
    <cellStyle name="Note 17 4 3 2" xfId="13024"/>
    <cellStyle name="Note 17 4 3 2 2" xfId="25030"/>
    <cellStyle name="Note 17 4 3 2 2 2" xfId="46216"/>
    <cellStyle name="Note 17 4 3 2 3" xfId="35612"/>
    <cellStyle name="Note 17 4 3 3" xfId="19917"/>
    <cellStyle name="Note 17 4 3 3 2" xfId="41104"/>
    <cellStyle name="Note 17 4 3 4" xfId="30421"/>
    <cellStyle name="Note 17 4 3_Table 2A-1_EFT (Annual)" xfId="15545"/>
    <cellStyle name="Note 17 4 4" xfId="10368"/>
    <cellStyle name="Note 17 4 4 2" xfId="22484"/>
    <cellStyle name="Note 17 4 4 2 2" xfId="43670"/>
    <cellStyle name="Note 17 4 4 3" xfId="33066"/>
    <cellStyle name="Note 17 4 5" xfId="17371"/>
    <cellStyle name="Note 17 4 5 2" xfId="38558"/>
    <cellStyle name="Note 17 4 6" xfId="27678"/>
    <cellStyle name="Note 17 4_Table 2A-1_EFT (Annual)" xfId="7247"/>
    <cellStyle name="Note 17 5" xfId="763"/>
    <cellStyle name="Note 17 5 2" xfId="4324"/>
    <cellStyle name="Note 17 5 2 2" xfId="12604"/>
    <cellStyle name="Note 17 5 2 2 2" xfId="24621"/>
    <cellStyle name="Note 17 5 2 2 2 2" xfId="45807"/>
    <cellStyle name="Note 17 5 2 2 3" xfId="35203"/>
    <cellStyle name="Note 17 5 2 3" xfId="19508"/>
    <cellStyle name="Note 17 5 2 3 2" xfId="40695"/>
    <cellStyle name="Note 17 5 2 4" xfId="29981"/>
    <cellStyle name="Note 17 5 2_Table 2A-1_EFT (Annual)" xfId="15546"/>
    <cellStyle name="Note 17 5 3" xfId="9952"/>
    <cellStyle name="Note 17 5 3 2" xfId="22075"/>
    <cellStyle name="Note 17 5 3 2 2" xfId="43261"/>
    <cellStyle name="Note 17 5 3 3" xfId="32657"/>
    <cellStyle name="Note 17 5 4" xfId="16962"/>
    <cellStyle name="Note 17 5 4 2" xfId="38149"/>
    <cellStyle name="Note 17 5 5" xfId="27238"/>
    <cellStyle name="Note 17 5_Table 2A-1_EFT (Annual)" xfId="7249"/>
    <cellStyle name="Note 17 6" xfId="1779"/>
    <cellStyle name="Note 17 6 2" xfId="5340"/>
    <cellStyle name="Note 17 6 2 2" xfId="13555"/>
    <cellStyle name="Note 17 6 2 2 2" xfId="25543"/>
    <cellStyle name="Note 17 6 2 2 2 2" xfId="46729"/>
    <cellStyle name="Note 17 6 2 2 3" xfId="36125"/>
    <cellStyle name="Note 17 6 2 3" xfId="20430"/>
    <cellStyle name="Note 17 6 2 3 2" xfId="41617"/>
    <cellStyle name="Note 17 6 2 4" xfId="30997"/>
    <cellStyle name="Note 17 6 2_Table 2A-1_EFT (Annual)" xfId="15547"/>
    <cellStyle name="Note 17 6 3" xfId="10899"/>
    <cellStyle name="Note 17 6 3 2" xfId="22997"/>
    <cellStyle name="Note 17 6 3 2 2" xfId="44183"/>
    <cellStyle name="Note 17 6 3 3" xfId="33579"/>
    <cellStyle name="Note 17 6 4" xfId="17884"/>
    <cellStyle name="Note 17 6 4 2" xfId="39071"/>
    <cellStyle name="Note 17 6 5" xfId="28254"/>
    <cellStyle name="Note 17 6_Table 2A-1_EFT (Annual)" xfId="7250"/>
    <cellStyle name="Note 17 7" xfId="3744"/>
    <cellStyle name="Note 17 7 2" xfId="12112"/>
    <cellStyle name="Note 17 7 2 2" xfId="24142"/>
    <cellStyle name="Note 17 7 2 2 2" xfId="45328"/>
    <cellStyle name="Note 17 7 2 3" xfId="34724"/>
    <cellStyle name="Note 17 7 3" xfId="19029"/>
    <cellStyle name="Note 17 7 3 2" xfId="40216"/>
    <cellStyle name="Note 17 7 4" xfId="29453"/>
    <cellStyle name="Note 17 7_Table 2A-1_EFT (Annual)" xfId="15548"/>
    <cellStyle name="Note 17 8" xfId="9431"/>
    <cellStyle name="Note 17 8 2" xfId="21596"/>
    <cellStyle name="Note 17 8 2 2" xfId="42782"/>
    <cellStyle name="Note 17 8 3" xfId="32178"/>
    <cellStyle name="Note 17 9" xfId="16483"/>
    <cellStyle name="Note 17 9 2" xfId="37670"/>
    <cellStyle name="Note 17_Table 2A-1_EFT (Annual)" xfId="3246"/>
    <cellStyle name="Note 18" xfId="172"/>
    <cellStyle name="Note 18 10" xfId="26727"/>
    <cellStyle name="Note 18 2" xfId="565"/>
    <cellStyle name="Note 18 2 2" xfId="1542"/>
    <cellStyle name="Note 18 2 2 2" xfId="2812"/>
    <cellStyle name="Note 18 2 2 2 2" xfId="6373"/>
    <cellStyle name="Note 18 2 2 2 2 2" xfId="14567"/>
    <cellStyle name="Note 18 2 2 2 2 2 2" xfId="26539"/>
    <cellStyle name="Note 18 2 2 2 2 2 2 2" xfId="47725"/>
    <cellStyle name="Note 18 2 2 2 2 2 3" xfId="37121"/>
    <cellStyle name="Note 18 2 2 2 2 3" xfId="21426"/>
    <cellStyle name="Note 18 2 2 2 2 3 2" xfId="42613"/>
    <cellStyle name="Note 18 2 2 2 2 4" xfId="32029"/>
    <cellStyle name="Note 18 2 2 2 2_Table 2A-1_EFT (Annual)" xfId="15549"/>
    <cellStyle name="Note 18 2 2 2 3" xfId="11909"/>
    <cellStyle name="Note 18 2 2 2 3 2" xfId="23993"/>
    <cellStyle name="Note 18 2 2 2 3 2 2" xfId="45179"/>
    <cellStyle name="Note 18 2 2 2 3 3" xfId="34575"/>
    <cellStyle name="Note 18 2 2 2 4" xfId="18880"/>
    <cellStyle name="Note 18 2 2 2 4 2" xfId="40067"/>
    <cellStyle name="Note 18 2 2 2 5" xfId="29286"/>
    <cellStyle name="Note 18 2 2 2_Table 2A-1_EFT (Annual)" xfId="7252"/>
    <cellStyle name="Note 18 2 2 3" xfId="5103"/>
    <cellStyle name="Note 18 2 2 3 2" xfId="13363"/>
    <cellStyle name="Note 18 2 2 3 2 2" xfId="25369"/>
    <cellStyle name="Note 18 2 2 3 2 2 2" xfId="46555"/>
    <cellStyle name="Note 18 2 2 3 2 3" xfId="35951"/>
    <cellStyle name="Note 18 2 2 3 3" xfId="20256"/>
    <cellStyle name="Note 18 2 2 3 3 2" xfId="41443"/>
    <cellStyle name="Note 18 2 2 3 4" xfId="30760"/>
    <cellStyle name="Note 18 2 2 3_Table 2A-1_EFT (Annual)" xfId="15550"/>
    <cellStyle name="Note 18 2 2 4" xfId="10707"/>
    <cellStyle name="Note 18 2 2 4 2" xfId="22823"/>
    <cellStyle name="Note 18 2 2 4 2 2" xfId="44009"/>
    <cellStyle name="Note 18 2 2 4 3" xfId="33405"/>
    <cellStyle name="Note 18 2 2 5" xfId="17710"/>
    <cellStyle name="Note 18 2 2 5 2" xfId="38897"/>
    <cellStyle name="Note 18 2 2 6" xfId="28017"/>
    <cellStyle name="Note 18 2 2_Table 2A-1_EFT (Annual)" xfId="7251"/>
    <cellStyle name="Note 18 2 3" xfId="1068"/>
    <cellStyle name="Note 18 2 3 2" xfId="4629"/>
    <cellStyle name="Note 18 2 3 2 2" xfId="12889"/>
    <cellStyle name="Note 18 2 3 2 2 2" xfId="24895"/>
    <cellStyle name="Note 18 2 3 2 2 2 2" xfId="46081"/>
    <cellStyle name="Note 18 2 3 2 2 3" xfId="35477"/>
    <cellStyle name="Note 18 2 3 2 3" xfId="19782"/>
    <cellStyle name="Note 18 2 3 2 3 2" xfId="40969"/>
    <cellStyle name="Note 18 2 3 2 4" xfId="30286"/>
    <cellStyle name="Note 18 2 3 2_Table 2A-1_EFT (Annual)" xfId="15551"/>
    <cellStyle name="Note 18 2 3 3" xfId="10233"/>
    <cellStyle name="Note 18 2 3 3 2" xfId="22349"/>
    <cellStyle name="Note 18 2 3 3 2 2" xfId="43535"/>
    <cellStyle name="Note 18 2 3 3 3" xfId="32931"/>
    <cellStyle name="Note 18 2 3 4" xfId="17236"/>
    <cellStyle name="Note 18 2 3 4 2" xfId="38423"/>
    <cellStyle name="Note 18 2 3 5" xfId="27543"/>
    <cellStyle name="Note 18 2 3_Table 2A-1_EFT (Annual)" xfId="7253"/>
    <cellStyle name="Note 18 2 4" xfId="2281"/>
    <cellStyle name="Note 18 2 4 2" xfId="5842"/>
    <cellStyle name="Note 18 2 4 2 2" xfId="14057"/>
    <cellStyle name="Note 18 2 4 2 2 2" xfId="26045"/>
    <cellStyle name="Note 18 2 4 2 2 2 2" xfId="47231"/>
    <cellStyle name="Note 18 2 4 2 2 3" xfId="36627"/>
    <cellStyle name="Note 18 2 4 2 3" xfId="20932"/>
    <cellStyle name="Note 18 2 4 2 3 2" xfId="42119"/>
    <cellStyle name="Note 18 2 4 2 4" xfId="31499"/>
    <cellStyle name="Note 18 2 4 2_Table 2A-1_EFT (Annual)" xfId="15552"/>
    <cellStyle name="Note 18 2 4 3" xfId="11401"/>
    <cellStyle name="Note 18 2 4 3 2" xfId="23499"/>
    <cellStyle name="Note 18 2 4 3 2 2" xfId="44685"/>
    <cellStyle name="Note 18 2 4 3 3" xfId="34081"/>
    <cellStyle name="Note 18 2 4 4" xfId="18386"/>
    <cellStyle name="Note 18 2 4 4 2" xfId="39573"/>
    <cellStyle name="Note 18 2 4 5" xfId="28756"/>
    <cellStyle name="Note 18 2 4_Table 2A-1_EFT (Annual)" xfId="7254"/>
    <cellStyle name="Note 18 2 5" xfId="4135"/>
    <cellStyle name="Note 18 2 5 2" xfId="12459"/>
    <cellStyle name="Note 18 2 5 2 2" xfId="24481"/>
    <cellStyle name="Note 18 2 5 2 2 2" xfId="45667"/>
    <cellStyle name="Note 18 2 5 2 3" xfId="35063"/>
    <cellStyle name="Note 18 2 5 3" xfId="19368"/>
    <cellStyle name="Note 18 2 5 3 2" xfId="40555"/>
    <cellStyle name="Note 18 2 5 4" xfId="29823"/>
    <cellStyle name="Note 18 2 5_Table 2A-1_EFT (Annual)" xfId="15553"/>
    <cellStyle name="Note 18 2 6" xfId="9798"/>
    <cellStyle name="Note 18 2 6 2" xfId="21935"/>
    <cellStyle name="Note 18 2 6 2 2" xfId="43121"/>
    <cellStyle name="Note 18 2 6 3" xfId="32517"/>
    <cellStyle name="Note 18 2 7" xfId="16822"/>
    <cellStyle name="Note 18 2 7 2" xfId="38009"/>
    <cellStyle name="Note 18 2 8" xfId="27080"/>
    <cellStyle name="Note 18 2_Table 2A-1_EFT (Annual)" xfId="3250"/>
    <cellStyle name="Note 18 3" xfId="403"/>
    <cellStyle name="Note 18 3 2" xfId="1386"/>
    <cellStyle name="Note 18 3 2 2" xfId="2656"/>
    <cellStyle name="Note 18 3 2 2 2" xfId="6217"/>
    <cellStyle name="Note 18 3 2 2 2 2" xfId="14411"/>
    <cellStyle name="Note 18 3 2 2 2 2 2" xfId="26383"/>
    <cellStyle name="Note 18 3 2 2 2 2 2 2" xfId="47569"/>
    <cellStyle name="Note 18 3 2 2 2 2 3" xfId="36965"/>
    <cellStyle name="Note 18 3 2 2 2 3" xfId="21270"/>
    <cellStyle name="Note 18 3 2 2 2 3 2" xfId="42457"/>
    <cellStyle name="Note 18 3 2 2 2 4" xfId="31873"/>
    <cellStyle name="Note 18 3 2 2 2_Table 2A-1_EFT (Annual)" xfId="15554"/>
    <cellStyle name="Note 18 3 2 2 3" xfId="11753"/>
    <cellStyle name="Note 18 3 2 2 3 2" xfId="23837"/>
    <cellStyle name="Note 18 3 2 2 3 2 2" xfId="45023"/>
    <cellStyle name="Note 18 3 2 2 3 3" xfId="34419"/>
    <cellStyle name="Note 18 3 2 2 4" xfId="18724"/>
    <cellStyle name="Note 18 3 2 2 4 2" xfId="39911"/>
    <cellStyle name="Note 18 3 2 2 5" xfId="29130"/>
    <cellStyle name="Note 18 3 2 2_Table 2A-1_EFT (Annual)" xfId="7256"/>
    <cellStyle name="Note 18 3 2 3" xfId="4947"/>
    <cellStyle name="Note 18 3 2 3 2" xfId="13207"/>
    <cellStyle name="Note 18 3 2 3 2 2" xfId="25213"/>
    <cellStyle name="Note 18 3 2 3 2 2 2" xfId="46399"/>
    <cellStyle name="Note 18 3 2 3 2 3" xfId="35795"/>
    <cellStyle name="Note 18 3 2 3 3" xfId="20100"/>
    <cellStyle name="Note 18 3 2 3 3 2" xfId="41287"/>
    <cellStyle name="Note 18 3 2 3 4" xfId="30604"/>
    <cellStyle name="Note 18 3 2 3_Table 2A-1_EFT (Annual)" xfId="15555"/>
    <cellStyle name="Note 18 3 2 4" xfId="10551"/>
    <cellStyle name="Note 18 3 2 4 2" xfId="22667"/>
    <cellStyle name="Note 18 3 2 4 2 2" xfId="43853"/>
    <cellStyle name="Note 18 3 2 4 3" xfId="33249"/>
    <cellStyle name="Note 18 3 2 5" xfId="17554"/>
    <cellStyle name="Note 18 3 2 5 2" xfId="38741"/>
    <cellStyle name="Note 18 3 2 6" xfId="27861"/>
    <cellStyle name="Note 18 3 2_Table 2A-1_EFT (Annual)" xfId="7255"/>
    <cellStyle name="Note 18 3 3" xfId="936"/>
    <cellStyle name="Note 18 3 3 2" xfId="4497"/>
    <cellStyle name="Note 18 3 3 2 2" xfId="12759"/>
    <cellStyle name="Note 18 3 3 2 2 2" xfId="24769"/>
    <cellStyle name="Note 18 3 3 2 2 2 2" xfId="45955"/>
    <cellStyle name="Note 18 3 3 2 2 3" xfId="35351"/>
    <cellStyle name="Note 18 3 3 2 3" xfId="19656"/>
    <cellStyle name="Note 18 3 3 2 3 2" xfId="40843"/>
    <cellStyle name="Note 18 3 3 2 4" xfId="30154"/>
    <cellStyle name="Note 18 3 3 2_Table 2A-1_EFT (Annual)" xfId="15556"/>
    <cellStyle name="Note 18 3 3 3" xfId="10106"/>
    <cellStyle name="Note 18 3 3 3 2" xfId="22223"/>
    <cellStyle name="Note 18 3 3 3 2 2" xfId="43409"/>
    <cellStyle name="Note 18 3 3 3 3" xfId="32805"/>
    <cellStyle name="Note 18 3 3 4" xfId="17110"/>
    <cellStyle name="Note 18 3 3 4 2" xfId="38297"/>
    <cellStyle name="Note 18 3 3 5" xfId="27411"/>
    <cellStyle name="Note 18 3 3_Table 2A-1_EFT (Annual)" xfId="7257"/>
    <cellStyle name="Note 18 3 4" xfId="2125"/>
    <cellStyle name="Note 18 3 4 2" xfId="5686"/>
    <cellStyle name="Note 18 3 4 2 2" xfId="13901"/>
    <cellStyle name="Note 18 3 4 2 2 2" xfId="25889"/>
    <cellStyle name="Note 18 3 4 2 2 2 2" xfId="47075"/>
    <cellStyle name="Note 18 3 4 2 2 3" xfId="36471"/>
    <cellStyle name="Note 18 3 4 2 3" xfId="20776"/>
    <cellStyle name="Note 18 3 4 2 3 2" xfId="41963"/>
    <cellStyle name="Note 18 3 4 2 4" xfId="31343"/>
    <cellStyle name="Note 18 3 4 2_Table 2A-1_EFT (Annual)" xfId="15557"/>
    <cellStyle name="Note 18 3 4 3" xfId="11245"/>
    <cellStyle name="Note 18 3 4 3 2" xfId="23343"/>
    <cellStyle name="Note 18 3 4 3 2 2" xfId="44529"/>
    <cellStyle name="Note 18 3 4 3 3" xfId="33925"/>
    <cellStyle name="Note 18 3 4 4" xfId="18230"/>
    <cellStyle name="Note 18 3 4 4 2" xfId="39417"/>
    <cellStyle name="Note 18 3 4 5" xfId="28600"/>
    <cellStyle name="Note 18 3 4_Table 2A-1_EFT (Annual)" xfId="7258"/>
    <cellStyle name="Note 18 3 5" xfId="3973"/>
    <cellStyle name="Note 18 3 5 2" xfId="12301"/>
    <cellStyle name="Note 18 3 5 2 2" xfId="24325"/>
    <cellStyle name="Note 18 3 5 2 2 2" xfId="45511"/>
    <cellStyle name="Note 18 3 5 2 3" xfId="34907"/>
    <cellStyle name="Note 18 3 5 3" xfId="19212"/>
    <cellStyle name="Note 18 3 5 3 2" xfId="40399"/>
    <cellStyle name="Note 18 3 5 4" xfId="29661"/>
    <cellStyle name="Note 18 3 5_Table 2A-1_EFT (Annual)" xfId="15558"/>
    <cellStyle name="Note 18 3 6" xfId="9638"/>
    <cellStyle name="Note 18 3 6 2" xfId="21779"/>
    <cellStyle name="Note 18 3 6 2 2" xfId="42965"/>
    <cellStyle name="Note 18 3 6 3" xfId="32361"/>
    <cellStyle name="Note 18 3 7" xfId="16666"/>
    <cellStyle name="Note 18 3 7 2" xfId="37853"/>
    <cellStyle name="Note 18 3 8" xfId="26918"/>
    <cellStyle name="Note 18 3_Table 2A-1_EFT (Annual)" xfId="3251"/>
    <cellStyle name="Note 18 4" xfId="1220"/>
    <cellStyle name="Note 18 4 2" xfId="2490"/>
    <cellStyle name="Note 18 4 2 2" xfId="6051"/>
    <cellStyle name="Note 18 4 2 2 2" xfId="14245"/>
    <cellStyle name="Note 18 4 2 2 2 2" xfId="26217"/>
    <cellStyle name="Note 18 4 2 2 2 2 2" xfId="47403"/>
    <cellStyle name="Note 18 4 2 2 2 3" xfId="36799"/>
    <cellStyle name="Note 18 4 2 2 3" xfId="21104"/>
    <cellStyle name="Note 18 4 2 2 3 2" xfId="42291"/>
    <cellStyle name="Note 18 4 2 2 4" xfId="31707"/>
    <cellStyle name="Note 18 4 2 2_Table 2A-1_EFT (Annual)" xfId="15559"/>
    <cellStyle name="Note 18 4 2 3" xfId="11587"/>
    <cellStyle name="Note 18 4 2 3 2" xfId="23671"/>
    <cellStyle name="Note 18 4 2 3 2 2" xfId="44857"/>
    <cellStyle name="Note 18 4 2 3 3" xfId="34253"/>
    <cellStyle name="Note 18 4 2 4" xfId="18558"/>
    <cellStyle name="Note 18 4 2 4 2" xfId="39745"/>
    <cellStyle name="Note 18 4 2 5" xfId="28964"/>
    <cellStyle name="Note 18 4 2_Table 2A-1_EFT (Annual)" xfId="7260"/>
    <cellStyle name="Note 18 4 3" xfId="4781"/>
    <cellStyle name="Note 18 4 3 2" xfId="13041"/>
    <cellStyle name="Note 18 4 3 2 2" xfId="25047"/>
    <cellStyle name="Note 18 4 3 2 2 2" xfId="46233"/>
    <cellStyle name="Note 18 4 3 2 3" xfId="35629"/>
    <cellStyle name="Note 18 4 3 3" xfId="19934"/>
    <cellStyle name="Note 18 4 3 3 2" xfId="41121"/>
    <cellStyle name="Note 18 4 3 4" xfId="30438"/>
    <cellStyle name="Note 18 4 3_Table 2A-1_EFT (Annual)" xfId="15560"/>
    <cellStyle name="Note 18 4 4" xfId="10385"/>
    <cellStyle name="Note 18 4 4 2" xfId="22501"/>
    <cellStyle name="Note 18 4 4 2 2" xfId="43687"/>
    <cellStyle name="Note 18 4 4 3" xfId="33083"/>
    <cellStyle name="Note 18 4 5" xfId="17388"/>
    <cellStyle name="Note 18 4 5 2" xfId="38575"/>
    <cellStyle name="Note 18 4 6" xfId="27695"/>
    <cellStyle name="Note 18 4_Table 2A-1_EFT (Annual)" xfId="7259"/>
    <cellStyle name="Note 18 5" xfId="777"/>
    <cellStyle name="Note 18 5 2" xfId="4338"/>
    <cellStyle name="Note 18 5 2 2" xfId="12618"/>
    <cellStyle name="Note 18 5 2 2 2" xfId="24635"/>
    <cellStyle name="Note 18 5 2 2 2 2" xfId="45821"/>
    <cellStyle name="Note 18 5 2 2 3" xfId="35217"/>
    <cellStyle name="Note 18 5 2 3" xfId="19522"/>
    <cellStyle name="Note 18 5 2 3 2" xfId="40709"/>
    <cellStyle name="Note 18 5 2 4" xfId="29995"/>
    <cellStyle name="Note 18 5 2_Table 2A-1_EFT (Annual)" xfId="15561"/>
    <cellStyle name="Note 18 5 3" xfId="9966"/>
    <cellStyle name="Note 18 5 3 2" xfId="22089"/>
    <cellStyle name="Note 18 5 3 2 2" xfId="43275"/>
    <cellStyle name="Note 18 5 3 3" xfId="32671"/>
    <cellStyle name="Note 18 5 4" xfId="16976"/>
    <cellStyle name="Note 18 5 4 2" xfId="38163"/>
    <cellStyle name="Note 18 5 5" xfId="27252"/>
    <cellStyle name="Note 18 5_Table 2A-1_EFT (Annual)" xfId="7261"/>
    <cellStyle name="Note 18 6" xfId="1959"/>
    <cellStyle name="Note 18 6 2" xfId="5520"/>
    <cellStyle name="Note 18 6 2 2" xfId="13735"/>
    <cellStyle name="Note 18 6 2 2 2" xfId="25723"/>
    <cellStyle name="Note 18 6 2 2 2 2" xfId="46909"/>
    <cellStyle name="Note 18 6 2 2 3" xfId="36305"/>
    <cellStyle name="Note 18 6 2 3" xfId="20610"/>
    <cellStyle name="Note 18 6 2 3 2" xfId="41797"/>
    <cellStyle name="Note 18 6 2 4" xfId="31177"/>
    <cellStyle name="Note 18 6 2_Table 2A-1_EFT (Annual)" xfId="15562"/>
    <cellStyle name="Note 18 6 3" xfId="11079"/>
    <cellStyle name="Note 18 6 3 2" xfId="23177"/>
    <cellStyle name="Note 18 6 3 2 2" xfId="44363"/>
    <cellStyle name="Note 18 6 3 3" xfId="33759"/>
    <cellStyle name="Note 18 6 4" xfId="18064"/>
    <cellStyle name="Note 18 6 4 2" xfId="39251"/>
    <cellStyle name="Note 18 6 5" xfId="28434"/>
    <cellStyle name="Note 18 6_Table 2A-1_EFT (Annual)" xfId="7262"/>
    <cellStyle name="Note 18 7" xfId="3761"/>
    <cellStyle name="Note 18 7 2" xfId="12129"/>
    <cellStyle name="Note 18 7 2 2" xfId="24159"/>
    <cellStyle name="Note 18 7 2 2 2" xfId="45345"/>
    <cellStyle name="Note 18 7 2 3" xfId="34741"/>
    <cellStyle name="Note 18 7 3" xfId="19046"/>
    <cellStyle name="Note 18 7 3 2" xfId="40233"/>
    <cellStyle name="Note 18 7 4" xfId="29470"/>
    <cellStyle name="Note 18 7_Table 2A-1_EFT (Annual)" xfId="15563"/>
    <cellStyle name="Note 18 8" xfId="9448"/>
    <cellStyle name="Note 18 8 2" xfId="21613"/>
    <cellStyle name="Note 18 8 2 2" xfId="42799"/>
    <cellStyle name="Note 18 8 3" xfId="32195"/>
    <cellStyle name="Note 18 9" xfId="16500"/>
    <cellStyle name="Note 18 9 2" xfId="37687"/>
    <cellStyle name="Note 18_Table 2A-1_EFT (Annual)" xfId="3249"/>
    <cellStyle name="Note 19" xfId="171"/>
    <cellStyle name="Note 19 10" xfId="26726"/>
    <cellStyle name="Note 19 2" xfId="564"/>
    <cellStyle name="Note 19 2 2" xfId="1541"/>
    <cellStyle name="Note 19 2 2 2" xfId="2811"/>
    <cellStyle name="Note 19 2 2 2 2" xfId="6372"/>
    <cellStyle name="Note 19 2 2 2 2 2" xfId="14566"/>
    <cellStyle name="Note 19 2 2 2 2 2 2" xfId="26538"/>
    <cellStyle name="Note 19 2 2 2 2 2 2 2" xfId="47724"/>
    <cellStyle name="Note 19 2 2 2 2 2 3" xfId="37120"/>
    <cellStyle name="Note 19 2 2 2 2 3" xfId="21425"/>
    <cellStyle name="Note 19 2 2 2 2 3 2" xfId="42612"/>
    <cellStyle name="Note 19 2 2 2 2 4" xfId="32028"/>
    <cellStyle name="Note 19 2 2 2 2_Table 2A-1_EFT (Annual)" xfId="15564"/>
    <cellStyle name="Note 19 2 2 2 3" xfId="11908"/>
    <cellStyle name="Note 19 2 2 2 3 2" xfId="23992"/>
    <cellStyle name="Note 19 2 2 2 3 2 2" xfId="45178"/>
    <cellStyle name="Note 19 2 2 2 3 3" xfId="34574"/>
    <cellStyle name="Note 19 2 2 2 4" xfId="18879"/>
    <cellStyle name="Note 19 2 2 2 4 2" xfId="40066"/>
    <cellStyle name="Note 19 2 2 2 5" xfId="29285"/>
    <cellStyle name="Note 19 2 2 2_Table 2A-1_EFT (Annual)" xfId="7264"/>
    <cellStyle name="Note 19 2 2 3" xfId="5102"/>
    <cellStyle name="Note 19 2 2 3 2" xfId="13362"/>
    <cellStyle name="Note 19 2 2 3 2 2" xfId="25368"/>
    <cellStyle name="Note 19 2 2 3 2 2 2" xfId="46554"/>
    <cellStyle name="Note 19 2 2 3 2 3" xfId="35950"/>
    <cellStyle name="Note 19 2 2 3 3" xfId="20255"/>
    <cellStyle name="Note 19 2 2 3 3 2" xfId="41442"/>
    <cellStyle name="Note 19 2 2 3 4" xfId="30759"/>
    <cellStyle name="Note 19 2 2 3_Table 2A-1_EFT (Annual)" xfId="15565"/>
    <cellStyle name="Note 19 2 2 4" xfId="10706"/>
    <cellStyle name="Note 19 2 2 4 2" xfId="22822"/>
    <cellStyle name="Note 19 2 2 4 2 2" xfId="44008"/>
    <cellStyle name="Note 19 2 2 4 3" xfId="33404"/>
    <cellStyle name="Note 19 2 2 5" xfId="17709"/>
    <cellStyle name="Note 19 2 2 5 2" xfId="38896"/>
    <cellStyle name="Note 19 2 2 6" xfId="28016"/>
    <cellStyle name="Note 19 2 2_Table 2A-1_EFT (Annual)" xfId="7263"/>
    <cellStyle name="Note 19 2 3" xfId="1067"/>
    <cellStyle name="Note 19 2 3 2" xfId="4628"/>
    <cellStyle name="Note 19 2 3 2 2" xfId="12888"/>
    <cellStyle name="Note 19 2 3 2 2 2" xfId="24894"/>
    <cellStyle name="Note 19 2 3 2 2 2 2" xfId="46080"/>
    <cellStyle name="Note 19 2 3 2 2 3" xfId="35476"/>
    <cellStyle name="Note 19 2 3 2 3" xfId="19781"/>
    <cellStyle name="Note 19 2 3 2 3 2" xfId="40968"/>
    <cellStyle name="Note 19 2 3 2 4" xfId="30285"/>
    <cellStyle name="Note 19 2 3 2_Table 2A-1_EFT (Annual)" xfId="15566"/>
    <cellStyle name="Note 19 2 3 3" xfId="10232"/>
    <cellStyle name="Note 19 2 3 3 2" xfId="22348"/>
    <cellStyle name="Note 19 2 3 3 2 2" xfId="43534"/>
    <cellStyle name="Note 19 2 3 3 3" xfId="32930"/>
    <cellStyle name="Note 19 2 3 4" xfId="17235"/>
    <cellStyle name="Note 19 2 3 4 2" xfId="38422"/>
    <cellStyle name="Note 19 2 3 5" xfId="27542"/>
    <cellStyle name="Note 19 2 3_Table 2A-1_EFT (Annual)" xfId="7265"/>
    <cellStyle name="Note 19 2 4" xfId="2280"/>
    <cellStyle name="Note 19 2 4 2" xfId="5841"/>
    <cellStyle name="Note 19 2 4 2 2" xfId="14056"/>
    <cellStyle name="Note 19 2 4 2 2 2" xfId="26044"/>
    <cellStyle name="Note 19 2 4 2 2 2 2" xfId="47230"/>
    <cellStyle name="Note 19 2 4 2 2 3" xfId="36626"/>
    <cellStyle name="Note 19 2 4 2 3" xfId="20931"/>
    <cellStyle name="Note 19 2 4 2 3 2" xfId="42118"/>
    <cellStyle name="Note 19 2 4 2 4" xfId="31498"/>
    <cellStyle name="Note 19 2 4 2_Table 2A-1_EFT (Annual)" xfId="15567"/>
    <cellStyle name="Note 19 2 4 3" xfId="11400"/>
    <cellStyle name="Note 19 2 4 3 2" xfId="23498"/>
    <cellStyle name="Note 19 2 4 3 2 2" xfId="44684"/>
    <cellStyle name="Note 19 2 4 3 3" xfId="34080"/>
    <cellStyle name="Note 19 2 4 4" xfId="18385"/>
    <cellStyle name="Note 19 2 4 4 2" xfId="39572"/>
    <cellStyle name="Note 19 2 4 5" xfId="28755"/>
    <cellStyle name="Note 19 2 4_Table 2A-1_EFT (Annual)" xfId="7266"/>
    <cellStyle name="Note 19 2 5" xfId="4134"/>
    <cellStyle name="Note 19 2 5 2" xfId="12458"/>
    <cellStyle name="Note 19 2 5 2 2" xfId="24480"/>
    <cellStyle name="Note 19 2 5 2 2 2" xfId="45666"/>
    <cellStyle name="Note 19 2 5 2 3" xfId="35062"/>
    <cellStyle name="Note 19 2 5 3" xfId="19367"/>
    <cellStyle name="Note 19 2 5 3 2" xfId="40554"/>
    <cellStyle name="Note 19 2 5 4" xfId="29822"/>
    <cellStyle name="Note 19 2 5_Table 2A-1_EFT (Annual)" xfId="15568"/>
    <cellStyle name="Note 19 2 6" xfId="9797"/>
    <cellStyle name="Note 19 2 6 2" xfId="21934"/>
    <cellStyle name="Note 19 2 6 2 2" xfId="43120"/>
    <cellStyle name="Note 19 2 6 3" xfId="32516"/>
    <cellStyle name="Note 19 2 7" xfId="16821"/>
    <cellStyle name="Note 19 2 7 2" xfId="38008"/>
    <cellStyle name="Note 19 2 8" xfId="27079"/>
    <cellStyle name="Note 19 2_Table 2A-1_EFT (Annual)" xfId="3253"/>
    <cellStyle name="Note 19 3" xfId="402"/>
    <cellStyle name="Note 19 3 2" xfId="1385"/>
    <cellStyle name="Note 19 3 2 2" xfId="2655"/>
    <cellStyle name="Note 19 3 2 2 2" xfId="6216"/>
    <cellStyle name="Note 19 3 2 2 2 2" xfId="14410"/>
    <cellStyle name="Note 19 3 2 2 2 2 2" xfId="26382"/>
    <cellStyle name="Note 19 3 2 2 2 2 2 2" xfId="47568"/>
    <cellStyle name="Note 19 3 2 2 2 2 3" xfId="36964"/>
    <cellStyle name="Note 19 3 2 2 2 3" xfId="21269"/>
    <cellStyle name="Note 19 3 2 2 2 3 2" xfId="42456"/>
    <cellStyle name="Note 19 3 2 2 2 4" xfId="31872"/>
    <cellStyle name="Note 19 3 2 2 2_Table 2A-1_EFT (Annual)" xfId="15569"/>
    <cellStyle name="Note 19 3 2 2 3" xfId="11752"/>
    <cellStyle name="Note 19 3 2 2 3 2" xfId="23836"/>
    <cellStyle name="Note 19 3 2 2 3 2 2" xfId="45022"/>
    <cellStyle name="Note 19 3 2 2 3 3" xfId="34418"/>
    <cellStyle name="Note 19 3 2 2 4" xfId="18723"/>
    <cellStyle name="Note 19 3 2 2 4 2" xfId="39910"/>
    <cellStyle name="Note 19 3 2 2 5" xfId="29129"/>
    <cellStyle name="Note 19 3 2 2_Table 2A-1_EFT (Annual)" xfId="7268"/>
    <cellStyle name="Note 19 3 2 3" xfId="4946"/>
    <cellStyle name="Note 19 3 2 3 2" xfId="13206"/>
    <cellStyle name="Note 19 3 2 3 2 2" xfId="25212"/>
    <cellStyle name="Note 19 3 2 3 2 2 2" xfId="46398"/>
    <cellStyle name="Note 19 3 2 3 2 3" xfId="35794"/>
    <cellStyle name="Note 19 3 2 3 3" xfId="20099"/>
    <cellStyle name="Note 19 3 2 3 3 2" xfId="41286"/>
    <cellStyle name="Note 19 3 2 3 4" xfId="30603"/>
    <cellStyle name="Note 19 3 2 3_Table 2A-1_EFT (Annual)" xfId="15570"/>
    <cellStyle name="Note 19 3 2 4" xfId="10550"/>
    <cellStyle name="Note 19 3 2 4 2" xfId="22666"/>
    <cellStyle name="Note 19 3 2 4 2 2" xfId="43852"/>
    <cellStyle name="Note 19 3 2 4 3" xfId="33248"/>
    <cellStyle name="Note 19 3 2 5" xfId="17553"/>
    <cellStyle name="Note 19 3 2 5 2" xfId="38740"/>
    <cellStyle name="Note 19 3 2 6" xfId="27860"/>
    <cellStyle name="Note 19 3 2_Table 2A-1_EFT (Annual)" xfId="7267"/>
    <cellStyle name="Note 19 3 3" xfId="935"/>
    <cellStyle name="Note 19 3 3 2" xfId="4496"/>
    <cellStyle name="Note 19 3 3 2 2" xfId="12758"/>
    <cellStyle name="Note 19 3 3 2 2 2" xfId="24768"/>
    <cellStyle name="Note 19 3 3 2 2 2 2" xfId="45954"/>
    <cellStyle name="Note 19 3 3 2 2 3" xfId="35350"/>
    <cellStyle name="Note 19 3 3 2 3" xfId="19655"/>
    <cellStyle name="Note 19 3 3 2 3 2" xfId="40842"/>
    <cellStyle name="Note 19 3 3 2 4" xfId="30153"/>
    <cellStyle name="Note 19 3 3 2_Table 2A-1_EFT (Annual)" xfId="15571"/>
    <cellStyle name="Note 19 3 3 3" xfId="10105"/>
    <cellStyle name="Note 19 3 3 3 2" xfId="22222"/>
    <cellStyle name="Note 19 3 3 3 2 2" xfId="43408"/>
    <cellStyle name="Note 19 3 3 3 3" xfId="32804"/>
    <cellStyle name="Note 19 3 3 4" xfId="17109"/>
    <cellStyle name="Note 19 3 3 4 2" xfId="38296"/>
    <cellStyle name="Note 19 3 3 5" xfId="27410"/>
    <cellStyle name="Note 19 3 3_Table 2A-1_EFT (Annual)" xfId="7269"/>
    <cellStyle name="Note 19 3 4" xfId="2124"/>
    <cellStyle name="Note 19 3 4 2" xfId="5685"/>
    <cellStyle name="Note 19 3 4 2 2" xfId="13900"/>
    <cellStyle name="Note 19 3 4 2 2 2" xfId="25888"/>
    <cellStyle name="Note 19 3 4 2 2 2 2" xfId="47074"/>
    <cellStyle name="Note 19 3 4 2 2 3" xfId="36470"/>
    <cellStyle name="Note 19 3 4 2 3" xfId="20775"/>
    <cellStyle name="Note 19 3 4 2 3 2" xfId="41962"/>
    <cellStyle name="Note 19 3 4 2 4" xfId="31342"/>
    <cellStyle name="Note 19 3 4 2_Table 2A-1_EFT (Annual)" xfId="15572"/>
    <cellStyle name="Note 19 3 4 3" xfId="11244"/>
    <cellStyle name="Note 19 3 4 3 2" xfId="23342"/>
    <cellStyle name="Note 19 3 4 3 2 2" xfId="44528"/>
    <cellStyle name="Note 19 3 4 3 3" xfId="33924"/>
    <cellStyle name="Note 19 3 4 4" xfId="18229"/>
    <cellStyle name="Note 19 3 4 4 2" xfId="39416"/>
    <cellStyle name="Note 19 3 4 5" xfId="28599"/>
    <cellStyle name="Note 19 3 4_Table 2A-1_EFT (Annual)" xfId="7270"/>
    <cellStyle name="Note 19 3 5" xfId="3972"/>
    <cellStyle name="Note 19 3 5 2" xfId="12300"/>
    <cellStyle name="Note 19 3 5 2 2" xfId="24324"/>
    <cellStyle name="Note 19 3 5 2 2 2" xfId="45510"/>
    <cellStyle name="Note 19 3 5 2 3" xfId="34906"/>
    <cellStyle name="Note 19 3 5 3" xfId="19211"/>
    <cellStyle name="Note 19 3 5 3 2" xfId="40398"/>
    <cellStyle name="Note 19 3 5 4" xfId="29660"/>
    <cellStyle name="Note 19 3 5_Table 2A-1_EFT (Annual)" xfId="15573"/>
    <cellStyle name="Note 19 3 6" xfId="9637"/>
    <cellStyle name="Note 19 3 6 2" xfId="21778"/>
    <cellStyle name="Note 19 3 6 2 2" xfId="42964"/>
    <cellStyle name="Note 19 3 6 3" xfId="32360"/>
    <cellStyle name="Note 19 3 7" xfId="16665"/>
    <cellStyle name="Note 19 3 7 2" xfId="37852"/>
    <cellStyle name="Note 19 3 8" xfId="26917"/>
    <cellStyle name="Note 19 3_Table 2A-1_EFT (Annual)" xfId="3254"/>
    <cellStyle name="Note 19 4" xfId="1219"/>
    <cellStyle name="Note 19 4 2" xfId="2489"/>
    <cellStyle name="Note 19 4 2 2" xfId="6050"/>
    <cellStyle name="Note 19 4 2 2 2" xfId="14244"/>
    <cellStyle name="Note 19 4 2 2 2 2" xfId="26216"/>
    <cellStyle name="Note 19 4 2 2 2 2 2" xfId="47402"/>
    <cellStyle name="Note 19 4 2 2 2 3" xfId="36798"/>
    <cellStyle name="Note 19 4 2 2 3" xfId="21103"/>
    <cellStyle name="Note 19 4 2 2 3 2" xfId="42290"/>
    <cellStyle name="Note 19 4 2 2 4" xfId="31706"/>
    <cellStyle name="Note 19 4 2 2_Table 2A-1_EFT (Annual)" xfId="15574"/>
    <cellStyle name="Note 19 4 2 3" xfId="11586"/>
    <cellStyle name="Note 19 4 2 3 2" xfId="23670"/>
    <cellStyle name="Note 19 4 2 3 2 2" xfId="44856"/>
    <cellStyle name="Note 19 4 2 3 3" xfId="34252"/>
    <cellStyle name="Note 19 4 2 4" xfId="18557"/>
    <cellStyle name="Note 19 4 2 4 2" xfId="39744"/>
    <cellStyle name="Note 19 4 2 5" xfId="28963"/>
    <cellStyle name="Note 19 4 2_Table 2A-1_EFT (Annual)" xfId="7272"/>
    <cellStyle name="Note 19 4 3" xfId="4780"/>
    <cellStyle name="Note 19 4 3 2" xfId="13040"/>
    <cellStyle name="Note 19 4 3 2 2" xfId="25046"/>
    <cellStyle name="Note 19 4 3 2 2 2" xfId="46232"/>
    <cellStyle name="Note 19 4 3 2 3" xfId="35628"/>
    <cellStyle name="Note 19 4 3 3" xfId="19933"/>
    <cellStyle name="Note 19 4 3 3 2" xfId="41120"/>
    <cellStyle name="Note 19 4 3 4" xfId="30437"/>
    <cellStyle name="Note 19 4 3_Table 2A-1_EFT (Annual)" xfId="15575"/>
    <cellStyle name="Note 19 4 4" xfId="10384"/>
    <cellStyle name="Note 19 4 4 2" xfId="22500"/>
    <cellStyle name="Note 19 4 4 2 2" xfId="43686"/>
    <cellStyle name="Note 19 4 4 3" xfId="33082"/>
    <cellStyle name="Note 19 4 5" xfId="17387"/>
    <cellStyle name="Note 19 4 5 2" xfId="38574"/>
    <cellStyle name="Note 19 4 6" xfId="27694"/>
    <cellStyle name="Note 19 4_Table 2A-1_EFT (Annual)" xfId="7271"/>
    <cellStyle name="Note 19 5" xfId="776"/>
    <cellStyle name="Note 19 5 2" xfId="4337"/>
    <cellStyle name="Note 19 5 2 2" xfId="12617"/>
    <cellStyle name="Note 19 5 2 2 2" xfId="24634"/>
    <cellStyle name="Note 19 5 2 2 2 2" xfId="45820"/>
    <cellStyle name="Note 19 5 2 2 3" xfId="35216"/>
    <cellStyle name="Note 19 5 2 3" xfId="19521"/>
    <cellStyle name="Note 19 5 2 3 2" xfId="40708"/>
    <cellStyle name="Note 19 5 2 4" xfId="29994"/>
    <cellStyle name="Note 19 5 2_Table 2A-1_EFT (Annual)" xfId="15576"/>
    <cellStyle name="Note 19 5 3" xfId="9965"/>
    <cellStyle name="Note 19 5 3 2" xfId="22088"/>
    <cellStyle name="Note 19 5 3 2 2" xfId="43274"/>
    <cellStyle name="Note 19 5 3 3" xfId="32670"/>
    <cellStyle name="Note 19 5 4" xfId="16975"/>
    <cellStyle name="Note 19 5 4 2" xfId="38162"/>
    <cellStyle name="Note 19 5 5" xfId="27251"/>
    <cellStyle name="Note 19 5_Table 2A-1_EFT (Annual)" xfId="7273"/>
    <cellStyle name="Note 19 6" xfId="1958"/>
    <cellStyle name="Note 19 6 2" xfId="5519"/>
    <cellStyle name="Note 19 6 2 2" xfId="13734"/>
    <cellStyle name="Note 19 6 2 2 2" xfId="25722"/>
    <cellStyle name="Note 19 6 2 2 2 2" xfId="46908"/>
    <cellStyle name="Note 19 6 2 2 3" xfId="36304"/>
    <cellStyle name="Note 19 6 2 3" xfId="20609"/>
    <cellStyle name="Note 19 6 2 3 2" xfId="41796"/>
    <cellStyle name="Note 19 6 2 4" xfId="31176"/>
    <cellStyle name="Note 19 6 2_Table 2A-1_EFT (Annual)" xfId="15577"/>
    <cellStyle name="Note 19 6 3" xfId="11078"/>
    <cellStyle name="Note 19 6 3 2" xfId="23176"/>
    <cellStyle name="Note 19 6 3 2 2" xfId="44362"/>
    <cellStyle name="Note 19 6 3 3" xfId="33758"/>
    <cellStyle name="Note 19 6 4" xfId="18063"/>
    <cellStyle name="Note 19 6 4 2" xfId="39250"/>
    <cellStyle name="Note 19 6 5" xfId="28433"/>
    <cellStyle name="Note 19 6_Table 2A-1_EFT (Annual)" xfId="7274"/>
    <cellStyle name="Note 19 7" xfId="3760"/>
    <cellStyle name="Note 19 7 2" xfId="12128"/>
    <cellStyle name="Note 19 7 2 2" xfId="24158"/>
    <cellStyle name="Note 19 7 2 2 2" xfId="45344"/>
    <cellStyle name="Note 19 7 2 3" xfId="34740"/>
    <cellStyle name="Note 19 7 3" xfId="19045"/>
    <cellStyle name="Note 19 7 3 2" xfId="40232"/>
    <cellStyle name="Note 19 7 4" xfId="29469"/>
    <cellStyle name="Note 19 7_Table 2A-1_EFT (Annual)" xfId="15578"/>
    <cellStyle name="Note 19 8" xfId="9447"/>
    <cellStyle name="Note 19 8 2" xfId="21612"/>
    <cellStyle name="Note 19 8 2 2" xfId="42798"/>
    <cellStyle name="Note 19 8 3" xfId="32194"/>
    <cellStyle name="Note 19 9" xfId="16499"/>
    <cellStyle name="Note 19 9 2" xfId="37686"/>
    <cellStyle name="Note 19_Table 2A-1_EFT (Annual)" xfId="3252"/>
    <cellStyle name="Note 2" xfId="100"/>
    <cellStyle name="Note 2 10" xfId="21513"/>
    <cellStyle name="Note 2 10 2" xfId="42700"/>
    <cellStyle name="Note 2 11" xfId="26655"/>
    <cellStyle name="Note 2 2" xfId="498"/>
    <cellStyle name="Note 2 2 2" xfId="1475"/>
    <cellStyle name="Note 2 2 2 2" xfId="2745"/>
    <cellStyle name="Note 2 2 2 2 2" xfId="6306"/>
    <cellStyle name="Note 2 2 2 2 2 2" xfId="14500"/>
    <cellStyle name="Note 2 2 2 2 2 2 2" xfId="26472"/>
    <cellStyle name="Note 2 2 2 2 2 2 2 2" xfId="47658"/>
    <cellStyle name="Note 2 2 2 2 2 2 3" xfId="37054"/>
    <cellStyle name="Note 2 2 2 2 2 3" xfId="21359"/>
    <cellStyle name="Note 2 2 2 2 2 3 2" xfId="42546"/>
    <cellStyle name="Note 2 2 2 2 2 4" xfId="31962"/>
    <cellStyle name="Note 2 2 2 2 2_Table 2A-1_EFT (Annual)" xfId="15579"/>
    <cellStyle name="Note 2 2 2 2 3" xfId="11842"/>
    <cellStyle name="Note 2 2 2 2 3 2" xfId="23926"/>
    <cellStyle name="Note 2 2 2 2 3 2 2" xfId="45112"/>
    <cellStyle name="Note 2 2 2 2 3 3" xfId="34508"/>
    <cellStyle name="Note 2 2 2 2 4" xfId="18813"/>
    <cellStyle name="Note 2 2 2 2 4 2" xfId="40000"/>
    <cellStyle name="Note 2 2 2 2 5" xfId="29219"/>
    <cellStyle name="Note 2 2 2 2_Table 2A-1_EFT (Annual)" xfId="7276"/>
    <cellStyle name="Note 2 2 2 3" xfId="5036"/>
    <cellStyle name="Note 2 2 2 3 2" xfId="13296"/>
    <cellStyle name="Note 2 2 2 3 2 2" xfId="25302"/>
    <cellStyle name="Note 2 2 2 3 2 2 2" xfId="46488"/>
    <cellStyle name="Note 2 2 2 3 2 3" xfId="35884"/>
    <cellStyle name="Note 2 2 2 3 3" xfId="20189"/>
    <cellStyle name="Note 2 2 2 3 3 2" xfId="41376"/>
    <cellStyle name="Note 2 2 2 3 4" xfId="30693"/>
    <cellStyle name="Note 2 2 2 3_Table 2A-1_EFT (Annual)" xfId="15580"/>
    <cellStyle name="Note 2 2 2 4" xfId="10640"/>
    <cellStyle name="Note 2 2 2 4 2" xfId="22756"/>
    <cellStyle name="Note 2 2 2 4 2 2" xfId="43942"/>
    <cellStyle name="Note 2 2 2 4 3" xfId="33338"/>
    <cellStyle name="Note 2 2 2 5" xfId="17643"/>
    <cellStyle name="Note 2 2 2 5 2" xfId="38830"/>
    <cellStyle name="Note 2 2 2 6" xfId="27950"/>
    <cellStyle name="Note 2 2 2_Table 2A-1_EFT (Annual)" xfId="7275"/>
    <cellStyle name="Note 2 2 3" xfId="1013"/>
    <cellStyle name="Note 2 2 3 2" xfId="4574"/>
    <cellStyle name="Note 2 2 3 2 2" xfId="12834"/>
    <cellStyle name="Note 2 2 3 2 2 2" xfId="24840"/>
    <cellStyle name="Note 2 2 3 2 2 2 2" xfId="46026"/>
    <cellStyle name="Note 2 2 3 2 2 3" xfId="35422"/>
    <cellStyle name="Note 2 2 3 2 3" xfId="19727"/>
    <cellStyle name="Note 2 2 3 2 3 2" xfId="40914"/>
    <cellStyle name="Note 2 2 3 2 4" xfId="30231"/>
    <cellStyle name="Note 2 2 3 2_Table 2A-1_EFT (Annual)" xfId="15581"/>
    <cellStyle name="Note 2 2 3 3" xfId="10178"/>
    <cellStyle name="Note 2 2 3 3 2" xfId="22294"/>
    <cellStyle name="Note 2 2 3 3 2 2" xfId="43480"/>
    <cellStyle name="Note 2 2 3 3 3" xfId="32876"/>
    <cellStyle name="Note 2 2 3 4" xfId="17181"/>
    <cellStyle name="Note 2 2 3 4 2" xfId="38368"/>
    <cellStyle name="Note 2 2 3 5" xfId="27488"/>
    <cellStyle name="Note 2 2 3_Table 2A-1_EFT (Annual)" xfId="7277"/>
    <cellStyle name="Note 2 2 4" xfId="2214"/>
    <cellStyle name="Note 2 2 4 2" xfId="5775"/>
    <cellStyle name="Note 2 2 4 2 2" xfId="13990"/>
    <cellStyle name="Note 2 2 4 2 2 2" xfId="25978"/>
    <cellStyle name="Note 2 2 4 2 2 2 2" xfId="47164"/>
    <cellStyle name="Note 2 2 4 2 2 3" xfId="36560"/>
    <cellStyle name="Note 2 2 4 2 3" xfId="20865"/>
    <cellStyle name="Note 2 2 4 2 3 2" xfId="42052"/>
    <cellStyle name="Note 2 2 4 2 4" xfId="31432"/>
    <cellStyle name="Note 2 2 4 2_Table 2A-1_EFT (Annual)" xfId="15582"/>
    <cellStyle name="Note 2 2 4 3" xfId="11334"/>
    <cellStyle name="Note 2 2 4 3 2" xfId="23432"/>
    <cellStyle name="Note 2 2 4 3 2 2" xfId="44618"/>
    <cellStyle name="Note 2 2 4 3 3" xfId="34014"/>
    <cellStyle name="Note 2 2 4 4" xfId="18319"/>
    <cellStyle name="Note 2 2 4 4 2" xfId="39506"/>
    <cellStyle name="Note 2 2 4 5" xfId="28689"/>
    <cellStyle name="Note 2 2 4_Table 2A-1_EFT (Annual)" xfId="7278"/>
    <cellStyle name="Note 2 2 5" xfId="4068"/>
    <cellStyle name="Note 2 2 5 2" xfId="12392"/>
    <cellStyle name="Note 2 2 5 2 2" xfId="24414"/>
    <cellStyle name="Note 2 2 5 2 2 2" xfId="45600"/>
    <cellStyle name="Note 2 2 5 2 3" xfId="34996"/>
    <cellStyle name="Note 2 2 5 3" xfId="19301"/>
    <cellStyle name="Note 2 2 5 3 2" xfId="40488"/>
    <cellStyle name="Note 2 2 5 4" xfId="29756"/>
    <cellStyle name="Note 2 2 5_Table 2A-1_EFT (Annual)" xfId="15583"/>
    <cellStyle name="Note 2 2 6" xfId="9731"/>
    <cellStyle name="Note 2 2 6 2" xfId="21868"/>
    <cellStyle name="Note 2 2 6 2 2" xfId="43054"/>
    <cellStyle name="Note 2 2 6 3" xfId="32450"/>
    <cellStyle name="Note 2 2 7" xfId="16755"/>
    <cellStyle name="Note 2 2 7 2" xfId="37942"/>
    <cellStyle name="Note 2 2 8" xfId="27013"/>
    <cellStyle name="Note 2 2_Table 2A-1_EFT (Annual)" xfId="3256"/>
    <cellStyle name="Note 2 3" xfId="331"/>
    <cellStyle name="Note 2 3 2" xfId="1319"/>
    <cellStyle name="Note 2 3 2 2" xfId="2589"/>
    <cellStyle name="Note 2 3 2 2 2" xfId="6150"/>
    <cellStyle name="Note 2 3 2 2 2 2" xfId="14344"/>
    <cellStyle name="Note 2 3 2 2 2 2 2" xfId="26316"/>
    <cellStyle name="Note 2 3 2 2 2 2 2 2" xfId="47502"/>
    <cellStyle name="Note 2 3 2 2 2 2 3" xfId="36898"/>
    <cellStyle name="Note 2 3 2 2 2 3" xfId="21203"/>
    <cellStyle name="Note 2 3 2 2 2 3 2" xfId="42390"/>
    <cellStyle name="Note 2 3 2 2 2 4" xfId="31806"/>
    <cellStyle name="Note 2 3 2 2 2_Table 2A-1_EFT (Annual)" xfId="15584"/>
    <cellStyle name="Note 2 3 2 2 3" xfId="11686"/>
    <cellStyle name="Note 2 3 2 2 3 2" xfId="23770"/>
    <cellStyle name="Note 2 3 2 2 3 2 2" xfId="44956"/>
    <cellStyle name="Note 2 3 2 2 3 3" xfId="34352"/>
    <cellStyle name="Note 2 3 2 2 4" xfId="18657"/>
    <cellStyle name="Note 2 3 2 2 4 2" xfId="39844"/>
    <cellStyle name="Note 2 3 2 2 5" xfId="29063"/>
    <cellStyle name="Note 2 3 2 2_Table 2A-1_EFT (Annual)" xfId="7280"/>
    <cellStyle name="Note 2 3 2 3" xfId="4880"/>
    <cellStyle name="Note 2 3 2 3 2" xfId="13140"/>
    <cellStyle name="Note 2 3 2 3 2 2" xfId="25146"/>
    <cellStyle name="Note 2 3 2 3 2 2 2" xfId="46332"/>
    <cellStyle name="Note 2 3 2 3 2 3" xfId="35728"/>
    <cellStyle name="Note 2 3 2 3 3" xfId="20033"/>
    <cellStyle name="Note 2 3 2 3 3 2" xfId="41220"/>
    <cellStyle name="Note 2 3 2 3 4" xfId="30537"/>
    <cellStyle name="Note 2 3 2 3_Table 2A-1_EFT (Annual)" xfId="15585"/>
    <cellStyle name="Note 2 3 2 4" xfId="10484"/>
    <cellStyle name="Note 2 3 2 4 2" xfId="22600"/>
    <cellStyle name="Note 2 3 2 4 2 2" xfId="43786"/>
    <cellStyle name="Note 2 3 2 4 3" xfId="33182"/>
    <cellStyle name="Note 2 3 2 5" xfId="17487"/>
    <cellStyle name="Note 2 3 2 5 2" xfId="38674"/>
    <cellStyle name="Note 2 3 2 6" xfId="27794"/>
    <cellStyle name="Note 2 3 2_Table 2A-1_EFT (Annual)" xfId="7279"/>
    <cellStyle name="Note 2 3 3" xfId="876"/>
    <cellStyle name="Note 2 3 3 2" xfId="4437"/>
    <cellStyle name="Note 2 3 3 2 2" xfId="12702"/>
    <cellStyle name="Note 2 3 3 2 2 2" xfId="24714"/>
    <cellStyle name="Note 2 3 3 2 2 2 2" xfId="45900"/>
    <cellStyle name="Note 2 3 3 2 2 3" xfId="35296"/>
    <cellStyle name="Note 2 3 3 2 3" xfId="19601"/>
    <cellStyle name="Note 2 3 3 2 3 2" xfId="40788"/>
    <cellStyle name="Note 2 3 3 2 4" xfId="30094"/>
    <cellStyle name="Note 2 3 3 2_Table 2A-1_EFT (Annual)" xfId="15586"/>
    <cellStyle name="Note 2 3 3 3" xfId="10049"/>
    <cellStyle name="Note 2 3 3 3 2" xfId="22168"/>
    <cellStyle name="Note 2 3 3 3 2 2" xfId="43354"/>
    <cellStyle name="Note 2 3 3 3 3" xfId="32750"/>
    <cellStyle name="Note 2 3 3 4" xfId="17055"/>
    <cellStyle name="Note 2 3 3 4 2" xfId="38242"/>
    <cellStyle name="Note 2 3 3 5" xfId="27351"/>
    <cellStyle name="Note 2 3 3_Table 2A-1_EFT (Annual)" xfId="7281"/>
    <cellStyle name="Note 2 3 4" xfId="2058"/>
    <cellStyle name="Note 2 3 4 2" xfId="5619"/>
    <cellStyle name="Note 2 3 4 2 2" xfId="13834"/>
    <cellStyle name="Note 2 3 4 2 2 2" xfId="25822"/>
    <cellStyle name="Note 2 3 4 2 2 2 2" xfId="47008"/>
    <cellStyle name="Note 2 3 4 2 2 3" xfId="36404"/>
    <cellStyle name="Note 2 3 4 2 3" xfId="20709"/>
    <cellStyle name="Note 2 3 4 2 3 2" xfId="41896"/>
    <cellStyle name="Note 2 3 4 2 4" xfId="31276"/>
    <cellStyle name="Note 2 3 4 2_Table 2A-1_EFT (Annual)" xfId="15587"/>
    <cellStyle name="Note 2 3 4 3" xfId="11178"/>
    <cellStyle name="Note 2 3 4 3 2" xfId="23276"/>
    <cellStyle name="Note 2 3 4 3 2 2" xfId="44462"/>
    <cellStyle name="Note 2 3 4 3 3" xfId="33858"/>
    <cellStyle name="Note 2 3 4 4" xfId="18163"/>
    <cellStyle name="Note 2 3 4 4 2" xfId="39350"/>
    <cellStyle name="Note 2 3 4 5" xfId="28533"/>
    <cellStyle name="Note 2 3 4_Table 2A-1_EFT (Annual)" xfId="7282"/>
    <cellStyle name="Note 2 3 5" xfId="3901"/>
    <cellStyle name="Note 2 3 5 2" xfId="12233"/>
    <cellStyle name="Note 2 3 5 2 2" xfId="24258"/>
    <cellStyle name="Note 2 3 5 2 2 2" xfId="45444"/>
    <cellStyle name="Note 2 3 5 2 3" xfId="34840"/>
    <cellStyle name="Note 2 3 5 3" xfId="19145"/>
    <cellStyle name="Note 2 3 5 3 2" xfId="40332"/>
    <cellStyle name="Note 2 3 5 4" xfId="29589"/>
    <cellStyle name="Note 2 3 5_Table 2A-1_EFT (Annual)" xfId="15588"/>
    <cellStyle name="Note 2 3 6" xfId="9570"/>
    <cellStyle name="Note 2 3 6 2" xfId="21712"/>
    <cellStyle name="Note 2 3 6 2 2" xfId="42898"/>
    <cellStyle name="Note 2 3 6 3" xfId="32294"/>
    <cellStyle name="Note 2 3 7" xfId="16599"/>
    <cellStyle name="Note 2 3 7 2" xfId="37786"/>
    <cellStyle name="Note 2 3 8" xfId="26846"/>
    <cellStyle name="Note 2 3_Table 2A-1_EFT (Annual)" xfId="3257"/>
    <cellStyle name="Note 2 4" xfId="1153"/>
    <cellStyle name="Note 2 4 2" xfId="2423"/>
    <cellStyle name="Note 2 4 2 2" xfId="5984"/>
    <cellStyle name="Note 2 4 2 2 2" xfId="14178"/>
    <cellStyle name="Note 2 4 2 2 2 2" xfId="26150"/>
    <cellStyle name="Note 2 4 2 2 2 2 2" xfId="47336"/>
    <cellStyle name="Note 2 4 2 2 2 3" xfId="36732"/>
    <cellStyle name="Note 2 4 2 2 3" xfId="21037"/>
    <cellStyle name="Note 2 4 2 2 3 2" xfId="42224"/>
    <cellStyle name="Note 2 4 2 2 4" xfId="31640"/>
    <cellStyle name="Note 2 4 2 2_Table 2A-1_EFT (Annual)" xfId="15589"/>
    <cellStyle name="Note 2 4 2 3" xfId="11520"/>
    <cellStyle name="Note 2 4 2 3 2" xfId="23604"/>
    <cellStyle name="Note 2 4 2 3 2 2" xfId="44790"/>
    <cellStyle name="Note 2 4 2 3 3" xfId="34186"/>
    <cellStyle name="Note 2 4 2 4" xfId="18491"/>
    <cellStyle name="Note 2 4 2 4 2" xfId="39678"/>
    <cellStyle name="Note 2 4 2 5" xfId="28897"/>
    <cellStyle name="Note 2 4 2_Table 2A-1_EFT (Annual)" xfId="7284"/>
    <cellStyle name="Note 2 4 3" xfId="4714"/>
    <cellStyle name="Note 2 4 3 2" xfId="12974"/>
    <cellStyle name="Note 2 4 3 2 2" xfId="24980"/>
    <cellStyle name="Note 2 4 3 2 2 2" xfId="46166"/>
    <cellStyle name="Note 2 4 3 2 3" xfId="35562"/>
    <cellStyle name="Note 2 4 3 3" xfId="19867"/>
    <cellStyle name="Note 2 4 3 3 2" xfId="41054"/>
    <cellStyle name="Note 2 4 3 4" xfId="30371"/>
    <cellStyle name="Note 2 4 3_Table 2A-1_EFT (Annual)" xfId="15590"/>
    <cellStyle name="Note 2 4 4" xfId="10318"/>
    <cellStyle name="Note 2 4 4 2" xfId="22434"/>
    <cellStyle name="Note 2 4 4 2 2" xfId="43620"/>
    <cellStyle name="Note 2 4 4 3" xfId="33016"/>
    <cellStyle name="Note 2 4 5" xfId="17321"/>
    <cellStyle name="Note 2 4 5 2" xfId="38508"/>
    <cellStyle name="Note 2 4 6" xfId="27628"/>
    <cellStyle name="Note 2 4_Table 2A-1_EFT (Annual)" xfId="7283"/>
    <cellStyle name="Note 2 5" xfId="717"/>
    <cellStyle name="Note 2 5 2" xfId="4278"/>
    <cellStyle name="Note 2 5 2 2" xfId="12562"/>
    <cellStyle name="Note 2 5 2 2 2" xfId="24580"/>
    <cellStyle name="Note 2 5 2 2 2 2" xfId="45766"/>
    <cellStyle name="Note 2 5 2 2 3" xfId="35162"/>
    <cellStyle name="Note 2 5 2 3" xfId="19467"/>
    <cellStyle name="Note 2 5 2 3 2" xfId="40654"/>
    <cellStyle name="Note 2 5 2 4" xfId="29935"/>
    <cellStyle name="Note 2 5 2_Table 2A-1_EFT (Annual)" xfId="15591"/>
    <cellStyle name="Note 2 5 3" xfId="9909"/>
    <cellStyle name="Note 2 5 3 2" xfId="22034"/>
    <cellStyle name="Note 2 5 3 2 2" xfId="43220"/>
    <cellStyle name="Note 2 5 3 3" xfId="32616"/>
    <cellStyle name="Note 2 5 4" xfId="16921"/>
    <cellStyle name="Note 2 5 4 2" xfId="38108"/>
    <cellStyle name="Note 2 5 5" xfId="27192"/>
    <cellStyle name="Note 2 5_Table 2A-1_EFT (Annual)" xfId="7285"/>
    <cellStyle name="Note 2 6" xfId="1806"/>
    <cellStyle name="Note 2 6 2" xfId="5367"/>
    <cellStyle name="Note 2 6 2 2" xfId="13582"/>
    <cellStyle name="Note 2 6 2 2 2" xfId="25570"/>
    <cellStyle name="Note 2 6 2 2 2 2" xfId="46756"/>
    <cellStyle name="Note 2 6 2 2 3" xfId="36152"/>
    <cellStyle name="Note 2 6 2 3" xfId="20457"/>
    <cellStyle name="Note 2 6 2 3 2" xfId="41644"/>
    <cellStyle name="Note 2 6 2 4" xfId="31024"/>
    <cellStyle name="Note 2 6 2_Table 2A-1_EFT (Annual)" xfId="15592"/>
    <cellStyle name="Note 2 6 3" xfId="10926"/>
    <cellStyle name="Note 2 6 3 2" xfId="23024"/>
    <cellStyle name="Note 2 6 3 2 2" xfId="44210"/>
    <cellStyle name="Note 2 6 3 3" xfId="33606"/>
    <cellStyle name="Note 2 6 4" xfId="17911"/>
    <cellStyle name="Note 2 6 4 2" xfId="39098"/>
    <cellStyle name="Note 2 6 5" xfId="28281"/>
    <cellStyle name="Note 2 6_Table 2A-1_EFT (Annual)" xfId="7286"/>
    <cellStyle name="Note 2 7" xfId="3689"/>
    <cellStyle name="Note 2 7 2" xfId="12061"/>
    <cellStyle name="Note 2 7 2 2" xfId="24092"/>
    <cellStyle name="Note 2 7 2 2 2" xfId="45278"/>
    <cellStyle name="Note 2 7 2 3" xfId="34674"/>
    <cellStyle name="Note 2 7 3" xfId="18979"/>
    <cellStyle name="Note 2 7 3 2" xfId="40166"/>
    <cellStyle name="Note 2 7 4" xfId="29398"/>
    <cellStyle name="Note 2 7_Table 2A-1_EFT (Annual)" xfId="15593"/>
    <cellStyle name="Note 2 8" xfId="9379"/>
    <cellStyle name="Note 2 8 2" xfId="21546"/>
    <cellStyle name="Note 2 8 2 2" xfId="42732"/>
    <cellStyle name="Note 2 8 3" xfId="32128"/>
    <cellStyle name="Note 2 9" xfId="16433"/>
    <cellStyle name="Note 2 9 2" xfId="37620"/>
    <cellStyle name="Note 2_Table 2A-1_EFT (Annual)" xfId="3255"/>
    <cellStyle name="Note 20" xfId="179"/>
    <cellStyle name="Note 20 10" xfId="26734"/>
    <cellStyle name="Note 20 2" xfId="572"/>
    <cellStyle name="Note 20 2 2" xfId="1549"/>
    <cellStyle name="Note 20 2 2 2" xfId="2819"/>
    <cellStyle name="Note 20 2 2 2 2" xfId="6380"/>
    <cellStyle name="Note 20 2 2 2 2 2" xfId="14574"/>
    <cellStyle name="Note 20 2 2 2 2 2 2" xfId="26546"/>
    <cellStyle name="Note 20 2 2 2 2 2 2 2" xfId="47732"/>
    <cellStyle name="Note 20 2 2 2 2 2 3" xfId="37128"/>
    <cellStyle name="Note 20 2 2 2 2 3" xfId="21433"/>
    <cellStyle name="Note 20 2 2 2 2 3 2" xfId="42620"/>
    <cellStyle name="Note 20 2 2 2 2 4" xfId="32036"/>
    <cellStyle name="Note 20 2 2 2 2_Table 2A-1_EFT (Annual)" xfId="15594"/>
    <cellStyle name="Note 20 2 2 2 3" xfId="11916"/>
    <cellStyle name="Note 20 2 2 2 3 2" xfId="24000"/>
    <cellStyle name="Note 20 2 2 2 3 2 2" xfId="45186"/>
    <cellStyle name="Note 20 2 2 2 3 3" xfId="34582"/>
    <cellStyle name="Note 20 2 2 2 4" xfId="18887"/>
    <cellStyle name="Note 20 2 2 2 4 2" xfId="40074"/>
    <cellStyle name="Note 20 2 2 2 5" xfId="29293"/>
    <cellStyle name="Note 20 2 2 2_Table 2A-1_EFT (Annual)" xfId="7288"/>
    <cellStyle name="Note 20 2 2 3" xfId="5110"/>
    <cellStyle name="Note 20 2 2 3 2" xfId="13370"/>
    <cellStyle name="Note 20 2 2 3 2 2" xfId="25376"/>
    <cellStyle name="Note 20 2 2 3 2 2 2" xfId="46562"/>
    <cellStyle name="Note 20 2 2 3 2 3" xfId="35958"/>
    <cellStyle name="Note 20 2 2 3 3" xfId="20263"/>
    <cellStyle name="Note 20 2 2 3 3 2" xfId="41450"/>
    <cellStyle name="Note 20 2 2 3 4" xfId="30767"/>
    <cellStyle name="Note 20 2 2 3_Table 2A-1_EFT (Annual)" xfId="15595"/>
    <cellStyle name="Note 20 2 2 4" xfId="10714"/>
    <cellStyle name="Note 20 2 2 4 2" xfId="22830"/>
    <cellStyle name="Note 20 2 2 4 2 2" xfId="44016"/>
    <cellStyle name="Note 20 2 2 4 3" xfId="33412"/>
    <cellStyle name="Note 20 2 2 5" xfId="17717"/>
    <cellStyle name="Note 20 2 2 5 2" xfId="38904"/>
    <cellStyle name="Note 20 2 2 6" xfId="28024"/>
    <cellStyle name="Note 20 2 2_Table 2A-1_EFT (Annual)" xfId="7287"/>
    <cellStyle name="Note 20 2 3" xfId="1074"/>
    <cellStyle name="Note 20 2 3 2" xfId="4635"/>
    <cellStyle name="Note 20 2 3 2 2" xfId="12895"/>
    <cellStyle name="Note 20 2 3 2 2 2" xfId="24901"/>
    <cellStyle name="Note 20 2 3 2 2 2 2" xfId="46087"/>
    <cellStyle name="Note 20 2 3 2 2 3" xfId="35483"/>
    <cellStyle name="Note 20 2 3 2 3" xfId="19788"/>
    <cellStyle name="Note 20 2 3 2 3 2" xfId="40975"/>
    <cellStyle name="Note 20 2 3 2 4" xfId="30292"/>
    <cellStyle name="Note 20 2 3 2_Table 2A-1_EFT (Annual)" xfId="15596"/>
    <cellStyle name="Note 20 2 3 3" xfId="10239"/>
    <cellStyle name="Note 20 2 3 3 2" xfId="22355"/>
    <cellStyle name="Note 20 2 3 3 2 2" xfId="43541"/>
    <cellStyle name="Note 20 2 3 3 3" xfId="32937"/>
    <cellStyle name="Note 20 2 3 4" xfId="17242"/>
    <cellStyle name="Note 20 2 3 4 2" xfId="38429"/>
    <cellStyle name="Note 20 2 3 5" xfId="27549"/>
    <cellStyle name="Note 20 2 3_Table 2A-1_EFT (Annual)" xfId="7289"/>
    <cellStyle name="Note 20 2 4" xfId="2288"/>
    <cellStyle name="Note 20 2 4 2" xfId="5849"/>
    <cellStyle name="Note 20 2 4 2 2" xfId="14064"/>
    <cellStyle name="Note 20 2 4 2 2 2" xfId="26052"/>
    <cellStyle name="Note 20 2 4 2 2 2 2" xfId="47238"/>
    <cellStyle name="Note 20 2 4 2 2 3" xfId="36634"/>
    <cellStyle name="Note 20 2 4 2 3" xfId="20939"/>
    <cellStyle name="Note 20 2 4 2 3 2" xfId="42126"/>
    <cellStyle name="Note 20 2 4 2 4" xfId="31506"/>
    <cellStyle name="Note 20 2 4 2_Table 2A-1_EFT (Annual)" xfId="15597"/>
    <cellStyle name="Note 20 2 4 3" xfId="11408"/>
    <cellStyle name="Note 20 2 4 3 2" xfId="23506"/>
    <cellStyle name="Note 20 2 4 3 2 2" xfId="44692"/>
    <cellStyle name="Note 20 2 4 3 3" xfId="34088"/>
    <cellStyle name="Note 20 2 4 4" xfId="18393"/>
    <cellStyle name="Note 20 2 4 4 2" xfId="39580"/>
    <cellStyle name="Note 20 2 4 5" xfId="28763"/>
    <cellStyle name="Note 20 2 4_Table 2A-1_EFT (Annual)" xfId="7290"/>
    <cellStyle name="Note 20 2 5" xfId="4142"/>
    <cellStyle name="Note 20 2 5 2" xfId="12466"/>
    <cellStyle name="Note 20 2 5 2 2" xfId="24488"/>
    <cellStyle name="Note 20 2 5 2 2 2" xfId="45674"/>
    <cellStyle name="Note 20 2 5 2 3" xfId="35070"/>
    <cellStyle name="Note 20 2 5 3" xfId="19375"/>
    <cellStyle name="Note 20 2 5 3 2" xfId="40562"/>
    <cellStyle name="Note 20 2 5 4" xfId="29830"/>
    <cellStyle name="Note 20 2 5_Table 2A-1_EFT (Annual)" xfId="15598"/>
    <cellStyle name="Note 20 2 6" xfId="9805"/>
    <cellStyle name="Note 20 2 6 2" xfId="21942"/>
    <cellStyle name="Note 20 2 6 2 2" xfId="43128"/>
    <cellStyle name="Note 20 2 6 3" xfId="32524"/>
    <cellStyle name="Note 20 2 7" xfId="16829"/>
    <cellStyle name="Note 20 2 7 2" xfId="38016"/>
    <cellStyle name="Note 20 2 8" xfId="27087"/>
    <cellStyle name="Note 20 2_Table 2A-1_EFT (Annual)" xfId="3259"/>
    <cellStyle name="Note 20 3" xfId="410"/>
    <cellStyle name="Note 20 3 2" xfId="1393"/>
    <cellStyle name="Note 20 3 2 2" xfId="2663"/>
    <cellStyle name="Note 20 3 2 2 2" xfId="6224"/>
    <cellStyle name="Note 20 3 2 2 2 2" xfId="14418"/>
    <cellStyle name="Note 20 3 2 2 2 2 2" xfId="26390"/>
    <cellStyle name="Note 20 3 2 2 2 2 2 2" xfId="47576"/>
    <cellStyle name="Note 20 3 2 2 2 2 3" xfId="36972"/>
    <cellStyle name="Note 20 3 2 2 2 3" xfId="21277"/>
    <cellStyle name="Note 20 3 2 2 2 3 2" xfId="42464"/>
    <cellStyle name="Note 20 3 2 2 2 4" xfId="31880"/>
    <cellStyle name="Note 20 3 2 2 2_Table 2A-1_EFT (Annual)" xfId="15599"/>
    <cellStyle name="Note 20 3 2 2 3" xfId="11760"/>
    <cellStyle name="Note 20 3 2 2 3 2" xfId="23844"/>
    <cellStyle name="Note 20 3 2 2 3 2 2" xfId="45030"/>
    <cellStyle name="Note 20 3 2 2 3 3" xfId="34426"/>
    <cellStyle name="Note 20 3 2 2 4" xfId="18731"/>
    <cellStyle name="Note 20 3 2 2 4 2" xfId="39918"/>
    <cellStyle name="Note 20 3 2 2 5" xfId="29137"/>
    <cellStyle name="Note 20 3 2 2_Table 2A-1_EFT (Annual)" xfId="7292"/>
    <cellStyle name="Note 20 3 2 3" xfId="4954"/>
    <cellStyle name="Note 20 3 2 3 2" xfId="13214"/>
    <cellStyle name="Note 20 3 2 3 2 2" xfId="25220"/>
    <cellStyle name="Note 20 3 2 3 2 2 2" xfId="46406"/>
    <cellStyle name="Note 20 3 2 3 2 3" xfId="35802"/>
    <cellStyle name="Note 20 3 2 3 3" xfId="20107"/>
    <cellStyle name="Note 20 3 2 3 3 2" xfId="41294"/>
    <cellStyle name="Note 20 3 2 3 4" xfId="30611"/>
    <cellStyle name="Note 20 3 2 3_Table 2A-1_EFT (Annual)" xfId="15600"/>
    <cellStyle name="Note 20 3 2 4" xfId="10558"/>
    <cellStyle name="Note 20 3 2 4 2" xfId="22674"/>
    <cellStyle name="Note 20 3 2 4 2 2" xfId="43860"/>
    <cellStyle name="Note 20 3 2 4 3" xfId="33256"/>
    <cellStyle name="Note 20 3 2 5" xfId="17561"/>
    <cellStyle name="Note 20 3 2 5 2" xfId="38748"/>
    <cellStyle name="Note 20 3 2 6" xfId="27868"/>
    <cellStyle name="Note 20 3 2_Table 2A-1_EFT (Annual)" xfId="7291"/>
    <cellStyle name="Note 20 3 3" xfId="942"/>
    <cellStyle name="Note 20 3 3 2" xfId="4503"/>
    <cellStyle name="Note 20 3 3 2 2" xfId="12765"/>
    <cellStyle name="Note 20 3 3 2 2 2" xfId="24775"/>
    <cellStyle name="Note 20 3 3 2 2 2 2" xfId="45961"/>
    <cellStyle name="Note 20 3 3 2 2 3" xfId="35357"/>
    <cellStyle name="Note 20 3 3 2 3" xfId="19662"/>
    <cellStyle name="Note 20 3 3 2 3 2" xfId="40849"/>
    <cellStyle name="Note 20 3 3 2 4" xfId="30160"/>
    <cellStyle name="Note 20 3 3 2_Table 2A-1_EFT (Annual)" xfId="15601"/>
    <cellStyle name="Note 20 3 3 3" xfId="10112"/>
    <cellStyle name="Note 20 3 3 3 2" xfId="22229"/>
    <cellStyle name="Note 20 3 3 3 2 2" xfId="43415"/>
    <cellStyle name="Note 20 3 3 3 3" xfId="32811"/>
    <cellStyle name="Note 20 3 3 4" xfId="17116"/>
    <cellStyle name="Note 20 3 3 4 2" xfId="38303"/>
    <cellStyle name="Note 20 3 3 5" xfId="27417"/>
    <cellStyle name="Note 20 3 3_Table 2A-1_EFT (Annual)" xfId="7293"/>
    <cellStyle name="Note 20 3 4" xfId="2132"/>
    <cellStyle name="Note 20 3 4 2" xfId="5693"/>
    <cellStyle name="Note 20 3 4 2 2" xfId="13908"/>
    <cellStyle name="Note 20 3 4 2 2 2" xfId="25896"/>
    <cellStyle name="Note 20 3 4 2 2 2 2" xfId="47082"/>
    <cellStyle name="Note 20 3 4 2 2 3" xfId="36478"/>
    <cellStyle name="Note 20 3 4 2 3" xfId="20783"/>
    <cellStyle name="Note 20 3 4 2 3 2" xfId="41970"/>
    <cellStyle name="Note 20 3 4 2 4" xfId="31350"/>
    <cellStyle name="Note 20 3 4 2_Table 2A-1_EFT (Annual)" xfId="15602"/>
    <cellStyle name="Note 20 3 4 3" xfId="11252"/>
    <cellStyle name="Note 20 3 4 3 2" xfId="23350"/>
    <cellStyle name="Note 20 3 4 3 2 2" xfId="44536"/>
    <cellStyle name="Note 20 3 4 3 3" xfId="33932"/>
    <cellStyle name="Note 20 3 4 4" xfId="18237"/>
    <cellStyle name="Note 20 3 4 4 2" xfId="39424"/>
    <cellStyle name="Note 20 3 4 5" xfId="28607"/>
    <cellStyle name="Note 20 3 4_Table 2A-1_EFT (Annual)" xfId="7294"/>
    <cellStyle name="Note 20 3 5" xfId="3980"/>
    <cellStyle name="Note 20 3 5 2" xfId="12308"/>
    <cellStyle name="Note 20 3 5 2 2" xfId="24332"/>
    <cellStyle name="Note 20 3 5 2 2 2" xfId="45518"/>
    <cellStyle name="Note 20 3 5 2 3" xfId="34914"/>
    <cellStyle name="Note 20 3 5 3" xfId="19219"/>
    <cellStyle name="Note 20 3 5 3 2" xfId="40406"/>
    <cellStyle name="Note 20 3 5 4" xfId="29668"/>
    <cellStyle name="Note 20 3 5_Table 2A-1_EFT (Annual)" xfId="15603"/>
    <cellStyle name="Note 20 3 6" xfId="9645"/>
    <cellStyle name="Note 20 3 6 2" xfId="21786"/>
    <cellStyle name="Note 20 3 6 2 2" xfId="42972"/>
    <cellStyle name="Note 20 3 6 3" xfId="32368"/>
    <cellStyle name="Note 20 3 7" xfId="16673"/>
    <cellStyle name="Note 20 3 7 2" xfId="37860"/>
    <cellStyle name="Note 20 3 8" xfId="26925"/>
    <cellStyle name="Note 20 3_Table 2A-1_EFT (Annual)" xfId="3260"/>
    <cellStyle name="Note 20 4" xfId="1227"/>
    <cellStyle name="Note 20 4 2" xfId="2497"/>
    <cellStyle name="Note 20 4 2 2" xfId="6058"/>
    <cellStyle name="Note 20 4 2 2 2" xfId="14252"/>
    <cellStyle name="Note 20 4 2 2 2 2" xfId="26224"/>
    <cellStyle name="Note 20 4 2 2 2 2 2" xfId="47410"/>
    <cellStyle name="Note 20 4 2 2 2 3" xfId="36806"/>
    <cellStyle name="Note 20 4 2 2 3" xfId="21111"/>
    <cellStyle name="Note 20 4 2 2 3 2" xfId="42298"/>
    <cellStyle name="Note 20 4 2 2 4" xfId="31714"/>
    <cellStyle name="Note 20 4 2 2_Table 2A-1_EFT (Annual)" xfId="15604"/>
    <cellStyle name="Note 20 4 2 3" xfId="11594"/>
    <cellStyle name="Note 20 4 2 3 2" xfId="23678"/>
    <cellStyle name="Note 20 4 2 3 2 2" xfId="44864"/>
    <cellStyle name="Note 20 4 2 3 3" xfId="34260"/>
    <cellStyle name="Note 20 4 2 4" xfId="18565"/>
    <cellStyle name="Note 20 4 2 4 2" xfId="39752"/>
    <cellStyle name="Note 20 4 2 5" xfId="28971"/>
    <cellStyle name="Note 20 4 2_Table 2A-1_EFT (Annual)" xfId="7296"/>
    <cellStyle name="Note 20 4 3" xfId="4788"/>
    <cellStyle name="Note 20 4 3 2" xfId="13048"/>
    <cellStyle name="Note 20 4 3 2 2" xfId="25054"/>
    <cellStyle name="Note 20 4 3 2 2 2" xfId="46240"/>
    <cellStyle name="Note 20 4 3 2 3" xfId="35636"/>
    <cellStyle name="Note 20 4 3 3" xfId="19941"/>
    <cellStyle name="Note 20 4 3 3 2" xfId="41128"/>
    <cellStyle name="Note 20 4 3 4" xfId="30445"/>
    <cellStyle name="Note 20 4 3_Table 2A-1_EFT (Annual)" xfId="15605"/>
    <cellStyle name="Note 20 4 4" xfId="10392"/>
    <cellStyle name="Note 20 4 4 2" xfId="22508"/>
    <cellStyle name="Note 20 4 4 2 2" xfId="43694"/>
    <cellStyle name="Note 20 4 4 3" xfId="33090"/>
    <cellStyle name="Note 20 4 5" xfId="17395"/>
    <cellStyle name="Note 20 4 5 2" xfId="38582"/>
    <cellStyle name="Note 20 4 6" xfId="27702"/>
    <cellStyle name="Note 20 4_Table 2A-1_EFT (Annual)" xfId="7295"/>
    <cellStyle name="Note 20 5" xfId="783"/>
    <cellStyle name="Note 20 5 2" xfId="4344"/>
    <cellStyle name="Note 20 5 2 2" xfId="12624"/>
    <cellStyle name="Note 20 5 2 2 2" xfId="24641"/>
    <cellStyle name="Note 20 5 2 2 2 2" xfId="45827"/>
    <cellStyle name="Note 20 5 2 2 3" xfId="35223"/>
    <cellStyle name="Note 20 5 2 3" xfId="19528"/>
    <cellStyle name="Note 20 5 2 3 2" xfId="40715"/>
    <cellStyle name="Note 20 5 2 4" xfId="30001"/>
    <cellStyle name="Note 20 5 2_Table 2A-1_EFT (Annual)" xfId="15606"/>
    <cellStyle name="Note 20 5 3" xfId="9972"/>
    <cellStyle name="Note 20 5 3 2" xfId="22095"/>
    <cellStyle name="Note 20 5 3 2 2" xfId="43281"/>
    <cellStyle name="Note 20 5 3 3" xfId="32677"/>
    <cellStyle name="Note 20 5 4" xfId="16982"/>
    <cellStyle name="Note 20 5 4 2" xfId="38169"/>
    <cellStyle name="Note 20 5 5" xfId="27258"/>
    <cellStyle name="Note 20 5_Table 2A-1_EFT (Annual)" xfId="7297"/>
    <cellStyle name="Note 20 6" xfId="1966"/>
    <cellStyle name="Note 20 6 2" xfId="5527"/>
    <cellStyle name="Note 20 6 2 2" xfId="13742"/>
    <cellStyle name="Note 20 6 2 2 2" xfId="25730"/>
    <cellStyle name="Note 20 6 2 2 2 2" xfId="46916"/>
    <cellStyle name="Note 20 6 2 2 3" xfId="36312"/>
    <cellStyle name="Note 20 6 2 3" xfId="20617"/>
    <cellStyle name="Note 20 6 2 3 2" xfId="41804"/>
    <cellStyle name="Note 20 6 2 4" xfId="31184"/>
    <cellStyle name="Note 20 6 2_Table 2A-1_EFT (Annual)" xfId="15607"/>
    <cellStyle name="Note 20 6 3" xfId="11086"/>
    <cellStyle name="Note 20 6 3 2" xfId="23184"/>
    <cellStyle name="Note 20 6 3 2 2" xfId="44370"/>
    <cellStyle name="Note 20 6 3 3" xfId="33766"/>
    <cellStyle name="Note 20 6 4" xfId="18071"/>
    <cellStyle name="Note 20 6 4 2" xfId="39258"/>
    <cellStyle name="Note 20 6 5" xfId="28441"/>
    <cellStyle name="Note 20 6_Table 2A-1_EFT (Annual)" xfId="7298"/>
    <cellStyle name="Note 20 7" xfId="3768"/>
    <cellStyle name="Note 20 7 2" xfId="12136"/>
    <cellStyle name="Note 20 7 2 2" xfId="24166"/>
    <cellStyle name="Note 20 7 2 2 2" xfId="45352"/>
    <cellStyle name="Note 20 7 2 3" xfId="34748"/>
    <cellStyle name="Note 20 7 3" xfId="19053"/>
    <cellStyle name="Note 20 7 3 2" xfId="40240"/>
    <cellStyle name="Note 20 7 4" xfId="29477"/>
    <cellStyle name="Note 20 7_Table 2A-1_EFT (Annual)" xfId="15608"/>
    <cellStyle name="Note 20 8" xfId="9455"/>
    <cellStyle name="Note 20 8 2" xfId="21620"/>
    <cellStyle name="Note 20 8 2 2" xfId="42806"/>
    <cellStyle name="Note 20 8 3" xfId="32202"/>
    <cellStyle name="Note 20 9" xfId="16507"/>
    <cellStyle name="Note 20 9 2" xfId="37694"/>
    <cellStyle name="Note 20_Table 2A-1_EFT (Annual)" xfId="3258"/>
    <cellStyle name="Note 21" xfId="202"/>
    <cellStyle name="Note 21 10" xfId="26757"/>
    <cellStyle name="Note 21 2" xfId="595"/>
    <cellStyle name="Note 21 2 2" xfId="1572"/>
    <cellStyle name="Note 21 2 2 2" xfId="2842"/>
    <cellStyle name="Note 21 2 2 2 2" xfId="6403"/>
    <cellStyle name="Note 21 2 2 2 2 2" xfId="14597"/>
    <cellStyle name="Note 21 2 2 2 2 2 2" xfId="26569"/>
    <cellStyle name="Note 21 2 2 2 2 2 2 2" xfId="47755"/>
    <cellStyle name="Note 21 2 2 2 2 2 3" xfId="37151"/>
    <cellStyle name="Note 21 2 2 2 2 3" xfId="21456"/>
    <cellStyle name="Note 21 2 2 2 2 3 2" xfId="42643"/>
    <cellStyle name="Note 21 2 2 2 2 4" xfId="32059"/>
    <cellStyle name="Note 21 2 2 2 2_Table 2A-1_EFT (Annual)" xfId="15609"/>
    <cellStyle name="Note 21 2 2 2 3" xfId="11939"/>
    <cellStyle name="Note 21 2 2 2 3 2" xfId="24023"/>
    <cellStyle name="Note 21 2 2 2 3 2 2" xfId="45209"/>
    <cellStyle name="Note 21 2 2 2 3 3" xfId="34605"/>
    <cellStyle name="Note 21 2 2 2 4" xfId="18910"/>
    <cellStyle name="Note 21 2 2 2 4 2" xfId="40097"/>
    <cellStyle name="Note 21 2 2 2 5" xfId="29316"/>
    <cellStyle name="Note 21 2 2 2_Table 2A-1_EFT (Annual)" xfId="7300"/>
    <cellStyle name="Note 21 2 2 3" xfId="5133"/>
    <cellStyle name="Note 21 2 2 3 2" xfId="13393"/>
    <cellStyle name="Note 21 2 2 3 2 2" xfId="25399"/>
    <cellStyle name="Note 21 2 2 3 2 2 2" xfId="46585"/>
    <cellStyle name="Note 21 2 2 3 2 3" xfId="35981"/>
    <cellStyle name="Note 21 2 2 3 3" xfId="20286"/>
    <cellStyle name="Note 21 2 2 3 3 2" xfId="41473"/>
    <cellStyle name="Note 21 2 2 3 4" xfId="30790"/>
    <cellStyle name="Note 21 2 2 3_Table 2A-1_EFT (Annual)" xfId="15610"/>
    <cellStyle name="Note 21 2 2 4" xfId="10737"/>
    <cellStyle name="Note 21 2 2 4 2" xfId="22853"/>
    <cellStyle name="Note 21 2 2 4 2 2" xfId="44039"/>
    <cellStyle name="Note 21 2 2 4 3" xfId="33435"/>
    <cellStyle name="Note 21 2 2 5" xfId="17740"/>
    <cellStyle name="Note 21 2 2 5 2" xfId="38927"/>
    <cellStyle name="Note 21 2 2 6" xfId="28047"/>
    <cellStyle name="Note 21 2 2_Table 2A-1_EFT (Annual)" xfId="7299"/>
    <cellStyle name="Note 21 2 3" xfId="1092"/>
    <cellStyle name="Note 21 2 3 2" xfId="4653"/>
    <cellStyle name="Note 21 2 3 2 2" xfId="12913"/>
    <cellStyle name="Note 21 2 3 2 2 2" xfId="24919"/>
    <cellStyle name="Note 21 2 3 2 2 2 2" xfId="46105"/>
    <cellStyle name="Note 21 2 3 2 2 3" xfId="35501"/>
    <cellStyle name="Note 21 2 3 2 3" xfId="19806"/>
    <cellStyle name="Note 21 2 3 2 3 2" xfId="40993"/>
    <cellStyle name="Note 21 2 3 2 4" xfId="30310"/>
    <cellStyle name="Note 21 2 3 2_Table 2A-1_EFT (Annual)" xfId="15611"/>
    <cellStyle name="Note 21 2 3 3" xfId="10257"/>
    <cellStyle name="Note 21 2 3 3 2" xfId="22373"/>
    <cellStyle name="Note 21 2 3 3 2 2" xfId="43559"/>
    <cellStyle name="Note 21 2 3 3 3" xfId="32955"/>
    <cellStyle name="Note 21 2 3 4" xfId="17260"/>
    <cellStyle name="Note 21 2 3 4 2" xfId="38447"/>
    <cellStyle name="Note 21 2 3 5" xfId="27567"/>
    <cellStyle name="Note 21 2 3_Table 2A-1_EFT (Annual)" xfId="7301"/>
    <cellStyle name="Note 21 2 4" xfId="2311"/>
    <cellStyle name="Note 21 2 4 2" xfId="5872"/>
    <cellStyle name="Note 21 2 4 2 2" xfId="14087"/>
    <cellStyle name="Note 21 2 4 2 2 2" xfId="26075"/>
    <cellStyle name="Note 21 2 4 2 2 2 2" xfId="47261"/>
    <cellStyle name="Note 21 2 4 2 2 3" xfId="36657"/>
    <cellStyle name="Note 21 2 4 2 3" xfId="20962"/>
    <cellStyle name="Note 21 2 4 2 3 2" xfId="42149"/>
    <cellStyle name="Note 21 2 4 2 4" xfId="31529"/>
    <cellStyle name="Note 21 2 4 2_Table 2A-1_EFT (Annual)" xfId="15612"/>
    <cellStyle name="Note 21 2 4 3" xfId="11431"/>
    <cellStyle name="Note 21 2 4 3 2" xfId="23529"/>
    <cellStyle name="Note 21 2 4 3 2 2" xfId="44715"/>
    <cellStyle name="Note 21 2 4 3 3" xfId="34111"/>
    <cellStyle name="Note 21 2 4 4" xfId="18416"/>
    <cellStyle name="Note 21 2 4 4 2" xfId="39603"/>
    <cellStyle name="Note 21 2 4 5" xfId="28786"/>
    <cellStyle name="Note 21 2 4_Table 2A-1_EFT (Annual)" xfId="7302"/>
    <cellStyle name="Note 21 2 5" xfId="4165"/>
    <cellStyle name="Note 21 2 5 2" xfId="12489"/>
    <cellStyle name="Note 21 2 5 2 2" xfId="24511"/>
    <cellStyle name="Note 21 2 5 2 2 2" xfId="45697"/>
    <cellStyle name="Note 21 2 5 2 3" xfId="35093"/>
    <cellStyle name="Note 21 2 5 3" xfId="19398"/>
    <cellStyle name="Note 21 2 5 3 2" xfId="40585"/>
    <cellStyle name="Note 21 2 5 4" xfId="29853"/>
    <cellStyle name="Note 21 2 5_Table 2A-1_EFT (Annual)" xfId="15613"/>
    <cellStyle name="Note 21 2 6" xfId="9828"/>
    <cellStyle name="Note 21 2 6 2" xfId="21965"/>
    <cellStyle name="Note 21 2 6 2 2" xfId="43151"/>
    <cellStyle name="Note 21 2 6 3" xfId="32547"/>
    <cellStyle name="Note 21 2 7" xfId="16852"/>
    <cellStyle name="Note 21 2 7 2" xfId="38039"/>
    <cellStyle name="Note 21 2 8" xfId="27110"/>
    <cellStyle name="Note 21 2_Table 2A-1_EFT (Annual)" xfId="3262"/>
    <cellStyle name="Note 21 3" xfId="431"/>
    <cellStyle name="Note 21 3 2" xfId="1414"/>
    <cellStyle name="Note 21 3 2 2" xfId="2684"/>
    <cellStyle name="Note 21 3 2 2 2" xfId="6245"/>
    <cellStyle name="Note 21 3 2 2 2 2" xfId="14439"/>
    <cellStyle name="Note 21 3 2 2 2 2 2" xfId="26411"/>
    <cellStyle name="Note 21 3 2 2 2 2 2 2" xfId="47597"/>
    <cellStyle name="Note 21 3 2 2 2 2 3" xfId="36993"/>
    <cellStyle name="Note 21 3 2 2 2 3" xfId="21298"/>
    <cellStyle name="Note 21 3 2 2 2 3 2" xfId="42485"/>
    <cellStyle name="Note 21 3 2 2 2 4" xfId="31901"/>
    <cellStyle name="Note 21 3 2 2 2_Table 2A-1_EFT (Annual)" xfId="15614"/>
    <cellStyle name="Note 21 3 2 2 3" xfId="11781"/>
    <cellStyle name="Note 21 3 2 2 3 2" xfId="23865"/>
    <cellStyle name="Note 21 3 2 2 3 2 2" xfId="45051"/>
    <cellStyle name="Note 21 3 2 2 3 3" xfId="34447"/>
    <cellStyle name="Note 21 3 2 2 4" xfId="18752"/>
    <cellStyle name="Note 21 3 2 2 4 2" xfId="39939"/>
    <cellStyle name="Note 21 3 2 2 5" xfId="29158"/>
    <cellStyle name="Note 21 3 2 2_Table 2A-1_EFT (Annual)" xfId="7304"/>
    <cellStyle name="Note 21 3 2 3" xfId="4975"/>
    <cellStyle name="Note 21 3 2 3 2" xfId="13235"/>
    <cellStyle name="Note 21 3 2 3 2 2" xfId="25241"/>
    <cellStyle name="Note 21 3 2 3 2 2 2" xfId="46427"/>
    <cellStyle name="Note 21 3 2 3 2 3" xfId="35823"/>
    <cellStyle name="Note 21 3 2 3 3" xfId="20128"/>
    <cellStyle name="Note 21 3 2 3 3 2" xfId="41315"/>
    <cellStyle name="Note 21 3 2 3 4" xfId="30632"/>
    <cellStyle name="Note 21 3 2 3_Table 2A-1_EFT (Annual)" xfId="15615"/>
    <cellStyle name="Note 21 3 2 4" xfId="10579"/>
    <cellStyle name="Note 21 3 2 4 2" xfId="22695"/>
    <cellStyle name="Note 21 3 2 4 2 2" xfId="43881"/>
    <cellStyle name="Note 21 3 2 4 3" xfId="33277"/>
    <cellStyle name="Note 21 3 2 5" xfId="17582"/>
    <cellStyle name="Note 21 3 2 5 2" xfId="38769"/>
    <cellStyle name="Note 21 3 2 6" xfId="27889"/>
    <cellStyle name="Note 21 3 2_Table 2A-1_EFT (Annual)" xfId="7303"/>
    <cellStyle name="Note 21 3 3" xfId="958"/>
    <cellStyle name="Note 21 3 3 2" xfId="4519"/>
    <cellStyle name="Note 21 3 3 2 2" xfId="12781"/>
    <cellStyle name="Note 21 3 3 2 2 2" xfId="24791"/>
    <cellStyle name="Note 21 3 3 2 2 2 2" xfId="45977"/>
    <cellStyle name="Note 21 3 3 2 2 3" xfId="35373"/>
    <cellStyle name="Note 21 3 3 2 3" xfId="19678"/>
    <cellStyle name="Note 21 3 3 2 3 2" xfId="40865"/>
    <cellStyle name="Note 21 3 3 2 4" xfId="30176"/>
    <cellStyle name="Note 21 3 3 2_Table 2A-1_EFT (Annual)" xfId="15616"/>
    <cellStyle name="Note 21 3 3 3" xfId="10128"/>
    <cellStyle name="Note 21 3 3 3 2" xfId="22245"/>
    <cellStyle name="Note 21 3 3 3 2 2" xfId="43431"/>
    <cellStyle name="Note 21 3 3 3 3" xfId="32827"/>
    <cellStyle name="Note 21 3 3 4" xfId="17132"/>
    <cellStyle name="Note 21 3 3 4 2" xfId="38319"/>
    <cellStyle name="Note 21 3 3 5" xfId="27433"/>
    <cellStyle name="Note 21 3 3_Table 2A-1_EFT (Annual)" xfId="7305"/>
    <cellStyle name="Note 21 3 4" xfId="2153"/>
    <cellStyle name="Note 21 3 4 2" xfId="5714"/>
    <cellStyle name="Note 21 3 4 2 2" xfId="13929"/>
    <cellStyle name="Note 21 3 4 2 2 2" xfId="25917"/>
    <cellStyle name="Note 21 3 4 2 2 2 2" xfId="47103"/>
    <cellStyle name="Note 21 3 4 2 2 3" xfId="36499"/>
    <cellStyle name="Note 21 3 4 2 3" xfId="20804"/>
    <cellStyle name="Note 21 3 4 2 3 2" xfId="41991"/>
    <cellStyle name="Note 21 3 4 2 4" xfId="31371"/>
    <cellStyle name="Note 21 3 4 2_Table 2A-1_EFT (Annual)" xfId="15617"/>
    <cellStyle name="Note 21 3 4 3" xfId="11273"/>
    <cellStyle name="Note 21 3 4 3 2" xfId="23371"/>
    <cellStyle name="Note 21 3 4 3 2 2" xfId="44557"/>
    <cellStyle name="Note 21 3 4 3 3" xfId="33953"/>
    <cellStyle name="Note 21 3 4 4" xfId="18258"/>
    <cellStyle name="Note 21 3 4 4 2" xfId="39445"/>
    <cellStyle name="Note 21 3 4 5" xfId="28628"/>
    <cellStyle name="Note 21 3 4_Table 2A-1_EFT (Annual)" xfId="7306"/>
    <cellStyle name="Note 21 3 5" xfId="4001"/>
    <cellStyle name="Note 21 3 5 2" xfId="12329"/>
    <cellStyle name="Note 21 3 5 2 2" xfId="24353"/>
    <cellStyle name="Note 21 3 5 2 2 2" xfId="45539"/>
    <cellStyle name="Note 21 3 5 2 3" xfId="34935"/>
    <cellStyle name="Note 21 3 5 3" xfId="19240"/>
    <cellStyle name="Note 21 3 5 3 2" xfId="40427"/>
    <cellStyle name="Note 21 3 5 4" xfId="29689"/>
    <cellStyle name="Note 21 3 5_Table 2A-1_EFT (Annual)" xfId="15618"/>
    <cellStyle name="Note 21 3 6" xfId="9666"/>
    <cellStyle name="Note 21 3 6 2" xfId="21807"/>
    <cellStyle name="Note 21 3 6 2 2" xfId="42993"/>
    <cellStyle name="Note 21 3 6 3" xfId="32389"/>
    <cellStyle name="Note 21 3 7" xfId="16694"/>
    <cellStyle name="Note 21 3 7 2" xfId="37881"/>
    <cellStyle name="Note 21 3 8" xfId="26946"/>
    <cellStyle name="Note 21 3_Table 2A-1_EFT (Annual)" xfId="3263"/>
    <cellStyle name="Note 21 4" xfId="1250"/>
    <cellStyle name="Note 21 4 2" xfId="2520"/>
    <cellStyle name="Note 21 4 2 2" xfId="6081"/>
    <cellStyle name="Note 21 4 2 2 2" xfId="14275"/>
    <cellStyle name="Note 21 4 2 2 2 2" xfId="26247"/>
    <cellStyle name="Note 21 4 2 2 2 2 2" xfId="47433"/>
    <cellStyle name="Note 21 4 2 2 2 3" xfId="36829"/>
    <cellStyle name="Note 21 4 2 2 3" xfId="21134"/>
    <cellStyle name="Note 21 4 2 2 3 2" xfId="42321"/>
    <cellStyle name="Note 21 4 2 2 4" xfId="31737"/>
    <cellStyle name="Note 21 4 2 2_Table 2A-1_EFT (Annual)" xfId="15619"/>
    <cellStyle name="Note 21 4 2 3" xfId="11617"/>
    <cellStyle name="Note 21 4 2 3 2" xfId="23701"/>
    <cellStyle name="Note 21 4 2 3 2 2" xfId="44887"/>
    <cellStyle name="Note 21 4 2 3 3" xfId="34283"/>
    <cellStyle name="Note 21 4 2 4" xfId="18588"/>
    <cellStyle name="Note 21 4 2 4 2" xfId="39775"/>
    <cellStyle name="Note 21 4 2 5" xfId="28994"/>
    <cellStyle name="Note 21 4 2_Table 2A-1_EFT (Annual)" xfId="7308"/>
    <cellStyle name="Note 21 4 3" xfId="4811"/>
    <cellStyle name="Note 21 4 3 2" xfId="13071"/>
    <cellStyle name="Note 21 4 3 2 2" xfId="25077"/>
    <cellStyle name="Note 21 4 3 2 2 2" xfId="46263"/>
    <cellStyle name="Note 21 4 3 2 3" xfId="35659"/>
    <cellStyle name="Note 21 4 3 3" xfId="19964"/>
    <cellStyle name="Note 21 4 3 3 2" xfId="41151"/>
    <cellStyle name="Note 21 4 3 4" xfId="30468"/>
    <cellStyle name="Note 21 4 3_Table 2A-1_EFT (Annual)" xfId="15620"/>
    <cellStyle name="Note 21 4 4" xfId="10415"/>
    <cellStyle name="Note 21 4 4 2" xfId="22531"/>
    <cellStyle name="Note 21 4 4 2 2" xfId="43717"/>
    <cellStyle name="Note 21 4 4 3" xfId="33113"/>
    <cellStyle name="Note 21 4 5" xfId="17418"/>
    <cellStyle name="Note 21 4 5 2" xfId="38605"/>
    <cellStyle name="Note 21 4 6" xfId="27725"/>
    <cellStyle name="Note 21 4_Table 2A-1_EFT (Annual)" xfId="7307"/>
    <cellStyle name="Note 21 5" xfId="801"/>
    <cellStyle name="Note 21 5 2" xfId="4362"/>
    <cellStyle name="Note 21 5 2 2" xfId="12642"/>
    <cellStyle name="Note 21 5 2 2 2" xfId="24659"/>
    <cellStyle name="Note 21 5 2 2 2 2" xfId="45845"/>
    <cellStyle name="Note 21 5 2 2 3" xfId="35241"/>
    <cellStyle name="Note 21 5 2 3" xfId="19546"/>
    <cellStyle name="Note 21 5 2 3 2" xfId="40733"/>
    <cellStyle name="Note 21 5 2 4" xfId="30019"/>
    <cellStyle name="Note 21 5 2_Table 2A-1_EFT (Annual)" xfId="15621"/>
    <cellStyle name="Note 21 5 3" xfId="9990"/>
    <cellStyle name="Note 21 5 3 2" xfId="22113"/>
    <cellStyle name="Note 21 5 3 2 2" xfId="43299"/>
    <cellStyle name="Note 21 5 3 3" xfId="32695"/>
    <cellStyle name="Note 21 5 4" xfId="17000"/>
    <cellStyle name="Note 21 5 4 2" xfId="38187"/>
    <cellStyle name="Note 21 5 5" xfId="27276"/>
    <cellStyle name="Note 21 5_Table 2A-1_EFT (Annual)" xfId="7309"/>
    <cellStyle name="Note 21 6" xfId="1989"/>
    <cellStyle name="Note 21 6 2" xfId="5550"/>
    <cellStyle name="Note 21 6 2 2" xfId="13765"/>
    <cellStyle name="Note 21 6 2 2 2" xfId="25753"/>
    <cellStyle name="Note 21 6 2 2 2 2" xfId="46939"/>
    <cellStyle name="Note 21 6 2 2 3" xfId="36335"/>
    <cellStyle name="Note 21 6 2 3" xfId="20640"/>
    <cellStyle name="Note 21 6 2 3 2" xfId="41827"/>
    <cellStyle name="Note 21 6 2 4" xfId="31207"/>
    <cellStyle name="Note 21 6 2_Table 2A-1_EFT (Annual)" xfId="15622"/>
    <cellStyle name="Note 21 6 3" xfId="11109"/>
    <cellStyle name="Note 21 6 3 2" xfId="23207"/>
    <cellStyle name="Note 21 6 3 2 2" xfId="44393"/>
    <cellStyle name="Note 21 6 3 3" xfId="33789"/>
    <cellStyle name="Note 21 6 4" xfId="18094"/>
    <cellStyle name="Note 21 6 4 2" xfId="39281"/>
    <cellStyle name="Note 21 6 5" xfId="28464"/>
    <cellStyle name="Note 21 6_Table 2A-1_EFT (Annual)" xfId="7310"/>
    <cellStyle name="Note 21 7" xfId="3791"/>
    <cellStyle name="Note 21 7 2" xfId="12159"/>
    <cellStyle name="Note 21 7 2 2" xfId="24189"/>
    <cellStyle name="Note 21 7 2 2 2" xfId="45375"/>
    <cellStyle name="Note 21 7 2 3" xfId="34771"/>
    <cellStyle name="Note 21 7 3" xfId="19076"/>
    <cellStyle name="Note 21 7 3 2" xfId="40263"/>
    <cellStyle name="Note 21 7 4" xfId="29500"/>
    <cellStyle name="Note 21 7_Table 2A-1_EFT (Annual)" xfId="15623"/>
    <cellStyle name="Note 21 8" xfId="9478"/>
    <cellStyle name="Note 21 8 2" xfId="21643"/>
    <cellStyle name="Note 21 8 2 2" xfId="42829"/>
    <cellStyle name="Note 21 8 3" xfId="32225"/>
    <cellStyle name="Note 21 9" xfId="16530"/>
    <cellStyle name="Note 21 9 2" xfId="37717"/>
    <cellStyle name="Note 21_Table 2A-1_EFT (Annual)" xfId="3261"/>
    <cellStyle name="Note 22" xfId="187"/>
    <cellStyle name="Note 22 10" xfId="26742"/>
    <cellStyle name="Note 22 2" xfId="580"/>
    <cellStyle name="Note 22 2 2" xfId="1557"/>
    <cellStyle name="Note 22 2 2 2" xfId="2827"/>
    <cellStyle name="Note 22 2 2 2 2" xfId="6388"/>
    <cellStyle name="Note 22 2 2 2 2 2" xfId="14582"/>
    <cellStyle name="Note 22 2 2 2 2 2 2" xfId="26554"/>
    <cellStyle name="Note 22 2 2 2 2 2 2 2" xfId="47740"/>
    <cellStyle name="Note 22 2 2 2 2 2 3" xfId="37136"/>
    <cellStyle name="Note 22 2 2 2 2 3" xfId="21441"/>
    <cellStyle name="Note 22 2 2 2 2 3 2" xfId="42628"/>
    <cellStyle name="Note 22 2 2 2 2 4" xfId="32044"/>
    <cellStyle name="Note 22 2 2 2 2_Table 2A-1_EFT (Annual)" xfId="15624"/>
    <cellStyle name="Note 22 2 2 2 3" xfId="11924"/>
    <cellStyle name="Note 22 2 2 2 3 2" xfId="24008"/>
    <cellStyle name="Note 22 2 2 2 3 2 2" xfId="45194"/>
    <cellStyle name="Note 22 2 2 2 3 3" xfId="34590"/>
    <cellStyle name="Note 22 2 2 2 4" xfId="18895"/>
    <cellStyle name="Note 22 2 2 2 4 2" xfId="40082"/>
    <cellStyle name="Note 22 2 2 2 5" xfId="29301"/>
    <cellStyle name="Note 22 2 2 2_Table 2A-1_EFT (Annual)" xfId="7312"/>
    <cellStyle name="Note 22 2 2 3" xfId="5118"/>
    <cellStyle name="Note 22 2 2 3 2" xfId="13378"/>
    <cellStyle name="Note 22 2 2 3 2 2" xfId="25384"/>
    <cellStyle name="Note 22 2 2 3 2 2 2" xfId="46570"/>
    <cellStyle name="Note 22 2 2 3 2 3" xfId="35966"/>
    <cellStyle name="Note 22 2 2 3 3" xfId="20271"/>
    <cellStyle name="Note 22 2 2 3 3 2" xfId="41458"/>
    <cellStyle name="Note 22 2 2 3 4" xfId="30775"/>
    <cellStyle name="Note 22 2 2 3_Table 2A-1_EFT (Annual)" xfId="15625"/>
    <cellStyle name="Note 22 2 2 4" xfId="10722"/>
    <cellStyle name="Note 22 2 2 4 2" xfId="22838"/>
    <cellStyle name="Note 22 2 2 4 2 2" xfId="44024"/>
    <cellStyle name="Note 22 2 2 4 3" xfId="33420"/>
    <cellStyle name="Note 22 2 2 5" xfId="17725"/>
    <cellStyle name="Note 22 2 2 5 2" xfId="38912"/>
    <cellStyle name="Note 22 2 2 6" xfId="28032"/>
    <cellStyle name="Note 22 2 2_Table 2A-1_EFT (Annual)" xfId="7311"/>
    <cellStyle name="Note 22 2 3" xfId="1080"/>
    <cellStyle name="Note 22 2 3 2" xfId="4641"/>
    <cellStyle name="Note 22 2 3 2 2" xfId="12901"/>
    <cellStyle name="Note 22 2 3 2 2 2" xfId="24907"/>
    <cellStyle name="Note 22 2 3 2 2 2 2" xfId="46093"/>
    <cellStyle name="Note 22 2 3 2 2 3" xfId="35489"/>
    <cellStyle name="Note 22 2 3 2 3" xfId="19794"/>
    <cellStyle name="Note 22 2 3 2 3 2" xfId="40981"/>
    <cellStyle name="Note 22 2 3 2 4" xfId="30298"/>
    <cellStyle name="Note 22 2 3 2_Table 2A-1_EFT (Annual)" xfId="15626"/>
    <cellStyle name="Note 22 2 3 3" xfId="10245"/>
    <cellStyle name="Note 22 2 3 3 2" xfId="22361"/>
    <cellStyle name="Note 22 2 3 3 2 2" xfId="43547"/>
    <cellStyle name="Note 22 2 3 3 3" xfId="32943"/>
    <cellStyle name="Note 22 2 3 4" xfId="17248"/>
    <cellStyle name="Note 22 2 3 4 2" xfId="38435"/>
    <cellStyle name="Note 22 2 3 5" xfId="27555"/>
    <cellStyle name="Note 22 2 3_Table 2A-1_EFT (Annual)" xfId="7313"/>
    <cellStyle name="Note 22 2 4" xfId="2296"/>
    <cellStyle name="Note 22 2 4 2" xfId="5857"/>
    <cellStyle name="Note 22 2 4 2 2" xfId="14072"/>
    <cellStyle name="Note 22 2 4 2 2 2" xfId="26060"/>
    <cellStyle name="Note 22 2 4 2 2 2 2" xfId="47246"/>
    <cellStyle name="Note 22 2 4 2 2 3" xfId="36642"/>
    <cellStyle name="Note 22 2 4 2 3" xfId="20947"/>
    <cellStyle name="Note 22 2 4 2 3 2" xfId="42134"/>
    <cellStyle name="Note 22 2 4 2 4" xfId="31514"/>
    <cellStyle name="Note 22 2 4 2_Table 2A-1_EFT (Annual)" xfId="15627"/>
    <cellStyle name="Note 22 2 4 3" xfId="11416"/>
    <cellStyle name="Note 22 2 4 3 2" xfId="23514"/>
    <cellStyle name="Note 22 2 4 3 2 2" xfId="44700"/>
    <cellStyle name="Note 22 2 4 3 3" xfId="34096"/>
    <cellStyle name="Note 22 2 4 4" xfId="18401"/>
    <cellStyle name="Note 22 2 4 4 2" xfId="39588"/>
    <cellStyle name="Note 22 2 4 5" xfId="28771"/>
    <cellStyle name="Note 22 2 4_Table 2A-1_EFT (Annual)" xfId="7314"/>
    <cellStyle name="Note 22 2 5" xfId="4150"/>
    <cellStyle name="Note 22 2 5 2" xfId="12474"/>
    <cellStyle name="Note 22 2 5 2 2" xfId="24496"/>
    <cellStyle name="Note 22 2 5 2 2 2" xfId="45682"/>
    <cellStyle name="Note 22 2 5 2 3" xfId="35078"/>
    <cellStyle name="Note 22 2 5 3" xfId="19383"/>
    <cellStyle name="Note 22 2 5 3 2" xfId="40570"/>
    <cellStyle name="Note 22 2 5 4" xfId="29838"/>
    <cellStyle name="Note 22 2 5_Table 2A-1_EFT (Annual)" xfId="15628"/>
    <cellStyle name="Note 22 2 6" xfId="9813"/>
    <cellStyle name="Note 22 2 6 2" xfId="21950"/>
    <cellStyle name="Note 22 2 6 2 2" xfId="43136"/>
    <cellStyle name="Note 22 2 6 3" xfId="32532"/>
    <cellStyle name="Note 22 2 7" xfId="16837"/>
    <cellStyle name="Note 22 2 7 2" xfId="38024"/>
    <cellStyle name="Note 22 2 8" xfId="27095"/>
    <cellStyle name="Note 22 2_Table 2A-1_EFT (Annual)" xfId="3265"/>
    <cellStyle name="Note 22 3" xfId="417"/>
    <cellStyle name="Note 22 3 2" xfId="1400"/>
    <cellStyle name="Note 22 3 2 2" xfId="2670"/>
    <cellStyle name="Note 22 3 2 2 2" xfId="6231"/>
    <cellStyle name="Note 22 3 2 2 2 2" xfId="14425"/>
    <cellStyle name="Note 22 3 2 2 2 2 2" xfId="26397"/>
    <cellStyle name="Note 22 3 2 2 2 2 2 2" xfId="47583"/>
    <cellStyle name="Note 22 3 2 2 2 2 3" xfId="36979"/>
    <cellStyle name="Note 22 3 2 2 2 3" xfId="21284"/>
    <cellStyle name="Note 22 3 2 2 2 3 2" xfId="42471"/>
    <cellStyle name="Note 22 3 2 2 2 4" xfId="31887"/>
    <cellStyle name="Note 22 3 2 2 2_Table 2A-1_EFT (Annual)" xfId="15629"/>
    <cellStyle name="Note 22 3 2 2 3" xfId="11767"/>
    <cellStyle name="Note 22 3 2 2 3 2" xfId="23851"/>
    <cellStyle name="Note 22 3 2 2 3 2 2" xfId="45037"/>
    <cellStyle name="Note 22 3 2 2 3 3" xfId="34433"/>
    <cellStyle name="Note 22 3 2 2 4" xfId="18738"/>
    <cellStyle name="Note 22 3 2 2 4 2" xfId="39925"/>
    <cellStyle name="Note 22 3 2 2 5" xfId="29144"/>
    <cellStyle name="Note 22 3 2 2_Table 2A-1_EFT (Annual)" xfId="7316"/>
    <cellStyle name="Note 22 3 2 3" xfId="4961"/>
    <cellStyle name="Note 22 3 2 3 2" xfId="13221"/>
    <cellStyle name="Note 22 3 2 3 2 2" xfId="25227"/>
    <cellStyle name="Note 22 3 2 3 2 2 2" xfId="46413"/>
    <cellStyle name="Note 22 3 2 3 2 3" xfId="35809"/>
    <cellStyle name="Note 22 3 2 3 3" xfId="20114"/>
    <cellStyle name="Note 22 3 2 3 3 2" xfId="41301"/>
    <cellStyle name="Note 22 3 2 3 4" xfId="30618"/>
    <cellStyle name="Note 22 3 2 3_Table 2A-1_EFT (Annual)" xfId="15630"/>
    <cellStyle name="Note 22 3 2 4" xfId="10565"/>
    <cellStyle name="Note 22 3 2 4 2" xfId="22681"/>
    <cellStyle name="Note 22 3 2 4 2 2" xfId="43867"/>
    <cellStyle name="Note 22 3 2 4 3" xfId="33263"/>
    <cellStyle name="Note 22 3 2 5" xfId="17568"/>
    <cellStyle name="Note 22 3 2 5 2" xfId="38755"/>
    <cellStyle name="Note 22 3 2 6" xfId="27875"/>
    <cellStyle name="Note 22 3 2_Table 2A-1_EFT (Annual)" xfId="7315"/>
    <cellStyle name="Note 22 3 3" xfId="947"/>
    <cellStyle name="Note 22 3 3 2" xfId="4508"/>
    <cellStyle name="Note 22 3 3 2 2" xfId="12770"/>
    <cellStyle name="Note 22 3 3 2 2 2" xfId="24780"/>
    <cellStyle name="Note 22 3 3 2 2 2 2" xfId="45966"/>
    <cellStyle name="Note 22 3 3 2 2 3" xfId="35362"/>
    <cellStyle name="Note 22 3 3 2 3" xfId="19667"/>
    <cellStyle name="Note 22 3 3 2 3 2" xfId="40854"/>
    <cellStyle name="Note 22 3 3 2 4" xfId="30165"/>
    <cellStyle name="Note 22 3 3 2_Table 2A-1_EFT (Annual)" xfId="15631"/>
    <cellStyle name="Note 22 3 3 3" xfId="10117"/>
    <cellStyle name="Note 22 3 3 3 2" xfId="22234"/>
    <cellStyle name="Note 22 3 3 3 2 2" xfId="43420"/>
    <cellStyle name="Note 22 3 3 3 3" xfId="32816"/>
    <cellStyle name="Note 22 3 3 4" xfId="17121"/>
    <cellStyle name="Note 22 3 3 4 2" xfId="38308"/>
    <cellStyle name="Note 22 3 3 5" xfId="27422"/>
    <cellStyle name="Note 22 3 3_Table 2A-1_EFT (Annual)" xfId="7317"/>
    <cellStyle name="Note 22 3 4" xfId="2139"/>
    <cellStyle name="Note 22 3 4 2" xfId="5700"/>
    <cellStyle name="Note 22 3 4 2 2" xfId="13915"/>
    <cellStyle name="Note 22 3 4 2 2 2" xfId="25903"/>
    <cellStyle name="Note 22 3 4 2 2 2 2" xfId="47089"/>
    <cellStyle name="Note 22 3 4 2 2 3" xfId="36485"/>
    <cellStyle name="Note 22 3 4 2 3" xfId="20790"/>
    <cellStyle name="Note 22 3 4 2 3 2" xfId="41977"/>
    <cellStyle name="Note 22 3 4 2 4" xfId="31357"/>
    <cellStyle name="Note 22 3 4 2_Table 2A-1_EFT (Annual)" xfId="15632"/>
    <cellStyle name="Note 22 3 4 3" xfId="11259"/>
    <cellStyle name="Note 22 3 4 3 2" xfId="23357"/>
    <cellStyle name="Note 22 3 4 3 2 2" xfId="44543"/>
    <cellStyle name="Note 22 3 4 3 3" xfId="33939"/>
    <cellStyle name="Note 22 3 4 4" xfId="18244"/>
    <cellStyle name="Note 22 3 4 4 2" xfId="39431"/>
    <cellStyle name="Note 22 3 4 5" xfId="28614"/>
    <cellStyle name="Note 22 3 4_Table 2A-1_EFT (Annual)" xfId="7318"/>
    <cellStyle name="Note 22 3 5" xfId="3987"/>
    <cellStyle name="Note 22 3 5 2" xfId="12315"/>
    <cellStyle name="Note 22 3 5 2 2" xfId="24339"/>
    <cellStyle name="Note 22 3 5 2 2 2" xfId="45525"/>
    <cellStyle name="Note 22 3 5 2 3" xfId="34921"/>
    <cellStyle name="Note 22 3 5 3" xfId="19226"/>
    <cellStyle name="Note 22 3 5 3 2" xfId="40413"/>
    <cellStyle name="Note 22 3 5 4" xfId="29675"/>
    <cellStyle name="Note 22 3 5_Table 2A-1_EFT (Annual)" xfId="15633"/>
    <cellStyle name="Note 22 3 6" xfId="9652"/>
    <cellStyle name="Note 22 3 6 2" xfId="21793"/>
    <cellStyle name="Note 22 3 6 2 2" xfId="42979"/>
    <cellStyle name="Note 22 3 6 3" xfId="32375"/>
    <cellStyle name="Note 22 3 7" xfId="16680"/>
    <cellStyle name="Note 22 3 7 2" xfId="37867"/>
    <cellStyle name="Note 22 3 8" xfId="26932"/>
    <cellStyle name="Note 22 3_Table 2A-1_EFT (Annual)" xfId="3266"/>
    <cellStyle name="Note 22 4" xfId="1235"/>
    <cellStyle name="Note 22 4 2" xfId="2505"/>
    <cellStyle name="Note 22 4 2 2" xfId="6066"/>
    <cellStyle name="Note 22 4 2 2 2" xfId="14260"/>
    <cellStyle name="Note 22 4 2 2 2 2" xfId="26232"/>
    <cellStyle name="Note 22 4 2 2 2 2 2" xfId="47418"/>
    <cellStyle name="Note 22 4 2 2 2 3" xfId="36814"/>
    <cellStyle name="Note 22 4 2 2 3" xfId="21119"/>
    <cellStyle name="Note 22 4 2 2 3 2" xfId="42306"/>
    <cellStyle name="Note 22 4 2 2 4" xfId="31722"/>
    <cellStyle name="Note 22 4 2 2_Table 2A-1_EFT (Annual)" xfId="15634"/>
    <cellStyle name="Note 22 4 2 3" xfId="11602"/>
    <cellStyle name="Note 22 4 2 3 2" xfId="23686"/>
    <cellStyle name="Note 22 4 2 3 2 2" xfId="44872"/>
    <cellStyle name="Note 22 4 2 3 3" xfId="34268"/>
    <cellStyle name="Note 22 4 2 4" xfId="18573"/>
    <cellStyle name="Note 22 4 2 4 2" xfId="39760"/>
    <cellStyle name="Note 22 4 2 5" xfId="28979"/>
    <cellStyle name="Note 22 4 2_Table 2A-1_EFT (Annual)" xfId="7320"/>
    <cellStyle name="Note 22 4 3" xfId="4796"/>
    <cellStyle name="Note 22 4 3 2" xfId="13056"/>
    <cellStyle name="Note 22 4 3 2 2" xfId="25062"/>
    <cellStyle name="Note 22 4 3 2 2 2" xfId="46248"/>
    <cellStyle name="Note 22 4 3 2 3" xfId="35644"/>
    <cellStyle name="Note 22 4 3 3" xfId="19949"/>
    <cellStyle name="Note 22 4 3 3 2" xfId="41136"/>
    <cellStyle name="Note 22 4 3 4" xfId="30453"/>
    <cellStyle name="Note 22 4 3_Table 2A-1_EFT (Annual)" xfId="15635"/>
    <cellStyle name="Note 22 4 4" xfId="10400"/>
    <cellStyle name="Note 22 4 4 2" xfId="22516"/>
    <cellStyle name="Note 22 4 4 2 2" xfId="43702"/>
    <cellStyle name="Note 22 4 4 3" xfId="33098"/>
    <cellStyle name="Note 22 4 5" xfId="17403"/>
    <cellStyle name="Note 22 4 5 2" xfId="38590"/>
    <cellStyle name="Note 22 4 6" xfId="27710"/>
    <cellStyle name="Note 22 4_Table 2A-1_EFT (Annual)" xfId="7319"/>
    <cellStyle name="Note 22 5" xfId="789"/>
    <cellStyle name="Note 22 5 2" xfId="4350"/>
    <cellStyle name="Note 22 5 2 2" xfId="12630"/>
    <cellStyle name="Note 22 5 2 2 2" xfId="24647"/>
    <cellStyle name="Note 22 5 2 2 2 2" xfId="45833"/>
    <cellStyle name="Note 22 5 2 2 3" xfId="35229"/>
    <cellStyle name="Note 22 5 2 3" xfId="19534"/>
    <cellStyle name="Note 22 5 2 3 2" xfId="40721"/>
    <cellStyle name="Note 22 5 2 4" xfId="30007"/>
    <cellStyle name="Note 22 5 2_Table 2A-1_EFT (Annual)" xfId="15636"/>
    <cellStyle name="Note 22 5 3" xfId="9978"/>
    <cellStyle name="Note 22 5 3 2" xfId="22101"/>
    <cellStyle name="Note 22 5 3 2 2" xfId="43287"/>
    <cellStyle name="Note 22 5 3 3" xfId="32683"/>
    <cellStyle name="Note 22 5 4" xfId="16988"/>
    <cellStyle name="Note 22 5 4 2" xfId="38175"/>
    <cellStyle name="Note 22 5 5" xfId="27264"/>
    <cellStyle name="Note 22 5_Table 2A-1_EFT (Annual)" xfId="7321"/>
    <cellStyle name="Note 22 6" xfId="1974"/>
    <cellStyle name="Note 22 6 2" xfId="5535"/>
    <cellStyle name="Note 22 6 2 2" xfId="13750"/>
    <cellStyle name="Note 22 6 2 2 2" xfId="25738"/>
    <cellStyle name="Note 22 6 2 2 2 2" xfId="46924"/>
    <cellStyle name="Note 22 6 2 2 3" xfId="36320"/>
    <cellStyle name="Note 22 6 2 3" xfId="20625"/>
    <cellStyle name="Note 22 6 2 3 2" xfId="41812"/>
    <cellStyle name="Note 22 6 2 4" xfId="31192"/>
    <cellStyle name="Note 22 6 2_Table 2A-1_EFT (Annual)" xfId="15637"/>
    <cellStyle name="Note 22 6 3" xfId="11094"/>
    <cellStyle name="Note 22 6 3 2" xfId="23192"/>
    <cellStyle name="Note 22 6 3 2 2" xfId="44378"/>
    <cellStyle name="Note 22 6 3 3" xfId="33774"/>
    <cellStyle name="Note 22 6 4" xfId="18079"/>
    <cellStyle name="Note 22 6 4 2" xfId="39266"/>
    <cellStyle name="Note 22 6 5" xfId="28449"/>
    <cellStyle name="Note 22 6_Table 2A-1_EFT (Annual)" xfId="7322"/>
    <cellStyle name="Note 22 7" xfId="3776"/>
    <cellStyle name="Note 22 7 2" xfId="12144"/>
    <cellStyle name="Note 22 7 2 2" xfId="24174"/>
    <cellStyle name="Note 22 7 2 2 2" xfId="45360"/>
    <cellStyle name="Note 22 7 2 3" xfId="34756"/>
    <cellStyle name="Note 22 7 3" xfId="19061"/>
    <cellStyle name="Note 22 7 3 2" xfId="40248"/>
    <cellStyle name="Note 22 7 4" xfId="29485"/>
    <cellStyle name="Note 22 7_Table 2A-1_EFT (Annual)" xfId="15638"/>
    <cellStyle name="Note 22 8" xfId="9463"/>
    <cellStyle name="Note 22 8 2" xfId="21628"/>
    <cellStyle name="Note 22 8 2 2" xfId="42814"/>
    <cellStyle name="Note 22 8 3" xfId="32210"/>
    <cellStyle name="Note 22 9" xfId="16515"/>
    <cellStyle name="Note 22 9 2" xfId="37702"/>
    <cellStyle name="Note 22_Table 2A-1_EFT (Annual)" xfId="3264"/>
    <cellStyle name="Note 23" xfId="213"/>
    <cellStyle name="Note 23 10" xfId="26768"/>
    <cellStyle name="Note 23 2" xfId="606"/>
    <cellStyle name="Note 23 2 2" xfId="1583"/>
    <cellStyle name="Note 23 2 2 2" xfId="2853"/>
    <cellStyle name="Note 23 2 2 2 2" xfId="6414"/>
    <cellStyle name="Note 23 2 2 2 2 2" xfId="14608"/>
    <cellStyle name="Note 23 2 2 2 2 2 2" xfId="26580"/>
    <cellStyle name="Note 23 2 2 2 2 2 2 2" xfId="47766"/>
    <cellStyle name="Note 23 2 2 2 2 2 3" xfId="37162"/>
    <cellStyle name="Note 23 2 2 2 2 3" xfId="21467"/>
    <cellStyle name="Note 23 2 2 2 2 3 2" xfId="42654"/>
    <cellStyle name="Note 23 2 2 2 2 4" xfId="32070"/>
    <cellStyle name="Note 23 2 2 2 2_Table 2A-1_EFT (Annual)" xfId="15639"/>
    <cellStyle name="Note 23 2 2 2 3" xfId="11950"/>
    <cellStyle name="Note 23 2 2 2 3 2" xfId="24034"/>
    <cellStyle name="Note 23 2 2 2 3 2 2" xfId="45220"/>
    <cellStyle name="Note 23 2 2 2 3 3" xfId="34616"/>
    <cellStyle name="Note 23 2 2 2 4" xfId="18921"/>
    <cellStyle name="Note 23 2 2 2 4 2" xfId="40108"/>
    <cellStyle name="Note 23 2 2 2 5" xfId="29327"/>
    <cellStyle name="Note 23 2 2 2_Table 2A-1_EFT (Annual)" xfId="7324"/>
    <cellStyle name="Note 23 2 2 3" xfId="5144"/>
    <cellStyle name="Note 23 2 2 3 2" xfId="13404"/>
    <cellStyle name="Note 23 2 2 3 2 2" xfId="25410"/>
    <cellStyle name="Note 23 2 2 3 2 2 2" xfId="46596"/>
    <cellStyle name="Note 23 2 2 3 2 3" xfId="35992"/>
    <cellStyle name="Note 23 2 2 3 3" xfId="20297"/>
    <cellStyle name="Note 23 2 2 3 3 2" xfId="41484"/>
    <cellStyle name="Note 23 2 2 3 4" xfId="30801"/>
    <cellStyle name="Note 23 2 2 3_Table 2A-1_EFT (Annual)" xfId="15640"/>
    <cellStyle name="Note 23 2 2 4" xfId="10748"/>
    <cellStyle name="Note 23 2 2 4 2" xfId="22864"/>
    <cellStyle name="Note 23 2 2 4 2 2" xfId="44050"/>
    <cellStyle name="Note 23 2 2 4 3" xfId="33446"/>
    <cellStyle name="Note 23 2 2 5" xfId="17751"/>
    <cellStyle name="Note 23 2 2 5 2" xfId="38938"/>
    <cellStyle name="Note 23 2 2 6" xfId="28058"/>
    <cellStyle name="Note 23 2 2_Table 2A-1_EFT (Annual)" xfId="7323"/>
    <cellStyle name="Note 23 2 3" xfId="1101"/>
    <cellStyle name="Note 23 2 3 2" xfId="4662"/>
    <cellStyle name="Note 23 2 3 2 2" xfId="12922"/>
    <cellStyle name="Note 23 2 3 2 2 2" xfId="24928"/>
    <cellStyle name="Note 23 2 3 2 2 2 2" xfId="46114"/>
    <cellStyle name="Note 23 2 3 2 2 3" xfId="35510"/>
    <cellStyle name="Note 23 2 3 2 3" xfId="19815"/>
    <cellStyle name="Note 23 2 3 2 3 2" xfId="41002"/>
    <cellStyle name="Note 23 2 3 2 4" xfId="30319"/>
    <cellStyle name="Note 23 2 3 2_Table 2A-1_EFT (Annual)" xfId="15641"/>
    <cellStyle name="Note 23 2 3 3" xfId="10266"/>
    <cellStyle name="Note 23 2 3 3 2" xfId="22382"/>
    <cellStyle name="Note 23 2 3 3 2 2" xfId="43568"/>
    <cellStyle name="Note 23 2 3 3 3" xfId="32964"/>
    <cellStyle name="Note 23 2 3 4" xfId="17269"/>
    <cellStyle name="Note 23 2 3 4 2" xfId="38456"/>
    <cellStyle name="Note 23 2 3 5" xfId="27576"/>
    <cellStyle name="Note 23 2 3_Table 2A-1_EFT (Annual)" xfId="7325"/>
    <cellStyle name="Note 23 2 4" xfId="2322"/>
    <cellStyle name="Note 23 2 4 2" xfId="5883"/>
    <cellStyle name="Note 23 2 4 2 2" xfId="14098"/>
    <cellStyle name="Note 23 2 4 2 2 2" xfId="26086"/>
    <cellStyle name="Note 23 2 4 2 2 2 2" xfId="47272"/>
    <cellStyle name="Note 23 2 4 2 2 3" xfId="36668"/>
    <cellStyle name="Note 23 2 4 2 3" xfId="20973"/>
    <cellStyle name="Note 23 2 4 2 3 2" xfId="42160"/>
    <cellStyle name="Note 23 2 4 2 4" xfId="31540"/>
    <cellStyle name="Note 23 2 4 2_Table 2A-1_EFT (Annual)" xfId="15642"/>
    <cellStyle name="Note 23 2 4 3" xfId="11442"/>
    <cellStyle name="Note 23 2 4 3 2" xfId="23540"/>
    <cellStyle name="Note 23 2 4 3 2 2" xfId="44726"/>
    <cellStyle name="Note 23 2 4 3 3" xfId="34122"/>
    <cellStyle name="Note 23 2 4 4" xfId="18427"/>
    <cellStyle name="Note 23 2 4 4 2" xfId="39614"/>
    <cellStyle name="Note 23 2 4 5" xfId="28797"/>
    <cellStyle name="Note 23 2 4_Table 2A-1_EFT (Annual)" xfId="7326"/>
    <cellStyle name="Note 23 2 5" xfId="4176"/>
    <cellStyle name="Note 23 2 5 2" xfId="12500"/>
    <cellStyle name="Note 23 2 5 2 2" xfId="24522"/>
    <cellStyle name="Note 23 2 5 2 2 2" xfId="45708"/>
    <cellStyle name="Note 23 2 5 2 3" xfId="35104"/>
    <cellStyle name="Note 23 2 5 3" xfId="19409"/>
    <cellStyle name="Note 23 2 5 3 2" xfId="40596"/>
    <cellStyle name="Note 23 2 5 4" xfId="29864"/>
    <cellStyle name="Note 23 2 5_Table 2A-1_EFT (Annual)" xfId="15643"/>
    <cellStyle name="Note 23 2 6" xfId="9839"/>
    <cellStyle name="Note 23 2 6 2" xfId="21976"/>
    <cellStyle name="Note 23 2 6 2 2" xfId="43162"/>
    <cellStyle name="Note 23 2 6 3" xfId="32558"/>
    <cellStyle name="Note 23 2 7" xfId="16863"/>
    <cellStyle name="Note 23 2 7 2" xfId="38050"/>
    <cellStyle name="Note 23 2 8" xfId="27121"/>
    <cellStyle name="Note 23 2_Table 2A-1_EFT (Annual)" xfId="3268"/>
    <cellStyle name="Note 23 3" xfId="441"/>
    <cellStyle name="Note 23 3 2" xfId="1424"/>
    <cellStyle name="Note 23 3 2 2" xfId="2694"/>
    <cellStyle name="Note 23 3 2 2 2" xfId="6255"/>
    <cellStyle name="Note 23 3 2 2 2 2" xfId="14449"/>
    <cellStyle name="Note 23 3 2 2 2 2 2" xfId="26421"/>
    <cellStyle name="Note 23 3 2 2 2 2 2 2" xfId="47607"/>
    <cellStyle name="Note 23 3 2 2 2 2 3" xfId="37003"/>
    <cellStyle name="Note 23 3 2 2 2 3" xfId="21308"/>
    <cellStyle name="Note 23 3 2 2 2 3 2" xfId="42495"/>
    <cellStyle name="Note 23 3 2 2 2 4" xfId="31911"/>
    <cellStyle name="Note 23 3 2 2 2_Table 2A-1_EFT (Annual)" xfId="15644"/>
    <cellStyle name="Note 23 3 2 2 3" xfId="11791"/>
    <cellStyle name="Note 23 3 2 2 3 2" xfId="23875"/>
    <cellStyle name="Note 23 3 2 2 3 2 2" xfId="45061"/>
    <cellStyle name="Note 23 3 2 2 3 3" xfId="34457"/>
    <cellStyle name="Note 23 3 2 2 4" xfId="18762"/>
    <cellStyle name="Note 23 3 2 2 4 2" xfId="39949"/>
    <cellStyle name="Note 23 3 2 2 5" xfId="29168"/>
    <cellStyle name="Note 23 3 2 2_Table 2A-1_EFT (Annual)" xfId="7328"/>
    <cellStyle name="Note 23 3 2 3" xfId="4985"/>
    <cellStyle name="Note 23 3 2 3 2" xfId="13245"/>
    <cellStyle name="Note 23 3 2 3 2 2" xfId="25251"/>
    <cellStyle name="Note 23 3 2 3 2 2 2" xfId="46437"/>
    <cellStyle name="Note 23 3 2 3 2 3" xfId="35833"/>
    <cellStyle name="Note 23 3 2 3 3" xfId="20138"/>
    <cellStyle name="Note 23 3 2 3 3 2" xfId="41325"/>
    <cellStyle name="Note 23 3 2 3 4" xfId="30642"/>
    <cellStyle name="Note 23 3 2 3_Table 2A-1_EFT (Annual)" xfId="15645"/>
    <cellStyle name="Note 23 3 2 4" xfId="10589"/>
    <cellStyle name="Note 23 3 2 4 2" xfId="22705"/>
    <cellStyle name="Note 23 3 2 4 2 2" xfId="43891"/>
    <cellStyle name="Note 23 3 2 4 3" xfId="33287"/>
    <cellStyle name="Note 23 3 2 5" xfId="17592"/>
    <cellStyle name="Note 23 3 2 5 2" xfId="38779"/>
    <cellStyle name="Note 23 3 2 6" xfId="27899"/>
    <cellStyle name="Note 23 3 2_Table 2A-1_EFT (Annual)" xfId="7327"/>
    <cellStyle name="Note 23 3 3" xfId="966"/>
    <cellStyle name="Note 23 3 3 2" xfId="4527"/>
    <cellStyle name="Note 23 3 3 2 2" xfId="12789"/>
    <cellStyle name="Note 23 3 3 2 2 2" xfId="24799"/>
    <cellStyle name="Note 23 3 3 2 2 2 2" xfId="45985"/>
    <cellStyle name="Note 23 3 3 2 2 3" xfId="35381"/>
    <cellStyle name="Note 23 3 3 2 3" xfId="19686"/>
    <cellStyle name="Note 23 3 3 2 3 2" xfId="40873"/>
    <cellStyle name="Note 23 3 3 2 4" xfId="30184"/>
    <cellStyle name="Note 23 3 3 2_Table 2A-1_EFT (Annual)" xfId="15646"/>
    <cellStyle name="Note 23 3 3 3" xfId="10136"/>
    <cellStyle name="Note 23 3 3 3 2" xfId="22253"/>
    <cellStyle name="Note 23 3 3 3 2 2" xfId="43439"/>
    <cellStyle name="Note 23 3 3 3 3" xfId="32835"/>
    <cellStyle name="Note 23 3 3 4" xfId="17140"/>
    <cellStyle name="Note 23 3 3 4 2" xfId="38327"/>
    <cellStyle name="Note 23 3 3 5" xfId="27441"/>
    <cellStyle name="Note 23 3 3_Table 2A-1_EFT (Annual)" xfId="7329"/>
    <cellStyle name="Note 23 3 4" xfId="2163"/>
    <cellStyle name="Note 23 3 4 2" xfId="5724"/>
    <cellStyle name="Note 23 3 4 2 2" xfId="13939"/>
    <cellStyle name="Note 23 3 4 2 2 2" xfId="25927"/>
    <cellStyle name="Note 23 3 4 2 2 2 2" xfId="47113"/>
    <cellStyle name="Note 23 3 4 2 2 3" xfId="36509"/>
    <cellStyle name="Note 23 3 4 2 3" xfId="20814"/>
    <cellStyle name="Note 23 3 4 2 3 2" xfId="42001"/>
    <cellStyle name="Note 23 3 4 2 4" xfId="31381"/>
    <cellStyle name="Note 23 3 4 2_Table 2A-1_EFT (Annual)" xfId="15647"/>
    <cellStyle name="Note 23 3 4 3" xfId="11283"/>
    <cellStyle name="Note 23 3 4 3 2" xfId="23381"/>
    <cellStyle name="Note 23 3 4 3 2 2" xfId="44567"/>
    <cellStyle name="Note 23 3 4 3 3" xfId="33963"/>
    <cellStyle name="Note 23 3 4 4" xfId="18268"/>
    <cellStyle name="Note 23 3 4 4 2" xfId="39455"/>
    <cellStyle name="Note 23 3 4 5" xfId="28638"/>
    <cellStyle name="Note 23 3 4_Table 2A-1_EFT (Annual)" xfId="7330"/>
    <cellStyle name="Note 23 3 5" xfId="4011"/>
    <cellStyle name="Note 23 3 5 2" xfId="12339"/>
    <cellStyle name="Note 23 3 5 2 2" xfId="24363"/>
    <cellStyle name="Note 23 3 5 2 2 2" xfId="45549"/>
    <cellStyle name="Note 23 3 5 2 3" xfId="34945"/>
    <cellStyle name="Note 23 3 5 3" xfId="19250"/>
    <cellStyle name="Note 23 3 5 3 2" xfId="40437"/>
    <cellStyle name="Note 23 3 5 4" xfId="29699"/>
    <cellStyle name="Note 23 3 5_Table 2A-1_EFT (Annual)" xfId="15648"/>
    <cellStyle name="Note 23 3 6" xfId="9676"/>
    <cellStyle name="Note 23 3 6 2" xfId="21817"/>
    <cellStyle name="Note 23 3 6 2 2" xfId="43003"/>
    <cellStyle name="Note 23 3 6 3" xfId="32399"/>
    <cellStyle name="Note 23 3 7" xfId="16704"/>
    <cellStyle name="Note 23 3 7 2" xfId="37891"/>
    <cellStyle name="Note 23 3 8" xfId="26956"/>
    <cellStyle name="Note 23 3_Table 2A-1_EFT (Annual)" xfId="3269"/>
    <cellStyle name="Note 23 4" xfId="1261"/>
    <cellStyle name="Note 23 4 2" xfId="2531"/>
    <cellStyle name="Note 23 4 2 2" xfId="6092"/>
    <cellStyle name="Note 23 4 2 2 2" xfId="14286"/>
    <cellStyle name="Note 23 4 2 2 2 2" xfId="26258"/>
    <cellStyle name="Note 23 4 2 2 2 2 2" xfId="47444"/>
    <cellStyle name="Note 23 4 2 2 2 3" xfId="36840"/>
    <cellStyle name="Note 23 4 2 2 3" xfId="21145"/>
    <cellStyle name="Note 23 4 2 2 3 2" xfId="42332"/>
    <cellStyle name="Note 23 4 2 2 4" xfId="31748"/>
    <cellStyle name="Note 23 4 2 2_Table 2A-1_EFT (Annual)" xfId="15649"/>
    <cellStyle name="Note 23 4 2 3" xfId="11628"/>
    <cellStyle name="Note 23 4 2 3 2" xfId="23712"/>
    <cellStyle name="Note 23 4 2 3 2 2" xfId="44898"/>
    <cellStyle name="Note 23 4 2 3 3" xfId="34294"/>
    <cellStyle name="Note 23 4 2 4" xfId="18599"/>
    <cellStyle name="Note 23 4 2 4 2" xfId="39786"/>
    <cellStyle name="Note 23 4 2 5" xfId="29005"/>
    <cellStyle name="Note 23 4 2_Table 2A-1_EFT (Annual)" xfId="7332"/>
    <cellStyle name="Note 23 4 3" xfId="4822"/>
    <cellStyle name="Note 23 4 3 2" xfId="13082"/>
    <cellStyle name="Note 23 4 3 2 2" xfId="25088"/>
    <cellStyle name="Note 23 4 3 2 2 2" xfId="46274"/>
    <cellStyle name="Note 23 4 3 2 3" xfId="35670"/>
    <cellStyle name="Note 23 4 3 3" xfId="19975"/>
    <cellStyle name="Note 23 4 3 3 2" xfId="41162"/>
    <cellStyle name="Note 23 4 3 4" xfId="30479"/>
    <cellStyle name="Note 23 4 3_Table 2A-1_EFT (Annual)" xfId="15650"/>
    <cellStyle name="Note 23 4 4" xfId="10426"/>
    <cellStyle name="Note 23 4 4 2" xfId="22542"/>
    <cellStyle name="Note 23 4 4 2 2" xfId="43728"/>
    <cellStyle name="Note 23 4 4 3" xfId="33124"/>
    <cellStyle name="Note 23 4 5" xfId="17429"/>
    <cellStyle name="Note 23 4 5 2" xfId="38616"/>
    <cellStyle name="Note 23 4 6" xfId="27736"/>
    <cellStyle name="Note 23 4_Table 2A-1_EFT (Annual)" xfId="7331"/>
    <cellStyle name="Note 23 5" xfId="810"/>
    <cellStyle name="Note 23 5 2" xfId="4371"/>
    <cellStyle name="Note 23 5 2 2" xfId="12651"/>
    <cellStyle name="Note 23 5 2 2 2" xfId="24668"/>
    <cellStyle name="Note 23 5 2 2 2 2" xfId="45854"/>
    <cellStyle name="Note 23 5 2 2 3" xfId="35250"/>
    <cellStyle name="Note 23 5 2 3" xfId="19555"/>
    <cellStyle name="Note 23 5 2 3 2" xfId="40742"/>
    <cellStyle name="Note 23 5 2 4" xfId="30028"/>
    <cellStyle name="Note 23 5 2_Table 2A-1_EFT (Annual)" xfId="15651"/>
    <cellStyle name="Note 23 5 3" xfId="9999"/>
    <cellStyle name="Note 23 5 3 2" xfId="22122"/>
    <cellStyle name="Note 23 5 3 2 2" xfId="43308"/>
    <cellStyle name="Note 23 5 3 3" xfId="32704"/>
    <cellStyle name="Note 23 5 4" xfId="17009"/>
    <cellStyle name="Note 23 5 4 2" xfId="38196"/>
    <cellStyle name="Note 23 5 5" xfId="27285"/>
    <cellStyle name="Note 23 5_Table 2A-1_EFT (Annual)" xfId="7333"/>
    <cellStyle name="Note 23 6" xfId="2000"/>
    <cellStyle name="Note 23 6 2" xfId="5561"/>
    <cellStyle name="Note 23 6 2 2" xfId="13776"/>
    <cellStyle name="Note 23 6 2 2 2" xfId="25764"/>
    <cellStyle name="Note 23 6 2 2 2 2" xfId="46950"/>
    <cellStyle name="Note 23 6 2 2 3" xfId="36346"/>
    <cellStyle name="Note 23 6 2 3" xfId="20651"/>
    <cellStyle name="Note 23 6 2 3 2" xfId="41838"/>
    <cellStyle name="Note 23 6 2 4" xfId="31218"/>
    <cellStyle name="Note 23 6 2_Table 2A-1_EFT (Annual)" xfId="15652"/>
    <cellStyle name="Note 23 6 3" xfId="11120"/>
    <cellStyle name="Note 23 6 3 2" xfId="23218"/>
    <cellStyle name="Note 23 6 3 2 2" xfId="44404"/>
    <cellStyle name="Note 23 6 3 3" xfId="33800"/>
    <cellStyle name="Note 23 6 4" xfId="18105"/>
    <cellStyle name="Note 23 6 4 2" xfId="39292"/>
    <cellStyle name="Note 23 6 5" xfId="28475"/>
    <cellStyle name="Note 23 6_Table 2A-1_EFT (Annual)" xfId="7334"/>
    <cellStyle name="Note 23 7" xfId="3802"/>
    <cellStyle name="Note 23 7 2" xfId="12170"/>
    <cellStyle name="Note 23 7 2 2" xfId="24200"/>
    <cellStyle name="Note 23 7 2 2 2" xfId="45386"/>
    <cellStyle name="Note 23 7 2 3" xfId="34782"/>
    <cellStyle name="Note 23 7 3" xfId="19087"/>
    <cellStyle name="Note 23 7 3 2" xfId="40274"/>
    <cellStyle name="Note 23 7 4" xfId="29511"/>
    <cellStyle name="Note 23 7_Table 2A-1_EFT (Annual)" xfId="15653"/>
    <cellStyle name="Note 23 8" xfId="9489"/>
    <cellStyle name="Note 23 8 2" xfId="21654"/>
    <cellStyle name="Note 23 8 2 2" xfId="42840"/>
    <cellStyle name="Note 23 8 3" xfId="32236"/>
    <cellStyle name="Note 23 9" xfId="16541"/>
    <cellStyle name="Note 23 9 2" xfId="37728"/>
    <cellStyle name="Note 23_Table 2A-1_EFT (Annual)" xfId="3267"/>
    <cellStyle name="Note 24" xfId="185"/>
    <cellStyle name="Note 24 10" xfId="26740"/>
    <cellStyle name="Note 24 2" xfId="578"/>
    <cellStyle name="Note 24 2 2" xfId="1555"/>
    <cellStyle name="Note 24 2 2 2" xfId="2825"/>
    <cellStyle name="Note 24 2 2 2 2" xfId="6386"/>
    <cellStyle name="Note 24 2 2 2 2 2" xfId="14580"/>
    <cellStyle name="Note 24 2 2 2 2 2 2" xfId="26552"/>
    <cellStyle name="Note 24 2 2 2 2 2 2 2" xfId="47738"/>
    <cellStyle name="Note 24 2 2 2 2 2 3" xfId="37134"/>
    <cellStyle name="Note 24 2 2 2 2 3" xfId="21439"/>
    <cellStyle name="Note 24 2 2 2 2 3 2" xfId="42626"/>
    <cellStyle name="Note 24 2 2 2 2 4" xfId="32042"/>
    <cellStyle name="Note 24 2 2 2 2_Table 2A-1_EFT (Annual)" xfId="15654"/>
    <cellStyle name="Note 24 2 2 2 3" xfId="11922"/>
    <cellStyle name="Note 24 2 2 2 3 2" xfId="24006"/>
    <cellStyle name="Note 24 2 2 2 3 2 2" xfId="45192"/>
    <cellStyle name="Note 24 2 2 2 3 3" xfId="34588"/>
    <cellStyle name="Note 24 2 2 2 4" xfId="18893"/>
    <cellStyle name="Note 24 2 2 2 4 2" xfId="40080"/>
    <cellStyle name="Note 24 2 2 2 5" xfId="29299"/>
    <cellStyle name="Note 24 2 2 2_Table 2A-1_EFT (Annual)" xfId="7336"/>
    <cellStyle name="Note 24 2 2 3" xfId="5116"/>
    <cellStyle name="Note 24 2 2 3 2" xfId="13376"/>
    <cellStyle name="Note 24 2 2 3 2 2" xfId="25382"/>
    <cellStyle name="Note 24 2 2 3 2 2 2" xfId="46568"/>
    <cellStyle name="Note 24 2 2 3 2 3" xfId="35964"/>
    <cellStyle name="Note 24 2 2 3 3" xfId="20269"/>
    <cellStyle name="Note 24 2 2 3 3 2" xfId="41456"/>
    <cellStyle name="Note 24 2 2 3 4" xfId="30773"/>
    <cellStyle name="Note 24 2 2 3_Table 2A-1_EFT (Annual)" xfId="15655"/>
    <cellStyle name="Note 24 2 2 4" xfId="10720"/>
    <cellStyle name="Note 24 2 2 4 2" xfId="22836"/>
    <cellStyle name="Note 24 2 2 4 2 2" xfId="44022"/>
    <cellStyle name="Note 24 2 2 4 3" xfId="33418"/>
    <cellStyle name="Note 24 2 2 5" xfId="17723"/>
    <cellStyle name="Note 24 2 2 5 2" xfId="38910"/>
    <cellStyle name="Note 24 2 2 6" xfId="28030"/>
    <cellStyle name="Note 24 2 2_Table 2A-1_EFT (Annual)" xfId="7335"/>
    <cellStyle name="Note 24 2 3" xfId="1078"/>
    <cellStyle name="Note 24 2 3 2" xfId="4639"/>
    <cellStyle name="Note 24 2 3 2 2" xfId="12899"/>
    <cellStyle name="Note 24 2 3 2 2 2" xfId="24905"/>
    <cellStyle name="Note 24 2 3 2 2 2 2" xfId="46091"/>
    <cellStyle name="Note 24 2 3 2 2 3" xfId="35487"/>
    <cellStyle name="Note 24 2 3 2 3" xfId="19792"/>
    <cellStyle name="Note 24 2 3 2 3 2" xfId="40979"/>
    <cellStyle name="Note 24 2 3 2 4" xfId="30296"/>
    <cellStyle name="Note 24 2 3 2_Table 2A-1_EFT (Annual)" xfId="15656"/>
    <cellStyle name="Note 24 2 3 3" xfId="10243"/>
    <cellStyle name="Note 24 2 3 3 2" xfId="22359"/>
    <cellStyle name="Note 24 2 3 3 2 2" xfId="43545"/>
    <cellStyle name="Note 24 2 3 3 3" xfId="32941"/>
    <cellStyle name="Note 24 2 3 4" xfId="17246"/>
    <cellStyle name="Note 24 2 3 4 2" xfId="38433"/>
    <cellStyle name="Note 24 2 3 5" xfId="27553"/>
    <cellStyle name="Note 24 2 3_Table 2A-1_EFT (Annual)" xfId="7337"/>
    <cellStyle name="Note 24 2 4" xfId="2294"/>
    <cellStyle name="Note 24 2 4 2" xfId="5855"/>
    <cellStyle name="Note 24 2 4 2 2" xfId="14070"/>
    <cellStyle name="Note 24 2 4 2 2 2" xfId="26058"/>
    <cellStyle name="Note 24 2 4 2 2 2 2" xfId="47244"/>
    <cellStyle name="Note 24 2 4 2 2 3" xfId="36640"/>
    <cellStyle name="Note 24 2 4 2 3" xfId="20945"/>
    <cellStyle name="Note 24 2 4 2 3 2" xfId="42132"/>
    <cellStyle name="Note 24 2 4 2 4" xfId="31512"/>
    <cellStyle name="Note 24 2 4 2_Table 2A-1_EFT (Annual)" xfId="15657"/>
    <cellStyle name="Note 24 2 4 3" xfId="11414"/>
    <cellStyle name="Note 24 2 4 3 2" xfId="23512"/>
    <cellStyle name="Note 24 2 4 3 2 2" xfId="44698"/>
    <cellStyle name="Note 24 2 4 3 3" xfId="34094"/>
    <cellStyle name="Note 24 2 4 4" xfId="18399"/>
    <cellStyle name="Note 24 2 4 4 2" xfId="39586"/>
    <cellStyle name="Note 24 2 4 5" xfId="28769"/>
    <cellStyle name="Note 24 2 4_Table 2A-1_EFT (Annual)" xfId="7338"/>
    <cellStyle name="Note 24 2 5" xfId="4148"/>
    <cellStyle name="Note 24 2 5 2" xfId="12472"/>
    <cellStyle name="Note 24 2 5 2 2" xfId="24494"/>
    <cellStyle name="Note 24 2 5 2 2 2" xfId="45680"/>
    <cellStyle name="Note 24 2 5 2 3" xfId="35076"/>
    <cellStyle name="Note 24 2 5 3" xfId="19381"/>
    <cellStyle name="Note 24 2 5 3 2" xfId="40568"/>
    <cellStyle name="Note 24 2 5 4" xfId="29836"/>
    <cellStyle name="Note 24 2 5_Table 2A-1_EFT (Annual)" xfId="15658"/>
    <cellStyle name="Note 24 2 6" xfId="9811"/>
    <cellStyle name="Note 24 2 6 2" xfId="21948"/>
    <cellStyle name="Note 24 2 6 2 2" xfId="43134"/>
    <cellStyle name="Note 24 2 6 3" xfId="32530"/>
    <cellStyle name="Note 24 2 7" xfId="16835"/>
    <cellStyle name="Note 24 2 7 2" xfId="38022"/>
    <cellStyle name="Note 24 2 8" xfId="27093"/>
    <cellStyle name="Note 24 2_Table 2A-1_EFT (Annual)" xfId="3271"/>
    <cellStyle name="Note 24 3" xfId="416"/>
    <cellStyle name="Note 24 3 2" xfId="1399"/>
    <cellStyle name="Note 24 3 2 2" xfId="2669"/>
    <cellStyle name="Note 24 3 2 2 2" xfId="6230"/>
    <cellStyle name="Note 24 3 2 2 2 2" xfId="14424"/>
    <cellStyle name="Note 24 3 2 2 2 2 2" xfId="26396"/>
    <cellStyle name="Note 24 3 2 2 2 2 2 2" xfId="47582"/>
    <cellStyle name="Note 24 3 2 2 2 2 3" xfId="36978"/>
    <cellStyle name="Note 24 3 2 2 2 3" xfId="21283"/>
    <cellStyle name="Note 24 3 2 2 2 3 2" xfId="42470"/>
    <cellStyle name="Note 24 3 2 2 2 4" xfId="31886"/>
    <cellStyle name="Note 24 3 2 2 2_Table 2A-1_EFT (Annual)" xfId="15659"/>
    <cellStyle name="Note 24 3 2 2 3" xfId="11766"/>
    <cellStyle name="Note 24 3 2 2 3 2" xfId="23850"/>
    <cellStyle name="Note 24 3 2 2 3 2 2" xfId="45036"/>
    <cellStyle name="Note 24 3 2 2 3 3" xfId="34432"/>
    <cellStyle name="Note 24 3 2 2 4" xfId="18737"/>
    <cellStyle name="Note 24 3 2 2 4 2" xfId="39924"/>
    <cellStyle name="Note 24 3 2 2 5" xfId="29143"/>
    <cellStyle name="Note 24 3 2 2_Table 2A-1_EFT (Annual)" xfId="7340"/>
    <cellStyle name="Note 24 3 2 3" xfId="4960"/>
    <cellStyle name="Note 24 3 2 3 2" xfId="13220"/>
    <cellStyle name="Note 24 3 2 3 2 2" xfId="25226"/>
    <cellStyle name="Note 24 3 2 3 2 2 2" xfId="46412"/>
    <cellStyle name="Note 24 3 2 3 2 3" xfId="35808"/>
    <cellStyle name="Note 24 3 2 3 3" xfId="20113"/>
    <cellStyle name="Note 24 3 2 3 3 2" xfId="41300"/>
    <cellStyle name="Note 24 3 2 3 4" xfId="30617"/>
    <cellStyle name="Note 24 3 2 3_Table 2A-1_EFT (Annual)" xfId="15660"/>
    <cellStyle name="Note 24 3 2 4" xfId="10564"/>
    <cellStyle name="Note 24 3 2 4 2" xfId="22680"/>
    <cellStyle name="Note 24 3 2 4 2 2" xfId="43866"/>
    <cellStyle name="Note 24 3 2 4 3" xfId="33262"/>
    <cellStyle name="Note 24 3 2 5" xfId="17567"/>
    <cellStyle name="Note 24 3 2 5 2" xfId="38754"/>
    <cellStyle name="Note 24 3 2 6" xfId="27874"/>
    <cellStyle name="Note 24 3 2_Table 2A-1_EFT (Annual)" xfId="7339"/>
    <cellStyle name="Note 24 3 3" xfId="946"/>
    <cellStyle name="Note 24 3 3 2" xfId="4507"/>
    <cellStyle name="Note 24 3 3 2 2" xfId="12769"/>
    <cellStyle name="Note 24 3 3 2 2 2" xfId="24779"/>
    <cellStyle name="Note 24 3 3 2 2 2 2" xfId="45965"/>
    <cellStyle name="Note 24 3 3 2 2 3" xfId="35361"/>
    <cellStyle name="Note 24 3 3 2 3" xfId="19666"/>
    <cellStyle name="Note 24 3 3 2 3 2" xfId="40853"/>
    <cellStyle name="Note 24 3 3 2 4" xfId="30164"/>
    <cellStyle name="Note 24 3 3 2_Table 2A-1_EFT (Annual)" xfId="15661"/>
    <cellStyle name="Note 24 3 3 3" xfId="10116"/>
    <cellStyle name="Note 24 3 3 3 2" xfId="22233"/>
    <cellStyle name="Note 24 3 3 3 2 2" xfId="43419"/>
    <cellStyle name="Note 24 3 3 3 3" xfId="32815"/>
    <cellStyle name="Note 24 3 3 4" xfId="17120"/>
    <cellStyle name="Note 24 3 3 4 2" xfId="38307"/>
    <cellStyle name="Note 24 3 3 5" xfId="27421"/>
    <cellStyle name="Note 24 3 3_Table 2A-1_EFT (Annual)" xfId="7341"/>
    <cellStyle name="Note 24 3 4" xfId="2138"/>
    <cellStyle name="Note 24 3 4 2" xfId="5699"/>
    <cellStyle name="Note 24 3 4 2 2" xfId="13914"/>
    <cellStyle name="Note 24 3 4 2 2 2" xfId="25902"/>
    <cellStyle name="Note 24 3 4 2 2 2 2" xfId="47088"/>
    <cellStyle name="Note 24 3 4 2 2 3" xfId="36484"/>
    <cellStyle name="Note 24 3 4 2 3" xfId="20789"/>
    <cellStyle name="Note 24 3 4 2 3 2" xfId="41976"/>
    <cellStyle name="Note 24 3 4 2 4" xfId="31356"/>
    <cellStyle name="Note 24 3 4 2_Table 2A-1_EFT (Annual)" xfId="15662"/>
    <cellStyle name="Note 24 3 4 3" xfId="11258"/>
    <cellStyle name="Note 24 3 4 3 2" xfId="23356"/>
    <cellStyle name="Note 24 3 4 3 2 2" xfId="44542"/>
    <cellStyle name="Note 24 3 4 3 3" xfId="33938"/>
    <cellStyle name="Note 24 3 4 4" xfId="18243"/>
    <cellStyle name="Note 24 3 4 4 2" xfId="39430"/>
    <cellStyle name="Note 24 3 4 5" xfId="28613"/>
    <cellStyle name="Note 24 3 4_Table 2A-1_EFT (Annual)" xfId="7342"/>
    <cellStyle name="Note 24 3 5" xfId="3986"/>
    <cellStyle name="Note 24 3 5 2" xfId="12314"/>
    <cellStyle name="Note 24 3 5 2 2" xfId="24338"/>
    <cellStyle name="Note 24 3 5 2 2 2" xfId="45524"/>
    <cellStyle name="Note 24 3 5 2 3" xfId="34920"/>
    <cellStyle name="Note 24 3 5 3" xfId="19225"/>
    <cellStyle name="Note 24 3 5 3 2" xfId="40412"/>
    <cellStyle name="Note 24 3 5 4" xfId="29674"/>
    <cellStyle name="Note 24 3 5_Table 2A-1_EFT (Annual)" xfId="15663"/>
    <cellStyle name="Note 24 3 6" xfId="9651"/>
    <cellStyle name="Note 24 3 6 2" xfId="21792"/>
    <cellStyle name="Note 24 3 6 2 2" xfId="42978"/>
    <cellStyle name="Note 24 3 6 3" xfId="32374"/>
    <cellStyle name="Note 24 3 7" xfId="16679"/>
    <cellStyle name="Note 24 3 7 2" xfId="37866"/>
    <cellStyle name="Note 24 3 8" xfId="26931"/>
    <cellStyle name="Note 24 3_Table 2A-1_EFT (Annual)" xfId="3272"/>
    <cellStyle name="Note 24 4" xfId="1233"/>
    <cellStyle name="Note 24 4 2" xfId="2503"/>
    <cellStyle name="Note 24 4 2 2" xfId="6064"/>
    <cellStyle name="Note 24 4 2 2 2" xfId="14258"/>
    <cellStyle name="Note 24 4 2 2 2 2" xfId="26230"/>
    <cellStyle name="Note 24 4 2 2 2 2 2" xfId="47416"/>
    <cellStyle name="Note 24 4 2 2 2 3" xfId="36812"/>
    <cellStyle name="Note 24 4 2 2 3" xfId="21117"/>
    <cellStyle name="Note 24 4 2 2 3 2" xfId="42304"/>
    <cellStyle name="Note 24 4 2 2 4" xfId="31720"/>
    <cellStyle name="Note 24 4 2 2_Table 2A-1_EFT (Annual)" xfId="15664"/>
    <cellStyle name="Note 24 4 2 3" xfId="11600"/>
    <cellStyle name="Note 24 4 2 3 2" xfId="23684"/>
    <cellStyle name="Note 24 4 2 3 2 2" xfId="44870"/>
    <cellStyle name="Note 24 4 2 3 3" xfId="34266"/>
    <cellStyle name="Note 24 4 2 4" xfId="18571"/>
    <cellStyle name="Note 24 4 2 4 2" xfId="39758"/>
    <cellStyle name="Note 24 4 2 5" xfId="28977"/>
    <cellStyle name="Note 24 4 2_Table 2A-1_EFT (Annual)" xfId="7344"/>
    <cellStyle name="Note 24 4 3" xfId="4794"/>
    <cellStyle name="Note 24 4 3 2" xfId="13054"/>
    <cellStyle name="Note 24 4 3 2 2" xfId="25060"/>
    <cellStyle name="Note 24 4 3 2 2 2" xfId="46246"/>
    <cellStyle name="Note 24 4 3 2 3" xfId="35642"/>
    <cellStyle name="Note 24 4 3 3" xfId="19947"/>
    <cellStyle name="Note 24 4 3 3 2" xfId="41134"/>
    <cellStyle name="Note 24 4 3 4" xfId="30451"/>
    <cellStyle name="Note 24 4 3_Table 2A-1_EFT (Annual)" xfId="15665"/>
    <cellStyle name="Note 24 4 4" xfId="10398"/>
    <cellStyle name="Note 24 4 4 2" xfId="22514"/>
    <cellStyle name="Note 24 4 4 2 2" xfId="43700"/>
    <cellStyle name="Note 24 4 4 3" xfId="33096"/>
    <cellStyle name="Note 24 4 5" xfId="17401"/>
    <cellStyle name="Note 24 4 5 2" xfId="38588"/>
    <cellStyle name="Note 24 4 6" xfId="27708"/>
    <cellStyle name="Note 24 4_Table 2A-1_EFT (Annual)" xfId="7343"/>
    <cellStyle name="Note 24 5" xfId="787"/>
    <cellStyle name="Note 24 5 2" xfId="4348"/>
    <cellStyle name="Note 24 5 2 2" xfId="12628"/>
    <cellStyle name="Note 24 5 2 2 2" xfId="24645"/>
    <cellStyle name="Note 24 5 2 2 2 2" xfId="45831"/>
    <cellStyle name="Note 24 5 2 2 3" xfId="35227"/>
    <cellStyle name="Note 24 5 2 3" xfId="19532"/>
    <cellStyle name="Note 24 5 2 3 2" xfId="40719"/>
    <cellStyle name="Note 24 5 2 4" xfId="30005"/>
    <cellStyle name="Note 24 5 2_Table 2A-1_EFT (Annual)" xfId="15666"/>
    <cellStyle name="Note 24 5 3" xfId="9976"/>
    <cellStyle name="Note 24 5 3 2" xfId="22099"/>
    <cellStyle name="Note 24 5 3 2 2" xfId="43285"/>
    <cellStyle name="Note 24 5 3 3" xfId="32681"/>
    <cellStyle name="Note 24 5 4" xfId="16986"/>
    <cellStyle name="Note 24 5 4 2" xfId="38173"/>
    <cellStyle name="Note 24 5 5" xfId="27262"/>
    <cellStyle name="Note 24 5_Table 2A-1_EFT (Annual)" xfId="7345"/>
    <cellStyle name="Note 24 6" xfId="1972"/>
    <cellStyle name="Note 24 6 2" xfId="5533"/>
    <cellStyle name="Note 24 6 2 2" xfId="13748"/>
    <cellStyle name="Note 24 6 2 2 2" xfId="25736"/>
    <cellStyle name="Note 24 6 2 2 2 2" xfId="46922"/>
    <cellStyle name="Note 24 6 2 2 3" xfId="36318"/>
    <cellStyle name="Note 24 6 2 3" xfId="20623"/>
    <cellStyle name="Note 24 6 2 3 2" xfId="41810"/>
    <cellStyle name="Note 24 6 2 4" xfId="31190"/>
    <cellStyle name="Note 24 6 2_Table 2A-1_EFT (Annual)" xfId="15667"/>
    <cellStyle name="Note 24 6 3" xfId="11092"/>
    <cellStyle name="Note 24 6 3 2" xfId="23190"/>
    <cellStyle name="Note 24 6 3 2 2" xfId="44376"/>
    <cellStyle name="Note 24 6 3 3" xfId="33772"/>
    <cellStyle name="Note 24 6 4" xfId="18077"/>
    <cellStyle name="Note 24 6 4 2" xfId="39264"/>
    <cellStyle name="Note 24 6 5" xfId="28447"/>
    <cellStyle name="Note 24 6_Table 2A-1_EFT (Annual)" xfId="7346"/>
    <cellStyle name="Note 24 7" xfId="3774"/>
    <cellStyle name="Note 24 7 2" xfId="12142"/>
    <cellStyle name="Note 24 7 2 2" xfId="24172"/>
    <cellStyle name="Note 24 7 2 2 2" xfId="45358"/>
    <cellStyle name="Note 24 7 2 3" xfId="34754"/>
    <cellStyle name="Note 24 7 3" xfId="19059"/>
    <cellStyle name="Note 24 7 3 2" xfId="40246"/>
    <cellStyle name="Note 24 7 4" xfId="29483"/>
    <cellStyle name="Note 24 7_Table 2A-1_EFT (Annual)" xfId="15668"/>
    <cellStyle name="Note 24 8" xfId="9461"/>
    <cellStyle name="Note 24 8 2" xfId="21626"/>
    <cellStyle name="Note 24 8 2 2" xfId="42812"/>
    <cellStyle name="Note 24 8 3" xfId="32208"/>
    <cellStyle name="Note 24 9" xfId="16513"/>
    <cellStyle name="Note 24 9 2" xfId="37700"/>
    <cellStyle name="Note 24_Table 2A-1_EFT (Annual)" xfId="3270"/>
    <cellStyle name="Note 25" xfId="239"/>
    <cellStyle name="Note 25 10" xfId="26794"/>
    <cellStyle name="Note 25 2" xfId="626"/>
    <cellStyle name="Note 25 2 2" xfId="1603"/>
    <cellStyle name="Note 25 2 2 2" xfId="2873"/>
    <cellStyle name="Note 25 2 2 2 2" xfId="6434"/>
    <cellStyle name="Note 25 2 2 2 2 2" xfId="14628"/>
    <cellStyle name="Note 25 2 2 2 2 2 2" xfId="26600"/>
    <cellStyle name="Note 25 2 2 2 2 2 2 2" xfId="47786"/>
    <cellStyle name="Note 25 2 2 2 2 2 3" xfId="37182"/>
    <cellStyle name="Note 25 2 2 2 2 3" xfId="21487"/>
    <cellStyle name="Note 25 2 2 2 2 3 2" xfId="42674"/>
    <cellStyle name="Note 25 2 2 2 2 4" xfId="32090"/>
    <cellStyle name="Note 25 2 2 2 2_Table 2A-1_EFT (Annual)" xfId="15669"/>
    <cellStyle name="Note 25 2 2 2 3" xfId="11970"/>
    <cellStyle name="Note 25 2 2 2 3 2" xfId="24054"/>
    <cellStyle name="Note 25 2 2 2 3 2 2" xfId="45240"/>
    <cellStyle name="Note 25 2 2 2 3 3" xfId="34636"/>
    <cellStyle name="Note 25 2 2 2 4" xfId="18941"/>
    <cellStyle name="Note 25 2 2 2 4 2" xfId="40128"/>
    <cellStyle name="Note 25 2 2 2 5" xfId="29347"/>
    <cellStyle name="Note 25 2 2 2_Table 2A-1_EFT (Annual)" xfId="7348"/>
    <cellStyle name="Note 25 2 2 3" xfId="5164"/>
    <cellStyle name="Note 25 2 2 3 2" xfId="13424"/>
    <cellStyle name="Note 25 2 2 3 2 2" xfId="25430"/>
    <cellStyle name="Note 25 2 2 3 2 2 2" xfId="46616"/>
    <cellStyle name="Note 25 2 2 3 2 3" xfId="36012"/>
    <cellStyle name="Note 25 2 2 3 3" xfId="20317"/>
    <cellStyle name="Note 25 2 2 3 3 2" xfId="41504"/>
    <cellStyle name="Note 25 2 2 3 4" xfId="30821"/>
    <cellStyle name="Note 25 2 2 3_Table 2A-1_EFT (Annual)" xfId="15670"/>
    <cellStyle name="Note 25 2 2 4" xfId="10768"/>
    <cellStyle name="Note 25 2 2 4 2" xfId="22884"/>
    <cellStyle name="Note 25 2 2 4 2 2" xfId="44070"/>
    <cellStyle name="Note 25 2 2 4 3" xfId="33466"/>
    <cellStyle name="Note 25 2 2 5" xfId="17771"/>
    <cellStyle name="Note 25 2 2 5 2" xfId="38958"/>
    <cellStyle name="Note 25 2 2 6" xfId="28078"/>
    <cellStyle name="Note 25 2 2_Table 2A-1_EFT (Annual)" xfId="7347"/>
    <cellStyle name="Note 25 2 3" xfId="1117"/>
    <cellStyle name="Note 25 2 3 2" xfId="4678"/>
    <cellStyle name="Note 25 2 3 2 2" xfId="12938"/>
    <cellStyle name="Note 25 2 3 2 2 2" xfId="24944"/>
    <cellStyle name="Note 25 2 3 2 2 2 2" xfId="46130"/>
    <cellStyle name="Note 25 2 3 2 2 3" xfId="35526"/>
    <cellStyle name="Note 25 2 3 2 3" xfId="19831"/>
    <cellStyle name="Note 25 2 3 2 3 2" xfId="41018"/>
    <cellStyle name="Note 25 2 3 2 4" xfId="30335"/>
    <cellStyle name="Note 25 2 3 2_Table 2A-1_EFT (Annual)" xfId="15671"/>
    <cellStyle name="Note 25 2 3 3" xfId="10282"/>
    <cellStyle name="Note 25 2 3 3 2" xfId="22398"/>
    <cellStyle name="Note 25 2 3 3 2 2" xfId="43584"/>
    <cellStyle name="Note 25 2 3 3 3" xfId="32980"/>
    <cellStyle name="Note 25 2 3 4" xfId="17285"/>
    <cellStyle name="Note 25 2 3 4 2" xfId="38472"/>
    <cellStyle name="Note 25 2 3 5" xfId="27592"/>
    <cellStyle name="Note 25 2 3_Table 2A-1_EFT (Annual)" xfId="7349"/>
    <cellStyle name="Note 25 2 4" xfId="2342"/>
    <cellStyle name="Note 25 2 4 2" xfId="5903"/>
    <cellStyle name="Note 25 2 4 2 2" xfId="14118"/>
    <cellStyle name="Note 25 2 4 2 2 2" xfId="26106"/>
    <cellStyle name="Note 25 2 4 2 2 2 2" xfId="47292"/>
    <cellStyle name="Note 25 2 4 2 2 3" xfId="36688"/>
    <cellStyle name="Note 25 2 4 2 3" xfId="20993"/>
    <cellStyle name="Note 25 2 4 2 3 2" xfId="42180"/>
    <cellStyle name="Note 25 2 4 2 4" xfId="31560"/>
    <cellStyle name="Note 25 2 4 2_Table 2A-1_EFT (Annual)" xfId="15672"/>
    <cellStyle name="Note 25 2 4 3" xfId="11462"/>
    <cellStyle name="Note 25 2 4 3 2" xfId="23560"/>
    <cellStyle name="Note 25 2 4 3 2 2" xfId="44746"/>
    <cellStyle name="Note 25 2 4 3 3" xfId="34142"/>
    <cellStyle name="Note 25 2 4 4" xfId="18447"/>
    <cellStyle name="Note 25 2 4 4 2" xfId="39634"/>
    <cellStyle name="Note 25 2 4 5" xfId="28817"/>
    <cellStyle name="Note 25 2 4_Table 2A-1_EFT (Annual)" xfId="7350"/>
    <cellStyle name="Note 25 2 5" xfId="4196"/>
    <cellStyle name="Note 25 2 5 2" xfId="12520"/>
    <cellStyle name="Note 25 2 5 2 2" xfId="24542"/>
    <cellStyle name="Note 25 2 5 2 2 2" xfId="45728"/>
    <cellStyle name="Note 25 2 5 2 3" xfId="35124"/>
    <cellStyle name="Note 25 2 5 3" xfId="19429"/>
    <cellStyle name="Note 25 2 5 3 2" xfId="40616"/>
    <cellStyle name="Note 25 2 5 4" xfId="29884"/>
    <cellStyle name="Note 25 2 5_Table 2A-1_EFT (Annual)" xfId="15673"/>
    <cellStyle name="Note 25 2 6" xfId="9859"/>
    <cellStyle name="Note 25 2 6 2" xfId="21996"/>
    <cellStyle name="Note 25 2 6 2 2" xfId="43182"/>
    <cellStyle name="Note 25 2 6 3" xfId="32578"/>
    <cellStyle name="Note 25 2 7" xfId="16883"/>
    <cellStyle name="Note 25 2 7 2" xfId="38070"/>
    <cellStyle name="Note 25 2 8" xfId="27141"/>
    <cellStyle name="Note 25 2_Table 2A-1_EFT (Annual)" xfId="3274"/>
    <cellStyle name="Note 25 3" xfId="465"/>
    <cellStyle name="Note 25 3 2" xfId="1442"/>
    <cellStyle name="Note 25 3 2 2" xfId="2712"/>
    <cellStyle name="Note 25 3 2 2 2" xfId="6273"/>
    <cellStyle name="Note 25 3 2 2 2 2" xfId="14467"/>
    <cellStyle name="Note 25 3 2 2 2 2 2" xfId="26439"/>
    <cellStyle name="Note 25 3 2 2 2 2 2 2" xfId="47625"/>
    <cellStyle name="Note 25 3 2 2 2 2 3" xfId="37021"/>
    <cellStyle name="Note 25 3 2 2 2 3" xfId="21326"/>
    <cellStyle name="Note 25 3 2 2 2 3 2" xfId="42513"/>
    <cellStyle name="Note 25 3 2 2 2 4" xfId="31929"/>
    <cellStyle name="Note 25 3 2 2 2_Table 2A-1_EFT (Annual)" xfId="15674"/>
    <cellStyle name="Note 25 3 2 2 3" xfId="11809"/>
    <cellStyle name="Note 25 3 2 2 3 2" xfId="23893"/>
    <cellStyle name="Note 25 3 2 2 3 2 2" xfId="45079"/>
    <cellStyle name="Note 25 3 2 2 3 3" xfId="34475"/>
    <cellStyle name="Note 25 3 2 2 4" xfId="18780"/>
    <cellStyle name="Note 25 3 2 2 4 2" xfId="39967"/>
    <cellStyle name="Note 25 3 2 2 5" xfId="29186"/>
    <cellStyle name="Note 25 3 2 2_Table 2A-1_EFT (Annual)" xfId="7352"/>
    <cellStyle name="Note 25 3 2 3" xfId="5003"/>
    <cellStyle name="Note 25 3 2 3 2" xfId="13263"/>
    <cellStyle name="Note 25 3 2 3 2 2" xfId="25269"/>
    <cellStyle name="Note 25 3 2 3 2 2 2" xfId="46455"/>
    <cellStyle name="Note 25 3 2 3 2 3" xfId="35851"/>
    <cellStyle name="Note 25 3 2 3 3" xfId="20156"/>
    <cellStyle name="Note 25 3 2 3 3 2" xfId="41343"/>
    <cellStyle name="Note 25 3 2 3 4" xfId="30660"/>
    <cellStyle name="Note 25 3 2 3_Table 2A-1_EFT (Annual)" xfId="15675"/>
    <cellStyle name="Note 25 3 2 4" xfId="10607"/>
    <cellStyle name="Note 25 3 2 4 2" xfId="22723"/>
    <cellStyle name="Note 25 3 2 4 2 2" xfId="43909"/>
    <cellStyle name="Note 25 3 2 4 3" xfId="33305"/>
    <cellStyle name="Note 25 3 2 5" xfId="17610"/>
    <cellStyle name="Note 25 3 2 5 2" xfId="38797"/>
    <cellStyle name="Note 25 3 2 6" xfId="27917"/>
    <cellStyle name="Note 25 3 2_Table 2A-1_EFT (Annual)" xfId="7351"/>
    <cellStyle name="Note 25 3 3" xfId="987"/>
    <cellStyle name="Note 25 3 3 2" xfId="4548"/>
    <cellStyle name="Note 25 3 3 2 2" xfId="12808"/>
    <cellStyle name="Note 25 3 3 2 2 2" xfId="24814"/>
    <cellStyle name="Note 25 3 3 2 2 2 2" xfId="46000"/>
    <cellStyle name="Note 25 3 3 2 2 3" xfId="35396"/>
    <cellStyle name="Note 25 3 3 2 3" xfId="19701"/>
    <cellStyle name="Note 25 3 3 2 3 2" xfId="40888"/>
    <cellStyle name="Note 25 3 3 2 4" xfId="30205"/>
    <cellStyle name="Note 25 3 3 2_Table 2A-1_EFT (Annual)" xfId="15676"/>
    <cellStyle name="Note 25 3 3 3" xfId="10152"/>
    <cellStyle name="Note 25 3 3 3 2" xfId="22268"/>
    <cellStyle name="Note 25 3 3 3 2 2" xfId="43454"/>
    <cellStyle name="Note 25 3 3 3 3" xfId="32850"/>
    <cellStyle name="Note 25 3 3 4" xfId="17155"/>
    <cellStyle name="Note 25 3 3 4 2" xfId="38342"/>
    <cellStyle name="Note 25 3 3 5" xfId="27462"/>
    <cellStyle name="Note 25 3 3_Table 2A-1_EFT (Annual)" xfId="7353"/>
    <cellStyle name="Note 25 3 4" xfId="2181"/>
    <cellStyle name="Note 25 3 4 2" xfId="5742"/>
    <cellStyle name="Note 25 3 4 2 2" xfId="13957"/>
    <cellStyle name="Note 25 3 4 2 2 2" xfId="25945"/>
    <cellStyle name="Note 25 3 4 2 2 2 2" xfId="47131"/>
    <cellStyle name="Note 25 3 4 2 2 3" xfId="36527"/>
    <cellStyle name="Note 25 3 4 2 3" xfId="20832"/>
    <cellStyle name="Note 25 3 4 2 3 2" xfId="42019"/>
    <cellStyle name="Note 25 3 4 2 4" xfId="31399"/>
    <cellStyle name="Note 25 3 4 2_Table 2A-1_EFT (Annual)" xfId="15677"/>
    <cellStyle name="Note 25 3 4 3" xfId="11301"/>
    <cellStyle name="Note 25 3 4 3 2" xfId="23399"/>
    <cellStyle name="Note 25 3 4 3 2 2" xfId="44585"/>
    <cellStyle name="Note 25 3 4 3 3" xfId="33981"/>
    <cellStyle name="Note 25 3 4 4" xfId="18286"/>
    <cellStyle name="Note 25 3 4 4 2" xfId="39473"/>
    <cellStyle name="Note 25 3 4 5" xfId="28656"/>
    <cellStyle name="Note 25 3 4_Table 2A-1_EFT (Annual)" xfId="7354"/>
    <cellStyle name="Note 25 3 5" xfId="4035"/>
    <cellStyle name="Note 25 3 5 2" xfId="12359"/>
    <cellStyle name="Note 25 3 5 2 2" xfId="24381"/>
    <cellStyle name="Note 25 3 5 2 2 2" xfId="45567"/>
    <cellStyle name="Note 25 3 5 2 3" xfId="34963"/>
    <cellStyle name="Note 25 3 5 3" xfId="19268"/>
    <cellStyle name="Note 25 3 5 3 2" xfId="40455"/>
    <cellStyle name="Note 25 3 5 4" xfId="29723"/>
    <cellStyle name="Note 25 3 5_Table 2A-1_EFT (Annual)" xfId="15678"/>
    <cellStyle name="Note 25 3 6" xfId="9698"/>
    <cellStyle name="Note 25 3 6 2" xfId="21835"/>
    <cellStyle name="Note 25 3 6 2 2" xfId="43021"/>
    <cellStyle name="Note 25 3 6 3" xfId="32417"/>
    <cellStyle name="Note 25 3 7" xfId="16722"/>
    <cellStyle name="Note 25 3 7 2" xfId="37909"/>
    <cellStyle name="Note 25 3 8" xfId="26980"/>
    <cellStyle name="Note 25 3_Table 2A-1_EFT (Annual)" xfId="3275"/>
    <cellStyle name="Note 25 4" xfId="1281"/>
    <cellStyle name="Note 25 4 2" xfId="2551"/>
    <cellStyle name="Note 25 4 2 2" xfId="6112"/>
    <cellStyle name="Note 25 4 2 2 2" xfId="14306"/>
    <cellStyle name="Note 25 4 2 2 2 2" xfId="26278"/>
    <cellStyle name="Note 25 4 2 2 2 2 2" xfId="47464"/>
    <cellStyle name="Note 25 4 2 2 2 3" xfId="36860"/>
    <cellStyle name="Note 25 4 2 2 3" xfId="21165"/>
    <cellStyle name="Note 25 4 2 2 3 2" xfId="42352"/>
    <cellStyle name="Note 25 4 2 2 4" xfId="31768"/>
    <cellStyle name="Note 25 4 2 2_Table 2A-1_EFT (Annual)" xfId="15679"/>
    <cellStyle name="Note 25 4 2 3" xfId="11648"/>
    <cellStyle name="Note 25 4 2 3 2" xfId="23732"/>
    <cellStyle name="Note 25 4 2 3 2 2" xfId="44918"/>
    <cellStyle name="Note 25 4 2 3 3" xfId="34314"/>
    <cellStyle name="Note 25 4 2 4" xfId="18619"/>
    <cellStyle name="Note 25 4 2 4 2" xfId="39806"/>
    <cellStyle name="Note 25 4 2 5" xfId="29025"/>
    <cellStyle name="Note 25 4 2_Table 2A-1_EFT (Annual)" xfId="7356"/>
    <cellStyle name="Note 25 4 3" xfId="4842"/>
    <cellStyle name="Note 25 4 3 2" xfId="13102"/>
    <cellStyle name="Note 25 4 3 2 2" xfId="25108"/>
    <cellStyle name="Note 25 4 3 2 2 2" xfId="46294"/>
    <cellStyle name="Note 25 4 3 2 3" xfId="35690"/>
    <cellStyle name="Note 25 4 3 3" xfId="19995"/>
    <cellStyle name="Note 25 4 3 3 2" xfId="41182"/>
    <cellStyle name="Note 25 4 3 4" xfId="30499"/>
    <cellStyle name="Note 25 4 3_Table 2A-1_EFT (Annual)" xfId="15680"/>
    <cellStyle name="Note 25 4 4" xfId="10446"/>
    <cellStyle name="Note 25 4 4 2" xfId="22562"/>
    <cellStyle name="Note 25 4 4 2 2" xfId="43748"/>
    <cellStyle name="Note 25 4 4 3" xfId="33144"/>
    <cellStyle name="Note 25 4 5" xfId="17449"/>
    <cellStyle name="Note 25 4 5 2" xfId="38636"/>
    <cellStyle name="Note 25 4 6" xfId="27756"/>
    <cellStyle name="Note 25 4_Table 2A-1_EFT (Annual)" xfId="7355"/>
    <cellStyle name="Note 25 5" xfId="832"/>
    <cellStyle name="Note 25 5 2" xfId="4393"/>
    <cellStyle name="Note 25 5 2 2" xfId="12667"/>
    <cellStyle name="Note 25 5 2 2 2" xfId="24684"/>
    <cellStyle name="Note 25 5 2 2 2 2" xfId="45870"/>
    <cellStyle name="Note 25 5 2 2 3" xfId="35266"/>
    <cellStyle name="Note 25 5 2 3" xfId="19571"/>
    <cellStyle name="Note 25 5 2 3 2" xfId="40758"/>
    <cellStyle name="Note 25 5 2 4" xfId="30050"/>
    <cellStyle name="Note 25 5 2_Table 2A-1_EFT (Annual)" xfId="15681"/>
    <cellStyle name="Note 25 5 3" xfId="10016"/>
    <cellStyle name="Note 25 5 3 2" xfId="22138"/>
    <cellStyle name="Note 25 5 3 2 2" xfId="43324"/>
    <cellStyle name="Note 25 5 3 3" xfId="32720"/>
    <cellStyle name="Note 25 5 4" xfId="17025"/>
    <cellStyle name="Note 25 5 4 2" xfId="38212"/>
    <cellStyle name="Note 25 5 5" xfId="27307"/>
    <cellStyle name="Note 25 5_Table 2A-1_EFT (Annual)" xfId="7357"/>
    <cellStyle name="Note 25 6" xfId="2020"/>
    <cellStyle name="Note 25 6 2" xfId="5581"/>
    <cellStyle name="Note 25 6 2 2" xfId="13796"/>
    <cellStyle name="Note 25 6 2 2 2" xfId="25784"/>
    <cellStyle name="Note 25 6 2 2 2 2" xfId="46970"/>
    <cellStyle name="Note 25 6 2 2 3" xfId="36366"/>
    <cellStyle name="Note 25 6 2 3" xfId="20671"/>
    <cellStyle name="Note 25 6 2 3 2" xfId="41858"/>
    <cellStyle name="Note 25 6 2 4" xfId="31238"/>
    <cellStyle name="Note 25 6 2_Table 2A-1_EFT (Annual)" xfId="15682"/>
    <cellStyle name="Note 25 6 3" xfId="11140"/>
    <cellStyle name="Note 25 6 3 2" xfId="23238"/>
    <cellStyle name="Note 25 6 3 2 2" xfId="44424"/>
    <cellStyle name="Note 25 6 3 3" xfId="33820"/>
    <cellStyle name="Note 25 6 4" xfId="18125"/>
    <cellStyle name="Note 25 6 4 2" xfId="39312"/>
    <cellStyle name="Note 25 6 5" xfId="28495"/>
    <cellStyle name="Note 25 6_Table 2A-1_EFT (Annual)" xfId="7358"/>
    <cellStyle name="Note 25 7" xfId="3828"/>
    <cellStyle name="Note 25 7 2" xfId="12191"/>
    <cellStyle name="Note 25 7 2 2" xfId="24220"/>
    <cellStyle name="Note 25 7 2 2 2" xfId="45406"/>
    <cellStyle name="Note 25 7 2 3" xfId="34802"/>
    <cellStyle name="Note 25 7 3" xfId="19107"/>
    <cellStyle name="Note 25 7 3 2" xfId="40294"/>
    <cellStyle name="Note 25 7 4" xfId="29537"/>
    <cellStyle name="Note 25 7_Table 2A-1_EFT (Annual)" xfId="15683"/>
    <cellStyle name="Note 25 8" xfId="9510"/>
    <cellStyle name="Note 25 8 2" xfId="21674"/>
    <cellStyle name="Note 25 8 2 2" xfId="42860"/>
    <cellStyle name="Note 25 8 3" xfId="32256"/>
    <cellStyle name="Note 25 9" xfId="16561"/>
    <cellStyle name="Note 25 9 2" xfId="37748"/>
    <cellStyle name="Note 25_Table 2A-1_EFT (Annual)" xfId="3273"/>
    <cellStyle name="Note 26" xfId="207"/>
    <cellStyle name="Note 26 10" xfId="26762"/>
    <cellStyle name="Note 26 2" xfId="600"/>
    <cellStyle name="Note 26 2 2" xfId="1577"/>
    <cellStyle name="Note 26 2 2 2" xfId="2847"/>
    <cellStyle name="Note 26 2 2 2 2" xfId="6408"/>
    <cellStyle name="Note 26 2 2 2 2 2" xfId="14602"/>
    <cellStyle name="Note 26 2 2 2 2 2 2" xfId="26574"/>
    <cellStyle name="Note 26 2 2 2 2 2 2 2" xfId="47760"/>
    <cellStyle name="Note 26 2 2 2 2 2 3" xfId="37156"/>
    <cellStyle name="Note 26 2 2 2 2 3" xfId="21461"/>
    <cellStyle name="Note 26 2 2 2 2 3 2" xfId="42648"/>
    <cellStyle name="Note 26 2 2 2 2 4" xfId="32064"/>
    <cellStyle name="Note 26 2 2 2 2_Table 2A-1_EFT (Annual)" xfId="15684"/>
    <cellStyle name="Note 26 2 2 2 3" xfId="11944"/>
    <cellStyle name="Note 26 2 2 2 3 2" xfId="24028"/>
    <cellStyle name="Note 26 2 2 2 3 2 2" xfId="45214"/>
    <cellStyle name="Note 26 2 2 2 3 3" xfId="34610"/>
    <cellStyle name="Note 26 2 2 2 4" xfId="18915"/>
    <cellStyle name="Note 26 2 2 2 4 2" xfId="40102"/>
    <cellStyle name="Note 26 2 2 2 5" xfId="29321"/>
    <cellStyle name="Note 26 2 2 2_Table 2A-1_EFT (Annual)" xfId="7360"/>
    <cellStyle name="Note 26 2 2 3" xfId="5138"/>
    <cellStyle name="Note 26 2 2 3 2" xfId="13398"/>
    <cellStyle name="Note 26 2 2 3 2 2" xfId="25404"/>
    <cellStyle name="Note 26 2 2 3 2 2 2" xfId="46590"/>
    <cellStyle name="Note 26 2 2 3 2 3" xfId="35986"/>
    <cellStyle name="Note 26 2 2 3 3" xfId="20291"/>
    <cellStyle name="Note 26 2 2 3 3 2" xfId="41478"/>
    <cellStyle name="Note 26 2 2 3 4" xfId="30795"/>
    <cellStyle name="Note 26 2 2 3_Table 2A-1_EFT (Annual)" xfId="15685"/>
    <cellStyle name="Note 26 2 2 4" xfId="10742"/>
    <cellStyle name="Note 26 2 2 4 2" xfId="22858"/>
    <cellStyle name="Note 26 2 2 4 2 2" xfId="44044"/>
    <cellStyle name="Note 26 2 2 4 3" xfId="33440"/>
    <cellStyle name="Note 26 2 2 5" xfId="17745"/>
    <cellStyle name="Note 26 2 2 5 2" xfId="38932"/>
    <cellStyle name="Note 26 2 2 6" xfId="28052"/>
    <cellStyle name="Note 26 2 2_Table 2A-1_EFT (Annual)" xfId="7359"/>
    <cellStyle name="Note 26 2 3" xfId="1097"/>
    <cellStyle name="Note 26 2 3 2" xfId="4658"/>
    <cellStyle name="Note 26 2 3 2 2" xfId="12918"/>
    <cellStyle name="Note 26 2 3 2 2 2" xfId="24924"/>
    <cellStyle name="Note 26 2 3 2 2 2 2" xfId="46110"/>
    <cellStyle name="Note 26 2 3 2 2 3" xfId="35506"/>
    <cellStyle name="Note 26 2 3 2 3" xfId="19811"/>
    <cellStyle name="Note 26 2 3 2 3 2" xfId="40998"/>
    <cellStyle name="Note 26 2 3 2 4" xfId="30315"/>
    <cellStyle name="Note 26 2 3 2_Table 2A-1_EFT (Annual)" xfId="15686"/>
    <cellStyle name="Note 26 2 3 3" xfId="10262"/>
    <cellStyle name="Note 26 2 3 3 2" xfId="22378"/>
    <cellStyle name="Note 26 2 3 3 2 2" xfId="43564"/>
    <cellStyle name="Note 26 2 3 3 3" xfId="32960"/>
    <cellStyle name="Note 26 2 3 4" xfId="17265"/>
    <cellStyle name="Note 26 2 3 4 2" xfId="38452"/>
    <cellStyle name="Note 26 2 3 5" xfId="27572"/>
    <cellStyle name="Note 26 2 3_Table 2A-1_EFT (Annual)" xfId="7361"/>
    <cellStyle name="Note 26 2 4" xfId="2316"/>
    <cellStyle name="Note 26 2 4 2" xfId="5877"/>
    <cellStyle name="Note 26 2 4 2 2" xfId="14092"/>
    <cellStyle name="Note 26 2 4 2 2 2" xfId="26080"/>
    <cellStyle name="Note 26 2 4 2 2 2 2" xfId="47266"/>
    <cellStyle name="Note 26 2 4 2 2 3" xfId="36662"/>
    <cellStyle name="Note 26 2 4 2 3" xfId="20967"/>
    <cellStyle name="Note 26 2 4 2 3 2" xfId="42154"/>
    <cellStyle name="Note 26 2 4 2 4" xfId="31534"/>
    <cellStyle name="Note 26 2 4 2_Table 2A-1_EFT (Annual)" xfId="15687"/>
    <cellStyle name="Note 26 2 4 3" xfId="11436"/>
    <cellStyle name="Note 26 2 4 3 2" xfId="23534"/>
    <cellStyle name="Note 26 2 4 3 2 2" xfId="44720"/>
    <cellStyle name="Note 26 2 4 3 3" xfId="34116"/>
    <cellStyle name="Note 26 2 4 4" xfId="18421"/>
    <cellStyle name="Note 26 2 4 4 2" xfId="39608"/>
    <cellStyle name="Note 26 2 4 5" xfId="28791"/>
    <cellStyle name="Note 26 2 4_Table 2A-1_EFT (Annual)" xfId="7362"/>
    <cellStyle name="Note 26 2 5" xfId="4170"/>
    <cellStyle name="Note 26 2 5 2" xfId="12494"/>
    <cellStyle name="Note 26 2 5 2 2" xfId="24516"/>
    <cellStyle name="Note 26 2 5 2 2 2" xfId="45702"/>
    <cellStyle name="Note 26 2 5 2 3" xfId="35098"/>
    <cellStyle name="Note 26 2 5 3" xfId="19403"/>
    <cellStyle name="Note 26 2 5 3 2" xfId="40590"/>
    <cellStyle name="Note 26 2 5 4" xfId="29858"/>
    <cellStyle name="Note 26 2 5_Table 2A-1_EFT (Annual)" xfId="15688"/>
    <cellStyle name="Note 26 2 6" xfId="9833"/>
    <cellStyle name="Note 26 2 6 2" xfId="21970"/>
    <cellStyle name="Note 26 2 6 2 2" xfId="43156"/>
    <cellStyle name="Note 26 2 6 3" xfId="32552"/>
    <cellStyle name="Note 26 2 7" xfId="16857"/>
    <cellStyle name="Note 26 2 7 2" xfId="38044"/>
    <cellStyle name="Note 26 2 8" xfId="27115"/>
    <cellStyle name="Note 26 2_Table 2A-1_EFT (Annual)" xfId="3277"/>
    <cellStyle name="Note 26 3" xfId="435"/>
    <cellStyle name="Note 26 3 2" xfId="1418"/>
    <cellStyle name="Note 26 3 2 2" xfId="2688"/>
    <cellStyle name="Note 26 3 2 2 2" xfId="6249"/>
    <cellStyle name="Note 26 3 2 2 2 2" xfId="14443"/>
    <cellStyle name="Note 26 3 2 2 2 2 2" xfId="26415"/>
    <cellStyle name="Note 26 3 2 2 2 2 2 2" xfId="47601"/>
    <cellStyle name="Note 26 3 2 2 2 2 3" xfId="36997"/>
    <cellStyle name="Note 26 3 2 2 2 3" xfId="21302"/>
    <cellStyle name="Note 26 3 2 2 2 3 2" xfId="42489"/>
    <cellStyle name="Note 26 3 2 2 2 4" xfId="31905"/>
    <cellStyle name="Note 26 3 2 2 2_Table 2A-1_EFT (Annual)" xfId="15689"/>
    <cellStyle name="Note 26 3 2 2 3" xfId="11785"/>
    <cellStyle name="Note 26 3 2 2 3 2" xfId="23869"/>
    <cellStyle name="Note 26 3 2 2 3 2 2" xfId="45055"/>
    <cellStyle name="Note 26 3 2 2 3 3" xfId="34451"/>
    <cellStyle name="Note 26 3 2 2 4" xfId="18756"/>
    <cellStyle name="Note 26 3 2 2 4 2" xfId="39943"/>
    <cellStyle name="Note 26 3 2 2 5" xfId="29162"/>
    <cellStyle name="Note 26 3 2 2_Table 2A-1_EFT (Annual)" xfId="7364"/>
    <cellStyle name="Note 26 3 2 3" xfId="4979"/>
    <cellStyle name="Note 26 3 2 3 2" xfId="13239"/>
    <cellStyle name="Note 26 3 2 3 2 2" xfId="25245"/>
    <cellStyle name="Note 26 3 2 3 2 2 2" xfId="46431"/>
    <cellStyle name="Note 26 3 2 3 2 3" xfId="35827"/>
    <cellStyle name="Note 26 3 2 3 3" xfId="20132"/>
    <cellStyle name="Note 26 3 2 3 3 2" xfId="41319"/>
    <cellStyle name="Note 26 3 2 3 4" xfId="30636"/>
    <cellStyle name="Note 26 3 2 3_Table 2A-1_EFT (Annual)" xfId="15690"/>
    <cellStyle name="Note 26 3 2 4" xfId="10583"/>
    <cellStyle name="Note 26 3 2 4 2" xfId="22699"/>
    <cellStyle name="Note 26 3 2 4 2 2" xfId="43885"/>
    <cellStyle name="Note 26 3 2 4 3" xfId="33281"/>
    <cellStyle name="Note 26 3 2 5" xfId="17586"/>
    <cellStyle name="Note 26 3 2 5 2" xfId="38773"/>
    <cellStyle name="Note 26 3 2 6" xfId="27893"/>
    <cellStyle name="Note 26 3 2_Table 2A-1_EFT (Annual)" xfId="7363"/>
    <cellStyle name="Note 26 3 3" xfId="962"/>
    <cellStyle name="Note 26 3 3 2" xfId="4523"/>
    <cellStyle name="Note 26 3 3 2 2" xfId="12785"/>
    <cellStyle name="Note 26 3 3 2 2 2" xfId="24795"/>
    <cellStyle name="Note 26 3 3 2 2 2 2" xfId="45981"/>
    <cellStyle name="Note 26 3 3 2 2 3" xfId="35377"/>
    <cellStyle name="Note 26 3 3 2 3" xfId="19682"/>
    <cellStyle name="Note 26 3 3 2 3 2" xfId="40869"/>
    <cellStyle name="Note 26 3 3 2 4" xfId="30180"/>
    <cellStyle name="Note 26 3 3 2_Table 2A-1_EFT (Annual)" xfId="15691"/>
    <cellStyle name="Note 26 3 3 3" xfId="10132"/>
    <cellStyle name="Note 26 3 3 3 2" xfId="22249"/>
    <cellStyle name="Note 26 3 3 3 2 2" xfId="43435"/>
    <cellStyle name="Note 26 3 3 3 3" xfId="32831"/>
    <cellStyle name="Note 26 3 3 4" xfId="17136"/>
    <cellStyle name="Note 26 3 3 4 2" xfId="38323"/>
    <cellStyle name="Note 26 3 3 5" xfId="27437"/>
    <cellStyle name="Note 26 3 3_Table 2A-1_EFT (Annual)" xfId="7365"/>
    <cellStyle name="Note 26 3 4" xfId="2157"/>
    <cellStyle name="Note 26 3 4 2" xfId="5718"/>
    <cellStyle name="Note 26 3 4 2 2" xfId="13933"/>
    <cellStyle name="Note 26 3 4 2 2 2" xfId="25921"/>
    <cellStyle name="Note 26 3 4 2 2 2 2" xfId="47107"/>
    <cellStyle name="Note 26 3 4 2 2 3" xfId="36503"/>
    <cellStyle name="Note 26 3 4 2 3" xfId="20808"/>
    <cellStyle name="Note 26 3 4 2 3 2" xfId="41995"/>
    <cellStyle name="Note 26 3 4 2 4" xfId="31375"/>
    <cellStyle name="Note 26 3 4 2_Table 2A-1_EFT (Annual)" xfId="15692"/>
    <cellStyle name="Note 26 3 4 3" xfId="11277"/>
    <cellStyle name="Note 26 3 4 3 2" xfId="23375"/>
    <cellStyle name="Note 26 3 4 3 2 2" xfId="44561"/>
    <cellStyle name="Note 26 3 4 3 3" xfId="33957"/>
    <cellStyle name="Note 26 3 4 4" xfId="18262"/>
    <cellStyle name="Note 26 3 4 4 2" xfId="39449"/>
    <cellStyle name="Note 26 3 4 5" xfId="28632"/>
    <cellStyle name="Note 26 3 4_Table 2A-1_EFT (Annual)" xfId="7366"/>
    <cellStyle name="Note 26 3 5" xfId="4005"/>
    <cellStyle name="Note 26 3 5 2" xfId="12333"/>
    <cellStyle name="Note 26 3 5 2 2" xfId="24357"/>
    <cellStyle name="Note 26 3 5 2 2 2" xfId="45543"/>
    <cellStyle name="Note 26 3 5 2 3" xfId="34939"/>
    <cellStyle name="Note 26 3 5 3" xfId="19244"/>
    <cellStyle name="Note 26 3 5 3 2" xfId="40431"/>
    <cellStyle name="Note 26 3 5 4" xfId="29693"/>
    <cellStyle name="Note 26 3 5_Table 2A-1_EFT (Annual)" xfId="15693"/>
    <cellStyle name="Note 26 3 6" xfId="9670"/>
    <cellStyle name="Note 26 3 6 2" xfId="21811"/>
    <cellStyle name="Note 26 3 6 2 2" xfId="42997"/>
    <cellStyle name="Note 26 3 6 3" xfId="32393"/>
    <cellStyle name="Note 26 3 7" xfId="16698"/>
    <cellStyle name="Note 26 3 7 2" xfId="37885"/>
    <cellStyle name="Note 26 3 8" xfId="26950"/>
    <cellStyle name="Note 26 3_Table 2A-1_EFT (Annual)" xfId="3278"/>
    <cellStyle name="Note 26 4" xfId="1255"/>
    <cellStyle name="Note 26 4 2" xfId="2525"/>
    <cellStyle name="Note 26 4 2 2" xfId="6086"/>
    <cellStyle name="Note 26 4 2 2 2" xfId="14280"/>
    <cellStyle name="Note 26 4 2 2 2 2" xfId="26252"/>
    <cellStyle name="Note 26 4 2 2 2 2 2" xfId="47438"/>
    <cellStyle name="Note 26 4 2 2 2 3" xfId="36834"/>
    <cellStyle name="Note 26 4 2 2 3" xfId="21139"/>
    <cellStyle name="Note 26 4 2 2 3 2" xfId="42326"/>
    <cellStyle name="Note 26 4 2 2 4" xfId="31742"/>
    <cellStyle name="Note 26 4 2 2_Table 2A-1_EFT (Annual)" xfId="15694"/>
    <cellStyle name="Note 26 4 2 3" xfId="11622"/>
    <cellStyle name="Note 26 4 2 3 2" xfId="23706"/>
    <cellStyle name="Note 26 4 2 3 2 2" xfId="44892"/>
    <cellStyle name="Note 26 4 2 3 3" xfId="34288"/>
    <cellStyle name="Note 26 4 2 4" xfId="18593"/>
    <cellStyle name="Note 26 4 2 4 2" xfId="39780"/>
    <cellStyle name="Note 26 4 2 5" xfId="28999"/>
    <cellStyle name="Note 26 4 2_Table 2A-1_EFT (Annual)" xfId="7368"/>
    <cellStyle name="Note 26 4 3" xfId="4816"/>
    <cellStyle name="Note 26 4 3 2" xfId="13076"/>
    <cellStyle name="Note 26 4 3 2 2" xfId="25082"/>
    <cellStyle name="Note 26 4 3 2 2 2" xfId="46268"/>
    <cellStyle name="Note 26 4 3 2 3" xfId="35664"/>
    <cellStyle name="Note 26 4 3 3" xfId="19969"/>
    <cellStyle name="Note 26 4 3 3 2" xfId="41156"/>
    <cellStyle name="Note 26 4 3 4" xfId="30473"/>
    <cellStyle name="Note 26 4 3_Table 2A-1_EFT (Annual)" xfId="15695"/>
    <cellStyle name="Note 26 4 4" xfId="10420"/>
    <cellStyle name="Note 26 4 4 2" xfId="22536"/>
    <cellStyle name="Note 26 4 4 2 2" xfId="43722"/>
    <cellStyle name="Note 26 4 4 3" xfId="33118"/>
    <cellStyle name="Note 26 4 5" xfId="17423"/>
    <cellStyle name="Note 26 4 5 2" xfId="38610"/>
    <cellStyle name="Note 26 4 6" xfId="27730"/>
    <cellStyle name="Note 26 4_Table 2A-1_EFT (Annual)" xfId="7367"/>
    <cellStyle name="Note 26 5" xfId="806"/>
    <cellStyle name="Note 26 5 2" xfId="4367"/>
    <cellStyle name="Note 26 5 2 2" xfId="12647"/>
    <cellStyle name="Note 26 5 2 2 2" xfId="24664"/>
    <cellStyle name="Note 26 5 2 2 2 2" xfId="45850"/>
    <cellStyle name="Note 26 5 2 2 3" xfId="35246"/>
    <cellStyle name="Note 26 5 2 3" xfId="19551"/>
    <cellStyle name="Note 26 5 2 3 2" xfId="40738"/>
    <cellStyle name="Note 26 5 2 4" xfId="30024"/>
    <cellStyle name="Note 26 5 2_Table 2A-1_EFT (Annual)" xfId="15696"/>
    <cellStyle name="Note 26 5 3" xfId="9995"/>
    <cellStyle name="Note 26 5 3 2" xfId="22118"/>
    <cellStyle name="Note 26 5 3 2 2" xfId="43304"/>
    <cellStyle name="Note 26 5 3 3" xfId="32700"/>
    <cellStyle name="Note 26 5 4" xfId="17005"/>
    <cellStyle name="Note 26 5 4 2" xfId="38192"/>
    <cellStyle name="Note 26 5 5" xfId="27281"/>
    <cellStyle name="Note 26 5_Table 2A-1_EFT (Annual)" xfId="7369"/>
    <cellStyle name="Note 26 6" xfId="1994"/>
    <cellStyle name="Note 26 6 2" xfId="5555"/>
    <cellStyle name="Note 26 6 2 2" xfId="13770"/>
    <cellStyle name="Note 26 6 2 2 2" xfId="25758"/>
    <cellStyle name="Note 26 6 2 2 2 2" xfId="46944"/>
    <cellStyle name="Note 26 6 2 2 3" xfId="36340"/>
    <cellStyle name="Note 26 6 2 3" xfId="20645"/>
    <cellStyle name="Note 26 6 2 3 2" xfId="41832"/>
    <cellStyle name="Note 26 6 2 4" xfId="31212"/>
    <cellStyle name="Note 26 6 2_Table 2A-1_EFT (Annual)" xfId="15697"/>
    <cellStyle name="Note 26 6 3" xfId="11114"/>
    <cellStyle name="Note 26 6 3 2" xfId="23212"/>
    <cellStyle name="Note 26 6 3 2 2" xfId="44398"/>
    <cellStyle name="Note 26 6 3 3" xfId="33794"/>
    <cellStyle name="Note 26 6 4" xfId="18099"/>
    <cellStyle name="Note 26 6 4 2" xfId="39286"/>
    <cellStyle name="Note 26 6 5" xfId="28469"/>
    <cellStyle name="Note 26 6_Table 2A-1_EFT (Annual)" xfId="7370"/>
    <cellStyle name="Note 26 7" xfId="3796"/>
    <cellStyle name="Note 26 7 2" xfId="12164"/>
    <cellStyle name="Note 26 7 2 2" xfId="24194"/>
    <cellStyle name="Note 26 7 2 2 2" xfId="45380"/>
    <cellStyle name="Note 26 7 2 3" xfId="34776"/>
    <cellStyle name="Note 26 7 3" xfId="19081"/>
    <cellStyle name="Note 26 7 3 2" xfId="40268"/>
    <cellStyle name="Note 26 7 4" xfId="29505"/>
    <cellStyle name="Note 26 7_Table 2A-1_EFT (Annual)" xfId="15698"/>
    <cellStyle name="Note 26 8" xfId="9483"/>
    <cellStyle name="Note 26 8 2" xfId="21648"/>
    <cellStyle name="Note 26 8 2 2" xfId="42834"/>
    <cellStyle name="Note 26 8 3" xfId="32230"/>
    <cellStyle name="Note 26 9" xfId="16535"/>
    <cellStyle name="Note 26 9 2" xfId="37722"/>
    <cellStyle name="Note 26_Table 2A-1_EFT (Annual)" xfId="3276"/>
    <cellStyle name="Note 27" xfId="197"/>
    <cellStyle name="Note 27 10" xfId="26752"/>
    <cellStyle name="Note 27 2" xfId="590"/>
    <cellStyle name="Note 27 2 2" xfId="1567"/>
    <cellStyle name="Note 27 2 2 2" xfId="2837"/>
    <cellStyle name="Note 27 2 2 2 2" xfId="6398"/>
    <cellStyle name="Note 27 2 2 2 2 2" xfId="14592"/>
    <cellStyle name="Note 27 2 2 2 2 2 2" xfId="26564"/>
    <cellStyle name="Note 27 2 2 2 2 2 2 2" xfId="47750"/>
    <cellStyle name="Note 27 2 2 2 2 2 3" xfId="37146"/>
    <cellStyle name="Note 27 2 2 2 2 3" xfId="21451"/>
    <cellStyle name="Note 27 2 2 2 2 3 2" xfId="42638"/>
    <cellStyle name="Note 27 2 2 2 2 4" xfId="32054"/>
    <cellStyle name="Note 27 2 2 2 2_Table 2A-1_EFT (Annual)" xfId="15699"/>
    <cellStyle name="Note 27 2 2 2 3" xfId="11934"/>
    <cellStyle name="Note 27 2 2 2 3 2" xfId="24018"/>
    <cellStyle name="Note 27 2 2 2 3 2 2" xfId="45204"/>
    <cellStyle name="Note 27 2 2 2 3 3" xfId="34600"/>
    <cellStyle name="Note 27 2 2 2 4" xfId="18905"/>
    <cellStyle name="Note 27 2 2 2 4 2" xfId="40092"/>
    <cellStyle name="Note 27 2 2 2 5" xfId="29311"/>
    <cellStyle name="Note 27 2 2 2_Table 2A-1_EFT (Annual)" xfId="7372"/>
    <cellStyle name="Note 27 2 2 3" xfId="5128"/>
    <cellStyle name="Note 27 2 2 3 2" xfId="13388"/>
    <cellStyle name="Note 27 2 2 3 2 2" xfId="25394"/>
    <cellStyle name="Note 27 2 2 3 2 2 2" xfId="46580"/>
    <cellStyle name="Note 27 2 2 3 2 3" xfId="35976"/>
    <cellStyle name="Note 27 2 2 3 3" xfId="20281"/>
    <cellStyle name="Note 27 2 2 3 3 2" xfId="41468"/>
    <cellStyle name="Note 27 2 2 3 4" xfId="30785"/>
    <cellStyle name="Note 27 2 2 3_Table 2A-1_EFT (Annual)" xfId="15700"/>
    <cellStyle name="Note 27 2 2 4" xfId="10732"/>
    <cellStyle name="Note 27 2 2 4 2" xfId="22848"/>
    <cellStyle name="Note 27 2 2 4 2 2" xfId="44034"/>
    <cellStyle name="Note 27 2 2 4 3" xfId="33430"/>
    <cellStyle name="Note 27 2 2 5" xfId="17735"/>
    <cellStyle name="Note 27 2 2 5 2" xfId="38922"/>
    <cellStyle name="Note 27 2 2 6" xfId="28042"/>
    <cellStyle name="Note 27 2 2_Table 2A-1_EFT (Annual)" xfId="7371"/>
    <cellStyle name="Note 27 2 3" xfId="1088"/>
    <cellStyle name="Note 27 2 3 2" xfId="4649"/>
    <cellStyle name="Note 27 2 3 2 2" xfId="12909"/>
    <cellStyle name="Note 27 2 3 2 2 2" xfId="24915"/>
    <cellStyle name="Note 27 2 3 2 2 2 2" xfId="46101"/>
    <cellStyle name="Note 27 2 3 2 2 3" xfId="35497"/>
    <cellStyle name="Note 27 2 3 2 3" xfId="19802"/>
    <cellStyle name="Note 27 2 3 2 3 2" xfId="40989"/>
    <cellStyle name="Note 27 2 3 2 4" xfId="30306"/>
    <cellStyle name="Note 27 2 3 2_Table 2A-1_EFT (Annual)" xfId="15701"/>
    <cellStyle name="Note 27 2 3 3" xfId="10253"/>
    <cellStyle name="Note 27 2 3 3 2" xfId="22369"/>
    <cellStyle name="Note 27 2 3 3 2 2" xfId="43555"/>
    <cellStyle name="Note 27 2 3 3 3" xfId="32951"/>
    <cellStyle name="Note 27 2 3 4" xfId="17256"/>
    <cellStyle name="Note 27 2 3 4 2" xfId="38443"/>
    <cellStyle name="Note 27 2 3 5" xfId="27563"/>
    <cellStyle name="Note 27 2 3_Table 2A-1_EFT (Annual)" xfId="7373"/>
    <cellStyle name="Note 27 2 4" xfId="2306"/>
    <cellStyle name="Note 27 2 4 2" xfId="5867"/>
    <cellStyle name="Note 27 2 4 2 2" xfId="14082"/>
    <cellStyle name="Note 27 2 4 2 2 2" xfId="26070"/>
    <cellStyle name="Note 27 2 4 2 2 2 2" xfId="47256"/>
    <cellStyle name="Note 27 2 4 2 2 3" xfId="36652"/>
    <cellStyle name="Note 27 2 4 2 3" xfId="20957"/>
    <cellStyle name="Note 27 2 4 2 3 2" xfId="42144"/>
    <cellStyle name="Note 27 2 4 2 4" xfId="31524"/>
    <cellStyle name="Note 27 2 4 2_Table 2A-1_EFT (Annual)" xfId="15702"/>
    <cellStyle name="Note 27 2 4 3" xfId="11426"/>
    <cellStyle name="Note 27 2 4 3 2" xfId="23524"/>
    <cellStyle name="Note 27 2 4 3 2 2" xfId="44710"/>
    <cellStyle name="Note 27 2 4 3 3" xfId="34106"/>
    <cellStyle name="Note 27 2 4 4" xfId="18411"/>
    <cellStyle name="Note 27 2 4 4 2" xfId="39598"/>
    <cellStyle name="Note 27 2 4 5" xfId="28781"/>
    <cellStyle name="Note 27 2 4_Table 2A-1_EFT (Annual)" xfId="7374"/>
    <cellStyle name="Note 27 2 5" xfId="4160"/>
    <cellStyle name="Note 27 2 5 2" xfId="12484"/>
    <cellStyle name="Note 27 2 5 2 2" xfId="24506"/>
    <cellStyle name="Note 27 2 5 2 2 2" xfId="45692"/>
    <cellStyle name="Note 27 2 5 2 3" xfId="35088"/>
    <cellStyle name="Note 27 2 5 3" xfId="19393"/>
    <cellStyle name="Note 27 2 5 3 2" xfId="40580"/>
    <cellStyle name="Note 27 2 5 4" xfId="29848"/>
    <cellStyle name="Note 27 2 5_Table 2A-1_EFT (Annual)" xfId="15703"/>
    <cellStyle name="Note 27 2 6" xfId="9823"/>
    <cellStyle name="Note 27 2 6 2" xfId="21960"/>
    <cellStyle name="Note 27 2 6 2 2" xfId="43146"/>
    <cellStyle name="Note 27 2 6 3" xfId="32542"/>
    <cellStyle name="Note 27 2 7" xfId="16847"/>
    <cellStyle name="Note 27 2 7 2" xfId="38034"/>
    <cellStyle name="Note 27 2 8" xfId="27105"/>
    <cellStyle name="Note 27 2_Table 2A-1_EFT (Annual)" xfId="3280"/>
    <cellStyle name="Note 27 3" xfId="426"/>
    <cellStyle name="Note 27 3 2" xfId="1409"/>
    <cellStyle name="Note 27 3 2 2" xfId="2679"/>
    <cellStyle name="Note 27 3 2 2 2" xfId="6240"/>
    <cellStyle name="Note 27 3 2 2 2 2" xfId="14434"/>
    <cellStyle name="Note 27 3 2 2 2 2 2" xfId="26406"/>
    <cellStyle name="Note 27 3 2 2 2 2 2 2" xfId="47592"/>
    <cellStyle name="Note 27 3 2 2 2 2 3" xfId="36988"/>
    <cellStyle name="Note 27 3 2 2 2 3" xfId="21293"/>
    <cellStyle name="Note 27 3 2 2 2 3 2" xfId="42480"/>
    <cellStyle name="Note 27 3 2 2 2 4" xfId="31896"/>
    <cellStyle name="Note 27 3 2 2 2_Table 2A-1_EFT (Annual)" xfId="15704"/>
    <cellStyle name="Note 27 3 2 2 3" xfId="11776"/>
    <cellStyle name="Note 27 3 2 2 3 2" xfId="23860"/>
    <cellStyle name="Note 27 3 2 2 3 2 2" xfId="45046"/>
    <cellStyle name="Note 27 3 2 2 3 3" xfId="34442"/>
    <cellStyle name="Note 27 3 2 2 4" xfId="18747"/>
    <cellStyle name="Note 27 3 2 2 4 2" xfId="39934"/>
    <cellStyle name="Note 27 3 2 2 5" xfId="29153"/>
    <cellStyle name="Note 27 3 2 2_Table 2A-1_EFT (Annual)" xfId="7376"/>
    <cellStyle name="Note 27 3 2 3" xfId="4970"/>
    <cellStyle name="Note 27 3 2 3 2" xfId="13230"/>
    <cellStyle name="Note 27 3 2 3 2 2" xfId="25236"/>
    <cellStyle name="Note 27 3 2 3 2 2 2" xfId="46422"/>
    <cellStyle name="Note 27 3 2 3 2 3" xfId="35818"/>
    <cellStyle name="Note 27 3 2 3 3" xfId="20123"/>
    <cellStyle name="Note 27 3 2 3 3 2" xfId="41310"/>
    <cellStyle name="Note 27 3 2 3 4" xfId="30627"/>
    <cellStyle name="Note 27 3 2 3_Table 2A-1_EFT (Annual)" xfId="15705"/>
    <cellStyle name="Note 27 3 2 4" xfId="10574"/>
    <cellStyle name="Note 27 3 2 4 2" xfId="22690"/>
    <cellStyle name="Note 27 3 2 4 2 2" xfId="43876"/>
    <cellStyle name="Note 27 3 2 4 3" xfId="33272"/>
    <cellStyle name="Note 27 3 2 5" xfId="17577"/>
    <cellStyle name="Note 27 3 2 5 2" xfId="38764"/>
    <cellStyle name="Note 27 3 2 6" xfId="27884"/>
    <cellStyle name="Note 27 3 2_Table 2A-1_EFT (Annual)" xfId="7375"/>
    <cellStyle name="Note 27 3 3" xfId="954"/>
    <cellStyle name="Note 27 3 3 2" xfId="4515"/>
    <cellStyle name="Note 27 3 3 2 2" xfId="12777"/>
    <cellStyle name="Note 27 3 3 2 2 2" xfId="24787"/>
    <cellStyle name="Note 27 3 3 2 2 2 2" xfId="45973"/>
    <cellStyle name="Note 27 3 3 2 2 3" xfId="35369"/>
    <cellStyle name="Note 27 3 3 2 3" xfId="19674"/>
    <cellStyle name="Note 27 3 3 2 3 2" xfId="40861"/>
    <cellStyle name="Note 27 3 3 2 4" xfId="30172"/>
    <cellStyle name="Note 27 3 3 2_Table 2A-1_EFT (Annual)" xfId="15706"/>
    <cellStyle name="Note 27 3 3 3" xfId="10124"/>
    <cellStyle name="Note 27 3 3 3 2" xfId="22241"/>
    <cellStyle name="Note 27 3 3 3 2 2" xfId="43427"/>
    <cellStyle name="Note 27 3 3 3 3" xfId="32823"/>
    <cellStyle name="Note 27 3 3 4" xfId="17128"/>
    <cellStyle name="Note 27 3 3 4 2" xfId="38315"/>
    <cellStyle name="Note 27 3 3 5" xfId="27429"/>
    <cellStyle name="Note 27 3 3_Table 2A-1_EFT (Annual)" xfId="7377"/>
    <cellStyle name="Note 27 3 4" xfId="2148"/>
    <cellStyle name="Note 27 3 4 2" xfId="5709"/>
    <cellStyle name="Note 27 3 4 2 2" xfId="13924"/>
    <cellStyle name="Note 27 3 4 2 2 2" xfId="25912"/>
    <cellStyle name="Note 27 3 4 2 2 2 2" xfId="47098"/>
    <cellStyle name="Note 27 3 4 2 2 3" xfId="36494"/>
    <cellStyle name="Note 27 3 4 2 3" xfId="20799"/>
    <cellStyle name="Note 27 3 4 2 3 2" xfId="41986"/>
    <cellStyle name="Note 27 3 4 2 4" xfId="31366"/>
    <cellStyle name="Note 27 3 4 2_Table 2A-1_EFT (Annual)" xfId="15707"/>
    <cellStyle name="Note 27 3 4 3" xfId="11268"/>
    <cellStyle name="Note 27 3 4 3 2" xfId="23366"/>
    <cellStyle name="Note 27 3 4 3 2 2" xfId="44552"/>
    <cellStyle name="Note 27 3 4 3 3" xfId="33948"/>
    <cellStyle name="Note 27 3 4 4" xfId="18253"/>
    <cellStyle name="Note 27 3 4 4 2" xfId="39440"/>
    <cellStyle name="Note 27 3 4 5" xfId="28623"/>
    <cellStyle name="Note 27 3 4_Table 2A-1_EFT (Annual)" xfId="7378"/>
    <cellStyle name="Note 27 3 5" xfId="3996"/>
    <cellStyle name="Note 27 3 5 2" xfId="12324"/>
    <cellStyle name="Note 27 3 5 2 2" xfId="24348"/>
    <cellStyle name="Note 27 3 5 2 2 2" xfId="45534"/>
    <cellStyle name="Note 27 3 5 2 3" xfId="34930"/>
    <cellStyle name="Note 27 3 5 3" xfId="19235"/>
    <cellStyle name="Note 27 3 5 3 2" xfId="40422"/>
    <cellStyle name="Note 27 3 5 4" xfId="29684"/>
    <cellStyle name="Note 27 3 5_Table 2A-1_EFT (Annual)" xfId="15708"/>
    <cellStyle name="Note 27 3 6" xfId="9661"/>
    <cellStyle name="Note 27 3 6 2" xfId="21802"/>
    <cellStyle name="Note 27 3 6 2 2" xfId="42988"/>
    <cellStyle name="Note 27 3 6 3" xfId="32384"/>
    <cellStyle name="Note 27 3 7" xfId="16689"/>
    <cellStyle name="Note 27 3 7 2" xfId="37876"/>
    <cellStyle name="Note 27 3 8" xfId="26941"/>
    <cellStyle name="Note 27 3_Table 2A-1_EFT (Annual)" xfId="3281"/>
    <cellStyle name="Note 27 4" xfId="1245"/>
    <cellStyle name="Note 27 4 2" xfId="2515"/>
    <cellStyle name="Note 27 4 2 2" xfId="6076"/>
    <cellStyle name="Note 27 4 2 2 2" xfId="14270"/>
    <cellStyle name="Note 27 4 2 2 2 2" xfId="26242"/>
    <cellStyle name="Note 27 4 2 2 2 2 2" xfId="47428"/>
    <cellStyle name="Note 27 4 2 2 2 3" xfId="36824"/>
    <cellStyle name="Note 27 4 2 2 3" xfId="21129"/>
    <cellStyle name="Note 27 4 2 2 3 2" xfId="42316"/>
    <cellStyle name="Note 27 4 2 2 4" xfId="31732"/>
    <cellStyle name="Note 27 4 2 2_Table 2A-1_EFT (Annual)" xfId="15709"/>
    <cellStyle name="Note 27 4 2 3" xfId="11612"/>
    <cellStyle name="Note 27 4 2 3 2" xfId="23696"/>
    <cellStyle name="Note 27 4 2 3 2 2" xfId="44882"/>
    <cellStyle name="Note 27 4 2 3 3" xfId="34278"/>
    <cellStyle name="Note 27 4 2 4" xfId="18583"/>
    <cellStyle name="Note 27 4 2 4 2" xfId="39770"/>
    <cellStyle name="Note 27 4 2 5" xfId="28989"/>
    <cellStyle name="Note 27 4 2_Table 2A-1_EFT (Annual)" xfId="7380"/>
    <cellStyle name="Note 27 4 3" xfId="4806"/>
    <cellStyle name="Note 27 4 3 2" xfId="13066"/>
    <cellStyle name="Note 27 4 3 2 2" xfId="25072"/>
    <cellStyle name="Note 27 4 3 2 2 2" xfId="46258"/>
    <cellStyle name="Note 27 4 3 2 3" xfId="35654"/>
    <cellStyle name="Note 27 4 3 3" xfId="19959"/>
    <cellStyle name="Note 27 4 3 3 2" xfId="41146"/>
    <cellStyle name="Note 27 4 3 4" xfId="30463"/>
    <cellStyle name="Note 27 4 3_Table 2A-1_EFT (Annual)" xfId="15710"/>
    <cellStyle name="Note 27 4 4" xfId="10410"/>
    <cellStyle name="Note 27 4 4 2" xfId="22526"/>
    <cellStyle name="Note 27 4 4 2 2" xfId="43712"/>
    <cellStyle name="Note 27 4 4 3" xfId="33108"/>
    <cellStyle name="Note 27 4 5" xfId="17413"/>
    <cellStyle name="Note 27 4 5 2" xfId="38600"/>
    <cellStyle name="Note 27 4 6" xfId="27720"/>
    <cellStyle name="Note 27 4_Table 2A-1_EFT (Annual)" xfId="7379"/>
    <cellStyle name="Note 27 5" xfId="797"/>
    <cellStyle name="Note 27 5 2" xfId="4358"/>
    <cellStyle name="Note 27 5 2 2" xfId="12638"/>
    <cellStyle name="Note 27 5 2 2 2" xfId="24655"/>
    <cellStyle name="Note 27 5 2 2 2 2" xfId="45841"/>
    <cellStyle name="Note 27 5 2 2 3" xfId="35237"/>
    <cellStyle name="Note 27 5 2 3" xfId="19542"/>
    <cellStyle name="Note 27 5 2 3 2" xfId="40729"/>
    <cellStyle name="Note 27 5 2 4" xfId="30015"/>
    <cellStyle name="Note 27 5 2_Table 2A-1_EFT (Annual)" xfId="15711"/>
    <cellStyle name="Note 27 5 3" xfId="9986"/>
    <cellStyle name="Note 27 5 3 2" xfId="22109"/>
    <cellStyle name="Note 27 5 3 2 2" xfId="43295"/>
    <cellStyle name="Note 27 5 3 3" xfId="32691"/>
    <cellStyle name="Note 27 5 4" xfId="16996"/>
    <cellStyle name="Note 27 5 4 2" xfId="38183"/>
    <cellStyle name="Note 27 5 5" xfId="27272"/>
    <cellStyle name="Note 27 5_Table 2A-1_EFT (Annual)" xfId="7381"/>
    <cellStyle name="Note 27 6" xfId="1984"/>
    <cellStyle name="Note 27 6 2" xfId="5545"/>
    <cellStyle name="Note 27 6 2 2" xfId="13760"/>
    <cellStyle name="Note 27 6 2 2 2" xfId="25748"/>
    <cellStyle name="Note 27 6 2 2 2 2" xfId="46934"/>
    <cellStyle name="Note 27 6 2 2 3" xfId="36330"/>
    <cellStyle name="Note 27 6 2 3" xfId="20635"/>
    <cellStyle name="Note 27 6 2 3 2" xfId="41822"/>
    <cellStyle name="Note 27 6 2 4" xfId="31202"/>
    <cellStyle name="Note 27 6 2_Table 2A-1_EFT (Annual)" xfId="15712"/>
    <cellStyle name="Note 27 6 3" xfId="11104"/>
    <cellStyle name="Note 27 6 3 2" xfId="23202"/>
    <cellStyle name="Note 27 6 3 2 2" xfId="44388"/>
    <cellStyle name="Note 27 6 3 3" xfId="33784"/>
    <cellStyle name="Note 27 6 4" xfId="18089"/>
    <cellStyle name="Note 27 6 4 2" xfId="39276"/>
    <cellStyle name="Note 27 6 5" xfId="28459"/>
    <cellStyle name="Note 27 6_Table 2A-1_EFT (Annual)" xfId="7382"/>
    <cellStyle name="Note 27 7" xfId="3786"/>
    <cellStyle name="Note 27 7 2" xfId="12154"/>
    <cellStyle name="Note 27 7 2 2" xfId="24184"/>
    <cellStyle name="Note 27 7 2 2 2" xfId="45370"/>
    <cellStyle name="Note 27 7 2 3" xfId="34766"/>
    <cellStyle name="Note 27 7 3" xfId="19071"/>
    <cellStyle name="Note 27 7 3 2" xfId="40258"/>
    <cellStyle name="Note 27 7 4" xfId="29495"/>
    <cellStyle name="Note 27 7_Table 2A-1_EFT (Annual)" xfId="15713"/>
    <cellStyle name="Note 27 8" xfId="9473"/>
    <cellStyle name="Note 27 8 2" xfId="21638"/>
    <cellStyle name="Note 27 8 2 2" xfId="42824"/>
    <cellStyle name="Note 27 8 3" xfId="32220"/>
    <cellStyle name="Note 27 9" xfId="16525"/>
    <cellStyle name="Note 27 9 2" xfId="37712"/>
    <cellStyle name="Note 27_Table 2A-1_EFT (Annual)" xfId="3279"/>
    <cellStyle name="Note 28" xfId="212"/>
    <cellStyle name="Note 28 10" xfId="26767"/>
    <cellStyle name="Note 28 2" xfId="605"/>
    <cellStyle name="Note 28 2 2" xfId="1582"/>
    <cellStyle name="Note 28 2 2 2" xfId="2852"/>
    <cellStyle name="Note 28 2 2 2 2" xfId="6413"/>
    <cellStyle name="Note 28 2 2 2 2 2" xfId="14607"/>
    <cellStyle name="Note 28 2 2 2 2 2 2" xfId="26579"/>
    <cellStyle name="Note 28 2 2 2 2 2 2 2" xfId="47765"/>
    <cellStyle name="Note 28 2 2 2 2 2 3" xfId="37161"/>
    <cellStyle name="Note 28 2 2 2 2 3" xfId="21466"/>
    <cellStyle name="Note 28 2 2 2 2 3 2" xfId="42653"/>
    <cellStyle name="Note 28 2 2 2 2 4" xfId="32069"/>
    <cellStyle name="Note 28 2 2 2 2_Table 2A-1_EFT (Annual)" xfId="15714"/>
    <cellStyle name="Note 28 2 2 2 3" xfId="11949"/>
    <cellStyle name="Note 28 2 2 2 3 2" xfId="24033"/>
    <cellStyle name="Note 28 2 2 2 3 2 2" xfId="45219"/>
    <cellStyle name="Note 28 2 2 2 3 3" xfId="34615"/>
    <cellStyle name="Note 28 2 2 2 4" xfId="18920"/>
    <cellStyle name="Note 28 2 2 2 4 2" xfId="40107"/>
    <cellStyle name="Note 28 2 2 2 5" xfId="29326"/>
    <cellStyle name="Note 28 2 2 2_Table 2A-1_EFT (Annual)" xfId="7384"/>
    <cellStyle name="Note 28 2 2 3" xfId="5143"/>
    <cellStyle name="Note 28 2 2 3 2" xfId="13403"/>
    <cellStyle name="Note 28 2 2 3 2 2" xfId="25409"/>
    <cellStyle name="Note 28 2 2 3 2 2 2" xfId="46595"/>
    <cellStyle name="Note 28 2 2 3 2 3" xfId="35991"/>
    <cellStyle name="Note 28 2 2 3 3" xfId="20296"/>
    <cellStyle name="Note 28 2 2 3 3 2" xfId="41483"/>
    <cellStyle name="Note 28 2 2 3 4" xfId="30800"/>
    <cellStyle name="Note 28 2 2 3_Table 2A-1_EFT (Annual)" xfId="15715"/>
    <cellStyle name="Note 28 2 2 4" xfId="10747"/>
    <cellStyle name="Note 28 2 2 4 2" xfId="22863"/>
    <cellStyle name="Note 28 2 2 4 2 2" xfId="44049"/>
    <cellStyle name="Note 28 2 2 4 3" xfId="33445"/>
    <cellStyle name="Note 28 2 2 5" xfId="17750"/>
    <cellStyle name="Note 28 2 2 5 2" xfId="38937"/>
    <cellStyle name="Note 28 2 2 6" xfId="28057"/>
    <cellStyle name="Note 28 2 2_Table 2A-1_EFT (Annual)" xfId="7383"/>
    <cellStyle name="Note 28 2 3" xfId="1100"/>
    <cellStyle name="Note 28 2 3 2" xfId="4661"/>
    <cellStyle name="Note 28 2 3 2 2" xfId="12921"/>
    <cellStyle name="Note 28 2 3 2 2 2" xfId="24927"/>
    <cellStyle name="Note 28 2 3 2 2 2 2" xfId="46113"/>
    <cellStyle name="Note 28 2 3 2 2 3" xfId="35509"/>
    <cellStyle name="Note 28 2 3 2 3" xfId="19814"/>
    <cellStyle name="Note 28 2 3 2 3 2" xfId="41001"/>
    <cellStyle name="Note 28 2 3 2 4" xfId="30318"/>
    <cellStyle name="Note 28 2 3 2_Table 2A-1_EFT (Annual)" xfId="15716"/>
    <cellStyle name="Note 28 2 3 3" xfId="10265"/>
    <cellStyle name="Note 28 2 3 3 2" xfId="22381"/>
    <cellStyle name="Note 28 2 3 3 2 2" xfId="43567"/>
    <cellStyle name="Note 28 2 3 3 3" xfId="32963"/>
    <cellStyle name="Note 28 2 3 4" xfId="17268"/>
    <cellStyle name="Note 28 2 3 4 2" xfId="38455"/>
    <cellStyle name="Note 28 2 3 5" xfId="27575"/>
    <cellStyle name="Note 28 2 3_Table 2A-1_EFT (Annual)" xfId="7385"/>
    <cellStyle name="Note 28 2 4" xfId="2321"/>
    <cellStyle name="Note 28 2 4 2" xfId="5882"/>
    <cellStyle name="Note 28 2 4 2 2" xfId="14097"/>
    <cellStyle name="Note 28 2 4 2 2 2" xfId="26085"/>
    <cellStyle name="Note 28 2 4 2 2 2 2" xfId="47271"/>
    <cellStyle name="Note 28 2 4 2 2 3" xfId="36667"/>
    <cellStyle name="Note 28 2 4 2 3" xfId="20972"/>
    <cellStyle name="Note 28 2 4 2 3 2" xfId="42159"/>
    <cellStyle name="Note 28 2 4 2 4" xfId="31539"/>
    <cellStyle name="Note 28 2 4 2_Table 2A-1_EFT (Annual)" xfId="15717"/>
    <cellStyle name="Note 28 2 4 3" xfId="11441"/>
    <cellStyle name="Note 28 2 4 3 2" xfId="23539"/>
    <cellStyle name="Note 28 2 4 3 2 2" xfId="44725"/>
    <cellStyle name="Note 28 2 4 3 3" xfId="34121"/>
    <cellStyle name="Note 28 2 4 4" xfId="18426"/>
    <cellStyle name="Note 28 2 4 4 2" xfId="39613"/>
    <cellStyle name="Note 28 2 4 5" xfId="28796"/>
    <cellStyle name="Note 28 2 4_Table 2A-1_EFT (Annual)" xfId="7386"/>
    <cellStyle name="Note 28 2 5" xfId="4175"/>
    <cellStyle name="Note 28 2 5 2" xfId="12499"/>
    <cellStyle name="Note 28 2 5 2 2" xfId="24521"/>
    <cellStyle name="Note 28 2 5 2 2 2" xfId="45707"/>
    <cellStyle name="Note 28 2 5 2 3" xfId="35103"/>
    <cellStyle name="Note 28 2 5 3" xfId="19408"/>
    <cellStyle name="Note 28 2 5 3 2" xfId="40595"/>
    <cellStyle name="Note 28 2 5 4" xfId="29863"/>
    <cellStyle name="Note 28 2 5_Table 2A-1_EFT (Annual)" xfId="15718"/>
    <cellStyle name="Note 28 2 6" xfId="9838"/>
    <cellStyle name="Note 28 2 6 2" xfId="21975"/>
    <cellStyle name="Note 28 2 6 2 2" xfId="43161"/>
    <cellStyle name="Note 28 2 6 3" xfId="32557"/>
    <cellStyle name="Note 28 2 7" xfId="16862"/>
    <cellStyle name="Note 28 2 7 2" xfId="38049"/>
    <cellStyle name="Note 28 2 8" xfId="27120"/>
    <cellStyle name="Note 28 2_Table 2A-1_EFT (Annual)" xfId="3283"/>
    <cellStyle name="Note 28 3" xfId="440"/>
    <cellStyle name="Note 28 3 2" xfId="1423"/>
    <cellStyle name="Note 28 3 2 2" xfId="2693"/>
    <cellStyle name="Note 28 3 2 2 2" xfId="6254"/>
    <cellStyle name="Note 28 3 2 2 2 2" xfId="14448"/>
    <cellStyle name="Note 28 3 2 2 2 2 2" xfId="26420"/>
    <cellStyle name="Note 28 3 2 2 2 2 2 2" xfId="47606"/>
    <cellStyle name="Note 28 3 2 2 2 2 3" xfId="37002"/>
    <cellStyle name="Note 28 3 2 2 2 3" xfId="21307"/>
    <cellStyle name="Note 28 3 2 2 2 3 2" xfId="42494"/>
    <cellStyle name="Note 28 3 2 2 2 4" xfId="31910"/>
    <cellStyle name="Note 28 3 2 2 2_Table 2A-1_EFT (Annual)" xfId="15719"/>
    <cellStyle name="Note 28 3 2 2 3" xfId="11790"/>
    <cellStyle name="Note 28 3 2 2 3 2" xfId="23874"/>
    <cellStyle name="Note 28 3 2 2 3 2 2" xfId="45060"/>
    <cellStyle name="Note 28 3 2 2 3 3" xfId="34456"/>
    <cellStyle name="Note 28 3 2 2 4" xfId="18761"/>
    <cellStyle name="Note 28 3 2 2 4 2" xfId="39948"/>
    <cellStyle name="Note 28 3 2 2 5" xfId="29167"/>
    <cellStyle name="Note 28 3 2 2_Table 2A-1_EFT (Annual)" xfId="7388"/>
    <cellStyle name="Note 28 3 2 3" xfId="4984"/>
    <cellStyle name="Note 28 3 2 3 2" xfId="13244"/>
    <cellStyle name="Note 28 3 2 3 2 2" xfId="25250"/>
    <cellStyle name="Note 28 3 2 3 2 2 2" xfId="46436"/>
    <cellStyle name="Note 28 3 2 3 2 3" xfId="35832"/>
    <cellStyle name="Note 28 3 2 3 3" xfId="20137"/>
    <cellStyle name="Note 28 3 2 3 3 2" xfId="41324"/>
    <cellStyle name="Note 28 3 2 3 4" xfId="30641"/>
    <cellStyle name="Note 28 3 2 3_Table 2A-1_EFT (Annual)" xfId="15720"/>
    <cellStyle name="Note 28 3 2 4" xfId="10588"/>
    <cellStyle name="Note 28 3 2 4 2" xfId="22704"/>
    <cellStyle name="Note 28 3 2 4 2 2" xfId="43890"/>
    <cellStyle name="Note 28 3 2 4 3" xfId="33286"/>
    <cellStyle name="Note 28 3 2 5" xfId="17591"/>
    <cellStyle name="Note 28 3 2 5 2" xfId="38778"/>
    <cellStyle name="Note 28 3 2 6" xfId="27898"/>
    <cellStyle name="Note 28 3 2_Table 2A-1_EFT (Annual)" xfId="7387"/>
    <cellStyle name="Note 28 3 3" xfId="965"/>
    <cellStyle name="Note 28 3 3 2" xfId="4526"/>
    <cellStyle name="Note 28 3 3 2 2" xfId="12788"/>
    <cellStyle name="Note 28 3 3 2 2 2" xfId="24798"/>
    <cellStyle name="Note 28 3 3 2 2 2 2" xfId="45984"/>
    <cellStyle name="Note 28 3 3 2 2 3" xfId="35380"/>
    <cellStyle name="Note 28 3 3 2 3" xfId="19685"/>
    <cellStyle name="Note 28 3 3 2 3 2" xfId="40872"/>
    <cellStyle name="Note 28 3 3 2 4" xfId="30183"/>
    <cellStyle name="Note 28 3 3 2_Table 2A-1_EFT (Annual)" xfId="15721"/>
    <cellStyle name="Note 28 3 3 3" xfId="10135"/>
    <cellStyle name="Note 28 3 3 3 2" xfId="22252"/>
    <cellStyle name="Note 28 3 3 3 2 2" xfId="43438"/>
    <cellStyle name="Note 28 3 3 3 3" xfId="32834"/>
    <cellStyle name="Note 28 3 3 4" xfId="17139"/>
    <cellStyle name="Note 28 3 3 4 2" xfId="38326"/>
    <cellStyle name="Note 28 3 3 5" xfId="27440"/>
    <cellStyle name="Note 28 3 3_Table 2A-1_EFT (Annual)" xfId="7389"/>
    <cellStyle name="Note 28 3 4" xfId="2162"/>
    <cellStyle name="Note 28 3 4 2" xfId="5723"/>
    <cellStyle name="Note 28 3 4 2 2" xfId="13938"/>
    <cellStyle name="Note 28 3 4 2 2 2" xfId="25926"/>
    <cellStyle name="Note 28 3 4 2 2 2 2" xfId="47112"/>
    <cellStyle name="Note 28 3 4 2 2 3" xfId="36508"/>
    <cellStyle name="Note 28 3 4 2 3" xfId="20813"/>
    <cellStyle name="Note 28 3 4 2 3 2" xfId="42000"/>
    <cellStyle name="Note 28 3 4 2 4" xfId="31380"/>
    <cellStyle name="Note 28 3 4 2_Table 2A-1_EFT (Annual)" xfId="15722"/>
    <cellStyle name="Note 28 3 4 3" xfId="11282"/>
    <cellStyle name="Note 28 3 4 3 2" xfId="23380"/>
    <cellStyle name="Note 28 3 4 3 2 2" xfId="44566"/>
    <cellStyle name="Note 28 3 4 3 3" xfId="33962"/>
    <cellStyle name="Note 28 3 4 4" xfId="18267"/>
    <cellStyle name="Note 28 3 4 4 2" xfId="39454"/>
    <cellStyle name="Note 28 3 4 5" xfId="28637"/>
    <cellStyle name="Note 28 3 4_Table 2A-1_EFT (Annual)" xfId="7390"/>
    <cellStyle name="Note 28 3 5" xfId="4010"/>
    <cellStyle name="Note 28 3 5 2" xfId="12338"/>
    <cellStyle name="Note 28 3 5 2 2" xfId="24362"/>
    <cellStyle name="Note 28 3 5 2 2 2" xfId="45548"/>
    <cellStyle name="Note 28 3 5 2 3" xfId="34944"/>
    <cellStyle name="Note 28 3 5 3" xfId="19249"/>
    <cellStyle name="Note 28 3 5 3 2" xfId="40436"/>
    <cellStyle name="Note 28 3 5 4" xfId="29698"/>
    <cellStyle name="Note 28 3 5_Table 2A-1_EFT (Annual)" xfId="15723"/>
    <cellStyle name="Note 28 3 6" xfId="9675"/>
    <cellStyle name="Note 28 3 6 2" xfId="21816"/>
    <cellStyle name="Note 28 3 6 2 2" xfId="43002"/>
    <cellStyle name="Note 28 3 6 3" xfId="32398"/>
    <cellStyle name="Note 28 3 7" xfId="16703"/>
    <cellStyle name="Note 28 3 7 2" xfId="37890"/>
    <cellStyle name="Note 28 3 8" xfId="26955"/>
    <cellStyle name="Note 28 3_Table 2A-1_EFT (Annual)" xfId="3284"/>
    <cellStyle name="Note 28 4" xfId="1260"/>
    <cellStyle name="Note 28 4 2" xfId="2530"/>
    <cellStyle name="Note 28 4 2 2" xfId="6091"/>
    <cellStyle name="Note 28 4 2 2 2" xfId="14285"/>
    <cellStyle name="Note 28 4 2 2 2 2" xfId="26257"/>
    <cellStyle name="Note 28 4 2 2 2 2 2" xfId="47443"/>
    <cellStyle name="Note 28 4 2 2 2 3" xfId="36839"/>
    <cellStyle name="Note 28 4 2 2 3" xfId="21144"/>
    <cellStyle name="Note 28 4 2 2 3 2" xfId="42331"/>
    <cellStyle name="Note 28 4 2 2 4" xfId="31747"/>
    <cellStyle name="Note 28 4 2 2_Table 2A-1_EFT (Annual)" xfId="15724"/>
    <cellStyle name="Note 28 4 2 3" xfId="11627"/>
    <cellStyle name="Note 28 4 2 3 2" xfId="23711"/>
    <cellStyle name="Note 28 4 2 3 2 2" xfId="44897"/>
    <cellStyle name="Note 28 4 2 3 3" xfId="34293"/>
    <cellStyle name="Note 28 4 2 4" xfId="18598"/>
    <cellStyle name="Note 28 4 2 4 2" xfId="39785"/>
    <cellStyle name="Note 28 4 2 5" xfId="29004"/>
    <cellStyle name="Note 28 4 2_Table 2A-1_EFT (Annual)" xfId="7392"/>
    <cellStyle name="Note 28 4 3" xfId="4821"/>
    <cellStyle name="Note 28 4 3 2" xfId="13081"/>
    <cellStyle name="Note 28 4 3 2 2" xfId="25087"/>
    <cellStyle name="Note 28 4 3 2 2 2" xfId="46273"/>
    <cellStyle name="Note 28 4 3 2 3" xfId="35669"/>
    <cellStyle name="Note 28 4 3 3" xfId="19974"/>
    <cellStyle name="Note 28 4 3 3 2" xfId="41161"/>
    <cellStyle name="Note 28 4 3 4" xfId="30478"/>
    <cellStyle name="Note 28 4 3_Table 2A-1_EFT (Annual)" xfId="15725"/>
    <cellStyle name="Note 28 4 4" xfId="10425"/>
    <cellStyle name="Note 28 4 4 2" xfId="22541"/>
    <cellStyle name="Note 28 4 4 2 2" xfId="43727"/>
    <cellStyle name="Note 28 4 4 3" xfId="33123"/>
    <cellStyle name="Note 28 4 5" xfId="17428"/>
    <cellStyle name="Note 28 4 5 2" xfId="38615"/>
    <cellStyle name="Note 28 4 6" xfId="27735"/>
    <cellStyle name="Note 28 4_Table 2A-1_EFT (Annual)" xfId="7391"/>
    <cellStyle name="Note 28 5" xfId="809"/>
    <cellStyle name="Note 28 5 2" xfId="4370"/>
    <cellStyle name="Note 28 5 2 2" xfId="12650"/>
    <cellStyle name="Note 28 5 2 2 2" xfId="24667"/>
    <cellStyle name="Note 28 5 2 2 2 2" xfId="45853"/>
    <cellStyle name="Note 28 5 2 2 3" xfId="35249"/>
    <cellStyle name="Note 28 5 2 3" xfId="19554"/>
    <cellStyle name="Note 28 5 2 3 2" xfId="40741"/>
    <cellStyle name="Note 28 5 2 4" xfId="30027"/>
    <cellStyle name="Note 28 5 2_Table 2A-1_EFT (Annual)" xfId="15726"/>
    <cellStyle name="Note 28 5 3" xfId="9998"/>
    <cellStyle name="Note 28 5 3 2" xfId="22121"/>
    <cellStyle name="Note 28 5 3 2 2" xfId="43307"/>
    <cellStyle name="Note 28 5 3 3" xfId="32703"/>
    <cellStyle name="Note 28 5 4" xfId="17008"/>
    <cellStyle name="Note 28 5 4 2" xfId="38195"/>
    <cellStyle name="Note 28 5 5" xfId="27284"/>
    <cellStyle name="Note 28 5_Table 2A-1_EFT (Annual)" xfId="7393"/>
    <cellStyle name="Note 28 6" xfId="1999"/>
    <cellStyle name="Note 28 6 2" xfId="5560"/>
    <cellStyle name="Note 28 6 2 2" xfId="13775"/>
    <cellStyle name="Note 28 6 2 2 2" xfId="25763"/>
    <cellStyle name="Note 28 6 2 2 2 2" xfId="46949"/>
    <cellStyle name="Note 28 6 2 2 3" xfId="36345"/>
    <cellStyle name="Note 28 6 2 3" xfId="20650"/>
    <cellStyle name="Note 28 6 2 3 2" xfId="41837"/>
    <cellStyle name="Note 28 6 2 4" xfId="31217"/>
    <cellStyle name="Note 28 6 2_Table 2A-1_EFT (Annual)" xfId="15727"/>
    <cellStyle name="Note 28 6 3" xfId="11119"/>
    <cellStyle name="Note 28 6 3 2" xfId="23217"/>
    <cellStyle name="Note 28 6 3 2 2" xfId="44403"/>
    <cellStyle name="Note 28 6 3 3" xfId="33799"/>
    <cellStyle name="Note 28 6 4" xfId="18104"/>
    <cellStyle name="Note 28 6 4 2" xfId="39291"/>
    <cellStyle name="Note 28 6 5" xfId="28474"/>
    <cellStyle name="Note 28 6_Table 2A-1_EFT (Annual)" xfId="7394"/>
    <cellStyle name="Note 28 7" xfId="3801"/>
    <cellStyle name="Note 28 7 2" xfId="12169"/>
    <cellStyle name="Note 28 7 2 2" xfId="24199"/>
    <cellStyle name="Note 28 7 2 2 2" xfId="45385"/>
    <cellStyle name="Note 28 7 2 3" xfId="34781"/>
    <cellStyle name="Note 28 7 3" xfId="19086"/>
    <cellStyle name="Note 28 7 3 2" xfId="40273"/>
    <cellStyle name="Note 28 7 4" xfId="29510"/>
    <cellStyle name="Note 28 7_Table 2A-1_EFT (Annual)" xfId="15728"/>
    <cellStyle name="Note 28 8" xfId="9488"/>
    <cellStyle name="Note 28 8 2" xfId="21653"/>
    <cellStyle name="Note 28 8 2 2" xfId="42839"/>
    <cellStyle name="Note 28 8 3" xfId="32235"/>
    <cellStyle name="Note 28 9" xfId="16540"/>
    <cellStyle name="Note 28 9 2" xfId="37727"/>
    <cellStyle name="Note 28_Table 2A-1_EFT (Annual)" xfId="3282"/>
    <cellStyle name="Note 29" xfId="200"/>
    <cellStyle name="Note 29 10" xfId="26755"/>
    <cellStyle name="Note 29 2" xfId="593"/>
    <cellStyle name="Note 29 2 2" xfId="1570"/>
    <cellStyle name="Note 29 2 2 2" xfId="2840"/>
    <cellStyle name="Note 29 2 2 2 2" xfId="6401"/>
    <cellStyle name="Note 29 2 2 2 2 2" xfId="14595"/>
    <cellStyle name="Note 29 2 2 2 2 2 2" xfId="26567"/>
    <cellStyle name="Note 29 2 2 2 2 2 2 2" xfId="47753"/>
    <cellStyle name="Note 29 2 2 2 2 2 3" xfId="37149"/>
    <cellStyle name="Note 29 2 2 2 2 3" xfId="21454"/>
    <cellStyle name="Note 29 2 2 2 2 3 2" xfId="42641"/>
    <cellStyle name="Note 29 2 2 2 2 4" xfId="32057"/>
    <cellStyle name="Note 29 2 2 2 2_Table 2A-1_EFT (Annual)" xfId="15729"/>
    <cellStyle name="Note 29 2 2 2 3" xfId="11937"/>
    <cellStyle name="Note 29 2 2 2 3 2" xfId="24021"/>
    <cellStyle name="Note 29 2 2 2 3 2 2" xfId="45207"/>
    <cellStyle name="Note 29 2 2 2 3 3" xfId="34603"/>
    <cellStyle name="Note 29 2 2 2 4" xfId="18908"/>
    <cellStyle name="Note 29 2 2 2 4 2" xfId="40095"/>
    <cellStyle name="Note 29 2 2 2 5" xfId="29314"/>
    <cellStyle name="Note 29 2 2 2_Table 2A-1_EFT (Annual)" xfId="7396"/>
    <cellStyle name="Note 29 2 2 3" xfId="5131"/>
    <cellStyle name="Note 29 2 2 3 2" xfId="13391"/>
    <cellStyle name="Note 29 2 2 3 2 2" xfId="25397"/>
    <cellStyle name="Note 29 2 2 3 2 2 2" xfId="46583"/>
    <cellStyle name="Note 29 2 2 3 2 3" xfId="35979"/>
    <cellStyle name="Note 29 2 2 3 3" xfId="20284"/>
    <cellStyle name="Note 29 2 2 3 3 2" xfId="41471"/>
    <cellStyle name="Note 29 2 2 3 4" xfId="30788"/>
    <cellStyle name="Note 29 2 2 3_Table 2A-1_EFT (Annual)" xfId="15730"/>
    <cellStyle name="Note 29 2 2 4" xfId="10735"/>
    <cellStyle name="Note 29 2 2 4 2" xfId="22851"/>
    <cellStyle name="Note 29 2 2 4 2 2" xfId="44037"/>
    <cellStyle name="Note 29 2 2 4 3" xfId="33433"/>
    <cellStyle name="Note 29 2 2 5" xfId="17738"/>
    <cellStyle name="Note 29 2 2 5 2" xfId="38925"/>
    <cellStyle name="Note 29 2 2 6" xfId="28045"/>
    <cellStyle name="Note 29 2 2_Table 2A-1_EFT (Annual)" xfId="7395"/>
    <cellStyle name="Note 29 2 3" xfId="1091"/>
    <cellStyle name="Note 29 2 3 2" xfId="4652"/>
    <cellStyle name="Note 29 2 3 2 2" xfId="12912"/>
    <cellStyle name="Note 29 2 3 2 2 2" xfId="24918"/>
    <cellStyle name="Note 29 2 3 2 2 2 2" xfId="46104"/>
    <cellStyle name="Note 29 2 3 2 2 3" xfId="35500"/>
    <cellStyle name="Note 29 2 3 2 3" xfId="19805"/>
    <cellStyle name="Note 29 2 3 2 3 2" xfId="40992"/>
    <cellStyle name="Note 29 2 3 2 4" xfId="30309"/>
    <cellStyle name="Note 29 2 3 2_Table 2A-1_EFT (Annual)" xfId="15731"/>
    <cellStyle name="Note 29 2 3 3" xfId="10256"/>
    <cellStyle name="Note 29 2 3 3 2" xfId="22372"/>
    <cellStyle name="Note 29 2 3 3 2 2" xfId="43558"/>
    <cellStyle name="Note 29 2 3 3 3" xfId="32954"/>
    <cellStyle name="Note 29 2 3 4" xfId="17259"/>
    <cellStyle name="Note 29 2 3 4 2" xfId="38446"/>
    <cellStyle name="Note 29 2 3 5" xfId="27566"/>
    <cellStyle name="Note 29 2 3_Table 2A-1_EFT (Annual)" xfId="7397"/>
    <cellStyle name="Note 29 2 4" xfId="2309"/>
    <cellStyle name="Note 29 2 4 2" xfId="5870"/>
    <cellStyle name="Note 29 2 4 2 2" xfId="14085"/>
    <cellStyle name="Note 29 2 4 2 2 2" xfId="26073"/>
    <cellStyle name="Note 29 2 4 2 2 2 2" xfId="47259"/>
    <cellStyle name="Note 29 2 4 2 2 3" xfId="36655"/>
    <cellStyle name="Note 29 2 4 2 3" xfId="20960"/>
    <cellStyle name="Note 29 2 4 2 3 2" xfId="42147"/>
    <cellStyle name="Note 29 2 4 2 4" xfId="31527"/>
    <cellStyle name="Note 29 2 4 2_Table 2A-1_EFT (Annual)" xfId="15732"/>
    <cellStyle name="Note 29 2 4 3" xfId="11429"/>
    <cellStyle name="Note 29 2 4 3 2" xfId="23527"/>
    <cellStyle name="Note 29 2 4 3 2 2" xfId="44713"/>
    <cellStyle name="Note 29 2 4 3 3" xfId="34109"/>
    <cellStyle name="Note 29 2 4 4" xfId="18414"/>
    <cellStyle name="Note 29 2 4 4 2" xfId="39601"/>
    <cellStyle name="Note 29 2 4 5" xfId="28784"/>
    <cellStyle name="Note 29 2 4_Table 2A-1_EFT (Annual)" xfId="7398"/>
    <cellStyle name="Note 29 2 5" xfId="4163"/>
    <cellStyle name="Note 29 2 5 2" xfId="12487"/>
    <cellStyle name="Note 29 2 5 2 2" xfId="24509"/>
    <cellStyle name="Note 29 2 5 2 2 2" xfId="45695"/>
    <cellStyle name="Note 29 2 5 2 3" xfId="35091"/>
    <cellStyle name="Note 29 2 5 3" xfId="19396"/>
    <cellStyle name="Note 29 2 5 3 2" xfId="40583"/>
    <cellStyle name="Note 29 2 5 4" xfId="29851"/>
    <cellStyle name="Note 29 2 5_Table 2A-1_EFT (Annual)" xfId="15733"/>
    <cellStyle name="Note 29 2 6" xfId="9826"/>
    <cellStyle name="Note 29 2 6 2" xfId="21963"/>
    <cellStyle name="Note 29 2 6 2 2" xfId="43149"/>
    <cellStyle name="Note 29 2 6 3" xfId="32545"/>
    <cellStyle name="Note 29 2 7" xfId="16850"/>
    <cellStyle name="Note 29 2 7 2" xfId="38037"/>
    <cellStyle name="Note 29 2 8" xfId="27108"/>
    <cellStyle name="Note 29 2_Table 2A-1_EFT (Annual)" xfId="3286"/>
    <cellStyle name="Note 29 3" xfId="429"/>
    <cellStyle name="Note 29 3 2" xfId="1412"/>
    <cellStyle name="Note 29 3 2 2" xfId="2682"/>
    <cellStyle name="Note 29 3 2 2 2" xfId="6243"/>
    <cellStyle name="Note 29 3 2 2 2 2" xfId="14437"/>
    <cellStyle name="Note 29 3 2 2 2 2 2" xfId="26409"/>
    <cellStyle name="Note 29 3 2 2 2 2 2 2" xfId="47595"/>
    <cellStyle name="Note 29 3 2 2 2 2 3" xfId="36991"/>
    <cellStyle name="Note 29 3 2 2 2 3" xfId="21296"/>
    <cellStyle name="Note 29 3 2 2 2 3 2" xfId="42483"/>
    <cellStyle name="Note 29 3 2 2 2 4" xfId="31899"/>
    <cellStyle name="Note 29 3 2 2 2_Table 2A-1_EFT (Annual)" xfId="15734"/>
    <cellStyle name="Note 29 3 2 2 3" xfId="11779"/>
    <cellStyle name="Note 29 3 2 2 3 2" xfId="23863"/>
    <cellStyle name="Note 29 3 2 2 3 2 2" xfId="45049"/>
    <cellStyle name="Note 29 3 2 2 3 3" xfId="34445"/>
    <cellStyle name="Note 29 3 2 2 4" xfId="18750"/>
    <cellStyle name="Note 29 3 2 2 4 2" xfId="39937"/>
    <cellStyle name="Note 29 3 2 2 5" xfId="29156"/>
    <cellStyle name="Note 29 3 2 2_Table 2A-1_EFT (Annual)" xfId="7400"/>
    <cellStyle name="Note 29 3 2 3" xfId="4973"/>
    <cellStyle name="Note 29 3 2 3 2" xfId="13233"/>
    <cellStyle name="Note 29 3 2 3 2 2" xfId="25239"/>
    <cellStyle name="Note 29 3 2 3 2 2 2" xfId="46425"/>
    <cellStyle name="Note 29 3 2 3 2 3" xfId="35821"/>
    <cellStyle name="Note 29 3 2 3 3" xfId="20126"/>
    <cellStyle name="Note 29 3 2 3 3 2" xfId="41313"/>
    <cellStyle name="Note 29 3 2 3 4" xfId="30630"/>
    <cellStyle name="Note 29 3 2 3_Table 2A-1_EFT (Annual)" xfId="15735"/>
    <cellStyle name="Note 29 3 2 4" xfId="10577"/>
    <cellStyle name="Note 29 3 2 4 2" xfId="22693"/>
    <cellStyle name="Note 29 3 2 4 2 2" xfId="43879"/>
    <cellStyle name="Note 29 3 2 4 3" xfId="33275"/>
    <cellStyle name="Note 29 3 2 5" xfId="17580"/>
    <cellStyle name="Note 29 3 2 5 2" xfId="38767"/>
    <cellStyle name="Note 29 3 2 6" xfId="27887"/>
    <cellStyle name="Note 29 3 2_Table 2A-1_EFT (Annual)" xfId="7399"/>
    <cellStyle name="Note 29 3 3" xfId="957"/>
    <cellStyle name="Note 29 3 3 2" xfId="4518"/>
    <cellStyle name="Note 29 3 3 2 2" xfId="12780"/>
    <cellStyle name="Note 29 3 3 2 2 2" xfId="24790"/>
    <cellStyle name="Note 29 3 3 2 2 2 2" xfId="45976"/>
    <cellStyle name="Note 29 3 3 2 2 3" xfId="35372"/>
    <cellStyle name="Note 29 3 3 2 3" xfId="19677"/>
    <cellStyle name="Note 29 3 3 2 3 2" xfId="40864"/>
    <cellStyle name="Note 29 3 3 2 4" xfId="30175"/>
    <cellStyle name="Note 29 3 3 2_Table 2A-1_EFT (Annual)" xfId="15736"/>
    <cellStyle name="Note 29 3 3 3" xfId="10127"/>
    <cellStyle name="Note 29 3 3 3 2" xfId="22244"/>
    <cellStyle name="Note 29 3 3 3 2 2" xfId="43430"/>
    <cellStyle name="Note 29 3 3 3 3" xfId="32826"/>
    <cellStyle name="Note 29 3 3 4" xfId="17131"/>
    <cellStyle name="Note 29 3 3 4 2" xfId="38318"/>
    <cellStyle name="Note 29 3 3 5" xfId="27432"/>
    <cellStyle name="Note 29 3 3_Table 2A-1_EFT (Annual)" xfId="7401"/>
    <cellStyle name="Note 29 3 4" xfId="2151"/>
    <cellStyle name="Note 29 3 4 2" xfId="5712"/>
    <cellStyle name="Note 29 3 4 2 2" xfId="13927"/>
    <cellStyle name="Note 29 3 4 2 2 2" xfId="25915"/>
    <cellStyle name="Note 29 3 4 2 2 2 2" xfId="47101"/>
    <cellStyle name="Note 29 3 4 2 2 3" xfId="36497"/>
    <cellStyle name="Note 29 3 4 2 3" xfId="20802"/>
    <cellStyle name="Note 29 3 4 2 3 2" xfId="41989"/>
    <cellStyle name="Note 29 3 4 2 4" xfId="31369"/>
    <cellStyle name="Note 29 3 4 2_Table 2A-1_EFT (Annual)" xfId="15737"/>
    <cellStyle name="Note 29 3 4 3" xfId="11271"/>
    <cellStyle name="Note 29 3 4 3 2" xfId="23369"/>
    <cellStyle name="Note 29 3 4 3 2 2" xfId="44555"/>
    <cellStyle name="Note 29 3 4 3 3" xfId="33951"/>
    <cellStyle name="Note 29 3 4 4" xfId="18256"/>
    <cellStyle name="Note 29 3 4 4 2" xfId="39443"/>
    <cellStyle name="Note 29 3 4 5" xfId="28626"/>
    <cellStyle name="Note 29 3 4_Table 2A-1_EFT (Annual)" xfId="7402"/>
    <cellStyle name="Note 29 3 5" xfId="3999"/>
    <cellStyle name="Note 29 3 5 2" xfId="12327"/>
    <cellStyle name="Note 29 3 5 2 2" xfId="24351"/>
    <cellStyle name="Note 29 3 5 2 2 2" xfId="45537"/>
    <cellStyle name="Note 29 3 5 2 3" xfId="34933"/>
    <cellStyle name="Note 29 3 5 3" xfId="19238"/>
    <cellStyle name="Note 29 3 5 3 2" xfId="40425"/>
    <cellStyle name="Note 29 3 5 4" xfId="29687"/>
    <cellStyle name="Note 29 3 5_Table 2A-1_EFT (Annual)" xfId="15738"/>
    <cellStyle name="Note 29 3 6" xfId="9664"/>
    <cellStyle name="Note 29 3 6 2" xfId="21805"/>
    <cellStyle name="Note 29 3 6 2 2" xfId="42991"/>
    <cellStyle name="Note 29 3 6 3" xfId="32387"/>
    <cellStyle name="Note 29 3 7" xfId="16692"/>
    <cellStyle name="Note 29 3 7 2" xfId="37879"/>
    <cellStyle name="Note 29 3 8" xfId="26944"/>
    <cellStyle name="Note 29 3_Table 2A-1_EFT (Annual)" xfId="3287"/>
    <cellStyle name="Note 29 4" xfId="1248"/>
    <cellStyle name="Note 29 4 2" xfId="2518"/>
    <cellStyle name="Note 29 4 2 2" xfId="6079"/>
    <cellStyle name="Note 29 4 2 2 2" xfId="14273"/>
    <cellStyle name="Note 29 4 2 2 2 2" xfId="26245"/>
    <cellStyle name="Note 29 4 2 2 2 2 2" xfId="47431"/>
    <cellStyle name="Note 29 4 2 2 2 3" xfId="36827"/>
    <cellStyle name="Note 29 4 2 2 3" xfId="21132"/>
    <cellStyle name="Note 29 4 2 2 3 2" xfId="42319"/>
    <cellStyle name="Note 29 4 2 2 4" xfId="31735"/>
    <cellStyle name="Note 29 4 2 2_Table 2A-1_EFT (Annual)" xfId="15739"/>
    <cellStyle name="Note 29 4 2 3" xfId="11615"/>
    <cellStyle name="Note 29 4 2 3 2" xfId="23699"/>
    <cellStyle name="Note 29 4 2 3 2 2" xfId="44885"/>
    <cellStyle name="Note 29 4 2 3 3" xfId="34281"/>
    <cellStyle name="Note 29 4 2 4" xfId="18586"/>
    <cellStyle name="Note 29 4 2 4 2" xfId="39773"/>
    <cellStyle name="Note 29 4 2 5" xfId="28992"/>
    <cellStyle name="Note 29 4 2_Table 2A-1_EFT (Annual)" xfId="7404"/>
    <cellStyle name="Note 29 4 3" xfId="4809"/>
    <cellStyle name="Note 29 4 3 2" xfId="13069"/>
    <cellStyle name="Note 29 4 3 2 2" xfId="25075"/>
    <cellStyle name="Note 29 4 3 2 2 2" xfId="46261"/>
    <cellStyle name="Note 29 4 3 2 3" xfId="35657"/>
    <cellStyle name="Note 29 4 3 3" xfId="19962"/>
    <cellStyle name="Note 29 4 3 3 2" xfId="41149"/>
    <cellStyle name="Note 29 4 3 4" xfId="30466"/>
    <cellStyle name="Note 29 4 3_Table 2A-1_EFT (Annual)" xfId="15740"/>
    <cellStyle name="Note 29 4 4" xfId="10413"/>
    <cellStyle name="Note 29 4 4 2" xfId="22529"/>
    <cellStyle name="Note 29 4 4 2 2" xfId="43715"/>
    <cellStyle name="Note 29 4 4 3" xfId="33111"/>
    <cellStyle name="Note 29 4 5" xfId="17416"/>
    <cellStyle name="Note 29 4 5 2" xfId="38603"/>
    <cellStyle name="Note 29 4 6" xfId="27723"/>
    <cellStyle name="Note 29 4_Table 2A-1_EFT (Annual)" xfId="7403"/>
    <cellStyle name="Note 29 5" xfId="800"/>
    <cellStyle name="Note 29 5 2" xfId="4361"/>
    <cellStyle name="Note 29 5 2 2" xfId="12641"/>
    <cellStyle name="Note 29 5 2 2 2" xfId="24658"/>
    <cellStyle name="Note 29 5 2 2 2 2" xfId="45844"/>
    <cellStyle name="Note 29 5 2 2 3" xfId="35240"/>
    <cellStyle name="Note 29 5 2 3" xfId="19545"/>
    <cellStyle name="Note 29 5 2 3 2" xfId="40732"/>
    <cellStyle name="Note 29 5 2 4" xfId="30018"/>
    <cellStyle name="Note 29 5 2_Table 2A-1_EFT (Annual)" xfId="15741"/>
    <cellStyle name="Note 29 5 3" xfId="9989"/>
    <cellStyle name="Note 29 5 3 2" xfId="22112"/>
    <cellStyle name="Note 29 5 3 2 2" xfId="43298"/>
    <cellStyle name="Note 29 5 3 3" xfId="32694"/>
    <cellStyle name="Note 29 5 4" xfId="16999"/>
    <cellStyle name="Note 29 5 4 2" xfId="38186"/>
    <cellStyle name="Note 29 5 5" xfId="27275"/>
    <cellStyle name="Note 29 5_Table 2A-1_EFT (Annual)" xfId="7405"/>
    <cellStyle name="Note 29 6" xfId="1987"/>
    <cellStyle name="Note 29 6 2" xfId="5548"/>
    <cellStyle name="Note 29 6 2 2" xfId="13763"/>
    <cellStyle name="Note 29 6 2 2 2" xfId="25751"/>
    <cellStyle name="Note 29 6 2 2 2 2" xfId="46937"/>
    <cellStyle name="Note 29 6 2 2 3" xfId="36333"/>
    <cellStyle name="Note 29 6 2 3" xfId="20638"/>
    <cellStyle name="Note 29 6 2 3 2" xfId="41825"/>
    <cellStyle name="Note 29 6 2 4" xfId="31205"/>
    <cellStyle name="Note 29 6 2_Table 2A-1_EFT (Annual)" xfId="15742"/>
    <cellStyle name="Note 29 6 3" xfId="11107"/>
    <cellStyle name="Note 29 6 3 2" xfId="23205"/>
    <cellStyle name="Note 29 6 3 2 2" xfId="44391"/>
    <cellStyle name="Note 29 6 3 3" xfId="33787"/>
    <cellStyle name="Note 29 6 4" xfId="18092"/>
    <cellStyle name="Note 29 6 4 2" xfId="39279"/>
    <cellStyle name="Note 29 6 5" xfId="28462"/>
    <cellStyle name="Note 29 6_Table 2A-1_EFT (Annual)" xfId="7406"/>
    <cellStyle name="Note 29 7" xfId="3789"/>
    <cellStyle name="Note 29 7 2" xfId="12157"/>
    <cellStyle name="Note 29 7 2 2" xfId="24187"/>
    <cellStyle name="Note 29 7 2 2 2" xfId="45373"/>
    <cellStyle name="Note 29 7 2 3" xfId="34769"/>
    <cellStyle name="Note 29 7 3" xfId="19074"/>
    <cellStyle name="Note 29 7 3 2" xfId="40261"/>
    <cellStyle name="Note 29 7 4" xfId="29498"/>
    <cellStyle name="Note 29 7_Table 2A-1_EFT (Annual)" xfId="15743"/>
    <cellStyle name="Note 29 8" xfId="9476"/>
    <cellStyle name="Note 29 8 2" xfId="21641"/>
    <cellStyle name="Note 29 8 2 2" xfId="42827"/>
    <cellStyle name="Note 29 8 3" xfId="32223"/>
    <cellStyle name="Note 29 9" xfId="16528"/>
    <cellStyle name="Note 29 9 2" xfId="37715"/>
    <cellStyle name="Note 29_Table 2A-1_EFT (Annual)" xfId="3285"/>
    <cellStyle name="Note 3" xfId="113"/>
    <cellStyle name="Note 3 10" xfId="21508"/>
    <cellStyle name="Note 3 10 2" xfId="42695"/>
    <cellStyle name="Note 3 11" xfId="26668"/>
    <cellStyle name="Note 3 2" xfId="506"/>
    <cellStyle name="Note 3 2 2" xfId="1483"/>
    <cellStyle name="Note 3 2 2 2" xfId="2753"/>
    <cellStyle name="Note 3 2 2 2 2" xfId="6314"/>
    <cellStyle name="Note 3 2 2 2 2 2" xfId="14508"/>
    <cellStyle name="Note 3 2 2 2 2 2 2" xfId="26480"/>
    <cellStyle name="Note 3 2 2 2 2 2 2 2" xfId="47666"/>
    <cellStyle name="Note 3 2 2 2 2 2 3" xfId="37062"/>
    <cellStyle name="Note 3 2 2 2 2 3" xfId="21367"/>
    <cellStyle name="Note 3 2 2 2 2 3 2" xfId="42554"/>
    <cellStyle name="Note 3 2 2 2 2 4" xfId="31970"/>
    <cellStyle name="Note 3 2 2 2 2_Table 2A-1_EFT (Annual)" xfId="15744"/>
    <cellStyle name="Note 3 2 2 2 3" xfId="11850"/>
    <cellStyle name="Note 3 2 2 2 3 2" xfId="23934"/>
    <cellStyle name="Note 3 2 2 2 3 2 2" xfId="45120"/>
    <cellStyle name="Note 3 2 2 2 3 3" xfId="34516"/>
    <cellStyle name="Note 3 2 2 2 4" xfId="18821"/>
    <cellStyle name="Note 3 2 2 2 4 2" xfId="40008"/>
    <cellStyle name="Note 3 2 2 2 5" xfId="29227"/>
    <cellStyle name="Note 3 2 2 2_Table 2A-1_EFT (Annual)" xfId="7408"/>
    <cellStyle name="Note 3 2 2 3" xfId="5044"/>
    <cellStyle name="Note 3 2 2 3 2" xfId="13304"/>
    <cellStyle name="Note 3 2 2 3 2 2" xfId="25310"/>
    <cellStyle name="Note 3 2 2 3 2 2 2" xfId="46496"/>
    <cellStyle name="Note 3 2 2 3 2 3" xfId="35892"/>
    <cellStyle name="Note 3 2 2 3 3" xfId="20197"/>
    <cellStyle name="Note 3 2 2 3 3 2" xfId="41384"/>
    <cellStyle name="Note 3 2 2 3 4" xfId="30701"/>
    <cellStyle name="Note 3 2 2 3_Table 2A-1_EFT (Annual)" xfId="15745"/>
    <cellStyle name="Note 3 2 2 4" xfId="10648"/>
    <cellStyle name="Note 3 2 2 4 2" xfId="22764"/>
    <cellStyle name="Note 3 2 2 4 2 2" xfId="43950"/>
    <cellStyle name="Note 3 2 2 4 3" xfId="33346"/>
    <cellStyle name="Note 3 2 2 5" xfId="17651"/>
    <cellStyle name="Note 3 2 2 5 2" xfId="38838"/>
    <cellStyle name="Note 3 2 2 6" xfId="27958"/>
    <cellStyle name="Note 3 2 2_Table 2A-1_EFT (Annual)" xfId="7407"/>
    <cellStyle name="Note 3 2 3" xfId="1019"/>
    <cellStyle name="Note 3 2 3 2" xfId="4580"/>
    <cellStyle name="Note 3 2 3 2 2" xfId="12840"/>
    <cellStyle name="Note 3 2 3 2 2 2" xfId="24846"/>
    <cellStyle name="Note 3 2 3 2 2 2 2" xfId="46032"/>
    <cellStyle name="Note 3 2 3 2 2 3" xfId="35428"/>
    <cellStyle name="Note 3 2 3 2 3" xfId="19733"/>
    <cellStyle name="Note 3 2 3 2 3 2" xfId="40920"/>
    <cellStyle name="Note 3 2 3 2 4" xfId="30237"/>
    <cellStyle name="Note 3 2 3 2_Table 2A-1_EFT (Annual)" xfId="15746"/>
    <cellStyle name="Note 3 2 3 3" xfId="10184"/>
    <cellStyle name="Note 3 2 3 3 2" xfId="22300"/>
    <cellStyle name="Note 3 2 3 3 2 2" xfId="43486"/>
    <cellStyle name="Note 3 2 3 3 3" xfId="32882"/>
    <cellStyle name="Note 3 2 3 4" xfId="17187"/>
    <cellStyle name="Note 3 2 3 4 2" xfId="38374"/>
    <cellStyle name="Note 3 2 3 5" xfId="27494"/>
    <cellStyle name="Note 3 2 3_Table 2A-1_EFT (Annual)" xfId="7409"/>
    <cellStyle name="Note 3 2 4" xfId="2222"/>
    <cellStyle name="Note 3 2 4 2" xfId="5783"/>
    <cellStyle name="Note 3 2 4 2 2" xfId="13998"/>
    <cellStyle name="Note 3 2 4 2 2 2" xfId="25986"/>
    <cellStyle name="Note 3 2 4 2 2 2 2" xfId="47172"/>
    <cellStyle name="Note 3 2 4 2 2 3" xfId="36568"/>
    <cellStyle name="Note 3 2 4 2 3" xfId="20873"/>
    <cellStyle name="Note 3 2 4 2 3 2" xfId="42060"/>
    <cellStyle name="Note 3 2 4 2 4" xfId="31440"/>
    <cellStyle name="Note 3 2 4 2_Table 2A-1_EFT (Annual)" xfId="15747"/>
    <cellStyle name="Note 3 2 4 3" xfId="11342"/>
    <cellStyle name="Note 3 2 4 3 2" xfId="23440"/>
    <cellStyle name="Note 3 2 4 3 2 2" xfId="44626"/>
    <cellStyle name="Note 3 2 4 3 3" xfId="34022"/>
    <cellStyle name="Note 3 2 4 4" xfId="18327"/>
    <cellStyle name="Note 3 2 4 4 2" xfId="39514"/>
    <cellStyle name="Note 3 2 4 5" xfId="28697"/>
    <cellStyle name="Note 3 2 4_Table 2A-1_EFT (Annual)" xfId="7410"/>
    <cellStyle name="Note 3 2 5" xfId="4076"/>
    <cellStyle name="Note 3 2 5 2" xfId="12400"/>
    <cellStyle name="Note 3 2 5 2 2" xfId="24422"/>
    <cellStyle name="Note 3 2 5 2 2 2" xfId="45608"/>
    <cellStyle name="Note 3 2 5 2 3" xfId="35004"/>
    <cellStyle name="Note 3 2 5 3" xfId="19309"/>
    <cellStyle name="Note 3 2 5 3 2" xfId="40496"/>
    <cellStyle name="Note 3 2 5 4" xfId="29764"/>
    <cellStyle name="Note 3 2 5_Table 2A-1_EFT (Annual)" xfId="15748"/>
    <cellStyle name="Note 3 2 6" xfId="9739"/>
    <cellStyle name="Note 3 2 6 2" xfId="21876"/>
    <cellStyle name="Note 3 2 6 2 2" xfId="43062"/>
    <cellStyle name="Note 3 2 6 3" xfId="32458"/>
    <cellStyle name="Note 3 2 7" xfId="16763"/>
    <cellStyle name="Note 3 2 7 2" xfId="37950"/>
    <cellStyle name="Note 3 2 8" xfId="27021"/>
    <cellStyle name="Note 3 2_Table 2A-1_EFT (Annual)" xfId="3289"/>
    <cellStyle name="Note 3 3" xfId="344"/>
    <cellStyle name="Note 3 3 2" xfId="1327"/>
    <cellStyle name="Note 3 3 2 2" xfId="2597"/>
    <cellStyle name="Note 3 3 2 2 2" xfId="6158"/>
    <cellStyle name="Note 3 3 2 2 2 2" xfId="14352"/>
    <cellStyle name="Note 3 3 2 2 2 2 2" xfId="26324"/>
    <cellStyle name="Note 3 3 2 2 2 2 2 2" xfId="47510"/>
    <cellStyle name="Note 3 3 2 2 2 2 3" xfId="36906"/>
    <cellStyle name="Note 3 3 2 2 2 3" xfId="21211"/>
    <cellStyle name="Note 3 3 2 2 2 3 2" xfId="42398"/>
    <cellStyle name="Note 3 3 2 2 2 4" xfId="31814"/>
    <cellStyle name="Note 3 3 2 2 2_Table 2A-1_EFT (Annual)" xfId="15749"/>
    <cellStyle name="Note 3 3 2 2 3" xfId="11694"/>
    <cellStyle name="Note 3 3 2 2 3 2" xfId="23778"/>
    <cellStyle name="Note 3 3 2 2 3 2 2" xfId="44964"/>
    <cellStyle name="Note 3 3 2 2 3 3" xfId="34360"/>
    <cellStyle name="Note 3 3 2 2 4" xfId="18665"/>
    <cellStyle name="Note 3 3 2 2 4 2" xfId="39852"/>
    <cellStyle name="Note 3 3 2 2 5" xfId="29071"/>
    <cellStyle name="Note 3 3 2 2_Table 2A-1_EFT (Annual)" xfId="7412"/>
    <cellStyle name="Note 3 3 2 3" xfId="4888"/>
    <cellStyle name="Note 3 3 2 3 2" xfId="13148"/>
    <cellStyle name="Note 3 3 2 3 2 2" xfId="25154"/>
    <cellStyle name="Note 3 3 2 3 2 2 2" xfId="46340"/>
    <cellStyle name="Note 3 3 2 3 2 3" xfId="35736"/>
    <cellStyle name="Note 3 3 2 3 3" xfId="20041"/>
    <cellStyle name="Note 3 3 2 3 3 2" xfId="41228"/>
    <cellStyle name="Note 3 3 2 3 4" xfId="30545"/>
    <cellStyle name="Note 3 3 2 3_Table 2A-1_EFT (Annual)" xfId="15750"/>
    <cellStyle name="Note 3 3 2 4" xfId="10492"/>
    <cellStyle name="Note 3 3 2 4 2" xfId="22608"/>
    <cellStyle name="Note 3 3 2 4 2 2" xfId="43794"/>
    <cellStyle name="Note 3 3 2 4 3" xfId="33190"/>
    <cellStyle name="Note 3 3 2 5" xfId="17495"/>
    <cellStyle name="Note 3 3 2 5 2" xfId="38682"/>
    <cellStyle name="Note 3 3 2 6" xfId="27802"/>
    <cellStyle name="Note 3 3 2_Table 2A-1_EFT (Annual)" xfId="7411"/>
    <cellStyle name="Note 3 3 3" xfId="887"/>
    <cellStyle name="Note 3 3 3 2" xfId="4448"/>
    <cellStyle name="Note 3 3 3 2 2" xfId="12710"/>
    <cellStyle name="Note 3 3 3 2 2 2" xfId="24720"/>
    <cellStyle name="Note 3 3 3 2 2 2 2" xfId="45906"/>
    <cellStyle name="Note 3 3 3 2 2 3" xfId="35302"/>
    <cellStyle name="Note 3 3 3 2 3" xfId="19607"/>
    <cellStyle name="Note 3 3 3 2 3 2" xfId="40794"/>
    <cellStyle name="Note 3 3 3 2 4" xfId="30105"/>
    <cellStyle name="Note 3 3 3 2_Table 2A-1_EFT (Annual)" xfId="15751"/>
    <cellStyle name="Note 3 3 3 3" xfId="10057"/>
    <cellStyle name="Note 3 3 3 3 2" xfId="22174"/>
    <cellStyle name="Note 3 3 3 3 2 2" xfId="43360"/>
    <cellStyle name="Note 3 3 3 3 3" xfId="32756"/>
    <cellStyle name="Note 3 3 3 4" xfId="17061"/>
    <cellStyle name="Note 3 3 3 4 2" xfId="38248"/>
    <cellStyle name="Note 3 3 3 5" xfId="27362"/>
    <cellStyle name="Note 3 3 3_Table 2A-1_EFT (Annual)" xfId="7413"/>
    <cellStyle name="Note 3 3 4" xfId="2066"/>
    <cellStyle name="Note 3 3 4 2" xfId="5627"/>
    <cellStyle name="Note 3 3 4 2 2" xfId="13842"/>
    <cellStyle name="Note 3 3 4 2 2 2" xfId="25830"/>
    <cellStyle name="Note 3 3 4 2 2 2 2" xfId="47016"/>
    <cellStyle name="Note 3 3 4 2 2 3" xfId="36412"/>
    <cellStyle name="Note 3 3 4 2 3" xfId="20717"/>
    <cellStyle name="Note 3 3 4 2 3 2" xfId="41904"/>
    <cellStyle name="Note 3 3 4 2 4" xfId="31284"/>
    <cellStyle name="Note 3 3 4 2_Table 2A-1_EFT (Annual)" xfId="15752"/>
    <cellStyle name="Note 3 3 4 3" xfId="11186"/>
    <cellStyle name="Note 3 3 4 3 2" xfId="23284"/>
    <cellStyle name="Note 3 3 4 3 2 2" xfId="44470"/>
    <cellStyle name="Note 3 3 4 3 3" xfId="33866"/>
    <cellStyle name="Note 3 3 4 4" xfId="18171"/>
    <cellStyle name="Note 3 3 4 4 2" xfId="39358"/>
    <cellStyle name="Note 3 3 4 5" xfId="28541"/>
    <cellStyle name="Note 3 3 4_Table 2A-1_EFT (Annual)" xfId="7414"/>
    <cellStyle name="Note 3 3 5" xfId="3914"/>
    <cellStyle name="Note 3 3 5 2" xfId="12242"/>
    <cellStyle name="Note 3 3 5 2 2" xfId="24266"/>
    <cellStyle name="Note 3 3 5 2 2 2" xfId="45452"/>
    <cellStyle name="Note 3 3 5 2 3" xfId="34848"/>
    <cellStyle name="Note 3 3 5 3" xfId="19153"/>
    <cellStyle name="Note 3 3 5 3 2" xfId="40340"/>
    <cellStyle name="Note 3 3 5 4" xfId="29602"/>
    <cellStyle name="Note 3 3 5_Table 2A-1_EFT (Annual)" xfId="15753"/>
    <cellStyle name="Note 3 3 6" xfId="9579"/>
    <cellStyle name="Note 3 3 6 2" xfId="21720"/>
    <cellStyle name="Note 3 3 6 2 2" xfId="42906"/>
    <cellStyle name="Note 3 3 6 3" xfId="32302"/>
    <cellStyle name="Note 3 3 7" xfId="16607"/>
    <cellStyle name="Note 3 3 7 2" xfId="37794"/>
    <cellStyle name="Note 3 3 8" xfId="26859"/>
    <cellStyle name="Note 3 3_Table 2A-1_EFT (Annual)" xfId="3290"/>
    <cellStyle name="Note 3 4" xfId="1161"/>
    <cellStyle name="Note 3 4 2" xfId="2431"/>
    <cellStyle name="Note 3 4 2 2" xfId="5992"/>
    <cellStyle name="Note 3 4 2 2 2" xfId="14186"/>
    <cellStyle name="Note 3 4 2 2 2 2" xfId="26158"/>
    <cellStyle name="Note 3 4 2 2 2 2 2" xfId="47344"/>
    <cellStyle name="Note 3 4 2 2 2 3" xfId="36740"/>
    <cellStyle name="Note 3 4 2 2 3" xfId="21045"/>
    <cellStyle name="Note 3 4 2 2 3 2" xfId="42232"/>
    <cellStyle name="Note 3 4 2 2 4" xfId="31648"/>
    <cellStyle name="Note 3 4 2 2_Table 2A-1_EFT (Annual)" xfId="15754"/>
    <cellStyle name="Note 3 4 2 3" xfId="11528"/>
    <cellStyle name="Note 3 4 2 3 2" xfId="23612"/>
    <cellStyle name="Note 3 4 2 3 2 2" xfId="44798"/>
    <cellStyle name="Note 3 4 2 3 3" xfId="34194"/>
    <cellStyle name="Note 3 4 2 4" xfId="18499"/>
    <cellStyle name="Note 3 4 2 4 2" xfId="39686"/>
    <cellStyle name="Note 3 4 2 5" xfId="28905"/>
    <cellStyle name="Note 3 4 2_Table 2A-1_EFT (Annual)" xfId="7416"/>
    <cellStyle name="Note 3 4 3" xfId="4722"/>
    <cellStyle name="Note 3 4 3 2" xfId="12982"/>
    <cellStyle name="Note 3 4 3 2 2" xfId="24988"/>
    <cellStyle name="Note 3 4 3 2 2 2" xfId="46174"/>
    <cellStyle name="Note 3 4 3 2 3" xfId="35570"/>
    <cellStyle name="Note 3 4 3 3" xfId="19875"/>
    <cellStyle name="Note 3 4 3 3 2" xfId="41062"/>
    <cellStyle name="Note 3 4 3 4" xfId="30379"/>
    <cellStyle name="Note 3 4 3_Table 2A-1_EFT (Annual)" xfId="15755"/>
    <cellStyle name="Note 3 4 4" xfId="10326"/>
    <cellStyle name="Note 3 4 4 2" xfId="22442"/>
    <cellStyle name="Note 3 4 4 2 2" xfId="43628"/>
    <cellStyle name="Note 3 4 4 3" xfId="33024"/>
    <cellStyle name="Note 3 4 5" xfId="17329"/>
    <cellStyle name="Note 3 4 5 2" xfId="38516"/>
    <cellStyle name="Note 3 4 6" xfId="27636"/>
    <cellStyle name="Note 3 4_Table 2A-1_EFT (Annual)" xfId="7415"/>
    <cellStyle name="Note 3 5" xfId="728"/>
    <cellStyle name="Note 3 5 2" xfId="4289"/>
    <cellStyle name="Note 3 5 2 2" xfId="12569"/>
    <cellStyle name="Note 3 5 2 2 2" xfId="24586"/>
    <cellStyle name="Note 3 5 2 2 2 2" xfId="45772"/>
    <cellStyle name="Note 3 5 2 2 3" xfId="35168"/>
    <cellStyle name="Note 3 5 2 3" xfId="19473"/>
    <cellStyle name="Note 3 5 2 3 2" xfId="40660"/>
    <cellStyle name="Note 3 5 2 4" xfId="29946"/>
    <cellStyle name="Note 3 5 2_Table 2A-1_EFT (Annual)" xfId="15756"/>
    <cellStyle name="Note 3 5 3" xfId="9917"/>
    <cellStyle name="Note 3 5 3 2" xfId="22040"/>
    <cellStyle name="Note 3 5 3 2 2" xfId="43226"/>
    <cellStyle name="Note 3 5 3 3" xfId="32622"/>
    <cellStyle name="Note 3 5 4" xfId="16927"/>
    <cellStyle name="Note 3 5 4 2" xfId="38114"/>
    <cellStyle name="Note 3 5 5" xfId="27203"/>
    <cellStyle name="Note 3 5_Table 2A-1_EFT (Annual)" xfId="7417"/>
    <cellStyle name="Note 3 6" xfId="1800"/>
    <cellStyle name="Note 3 6 2" xfId="5361"/>
    <cellStyle name="Note 3 6 2 2" xfId="13576"/>
    <cellStyle name="Note 3 6 2 2 2" xfId="25564"/>
    <cellStyle name="Note 3 6 2 2 2 2" xfId="46750"/>
    <cellStyle name="Note 3 6 2 2 3" xfId="36146"/>
    <cellStyle name="Note 3 6 2 3" xfId="20451"/>
    <cellStyle name="Note 3 6 2 3 2" xfId="41638"/>
    <cellStyle name="Note 3 6 2 4" xfId="31018"/>
    <cellStyle name="Note 3 6 2_Table 2A-1_EFT (Annual)" xfId="15757"/>
    <cellStyle name="Note 3 6 3" xfId="10920"/>
    <cellStyle name="Note 3 6 3 2" xfId="23018"/>
    <cellStyle name="Note 3 6 3 2 2" xfId="44204"/>
    <cellStyle name="Note 3 6 3 3" xfId="33600"/>
    <cellStyle name="Note 3 6 4" xfId="17905"/>
    <cellStyle name="Note 3 6 4 2" xfId="39092"/>
    <cellStyle name="Note 3 6 5" xfId="28275"/>
    <cellStyle name="Note 3 6_Table 2A-1_EFT (Annual)" xfId="7418"/>
    <cellStyle name="Note 3 7" xfId="3702"/>
    <cellStyle name="Note 3 7 2" xfId="12070"/>
    <cellStyle name="Note 3 7 2 2" xfId="24100"/>
    <cellStyle name="Note 3 7 2 2 2" xfId="45286"/>
    <cellStyle name="Note 3 7 2 3" xfId="34682"/>
    <cellStyle name="Note 3 7 3" xfId="18987"/>
    <cellStyle name="Note 3 7 3 2" xfId="40174"/>
    <cellStyle name="Note 3 7 4" xfId="29411"/>
    <cellStyle name="Note 3 7_Table 2A-1_EFT (Annual)" xfId="15758"/>
    <cellStyle name="Note 3 8" xfId="9389"/>
    <cellStyle name="Note 3 8 2" xfId="21554"/>
    <cellStyle name="Note 3 8 2 2" xfId="42740"/>
    <cellStyle name="Note 3 8 3" xfId="32136"/>
    <cellStyle name="Note 3 9" xfId="16441"/>
    <cellStyle name="Note 3 9 2" xfId="37628"/>
    <cellStyle name="Note 3_Table 2A-1_EFT (Annual)" xfId="3288"/>
    <cellStyle name="Note 30" xfId="242"/>
    <cellStyle name="Note 30 10" xfId="26797"/>
    <cellStyle name="Note 30 2" xfId="629"/>
    <cellStyle name="Note 30 2 2" xfId="1606"/>
    <cellStyle name="Note 30 2 2 2" xfId="2876"/>
    <cellStyle name="Note 30 2 2 2 2" xfId="6437"/>
    <cellStyle name="Note 30 2 2 2 2 2" xfId="14631"/>
    <cellStyle name="Note 30 2 2 2 2 2 2" xfId="26603"/>
    <cellStyle name="Note 30 2 2 2 2 2 2 2" xfId="47789"/>
    <cellStyle name="Note 30 2 2 2 2 2 3" xfId="37185"/>
    <cellStyle name="Note 30 2 2 2 2 3" xfId="21490"/>
    <cellStyle name="Note 30 2 2 2 2 3 2" xfId="42677"/>
    <cellStyle name="Note 30 2 2 2 2 4" xfId="32093"/>
    <cellStyle name="Note 30 2 2 2 2_Table 2A-1_EFT (Annual)" xfId="15759"/>
    <cellStyle name="Note 30 2 2 2 3" xfId="11973"/>
    <cellStyle name="Note 30 2 2 2 3 2" xfId="24057"/>
    <cellStyle name="Note 30 2 2 2 3 2 2" xfId="45243"/>
    <cellStyle name="Note 30 2 2 2 3 3" xfId="34639"/>
    <cellStyle name="Note 30 2 2 2 4" xfId="18944"/>
    <cellStyle name="Note 30 2 2 2 4 2" xfId="40131"/>
    <cellStyle name="Note 30 2 2 2 5" xfId="29350"/>
    <cellStyle name="Note 30 2 2 2_Table 2A-1_EFT (Annual)" xfId="7420"/>
    <cellStyle name="Note 30 2 2 3" xfId="5167"/>
    <cellStyle name="Note 30 2 2 3 2" xfId="13427"/>
    <cellStyle name="Note 30 2 2 3 2 2" xfId="25433"/>
    <cellStyle name="Note 30 2 2 3 2 2 2" xfId="46619"/>
    <cellStyle name="Note 30 2 2 3 2 3" xfId="36015"/>
    <cellStyle name="Note 30 2 2 3 3" xfId="20320"/>
    <cellStyle name="Note 30 2 2 3 3 2" xfId="41507"/>
    <cellStyle name="Note 30 2 2 3 4" xfId="30824"/>
    <cellStyle name="Note 30 2 2 3_Table 2A-1_EFT (Annual)" xfId="15760"/>
    <cellStyle name="Note 30 2 2 4" xfId="10771"/>
    <cellStyle name="Note 30 2 2 4 2" xfId="22887"/>
    <cellStyle name="Note 30 2 2 4 2 2" xfId="44073"/>
    <cellStyle name="Note 30 2 2 4 3" xfId="33469"/>
    <cellStyle name="Note 30 2 2 5" xfId="17774"/>
    <cellStyle name="Note 30 2 2 5 2" xfId="38961"/>
    <cellStyle name="Note 30 2 2 6" xfId="28081"/>
    <cellStyle name="Note 30 2 2_Table 2A-1_EFT (Annual)" xfId="7419"/>
    <cellStyle name="Note 30 2 3" xfId="1119"/>
    <cellStyle name="Note 30 2 3 2" xfId="4680"/>
    <cellStyle name="Note 30 2 3 2 2" xfId="12940"/>
    <cellStyle name="Note 30 2 3 2 2 2" xfId="24946"/>
    <cellStyle name="Note 30 2 3 2 2 2 2" xfId="46132"/>
    <cellStyle name="Note 30 2 3 2 2 3" xfId="35528"/>
    <cellStyle name="Note 30 2 3 2 3" xfId="19833"/>
    <cellStyle name="Note 30 2 3 2 3 2" xfId="41020"/>
    <cellStyle name="Note 30 2 3 2 4" xfId="30337"/>
    <cellStyle name="Note 30 2 3 2_Table 2A-1_EFT (Annual)" xfId="15761"/>
    <cellStyle name="Note 30 2 3 3" xfId="10284"/>
    <cellStyle name="Note 30 2 3 3 2" xfId="22400"/>
    <cellStyle name="Note 30 2 3 3 2 2" xfId="43586"/>
    <cellStyle name="Note 30 2 3 3 3" xfId="32982"/>
    <cellStyle name="Note 30 2 3 4" xfId="17287"/>
    <cellStyle name="Note 30 2 3 4 2" xfId="38474"/>
    <cellStyle name="Note 30 2 3 5" xfId="27594"/>
    <cellStyle name="Note 30 2 3_Table 2A-1_EFT (Annual)" xfId="7421"/>
    <cellStyle name="Note 30 2 4" xfId="2345"/>
    <cellStyle name="Note 30 2 4 2" xfId="5906"/>
    <cellStyle name="Note 30 2 4 2 2" xfId="14121"/>
    <cellStyle name="Note 30 2 4 2 2 2" xfId="26109"/>
    <cellStyle name="Note 30 2 4 2 2 2 2" xfId="47295"/>
    <cellStyle name="Note 30 2 4 2 2 3" xfId="36691"/>
    <cellStyle name="Note 30 2 4 2 3" xfId="20996"/>
    <cellStyle name="Note 30 2 4 2 3 2" xfId="42183"/>
    <cellStyle name="Note 30 2 4 2 4" xfId="31563"/>
    <cellStyle name="Note 30 2 4 2_Table 2A-1_EFT (Annual)" xfId="15762"/>
    <cellStyle name="Note 30 2 4 3" xfId="11465"/>
    <cellStyle name="Note 30 2 4 3 2" xfId="23563"/>
    <cellStyle name="Note 30 2 4 3 2 2" xfId="44749"/>
    <cellStyle name="Note 30 2 4 3 3" xfId="34145"/>
    <cellStyle name="Note 30 2 4 4" xfId="18450"/>
    <cellStyle name="Note 30 2 4 4 2" xfId="39637"/>
    <cellStyle name="Note 30 2 4 5" xfId="28820"/>
    <cellStyle name="Note 30 2 4_Table 2A-1_EFT (Annual)" xfId="7422"/>
    <cellStyle name="Note 30 2 5" xfId="4199"/>
    <cellStyle name="Note 30 2 5 2" xfId="12523"/>
    <cellStyle name="Note 30 2 5 2 2" xfId="24545"/>
    <cellStyle name="Note 30 2 5 2 2 2" xfId="45731"/>
    <cellStyle name="Note 30 2 5 2 3" xfId="35127"/>
    <cellStyle name="Note 30 2 5 3" xfId="19432"/>
    <cellStyle name="Note 30 2 5 3 2" xfId="40619"/>
    <cellStyle name="Note 30 2 5 4" xfId="29887"/>
    <cellStyle name="Note 30 2 5_Table 2A-1_EFT (Annual)" xfId="15763"/>
    <cellStyle name="Note 30 2 6" xfId="9862"/>
    <cellStyle name="Note 30 2 6 2" xfId="21999"/>
    <cellStyle name="Note 30 2 6 2 2" xfId="43185"/>
    <cellStyle name="Note 30 2 6 3" xfId="32581"/>
    <cellStyle name="Note 30 2 7" xfId="16886"/>
    <cellStyle name="Note 30 2 7 2" xfId="38073"/>
    <cellStyle name="Note 30 2 8" xfId="27144"/>
    <cellStyle name="Note 30 2_Table 2A-1_EFT (Annual)" xfId="3292"/>
    <cellStyle name="Note 30 3" xfId="468"/>
    <cellStyle name="Note 30 3 2" xfId="1445"/>
    <cellStyle name="Note 30 3 2 2" xfId="2715"/>
    <cellStyle name="Note 30 3 2 2 2" xfId="6276"/>
    <cellStyle name="Note 30 3 2 2 2 2" xfId="14470"/>
    <cellStyle name="Note 30 3 2 2 2 2 2" xfId="26442"/>
    <cellStyle name="Note 30 3 2 2 2 2 2 2" xfId="47628"/>
    <cellStyle name="Note 30 3 2 2 2 2 3" xfId="37024"/>
    <cellStyle name="Note 30 3 2 2 2 3" xfId="21329"/>
    <cellStyle name="Note 30 3 2 2 2 3 2" xfId="42516"/>
    <cellStyle name="Note 30 3 2 2 2 4" xfId="31932"/>
    <cellStyle name="Note 30 3 2 2 2_Table 2A-1_EFT (Annual)" xfId="15764"/>
    <cellStyle name="Note 30 3 2 2 3" xfId="11812"/>
    <cellStyle name="Note 30 3 2 2 3 2" xfId="23896"/>
    <cellStyle name="Note 30 3 2 2 3 2 2" xfId="45082"/>
    <cellStyle name="Note 30 3 2 2 3 3" xfId="34478"/>
    <cellStyle name="Note 30 3 2 2 4" xfId="18783"/>
    <cellStyle name="Note 30 3 2 2 4 2" xfId="39970"/>
    <cellStyle name="Note 30 3 2 2 5" xfId="29189"/>
    <cellStyle name="Note 30 3 2 2_Table 2A-1_EFT (Annual)" xfId="7424"/>
    <cellStyle name="Note 30 3 2 3" xfId="5006"/>
    <cellStyle name="Note 30 3 2 3 2" xfId="13266"/>
    <cellStyle name="Note 30 3 2 3 2 2" xfId="25272"/>
    <cellStyle name="Note 30 3 2 3 2 2 2" xfId="46458"/>
    <cellStyle name="Note 30 3 2 3 2 3" xfId="35854"/>
    <cellStyle name="Note 30 3 2 3 3" xfId="20159"/>
    <cellStyle name="Note 30 3 2 3 3 2" xfId="41346"/>
    <cellStyle name="Note 30 3 2 3 4" xfId="30663"/>
    <cellStyle name="Note 30 3 2 3_Table 2A-1_EFT (Annual)" xfId="15765"/>
    <cellStyle name="Note 30 3 2 4" xfId="10610"/>
    <cellStyle name="Note 30 3 2 4 2" xfId="22726"/>
    <cellStyle name="Note 30 3 2 4 2 2" xfId="43912"/>
    <cellStyle name="Note 30 3 2 4 3" xfId="33308"/>
    <cellStyle name="Note 30 3 2 5" xfId="17613"/>
    <cellStyle name="Note 30 3 2 5 2" xfId="38800"/>
    <cellStyle name="Note 30 3 2 6" xfId="27920"/>
    <cellStyle name="Note 30 3 2_Table 2A-1_EFT (Annual)" xfId="7423"/>
    <cellStyle name="Note 30 3 3" xfId="989"/>
    <cellStyle name="Note 30 3 3 2" xfId="4550"/>
    <cellStyle name="Note 30 3 3 2 2" xfId="12810"/>
    <cellStyle name="Note 30 3 3 2 2 2" xfId="24816"/>
    <cellStyle name="Note 30 3 3 2 2 2 2" xfId="46002"/>
    <cellStyle name="Note 30 3 3 2 2 3" xfId="35398"/>
    <cellStyle name="Note 30 3 3 2 3" xfId="19703"/>
    <cellStyle name="Note 30 3 3 2 3 2" xfId="40890"/>
    <cellStyle name="Note 30 3 3 2 4" xfId="30207"/>
    <cellStyle name="Note 30 3 3 2_Table 2A-1_EFT (Annual)" xfId="15766"/>
    <cellStyle name="Note 30 3 3 3" xfId="10154"/>
    <cellStyle name="Note 30 3 3 3 2" xfId="22270"/>
    <cellStyle name="Note 30 3 3 3 2 2" xfId="43456"/>
    <cellStyle name="Note 30 3 3 3 3" xfId="32852"/>
    <cellStyle name="Note 30 3 3 4" xfId="17157"/>
    <cellStyle name="Note 30 3 3 4 2" xfId="38344"/>
    <cellStyle name="Note 30 3 3 5" xfId="27464"/>
    <cellStyle name="Note 30 3 3_Table 2A-1_EFT (Annual)" xfId="7425"/>
    <cellStyle name="Note 30 3 4" xfId="2184"/>
    <cellStyle name="Note 30 3 4 2" xfId="5745"/>
    <cellStyle name="Note 30 3 4 2 2" xfId="13960"/>
    <cellStyle name="Note 30 3 4 2 2 2" xfId="25948"/>
    <cellStyle name="Note 30 3 4 2 2 2 2" xfId="47134"/>
    <cellStyle name="Note 30 3 4 2 2 3" xfId="36530"/>
    <cellStyle name="Note 30 3 4 2 3" xfId="20835"/>
    <cellStyle name="Note 30 3 4 2 3 2" xfId="42022"/>
    <cellStyle name="Note 30 3 4 2 4" xfId="31402"/>
    <cellStyle name="Note 30 3 4 2_Table 2A-1_EFT (Annual)" xfId="15767"/>
    <cellStyle name="Note 30 3 4 3" xfId="11304"/>
    <cellStyle name="Note 30 3 4 3 2" xfId="23402"/>
    <cellStyle name="Note 30 3 4 3 2 2" xfId="44588"/>
    <cellStyle name="Note 30 3 4 3 3" xfId="33984"/>
    <cellStyle name="Note 30 3 4 4" xfId="18289"/>
    <cellStyle name="Note 30 3 4 4 2" xfId="39476"/>
    <cellStyle name="Note 30 3 4 5" xfId="28659"/>
    <cellStyle name="Note 30 3 4_Table 2A-1_EFT (Annual)" xfId="7426"/>
    <cellStyle name="Note 30 3 5" xfId="4038"/>
    <cellStyle name="Note 30 3 5 2" xfId="12362"/>
    <cellStyle name="Note 30 3 5 2 2" xfId="24384"/>
    <cellStyle name="Note 30 3 5 2 2 2" xfId="45570"/>
    <cellStyle name="Note 30 3 5 2 3" xfId="34966"/>
    <cellStyle name="Note 30 3 5 3" xfId="19271"/>
    <cellStyle name="Note 30 3 5 3 2" xfId="40458"/>
    <cellStyle name="Note 30 3 5 4" xfId="29726"/>
    <cellStyle name="Note 30 3 5_Table 2A-1_EFT (Annual)" xfId="15768"/>
    <cellStyle name="Note 30 3 6" xfId="9701"/>
    <cellStyle name="Note 30 3 6 2" xfId="21838"/>
    <cellStyle name="Note 30 3 6 2 2" xfId="43024"/>
    <cellStyle name="Note 30 3 6 3" xfId="32420"/>
    <cellStyle name="Note 30 3 7" xfId="16725"/>
    <cellStyle name="Note 30 3 7 2" xfId="37912"/>
    <cellStyle name="Note 30 3 8" xfId="26983"/>
    <cellStyle name="Note 30 3_Table 2A-1_EFT (Annual)" xfId="3293"/>
    <cellStyle name="Note 30 4" xfId="1284"/>
    <cellStyle name="Note 30 4 2" xfId="2554"/>
    <cellStyle name="Note 30 4 2 2" xfId="6115"/>
    <cellStyle name="Note 30 4 2 2 2" xfId="14309"/>
    <cellStyle name="Note 30 4 2 2 2 2" xfId="26281"/>
    <cellStyle name="Note 30 4 2 2 2 2 2" xfId="47467"/>
    <cellStyle name="Note 30 4 2 2 2 3" xfId="36863"/>
    <cellStyle name="Note 30 4 2 2 3" xfId="21168"/>
    <cellStyle name="Note 30 4 2 2 3 2" xfId="42355"/>
    <cellStyle name="Note 30 4 2 2 4" xfId="31771"/>
    <cellStyle name="Note 30 4 2 2_Table 2A-1_EFT (Annual)" xfId="15769"/>
    <cellStyle name="Note 30 4 2 3" xfId="11651"/>
    <cellStyle name="Note 30 4 2 3 2" xfId="23735"/>
    <cellStyle name="Note 30 4 2 3 2 2" xfId="44921"/>
    <cellStyle name="Note 30 4 2 3 3" xfId="34317"/>
    <cellStyle name="Note 30 4 2 4" xfId="18622"/>
    <cellStyle name="Note 30 4 2 4 2" xfId="39809"/>
    <cellStyle name="Note 30 4 2 5" xfId="29028"/>
    <cellStyle name="Note 30 4 2_Table 2A-1_EFT (Annual)" xfId="7428"/>
    <cellStyle name="Note 30 4 3" xfId="4845"/>
    <cellStyle name="Note 30 4 3 2" xfId="13105"/>
    <cellStyle name="Note 30 4 3 2 2" xfId="25111"/>
    <cellStyle name="Note 30 4 3 2 2 2" xfId="46297"/>
    <cellStyle name="Note 30 4 3 2 3" xfId="35693"/>
    <cellStyle name="Note 30 4 3 3" xfId="19998"/>
    <cellStyle name="Note 30 4 3 3 2" xfId="41185"/>
    <cellStyle name="Note 30 4 3 4" xfId="30502"/>
    <cellStyle name="Note 30 4 3_Table 2A-1_EFT (Annual)" xfId="15770"/>
    <cellStyle name="Note 30 4 4" xfId="10449"/>
    <cellStyle name="Note 30 4 4 2" xfId="22565"/>
    <cellStyle name="Note 30 4 4 2 2" xfId="43751"/>
    <cellStyle name="Note 30 4 4 3" xfId="33147"/>
    <cellStyle name="Note 30 4 5" xfId="17452"/>
    <cellStyle name="Note 30 4 5 2" xfId="38639"/>
    <cellStyle name="Note 30 4 6" xfId="27759"/>
    <cellStyle name="Note 30 4_Table 2A-1_EFT (Annual)" xfId="7427"/>
    <cellStyle name="Note 30 5" xfId="834"/>
    <cellStyle name="Note 30 5 2" xfId="4395"/>
    <cellStyle name="Note 30 5 2 2" xfId="12669"/>
    <cellStyle name="Note 30 5 2 2 2" xfId="24686"/>
    <cellStyle name="Note 30 5 2 2 2 2" xfId="45872"/>
    <cellStyle name="Note 30 5 2 2 3" xfId="35268"/>
    <cellStyle name="Note 30 5 2 3" xfId="19573"/>
    <cellStyle name="Note 30 5 2 3 2" xfId="40760"/>
    <cellStyle name="Note 30 5 2 4" xfId="30052"/>
    <cellStyle name="Note 30 5 2_Table 2A-1_EFT (Annual)" xfId="15771"/>
    <cellStyle name="Note 30 5 3" xfId="10018"/>
    <cellStyle name="Note 30 5 3 2" xfId="22140"/>
    <cellStyle name="Note 30 5 3 2 2" xfId="43326"/>
    <cellStyle name="Note 30 5 3 3" xfId="32722"/>
    <cellStyle name="Note 30 5 4" xfId="17027"/>
    <cellStyle name="Note 30 5 4 2" xfId="38214"/>
    <cellStyle name="Note 30 5 5" xfId="27309"/>
    <cellStyle name="Note 30 5_Table 2A-1_EFT (Annual)" xfId="7429"/>
    <cellStyle name="Note 30 6" xfId="2023"/>
    <cellStyle name="Note 30 6 2" xfId="5584"/>
    <cellStyle name="Note 30 6 2 2" xfId="13799"/>
    <cellStyle name="Note 30 6 2 2 2" xfId="25787"/>
    <cellStyle name="Note 30 6 2 2 2 2" xfId="46973"/>
    <cellStyle name="Note 30 6 2 2 3" xfId="36369"/>
    <cellStyle name="Note 30 6 2 3" xfId="20674"/>
    <cellStyle name="Note 30 6 2 3 2" xfId="41861"/>
    <cellStyle name="Note 30 6 2 4" xfId="31241"/>
    <cellStyle name="Note 30 6 2_Table 2A-1_EFT (Annual)" xfId="15772"/>
    <cellStyle name="Note 30 6 3" xfId="11143"/>
    <cellStyle name="Note 30 6 3 2" xfId="23241"/>
    <cellStyle name="Note 30 6 3 2 2" xfId="44427"/>
    <cellStyle name="Note 30 6 3 3" xfId="33823"/>
    <cellStyle name="Note 30 6 4" xfId="18128"/>
    <cellStyle name="Note 30 6 4 2" xfId="39315"/>
    <cellStyle name="Note 30 6 5" xfId="28498"/>
    <cellStyle name="Note 30 6_Table 2A-1_EFT (Annual)" xfId="7430"/>
    <cellStyle name="Note 30 7" xfId="3831"/>
    <cellStyle name="Note 30 7 2" xfId="12194"/>
    <cellStyle name="Note 30 7 2 2" xfId="24223"/>
    <cellStyle name="Note 30 7 2 2 2" xfId="45409"/>
    <cellStyle name="Note 30 7 2 3" xfId="34805"/>
    <cellStyle name="Note 30 7 3" xfId="19110"/>
    <cellStyle name="Note 30 7 3 2" xfId="40297"/>
    <cellStyle name="Note 30 7 4" xfId="29540"/>
    <cellStyle name="Note 30 7_Table 2A-1_EFT (Annual)" xfId="15773"/>
    <cellStyle name="Note 30 8" xfId="9513"/>
    <cellStyle name="Note 30 8 2" xfId="21677"/>
    <cellStyle name="Note 30 8 2 2" xfId="42863"/>
    <cellStyle name="Note 30 8 3" xfId="32259"/>
    <cellStyle name="Note 30 9" xfId="16564"/>
    <cellStyle name="Note 30 9 2" xfId="37751"/>
    <cellStyle name="Note 30_Table 2A-1_EFT (Annual)" xfId="3291"/>
    <cellStyle name="Note 31" xfId="250"/>
    <cellStyle name="Note 31 10" xfId="26805"/>
    <cellStyle name="Note 31 2" xfId="637"/>
    <cellStyle name="Note 31 2 2" xfId="1614"/>
    <cellStyle name="Note 31 2 2 2" xfId="2884"/>
    <cellStyle name="Note 31 2 2 2 2" xfId="6445"/>
    <cellStyle name="Note 31 2 2 2 2 2" xfId="14639"/>
    <cellStyle name="Note 31 2 2 2 2 2 2" xfId="26611"/>
    <cellStyle name="Note 31 2 2 2 2 2 2 2" xfId="47797"/>
    <cellStyle name="Note 31 2 2 2 2 2 3" xfId="37193"/>
    <cellStyle name="Note 31 2 2 2 2 3" xfId="21498"/>
    <cellStyle name="Note 31 2 2 2 2 3 2" xfId="42685"/>
    <cellStyle name="Note 31 2 2 2 2 4" xfId="32101"/>
    <cellStyle name="Note 31 2 2 2 2_Table 2A-1_EFT (Annual)" xfId="15774"/>
    <cellStyle name="Note 31 2 2 2 3" xfId="11981"/>
    <cellStyle name="Note 31 2 2 2 3 2" xfId="24065"/>
    <cellStyle name="Note 31 2 2 2 3 2 2" xfId="45251"/>
    <cellStyle name="Note 31 2 2 2 3 3" xfId="34647"/>
    <cellStyle name="Note 31 2 2 2 4" xfId="18952"/>
    <cellStyle name="Note 31 2 2 2 4 2" xfId="40139"/>
    <cellStyle name="Note 31 2 2 2 5" xfId="29358"/>
    <cellStyle name="Note 31 2 2 2_Table 2A-1_EFT (Annual)" xfId="7432"/>
    <cellStyle name="Note 31 2 2 3" xfId="5175"/>
    <cellStyle name="Note 31 2 2 3 2" xfId="13435"/>
    <cellStyle name="Note 31 2 2 3 2 2" xfId="25441"/>
    <cellStyle name="Note 31 2 2 3 2 2 2" xfId="46627"/>
    <cellStyle name="Note 31 2 2 3 2 3" xfId="36023"/>
    <cellStyle name="Note 31 2 2 3 3" xfId="20328"/>
    <cellStyle name="Note 31 2 2 3 3 2" xfId="41515"/>
    <cellStyle name="Note 31 2 2 3 4" xfId="30832"/>
    <cellStyle name="Note 31 2 2 3_Table 2A-1_EFT (Annual)" xfId="15775"/>
    <cellStyle name="Note 31 2 2 4" xfId="10779"/>
    <cellStyle name="Note 31 2 2 4 2" xfId="22895"/>
    <cellStyle name="Note 31 2 2 4 2 2" xfId="44081"/>
    <cellStyle name="Note 31 2 2 4 3" xfId="33477"/>
    <cellStyle name="Note 31 2 2 5" xfId="17782"/>
    <cellStyle name="Note 31 2 2 5 2" xfId="38969"/>
    <cellStyle name="Note 31 2 2 6" xfId="28089"/>
    <cellStyle name="Note 31 2 2_Table 2A-1_EFT (Annual)" xfId="7431"/>
    <cellStyle name="Note 31 2 3" xfId="1126"/>
    <cellStyle name="Note 31 2 3 2" xfId="4687"/>
    <cellStyle name="Note 31 2 3 2 2" xfId="12947"/>
    <cellStyle name="Note 31 2 3 2 2 2" xfId="24953"/>
    <cellStyle name="Note 31 2 3 2 2 2 2" xfId="46139"/>
    <cellStyle name="Note 31 2 3 2 2 3" xfId="35535"/>
    <cellStyle name="Note 31 2 3 2 3" xfId="19840"/>
    <cellStyle name="Note 31 2 3 2 3 2" xfId="41027"/>
    <cellStyle name="Note 31 2 3 2 4" xfId="30344"/>
    <cellStyle name="Note 31 2 3 2_Table 2A-1_EFT (Annual)" xfId="15776"/>
    <cellStyle name="Note 31 2 3 3" xfId="10291"/>
    <cellStyle name="Note 31 2 3 3 2" xfId="22407"/>
    <cellStyle name="Note 31 2 3 3 2 2" xfId="43593"/>
    <cellStyle name="Note 31 2 3 3 3" xfId="32989"/>
    <cellStyle name="Note 31 2 3 4" xfId="17294"/>
    <cellStyle name="Note 31 2 3 4 2" xfId="38481"/>
    <cellStyle name="Note 31 2 3 5" xfId="27601"/>
    <cellStyle name="Note 31 2 3_Table 2A-1_EFT (Annual)" xfId="7433"/>
    <cellStyle name="Note 31 2 4" xfId="2353"/>
    <cellStyle name="Note 31 2 4 2" xfId="5914"/>
    <cellStyle name="Note 31 2 4 2 2" xfId="14129"/>
    <cellStyle name="Note 31 2 4 2 2 2" xfId="26117"/>
    <cellStyle name="Note 31 2 4 2 2 2 2" xfId="47303"/>
    <cellStyle name="Note 31 2 4 2 2 3" xfId="36699"/>
    <cellStyle name="Note 31 2 4 2 3" xfId="21004"/>
    <cellStyle name="Note 31 2 4 2 3 2" xfId="42191"/>
    <cellStyle name="Note 31 2 4 2 4" xfId="31571"/>
    <cellStyle name="Note 31 2 4 2_Table 2A-1_EFT (Annual)" xfId="15777"/>
    <cellStyle name="Note 31 2 4 3" xfId="11473"/>
    <cellStyle name="Note 31 2 4 3 2" xfId="23571"/>
    <cellStyle name="Note 31 2 4 3 2 2" xfId="44757"/>
    <cellStyle name="Note 31 2 4 3 3" xfId="34153"/>
    <cellStyle name="Note 31 2 4 4" xfId="18458"/>
    <cellStyle name="Note 31 2 4 4 2" xfId="39645"/>
    <cellStyle name="Note 31 2 4 5" xfId="28828"/>
    <cellStyle name="Note 31 2 4_Table 2A-1_EFT (Annual)" xfId="7434"/>
    <cellStyle name="Note 31 2 5" xfId="4207"/>
    <cellStyle name="Note 31 2 5 2" xfId="12531"/>
    <cellStyle name="Note 31 2 5 2 2" xfId="24553"/>
    <cellStyle name="Note 31 2 5 2 2 2" xfId="45739"/>
    <cellStyle name="Note 31 2 5 2 3" xfId="35135"/>
    <cellStyle name="Note 31 2 5 3" xfId="19440"/>
    <cellStyle name="Note 31 2 5 3 2" xfId="40627"/>
    <cellStyle name="Note 31 2 5 4" xfId="29895"/>
    <cellStyle name="Note 31 2 5_Table 2A-1_EFT (Annual)" xfId="15778"/>
    <cellStyle name="Note 31 2 6" xfId="9870"/>
    <cellStyle name="Note 31 2 6 2" xfId="22007"/>
    <cellStyle name="Note 31 2 6 2 2" xfId="43193"/>
    <cellStyle name="Note 31 2 6 3" xfId="32589"/>
    <cellStyle name="Note 31 2 7" xfId="16894"/>
    <cellStyle name="Note 31 2 7 2" xfId="38081"/>
    <cellStyle name="Note 31 2 8" xfId="27152"/>
    <cellStyle name="Note 31 2_Table 2A-1_EFT (Annual)" xfId="3295"/>
    <cellStyle name="Note 31 3" xfId="476"/>
    <cellStyle name="Note 31 3 2" xfId="1453"/>
    <cellStyle name="Note 31 3 2 2" xfId="2723"/>
    <cellStyle name="Note 31 3 2 2 2" xfId="6284"/>
    <cellStyle name="Note 31 3 2 2 2 2" xfId="14478"/>
    <cellStyle name="Note 31 3 2 2 2 2 2" xfId="26450"/>
    <cellStyle name="Note 31 3 2 2 2 2 2 2" xfId="47636"/>
    <cellStyle name="Note 31 3 2 2 2 2 3" xfId="37032"/>
    <cellStyle name="Note 31 3 2 2 2 3" xfId="21337"/>
    <cellStyle name="Note 31 3 2 2 2 3 2" xfId="42524"/>
    <cellStyle name="Note 31 3 2 2 2 4" xfId="31940"/>
    <cellStyle name="Note 31 3 2 2 2_Table 2A-1_EFT (Annual)" xfId="15779"/>
    <cellStyle name="Note 31 3 2 2 3" xfId="11820"/>
    <cellStyle name="Note 31 3 2 2 3 2" xfId="23904"/>
    <cellStyle name="Note 31 3 2 2 3 2 2" xfId="45090"/>
    <cellStyle name="Note 31 3 2 2 3 3" xfId="34486"/>
    <cellStyle name="Note 31 3 2 2 4" xfId="18791"/>
    <cellStyle name="Note 31 3 2 2 4 2" xfId="39978"/>
    <cellStyle name="Note 31 3 2 2 5" xfId="29197"/>
    <cellStyle name="Note 31 3 2 2_Table 2A-1_EFT (Annual)" xfId="7436"/>
    <cellStyle name="Note 31 3 2 3" xfId="5014"/>
    <cellStyle name="Note 31 3 2 3 2" xfId="13274"/>
    <cellStyle name="Note 31 3 2 3 2 2" xfId="25280"/>
    <cellStyle name="Note 31 3 2 3 2 2 2" xfId="46466"/>
    <cellStyle name="Note 31 3 2 3 2 3" xfId="35862"/>
    <cellStyle name="Note 31 3 2 3 3" xfId="20167"/>
    <cellStyle name="Note 31 3 2 3 3 2" xfId="41354"/>
    <cellStyle name="Note 31 3 2 3 4" xfId="30671"/>
    <cellStyle name="Note 31 3 2 3_Table 2A-1_EFT (Annual)" xfId="15780"/>
    <cellStyle name="Note 31 3 2 4" xfId="10618"/>
    <cellStyle name="Note 31 3 2 4 2" xfId="22734"/>
    <cellStyle name="Note 31 3 2 4 2 2" xfId="43920"/>
    <cellStyle name="Note 31 3 2 4 3" xfId="33316"/>
    <cellStyle name="Note 31 3 2 5" xfId="17621"/>
    <cellStyle name="Note 31 3 2 5 2" xfId="38808"/>
    <cellStyle name="Note 31 3 2 6" xfId="27928"/>
    <cellStyle name="Note 31 3 2_Table 2A-1_EFT (Annual)" xfId="7435"/>
    <cellStyle name="Note 31 3 3" xfId="996"/>
    <cellStyle name="Note 31 3 3 2" xfId="4557"/>
    <cellStyle name="Note 31 3 3 2 2" xfId="12817"/>
    <cellStyle name="Note 31 3 3 2 2 2" xfId="24823"/>
    <cellStyle name="Note 31 3 3 2 2 2 2" xfId="46009"/>
    <cellStyle name="Note 31 3 3 2 2 3" xfId="35405"/>
    <cellStyle name="Note 31 3 3 2 3" xfId="19710"/>
    <cellStyle name="Note 31 3 3 2 3 2" xfId="40897"/>
    <cellStyle name="Note 31 3 3 2 4" xfId="30214"/>
    <cellStyle name="Note 31 3 3 2_Table 2A-1_EFT (Annual)" xfId="15781"/>
    <cellStyle name="Note 31 3 3 3" xfId="10161"/>
    <cellStyle name="Note 31 3 3 3 2" xfId="22277"/>
    <cellStyle name="Note 31 3 3 3 2 2" xfId="43463"/>
    <cellStyle name="Note 31 3 3 3 3" xfId="32859"/>
    <cellStyle name="Note 31 3 3 4" xfId="17164"/>
    <cellStyle name="Note 31 3 3 4 2" xfId="38351"/>
    <cellStyle name="Note 31 3 3 5" xfId="27471"/>
    <cellStyle name="Note 31 3 3_Table 2A-1_EFT (Annual)" xfId="7437"/>
    <cellStyle name="Note 31 3 4" xfId="2192"/>
    <cellStyle name="Note 31 3 4 2" xfId="5753"/>
    <cellStyle name="Note 31 3 4 2 2" xfId="13968"/>
    <cellStyle name="Note 31 3 4 2 2 2" xfId="25956"/>
    <cellStyle name="Note 31 3 4 2 2 2 2" xfId="47142"/>
    <cellStyle name="Note 31 3 4 2 2 3" xfId="36538"/>
    <cellStyle name="Note 31 3 4 2 3" xfId="20843"/>
    <cellStyle name="Note 31 3 4 2 3 2" xfId="42030"/>
    <cellStyle name="Note 31 3 4 2 4" xfId="31410"/>
    <cellStyle name="Note 31 3 4 2_Table 2A-1_EFT (Annual)" xfId="15782"/>
    <cellStyle name="Note 31 3 4 3" xfId="11312"/>
    <cellStyle name="Note 31 3 4 3 2" xfId="23410"/>
    <cellStyle name="Note 31 3 4 3 2 2" xfId="44596"/>
    <cellStyle name="Note 31 3 4 3 3" xfId="33992"/>
    <cellStyle name="Note 31 3 4 4" xfId="18297"/>
    <cellStyle name="Note 31 3 4 4 2" xfId="39484"/>
    <cellStyle name="Note 31 3 4 5" xfId="28667"/>
    <cellStyle name="Note 31 3 4_Table 2A-1_EFT (Annual)" xfId="7438"/>
    <cellStyle name="Note 31 3 5" xfId="4046"/>
    <cellStyle name="Note 31 3 5 2" xfId="12370"/>
    <cellStyle name="Note 31 3 5 2 2" xfId="24392"/>
    <cellStyle name="Note 31 3 5 2 2 2" xfId="45578"/>
    <cellStyle name="Note 31 3 5 2 3" xfId="34974"/>
    <cellStyle name="Note 31 3 5 3" xfId="19279"/>
    <cellStyle name="Note 31 3 5 3 2" xfId="40466"/>
    <cellStyle name="Note 31 3 5 4" xfId="29734"/>
    <cellStyle name="Note 31 3 5_Table 2A-1_EFT (Annual)" xfId="15783"/>
    <cellStyle name="Note 31 3 6" xfId="9709"/>
    <cellStyle name="Note 31 3 6 2" xfId="21846"/>
    <cellStyle name="Note 31 3 6 2 2" xfId="43032"/>
    <cellStyle name="Note 31 3 6 3" xfId="32428"/>
    <cellStyle name="Note 31 3 7" xfId="16733"/>
    <cellStyle name="Note 31 3 7 2" xfId="37920"/>
    <cellStyle name="Note 31 3 8" xfId="26991"/>
    <cellStyle name="Note 31 3_Table 2A-1_EFT (Annual)" xfId="3296"/>
    <cellStyle name="Note 31 4" xfId="1292"/>
    <cellStyle name="Note 31 4 2" xfId="2562"/>
    <cellStyle name="Note 31 4 2 2" xfId="6123"/>
    <cellStyle name="Note 31 4 2 2 2" xfId="14317"/>
    <cellStyle name="Note 31 4 2 2 2 2" xfId="26289"/>
    <cellStyle name="Note 31 4 2 2 2 2 2" xfId="47475"/>
    <cellStyle name="Note 31 4 2 2 2 3" xfId="36871"/>
    <cellStyle name="Note 31 4 2 2 3" xfId="21176"/>
    <cellStyle name="Note 31 4 2 2 3 2" xfId="42363"/>
    <cellStyle name="Note 31 4 2 2 4" xfId="31779"/>
    <cellStyle name="Note 31 4 2 2_Table 2A-1_EFT (Annual)" xfId="15784"/>
    <cellStyle name="Note 31 4 2 3" xfId="11659"/>
    <cellStyle name="Note 31 4 2 3 2" xfId="23743"/>
    <cellStyle name="Note 31 4 2 3 2 2" xfId="44929"/>
    <cellStyle name="Note 31 4 2 3 3" xfId="34325"/>
    <cellStyle name="Note 31 4 2 4" xfId="18630"/>
    <cellStyle name="Note 31 4 2 4 2" xfId="39817"/>
    <cellStyle name="Note 31 4 2 5" xfId="29036"/>
    <cellStyle name="Note 31 4 2_Table 2A-1_EFT (Annual)" xfId="7440"/>
    <cellStyle name="Note 31 4 3" xfId="4853"/>
    <cellStyle name="Note 31 4 3 2" xfId="13113"/>
    <cellStyle name="Note 31 4 3 2 2" xfId="25119"/>
    <cellStyle name="Note 31 4 3 2 2 2" xfId="46305"/>
    <cellStyle name="Note 31 4 3 2 3" xfId="35701"/>
    <cellStyle name="Note 31 4 3 3" xfId="20006"/>
    <cellStyle name="Note 31 4 3 3 2" xfId="41193"/>
    <cellStyle name="Note 31 4 3 4" xfId="30510"/>
    <cellStyle name="Note 31 4 3_Table 2A-1_EFT (Annual)" xfId="15785"/>
    <cellStyle name="Note 31 4 4" xfId="10457"/>
    <cellStyle name="Note 31 4 4 2" xfId="22573"/>
    <cellStyle name="Note 31 4 4 2 2" xfId="43759"/>
    <cellStyle name="Note 31 4 4 3" xfId="33155"/>
    <cellStyle name="Note 31 4 5" xfId="17460"/>
    <cellStyle name="Note 31 4 5 2" xfId="38647"/>
    <cellStyle name="Note 31 4 6" xfId="27767"/>
    <cellStyle name="Note 31 4_Table 2A-1_EFT (Annual)" xfId="7439"/>
    <cellStyle name="Note 31 5" xfId="841"/>
    <cellStyle name="Note 31 5 2" xfId="4402"/>
    <cellStyle name="Note 31 5 2 2" xfId="12676"/>
    <cellStyle name="Note 31 5 2 2 2" xfId="24693"/>
    <cellStyle name="Note 31 5 2 2 2 2" xfId="45879"/>
    <cellStyle name="Note 31 5 2 2 3" xfId="35275"/>
    <cellStyle name="Note 31 5 2 3" xfId="19580"/>
    <cellStyle name="Note 31 5 2 3 2" xfId="40767"/>
    <cellStyle name="Note 31 5 2 4" xfId="30059"/>
    <cellStyle name="Note 31 5 2_Table 2A-1_EFT (Annual)" xfId="15786"/>
    <cellStyle name="Note 31 5 3" xfId="10025"/>
    <cellStyle name="Note 31 5 3 2" xfId="22147"/>
    <cellStyle name="Note 31 5 3 2 2" xfId="43333"/>
    <cellStyle name="Note 31 5 3 3" xfId="32729"/>
    <cellStyle name="Note 31 5 4" xfId="17034"/>
    <cellStyle name="Note 31 5 4 2" xfId="38221"/>
    <cellStyle name="Note 31 5 5" xfId="27316"/>
    <cellStyle name="Note 31 5_Table 2A-1_EFT (Annual)" xfId="7441"/>
    <cellStyle name="Note 31 6" xfId="2031"/>
    <cellStyle name="Note 31 6 2" xfId="5592"/>
    <cellStyle name="Note 31 6 2 2" xfId="13807"/>
    <cellStyle name="Note 31 6 2 2 2" xfId="25795"/>
    <cellStyle name="Note 31 6 2 2 2 2" xfId="46981"/>
    <cellStyle name="Note 31 6 2 2 3" xfId="36377"/>
    <cellStyle name="Note 31 6 2 3" xfId="20682"/>
    <cellStyle name="Note 31 6 2 3 2" xfId="41869"/>
    <cellStyle name="Note 31 6 2 4" xfId="31249"/>
    <cellStyle name="Note 31 6 2_Table 2A-1_EFT (Annual)" xfId="15787"/>
    <cellStyle name="Note 31 6 3" xfId="11151"/>
    <cellStyle name="Note 31 6 3 2" xfId="23249"/>
    <cellStyle name="Note 31 6 3 2 2" xfId="44435"/>
    <cellStyle name="Note 31 6 3 3" xfId="33831"/>
    <cellStyle name="Note 31 6 4" xfId="18136"/>
    <cellStyle name="Note 31 6 4 2" xfId="39323"/>
    <cellStyle name="Note 31 6 5" xfId="28506"/>
    <cellStyle name="Note 31 6_Table 2A-1_EFT (Annual)" xfId="7442"/>
    <cellStyle name="Note 31 7" xfId="3839"/>
    <cellStyle name="Note 31 7 2" xfId="12202"/>
    <cellStyle name="Note 31 7 2 2" xfId="24231"/>
    <cellStyle name="Note 31 7 2 2 2" xfId="45417"/>
    <cellStyle name="Note 31 7 2 3" xfId="34813"/>
    <cellStyle name="Note 31 7 3" xfId="19118"/>
    <cellStyle name="Note 31 7 3 2" xfId="40305"/>
    <cellStyle name="Note 31 7 4" xfId="29548"/>
    <cellStyle name="Note 31 7_Table 2A-1_EFT (Annual)" xfId="15788"/>
    <cellStyle name="Note 31 8" xfId="9521"/>
    <cellStyle name="Note 31 8 2" xfId="21685"/>
    <cellStyle name="Note 31 8 2 2" xfId="42871"/>
    <cellStyle name="Note 31 8 3" xfId="32267"/>
    <cellStyle name="Note 31 9" xfId="16572"/>
    <cellStyle name="Note 31 9 2" xfId="37759"/>
    <cellStyle name="Note 31_Table 2A-1_EFT (Annual)" xfId="3294"/>
    <cellStyle name="Note 32" xfId="234"/>
    <cellStyle name="Note 32 10" xfId="26789"/>
    <cellStyle name="Note 32 2" xfId="621"/>
    <cellStyle name="Note 32 2 2" xfId="1598"/>
    <cellStyle name="Note 32 2 2 2" xfId="2868"/>
    <cellStyle name="Note 32 2 2 2 2" xfId="6429"/>
    <cellStyle name="Note 32 2 2 2 2 2" xfId="14623"/>
    <cellStyle name="Note 32 2 2 2 2 2 2" xfId="26595"/>
    <cellStyle name="Note 32 2 2 2 2 2 2 2" xfId="47781"/>
    <cellStyle name="Note 32 2 2 2 2 2 3" xfId="37177"/>
    <cellStyle name="Note 32 2 2 2 2 3" xfId="21482"/>
    <cellStyle name="Note 32 2 2 2 2 3 2" xfId="42669"/>
    <cellStyle name="Note 32 2 2 2 2 4" xfId="32085"/>
    <cellStyle name="Note 32 2 2 2 2_Table 2A-1_EFT (Annual)" xfId="15789"/>
    <cellStyle name="Note 32 2 2 2 3" xfId="11965"/>
    <cellStyle name="Note 32 2 2 2 3 2" xfId="24049"/>
    <cellStyle name="Note 32 2 2 2 3 2 2" xfId="45235"/>
    <cellStyle name="Note 32 2 2 2 3 3" xfId="34631"/>
    <cellStyle name="Note 32 2 2 2 4" xfId="18936"/>
    <cellStyle name="Note 32 2 2 2 4 2" xfId="40123"/>
    <cellStyle name="Note 32 2 2 2 5" xfId="29342"/>
    <cellStyle name="Note 32 2 2 2_Table 2A-1_EFT (Annual)" xfId="7444"/>
    <cellStyle name="Note 32 2 2 3" xfId="5159"/>
    <cellStyle name="Note 32 2 2 3 2" xfId="13419"/>
    <cellStyle name="Note 32 2 2 3 2 2" xfId="25425"/>
    <cellStyle name="Note 32 2 2 3 2 2 2" xfId="46611"/>
    <cellStyle name="Note 32 2 2 3 2 3" xfId="36007"/>
    <cellStyle name="Note 32 2 2 3 3" xfId="20312"/>
    <cellStyle name="Note 32 2 2 3 3 2" xfId="41499"/>
    <cellStyle name="Note 32 2 2 3 4" xfId="30816"/>
    <cellStyle name="Note 32 2 2 3_Table 2A-1_EFT (Annual)" xfId="15790"/>
    <cellStyle name="Note 32 2 2 4" xfId="10763"/>
    <cellStyle name="Note 32 2 2 4 2" xfId="22879"/>
    <cellStyle name="Note 32 2 2 4 2 2" xfId="44065"/>
    <cellStyle name="Note 32 2 2 4 3" xfId="33461"/>
    <cellStyle name="Note 32 2 2 5" xfId="17766"/>
    <cellStyle name="Note 32 2 2 5 2" xfId="38953"/>
    <cellStyle name="Note 32 2 2 6" xfId="28073"/>
    <cellStyle name="Note 32 2 2_Table 2A-1_EFT (Annual)" xfId="7443"/>
    <cellStyle name="Note 32 2 3" xfId="1113"/>
    <cellStyle name="Note 32 2 3 2" xfId="4674"/>
    <cellStyle name="Note 32 2 3 2 2" xfId="12934"/>
    <cellStyle name="Note 32 2 3 2 2 2" xfId="24940"/>
    <cellStyle name="Note 32 2 3 2 2 2 2" xfId="46126"/>
    <cellStyle name="Note 32 2 3 2 2 3" xfId="35522"/>
    <cellStyle name="Note 32 2 3 2 3" xfId="19827"/>
    <cellStyle name="Note 32 2 3 2 3 2" xfId="41014"/>
    <cellStyle name="Note 32 2 3 2 4" xfId="30331"/>
    <cellStyle name="Note 32 2 3 2_Table 2A-1_EFT (Annual)" xfId="15791"/>
    <cellStyle name="Note 32 2 3 3" xfId="10278"/>
    <cellStyle name="Note 32 2 3 3 2" xfId="22394"/>
    <cellStyle name="Note 32 2 3 3 2 2" xfId="43580"/>
    <cellStyle name="Note 32 2 3 3 3" xfId="32976"/>
    <cellStyle name="Note 32 2 3 4" xfId="17281"/>
    <cellStyle name="Note 32 2 3 4 2" xfId="38468"/>
    <cellStyle name="Note 32 2 3 5" xfId="27588"/>
    <cellStyle name="Note 32 2 3_Table 2A-1_EFT (Annual)" xfId="7445"/>
    <cellStyle name="Note 32 2 4" xfId="2337"/>
    <cellStyle name="Note 32 2 4 2" xfId="5898"/>
    <cellStyle name="Note 32 2 4 2 2" xfId="14113"/>
    <cellStyle name="Note 32 2 4 2 2 2" xfId="26101"/>
    <cellStyle name="Note 32 2 4 2 2 2 2" xfId="47287"/>
    <cellStyle name="Note 32 2 4 2 2 3" xfId="36683"/>
    <cellStyle name="Note 32 2 4 2 3" xfId="20988"/>
    <cellStyle name="Note 32 2 4 2 3 2" xfId="42175"/>
    <cellStyle name="Note 32 2 4 2 4" xfId="31555"/>
    <cellStyle name="Note 32 2 4 2_Table 2A-1_EFT (Annual)" xfId="15792"/>
    <cellStyle name="Note 32 2 4 3" xfId="11457"/>
    <cellStyle name="Note 32 2 4 3 2" xfId="23555"/>
    <cellStyle name="Note 32 2 4 3 2 2" xfId="44741"/>
    <cellStyle name="Note 32 2 4 3 3" xfId="34137"/>
    <cellStyle name="Note 32 2 4 4" xfId="18442"/>
    <cellStyle name="Note 32 2 4 4 2" xfId="39629"/>
    <cellStyle name="Note 32 2 4 5" xfId="28812"/>
    <cellStyle name="Note 32 2 4_Table 2A-1_EFT (Annual)" xfId="7446"/>
    <cellStyle name="Note 32 2 5" xfId="4191"/>
    <cellStyle name="Note 32 2 5 2" xfId="12515"/>
    <cellStyle name="Note 32 2 5 2 2" xfId="24537"/>
    <cellStyle name="Note 32 2 5 2 2 2" xfId="45723"/>
    <cellStyle name="Note 32 2 5 2 3" xfId="35119"/>
    <cellStyle name="Note 32 2 5 3" xfId="19424"/>
    <cellStyle name="Note 32 2 5 3 2" xfId="40611"/>
    <cellStyle name="Note 32 2 5 4" xfId="29879"/>
    <cellStyle name="Note 32 2 5_Table 2A-1_EFT (Annual)" xfId="15793"/>
    <cellStyle name="Note 32 2 6" xfId="9854"/>
    <cellStyle name="Note 32 2 6 2" xfId="21991"/>
    <cellStyle name="Note 32 2 6 2 2" xfId="43177"/>
    <cellStyle name="Note 32 2 6 3" xfId="32573"/>
    <cellStyle name="Note 32 2 7" xfId="16878"/>
    <cellStyle name="Note 32 2 7 2" xfId="38065"/>
    <cellStyle name="Note 32 2 8" xfId="27136"/>
    <cellStyle name="Note 32 2_Table 2A-1_EFT (Annual)" xfId="3298"/>
    <cellStyle name="Note 32 3" xfId="460"/>
    <cellStyle name="Note 32 3 2" xfId="1437"/>
    <cellStyle name="Note 32 3 2 2" xfId="2707"/>
    <cellStyle name="Note 32 3 2 2 2" xfId="6268"/>
    <cellStyle name="Note 32 3 2 2 2 2" xfId="14462"/>
    <cellStyle name="Note 32 3 2 2 2 2 2" xfId="26434"/>
    <cellStyle name="Note 32 3 2 2 2 2 2 2" xfId="47620"/>
    <cellStyle name="Note 32 3 2 2 2 2 3" xfId="37016"/>
    <cellStyle name="Note 32 3 2 2 2 3" xfId="21321"/>
    <cellStyle name="Note 32 3 2 2 2 3 2" xfId="42508"/>
    <cellStyle name="Note 32 3 2 2 2 4" xfId="31924"/>
    <cellStyle name="Note 32 3 2 2 2_Table 2A-1_EFT (Annual)" xfId="15794"/>
    <cellStyle name="Note 32 3 2 2 3" xfId="11804"/>
    <cellStyle name="Note 32 3 2 2 3 2" xfId="23888"/>
    <cellStyle name="Note 32 3 2 2 3 2 2" xfId="45074"/>
    <cellStyle name="Note 32 3 2 2 3 3" xfId="34470"/>
    <cellStyle name="Note 32 3 2 2 4" xfId="18775"/>
    <cellStyle name="Note 32 3 2 2 4 2" xfId="39962"/>
    <cellStyle name="Note 32 3 2 2 5" xfId="29181"/>
    <cellStyle name="Note 32 3 2 2_Table 2A-1_EFT (Annual)" xfId="7448"/>
    <cellStyle name="Note 32 3 2 3" xfId="4998"/>
    <cellStyle name="Note 32 3 2 3 2" xfId="13258"/>
    <cellStyle name="Note 32 3 2 3 2 2" xfId="25264"/>
    <cellStyle name="Note 32 3 2 3 2 2 2" xfId="46450"/>
    <cellStyle name="Note 32 3 2 3 2 3" xfId="35846"/>
    <cellStyle name="Note 32 3 2 3 3" xfId="20151"/>
    <cellStyle name="Note 32 3 2 3 3 2" xfId="41338"/>
    <cellStyle name="Note 32 3 2 3 4" xfId="30655"/>
    <cellStyle name="Note 32 3 2 3_Table 2A-1_EFT (Annual)" xfId="15795"/>
    <cellStyle name="Note 32 3 2 4" xfId="10602"/>
    <cellStyle name="Note 32 3 2 4 2" xfId="22718"/>
    <cellStyle name="Note 32 3 2 4 2 2" xfId="43904"/>
    <cellStyle name="Note 32 3 2 4 3" xfId="33300"/>
    <cellStyle name="Note 32 3 2 5" xfId="17605"/>
    <cellStyle name="Note 32 3 2 5 2" xfId="38792"/>
    <cellStyle name="Note 32 3 2 6" xfId="27912"/>
    <cellStyle name="Note 32 3 2_Table 2A-1_EFT (Annual)" xfId="7447"/>
    <cellStyle name="Note 32 3 3" xfId="983"/>
    <cellStyle name="Note 32 3 3 2" xfId="4544"/>
    <cellStyle name="Note 32 3 3 2 2" xfId="12804"/>
    <cellStyle name="Note 32 3 3 2 2 2" xfId="24810"/>
    <cellStyle name="Note 32 3 3 2 2 2 2" xfId="45996"/>
    <cellStyle name="Note 32 3 3 2 2 3" xfId="35392"/>
    <cellStyle name="Note 32 3 3 2 3" xfId="19697"/>
    <cellStyle name="Note 32 3 3 2 3 2" xfId="40884"/>
    <cellStyle name="Note 32 3 3 2 4" xfId="30201"/>
    <cellStyle name="Note 32 3 3 2_Table 2A-1_EFT (Annual)" xfId="15796"/>
    <cellStyle name="Note 32 3 3 3" xfId="10148"/>
    <cellStyle name="Note 32 3 3 3 2" xfId="22264"/>
    <cellStyle name="Note 32 3 3 3 2 2" xfId="43450"/>
    <cellStyle name="Note 32 3 3 3 3" xfId="32846"/>
    <cellStyle name="Note 32 3 3 4" xfId="17151"/>
    <cellStyle name="Note 32 3 3 4 2" xfId="38338"/>
    <cellStyle name="Note 32 3 3 5" xfId="27458"/>
    <cellStyle name="Note 32 3 3_Table 2A-1_EFT (Annual)" xfId="7449"/>
    <cellStyle name="Note 32 3 4" xfId="2176"/>
    <cellStyle name="Note 32 3 4 2" xfId="5737"/>
    <cellStyle name="Note 32 3 4 2 2" xfId="13952"/>
    <cellStyle name="Note 32 3 4 2 2 2" xfId="25940"/>
    <cellStyle name="Note 32 3 4 2 2 2 2" xfId="47126"/>
    <cellStyle name="Note 32 3 4 2 2 3" xfId="36522"/>
    <cellStyle name="Note 32 3 4 2 3" xfId="20827"/>
    <cellStyle name="Note 32 3 4 2 3 2" xfId="42014"/>
    <cellStyle name="Note 32 3 4 2 4" xfId="31394"/>
    <cellStyle name="Note 32 3 4 2_Table 2A-1_EFT (Annual)" xfId="15797"/>
    <cellStyle name="Note 32 3 4 3" xfId="11296"/>
    <cellStyle name="Note 32 3 4 3 2" xfId="23394"/>
    <cellStyle name="Note 32 3 4 3 2 2" xfId="44580"/>
    <cellStyle name="Note 32 3 4 3 3" xfId="33976"/>
    <cellStyle name="Note 32 3 4 4" xfId="18281"/>
    <cellStyle name="Note 32 3 4 4 2" xfId="39468"/>
    <cellStyle name="Note 32 3 4 5" xfId="28651"/>
    <cellStyle name="Note 32 3 4_Table 2A-1_EFT (Annual)" xfId="7450"/>
    <cellStyle name="Note 32 3 5" xfId="4030"/>
    <cellStyle name="Note 32 3 5 2" xfId="12354"/>
    <cellStyle name="Note 32 3 5 2 2" xfId="24376"/>
    <cellStyle name="Note 32 3 5 2 2 2" xfId="45562"/>
    <cellStyle name="Note 32 3 5 2 3" xfId="34958"/>
    <cellStyle name="Note 32 3 5 3" xfId="19263"/>
    <cellStyle name="Note 32 3 5 3 2" xfId="40450"/>
    <cellStyle name="Note 32 3 5 4" xfId="29718"/>
    <cellStyle name="Note 32 3 5_Table 2A-1_EFT (Annual)" xfId="15798"/>
    <cellStyle name="Note 32 3 6" xfId="9693"/>
    <cellStyle name="Note 32 3 6 2" xfId="21830"/>
    <cellStyle name="Note 32 3 6 2 2" xfId="43016"/>
    <cellStyle name="Note 32 3 6 3" xfId="32412"/>
    <cellStyle name="Note 32 3 7" xfId="16717"/>
    <cellStyle name="Note 32 3 7 2" xfId="37904"/>
    <cellStyle name="Note 32 3 8" xfId="26975"/>
    <cellStyle name="Note 32 3_Table 2A-1_EFT (Annual)" xfId="3299"/>
    <cellStyle name="Note 32 4" xfId="1276"/>
    <cellStyle name="Note 32 4 2" xfId="2546"/>
    <cellStyle name="Note 32 4 2 2" xfId="6107"/>
    <cellStyle name="Note 32 4 2 2 2" xfId="14301"/>
    <cellStyle name="Note 32 4 2 2 2 2" xfId="26273"/>
    <cellStyle name="Note 32 4 2 2 2 2 2" xfId="47459"/>
    <cellStyle name="Note 32 4 2 2 2 3" xfId="36855"/>
    <cellStyle name="Note 32 4 2 2 3" xfId="21160"/>
    <cellStyle name="Note 32 4 2 2 3 2" xfId="42347"/>
    <cellStyle name="Note 32 4 2 2 4" xfId="31763"/>
    <cellStyle name="Note 32 4 2 2_Table 2A-1_EFT (Annual)" xfId="15799"/>
    <cellStyle name="Note 32 4 2 3" xfId="11643"/>
    <cellStyle name="Note 32 4 2 3 2" xfId="23727"/>
    <cellStyle name="Note 32 4 2 3 2 2" xfId="44913"/>
    <cellStyle name="Note 32 4 2 3 3" xfId="34309"/>
    <cellStyle name="Note 32 4 2 4" xfId="18614"/>
    <cellStyle name="Note 32 4 2 4 2" xfId="39801"/>
    <cellStyle name="Note 32 4 2 5" xfId="29020"/>
    <cellStyle name="Note 32 4 2_Table 2A-1_EFT (Annual)" xfId="7452"/>
    <cellStyle name="Note 32 4 3" xfId="4837"/>
    <cellStyle name="Note 32 4 3 2" xfId="13097"/>
    <cellStyle name="Note 32 4 3 2 2" xfId="25103"/>
    <cellStyle name="Note 32 4 3 2 2 2" xfId="46289"/>
    <cellStyle name="Note 32 4 3 2 3" xfId="35685"/>
    <cellStyle name="Note 32 4 3 3" xfId="19990"/>
    <cellStyle name="Note 32 4 3 3 2" xfId="41177"/>
    <cellStyle name="Note 32 4 3 4" xfId="30494"/>
    <cellStyle name="Note 32 4 3_Table 2A-1_EFT (Annual)" xfId="15800"/>
    <cellStyle name="Note 32 4 4" xfId="10441"/>
    <cellStyle name="Note 32 4 4 2" xfId="22557"/>
    <cellStyle name="Note 32 4 4 2 2" xfId="43743"/>
    <cellStyle name="Note 32 4 4 3" xfId="33139"/>
    <cellStyle name="Note 32 4 5" xfId="17444"/>
    <cellStyle name="Note 32 4 5 2" xfId="38631"/>
    <cellStyle name="Note 32 4 6" xfId="27751"/>
    <cellStyle name="Note 32 4_Table 2A-1_EFT (Annual)" xfId="7451"/>
    <cellStyle name="Note 32 5" xfId="828"/>
    <cellStyle name="Note 32 5 2" xfId="4389"/>
    <cellStyle name="Note 32 5 2 2" xfId="12663"/>
    <cellStyle name="Note 32 5 2 2 2" xfId="24680"/>
    <cellStyle name="Note 32 5 2 2 2 2" xfId="45866"/>
    <cellStyle name="Note 32 5 2 2 3" xfId="35262"/>
    <cellStyle name="Note 32 5 2 3" xfId="19567"/>
    <cellStyle name="Note 32 5 2 3 2" xfId="40754"/>
    <cellStyle name="Note 32 5 2 4" xfId="30046"/>
    <cellStyle name="Note 32 5 2_Table 2A-1_EFT (Annual)" xfId="15801"/>
    <cellStyle name="Note 32 5 3" xfId="10012"/>
    <cellStyle name="Note 32 5 3 2" xfId="22134"/>
    <cellStyle name="Note 32 5 3 2 2" xfId="43320"/>
    <cellStyle name="Note 32 5 3 3" xfId="32716"/>
    <cellStyle name="Note 32 5 4" xfId="17021"/>
    <cellStyle name="Note 32 5 4 2" xfId="38208"/>
    <cellStyle name="Note 32 5 5" xfId="27303"/>
    <cellStyle name="Note 32 5_Table 2A-1_EFT (Annual)" xfId="7453"/>
    <cellStyle name="Note 32 6" xfId="2015"/>
    <cellStyle name="Note 32 6 2" xfId="5576"/>
    <cellStyle name="Note 32 6 2 2" xfId="13791"/>
    <cellStyle name="Note 32 6 2 2 2" xfId="25779"/>
    <cellStyle name="Note 32 6 2 2 2 2" xfId="46965"/>
    <cellStyle name="Note 32 6 2 2 3" xfId="36361"/>
    <cellStyle name="Note 32 6 2 3" xfId="20666"/>
    <cellStyle name="Note 32 6 2 3 2" xfId="41853"/>
    <cellStyle name="Note 32 6 2 4" xfId="31233"/>
    <cellStyle name="Note 32 6 2_Table 2A-1_EFT (Annual)" xfId="15802"/>
    <cellStyle name="Note 32 6 3" xfId="11135"/>
    <cellStyle name="Note 32 6 3 2" xfId="23233"/>
    <cellStyle name="Note 32 6 3 2 2" xfId="44419"/>
    <cellStyle name="Note 32 6 3 3" xfId="33815"/>
    <cellStyle name="Note 32 6 4" xfId="18120"/>
    <cellStyle name="Note 32 6 4 2" xfId="39307"/>
    <cellStyle name="Note 32 6 5" xfId="28490"/>
    <cellStyle name="Note 32 6_Table 2A-1_EFT (Annual)" xfId="7454"/>
    <cellStyle name="Note 32 7" xfId="3823"/>
    <cellStyle name="Note 32 7 2" xfId="12186"/>
    <cellStyle name="Note 32 7 2 2" xfId="24215"/>
    <cellStyle name="Note 32 7 2 2 2" xfId="45401"/>
    <cellStyle name="Note 32 7 2 3" xfId="34797"/>
    <cellStyle name="Note 32 7 3" xfId="19102"/>
    <cellStyle name="Note 32 7 3 2" xfId="40289"/>
    <cellStyle name="Note 32 7 4" xfId="29532"/>
    <cellStyle name="Note 32 7_Table 2A-1_EFT (Annual)" xfId="15803"/>
    <cellStyle name="Note 32 8" xfId="9505"/>
    <cellStyle name="Note 32 8 2" xfId="21669"/>
    <cellStyle name="Note 32 8 2 2" xfId="42855"/>
    <cellStyle name="Note 32 8 3" xfId="32251"/>
    <cellStyle name="Note 32 9" xfId="16556"/>
    <cellStyle name="Note 32 9 2" xfId="37743"/>
    <cellStyle name="Note 32_Table 2A-1_EFT (Annual)" xfId="3297"/>
    <cellStyle name="Note 33" xfId="205"/>
    <cellStyle name="Note 33 2" xfId="598"/>
    <cellStyle name="Note 33 2 2" xfId="1575"/>
    <cellStyle name="Note 33 2 2 2" xfId="2845"/>
    <cellStyle name="Note 33 2 2 2 2" xfId="6406"/>
    <cellStyle name="Note 33 2 2 2 2 2" xfId="14600"/>
    <cellStyle name="Note 33 2 2 2 2 2 2" xfId="26572"/>
    <cellStyle name="Note 33 2 2 2 2 2 2 2" xfId="47758"/>
    <cellStyle name="Note 33 2 2 2 2 2 3" xfId="37154"/>
    <cellStyle name="Note 33 2 2 2 2 3" xfId="21459"/>
    <cellStyle name="Note 33 2 2 2 2 3 2" xfId="42646"/>
    <cellStyle name="Note 33 2 2 2 2 4" xfId="32062"/>
    <cellStyle name="Note 33 2 2 2 2_Table 2A-1_EFT (Annual)" xfId="15804"/>
    <cellStyle name="Note 33 2 2 2 3" xfId="11942"/>
    <cellStyle name="Note 33 2 2 2 3 2" xfId="24026"/>
    <cellStyle name="Note 33 2 2 2 3 2 2" xfId="45212"/>
    <cellStyle name="Note 33 2 2 2 3 3" xfId="34608"/>
    <cellStyle name="Note 33 2 2 2 4" xfId="18913"/>
    <cellStyle name="Note 33 2 2 2 4 2" xfId="40100"/>
    <cellStyle name="Note 33 2 2 2 5" xfId="29319"/>
    <cellStyle name="Note 33 2 2 2_Table 2A-1_EFT (Annual)" xfId="7456"/>
    <cellStyle name="Note 33 2 2 3" xfId="5136"/>
    <cellStyle name="Note 33 2 2 3 2" xfId="13396"/>
    <cellStyle name="Note 33 2 2 3 2 2" xfId="25402"/>
    <cellStyle name="Note 33 2 2 3 2 2 2" xfId="46588"/>
    <cellStyle name="Note 33 2 2 3 2 3" xfId="35984"/>
    <cellStyle name="Note 33 2 2 3 3" xfId="20289"/>
    <cellStyle name="Note 33 2 2 3 3 2" xfId="41476"/>
    <cellStyle name="Note 33 2 2 3 4" xfId="30793"/>
    <cellStyle name="Note 33 2 2 3_Table 2A-1_EFT (Annual)" xfId="15805"/>
    <cellStyle name="Note 33 2 2 4" xfId="10740"/>
    <cellStyle name="Note 33 2 2 4 2" xfId="22856"/>
    <cellStyle name="Note 33 2 2 4 2 2" xfId="44042"/>
    <cellStyle name="Note 33 2 2 4 3" xfId="33438"/>
    <cellStyle name="Note 33 2 2 5" xfId="17743"/>
    <cellStyle name="Note 33 2 2 5 2" xfId="38930"/>
    <cellStyle name="Note 33 2 2 6" xfId="28050"/>
    <cellStyle name="Note 33 2 2_Table 2A-1_EFT (Annual)" xfId="7455"/>
    <cellStyle name="Note 33 2 3" xfId="1095"/>
    <cellStyle name="Note 33 2 3 2" xfId="4656"/>
    <cellStyle name="Note 33 2 3 2 2" xfId="12916"/>
    <cellStyle name="Note 33 2 3 2 2 2" xfId="24922"/>
    <cellStyle name="Note 33 2 3 2 2 2 2" xfId="46108"/>
    <cellStyle name="Note 33 2 3 2 2 3" xfId="35504"/>
    <cellStyle name="Note 33 2 3 2 3" xfId="19809"/>
    <cellStyle name="Note 33 2 3 2 3 2" xfId="40996"/>
    <cellStyle name="Note 33 2 3 2 4" xfId="30313"/>
    <cellStyle name="Note 33 2 3 2_Table 2A-1_EFT (Annual)" xfId="15806"/>
    <cellStyle name="Note 33 2 3 3" xfId="10260"/>
    <cellStyle name="Note 33 2 3 3 2" xfId="22376"/>
    <cellStyle name="Note 33 2 3 3 2 2" xfId="43562"/>
    <cellStyle name="Note 33 2 3 3 3" xfId="32958"/>
    <cellStyle name="Note 33 2 3 4" xfId="17263"/>
    <cellStyle name="Note 33 2 3 4 2" xfId="38450"/>
    <cellStyle name="Note 33 2 3 5" xfId="27570"/>
    <cellStyle name="Note 33 2 3_Table 2A-1_EFT (Annual)" xfId="7457"/>
    <cellStyle name="Note 33 2 4" xfId="2314"/>
    <cellStyle name="Note 33 2 4 2" xfId="5875"/>
    <cellStyle name="Note 33 2 4 2 2" xfId="14090"/>
    <cellStyle name="Note 33 2 4 2 2 2" xfId="26078"/>
    <cellStyle name="Note 33 2 4 2 2 2 2" xfId="47264"/>
    <cellStyle name="Note 33 2 4 2 2 3" xfId="36660"/>
    <cellStyle name="Note 33 2 4 2 3" xfId="20965"/>
    <cellStyle name="Note 33 2 4 2 3 2" xfId="42152"/>
    <cellStyle name="Note 33 2 4 2 4" xfId="31532"/>
    <cellStyle name="Note 33 2 4 2_Table 2A-1_EFT (Annual)" xfId="15807"/>
    <cellStyle name="Note 33 2 4 3" xfId="11434"/>
    <cellStyle name="Note 33 2 4 3 2" xfId="23532"/>
    <cellStyle name="Note 33 2 4 3 2 2" xfId="44718"/>
    <cellStyle name="Note 33 2 4 3 3" xfId="34114"/>
    <cellStyle name="Note 33 2 4 4" xfId="18419"/>
    <cellStyle name="Note 33 2 4 4 2" xfId="39606"/>
    <cellStyle name="Note 33 2 4 5" xfId="28789"/>
    <cellStyle name="Note 33 2 4_Table 2A-1_EFT (Annual)" xfId="7458"/>
    <cellStyle name="Note 33 2 5" xfId="4168"/>
    <cellStyle name="Note 33 2 5 2" xfId="12492"/>
    <cellStyle name="Note 33 2 5 2 2" xfId="24514"/>
    <cellStyle name="Note 33 2 5 2 2 2" xfId="45700"/>
    <cellStyle name="Note 33 2 5 2 3" xfId="35096"/>
    <cellStyle name="Note 33 2 5 3" xfId="19401"/>
    <cellStyle name="Note 33 2 5 3 2" xfId="40588"/>
    <cellStyle name="Note 33 2 5 4" xfId="29856"/>
    <cellStyle name="Note 33 2 5_Table 2A-1_EFT (Annual)" xfId="15808"/>
    <cellStyle name="Note 33 2 6" xfId="9831"/>
    <cellStyle name="Note 33 2 6 2" xfId="21968"/>
    <cellStyle name="Note 33 2 6 2 2" xfId="43154"/>
    <cellStyle name="Note 33 2 6 3" xfId="32550"/>
    <cellStyle name="Note 33 2 7" xfId="16855"/>
    <cellStyle name="Note 33 2 7 2" xfId="38042"/>
    <cellStyle name="Note 33 2 8" xfId="27113"/>
    <cellStyle name="Note 33 2_Table 2A-1_EFT (Annual)" xfId="3301"/>
    <cellStyle name="Note 33 3" xfId="1253"/>
    <cellStyle name="Note 33 3 2" xfId="2523"/>
    <cellStyle name="Note 33 3 2 2" xfId="6084"/>
    <cellStyle name="Note 33 3 2 2 2" xfId="14278"/>
    <cellStyle name="Note 33 3 2 2 2 2" xfId="26250"/>
    <cellStyle name="Note 33 3 2 2 2 2 2" xfId="47436"/>
    <cellStyle name="Note 33 3 2 2 2 3" xfId="36832"/>
    <cellStyle name="Note 33 3 2 2 3" xfId="21137"/>
    <cellStyle name="Note 33 3 2 2 3 2" xfId="42324"/>
    <cellStyle name="Note 33 3 2 2 4" xfId="31740"/>
    <cellStyle name="Note 33 3 2 2_Table 2A-1_EFT (Annual)" xfId="15809"/>
    <cellStyle name="Note 33 3 2 3" xfId="11620"/>
    <cellStyle name="Note 33 3 2 3 2" xfId="23704"/>
    <cellStyle name="Note 33 3 2 3 2 2" xfId="44890"/>
    <cellStyle name="Note 33 3 2 3 3" xfId="34286"/>
    <cellStyle name="Note 33 3 2 4" xfId="18591"/>
    <cellStyle name="Note 33 3 2 4 2" xfId="39778"/>
    <cellStyle name="Note 33 3 2 5" xfId="28997"/>
    <cellStyle name="Note 33 3 2_Table 2A-1_EFT (Annual)" xfId="7460"/>
    <cellStyle name="Note 33 3 3" xfId="4814"/>
    <cellStyle name="Note 33 3 3 2" xfId="13074"/>
    <cellStyle name="Note 33 3 3 2 2" xfId="25080"/>
    <cellStyle name="Note 33 3 3 2 2 2" xfId="46266"/>
    <cellStyle name="Note 33 3 3 2 3" xfId="35662"/>
    <cellStyle name="Note 33 3 3 3" xfId="19967"/>
    <cellStyle name="Note 33 3 3 3 2" xfId="41154"/>
    <cellStyle name="Note 33 3 3 4" xfId="30471"/>
    <cellStyle name="Note 33 3 3_Table 2A-1_EFT (Annual)" xfId="15810"/>
    <cellStyle name="Note 33 3 4" xfId="10418"/>
    <cellStyle name="Note 33 3 4 2" xfId="22534"/>
    <cellStyle name="Note 33 3 4 2 2" xfId="43720"/>
    <cellStyle name="Note 33 3 4 3" xfId="33116"/>
    <cellStyle name="Note 33 3 5" xfId="17421"/>
    <cellStyle name="Note 33 3 5 2" xfId="38608"/>
    <cellStyle name="Note 33 3 6" xfId="27728"/>
    <cellStyle name="Note 33 3_Table 2A-1_EFT (Annual)" xfId="7459"/>
    <cellStyle name="Note 33 4" xfId="804"/>
    <cellStyle name="Note 33 4 2" xfId="4365"/>
    <cellStyle name="Note 33 4 2 2" xfId="12645"/>
    <cellStyle name="Note 33 4 2 2 2" xfId="24662"/>
    <cellStyle name="Note 33 4 2 2 2 2" xfId="45848"/>
    <cellStyle name="Note 33 4 2 2 3" xfId="35244"/>
    <cellStyle name="Note 33 4 2 3" xfId="19549"/>
    <cellStyle name="Note 33 4 2 3 2" xfId="40736"/>
    <cellStyle name="Note 33 4 2 4" xfId="30022"/>
    <cellStyle name="Note 33 4 2_Table 2A-1_EFT (Annual)" xfId="15811"/>
    <cellStyle name="Note 33 4 3" xfId="9993"/>
    <cellStyle name="Note 33 4 3 2" xfId="22116"/>
    <cellStyle name="Note 33 4 3 2 2" xfId="43302"/>
    <cellStyle name="Note 33 4 3 3" xfId="32698"/>
    <cellStyle name="Note 33 4 4" xfId="17003"/>
    <cellStyle name="Note 33 4 4 2" xfId="38190"/>
    <cellStyle name="Note 33 4 5" xfId="27279"/>
    <cellStyle name="Note 33 4_Table 2A-1_EFT (Annual)" xfId="7461"/>
    <cellStyle name="Note 33 5" xfId="1992"/>
    <cellStyle name="Note 33 5 2" xfId="5553"/>
    <cellStyle name="Note 33 5 2 2" xfId="13768"/>
    <cellStyle name="Note 33 5 2 2 2" xfId="25756"/>
    <cellStyle name="Note 33 5 2 2 2 2" xfId="46942"/>
    <cellStyle name="Note 33 5 2 2 3" xfId="36338"/>
    <cellStyle name="Note 33 5 2 3" xfId="20643"/>
    <cellStyle name="Note 33 5 2 3 2" xfId="41830"/>
    <cellStyle name="Note 33 5 2 4" xfId="31210"/>
    <cellStyle name="Note 33 5 2_Table 2A-1_EFT (Annual)" xfId="15812"/>
    <cellStyle name="Note 33 5 3" xfId="11112"/>
    <cellStyle name="Note 33 5 3 2" xfId="23210"/>
    <cellStyle name="Note 33 5 3 2 2" xfId="44396"/>
    <cellStyle name="Note 33 5 3 3" xfId="33792"/>
    <cellStyle name="Note 33 5 4" xfId="18097"/>
    <cellStyle name="Note 33 5 4 2" xfId="39284"/>
    <cellStyle name="Note 33 5 5" xfId="28467"/>
    <cellStyle name="Note 33 5_Table 2A-1_EFT (Annual)" xfId="7462"/>
    <cellStyle name="Note 33 6" xfId="3794"/>
    <cellStyle name="Note 33 6 2" xfId="12162"/>
    <cellStyle name="Note 33 6 2 2" xfId="24192"/>
    <cellStyle name="Note 33 6 2 2 2" xfId="45378"/>
    <cellStyle name="Note 33 6 2 3" xfId="34774"/>
    <cellStyle name="Note 33 6 3" xfId="19079"/>
    <cellStyle name="Note 33 6 3 2" xfId="40266"/>
    <cellStyle name="Note 33 6 4" xfId="29503"/>
    <cellStyle name="Note 33 6_Table 2A-1_EFT (Annual)" xfId="15813"/>
    <cellStyle name="Note 33 7" xfId="9481"/>
    <cellStyle name="Note 33 7 2" xfId="21646"/>
    <cellStyle name="Note 33 7 2 2" xfId="42832"/>
    <cellStyle name="Note 33 7 3" xfId="32228"/>
    <cellStyle name="Note 33 8" xfId="16533"/>
    <cellStyle name="Note 33 8 2" xfId="37720"/>
    <cellStyle name="Note 33 9" xfId="26760"/>
    <cellStyle name="Note 33_Table 2A-1_EFT (Annual)" xfId="3300"/>
    <cellStyle name="Note 34" xfId="292"/>
    <cellStyle name="Note 34 2" xfId="1296"/>
    <cellStyle name="Note 34 2 2" xfId="2566"/>
    <cellStyle name="Note 34 2 2 2" xfId="6127"/>
    <cellStyle name="Note 34 2 2 2 2" xfId="14321"/>
    <cellStyle name="Note 34 2 2 2 2 2" xfId="26293"/>
    <cellStyle name="Note 34 2 2 2 2 2 2" xfId="47479"/>
    <cellStyle name="Note 34 2 2 2 2 3" xfId="36875"/>
    <cellStyle name="Note 34 2 2 2 3" xfId="21180"/>
    <cellStyle name="Note 34 2 2 2 3 2" xfId="42367"/>
    <cellStyle name="Note 34 2 2 2 4" xfId="31783"/>
    <cellStyle name="Note 34 2 2 2_Table 2A-1_EFT (Annual)" xfId="15814"/>
    <cellStyle name="Note 34 2 2 3" xfId="11663"/>
    <cellStyle name="Note 34 2 2 3 2" xfId="23747"/>
    <cellStyle name="Note 34 2 2 3 2 2" xfId="44933"/>
    <cellStyle name="Note 34 2 2 3 3" xfId="34329"/>
    <cellStyle name="Note 34 2 2 4" xfId="18634"/>
    <cellStyle name="Note 34 2 2 4 2" xfId="39821"/>
    <cellStyle name="Note 34 2 2 5" xfId="29040"/>
    <cellStyle name="Note 34 2 2_Table 2A-1_EFT (Annual)" xfId="7464"/>
    <cellStyle name="Note 34 2 3" xfId="4857"/>
    <cellStyle name="Note 34 2 3 2" xfId="13117"/>
    <cellStyle name="Note 34 2 3 2 2" xfId="25123"/>
    <cellStyle name="Note 34 2 3 2 2 2" xfId="46309"/>
    <cellStyle name="Note 34 2 3 2 3" xfId="35705"/>
    <cellStyle name="Note 34 2 3 3" xfId="20010"/>
    <cellStyle name="Note 34 2 3 3 2" xfId="41197"/>
    <cellStyle name="Note 34 2 3 4" xfId="30514"/>
    <cellStyle name="Note 34 2 3_Table 2A-1_EFT (Annual)" xfId="15815"/>
    <cellStyle name="Note 34 2 4" xfId="10461"/>
    <cellStyle name="Note 34 2 4 2" xfId="22577"/>
    <cellStyle name="Note 34 2 4 2 2" xfId="43763"/>
    <cellStyle name="Note 34 2 4 3" xfId="33159"/>
    <cellStyle name="Note 34 2 5" xfId="17464"/>
    <cellStyle name="Note 34 2 5 2" xfId="38651"/>
    <cellStyle name="Note 34 2 6" xfId="27771"/>
    <cellStyle name="Note 34 2_Table 2A-1_EFT (Annual)" xfId="7463"/>
    <cellStyle name="Note 34 3" xfId="846"/>
    <cellStyle name="Note 34 3 2" xfId="4407"/>
    <cellStyle name="Note 34 3 2 2" xfId="12680"/>
    <cellStyle name="Note 34 3 2 2 2" xfId="24697"/>
    <cellStyle name="Note 34 3 2 2 2 2" xfId="45883"/>
    <cellStyle name="Note 34 3 2 2 3" xfId="35279"/>
    <cellStyle name="Note 34 3 2 3" xfId="19584"/>
    <cellStyle name="Note 34 3 2 3 2" xfId="40771"/>
    <cellStyle name="Note 34 3 2 4" xfId="30064"/>
    <cellStyle name="Note 34 3 2_Table 2A-1_EFT (Annual)" xfId="15816"/>
    <cellStyle name="Note 34 3 3" xfId="10029"/>
    <cellStyle name="Note 34 3 3 2" xfId="22151"/>
    <cellStyle name="Note 34 3 3 2 2" xfId="43337"/>
    <cellStyle name="Note 34 3 3 3" xfId="32733"/>
    <cellStyle name="Note 34 3 4" xfId="17038"/>
    <cellStyle name="Note 34 3 4 2" xfId="38225"/>
    <cellStyle name="Note 34 3 5" xfId="27321"/>
    <cellStyle name="Note 34 3_Table 2A-1_EFT (Annual)" xfId="7465"/>
    <cellStyle name="Note 34 4" xfId="2035"/>
    <cellStyle name="Note 34 4 2" xfId="5596"/>
    <cellStyle name="Note 34 4 2 2" xfId="13811"/>
    <cellStyle name="Note 34 4 2 2 2" xfId="25799"/>
    <cellStyle name="Note 34 4 2 2 2 2" xfId="46985"/>
    <cellStyle name="Note 34 4 2 2 3" xfId="36381"/>
    <cellStyle name="Note 34 4 2 3" xfId="20686"/>
    <cellStyle name="Note 34 4 2 3 2" xfId="41873"/>
    <cellStyle name="Note 34 4 2 4" xfId="31253"/>
    <cellStyle name="Note 34 4 2_Table 2A-1_EFT (Annual)" xfId="15817"/>
    <cellStyle name="Note 34 4 3" xfId="11155"/>
    <cellStyle name="Note 34 4 3 2" xfId="23253"/>
    <cellStyle name="Note 34 4 3 2 2" xfId="44439"/>
    <cellStyle name="Note 34 4 3 3" xfId="33835"/>
    <cellStyle name="Note 34 4 4" xfId="18140"/>
    <cellStyle name="Note 34 4 4 2" xfId="39327"/>
    <cellStyle name="Note 34 4 5" xfId="28510"/>
    <cellStyle name="Note 34 4_Table 2A-1_EFT (Annual)" xfId="7466"/>
    <cellStyle name="Note 34 5" xfId="3864"/>
    <cellStyle name="Note 34 5 2" xfId="12206"/>
    <cellStyle name="Note 34 5 2 2" xfId="24235"/>
    <cellStyle name="Note 34 5 2 2 2" xfId="45421"/>
    <cellStyle name="Note 34 5 2 3" xfId="34817"/>
    <cellStyle name="Note 34 5 3" xfId="19122"/>
    <cellStyle name="Note 34 5 3 2" xfId="40309"/>
    <cellStyle name="Note 34 5 4" xfId="29553"/>
    <cellStyle name="Note 34 5_Table 2A-1_EFT (Annual)" xfId="15818"/>
    <cellStyle name="Note 34 6" xfId="9541"/>
    <cellStyle name="Note 34 6 2" xfId="21689"/>
    <cellStyle name="Note 34 6 2 2" xfId="42875"/>
    <cellStyle name="Note 34 6 3" xfId="32271"/>
    <cellStyle name="Note 34 7" xfId="16576"/>
    <cellStyle name="Note 34 7 2" xfId="37763"/>
    <cellStyle name="Note 34 8" xfId="26810"/>
    <cellStyle name="Note 34_Table 2A-1_EFT (Annual)" xfId="3302"/>
    <cellStyle name="Note 35" xfId="641"/>
    <cellStyle name="Note 35 2" xfId="1618"/>
    <cellStyle name="Note 35 2 2" xfId="2888"/>
    <cellStyle name="Note 35 2 2 2" xfId="6449"/>
    <cellStyle name="Note 35 2 2 2 2" xfId="14643"/>
    <cellStyle name="Note 35 2 2 2 2 2" xfId="26615"/>
    <cellStyle name="Note 35 2 2 2 2 2 2" xfId="47801"/>
    <cellStyle name="Note 35 2 2 2 2 3" xfId="37197"/>
    <cellStyle name="Note 35 2 2 2 3" xfId="21502"/>
    <cellStyle name="Note 35 2 2 2 3 2" xfId="42689"/>
    <cellStyle name="Note 35 2 2 2 4" xfId="32105"/>
    <cellStyle name="Note 35 2 2 2_Table 2A-1_EFT (Annual)" xfId="15819"/>
    <cellStyle name="Note 35 2 2 3" xfId="11985"/>
    <cellStyle name="Note 35 2 2 3 2" xfId="24069"/>
    <cellStyle name="Note 35 2 2 3 2 2" xfId="45255"/>
    <cellStyle name="Note 35 2 2 3 3" xfId="34651"/>
    <cellStyle name="Note 35 2 2 4" xfId="18956"/>
    <cellStyle name="Note 35 2 2 4 2" xfId="40143"/>
    <cellStyle name="Note 35 2 2 5" xfId="29362"/>
    <cellStyle name="Note 35 2 2_Table 2A-1_EFT (Annual)" xfId="7468"/>
    <cellStyle name="Note 35 2 3" xfId="5179"/>
    <cellStyle name="Note 35 2 3 2" xfId="13439"/>
    <cellStyle name="Note 35 2 3 2 2" xfId="25445"/>
    <cellStyle name="Note 35 2 3 2 2 2" xfId="46631"/>
    <cellStyle name="Note 35 2 3 2 3" xfId="36027"/>
    <cellStyle name="Note 35 2 3 3" xfId="20332"/>
    <cellStyle name="Note 35 2 3 3 2" xfId="41519"/>
    <cellStyle name="Note 35 2 3 4" xfId="30836"/>
    <cellStyle name="Note 35 2 3_Table 2A-1_EFT (Annual)" xfId="15820"/>
    <cellStyle name="Note 35 2 4" xfId="10783"/>
    <cellStyle name="Note 35 2 4 2" xfId="22899"/>
    <cellStyle name="Note 35 2 4 2 2" xfId="44085"/>
    <cellStyle name="Note 35 2 4 3" xfId="33481"/>
    <cellStyle name="Note 35 2 5" xfId="17786"/>
    <cellStyle name="Note 35 2 5 2" xfId="38973"/>
    <cellStyle name="Note 35 2 6" xfId="28093"/>
    <cellStyle name="Note 35 2_Table 2A-1_EFT (Annual)" xfId="7467"/>
    <cellStyle name="Note 35 3" xfId="1130"/>
    <cellStyle name="Note 35 3 2" xfId="4691"/>
    <cellStyle name="Note 35 3 2 2" xfId="12951"/>
    <cellStyle name="Note 35 3 2 2 2" xfId="24957"/>
    <cellStyle name="Note 35 3 2 2 2 2" xfId="46143"/>
    <cellStyle name="Note 35 3 2 2 3" xfId="35539"/>
    <cellStyle name="Note 35 3 2 3" xfId="19844"/>
    <cellStyle name="Note 35 3 2 3 2" xfId="41031"/>
    <cellStyle name="Note 35 3 2 4" xfId="30348"/>
    <cellStyle name="Note 35 3 2_Table 2A-1_EFT (Annual)" xfId="15821"/>
    <cellStyle name="Note 35 3 3" xfId="10295"/>
    <cellStyle name="Note 35 3 3 2" xfId="22411"/>
    <cellStyle name="Note 35 3 3 2 2" xfId="43597"/>
    <cellStyle name="Note 35 3 3 3" xfId="32993"/>
    <cellStyle name="Note 35 3 4" xfId="17298"/>
    <cellStyle name="Note 35 3 4 2" xfId="38485"/>
    <cellStyle name="Note 35 3 5" xfId="27605"/>
    <cellStyle name="Note 35 3_Table 2A-1_EFT (Annual)" xfId="7469"/>
    <cellStyle name="Note 35 4" xfId="2357"/>
    <cellStyle name="Note 35 4 2" xfId="5918"/>
    <cellStyle name="Note 35 4 2 2" xfId="14133"/>
    <cellStyle name="Note 35 4 2 2 2" xfId="26121"/>
    <cellStyle name="Note 35 4 2 2 2 2" xfId="47307"/>
    <cellStyle name="Note 35 4 2 2 3" xfId="36703"/>
    <cellStyle name="Note 35 4 2 3" xfId="21008"/>
    <cellStyle name="Note 35 4 2 3 2" xfId="42195"/>
    <cellStyle name="Note 35 4 2 4" xfId="31575"/>
    <cellStyle name="Note 35 4 2_Table 2A-1_EFT (Annual)" xfId="15822"/>
    <cellStyle name="Note 35 4 3" xfId="11477"/>
    <cellStyle name="Note 35 4 3 2" xfId="23575"/>
    <cellStyle name="Note 35 4 3 2 2" xfId="44761"/>
    <cellStyle name="Note 35 4 3 3" xfId="34157"/>
    <cellStyle name="Note 35 4 4" xfId="18462"/>
    <cellStyle name="Note 35 4 4 2" xfId="39649"/>
    <cellStyle name="Note 35 4 5" xfId="28832"/>
    <cellStyle name="Note 35 4_Table 2A-1_EFT (Annual)" xfId="7470"/>
    <cellStyle name="Note 35 5" xfId="4211"/>
    <cellStyle name="Note 35 5 2" xfId="12535"/>
    <cellStyle name="Note 35 5 2 2" xfId="24557"/>
    <cellStyle name="Note 35 5 2 2 2" xfId="45743"/>
    <cellStyle name="Note 35 5 2 3" xfId="35139"/>
    <cellStyle name="Note 35 5 3" xfId="19444"/>
    <cellStyle name="Note 35 5 3 2" xfId="40631"/>
    <cellStyle name="Note 35 5 4" xfId="29899"/>
    <cellStyle name="Note 35 5_Table 2A-1_EFT (Annual)" xfId="15823"/>
    <cellStyle name="Note 35 6" xfId="9874"/>
    <cellStyle name="Note 35 6 2" xfId="22011"/>
    <cellStyle name="Note 35 6 2 2" xfId="43197"/>
    <cellStyle name="Note 35 6 3" xfId="32593"/>
    <cellStyle name="Note 35 7" xfId="16898"/>
    <cellStyle name="Note 35 7 2" xfId="38085"/>
    <cellStyle name="Note 35 8" xfId="27156"/>
    <cellStyle name="Note 35_Table 2A-1_EFT (Annual)" xfId="3303"/>
    <cellStyle name="Note 36" xfId="696"/>
    <cellStyle name="Note 36 2" xfId="2363"/>
    <cellStyle name="Note 36 2 2" xfId="5924"/>
    <cellStyle name="Note 36 2 2 2" xfId="14138"/>
    <cellStyle name="Note 36 2 2 2 2" xfId="26126"/>
    <cellStyle name="Note 36 2 2 2 2 2" xfId="47312"/>
    <cellStyle name="Note 36 2 2 2 3" xfId="36708"/>
    <cellStyle name="Note 36 2 2 3" xfId="21013"/>
    <cellStyle name="Note 36 2 2 3 2" xfId="42200"/>
    <cellStyle name="Note 36 2 2 4" xfId="31580"/>
    <cellStyle name="Note 36 2 2_Table 2A-1_EFT (Annual)" xfId="15824"/>
    <cellStyle name="Note 36 2 3" xfId="11483"/>
    <cellStyle name="Note 36 2 3 2" xfId="23580"/>
    <cellStyle name="Note 36 2 3 2 2" xfId="44766"/>
    <cellStyle name="Note 36 2 3 3" xfId="34162"/>
    <cellStyle name="Note 36 2 4" xfId="18467"/>
    <cellStyle name="Note 36 2 4 2" xfId="39654"/>
    <cellStyle name="Note 36 2 5" xfId="28837"/>
    <cellStyle name="Note 36 2_Table 2A-1_EFT (Annual)" xfId="7472"/>
    <cellStyle name="Note 36 3" xfId="4259"/>
    <cellStyle name="Note 36 3 2" xfId="12544"/>
    <cellStyle name="Note 36 3 2 2" xfId="24562"/>
    <cellStyle name="Note 36 3 2 2 2" xfId="45748"/>
    <cellStyle name="Note 36 3 2 3" xfId="35144"/>
    <cellStyle name="Note 36 3 3" xfId="19449"/>
    <cellStyle name="Note 36 3 3 2" xfId="40636"/>
    <cellStyle name="Note 36 3 4" xfId="29917"/>
    <cellStyle name="Note 36 3_Table 2A-1_EFT (Annual)" xfId="15825"/>
    <cellStyle name="Note 36 4" xfId="9890"/>
    <cellStyle name="Note 36 4 2" xfId="22016"/>
    <cellStyle name="Note 36 4 2 2" xfId="43202"/>
    <cellStyle name="Note 36 4 3" xfId="32598"/>
    <cellStyle name="Note 36 5" xfId="16903"/>
    <cellStyle name="Note 36 5 2" xfId="38090"/>
    <cellStyle name="Note 36 6" xfId="27174"/>
    <cellStyle name="Note 36_Table 2A-1_EFT (Annual)" xfId="7471"/>
    <cellStyle name="Note 37" xfId="16010"/>
    <cellStyle name="Note 37 2" xfId="37203"/>
    <cellStyle name="Note 38" xfId="47807"/>
    <cellStyle name="Note 4" xfId="91"/>
    <cellStyle name="Note 4 10" xfId="21519"/>
    <cellStyle name="Note 4 10 2" xfId="42706"/>
    <cellStyle name="Note 4 11" xfId="26647"/>
    <cellStyle name="Note 4 2" xfId="490"/>
    <cellStyle name="Note 4 2 2" xfId="1467"/>
    <cellStyle name="Note 4 2 2 2" xfId="2737"/>
    <cellStyle name="Note 4 2 2 2 2" xfId="6298"/>
    <cellStyle name="Note 4 2 2 2 2 2" xfId="14492"/>
    <cellStyle name="Note 4 2 2 2 2 2 2" xfId="26464"/>
    <cellStyle name="Note 4 2 2 2 2 2 2 2" xfId="47650"/>
    <cellStyle name="Note 4 2 2 2 2 2 3" xfId="37046"/>
    <cellStyle name="Note 4 2 2 2 2 3" xfId="21351"/>
    <cellStyle name="Note 4 2 2 2 2 3 2" xfId="42538"/>
    <cellStyle name="Note 4 2 2 2 2 4" xfId="31954"/>
    <cellStyle name="Note 4 2 2 2 2_Table 2A-1_EFT (Annual)" xfId="15826"/>
    <cellStyle name="Note 4 2 2 2 3" xfId="11834"/>
    <cellStyle name="Note 4 2 2 2 3 2" xfId="23918"/>
    <cellStyle name="Note 4 2 2 2 3 2 2" xfId="45104"/>
    <cellStyle name="Note 4 2 2 2 3 3" xfId="34500"/>
    <cellStyle name="Note 4 2 2 2 4" xfId="18805"/>
    <cellStyle name="Note 4 2 2 2 4 2" xfId="39992"/>
    <cellStyle name="Note 4 2 2 2 5" xfId="29211"/>
    <cellStyle name="Note 4 2 2 2_Table 2A-1_EFT (Annual)" xfId="7474"/>
    <cellStyle name="Note 4 2 2 3" xfId="5028"/>
    <cellStyle name="Note 4 2 2 3 2" xfId="13288"/>
    <cellStyle name="Note 4 2 2 3 2 2" xfId="25294"/>
    <cellStyle name="Note 4 2 2 3 2 2 2" xfId="46480"/>
    <cellStyle name="Note 4 2 2 3 2 3" xfId="35876"/>
    <cellStyle name="Note 4 2 2 3 3" xfId="20181"/>
    <cellStyle name="Note 4 2 2 3 3 2" xfId="41368"/>
    <cellStyle name="Note 4 2 2 3 4" xfId="30685"/>
    <cellStyle name="Note 4 2 2 3_Table 2A-1_EFT (Annual)" xfId="15827"/>
    <cellStyle name="Note 4 2 2 4" xfId="10632"/>
    <cellStyle name="Note 4 2 2 4 2" xfId="22748"/>
    <cellStyle name="Note 4 2 2 4 2 2" xfId="43934"/>
    <cellStyle name="Note 4 2 2 4 3" xfId="33330"/>
    <cellStyle name="Note 4 2 2 5" xfId="17635"/>
    <cellStyle name="Note 4 2 2 5 2" xfId="38822"/>
    <cellStyle name="Note 4 2 2 6" xfId="27942"/>
    <cellStyle name="Note 4 2 2_Table 2A-1_EFT (Annual)" xfId="7473"/>
    <cellStyle name="Note 4 2 3" xfId="1007"/>
    <cellStyle name="Note 4 2 3 2" xfId="4568"/>
    <cellStyle name="Note 4 2 3 2 2" xfId="12828"/>
    <cellStyle name="Note 4 2 3 2 2 2" xfId="24834"/>
    <cellStyle name="Note 4 2 3 2 2 2 2" xfId="46020"/>
    <cellStyle name="Note 4 2 3 2 2 3" xfId="35416"/>
    <cellStyle name="Note 4 2 3 2 3" xfId="19721"/>
    <cellStyle name="Note 4 2 3 2 3 2" xfId="40908"/>
    <cellStyle name="Note 4 2 3 2 4" xfId="30225"/>
    <cellStyle name="Note 4 2 3 2_Table 2A-1_EFT (Annual)" xfId="15828"/>
    <cellStyle name="Note 4 2 3 3" xfId="10172"/>
    <cellStyle name="Note 4 2 3 3 2" xfId="22288"/>
    <cellStyle name="Note 4 2 3 3 2 2" xfId="43474"/>
    <cellStyle name="Note 4 2 3 3 3" xfId="32870"/>
    <cellStyle name="Note 4 2 3 4" xfId="17175"/>
    <cellStyle name="Note 4 2 3 4 2" xfId="38362"/>
    <cellStyle name="Note 4 2 3 5" xfId="27482"/>
    <cellStyle name="Note 4 2 3_Table 2A-1_EFT (Annual)" xfId="7475"/>
    <cellStyle name="Note 4 2 4" xfId="2206"/>
    <cellStyle name="Note 4 2 4 2" xfId="5767"/>
    <cellStyle name="Note 4 2 4 2 2" xfId="13982"/>
    <cellStyle name="Note 4 2 4 2 2 2" xfId="25970"/>
    <cellStyle name="Note 4 2 4 2 2 2 2" xfId="47156"/>
    <cellStyle name="Note 4 2 4 2 2 3" xfId="36552"/>
    <cellStyle name="Note 4 2 4 2 3" xfId="20857"/>
    <cellStyle name="Note 4 2 4 2 3 2" xfId="42044"/>
    <cellStyle name="Note 4 2 4 2 4" xfId="31424"/>
    <cellStyle name="Note 4 2 4 2_Table 2A-1_EFT (Annual)" xfId="15829"/>
    <cellStyle name="Note 4 2 4 3" xfId="11326"/>
    <cellStyle name="Note 4 2 4 3 2" xfId="23424"/>
    <cellStyle name="Note 4 2 4 3 2 2" xfId="44610"/>
    <cellStyle name="Note 4 2 4 3 3" xfId="34006"/>
    <cellStyle name="Note 4 2 4 4" xfId="18311"/>
    <cellStyle name="Note 4 2 4 4 2" xfId="39498"/>
    <cellStyle name="Note 4 2 4 5" xfId="28681"/>
    <cellStyle name="Note 4 2 4_Table 2A-1_EFT (Annual)" xfId="7476"/>
    <cellStyle name="Note 4 2 5" xfId="4060"/>
    <cellStyle name="Note 4 2 5 2" xfId="12384"/>
    <cellStyle name="Note 4 2 5 2 2" xfId="24406"/>
    <cellStyle name="Note 4 2 5 2 2 2" xfId="45592"/>
    <cellStyle name="Note 4 2 5 2 3" xfId="34988"/>
    <cellStyle name="Note 4 2 5 3" xfId="19293"/>
    <cellStyle name="Note 4 2 5 3 2" xfId="40480"/>
    <cellStyle name="Note 4 2 5 4" xfId="29748"/>
    <cellStyle name="Note 4 2 5_Table 2A-1_EFT (Annual)" xfId="15830"/>
    <cellStyle name="Note 4 2 6" xfId="9723"/>
    <cellStyle name="Note 4 2 6 2" xfId="21860"/>
    <cellStyle name="Note 4 2 6 2 2" xfId="43046"/>
    <cellStyle name="Note 4 2 6 3" xfId="32442"/>
    <cellStyle name="Note 4 2 7" xfId="16747"/>
    <cellStyle name="Note 4 2 7 2" xfId="37934"/>
    <cellStyle name="Note 4 2 8" xfId="27005"/>
    <cellStyle name="Note 4 2_Table 2A-1_EFT (Annual)" xfId="3305"/>
    <cellStyle name="Note 4 3" xfId="323"/>
    <cellStyle name="Note 4 3 2" xfId="1311"/>
    <cellStyle name="Note 4 3 2 2" xfId="2581"/>
    <cellStyle name="Note 4 3 2 2 2" xfId="6142"/>
    <cellStyle name="Note 4 3 2 2 2 2" xfId="14336"/>
    <cellStyle name="Note 4 3 2 2 2 2 2" xfId="26308"/>
    <cellStyle name="Note 4 3 2 2 2 2 2 2" xfId="47494"/>
    <cellStyle name="Note 4 3 2 2 2 2 3" xfId="36890"/>
    <cellStyle name="Note 4 3 2 2 2 3" xfId="21195"/>
    <cellStyle name="Note 4 3 2 2 2 3 2" xfId="42382"/>
    <cellStyle name="Note 4 3 2 2 2 4" xfId="31798"/>
    <cellStyle name="Note 4 3 2 2 2_Table 2A-1_EFT (Annual)" xfId="15831"/>
    <cellStyle name="Note 4 3 2 2 3" xfId="11678"/>
    <cellStyle name="Note 4 3 2 2 3 2" xfId="23762"/>
    <cellStyle name="Note 4 3 2 2 3 2 2" xfId="44948"/>
    <cellStyle name="Note 4 3 2 2 3 3" xfId="34344"/>
    <cellStyle name="Note 4 3 2 2 4" xfId="18649"/>
    <cellStyle name="Note 4 3 2 2 4 2" xfId="39836"/>
    <cellStyle name="Note 4 3 2 2 5" xfId="29055"/>
    <cellStyle name="Note 4 3 2 2_Table 2A-1_EFT (Annual)" xfId="7478"/>
    <cellStyle name="Note 4 3 2 3" xfId="4872"/>
    <cellStyle name="Note 4 3 2 3 2" xfId="13132"/>
    <cellStyle name="Note 4 3 2 3 2 2" xfId="25138"/>
    <cellStyle name="Note 4 3 2 3 2 2 2" xfId="46324"/>
    <cellStyle name="Note 4 3 2 3 2 3" xfId="35720"/>
    <cellStyle name="Note 4 3 2 3 3" xfId="20025"/>
    <cellStyle name="Note 4 3 2 3 3 2" xfId="41212"/>
    <cellStyle name="Note 4 3 2 3 4" xfId="30529"/>
    <cellStyle name="Note 4 3 2 3_Table 2A-1_EFT (Annual)" xfId="15832"/>
    <cellStyle name="Note 4 3 2 4" xfId="10476"/>
    <cellStyle name="Note 4 3 2 4 2" xfId="22592"/>
    <cellStyle name="Note 4 3 2 4 2 2" xfId="43778"/>
    <cellStyle name="Note 4 3 2 4 3" xfId="33174"/>
    <cellStyle name="Note 4 3 2 5" xfId="17479"/>
    <cellStyle name="Note 4 3 2 5 2" xfId="38666"/>
    <cellStyle name="Note 4 3 2 6" xfId="27786"/>
    <cellStyle name="Note 4 3 2_Table 2A-1_EFT (Annual)" xfId="7477"/>
    <cellStyle name="Note 4 3 3" xfId="870"/>
    <cellStyle name="Note 4 3 3 2" xfId="4431"/>
    <cellStyle name="Note 4 3 3 2 2" xfId="12696"/>
    <cellStyle name="Note 4 3 3 2 2 2" xfId="24708"/>
    <cellStyle name="Note 4 3 3 2 2 2 2" xfId="45894"/>
    <cellStyle name="Note 4 3 3 2 2 3" xfId="35290"/>
    <cellStyle name="Note 4 3 3 2 3" xfId="19595"/>
    <cellStyle name="Note 4 3 3 2 3 2" xfId="40782"/>
    <cellStyle name="Note 4 3 3 2 4" xfId="30088"/>
    <cellStyle name="Note 4 3 3 2_Table 2A-1_EFT (Annual)" xfId="15833"/>
    <cellStyle name="Note 4 3 3 3" xfId="10043"/>
    <cellStyle name="Note 4 3 3 3 2" xfId="22162"/>
    <cellStyle name="Note 4 3 3 3 2 2" xfId="43348"/>
    <cellStyle name="Note 4 3 3 3 3" xfId="32744"/>
    <cellStyle name="Note 4 3 3 4" xfId="17049"/>
    <cellStyle name="Note 4 3 3 4 2" xfId="38236"/>
    <cellStyle name="Note 4 3 3 5" xfId="27345"/>
    <cellStyle name="Note 4 3 3_Table 2A-1_EFT (Annual)" xfId="7479"/>
    <cellStyle name="Note 4 3 4" xfId="2050"/>
    <cellStyle name="Note 4 3 4 2" xfId="5611"/>
    <cellStyle name="Note 4 3 4 2 2" xfId="13826"/>
    <cellStyle name="Note 4 3 4 2 2 2" xfId="25814"/>
    <cellStyle name="Note 4 3 4 2 2 2 2" xfId="47000"/>
    <cellStyle name="Note 4 3 4 2 2 3" xfId="36396"/>
    <cellStyle name="Note 4 3 4 2 3" xfId="20701"/>
    <cellStyle name="Note 4 3 4 2 3 2" xfId="41888"/>
    <cellStyle name="Note 4 3 4 2 4" xfId="31268"/>
    <cellStyle name="Note 4 3 4 2_Table 2A-1_EFT (Annual)" xfId="15834"/>
    <cellStyle name="Note 4 3 4 3" xfId="11170"/>
    <cellStyle name="Note 4 3 4 3 2" xfId="23268"/>
    <cellStyle name="Note 4 3 4 3 2 2" xfId="44454"/>
    <cellStyle name="Note 4 3 4 3 3" xfId="33850"/>
    <cellStyle name="Note 4 3 4 4" xfId="18155"/>
    <cellStyle name="Note 4 3 4 4 2" xfId="39342"/>
    <cellStyle name="Note 4 3 4 5" xfId="28525"/>
    <cellStyle name="Note 4 3 4_Table 2A-1_EFT (Annual)" xfId="7480"/>
    <cellStyle name="Note 4 3 5" xfId="3893"/>
    <cellStyle name="Note 4 3 5 2" xfId="12225"/>
    <cellStyle name="Note 4 3 5 2 2" xfId="24250"/>
    <cellStyle name="Note 4 3 5 2 2 2" xfId="45436"/>
    <cellStyle name="Note 4 3 5 2 3" xfId="34832"/>
    <cellStyle name="Note 4 3 5 3" xfId="19137"/>
    <cellStyle name="Note 4 3 5 3 2" xfId="40324"/>
    <cellStyle name="Note 4 3 5 4" xfId="29581"/>
    <cellStyle name="Note 4 3 5_Table 2A-1_EFT (Annual)" xfId="15835"/>
    <cellStyle name="Note 4 3 6" xfId="9562"/>
    <cellStyle name="Note 4 3 6 2" xfId="21704"/>
    <cellStyle name="Note 4 3 6 2 2" xfId="42890"/>
    <cellStyle name="Note 4 3 6 3" xfId="32286"/>
    <cellStyle name="Note 4 3 7" xfId="16591"/>
    <cellStyle name="Note 4 3 7 2" xfId="37778"/>
    <cellStyle name="Note 4 3 8" xfId="26838"/>
    <cellStyle name="Note 4 3_Table 2A-1_EFT (Annual)" xfId="3306"/>
    <cellStyle name="Note 4 4" xfId="1145"/>
    <cellStyle name="Note 4 4 2" xfId="2415"/>
    <cellStyle name="Note 4 4 2 2" xfId="5976"/>
    <cellStyle name="Note 4 4 2 2 2" xfId="14170"/>
    <cellStyle name="Note 4 4 2 2 2 2" xfId="26142"/>
    <cellStyle name="Note 4 4 2 2 2 2 2" xfId="47328"/>
    <cellStyle name="Note 4 4 2 2 2 3" xfId="36724"/>
    <cellStyle name="Note 4 4 2 2 3" xfId="21029"/>
    <cellStyle name="Note 4 4 2 2 3 2" xfId="42216"/>
    <cellStyle name="Note 4 4 2 2 4" xfId="31632"/>
    <cellStyle name="Note 4 4 2 2_Table 2A-1_EFT (Annual)" xfId="15836"/>
    <cellStyle name="Note 4 4 2 3" xfId="11512"/>
    <cellStyle name="Note 4 4 2 3 2" xfId="23596"/>
    <cellStyle name="Note 4 4 2 3 2 2" xfId="44782"/>
    <cellStyle name="Note 4 4 2 3 3" xfId="34178"/>
    <cellStyle name="Note 4 4 2 4" xfId="18483"/>
    <cellStyle name="Note 4 4 2 4 2" xfId="39670"/>
    <cellStyle name="Note 4 4 2 5" xfId="28889"/>
    <cellStyle name="Note 4 4 2_Table 2A-1_EFT (Annual)" xfId="7482"/>
    <cellStyle name="Note 4 4 3" xfId="4706"/>
    <cellStyle name="Note 4 4 3 2" xfId="12966"/>
    <cellStyle name="Note 4 4 3 2 2" xfId="24972"/>
    <cellStyle name="Note 4 4 3 2 2 2" xfId="46158"/>
    <cellStyle name="Note 4 4 3 2 3" xfId="35554"/>
    <cellStyle name="Note 4 4 3 3" xfId="19859"/>
    <cellStyle name="Note 4 4 3 3 2" xfId="41046"/>
    <cellStyle name="Note 4 4 3 4" xfId="30363"/>
    <cellStyle name="Note 4 4 3_Table 2A-1_EFT (Annual)" xfId="15837"/>
    <cellStyle name="Note 4 4 4" xfId="10310"/>
    <cellStyle name="Note 4 4 4 2" xfId="22426"/>
    <cellStyle name="Note 4 4 4 2 2" xfId="43612"/>
    <cellStyle name="Note 4 4 4 3" xfId="33008"/>
    <cellStyle name="Note 4 4 5" xfId="17313"/>
    <cellStyle name="Note 4 4 5 2" xfId="38500"/>
    <cellStyle name="Note 4 4 6" xfId="27620"/>
    <cellStyle name="Note 4 4_Table 2A-1_EFT (Annual)" xfId="7481"/>
    <cellStyle name="Note 4 5" xfId="711"/>
    <cellStyle name="Note 4 5 2" xfId="4272"/>
    <cellStyle name="Note 4 5 2 2" xfId="12556"/>
    <cellStyle name="Note 4 5 2 2 2" xfId="24574"/>
    <cellStyle name="Note 4 5 2 2 2 2" xfId="45760"/>
    <cellStyle name="Note 4 5 2 2 3" xfId="35156"/>
    <cellStyle name="Note 4 5 2 3" xfId="19461"/>
    <cellStyle name="Note 4 5 2 3 2" xfId="40648"/>
    <cellStyle name="Note 4 5 2 4" xfId="29929"/>
    <cellStyle name="Note 4 5 2_Table 2A-1_EFT (Annual)" xfId="15838"/>
    <cellStyle name="Note 4 5 3" xfId="9903"/>
    <cellStyle name="Note 4 5 3 2" xfId="22028"/>
    <cellStyle name="Note 4 5 3 2 2" xfId="43214"/>
    <cellStyle name="Note 4 5 3 3" xfId="32610"/>
    <cellStyle name="Note 4 5 4" xfId="16915"/>
    <cellStyle name="Note 4 5 4 2" xfId="38102"/>
    <cellStyle name="Note 4 5 5" xfId="27186"/>
    <cellStyle name="Note 4 5_Table 2A-1_EFT (Annual)" xfId="7483"/>
    <cellStyle name="Note 4 6" xfId="1941"/>
    <cellStyle name="Note 4 6 2" xfId="5502"/>
    <cellStyle name="Note 4 6 2 2" xfId="13717"/>
    <cellStyle name="Note 4 6 2 2 2" xfId="25705"/>
    <cellStyle name="Note 4 6 2 2 2 2" xfId="46891"/>
    <cellStyle name="Note 4 6 2 2 3" xfId="36287"/>
    <cellStyle name="Note 4 6 2 3" xfId="20592"/>
    <cellStyle name="Note 4 6 2 3 2" xfId="41779"/>
    <cellStyle name="Note 4 6 2 4" xfId="31159"/>
    <cellStyle name="Note 4 6 2_Table 2A-1_EFT (Annual)" xfId="15839"/>
    <cellStyle name="Note 4 6 3" xfId="11061"/>
    <cellStyle name="Note 4 6 3 2" xfId="23159"/>
    <cellStyle name="Note 4 6 3 2 2" xfId="44345"/>
    <cellStyle name="Note 4 6 3 3" xfId="33741"/>
    <cellStyle name="Note 4 6 4" xfId="18046"/>
    <cellStyle name="Note 4 6 4 2" xfId="39233"/>
    <cellStyle name="Note 4 6 5" xfId="28416"/>
    <cellStyle name="Note 4 6_Table 2A-1_EFT (Annual)" xfId="7484"/>
    <cellStyle name="Note 4 7" xfId="3680"/>
    <cellStyle name="Note 4 7 2" xfId="12053"/>
    <cellStyle name="Note 4 7 2 2" xfId="24084"/>
    <cellStyle name="Note 4 7 2 2 2" xfId="45270"/>
    <cellStyle name="Note 4 7 2 3" xfId="34666"/>
    <cellStyle name="Note 4 7 3" xfId="18971"/>
    <cellStyle name="Note 4 7 3 2" xfId="40158"/>
    <cellStyle name="Note 4 7 4" xfId="29390"/>
    <cellStyle name="Note 4 7_Table 2A-1_EFT (Annual)" xfId="15840"/>
    <cellStyle name="Note 4 8" xfId="9370"/>
    <cellStyle name="Note 4 8 2" xfId="21538"/>
    <cellStyle name="Note 4 8 2 2" xfId="42724"/>
    <cellStyle name="Note 4 8 3" xfId="32120"/>
    <cellStyle name="Note 4 9" xfId="16425"/>
    <cellStyle name="Note 4 9 2" xfId="37612"/>
    <cellStyle name="Note 4_Table 2A-1_EFT (Annual)" xfId="3304"/>
    <cellStyle name="Note 5" xfId="81"/>
    <cellStyle name="Note 5 10" xfId="21524"/>
    <cellStyle name="Note 5 10 2" xfId="42711"/>
    <cellStyle name="Note 5 11" xfId="26637"/>
    <cellStyle name="Note 5 2" xfId="480"/>
    <cellStyle name="Note 5 2 2" xfId="1457"/>
    <cellStyle name="Note 5 2 2 2" xfId="2727"/>
    <cellStyle name="Note 5 2 2 2 2" xfId="6288"/>
    <cellStyle name="Note 5 2 2 2 2 2" xfId="14482"/>
    <cellStyle name="Note 5 2 2 2 2 2 2" xfId="26454"/>
    <cellStyle name="Note 5 2 2 2 2 2 2 2" xfId="47640"/>
    <cellStyle name="Note 5 2 2 2 2 2 3" xfId="37036"/>
    <cellStyle name="Note 5 2 2 2 2 3" xfId="21341"/>
    <cellStyle name="Note 5 2 2 2 2 3 2" xfId="42528"/>
    <cellStyle name="Note 5 2 2 2 2 4" xfId="31944"/>
    <cellStyle name="Note 5 2 2 2 2_Table 2A-1_EFT (Annual)" xfId="15841"/>
    <cellStyle name="Note 5 2 2 2 3" xfId="11824"/>
    <cellStyle name="Note 5 2 2 2 3 2" xfId="23908"/>
    <cellStyle name="Note 5 2 2 2 3 2 2" xfId="45094"/>
    <cellStyle name="Note 5 2 2 2 3 3" xfId="34490"/>
    <cellStyle name="Note 5 2 2 2 4" xfId="18795"/>
    <cellStyle name="Note 5 2 2 2 4 2" xfId="39982"/>
    <cellStyle name="Note 5 2 2 2 5" xfId="29201"/>
    <cellStyle name="Note 5 2 2 2_Table 2A-1_EFT (Annual)" xfId="7486"/>
    <cellStyle name="Note 5 2 2 3" xfId="5018"/>
    <cellStyle name="Note 5 2 2 3 2" xfId="13278"/>
    <cellStyle name="Note 5 2 2 3 2 2" xfId="25284"/>
    <cellStyle name="Note 5 2 2 3 2 2 2" xfId="46470"/>
    <cellStyle name="Note 5 2 2 3 2 3" xfId="35866"/>
    <cellStyle name="Note 5 2 2 3 3" xfId="20171"/>
    <cellStyle name="Note 5 2 2 3 3 2" xfId="41358"/>
    <cellStyle name="Note 5 2 2 3 4" xfId="30675"/>
    <cellStyle name="Note 5 2 2 3_Table 2A-1_EFT (Annual)" xfId="15842"/>
    <cellStyle name="Note 5 2 2 4" xfId="10622"/>
    <cellStyle name="Note 5 2 2 4 2" xfId="22738"/>
    <cellStyle name="Note 5 2 2 4 2 2" xfId="43924"/>
    <cellStyle name="Note 5 2 2 4 3" xfId="33320"/>
    <cellStyle name="Note 5 2 2 5" xfId="17625"/>
    <cellStyle name="Note 5 2 2 5 2" xfId="38812"/>
    <cellStyle name="Note 5 2 2 6" xfId="27932"/>
    <cellStyle name="Note 5 2 2_Table 2A-1_EFT (Annual)" xfId="7485"/>
    <cellStyle name="Note 5 2 3" xfId="1000"/>
    <cellStyle name="Note 5 2 3 2" xfId="4561"/>
    <cellStyle name="Note 5 2 3 2 2" xfId="12821"/>
    <cellStyle name="Note 5 2 3 2 2 2" xfId="24827"/>
    <cellStyle name="Note 5 2 3 2 2 2 2" xfId="46013"/>
    <cellStyle name="Note 5 2 3 2 2 3" xfId="35409"/>
    <cellStyle name="Note 5 2 3 2 3" xfId="19714"/>
    <cellStyle name="Note 5 2 3 2 3 2" xfId="40901"/>
    <cellStyle name="Note 5 2 3 2 4" xfId="30218"/>
    <cellStyle name="Note 5 2 3 2_Table 2A-1_EFT (Annual)" xfId="15843"/>
    <cellStyle name="Note 5 2 3 3" xfId="10165"/>
    <cellStyle name="Note 5 2 3 3 2" xfId="22281"/>
    <cellStyle name="Note 5 2 3 3 2 2" xfId="43467"/>
    <cellStyle name="Note 5 2 3 3 3" xfId="32863"/>
    <cellStyle name="Note 5 2 3 4" xfId="17168"/>
    <cellStyle name="Note 5 2 3 4 2" xfId="38355"/>
    <cellStyle name="Note 5 2 3 5" xfId="27475"/>
    <cellStyle name="Note 5 2 3_Table 2A-1_EFT (Annual)" xfId="7487"/>
    <cellStyle name="Note 5 2 4" xfId="2196"/>
    <cellStyle name="Note 5 2 4 2" xfId="5757"/>
    <cellStyle name="Note 5 2 4 2 2" xfId="13972"/>
    <cellStyle name="Note 5 2 4 2 2 2" xfId="25960"/>
    <cellStyle name="Note 5 2 4 2 2 2 2" xfId="47146"/>
    <cellStyle name="Note 5 2 4 2 2 3" xfId="36542"/>
    <cellStyle name="Note 5 2 4 2 3" xfId="20847"/>
    <cellStyle name="Note 5 2 4 2 3 2" xfId="42034"/>
    <cellStyle name="Note 5 2 4 2 4" xfId="31414"/>
    <cellStyle name="Note 5 2 4 2_Table 2A-1_EFT (Annual)" xfId="15844"/>
    <cellStyle name="Note 5 2 4 3" xfId="11316"/>
    <cellStyle name="Note 5 2 4 3 2" xfId="23414"/>
    <cellStyle name="Note 5 2 4 3 2 2" xfId="44600"/>
    <cellStyle name="Note 5 2 4 3 3" xfId="33996"/>
    <cellStyle name="Note 5 2 4 4" xfId="18301"/>
    <cellStyle name="Note 5 2 4 4 2" xfId="39488"/>
    <cellStyle name="Note 5 2 4 5" xfId="28671"/>
    <cellStyle name="Note 5 2 4_Table 2A-1_EFT (Annual)" xfId="7488"/>
    <cellStyle name="Note 5 2 5" xfId="4050"/>
    <cellStyle name="Note 5 2 5 2" xfId="12374"/>
    <cellStyle name="Note 5 2 5 2 2" xfId="24396"/>
    <cellStyle name="Note 5 2 5 2 2 2" xfId="45582"/>
    <cellStyle name="Note 5 2 5 2 3" xfId="34978"/>
    <cellStyle name="Note 5 2 5 3" xfId="19283"/>
    <cellStyle name="Note 5 2 5 3 2" xfId="40470"/>
    <cellStyle name="Note 5 2 5 4" xfId="29738"/>
    <cellStyle name="Note 5 2 5_Table 2A-1_EFT (Annual)" xfId="15845"/>
    <cellStyle name="Note 5 2 6" xfId="9713"/>
    <cellStyle name="Note 5 2 6 2" xfId="21850"/>
    <cellStyle name="Note 5 2 6 2 2" xfId="43036"/>
    <cellStyle name="Note 5 2 6 3" xfId="32432"/>
    <cellStyle name="Note 5 2 7" xfId="16737"/>
    <cellStyle name="Note 5 2 7 2" xfId="37924"/>
    <cellStyle name="Note 5 2 8" xfId="26995"/>
    <cellStyle name="Note 5 2_Table 2A-1_EFT (Annual)" xfId="3308"/>
    <cellStyle name="Note 5 3" xfId="313"/>
    <cellStyle name="Note 5 3 2" xfId="1301"/>
    <cellStyle name="Note 5 3 2 2" xfId="2571"/>
    <cellStyle name="Note 5 3 2 2 2" xfId="6132"/>
    <cellStyle name="Note 5 3 2 2 2 2" xfId="14326"/>
    <cellStyle name="Note 5 3 2 2 2 2 2" xfId="26298"/>
    <cellStyle name="Note 5 3 2 2 2 2 2 2" xfId="47484"/>
    <cellStyle name="Note 5 3 2 2 2 2 3" xfId="36880"/>
    <cellStyle name="Note 5 3 2 2 2 3" xfId="21185"/>
    <cellStyle name="Note 5 3 2 2 2 3 2" xfId="42372"/>
    <cellStyle name="Note 5 3 2 2 2 4" xfId="31788"/>
    <cellStyle name="Note 5 3 2 2 2_Table 2A-1_EFT (Annual)" xfId="15846"/>
    <cellStyle name="Note 5 3 2 2 3" xfId="11668"/>
    <cellStyle name="Note 5 3 2 2 3 2" xfId="23752"/>
    <cellStyle name="Note 5 3 2 2 3 2 2" xfId="44938"/>
    <cellStyle name="Note 5 3 2 2 3 3" xfId="34334"/>
    <cellStyle name="Note 5 3 2 2 4" xfId="18639"/>
    <cellStyle name="Note 5 3 2 2 4 2" xfId="39826"/>
    <cellStyle name="Note 5 3 2 2 5" xfId="29045"/>
    <cellStyle name="Note 5 3 2 2_Table 2A-1_EFT (Annual)" xfId="7490"/>
    <cellStyle name="Note 5 3 2 3" xfId="4862"/>
    <cellStyle name="Note 5 3 2 3 2" xfId="13122"/>
    <cellStyle name="Note 5 3 2 3 2 2" xfId="25128"/>
    <cellStyle name="Note 5 3 2 3 2 2 2" xfId="46314"/>
    <cellStyle name="Note 5 3 2 3 2 3" xfId="35710"/>
    <cellStyle name="Note 5 3 2 3 3" xfId="20015"/>
    <cellStyle name="Note 5 3 2 3 3 2" xfId="41202"/>
    <cellStyle name="Note 5 3 2 3 4" xfId="30519"/>
    <cellStyle name="Note 5 3 2 3_Table 2A-1_EFT (Annual)" xfId="15847"/>
    <cellStyle name="Note 5 3 2 4" xfId="10466"/>
    <cellStyle name="Note 5 3 2 4 2" xfId="22582"/>
    <cellStyle name="Note 5 3 2 4 2 2" xfId="43768"/>
    <cellStyle name="Note 5 3 2 4 3" xfId="33164"/>
    <cellStyle name="Note 5 3 2 5" xfId="17469"/>
    <cellStyle name="Note 5 3 2 5 2" xfId="38656"/>
    <cellStyle name="Note 5 3 2 6" xfId="27776"/>
    <cellStyle name="Note 5 3 2_Table 2A-1_EFT (Annual)" xfId="7489"/>
    <cellStyle name="Note 5 3 3" xfId="863"/>
    <cellStyle name="Note 5 3 3 2" xfId="4424"/>
    <cellStyle name="Note 5 3 3 2 2" xfId="12689"/>
    <cellStyle name="Note 5 3 3 2 2 2" xfId="24701"/>
    <cellStyle name="Note 5 3 3 2 2 2 2" xfId="45887"/>
    <cellStyle name="Note 5 3 3 2 2 3" xfId="35283"/>
    <cellStyle name="Note 5 3 3 2 3" xfId="19588"/>
    <cellStyle name="Note 5 3 3 2 3 2" xfId="40775"/>
    <cellStyle name="Note 5 3 3 2 4" xfId="30081"/>
    <cellStyle name="Note 5 3 3 2_Table 2A-1_EFT (Annual)" xfId="15848"/>
    <cellStyle name="Note 5 3 3 3" xfId="10036"/>
    <cellStyle name="Note 5 3 3 3 2" xfId="22155"/>
    <cellStyle name="Note 5 3 3 3 2 2" xfId="43341"/>
    <cellStyle name="Note 5 3 3 3 3" xfId="32737"/>
    <cellStyle name="Note 5 3 3 4" xfId="17042"/>
    <cellStyle name="Note 5 3 3 4 2" xfId="38229"/>
    <cellStyle name="Note 5 3 3 5" xfId="27338"/>
    <cellStyle name="Note 5 3 3_Table 2A-1_EFT (Annual)" xfId="7491"/>
    <cellStyle name="Note 5 3 4" xfId="2040"/>
    <cellStyle name="Note 5 3 4 2" xfId="5601"/>
    <cellStyle name="Note 5 3 4 2 2" xfId="13816"/>
    <cellStyle name="Note 5 3 4 2 2 2" xfId="25804"/>
    <cellStyle name="Note 5 3 4 2 2 2 2" xfId="46990"/>
    <cellStyle name="Note 5 3 4 2 2 3" xfId="36386"/>
    <cellStyle name="Note 5 3 4 2 3" xfId="20691"/>
    <cellStyle name="Note 5 3 4 2 3 2" xfId="41878"/>
    <cellStyle name="Note 5 3 4 2 4" xfId="31258"/>
    <cellStyle name="Note 5 3 4 2_Table 2A-1_EFT (Annual)" xfId="15849"/>
    <cellStyle name="Note 5 3 4 3" xfId="11160"/>
    <cellStyle name="Note 5 3 4 3 2" xfId="23258"/>
    <cellStyle name="Note 5 3 4 3 2 2" xfId="44444"/>
    <cellStyle name="Note 5 3 4 3 3" xfId="33840"/>
    <cellStyle name="Note 5 3 4 4" xfId="18145"/>
    <cellStyle name="Note 5 3 4 4 2" xfId="39332"/>
    <cellStyle name="Note 5 3 4 5" xfId="28515"/>
    <cellStyle name="Note 5 3 4_Table 2A-1_EFT (Annual)" xfId="7492"/>
    <cellStyle name="Note 5 3 5" xfId="3883"/>
    <cellStyle name="Note 5 3 5 2" xfId="12215"/>
    <cellStyle name="Note 5 3 5 2 2" xfId="24240"/>
    <cellStyle name="Note 5 3 5 2 2 2" xfId="45426"/>
    <cellStyle name="Note 5 3 5 2 3" xfId="34822"/>
    <cellStyle name="Note 5 3 5 3" xfId="19127"/>
    <cellStyle name="Note 5 3 5 3 2" xfId="40314"/>
    <cellStyle name="Note 5 3 5 4" xfId="29571"/>
    <cellStyle name="Note 5 3 5_Table 2A-1_EFT (Annual)" xfId="15850"/>
    <cellStyle name="Note 5 3 6" xfId="9552"/>
    <cellStyle name="Note 5 3 6 2" xfId="21694"/>
    <cellStyle name="Note 5 3 6 2 2" xfId="42880"/>
    <cellStyle name="Note 5 3 6 3" xfId="32276"/>
    <cellStyle name="Note 5 3 7" xfId="16581"/>
    <cellStyle name="Note 5 3 7 2" xfId="37768"/>
    <cellStyle name="Note 5 3 8" xfId="26828"/>
    <cellStyle name="Note 5 3_Table 2A-1_EFT (Annual)" xfId="3309"/>
    <cellStyle name="Note 5 4" xfId="1135"/>
    <cellStyle name="Note 5 4 2" xfId="2405"/>
    <cellStyle name="Note 5 4 2 2" xfId="5966"/>
    <cellStyle name="Note 5 4 2 2 2" xfId="14160"/>
    <cellStyle name="Note 5 4 2 2 2 2" xfId="26132"/>
    <cellStyle name="Note 5 4 2 2 2 2 2" xfId="47318"/>
    <cellStyle name="Note 5 4 2 2 2 3" xfId="36714"/>
    <cellStyle name="Note 5 4 2 2 3" xfId="21019"/>
    <cellStyle name="Note 5 4 2 2 3 2" xfId="42206"/>
    <cellStyle name="Note 5 4 2 2 4" xfId="31622"/>
    <cellStyle name="Note 5 4 2 2_Table 2A-1_EFT (Annual)" xfId="15851"/>
    <cellStyle name="Note 5 4 2 3" xfId="11502"/>
    <cellStyle name="Note 5 4 2 3 2" xfId="23586"/>
    <cellStyle name="Note 5 4 2 3 2 2" xfId="44772"/>
    <cellStyle name="Note 5 4 2 3 3" xfId="34168"/>
    <cellStyle name="Note 5 4 2 4" xfId="18473"/>
    <cellStyle name="Note 5 4 2 4 2" xfId="39660"/>
    <cellStyle name="Note 5 4 2 5" xfId="28879"/>
    <cellStyle name="Note 5 4 2_Table 2A-1_EFT (Annual)" xfId="7494"/>
    <cellStyle name="Note 5 4 3" xfId="4696"/>
    <cellStyle name="Note 5 4 3 2" xfId="12956"/>
    <cellStyle name="Note 5 4 3 2 2" xfId="24962"/>
    <cellStyle name="Note 5 4 3 2 2 2" xfId="46148"/>
    <cellStyle name="Note 5 4 3 2 3" xfId="35544"/>
    <cellStyle name="Note 5 4 3 3" xfId="19849"/>
    <cellStyle name="Note 5 4 3 3 2" xfId="41036"/>
    <cellStyle name="Note 5 4 3 4" xfId="30353"/>
    <cellStyle name="Note 5 4 3_Table 2A-1_EFT (Annual)" xfId="15852"/>
    <cellStyle name="Note 5 4 4" xfId="10300"/>
    <cellStyle name="Note 5 4 4 2" xfId="22416"/>
    <cellStyle name="Note 5 4 4 2 2" xfId="43602"/>
    <cellStyle name="Note 5 4 4 3" xfId="32998"/>
    <cellStyle name="Note 5 4 5" xfId="17303"/>
    <cellStyle name="Note 5 4 5 2" xfId="38490"/>
    <cellStyle name="Note 5 4 6" xfId="27610"/>
    <cellStyle name="Note 5 4_Table 2A-1_EFT (Annual)" xfId="7493"/>
    <cellStyle name="Note 5 5" xfId="704"/>
    <cellStyle name="Note 5 5 2" xfId="4265"/>
    <cellStyle name="Note 5 5 2 2" xfId="12549"/>
    <cellStyle name="Note 5 5 2 2 2" xfId="24567"/>
    <cellStyle name="Note 5 5 2 2 2 2" xfId="45753"/>
    <cellStyle name="Note 5 5 2 2 3" xfId="35149"/>
    <cellStyle name="Note 5 5 2 3" xfId="19454"/>
    <cellStyle name="Note 5 5 2 3 2" xfId="40641"/>
    <cellStyle name="Note 5 5 2 4" xfId="29922"/>
    <cellStyle name="Note 5 5 2_Table 2A-1_EFT (Annual)" xfId="15853"/>
    <cellStyle name="Note 5 5 3" xfId="9896"/>
    <cellStyle name="Note 5 5 3 2" xfId="22021"/>
    <cellStyle name="Note 5 5 3 2 2" xfId="43207"/>
    <cellStyle name="Note 5 5 3 3" xfId="32603"/>
    <cellStyle name="Note 5 5 4" xfId="16908"/>
    <cellStyle name="Note 5 5 4 2" xfId="38095"/>
    <cellStyle name="Note 5 5 5" xfId="27179"/>
    <cellStyle name="Note 5 5_Table 2A-1_EFT (Annual)" xfId="7495"/>
    <cellStyle name="Note 5 6" xfId="1943"/>
    <cellStyle name="Note 5 6 2" xfId="5504"/>
    <cellStyle name="Note 5 6 2 2" xfId="13719"/>
    <cellStyle name="Note 5 6 2 2 2" xfId="25707"/>
    <cellStyle name="Note 5 6 2 2 2 2" xfId="46893"/>
    <cellStyle name="Note 5 6 2 2 3" xfId="36289"/>
    <cellStyle name="Note 5 6 2 3" xfId="20594"/>
    <cellStyle name="Note 5 6 2 3 2" xfId="41781"/>
    <cellStyle name="Note 5 6 2 4" xfId="31161"/>
    <cellStyle name="Note 5 6 2_Table 2A-1_EFT (Annual)" xfId="15854"/>
    <cellStyle name="Note 5 6 3" xfId="11063"/>
    <cellStyle name="Note 5 6 3 2" xfId="23161"/>
    <cellStyle name="Note 5 6 3 2 2" xfId="44347"/>
    <cellStyle name="Note 5 6 3 3" xfId="33743"/>
    <cellStyle name="Note 5 6 4" xfId="18048"/>
    <cellStyle name="Note 5 6 4 2" xfId="39235"/>
    <cellStyle name="Note 5 6 5" xfId="28418"/>
    <cellStyle name="Note 5 6_Table 2A-1_EFT (Annual)" xfId="7496"/>
    <cellStyle name="Note 5 7" xfId="3670"/>
    <cellStyle name="Note 5 7 2" xfId="12043"/>
    <cellStyle name="Note 5 7 2 2" xfId="24074"/>
    <cellStyle name="Note 5 7 2 2 2" xfId="45260"/>
    <cellStyle name="Note 5 7 2 3" xfId="34656"/>
    <cellStyle name="Note 5 7 3" xfId="18961"/>
    <cellStyle name="Note 5 7 3 2" xfId="40148"/>
    <cellStyle name="Note 5 7 4" xfId="29380"/>
    <cellStyle name="Note 5 7_Table 2A-1_EFT (Annual)" xfId="15855"/>
    <cellStyle name="Note 5 8" xfId="9360"/>
    <cellStyle name="Note 5 8 2" xfId="21528"/>
    <cellStyle name="Note 5 8 2 2" xfId="42714"/>
    <cellStyle name="Note 5 8 3" xfId="32110"/>
    <cellStyle name="Note 5 9" xfId="16415"/>
    <cellStyle name="Note 5 9 2" xfId="37602"/>
    <cellStyle name="Note 5_Table 2A-1_EFT (Annual)" xfId="3307"/>
    <cellStyle name="Note 6" xfId="89"/>
    <cellStyle name="Note 6 10" xfId="26645"/>
    <cellStyle name="Note 6 2" xfId="488"/>
    <cellStyle name="Note 6 2 2" xfId="1465"/>
    <cellStyle name="Note 6 2 2 2" xfId="2735"/>
    <cellStyle name="Note 6 2 2 2 2" xfId="6296"/>
    <cellStyle name="Note 6 2 2 2 2 2" xfId="14490"/>
    <cellStyle name="Note 6 2 2 2 2 2 2" xfId="26462"/>
    <cellStyle name="Note 6 2 2 2 2 2 2 2" xfId="47648"/>
    <cellStyle name="Note 6 2 2 2 2 2 3" xfId="37044"/>
    <cellStyle name="Note 6 2 2 2 2 3" xfId="21349"/>
    <cellStyle name="Note 6 2 2 2 2 3 2" xfId="42536"/>
    <cellStyle name="Note 6 2 2 2 2 4" xfId="31952"/>
    <cellStyle name="Note 6 2 2 2 2_Table 2A-1_EFT (Annual)" xfId="15856"/>
    <cellStyle name="Note 6 2 2 2 3" xfId="11832"/>
    <cellStyle name="Note 6 2 2 2 3 2" xfId="23916"/>
    <cellStyle name="Note 6 2 2 2 3 2 2" xfId="45102"/>
    <cellStyle name="Note 6 2 2 2 3 3" xfId="34498"/>
    <cellStyle name="Note 6 2 2 2 4" xfId="18803"/>
    <cellStyle name="Note 6 2 2 2 4 2" xfId="39990"/>
    <cellStyle name="Note 6 2 2 2 5" xfId="29209"/>
    <cellStyle name="Note 6 2 2 2_Table 2A-1_EFT (Annual)" xfId="7498"/>
    <cellStyle name="Note 6 2 2 3" xfId="5026"/>
    <cellStyle name="Note 6 2 2 3 2" xfId="13286"/>
    <cellStyle name="Note 6 2 2 3 2 2" xfId="25292"/>
    <cellStyle name="Note 6 2 2 3 2 2 2" xfId="46478"/>
    <cellStyle name="Note 6 2 2 3 2 3" xfId="35874"/>
    <cellStyle name="Note 6 2 2 3 3" xfId="20179"/>
    <cellStyle name="Note 6 2 2 3 3 2" xfId="41366"/>
    <cellStyle name="Note 6 2 2 3 4" xfId="30683"/>
    <cellStyle name="Note 6 2 2 3_Table 2A-1_EFT (Annual)" xfId="15857"/>
    <cellStyle name="Note 6 2 2 4" xfId="10630"/>
    <cellStyle name="Note 6 2 2 4 2" xfId="22746"/>
    <cellStyle name="Note 6 2 2 4 2 2" xfId="43932"/>
    <cellStyle name="Note 6 2 2 4 3" xfId="33328"/>
    <cellStyle name="Note 6 2 2 5" xfId="17633"/>
    <cellStyle name="Note 6 2 2 5 2" xfId="38820"/>
    <cellStyle name="Note 6 2 2 6" xfId="27940"/>
    <cellStyle name="Note 6 2 2_Table 2A-1_EFT (Annual)" xfId="7497"/>
    <cellStyle name="Note 6 2 3" xfId="1006"/>
    <cellStyle name="Note 6 2 3 2" xfId="4567"/>
    <cellStyle name="Note 6 2 3 2 2" xfId="12827"/>
    <cellStyle name="Note 6 2 3 2 2 2" xfId="24833"/>
    <cellStyle name="Note 6 2 3 2 2 2 2" xfId="46019"/>
    <cellStyle name="Note 6 2 3 2 2 3" xfId="35415"/>
    <cellStyle name="Note 6 2 3 2 3" xfId="19720"/>
    <cellStyle name="Note 6 2 3 2 3 2" xfId="40907"/>
    <cellStyle name="Note 6 2 3 2 4" xfId="30224"/>
    <cellStyle name="Note 6 2 3 2_Table 2A-1_EFT (Annual)" xfId="15858"/>
    <cellStyle name="Note 6 2 3 3" xfId="10171"/>
    <cellStyle name="Note 6 2 3 3 2" xfId="22287"/>
    <cellStyle name="Note 6 2 3 3 2 2" xfId="43473"/>
    <cellStyle name="Note 6 2 3 3 3" xfId="32869"/>
    <cellStyle name="Note 6 2 3 4" xfId="17174"/>
    <cellStyle name="Note 6 2 3 4 2" xfId="38361"/>
    <cellStyle name="Note 6 2 3 5" xfId="27481"/>
    <cellStyle name="Note 6 2 3_Table 2A-1_EFT (Annual)" xfId="7499"/>
    <cellStyle name="Note 6 2 4" xfId="2204"/>
    <cellStyle name="Note 6 2 4 2" xfId="5765"/>
    <cellStyle name="Note 6 2 4 2 2" xfId="13980"/>
    <cellStyle name="Note 6 2 4 2 2 2" xfId="25968"/>
    <cellStyle name="Note 6 2 4 2 2 2 2" xfId="47154"/>
    <cellStyle name="Note 6 2 4 2 2 3" xfId="36550"/>
    <cellStyle name="Note 6 2 4 2 3" xfId="20855"/>
    <cellStyle name="Note 6 2 4 2 3 2" xfId="42042"/>
    <cellStyle name="Note 6 2 4 2 4" xfId="31422"/>
    <cellStyle name="Note 6 2 4 2_Table 2A-1_EFT (Annual)" xfId="15859"/>
    <cellStyle name="Note 6 2 4 3" xfId="11324"/>
    <cellStyle name="Note 6 2 4 3 2" xfId="23422"/>
    <cellStyle name="Note 6 2 4 3 2 2" xfId="44608"/>
    <cellStyle name="Note 6 2 4 3 3" xfId="34004"/>
    <cellStyle name="Note 6 2 4 4" xfId="18309"/>
    <cellStyle name="Note 6 2 4 4 2" xfId="39496"/>
    <cellStyle name="Note 6 2 4 5" xfId="28679"/>
    <cellStyle name="Note 6 2 4_Table 2A-1_EFT (Annual)" xfId="7500"/>
    <cellStyle name="Note 6 2 5" xfId="4058"/>
    <cellStyle name="Note 6 2 5 2" xfId="12382"/>
    <cellStyle name="Note 6 2 5 2 2" xfId="24404"/>
    <cellStyle name="Note 6 2 5 2 2 2" xfId="45590"/>
    <cellStyle name="Note 6 2 5 2 3" xfId="34986"/>
    <cellStyle name="Note 6 2 5 3" xfId="19291"/>
    <cellStyle name="Note 6 2 5 3 2" xfId="40478"/>
    <cellStyle name="Note 6 2 5 4" xfId="29746"/>
    <cellStyle name="Note 6 2 5_Table 2A-1_EFT (Annual)" xfId="15860"/>
    <cellStyle name="Note 6 2 6" xfId="9721"/>
    <cellStyle name="Note 6 2 6 2" xfId="21858"/>
    <cellStyle name="Note 6 2 6 2 2" xfId="43044"/>
    <cellStyle name="Note 6 2 6 3" xfId="32440"/>
    <cellStyle name="Note 6 2 7" xfId="16745"/>
    <cellStyle name="Note 6 2 7 2" xfId="37932"/>
    <cellStyle name="Note 6 2 8" xfId="27003"/>
    <cellStyle name="Note 6 2_Table 2A-1_EFT (Annual)" xfId="3311"/>
    <cellStyle name="Note 6 3" xfId="321"/>
    <cellStyle name="Note 6 3 2" xfId="1309"/>
    <cellStyle name="Note 6 3 2 2" xfId="2579"/>
    <cellStyle name="Note 6 3 2 2 2" xfId="6140"/>
    <cellStyle name="Note 6 3 2 2 2 2" xfId="14334"/>
    <cellStyle name="Note 6 3 2 2 2 2 2" xfId="26306"/>
    <cellStyle name="Note 6 3 2 2 2 2 2 2" xfId="47492"/>
    <cellStyle name="Note 6 3 2 2 2 2 3" xfId="36888"/>
    <cellStyle name="Note 6 3 2 2 2 3" xfId="21193"/>
    <cellStyle name="Note 6 3 2 2 2 3 2" xfId="42380"/>
    <cellStyle name="Note 6 3 2 2 2 4" xfId="31796"/>
    <cellStyle name="Note 6 3 2 2 2_Table 2A-1_EFT (Annual)" xfId="15861"/>
    <cellStyle name="Note 6 3 2 2 3" xfId="11676"/>
    <cellStyle name="Note 6 3 2 2 3 2" xfId="23760"/>
    <cellStyle name="Note 6 3 2 2 3 2 2" xfId="44946"/>
    <cellStyle name="Note 6 3 2 2 3 3" xfId="34342"/>
    <cellStyle name="Note 6 3 2 2 4" xfId="18647"/>
    <cellStyle name="Note 6 3 2 2 4 2" xfId="39834"/>
    <cellStyle name="Note 6 3 2 2 5" xfId="29053"/>
    <cellStyle name="Note 6 3 2 2_Table 2A-1_EFT (Annual)" xfId="7502"/>
    <cellStyle name="Note 6 3 2 3" xfId="4870"/>
    <cellStyle name="Note 6 3 2 3 2" xfId="13130"/>
    <cellStyle name="Note 6 3 2 3 2 2" xfId="25136"/>
    <cellStyle name="Note 6 3 2 3 2 2 2" xfId="46322"/>
    <cellStyle name="Note 6 3 2 3 2 3" xfId="35718"/>
    <cellStyle name="Note 6 3 2 3 3" xfId="20023"/>
    <cellStyle name="Note 6 3 2 3 3 2" xfId="41210"/>
    <cellStyle name="Note 6 3 2 3 4" xfId="30527"/>
    <cellStyle name="Note 6 3 2 3_Table 2A-1_EFT (Annual)" xfId="15862"/>
    <cellStyle name="Note 6 3 2 4" xfId="10474"/>
    <cellStyle name="Note 6 3 2 4 2" xfId="22590"/>
    <cellStyle name="Note 6 3 2 4 2 2" xfId="43776"/>
    <cellStyle name="Note 6 3 2 4 3" xfId="33172"/>
    <cellStyle name="Note 6 3 2 5" xfId="17477"/>
    <cellStyle name="Note 6 3 2 5 2" xfId="38664"/>
    <cellStyle name="Note 6 3 2 6" xfId="27784"/>
    <cellStyle name="Note 6 3 2_Table 2A-1_EFT (Annual)" xfId="7501"/>
    <cellStyle name="Note 6 3 3" xfId="869"/>
    <cellStyle name="Note 6 3 3 2" xfId="4430"/>
    <cellStyle name="Note 6 3 3 2 2" xfId="12695"/>
    <cellStyle name="Note 6 3 3 2 2 2" xfId="24707"/>
    <cellStyle name="Note 6 3 3 2 2 2 2" xfId="45893"/>
    <cellStyle name="Note 6 3 3 2 2 3" xfId="35289"/>
    <cellStyle name="Note 6 3 3 2 3" xfId="19594"/>
    <cellStyle name="Note 6 3 3 2 3 2" xfId="40781"/>
    <cellStyle name="Note 6 3 3 2 4" xfId="30087"/>
    <cellStyle name="Note 6 3 3 2_Table 2A-1_EFT (Annual)" xfId="15863"/>
    <cellStyle name="Note 6 3 3 3" xfId="10042"/>
    <cellStyle name="Note 6 3 3 3 2" xfId="22161"/>
    <cellStyle name="Note 6 3 3 3 2 2" xfId="43347"/>
    <cellStyle name="Note 6 3 3 3 3" xfId="32743"/>
    <cellStyle name="Note 6 3 3 4" xfId="17048"/>
    <cellStyle name="Note 6 3 3 4 2" xfId="38235"/>
    <cellStyle name="Note 6 3 3 5" xfId="27344"/>
    <cellStyle name="Note 6 3 3_Table 2A-1_EFT (Annual)" xfId="7503"/>
    <cellStyle name="Note 6 3 4" xfId="2048"/>
    <cellStyle name="Note 6 3 4 2" xfId="5609"/>
    <cellStyle name="Note 6 3 4 2 2" xfId="13824"/>
    <cellStyle name="Note 6 3 4 2 2 2" xfId="25812"/>
    <cellStyle name="Note 6 3 4 2 2 2 2" xfId="46998"/>
    <cellStyle name="Note 6 3 4 2 2 3" xfId="36394"/>
    <cellStyle name="Note 6 3 4 2 3" xfId="20699"/>
    <cellStyle name="Note 6 3 4 2 3 2" xfId="41886"/>
    <cellStyle name="Note 6 3 4 2 4" xfId="31266"/>
    <cellStyle name="Note 6 3 4 2_Table 2A-1_EFT (Annual)" xfId="15864"/>
    <cellStyle name="Note 6 3 4 3" xfId="11168"/>
    <cellStyle name="Note 6 3 4 3 2" xfId="23266"/>
    <cellStyle name="Note 6 3 4 3 2 2" xfId="44452"/>
    <cellStyle name="Note 6 3 4 3 3" xfId="33848"/>
    <cellStyle name="Note 6 3 4 4" xfId="18153"/>
    <cellStyle name="Note 6 3 4 4 2" xfId="39340"/>
    <cellStyle name="Note 6 3 4 5" xfId="28523"/>
    <cellStyle name="Note 6 3 4_Table 2A-1_EFT (Annual)" xfId="7504"/>
    <cellStyle name="Note 6 3 5" xfId="3891"/>
    <cellStyle name="Note 6 3 5 2" xfId="12223"/>
    <cellStyle name="Note 6 3 5 2 2" xfId="24248"/>
    <cellStyle name="Note 6 3 5 2 2 2" xfId="45434"/>
    <cellStyle name="Note 6 3 5 2 3" xfId="34830"/>
    <cellStyle name="Note 6 3 5 3" xfId="19135"/>
    <cellStyle name="Note 6 3 5 3 2" xfId="40322"/>
    <cellStyle name="Note 6 3 5 4" xfId="29579"/>
    <cellStyle name="Note 6 3 5_Table 2A-1_EFT (Annual)" xfId="15865"/>
    <cellStyle name="Note 6 3 6" xfId="9560"/>
    <cellStyle name="Note 6 3 6 2" xfId="21702"/>
    <cellStyle name="Note 6 3 6 2 2" xfId="42888"/>
    <cellStyle name="Note 6 3 6 3" xfId="32284"/>
    <cellStyle name="Note 6 3 7" xfId="16589"/>
    <cellStyle name="Note 6 3 7 2" xfId="37776"/>
    <cellStyle name="Note 6 3 8" xfId="26836"/>
    <cellStyle name="Note 6 3_Table 2A-1_EFT (Annual)" xfId="3312"/>
    <cellStyle name="Note 6 4" xfId="1143"/>
    <cellStyle name="Note 6 4 2" xfId="2413"/>
    <cellStyle name="Note 6 4 2 2" xfId="5974"/>
    <cellStyle name="Note 6 4 2 2 2" xfId="14168"/>
    <cellStyle name="Note 6 4 2 2 2 2" xfId="26140"/>
    <cellStyle name="Note 6 4 2 2 2 2 2" xfId="47326"/>
    <cellStyle name="Note 6 4 2 2 2 3" xfId="36722"/>
    <cellStyle name="Note 6 4 2 2 3" xfId="21027"/>
    <cellStyle name="Note 6 4 2 2 3 2" xfId="42214"/>
    <cellStyle name="Note 6 4 2 2 4" xfId="31630"/>
    <cellStyle name="Note 6 4 2 2_Table 2A-1_EFT (Annual)" xfId="15866"/>
    <cellStyle name="Note 6 4 2 3" xfId="11510"/>
    <cellStyle name="Note 6 4 2 3 2" xfId="23594"/>
    <cellStyle name="Note 6 4 2 3 2 2" xfId="44780"/>
    <cellStyle name="Note 6 4 2 3 3" xfId="34176"/>
    <cellStyle name="Note 6 4 2 4" xfId="18481"/>
    <cellStyle name="Note 6 4 2 4 2" xfId="39668"/>
    <cellStyle name="Note 6 4 2 5" xfId="28887"/>
    <cellStyle name="Note 6 4 2_Table 2A-1_EFT (Annual)" xfId="7506"/>
    <cellStyle name="Note 6 4 3" xfId="4704"/>
    <cellStyle name="Note 6 4 3 2" xfId="12964"/>
    <cellStyle name="Note 6 4 3 2 2" xfId="24970"/>
    <cellStyle name="Note 6 4 3 2 2 2" xfId="46156"/>
    <cellStyle name="Note 6 4 3 2 3" xfId="35552"/>
    <cellStyle name="Note 6 4 3 3" xfId="19857"/>
    <cellStyle name="Note 6 4 3 3 2" xfId="41044"/>
    <cellStyle name="Note 6 4 3 4" xfId="30361"/>
    <cellStyle name="Note 6 4 3_Table 2A-1_EFT (Annual)" xfId="15867"/>
    <cellStyle name="Note 6 4 4" xfId="10308"/>
    <cellStyle name="Note 6 4 4 2" xfId="22424"/>
    <cellStyle name="Note 6 4 4 2 2" xfId="43610"/>
    <cellStyle name="Note 6 4 4 3" xfId="33006"/>
    <cellStyle name="Note 6 4 5" xfId="17311"/>
    <cellStyle name="Note 6 4 5 2" xfId="38498"/>
    <cellStyle name="Note 6 4 6" xfId="27618"/>
    <cellStyle name="Note 6 4_Table 2A-1_EFT (Annual)" xfId="7505"/>
    <cellStyle name="Note 6 5" xfId="710"/>
    <cellStyle name="Note 6 5 2" xfId="4271"/>
    <cellStyle name="Note 6 5 2 2" xfId="12555"/>
    <cellStyle name="Note 6 5 2 2 2" xfId="24573"/>
    <cellStyle name="Note 6 5 2 2 2 2" xfId="45759"/>
    <cellStyle name="Note 6 5 2 2 3" xfId="35155"/>
    <cellStyle name="Note 6 5 2 3" xfId="19460"/>
    <cellStyle name="Note 6 5 2 3 2" xfId="40647"/>
    <cellStyle name="Note 6 5 2 4" xfId="29928"/>
    <cellStyle name="Note 6 5 2_Table 2A-1_EFT (Annual)" xfId="15868"/>
    <cellStyle name="Note 6 5 3" xfId="9902"/>
    <cellStyle name="Note 6 5 3 2" xfId="22027"/>
    <cellStyle name="Note 6 5 3 2 2" xfId="43213"/>
    <cellStyle name="Note 6 5 3 3" xfId="32609"/>
    <cellStyle name="Note 6 5 4" xfId="16914"/>
    <cellStyle name="Note 6 5 4 2" xfId="38101"/>
    <cellStyle name="Note 6 5 5" xfId="27185"/>
    <cellStyle name="Note 6 5_Table 2A-1_EFT (Annual)" xfId="7507"/>
    <cellStyle name="Note 6 6" xfId="1819"/>
    <cellStyle name="Note 6 6 2" xfId="5380"/>
    <cellStyle name="Note 6 6 2 2" xfId="13595"/>
    <cellStyle name="Note 6 6 2 2 2" xfId="25583"/>
    <cellStyle name="Note 6 6 2 2 2 2" xfId="46769"/>
    <cellStyle name="Note 6 6 2 2 3" xfId="36165"/>
    <cellStyle name="Note 6 6 2 3" xfId="20470"/>
    <cellStyle name="Note 6 6 2 3 2" xfId="41657"/>
    <cellStyle name="Note 6 6 2 4" xfId="31037"/>
    <cellStyle name="Note 6 6 2_Table 2A-1_EFT (Annual)" xfId="15869"/>
    <cellStyle name="Note 6 6 3" xfId="10939"/>
    <cellStyle name="Note 6 6 3 2" xfId="23037"/>
    <cellStyle name="Note 6 6 3 2 2" xfId="44223"/>
    <cellStyle name="Note 6 6 3 3" xfId="33619"/>
    <cellStyle name="Note 6 6 4" xfId="17924"/>
    <cellStyle name="Note 6 6 4 2" xfId="39111"/>
    <cellStyle name="Note 6 6 5" xfId="28294"/>
    <cellStyle name="Note 6 6_Table 2A-1_EFT (Annual)" xfId="7508"/>
    <cellStyle name="Note 6 7" xfId="3678"/>
    <cellStyle name="Note 6 7 2" xfId="12051"/>
    <cellStyle name="Note 6 7 2 2" xfId="24082"/>
    <cellStyle name="Note 6 7 2 2 2" xfId="45268"/>
    <cellStyle name="Note 6 7 2 3" xfId="34664"/>
    <cellStyle name="Note 6 7 3" xfId="18969"/>
    <cellStyle name="Note 6 7 3 2" xfId="40156"/>
    <cellStyle name="Note 6 7 4" xfId="29388"/>
    <cellStyle name="Note 6 7_Table 2A-1_EFT (Annual)" xfId="15870"/>
    <cellStyle name="Note 6 8" xfId="9368"/>
    <cellStyle name="Note 6 8 2" xfId="21536"/>
    <cellStyle name="Note 6 8 2 2" xfId="42722"/>
    <cellStyle name="Note 6 8 3" xfId="32118"/>
    <cellStyle name="Note 6 9" xfId="16423"/>
    <cellStyle name="Note 6 9 2" xfId="37610"/>
    <cellStyle name="Note 6_Table 2A-1_EFT (Annual)" xfId="3310"/>
    <cellStyle name="Note 7" xfId="108"/>
    <cellStyle name="Note 7 10" xfId="26663"/>
    <cellStyle name="Note 7 2" xfId="501"/>
    <cellStyle name="Note 7 2 2" xfId="1478"/>
    <cellStyle name="Note 7 2 2 2" xfId="2748"/>
    <cellStyle name="Note 7 2 2 2 2" xfId="6309"/>
    <cellStyle name="Note 7 2 2 2 2 2" xfId="14503"/>
    <cellStyle name="Note 7 2 2 2 2 2 2" xfId="26475"/>
    <cellStyle name="Note 7 2 2 2 2 2 2 2" xfId="47661"/>
    <cellStyle name="Note 7 2 2 2 2 2 3" xfId="37057"/>
    <cellStyle name="Note 7 2 2 2 2 3" xfId="21362"/>
    <cellStyle name="Note 7 2 2 2 2 3 2" xfId="42549"/>
    <cellStyle name="Note 7 2 2 2 2 4" xfId="31965"/>
    <cellStyle name="Note 7 2 2 2 2_Table 2A-1_EFT (Annual)" xfId="15871"/>
    <cellStyle name="Note 7 2 2 2 3" xfId="11845"/>
    <cellStyle name="Note 7 2 2 2 3 2" xfId="23929"/>
    <cellStyle name="Note 7 2 2 2 3 2 2" xfId="45115"/>
    <cellStyle name="Note 7 2 2 2 3 3" xfId="34511"/>
    <cellStyle name="Note 7 2 2 2 4" xfId="18816"/>
    <cellStyle name="Note 7 2 2 2 4 2" xfId="40003"/>
    <cellStyle name="Note 7 2 2 2 5" xfId="29222"/>
    <cellStyle name="Note 7 2 2 2_Table 2A-1_EFT (Annual)" xfId="7510"/>
    <cellStyle name="Note 7 2 2 3" xfId="5039"/>
    <cellStyle name="Note 7 2 2 3 2" xfId="13299"/>
    <cellStyle name="Note 7 2 2 3 2 2" xfId="25305"/>
    <cellStyle name="Note 7 2 2 3 2 2 2" xfId="46491"/>
    <cellStyle name="Note 7 2 2 3 2 3" xfId="35887"/>
    <cellStyle name="Note 7 2 2 3 3" xfId="20192"/>
    <cellStyle name="Note 7 2 2 3 3 2" xfId="41379"/>
    <cellStyle name="Note 7 2 2 3 4" xfId="30696"/>
    <cellStyle name="Note 7 2 2 3_Table 2A-1_EFT (Annual)" xfId="15872"/>
    <cellStyle name="Note 7 2 2 4" xfId="10643"/>
    <cellStyle name="Note 7 2 2 4 2" xfId="22759"/>
    <cellStyle name="Note 7 2 2 4 2 2" xfId="43945"/>
    <cellStyle name="Note 7 2 2 4 3" xfId="33341"/>
    <cellStyle name="Note 7 2 2 5" xfId="17646"/>
    <cellStyle name="Note 7 2 2 5 2" xfId="38833"/>
    <cellStyle name="Note 7 2 2 6" xfId="27953"/>
    <cellStyle name="Note 7 2 2_Table 2A-1_EFT (Annual)" xfId="7509"/>
    <cellStyle name="Note 7 2 3" xfId="1015"/>
    <cellStyle name="Note 7 2 3 2" xfId="4576"/>
    <cellStyle name="Note 7 2 3 2 2" xfId="12836"/>
    <cellStyle name="Note 7 2 3 2 2 2" xfId="24842"/>
    <cellStyle name="Note 7 2 3 2 2 2 2" xfId="46028"/>
    <cellStyle name="Note 7 2 3 2 2 3" xfId="35424"/>
    <cellStyle name="Note 7 2 3 2 3" xfId="19729"/>
    <cellStyle name="Note 7 2 3 2 3 2" xfId="40916"/>
    <cellStyle name="Note 7 2 3 2 4" xfId="30233"/>
    <cellStyle name="Note 7 2 3 2_Table 2A-1_EFT (Annual)" xfId="15873"/>
    <cellStyle name="Note 7 2 3 3" xfId="10180"/>
    <cellStyle name="Note 7 2 3 3 2" xfId="22296"/>
    <cellStyle name="Note 7 2 3 3 2 2" xfId="43482"/>
    <cellStyle name="Note 7 2 3 3 3" xfId="32878"/>
    <cellStyle name="Note 7 2 3 4" xfId="17183"/>
    <cellStyle name="Note 7 2 3 4 2" xfId="38370"/>
    <cellStyle name="Note 7 2 3 5" xfId="27490"/>
    <cellStyle name="Note 7 2 3_Table 2A-1_EFT (Annual)" xfId="7511"/>
    <cellStyle name="Note 7 2 4" xfId="2217"/>
    <cellStyle name="Note 7 2 4 2" xfId="5778"/>
    <cellStyle name="Note 7 2 4 2 2" xfId="13993"/>
    <cellStyle name="Note 7 2 4 2 2 2" xfId="25981"/>
    <cellStyle name="Note 7 2 4 2 2 2 2" xfId="47167"/>
    <cellStyle name="Note 7 2 4 2 2 3" xfId="36563"/>
    <cellStyle name="Note 7 2 4 2 3" xfId="20868"/>
    <cellStyle name="Note 7 2 4 2 3 2" xfId="42055"/>
    <cellStyle name="Note 7 2 4 2 4" xfId="31435"/>
    <cellStyle name="Note 7 2 4 2_Table 2A-1_EFT (Annual)" xfId="15874"/>
    <cellStyle name="Note 7 2 4 3" xfId="11337"/>
    <cellStyle name="Note 7 2 4 3 2" xfId="23435"/>
    <cellStyle name="Note 7 2 4 3 2 2" xfId="44621"/>
    <cellStyle name="Note 7 2 4 3 3" xfId="34017"/>
    <cellStyle name="Note 7 2 4 4" xfId="18322"/>
    <cellStyle name="Note 7 2 4 4 2" xfId="39509"/>
    <cellStyle name="Note 7 2 4 5" xfId="28692"/>
    <cellStyle name="Note 7 2 4_Table 2A-1_EFT (Annual)" xfId="7512"/>
    <cellStyle name="Note 7 2 5" xfId="4071"/>
    <cellStyle name="Note 7 2 5 2" xfId="12395"/>
    <cellStyle name="Note 7 2 5 2 2" xfId="24417"/>
    <cellStyle name="Note 7 2 5 2 2 2" xfId="45603"/>
    <cellStyle name="Note 7 2 5 2 3" xfId="34999"/>
    <cellStyle name="Note 7 2 5 3" xfId="19304"/>
    <cellStyle name="Note 7 2 5 3 2" xfId="40491"/>
    <cellStyle name="Note 7 2 5 4" xfId="29759"/>
    <cellStyle name="Note 7 2 5_Table 2A-1_EFT (Annual)" xfId="15875"/>
    <cellStyle name="Note 7 2 6" xfId="9734"/>
    <cellStyle name="Note 7 2 6 2" xfId="21871"/>
    <cellStyle name="Note 7 2 6 2 2" xfId="43057"/>
    <cellStyle name="Note 7 2 6 3" xfId="32453"/>
    <cellStyle name="Note 7 2 7" xfId="16758"/>
    <cellStyle name="Note 7 2 7 2" xfId="37945"/>
    <cellStyle name="Note 7 2 8" xfId="27016"/>
    <cellStyle name="Note 7 2_Table 2A-1_EFT (Annual)" xfId="3314"/>
    <cellStyle name="Note 7 3" xfId="339"/>
    <cellStyle name="Note 7 3 2" xfId="1322"/>
    <cellStyle name="Note 7 3 2 2" xfId="2592"/>
    <cellStyle name="Note 7 3 2 2 2" xfId="6153"/>
    <cellStyle name="Note 7 3 2 2 2 2" xfId="14347"/>
    <cellStyle name="Note 7 3 2 2 2 2 2" xfId="26319"/>
    <cellStyle name="Note 7 3 2 2 2 2 2 2" xfId="47505"/>
    <cellStyle name="Note 7 3 2 2 2 2 3" xfId="36901"/>
    <cellStyle name="Note 7 3 2 2 2 3" xfId="21206"/>
    <cellStyle name="Note 7 3 2 2 2 3 2" xfId="42393"/>
    <cellStyle name="Note 7 3 2 2 2 4" xfId="31809"/>
    <cellStyle name="Note 7 3 2 2 2_Table 2A-1_EFT (Annual)" xfId="15876"/>
    <cellStyle name="Note 7 3 2 2 3" xfId="11689"/>
    <cellStyle name="Note 7 3 2 2 3 2" xfId="23773"/>
    <cellStyle name="Note 7 3 2 2 3 2 2" xfId="44959"/>
    <cellStyle name="Note 7 3 2 2 3 3" xfId="34355"/>
    <cellStyle name="Note 7 3 2 2 4" xfId="18660"/>
    <cellStyle name="Note 7 3 2 2 4 2" xfId="39847"/>
    <cellStyle name="Note 7 3 2 2 5" xfId="29066"/>
    <cellStyle name="Note 7 3 2 2_Table 2A-1_EFT (Annual)" xfId="7514"/>
    <cellStyle name="Note 7 3 2 3" xfId="4883"/>
    <cellStyle name="Note 7 3 2 3 2" xfId="13143"/>
    <cellStyle name="Note 7 3 2 3 2 2" xfId="25149"/>
    <cellStyle name="Note 7 3 2 3 2 2 2" xfId="46335"/>
    <cellStyle name="Note 7 3 2 3 2 3" xfId="35731"/>
    <cellStyle name="Note 7 3 2 3 3" xfId="20036"/>
    <cellStyle name="Note 7 3 2 3 3 2" xfId="41223"/>
    <cellStyle name="Note 7 3 2 3 4" xfId="30540"/>
    <cellStyle name="Note 7 3 2 3_Table 2A-1_EFT (Annual)" xfId="15877"/>
    <cellStyle name="Note 7 3 2 4" xfId="10487"/>
    <cellStyle name="Note 7 3 2 4 2" xfId="22603"/>
    <cellStyle name="Note 7 3 2 4 2 2" xfId="43789"/>
    <cellStyle name="Note 7 3 2 4 3" xfId="33185"/>
    <cellStyle name="Note 7 3 2 5" xfId="17490"/>
    <cellStyle name="Note 7 3 2 5 2" xfId="38677"/>
    <cellStyle name="Note 7 3 2 6" xfId="27797"/>
    <cellStyle name="Note 7 3 2_Table 2A-1_EFT (Annual)" xfId="7513"/>
    <cellStyle name="Note 7 3 3" xfId="883"/>
    <cellStyle name="Note 7 3 3 2" xfId="4444"/>
    <cellStyle name="Note 7 3 3 2 2" xfId="12706"/>
    <cellStyle name="Note 7 3 3 2 2 2" xfId="24716"/>
    <cellStyle name="Note 7 3 3 2 2 2 2" xfId="45902"/>
    <cellStyle name="Note 7 3 3 2 2 3" xfId="35298"/>
    <cellStyle name="Note 7 3 3 2 3" xfId="19603"/>
    <cellStyle name="Note 7 3 3 2 3 2" xfId="40790"/>
    <cellStyle name="Note 7 3 3 2 4" xfId="30101"/>
    <cellStyle name="Note 7 3 3 2_Table 2A-1_EFT (Annual)" xfId="15878"/>
    <cellStyle name="Note 7 3 3 3" xfId="10053"/>
    <cellStyle name="Note 7 3 3 3 2" xfId="22170"/>
    <cellStyle name="Note 7 3 3 3 2 2" xfId="43356"/>
    <cellStyle name="Note 7 3 3 3 3" xfId="32752"/>
    <cellStyle name="Note 7 3 3 4" xfId="17057"/>
    <cellStyle name="Note 7 3 3 4 2" xfId="38244"/>
    <cellStyle name="Note 7 3 3 5" xfId="27358"/>
    <cellStyle name="Note 7 3 3_Table 2A-1_EFT (Annual)" xfId="7515"/>
    <cellStyle name="Note 7 3 4" xfId="2061"/>
    <cellStyle name="Note 7 3 4 2" xfId="5622"/>
    <cellStyle name="Note 7 3 4 2 2" xfId="13837"/>
    <cellStyle name="Note 7 3 4 2 2 2" xfId="25825"/>
    <cellStyle name="Note 7 3 4 2 2 2 2" xfId="47011"/>
    <cellStyle name="Note 7 3 4 2 2 3" xfId="36407"/>
    <cellStyle name="Note 7 3 4 2 3" xfId="20712"/>
    <cellStyle name="Note 7 3 4 2 3 2" xfId="41899"/>
    <cellStyle name="Note 7 3 4 2 4" xfId="31279"/>
    <cellStyle name="Note 7 3 4 2_Table 2A-1_EFT (Annual)" xfId="15879"/>
    <cellStyle name="Note 7 3 4 3" xfId="11181"/>
    <cellStyle name="Note 7 3 4 3 2" xfId="23279"/>
    <cellStyle name="Note 7 3 4 3 2 2" xfId="44465"/>
    <cellStyle name="Note 7 3 4 3 3" xfId="33861"/>
    <cellStyle name="Note 7 3 4 4" xfId="18166"/>
    <cellStyle name="Note 7 3 4 4 2" xfId="39353"/>
    <cellStyle name="Note 7 3 4 5" xfId="28536"/>
    <cellStyle name="Note 7 3 4_Table 2A-1_EFT (Annual)" xfId="7516"/>
    <cellStyle name="Note 7 3 5" xfId="3909"/>
    <cellStyle name="Note 7 3 5 2" xfId="12237"/>
    <cellStyle name="Note 7 3 5 2 2" xfId="24261"/>
    <cellStyle name="Note 7 3 5 2 2 2" xfId="45447"/>
    <cellStyle name="Note 7 3 5 2 3" xfId="34843"/>
    <cellStyle name="Note 7 3 5 3" xfId="19148"/>
    <cellStyle name="Note 7 3 5 3 2" xfId="40335"/>
    <cellStyle name="Note 7 3 5 4" xfId="29597"/>
    <cellStyle name="Note 7 3 5_Table 2A-1_EFT (Annual)" xfId="15880"/>
    <cellStyle name="Note 7 3 6" xfId="9574"/>
    <cellStyle name="Note 7 3 6 2" xfId="21715"/>
    <cellStyle name="Note 7 3 6 2 2" xfId="42901"/>
    <cellStyle name="Note 7 3 6 3" xfId="32297"/>
    <cellStyle name="Note 7 3 7" xfId="16602"/>
    <cellStyle name="Note 7 3 7 2" xfId="37789"/>
    <cellStyle name="Note 7 3 8" xfId="26854"/>
    <cellStyle name="Note 7 3_Table 2A-1_EFT (Annual)" xfId="3315"/>
    <cellStyle name="Note 7 4" xfId="1156"/>
    <cellStyle name="Note 7 4 2" xfId="2426"/>
    <cellStyle name="Note 7 4 2 2" xfId="5987"/>
    <cellStyle name="Note 7 4 2 2 2" xfId="14181"/>
    <cellStyle name="Note 7 4 2 2 2 2" xfId="26153"/>
    <cellStyle name="Note 7 4 2 2 2 2 2" xfId="47339"/>
    <cellStyle name="Note 7 4 2 2 2 3" xfId="36735"/>
    <cellStyle name="Note 7 4 2 2 3" xfId="21040"/>
    <cellStyle name="Note 7 4 2 2 3 2" xfId="42227"/>
    <cellStyle name="Note 7 4 2 2 4" xfId="31643"/>
    <cellStyle name="Note 7 4 2 2_Table 2A-1_EFT (Annual)" xfId="15881"/>
    <cellStyle name="Note 7 4 2 3" xfId="11523"/>
    <cellStyle name="Note 7 4 2 3 2" xfId="23607"/>
    <cellStyle name="Note 7 4 2 3 2 2" xfId="44793"/>
    <cellStyle name="Note 7 4 2 3 3" xfId="34189"/>
    <cellStyle name="Note 7 4 2 4" xfId="18494"/>
    <cellStyle name="Note 7 4 2 4 2" xfId="39681"/>
    <cellStyle name="Note 7 4 2 5" xfId="28900"/>
    <cellStyle name="Note 7 4 2_Table 2A-1_EFT (Annual)" xfId="7518"/>
    <cellStyle name="Note 7 4 3" xfId="4717"/>
    <cellStyle name="Note 7 4 3 2" xfId="12977"/>
    <cellStyle name="Note 7 4 3 2 2" xfId="24983"/>
    <cellStyle name="Note 7 4 3 2 2 2" xfId="46169"/>
    <cellStyle name="Note 7 4 3 2 3" xfId="35565"/>
    <cellStyle name="Note 7 4 3 3" xfId="19870"/>
    <cellStyle name="Note 7 4 3 3 2" xfId="41057"/>
    <cellStyle name="Note 7 4 3 4" xfId="30374"/>
    <cellStyle name="Note 7 4 3_Table 2A-1_EFT (Annual)" xfId="15882"/>
    <cellStyle name="Note 7 4 4" xfId="10321"/>
    <cellStyle name="Note 7 4 4 2" xfId="22437"/>
    <cellStyle name="Note 7 4 4 2 2" xfId="43623"/>
    <cellStyle name="Note 7 4 4 3" xfId="33019"/>
    <cellStyle name="Note 7 4 5" xfId="17324"/>
    <cellStyle name="Note 7 4 5 2" xfId="38511"/>
    <cellStyle name="Note 7 4 6" xfId="27631"/>
    <cellStyle name="Note 7 4_Table 2A-1_EFT (Annual)" xfId="7517"/>
    <cellStyle name="Note 7 5" xfId="724"/>
    <cellStyle name="Note 7 5 2" xfId="4285"/>
    <cellStyle name="Note 7 5 2 2" xfId="12565"/>
    <cellStyle name="Note 7 5 2 2 2" xfId="24582"/>
    <cellStyle name="Note 7 5 2 2 2 2" xfId="45768"/>
    <cellStyle name="Note 7 5 2 2 3" xfId="35164"/>
    <cellStyle name="Note 7 5 2 3" xfId="19469"/>
    <cellStyle name="Note 7 5 2 3 2" xfId="40656"/>
    <cellStyle name="Note 7 5 2 4" xfId="29942"/>
    <cellStyle name="Note 7 5 2_Table 2A-1_EFT (Annual)" xfId="15883"/>
    <cellStyle name="Note 7 5 3" xfId="9913"/>
    <cellStyle name="Note 7 5 3 2" xfId="22036"/>
    <cellStyle name="Note 7 5 3 2 2" xfId="43222"/>
    <cellStyle name="Note 7 5 3 3" xfId="32618"/>
    <cellStyle name="Note 7 5 4" xfId="16923"/>
    <cellStyle name="Note 7 5 4 2" xfId="38110"/>
    <cellStyle name="Note 7 5 5" xfId="27199"/>
    <cellStyle name="Note 7 5_Table 2A-1_EFT (Annual)" xfId="7519"/>
    <cellStyle name="Note 7 6" xfId="1870"/>
    <cellStyle name="Note 7 6 2" xfId="5431"/>
    <cellStyle name="Note 7 6 2 2" xfId="13646"/>
    <cellStyle name="Note 7 6 2 2 2" xfId="25634"/>
    <cellStyle name="Note 7 6 2 2 2 2" xfId="46820"/>
    <cellStyle name="Note 7 6 2 2 3" xfId="36216"/>
    <cellStyle name="Note 7 6 2 3" xfId="20521"/>
    <cellStyle name="Note 7 6 2 3 2" xfId="41708"/>
    <cellStyle name="Note 7 6 2 4" xfId="31088"/>
    <cellStyle name="Note 7 6 2_Table 2A-1_EFT (Annual)" xfId="15884"/>
    <cellStyle name="Note 7 6 3" xfId="10990"/>
    <cellStyle name="Note 7 6 3 2" xfId="23088"/>
    <cellStyle name="Note 7 6 3 2 2" xfId="44274"/>
    <cellStyle name="Note 7 6 3 3" xfId="33670"/>
    <cellStyle name="Note 7 6 4" xfId="17975"/>
    <cellStyle name="Note 7 6 4 2" xfId="39162"/>
    <cellStyle name="Note 7 6 5" xfId="28345"/>
    <cellStyle name="Note 7 6_Table 2A-1_EFT (Annual)" xfId="7520"/>
    <cellStyle name="Note 7 7" xfId="3697"/>
    <cellStyle name="Note 7 7 2" xfId="12065"/>
    <cellStyle name="Note 7 7 2 2" xfId="24095"/>
    <cellStyle name="Note 7 7 2 2 2" xfId="45281"/>
    <cellStyle name="Note 7 7 2 3" xfId="34677"/>
    <cellStyle name="Note 7 7 3" xfId="18982"/>
    <cellStyle name="Note 7 7 3 2" xfId="40169"/>
    <cellStyle name="Note 7 7 4" xfId="29406"/>
    <cellStyle name="Note 7 7_Table 2A-1_EFT (Annual)" xfId="15885"/>
    <cellStyle name="Note 7 8" xfId="9384"/>
    <cellStyle name="Note 7 8 2" xfId="21549"/>
    <cellStyle name="Note 7 8 2 2" xfId="42735"/>
    <cellStyle name="Note 7 8 3" xfId="32131"/>
    <cellStyle name="Note 7 9" xfId="16436"/>
    <cellStyle name="Note 7 9 2" xfId="37623"/>
    <cellStyle name="Note 7_Table 2A-1_EFT (Annual)" xfId="3313"/>
    <cellStyle name="Note 8" xfId="130"/>
    <cellStyle name="Note 8 10" xfId="26685"/>
    <cellStyle name="Note 8 2" xfId="523"/>
    <cellStyle name="Note 8 2 2" xfId="1500"/>
    <cellStyle name="Note 8 2 2 2" xfId="2770"/>
    <cellStyle name="Note 8 2 2 2 2" xfId="6331"/>
    <cellStyle name="Note 8 2 2 2 2 2" xfId="14525"/>
    <cellStyle name="Note 8 2 2 2 2 2 2" xfId="26497"/>
    <cellStyle name="Note 8 2 2 2 2 2 2 2" xfId="47683"/>
    <cellStyle name="Note 8 2 2 2 2 2 3" xfId="37079"/>
    <cellStyle name="Note 8 2 2 2 2 3" xfId="21384"/>
    <cellStyle name="Note 8 2 2 2 2 3 2" xfId="42571"/>
    <cellStyle name="Note 8 2 2 2 2 4" xfId="31987"/>
    <cellStyle name="Note 8 2 2 2 2_Table 2A-1_EFT (Annual)" xfId="15886"/>
    <cellStyle name="Note 8 2 2 2 3" xfId="11867"/>
    <cellStyle name="Note 8 2 2 2 3 2" xfId="23951"/>
    <cellStyle name="Note 8 2 2 2 3 2 2" xfId="45137"/>
    <cellStyle name="Note 8 2 2 2 3 3" xfId="34533"/>
    <cellStyle name="Note 8 2 2 2 4" xfId="18838"/>
    <cellStyle name="Note 8 2 2 2 4 2" xfId="40025"/>
    <cellStyle name="Note 8 2 2 2 5" xfId="29244"/>
    <cellStyle name="Note 8 2 2 2_Table 2A-1_EFT (Annual)" xfId="7522"/>
    <cellStyle name="Note 8 2 2 3" xfId="5061"/>
    <cellStyle name="Note 8 2 2 3 2" xfId="13321"/>
    <cellStyle name="Note 8 2 2 3 2 2" xfId="25327"/>
    <cellStyle name="Note 8 2 2 3 2 2 2" xfId="46513"/>
    <cellStyle name="Note 8 2 2 3 2 3" xfId="35909"/>
    <cellStyle name="Note 8 2 2 3 3" xfId="20214"/>
    <cellStyle name="Note 8 2 2 3 3 2" xfId="41401"/>
    <cellStyle name="Note 8 2 2 3 4" xfId="30718"/>
    <cellStyle name="Note 8 2 2 3_Table 2A-1_EFT (Annual)" xfId="15887"/>
    <cellStyle name="Note 8 2 2 4" xfId="10665"/>
    <cellStyle name="Note 8 2 2 4 2" xfId="22781"/>
    <cellStyle name="Note 8 2 2 4 2 2" xfId="43967"/>
    <cellStyle name="Note 8 2 2 4 3" xfId="33363"/>
    <cellStyle name="Note 8 2 2 5" xfId="17668"/>
    <cellStyle name="Note 8 2 2 5 2" xfId="38855"/>
    <cellStyle name="Note 8 2 2 6" xfId="27975"/>
    <cellStyle name="Note 8 2 2_Table 2A-1_EFT (Annual)" xfId="7521"/>
    <cellStyle name="Note 8 2 3" xfId="1033"/>
    <cellStyle name="Note 8 2 3 2" xfId="4594"/>
    <cellStyle name="Note 8 2 3 2 2" xfId="12854"/>
    <cellStyle name="Note 8 2 3 2 2 2" xfId="24860"/>
    <cellStyle name="Note 8 2 3 2 2 2 2" xfId="46046"/>
    <cellStyle name="Note 8 2 3 2 2 3" xfId="35442"/>
    <cellStyle name="Note 8 2 3 2 3" xfId="19747"/>
    <cellStyle name="Note 8 2 3 2 3 2" xfId="40934"/>
    <cellStyle name="Note 8 2 3 2 4" xfId="30251"/>
    <cellStyle name="Note 8 2 3 2_Table 2A-1_EFT (Annual)" xfId="15888"/>
    <cellStyle name="Note 8 2 3 3" xfId="10198"/>
    <cellStyle name="Note 8 2 3 3 2" xfId="22314"/>
    <cellStyle name="Note 8 2 3 3 2 2" xfId="43500"/>
    <cellStyle name="Note 8 2 3 3 3" xfId="32896"/>
    <cellStyle name="Note 8 2 3 4" xfId="17201"/>
    <cellStyle name="Note 8 2 3 4 2" xfId="38388"/>
    <cellStyle name="Note 8 2 3 5" xfId="27508"/>
    <cellStyle name="Note 8 2 3_Table 2A-1_EFT (Annual)" xfId="7523"/>
    <cellStyle name="Note 8 2 4" xfId="2239"/>
    <cellStyle name="Note 8 2 4 2" xfId="5800"/>
    <cellStyle name="Note 8 2 4 2 2" xfId="14015"/>
    <cellStyle name="Note 8 2 4 2 2 2" xfId="26003"/>
    <cellStyle name="Note 8 2 4 2 2 2 2" xfId="47189"/>
    <cellStyle name="Note 8 2 4 2 2 3" xfId="36585"/>
    <cellStyle name="Note 8 2 4 2 3" xfId="20890"/>
    <cellStyle name="Note 8 2 4 2 3 2" xfId="42077"/>
    <cellStyle name="Note 8 2 4 2 4" xfId="31457"/>
    <cellStyle name="Note 8 2 4 2_Table 2A-1_EFT (Annual)" xfId="15889"/>
    <cellStyle name="Note 8 2 4 3" xfId="11359"/>
    <cellStyle name="Note 8 2 4 3 2" xfId="23457"/>
    <cellStyle name="Note 8 2 4 3 2 2" xfId="44643"/>
    <cellStyle name="Note 8 2 4 3 3" xfId="34039"/>
    <cellStyle name="Note 8 2 4 4" xfId="18344"/>
    <cellStyle name="Note 8 2 4 4 2" xfId="39531"/>
    <cellStyle name="Note 8 2 4 5" xfId="28714"/>
    <cellStyle name="Note 8 2 4_Table 2A-1_EFT (Annual)" xfId="7524"/>
    <cellStyle name="Note 8 2 5" xfId="4093"/>
    <cellStyle name="Note 8 2 5 2" xfId="12417"/>
    <cellStyle name="Note 8 2 5 2 2" xfId="24439"/>
    <cellStyle name="Note 8 2 5 2 2 2" xfId="45625"/>
    <cellStyle name="Note 8 2 5 2 3" xfId="35021"/>
    <cellStyle name="Note 8 2 5 3" xfId="19326"/>
    <cellStyle name="Note 8 2 5 3 2" xfId="40513"/>
    <cellStyle name="Note 8 2 5 4" xfId="29781"/>
    <cellStyle name="Note 8 2 5_Table 2A-1_EFT (Annual)" xfId="15890"/>
    <cellStyle name="Note 8 2 6" xfId="9756"/>
    <cellStyle name="Note 8 2 6 2" xfId="21893"/>
    <cellStyle name="Note 8 2 6 2 2" xfId="43079"/>
    <cellStyle name="Note 8 2 6 3" xfId="32475"/>
    <cellStyle name="Note 8 2 7" xfId="16780"/>
    <cellStyle name="Note 8 2 7 2" xfId="37967"/>
    <cellStyle name="Note 8 2 8" xfId="27038"/>
    <cellStyle name="Note 8 2_Table 2A-1_EFT (Annual)" xfId="3317"/>
    <cellStyle name="Note 8 3" xfId="361"/>
    <cellStyle name="Note 8 3 2" xfId="1344"/>
    <cellStyle name="Note 8 3 2 2" xfId="2614"/>
    <cellStyle name="Note 8 3 2 2 2" xfId="6175"/>
    <cellStyle name="Note 8 3 2 2 2 2" xfId="14369"/>
    <cellStyle name="Note 8 3 2 2 2 2 2" xfId="26341"/>
    <cellStyle name="Note 8 3 2 2 2 2 2 2" xfId="47527"/>
    <cellStyle name="Note 8 3 2 2 2 2 3" xfId="36923"/>
    <cellStyle name="Note 8 3 2 2 2 3" xfId="21228"/>
    <cellStyle name="Note 8 3 2 2 2 3 2" xfId="42415"/>
    <cellStyle name="Note 8 3 2 2 2 4" xfId="31831"/>
    <cellStyle name="Note 8 3 2 2 2_Table 2A-1_EFT (Annual)" xfId="15891"/>
    <cellStyle name="Note 8 3 2 2 3" xfId="11711"/>
    <cellStyle name="Note 8 3 2 2 3 2" xfId="23795"/>
    <cellStyle name="Note 8 3 2 2 3 2 2" xfId="44981"/>
    <cellStyle name="Note 8 3 2 2 3 3" xfId="34377"/>
    <cellStyle name="Note 8 3 2 2 4" xfId="18682"/>
    <cellStyle name="Note 8 3 2 2 4 2" xfId="39869"/>
    <cellStyle name="Note 8 3 2 2 5" xfId="29088"/>
    <cellStyle name="Note 8 3 2 2_Table 2A-1_EFT (Annual)" xfId="7526"/>
    <cellStyle name="Note 8 3 2 3" xfId="4905"/>
    <cellStyle name="Note 8 3 2 3 2" xfId="13165"/>
    <cellStyle name="Note 8 3 2 3 2 2" xfId="25171"/>
    <cellStyle name="Note 8 3 2 3 2 2 2" xfId="46357"/>
    <cellStyle name="Note 8 3 2 3 2 3" xfId="35753"/>
    <cellStyle name="Note 8 3 2 3 3" xfId="20058"/>
    <cellStyle name="Note 8 3 2 3 3 2" xfId="41245"/>
    <cellStyle name="Note 8 3 2 3 4" xfId="30562"/>
    <cellStyle name="Note 8 3 2 3_Table 2A-1_EFT (Annual)" xfId="15892"/>
    <cellStyle name="Note 8 3 2 4" xfId="10509"/>
    <cellStyle name="Note 8 3 2 4 2" xfId="22625"/>
    <cellStyle name="Note 8 3 2 4 2 2" xfId="43811"/>
    <cellStyle name="Note 8 3 2 4 3" xfId="33207"/>
    <cellStyle name="Note 8 3 2 5" xfId="17512"/>
    <cellStyle name="Note 8 3 2 5 2" xfId="38699"/>
    <cellStyle name="Note 8 3 2 6" xfId="27819"/>
    <cellStyle name="Note 8 3 2_Table 2A-1_EFT (Annual)" xfId="7525"/>
    <cellStyle name="Note 8 3 3" xfId="901"/>
    <cellStyle name="Note 8 3 3 2" xfId="4462"/>
    <cellStyle name="Note 8 3 3 2 2" xfId="12724"/>
    <cellStyle name="Note 8 3 3 2 2 2" xfId="24734"/>
    <cellStyle name="Note 8 3 3 2 2 2 2" xfId="45920"/>
    <cellStyle name="Note 8 3 3 2 2 3" xfId="35316"/>
    <cellStyle name="Note 8 3 3 2 3" xfId="19621"/>
    <cellStyle name="Note 8 3 3 2 3 2" xfId="40808"/>
    <cellStyle name="Note 8 3 3 2 4" xfId="30119"/>
    <cellStyle name="Note 8 3 3 2_Table 2A-1_EFT (Annual)" xfId="15893"/>
    <cellStyle name="Note 8 3 3 3" xfId="10071"/>
    <cellStyle name="Note 8 3 3 3 2" xfId="22188"/>
    <cellStyle name="Note 8 3 3 3 2 2" xfId="43374"/>
    <cellStyle name="Note 8 3 3 3 3" xfId="32770"/>
    <cellStyle name="Note 8 3 3 4" xfId="17075"/>
    <cellStyle name="Note 8 3 3 4 2" xfId="38262"/>
    <cellStyle name="Note 8 3 3 5" xfId="27376"/>
    <cellStyle name="Note 8 3 3_Table 2A-1_EFT (Annual)" xfId="7527"/>
    <cellStyle name="Note 8 3 4" xfId="2083"/>
    <cellStyle name="Note 8 3 4 2" xfId="5644"/>
    <cellStyle name="Note 8 3 4 2 2" xfId="13859"/>
    <cellStyle name="Note 8 3 4 2 2 2" xfId="25847"/>
    <cellStyle name="Note 8 3 4 2 2 2 2" xfId="47033"/>
    <cellStyle name="Note 8 3 4 2 2 3" xfId="36429"/>
    <cellStyle name="Note 8 3 4 2 3" xfId="20734"/>
    <cellStyle name="Note 8 3 4 2 3 2" xfId="41921"/>
    <cellStyle name="Note 8 3 4 2 4" xfId="31301"/>
    <cellStyle name="Note 8 3 4 2_Table 2A-1_EFT (Annual)" xfId="15894"/>
    <cellStyle name="Note 8 3 4 3" xfId="11203"/>
    <cellStyle name="Note 8 3 4 3 2" xfId="23301"/>
    <cellStyle name="Note 8 3 4 3 2 2" xfId="44487"/>
    <cellStyle name="Note 8 3 4 3 3" xfId="33883"/>
    <cellStyle name="Note 8 3 4 4" xfId="18188"/>
    <cellStyle name="Note 8 3 4 4 2" xfId="39375"/>
    <cellStyle name="Note 8 3 4 5" xfId="28558"/>
    <cellStyle name="Note 8 3 4_Table 2A-1_EFT (Annual)" xfId="7528"/>
    <cellStyle name="Note 8 3 5" xfId="3931"/>
    <cellStyle name="Note 8 3 5 2" xfId="12259"/>
    <cellStyle name="Note 8 3 5 2 2" xfId="24283"/>
    <cellStyle name="Note 8 3 5 2 2 2" xfId="45469"/>
    <cellStyle name="Note 8 3 5 2 3" xfId="34865"/>
    <cellStyle name="Note 8 3 5 3" xfId="19170"/>
    <cellStyle name="Note 8 3 5 3 2" xfId="40357"/>
    <cellStyle name="Note 8 3 5 4" xfId="29619"/>
    <cellStyle name="Note 8 3 5_Table 2A-1_EFT (Annual)" xfId="15895"/>
    <cellStyle name="Note 8 3 6" xfId="9596"/>
    <cellStyle name="Note 8 3 6 2" xfId="21737"/>
    <cellStyle name="Note 8 3 6 2 2" xfId="42923"/>
    <cellStyle name="Note 8 3 6 3" xfId="32319"/>
    <cellStyle name="Note 8 3 7" xfId="16624"/>
    <cellStyle name="Note 8 3 7 2" xfId="37811"/>
    <cellStyle name="Note 8 3 8" xfId="26876"/>
    <cellStyle name="Note 8 3_Table 2A-1_EFT (Annual)" xfId="3318"/>
    <cellStyle name="Note 8 4" xfId="1178"/>
    <cellStyle name="Note 8 4 2" xfId="2448"/>
    <cellStyle name="Note 8 4 2 2" xfId="6009"/>
    <cellStyle name="Note 8 4 2 2 2" xfId="14203"/>
    <cellStyle name="Note 8 4 2 2 2 2" xfId="26175"/>
    <cellStyle name="Note 8 4 2 2 2 2 2" xfId="47361"/>
    <cellStyle name="Note 8 4 2 2 2 3" xfId="36757"/>
    <cellStyle name="Note 8 4 2 2 3" xfId="21062"/>
    <cellStyle name="Note 8 4 2 2 3 2" xfId="42249"/>
    <cellStyle name="Note 8 4 2 2 4" xfId="31665"/>
    <cellStyle name="Note 8 4 2 2_Table 2A-1_EFT (Annual)" xfId="15896"/>
    <cellStyle name="Note 8 4 2 3" xfId="11545"/>
    <cellStyle name="Note 8 4 2 3 2" xfId="23629"/>
    <cellStyle name="Note 8 4 2 3 2 2" xfId="44815"/>
    <cellStyle name="Note 8 4 2 3 3" xfId="34211"/>
    <cellStyle name="Note 8 4 2 4" xfId="18516"/>
    <cellStyle name="Note 8 4 2 4 2" xfId="39703"/>
    <cellStyle name="Note 8 4 2 5" xfId="28922"/>
    <cellStyle name="Note 8 4 2_Table 2A-1_EFT (Annual)" xfId="7530"/>
    <cellStyle name="Note 8 4 3" xfId="4739"/>
    <cellStyle name="Note 8 4 3 2" xfId="12999"/>
    <cellStyle name="Note 8 4 3 2 2" xfId="25005"/>
    <cellStyle name="Note 8 4 3 2 2 2" xfId="46191"/>
    <cellStyle name="Note 8 4 3 2 3" xfId="35587"/>
    <cellStyle name="Note 8 4 3 3" xfId="19892"/>
    <cellStyle name="Note 8 4 3 3 2" xfId="41079"/>
    <cellStyle name="Note 8 4 3 4" xfId="30396"/>
    <cellStyle name="Note 8 4 3_Table 2A-1_EFT (Annual)" xfId="15897"/>
    <cellStyle name="Note 8 4 4" xfId="10343"/>
    <cellStyle name="Note 8 4 4 2" xfId="22459"/>
    <cellStyle name="Note 8 4 4 2 2" xfId="43645"/>
    <cellStyle name="Note 8 4 4 3" xfId="33041"/>
    <cellStyle name="Note 8 4 5" xfId="17346"/>
    <cellStyle name="Note 8 4 5 2" xfId="38533"/>
    <cellStyle name="Note 8 4 6" xfId="27653"/>
    <cellStyle name="Note 8 4_Table 2A-1_EFT (Annual)" xfId="7529"/>
    <cellStyle name="Note 8 5" xfId="742"/>
    <cellStyle name="Note 8 5 2" xfId="4303"/>
    <cellStyle name="Note 8 5 2 2" xfId="12583"/>
    <cellStyle name="Note 8 5 2 2 2" xfId="24600"/>
    <cellStyle name="Note 8 5 2 2 2 2" xfId="45786"/>
    <cellStyle name="Note 8 5 2 2 3" xfId="35182"/>
    <cellStyle name="Note 8 5 2 3" xfId="19487"/>
    <cellStyle name="Note 8 5 2 3 2" xfId="40674"/>
    <cellStyle name="Note 8 5 2 4" xfId="29960"/>
    <cellStyle name="Note 8 5 2_Table 2A-1_EFT (Annual)" xfId="15898"/>
    <cellStyle name="Note 8 5 3" xfId="9931"/>
    <cellStyle name="Note 8 5 3 2" xfId="22054"/>
    <cellStyle name="Note 8 5 3 2 2" xfId="43240"/>
    <cellStyle name="Note 8 5 3 3" xfId="32636"/>
    <cellStyle name="Note 8 5 4" xfId="16941"/>
    <cellStyle name="Note 8 5 4 2" xfId="38128"/>
    <cellStyle name="Note 8 5 5" xfId="27217"/>
    <cellStyle name="Note 8 5_Table 2A-1_EFT (Annual)" xfId="7531"/>
    <cellStyle name="Note 8 6" xfId="1859"/>
    <cellStyle name="Note 8 6 2" xfId="5420"/>
    <cellStyle name="Note 8 6 2 2" xfId="13635"/>
    <cellStyle name="Note 8 6 2 2 2" xfId="25623"/>
    <cellStyle name="Note 8 6 2 2 2 2" xfId="46809"/>
    <cellStyle name="Note 8 6 2 2 3" xfId="36205"/>
    <cellStyle name="Note 8 6 2 3" xfId="20510"/>
    <cellStyle name="Note 8 6 2 3 2" xfId="41697"/>
    <cellStyle name="Note 8 6 2 4" xfId="31077"/>
    <cellStyle name="Note 8 6 2_Table 2A-1_EFT (Annual)" xfId="15899"/>
    <cellStyle name="Note 8 6 3" xfId="10979"/>
    <cellStyle name="Note 8 6 3 2" xfId="23077"/>
    <cellStyle name="Note 8 6 3 2 2" xfId="44263"/>
    <cellStyle name="Note 8 6 3 3" xfId="33659"/>
    <cellStyle name="Note 8 6 4" xfId="17964"/>
    <cellStyle name="Note 8 6 4 2" xfId="39151"/>
    <cellStyle name="Note 8 6 5" xfId="28334"/>
    <cellStyle name="Note 8 6_Table 2A-1_EFT (Annual)" xfId="7532"/>
    <cellStyle name="Note 8 7" xfId="3719"/>
    <cellStyle name="Note 8 7 2" xfId="12087"/>
    <cellStyle name="Note 8 7 2 2" xfId="24117"/>
    <cellStyle name="Note 8 7 2 2 2" xfId="45303"/>
    <cellStyle name="Note 8 7 2 3" xfId="34699"/>
    <cellStyle name="Note 8 7 3" xfId="19004"/>
    <cellStyle name="Note 8 7 3 2" xfId="40191"/>
    <cellStyle name="Note 8 7 4" xfId="29428"/>
    <cellStyle name="Note 8 7_Table 2A-1_EFT (Annual)" xfId="15900"/>
    <cellStyle name="Note 8 8" xfId="9406"/>
    <cellStyle name="Note 8 8 2" xfId="21571"/>
    <cellStyle name="Note 8 8 2 2" xfId="42757"/>
    <cellStyle name="Note 8 8 3" xfId="32153"/>
    <cellStyle name="Note 8 9" xfId="16458"/>
    <cellStyle name="Note 8 9 2" xfId="37645"/>
    <cellStyle name="Note 8_Table 2A-1_EFT (Annual)" xfId="3316"/>
    <cellStyle name="Note 9" xfId="80"/>
    <cellStyle name="Note 9 10" xfId="26636"/>
    <cellStyle name="Note 9 2" xfId="479"/>
    <cellStyle name="Note 9 2 2" xfId="1456"/>
    <cellStyle name="Note 9 2 2 2" xfId="2726"/>
    <cellStyle name="Note 9 2 2 2 2" xfId="6287"/>
    <cellStyle name="Note 9 2 2 2 2 2" xfId="14481"/>
    <cellStyle name="Note 9 2 2 2 2 2 2" xfId="26453"/>
    <cellStyle name="Note 9 2 2 2 2 2 2 2" xfId="47639"/>
    <cellStyle name="Note 9 2 2 2 2 2 3" xfId="37035"/>
    <cellStyle name="Note 9 2 2 2 2 3" xfId="21340"/>
    <cellStyle name="Note 9 2 2 2 2 3 2" xfId="42527"/>
    <cellStyle name="Note 9 2 2 2 2 4" xfId="31943"/>
    <cellStyle name="Note 9 2 2 2 2_Table 2A-1_EFT (Annual)" xfId="15901"/>
    <cellStyle name="Note 9 2 2 2 3" xfId="11823"/>
    <cellStyle name="Note 9 2 2 2 3 2" xfId="23907"/>
    <cellStyle name="Note 9 2 2 2 3 2 2" xfId="45093"/>
    <cellStyle name="Note 9 2 2 2 3 3" xfId="34489"/>
    <cellStyle name="Note 9 2 2 2 4" xfId="18794"/>
    <cellStyle name="Note 9 2 2 2 4 2" xfId="39981"/>
    <cellStyle name="Note 9 2 2 2 5" xfId="29200"/>
    <cellStyle name="Note 9 2 2 2_Table 2A-1_EFT (Annual)" xfId="7534"/>
    <cellStyle name="Note 9 2 2 3" xfId="5017"/>
    <cellStyle name="Note 9 2 2 3 2" xfId="13277"/>
    <cellStyle name="Note 9 2 2 3 2 2" xfId="25283"/>
    <cellStyle name="Note 9 2 2 3 2 2 2" xfId="46469"/>
    <cellStyle name="Note 9 2 2 3 2 3" xfId="35865"/>
    <cellStyle name="Note 9 2 2 3 3" xfId="20170"/>
    <cellStyle name="Note 9 2 2 3 3 2" xfId="41357"/>
    <cellStyle name="Note 9 2 2 3 4" xfId="30674"/>
    <cellStyle name="Note 9 2 2 3_Table 2A-1_EFT (Annual)" xfId="15902"/>
    <cellStyle name="Note 9 2 2 4" xfId="10621"/>
    <cellStyle name="Note 9 2 2 4 2" xfId="22737"/>
    <cellStyle name="Note 9 2 2 4 2 2" xfId="43923"/>
    <cellStyle name="Note 9 2 2 4 3" xfId="33319"/>
    <cellStyle name="Note 9 2 2 5" xfId="17624"/>
    <cellStyle name="Note 9 2 2 5 2" xfId="38811"/>
    <cellStyle name="Note 9 2 2 6" xfId="27931"/>
    <cellStyle name="Note 9 2 2_Table 2A-1_EFT (Annual)" xfId="7533"/>
    <cellStyle name="Note 9 2 3" xfId="999"/>
    <cellStyle name="Note 9 2 3 2" xfId="4560"/>
    <cellStyle name="Note 9 2 3 2 2" xfId="12820"/>
    <cellStyle name="Note 9 2 3 2 2 2" xfId="24826"/>
    <cellStyle name="Note 9 2 3 2 2 2 2" xfId="46012"/>
    <cellStyle name="Note 9 2 3 2 2 3" xfId="35408"/>
    <cellStyle name="Note 9 2 3 2 3" xfId="19713"/>
    <cellStyle name="Note 9 2 3 2 3 2" xfId="40900"/>
    <cellStyle name="Note 9 2 3 2 4" xfId="30217"/>
    <cellStyle name="Note 9 2 3 2_Table 2A-1_EFT (Annual)" xfId="15903"/>
    <cellStyle name="Note 9 2 3 3" xfId="10164"/>
    <cellStyle name="Note 9 2 3 3 2" xfId="22280"/>
    <cellStyle name="Note 9 2 3 3 2 2" xfId="43466"/>
    <cellStyle name="Note 9 2 3 3 3" xfId="32862"/>
    <cellStyle name="Note 9 2 3 4" xfId="17167"/>
    <cellStyle name="Note 9 2 3 4 2" xfId="38354"/>
    <cellStyle name="Note 9 2 3 5" xfId="27474"/>
    <cellStyle name="Note 9 2 3_Table 2A-1_EFT (Annual)" xfId="7535"/>
    <cellStyle name="Note 9 2 4" xfId="2195"/>
    <cellStyle name="Note 9 2 4 2" xfId="5756"/>
    <cellStyle name="Note 9 2 4 2 2" xfId="13971"/>
    <cellStyle name="Note 9 2 4 2 2 2" xfId="25959"/>
    <cellStyle name="Note 9 2 4 2 2 2 2" xfId="47145"/>
    <cellStyle name="Note 9 2 4 2 2 3" xfId="36541"/>
    <cellStyle name="Note 9 2 4 2 3" xfId="20846"/>
    <cellStyle name="Note 9 2 4 2 3 2" xfId="42033"/>
    <cellStyle name="Note 9 2 4 2 4" xfId="31413"/>
    <cellStyle name="Note 9 2 4 2_Table 2A-1_EFT (Annual)" xfId="15904"/>
    <cellStyle name="Note 9 2 4 3" xfId="11315"/>
    <cellStyle name="Note 9 2 4 3 2" xfId="23413"/>
    <cellStyle name="Note 9 2 4 3 2 2" xfId="44599"/>
    <cellStyle name="Note 9 2 4 3 3" xfId="33995"/>
    <cellStyle name="Note 9 2 4 4" xfId="18300"/>
    <cellStyle name="Note 9 2 4 4 2" xfId="39487"/>
    <cellStyle name="Note 9 2 4 5" xfId="28670"/>
    <cellStyle name="Note 9 2 4_Table 2A-1_EFT (Annual)" xfId="7536"/>
    <cellStyle name="Note 9 2 5" xfId="4049"/>
    <cellStyle name="Note 9 2 5 2" xfId="12373"/>
    <cellStyle name="Note 9 2 5 2 2" xfId="24395"/>
    <cellStyle name="Note 9 2 5 2 2 2" xfId="45581"/>
    <cellStyle name="Note 9 2 5 2 3" xfId="34977"/>
    <cellStyle name="Note 9 2 5 3" xfId="19282"/>
    <cellStyle name="Note 9 2 5 3 2" xfId="40469"/>
    <cellStyle name="Note 9 2 5 4" xfId="29737"/>
    <cellStyle name="Note 9 2 5_Table 2A-1_EFT (Annual)" xfId="15905"/>
    <cellStyle name="Note 9 2 6" xfId="9712"/>
    <cellStyle name="Note 9 2 6 2" xfId="21849"/>
    <cellStyle name="Note 9 2 6 2 2" xfId="43035"/>
    <cellStyle name="Note 9 2 6 3" xfId="32431"/>
    <cellStyle name="Note 9 2 7" xfId="16736"/>
    <cellStyle name="Note 9 2 7 2" xfId="37923"/>
    <cellStyle name="Note 9 2 8" xfId="26994"/>
    <cellStyle name="Note 9 2_Table 2A-1_EFT (Annual)" xfId="3320"/>
    <cellStyle name="Note 9 3" xfId="312"/>
    <cellStyle name="Note 9 3 2" xfId="1300"/>
    <cellStyle name="Note 9 3 2 2" xfId="2570"/>
    <cellStyle name="Note 9 3 2 2 2" xfId="6131"/>
    <cellStyle name="Note 9 3 2 2 2 2" xfId="14325"/>
    <cellStyle name="Note 9 3 2 2 2 2 2" xfId="26297"/>
    <cellStyle name="Note 9 3 2 2 2 2 2 2" xfId="47483"/>
    <cellStyle name="Note 9 3 2 2 2 2 3" xfId="36879"/>
    <cellStyle name="Note 9 3 2 2 2 3" xfId="21184"/>
    <cellStyle name="Note 9 3 2 2 2 3 2" xfId="42371"/>
    <cellStyle name="Note 9 3 2 2 2 4" xfId="31787"/>
    <cellStyle name="Note 9 3 2 2 2_Table 2A-1_EFT (Annual)" xfId="15906"/>
    <cellStyle name="Note 9 3 2 2 3" xfId="11667"/>
    <cellStyle name="Note 9 3 2 2 3 2" xfId="23751"/>
    <cellStyle name="Note 9 3 2 2 3 2 2" xfId="44937"/>
    <cellStyle name="Note 9 3 2 2 3 3" xfId="34333"/>
    <cellStyle name="Note 9 3 2 2 4" xfId="18638"/>
    <cellStyle name="Note 9 3 2 2 4 2" xfId="39825"/>
    <cellStyle name="Note 9 3 2 2 5" xfId="29044"/>
    <cellStyle name="Note 9 3 2 2_Table 2A-1_EFT (Annual)" xfId="7538"/>
    <cellStyle name="Note 9 3 2 3" xfId="4861"/>
    <cellStyle name="Note 9 3 2 3 2" xfId="13121"/>
    <cellStyle name="Note 9 3 2 3 2 2" xfId="25127"/>
    <cellStyle name="Note 9 3 2 3 2 2 2" xfId="46313"/>
    <cellStyle name="Note 9 3 2 3 2 3" xfId="35709"/>
    <cellStyle name="Note 9 3 2 3 3" xfId="20014"/>
    <cellStyle name="Note 9 3 2 3 3 2" xfId="41201"/>
    <cellStyle name="Note 9 3 2 3 4" xfId="30518"/>
    <cellStyle name="Note 9 3 2 3_Table 2A-1_EFT (Annual)" xfId="15907"/>
    <cellStyle name="Note 9 3 2 4" xfId="10465"/>
    <cellStyle name="Note 9 3 2 4 2" xfId="22581"/>
    <cellStyle name="Note 9 3 2 4 2 2" xfId="43767"/>
    <cellStyle name="Note 9 3 2 4 3" xfId="33163"/>
    <cellStyle name="Note 9 3 2 5" xfId="17468"/>
    <cellStyle name="Note 9 3 2 5 2" xfId="38655"/>
    <cellStyle name="Note 9 3 2 6" xfId="27775"/>
    <cellStyle name="Note 9 3 2_Table 2A-1_EFT (Annual)" xfId="7537"/>
    <cellStyle name="Note 9 3 3" xfId="862"/>
    <cellStyle name="Note 9 3 3 2" xfId="4423"/>
    <cellStyle name="Note 9 3 3 2 2" xfId="12688"/>
    <cellStyle name="Note 9 3 3 2 2 2" xfId="24700"/>
    <cellStyle name="Note 9 3 3 2 2 2 2" xfId="45886"/>
    <cellStyle name="Note 9 3 3 2 2 3" xfId="35282"/>
    <cellStyle name="Note 9 3 3 2 3" xfId="19587"/>
    <cellStyle name="Note 9 3 3 2 3 2" xfId="40774"/>
    <cellStyle name="Note 9 3 3 2 4" xfId="30080"/>
    <cellStyle name="Note 9 3 3 2_Table 2A-1_EFT (Annual)" xfId="15908"/>
    <cellStyle name="Note 9 3 3 3" xfId="10035"/>
    <cellStyle name="Note 9 3 3 3 2" xfId="22154"/>
    <cellStyle name="Note 9 3 3 3 2 2" xfId="43340"/>
    <cellStyle name="Note 9 3 3 3 3" xfId="32736"/>
    <cellStyle name="Note 9 3 3 4" xfId="17041"/>
    <cellStyle name="Note 9 3 3 4 2" xfId="38228"/>
    <cellStyle name="Note 9 3 3 5" xfId="27337"/>
    <cellStyle name="Note 9 3 3_Table 2A-1_EFT (Annual)" xfId="7539"/>
    <cellStyle name="Note 9 3 4" xfId="2039"/>
    <cellStyle name="Note 9 3 4 2" xfId="5600"/>
    <cellStyle name="Note 9 3 4 2 2" xfId="13815"/>
    <cellStyle name="Note 9 3 4 2 2 2" xfId="25803"/>
    <cellStyle name="Note 9 3 4 2 2 2 2" xfId="46989"/>
    <cellStyle name="Note 9 3 4 2 2 3" xfId="36385"/>
    <cellStyle name="Note 9 3 4 2 3" xfId="20690"/>
    <cellStyle name="Note 9 3 4 2 3 2" xfId="41877"/>
    <cellStyle name="Note 9 3 4 2 4" xfId="31257"/>
    <cellStyle name="Note 9 3 4 2_Table 2A-1_EFT (Annual)" xfId="15909"/>
    <cellStyle name="Note 9 3 4 3" xfId="11159"/>
    <cellStyle name="Note 9 3 4 3 2" xfId="23257"/>
    <cellStyle name="Note 9 3 4 3 2 2" xfId="44443"/>
    <cellStyle name="Note 9 3 4 3 3" xfId="33839"/>
    <cellStyle name="Note 9 3 4 4" xfId="18144"/>
    <cellStyle name="Note 9 3 4 4 2" xfId="39331"/>
    <cellStyle name="Note 9 3 4 5" xfId="28514"/>
    <cellStyle name="Note 9 3 4_Table 2A-1_EFT (Annual)" xfId="7540"/>
    <cellStyle name="Note 9 3 5" xfId="3882"/>
    <cellStyle name="Note 9 3 5 2" xfId="12214"/>
    <cellStyle name="Note 9 3 5 2 2" xfId="24239"/>
    <cellStyle name="Note 9 3 5 2 2 2" xfId="45425"/>
    <cellStyle name="Note 9 3 5 2 3" xfId="34821"/>
    <cellStyle name="Note 9 3 5 3" xfId="19126"/>
    <cellStyle name="Note 9 3 5 3 2" xfId="40313"/>
    <cellStyle name="Note 9 3 5 4" xfId="29570"/>
    <cellStyle name="Note 9 3 5_Table 2A-1_EFT (Annual)" xfId="15910"/>
    <cellStyle name="Note 9 3 6" xfId="9551"/>
    <cellStyle name="Note 9 3 6 2" xfId="21693"/>
    <cellStyle name="Note 9 3 6 2 2" xfId="42879"/>
    <cellStyle name="Note 9 3 6 3" xfId="32275"/>
    <cellStyle name="Note 9 3 7" xfId="16580"/>
    <cellStyle name="Note 9 3 7 2" xfId="37767"/>
    <cellStyle name="Note 9 3 8" xfId="26827"/>
    <cellStyle name="Note 9 3_Table 2A-1_EFT (Annual)" xfId="3321"/>
    <cellStyle name="Note 9 4" xfId="1134"/>
    <cellStyle name="Note 9 4 2" xfId="2404"/>
    <cellStyle name="Note 9 4 2 2" xfId="5965"/>
    <cellStyle name="Note 9 4 2 2 2" xfId="14159"/>
    <cellStyle name="Note 9 4 2 2 2 2" xfId="26131"/>
    <cellStyle name="Note 9 4 2 2 2 2 2" xfId="47317"/>
    <cellStyle name="Note 9 4 2 2 2 3" xfId="36713"/>
    <cellStyle name="Note 9 4 2 2 3" xfId="21018"/>
    <cellStyle name="Note 9 4 2 2 3 2" xfId="42205"/>
    <cellStyle name="Note 9 4 2 2 4" xfId="31621"/>
    <cellStyle name="Note 9 4 2 2_Table 2A-1_EFT (Annual)" xfId="15911"/>
    <cellStyle name="Note 9 4 2 3" xfId="11501"/>
    <cellStyle name="Note 9 4 2 3 2" xfId="23585"/>
    <cellStyle name="Note 9 4 2 3 2 2" xfId="44771"/>
    <cellStyle name="Note 9 4 2 3 3" xfId="34167"/>
    <cellStyle name="Note 9 4 2 4" xfId="18472"/>
    <cellStyle name="Note 9 4 2 4 2" xfId="39659"/>
    <cellStyle name="Note 9 4 2 5" xfId="28878"/>
    <cellStyle name="Note 9 4 2_Table 2A-1_EFT (Annual)" xfId="7542"/>
    <cellStyle name="Note 9 4 3" xfId="4695"/>
    <cellStyle name="Note 9 4 3 2" xfId="12955"/>
    <cellStyle name="Note 9 4 3 2 2" xfId="24961"/>
    <cellStyle name="Note 9 4 3 2 2 2" xfId="46147"/>
    <cellStyle name="Note 9 4 3 2 3" xfId="35543"/>
    <cellStyle name="Note 9 4 3 3" xfId="19848"/>
    <cellStyle name="Note 9 4 3 3 2" xfId="41035"/>
    <cellStyle name="Note 9 4 3 4" xfId="30352"/>
    <cellStyle name="Note 9 4 3_Table 2A-1_EFT (Annual)" xfId="15912"/>
    <cellStyle name="Note 9 4 4" xfId="10299"/>
    <cellStyle name="Note 9 4 4 2" xfId="22415"/>
    <cellStyle name="Note 9 4 4 2 2" xfId="43601"/>
    <cellStyle name="Note 9 4 4 3" xfId="32997"/>
    <cellStyle name="Note 9 4 5" xfId="17302"/>
    <cellStyle name="Note 9 4 5 2" xfId="38489"/>
    <cellStyle name="Note 9 4 6" xfId="27609"/>
    <cellStyle name="Note 9 4_Table 2A-1_EFT (Annual)" xfId="7541"/>
    <cellStyle name="Note 9 5" xfId="703"/>
    <cellStyle name="Note 9 5 2" xfId="4264"/>
    <cellStyle name="Note 9 5 2 2" xfId="12548"/>
    <cellStyle name="Note 9 5 2 2 2" xfId="24566"/>
    <cellStyle name="Note 9 5 2 2 2 2" xfId="45752"/>
    <cellStyle name="Note 9 5 2 2 3" xfId="35148"/>
    <cellStyle name="Note 9 5 2 3" xfId="19453"/>
    <cellStyle name="Note 9 5 2 3 2" xfId="40640"/>
    <cellStyle name="Note 9 5 2 4" xfId="29921"/>
    <cellStyle name="Note 9 5 2_Table 2A-1_EFT (Annual)" xfId="15913"/>
    <cellStyle name="Note 9 5 3" xfId="9895"/>
    <cellStyle name="Note 9 5 3 2" xfId="22020"/>
    <cellStyle name="Note 9 5 3 2 2" xfId="43206"/>
    <cellStyle name="Note 9 5 3 3" xfId="32602"/>
    <cellStyle name="Note 9 5 4" xfId="16907"/>
    <cellStyle name="Note 9 5 4 2" xfId="38094"/>
    <cellStyle name="Note 9 5 5" xfId="27178"/>
    <cellStyle name="Note 9 5_Table 2A-1_EFT (Annual)" xfId="7543"/>
    <cellStyle name="Note 9 6" xfId="1871"/>
    <cellStyle name="Note 9 6 2" xfId="5432"/>
    <cellStyle name="Note 9 6 2 2" xfId="13647"/>
    <cellStyle name="Note 9 6 2 2 2" xfId="25635"/>
    <cellStyle name="Note 9 6 2 2 2 2" xfId="46821"/>
    <cellStyle name="Note 9 6 2 2 3" xfId="36217"/>
    <cellStyle name="Note 9 6 2 3" xfId="20522"/>
    <cellStyle name="Note 9 6 2 3 2" xfId="41709"/>
    <cellStyle name="Note 9 6 2 4" xfId="31089"/>
    <cellStyle name="Note 9 6 2_Table 2A-1_EFT (Annual)" xfId="15914"/>
    <cellStyle name="Note 9 6 3" xfId="10991"/>
    <cellStyle name="Note 9 6 3 2" xfId="23089"/>
    <cellStyle name="Note 9 6 3 2 2" xfId="44275"/>
    <cellStyle name="Note 9 6 3 3" xfId="33671"/>
    <cellStyle name="Note 9 6 4" xfId="17976"/>
    <cellStyle name="Note 9 6 4 2" xfId="39163"/>
    <cellStyle name="Note 9 6 5" xfId="28346"/>
    <cellStyle name="Note 9 6_Table 2A-1_EFT (Annual)" xfId="7544"/>
    <cellStyle name="Note 9 7" xfId="3669"/>
    <cellStyle name="Note 9 7 2" xfId="12042"/>
    <cellStyle name="Note 9 7 2 2" xfId="24073"/>
    <cellStyle name="Note 9 7 2 2 2" xfId="45259"/>
    <cellStyle name="Note 9 7 2 3" xfId="34655"/>
    <cellStyle name="Note 9 7 3" xfId="18960"/>
    <cellStyle name="Note 9 7 3 2" xfId="40147"/>
    <cellStyle name="Note 9 7 4" xfId="29379"/>
    <cellStyle name="Note 9 7_Table 2A-1_EFT (Annual)" xfId="15915"/>
    <cellStyle name="Note 9 8" xfId="9359"/>
    <cellStyle name="Note 9 8 2" xfId="21527"/>
    <cellStyle name="Note 9 8 2 2" xfId="42713"/>
    <cellStyle name="Note 9 8 3" xfId="32109"/>
    <cellStyle name="Note 9 9" xfId="16414"/>
    <cellStyle name="Note 9 9 2" xfId="37601"/>
    <cellStyle name="Note 9_Table 2A-1_EFT (Annual)" xfId="3319"/>
    <cellStyle name="Output" xfId="47" builtinId="21" customBuiltin="1"/>
    <cellStyle name="Output 10" xfId="137"/>
    <cellStyle name="Output 10 10" xfId="26692"/>
    <cellStyle name="Output 10 2" xfId="530"/>
    <cellStyle name="Output 10 2 2" xfId="1507"/>
    <cellStyle name="Output 10 2 2 2" xfId="2777"/>
    <cellStyle name="Output 10 2 2 2 2" xfId="6338"/>
    <cellStyle name="Output 10 2 2 2 2 2" xfId="14532"/>
    <cellStyle name="Output 10 2 2 2 2 2 2" xfId="26504"/>
    <cellStyle name="Output 10 2 2 2 2 2 2 2" xfId="47690"/>
    <cellStyle name="Output 10 2 2 2 2 2 3" xfId="37086"/>
    <cellStyle name="Output 10 2 2 2 2 3" xfId="21391"/>
    <cellStyle name="Output 10 2 2 2 2 3 2" xfId="42578"/>
    <cellStyle name="Output 10 2 2 2 2 4" xfId="31994"/>
    <cellStyle name="Output 10 2 2 2 2_Table 2A-1_EFT (Annual)" xfId="15916"/>
    <cellStyle name="Output 10 2 2 2 3" xfId="11874"/>
    <cellStyle name="Output 10 2 2 2 3 2" xfId="23958"/>
    <cellStyle name="Output 10 2 2 2 3 2 2" xfId="45144"/>
    <cellStyle name="Output 10 2 2 2 3 3" xfId="34540"/>
    <cellStyle name="Output 10 2 2 2 4" xfId="18845"/>
    <cellStyle name="Output 10 2 2 2 4 2" xfId="40032"/>
    <cellStyle name="Output 10 2 2 2 5" xfId="29251"/>
    <cellStyle name="Output 10 2 2 2_Table 2A-1_EFT (Annual)" xfId="7545"/>
    <cellStyle name="Output 10 2 2 3" xfId="1919"/>
    <cellStyle name="Output 10 2 2 3 2" xfId="5480"/>
    <cellStyle name="Output 10 2 2 3 2 2" xfId="13695"/>
    <cellStyle name="Output 10 2 2 3 2 2 2" xfId="25683"/>
    <cellStyle name="Output 10 2 2 3 2 2 2 2" xfId="46869"/>
    <cellStyle name="Output 10 2 2 3 2 2 3" xfId="36265"/>
    <cellStyle name="Output 10 2 2 3 2 3" xfId="20570"/>
    <cellStyle name="Output 10 2 2 3 2 3 2" xfId="41757"/>
    <cellStyle name="Output 10 2 2 3 2 4" xfId="31137"/>
    <cellStyle name="Output 10 2 2 3 2_Table 2A-1_EFT (Annual)" xfId="15917"/>
    <cellStyle name="Output 10 2 2 3 3" xfId="11039"/>
    <cellStyle name="Output 10 2 2 3 3 2" xfId="23137"/>
    <cellStyle name="Output 10 2 2 3 3 2 2" xfId="44323"/>
    <cellStyle name="Output 10 2 2 3 3 3" xfId="33719"/>
    <cellStyle name="Output 10 2 2 3 4" xfId="18024"/>
    <cellStyle name="Output 10 2 2 3 4 2" xfId="39211"/>
    <cellStyle name="Output 10 2 2 3 5" xfId="28394"/>
    <cellStyle name="Output 10 2 2 3_Table 2A-1_EFT (Annual)" xfId="7546"/>
    <cellStyle name="Output 10 2 2 4" xfId="5068"/>
    <cellStyle name="Output 10 2 2 4 2" xfId="13328"/>
    <cellStyle name="Output 10 2 2 4 2 2" xfId="25334"/>
    <cellStyle name="Output 10 2 2 4 2 2 2" xfId="46520"/>
    <cellStyle name="Output 10 2 2 4 2 3" xfId="35916"/>
    <cellStyle name="Output 10 2 2 4 3" xfId="20221"/>
    <cellStyle name="Output 10 2 2 4 3 2" xfId="41408"/>
    <cellStyle name="Output 10 2 2 4 4" xfId="30725"/>
    <cellStyle name="Output 10 2 2 4_Table 2A-1_EFT (Annual)" xfId="15918"/>
    <cellStyle name="Output 10 2 2 5" xfId="10672"/>
    <cellStyle name="Output 10 2 2 5 2" xfId="22788"/>
    <cellStyle name="Output 10 2 2 5 2 2" xfId="43974"/>
    <cellStyle name="Output 10 2 2 5 3" xfId="33370"/>
    <cellStyle name="Output 10 2 2 6" xfId="17675"/>
    <cellStyle name="Output 10 2 2 6 2" xfId="38862"/>
    <cellStyle name="Output 10 2 2 7" xfId="27982"/>
    <cellStyle name="Output 10 2 2_Table 2A-1_EFT (Annual)" xfId="3324"/>
    <cellStyle name="Output 10 2 3" xfId="2246"/>
    <cellStyle name="Output 10 2 3 2" xfId="5807"/>
    <cellStyle name="Output 10 2 3 2 2" xfId="14022"/>
    <cellStyle name="Output 10 2 3 2 2 2" xfId="26010"/>
    <cellStyle name="Output 10 2 3 2 2 2 2" xfId="47196"/>
    <cellStyle name="Output 10 2 3 2 2 3" xfId="36592"/>
    <cellStyle name="Output 10 2 3 2 3" xfId="20897"/>
    <cellStyle name="Output 10 2 3 2 3 2" xfId="42084"/>
    <cellStyle name="Output 10 2 3 2 4" xfId="31464"/>
    <cellStyle name="Output 10 2 3 2_Table 2A-1_EFT (Annual)" xfId="15919"/>
    <cellStyle name="Output 10 2 3 3" xfId="11366"/>
    <cellStyle name="Output 10 2 3 3 2" xfId="23464"/>
    <cellStyle name="Output 10 2 3 3 2 2" xfId="44650"/>
    <cellStyle name="Output 10 2 3 3 3" xfId="34046"/>
    <cellStyle name="Output 10 2 3 4" xfId="18351"/>
    <cellStyle name="Output 10 2 3 4 2" xfId="39538"/>
    <cellStyle name="Output 10 2 3 5" xfId="28721"/>
    <cellStyle name="Output 10 2 3_Table 2A-1_EFT (Annual)" xfId="7547"/>
    <cellStyle name="Output 10 2 4" xfId="1744"/>
    <cellStyle name="Output 10 2 4 2" xfId="5305"/>
    <cellStyle name="Output 10 2 4 2 2" xfId="13530"/>
    <cellStyle name="Output 10 2 4 2 2 2" xfId="25521"/>
    <cellStyle name="Output 10 2 4 2 2 2 2" xfId="46707"/>
    <cellStyle name="Output 10 2 4 2 2 3" xfId="36103"/>
    <cellStyle name="Output 10 2 4 2 3" xfId="20408"/>
    <cellStyle name="Output 10 2 4 2 3 2" xfId="41595"/>
    <cellStyle name="Output 10 2 4 2 4" xfId="30962"/>
    <cellStyle name="Output 10 2 4 2_Table 2A-1_EFT (Annual)" xfId="15920"/>
    <cellStyle name="Output 10 2 4 3" xfId="10873"/>
    <cellStyle name="Output 10 2 4 3 2" xfId="22975"/>
    <cellStyle name="Output 10 2 4 3 2 2" xfId="44161"/>
    <cellStyle name="Output 10 2 4 3 3" xfId="33557"/>
    <cellStyle name="Output 10 2 4 4" xfId="17862"/>
    <cellStyle name="Output 10 2 4 4 2" xfId="39049"/>
    <cellStyle name="Output 10 2 4 5" xfId="28219"/>
    <cellStyle name="Output 10 2 4_Table 2A-1_EFT (Annual)" xfId="7548"/>
    <cellStyle name="Output 10 2 5" xfId="4100"/>
    <cellStyle name="Output 10 2 5 2" xfId="12424"/>
    <cellStyle name="Output 10 2 5 2 2" xfId="24446"/>
    <cellStyle name="Output 10 2 5 2 2 2" xfId="45632"/>
    <cellStyle name="Output 10 2 5 2 3" xfId="35028"/>
    <cellStyle name="Output 10 2 5 3" xfId="19333"/>
    <cellStyle name="Output 10 2 5 3 2" xfId="40520"/>
    <cellStyle name="Output 10 2 5 4" xfId="29788"/>
    <cellStyle name="Output 10 2 5_Table 2A-1_EFT (Annual)" xfId="15921"/>
    <cellStyle name="Output 10 2 6" xfId="9763"/>
    <cellStyle name="Output 10 2 6 2" xfId="21900"/>
    <cellStyle name="Output 10 2 6 2 2" xfId="43086"/>
    <cellStyle name="Output 10 2 6 3" xfId="32482"/>
    <cellStyle name="Output 10 2 7" xfId="16787"/>
    <cellStyle name="Output 10 2 7 2" xfId="37974"/>
    <cellStyle name="Output 10 2 8" xfId="27045"/>
    <cellStyle name="Output 10 2_Table 2A-1_EFT (Annual)" xfId="3323"/>
    <cellStyle name="Output 10 3" xfId="368"/>
    <cellStyle name="Output 10 3 2" xfId="1351"/>
    <cellStyle name="Output 10 3 2 2" xfId="2621"/>
    <cellStyle name="Output 10 3 2 2 2" xfId="6182"/>
    <cellStyle name="Output 10 3 2 2 2 2" xfId="14376"/>
    <cellStyle name="Output 10 3 2 2 2 2 2" xfId="26348"/>
    <cellStyle name="Output 10 3 2 2 2 2 2 2" xfId="47534"/>
    <cellStyle name="Output 10 3 2 2 2 2 3" xfId="36930"/>
    <cellStyle name="Output 10 3 2 2 2 3" xfId="21235"/>
    <cellStyle name="Output 10 3 2 2 2 3 2" xfId="42422"/>
    <cellStyle name="Output 10 3 2 2 2 4" xfId="31838"/>
    <cellStyle name="Output 10 3 2 2 2_Table 2A-1_EFT (Annual)" xfId="15922"/>
    <cellStyle name="Output 10 3 2 2 3" xfId="11718"/>
    <cellStyle name="Output 10 3 2 2 3 2" xfId="23802"/>
    <cellStyle name="Output 10 3 2 2 3 2 2" xfId="44988"/>
    <cellStyle name="Output 10 3 2 2 3 3" xfId="34384"/>
    <cellStyle name="Output 10 3 2 2 4" xfId="18689"/>
    <cellStyle name="Output 10 3 2 2 4 2" xfId="39876"/>
    <cellStyle name="Output 10 3 2 2 5" xfId="29095"/>
    <cellStyle name="Output 10 3 2 2_Table 2A-1_EFT (Annual)" xfId="7549"/>
    <cellStyle name="Output 10 3 2 3" xfId="1888"/>
    <cellStyle name="Output 10 3 2 3 2" xfId="5449"/>
    <cellStyle name="Output 10 3 2 3 2 2" xfId="13664"/>
    <cellStyle name="Output 10 3 2 3 2 2 2" xfId="25652"/>
    <cellStyle name="Output 10 3 2 3 2 2 2 2" xfId="46838"/>
    <cellStyle name="Output 10 3 2 3 2 2 3" xfId="36234"/>
    <cellStyle name="Output 10 3 2 3 2 3" xfId="20539"/>
    <cellStyle name="Output 10 3 2 3 2 3 2" xfId="41726"/>
    <cellStyle name="Output 10 3 2 3 2 4" xfId="31106"/>
    <cellStyle name="Output 10 3 2 3 2_Table 2A-1_EFT (Annual)" xfId="15923"/>
    <cellStyle name="Output 10 3 2 3 3" xfId="11008"/>
    <cellStyle name="Output 10 3 2 3 3 2" xfId="23106"/>
    <cellStyle name="Output 10 3 2 3 3 2 2" xfId="44292"/>
    <cellStyle name="Output 10 3 2 3 3 3" xfId="33688"/>
    <cellStyle name="Output 10 3 2 3 4" xfId="17993"/>
    <cellStyle name="Output 10 3 2 3 4 2" xfId="39180"/>
    <cellStyle name="Output 10 3 2 3 5" xfId="28363"/>
    <cellStyle name="Output 10 3 2 3_Table 2A-1_EFT (Annual)" xfId="7550"/>
    <cellStyle name="Output 10 3 2 4" xfId="4912"/>
    <cellStyle name="Output 10 3 2 4 2" xfId="13172"/>
    <cellStyle name="Output 10 3 2 4 2 2" xfId="25178"/>
    <cellStyle name="Output 10 3 2 4 2 2 2" xfId="46364"/>
    <cellStyle name="Output 10 3 2 4 2 3" xfId="35760"/>
    <cellStyle name="Output 10 3 2 4 3" xfId="20065"/>
    <cellStyle name="Output 10 3 2 4 3 2" xfId="41252"/>
    <cellStyle name="Output 10 3 2 4 4" xfId="30569"/>
    <cellStyle name="Output 10 3 2 4_Table 2A-1_EFT (Annual)" xfId="15924"/>
    <cellStyle name="Output 10 3 2 5" xfId="10516"/>
    <cellStyle name="Output 10 3 2 5 2" xfId="22632"/>
    <cellStyle name="Output 10 3 2 5 2 2" xfId="43818"/>
    <cellStyle name="Output 10 3 2 5 3" xfId="33214"/>
    <cellStyle name="Output 10 3 2 6" xfId="17519"/>
    <cellStyle name="Output 10 3 2 6 2" xfId="38706"/>
    <cellStyle name="Output 10 3 2 7" xfId="27826"/>
    <cellStyle name="Output 10 3 2_Table 2A-1_EFT (Annual)" xfId="3326"/>
    <cellStyle name="Output 10 3 3" xfId="2090"/>
    <cellStyle name="Output 10 3 3 2" xfId="5651"/>
    <cellStyle name="Output 10 3 3 2 2" xfId="13866"/>
    <cellStyle name="Output 10 3 3 2 2 2" xfId="25854"/>
    <cellStyle name="Output 10 3 3 2 2 2 2" xfId="47040"/>
    <cellStyle name="Output 10 3 3 2 2 3" xfId="36436"/>
    <cellStyle name="Output 10 3 3 2 3" xfId="20741"/>
    <cellStyle name="Output 10 3 3 2 3 2" xfId="41928"/>
    <cellStyle name="Output 10 3 3 2 4" xfId="31308"/>
    <cellStyle name="Output 10 3 3 2_Table 2A-1_EFT (Annual)" xfId="15925"/>
    <cellStyle name="Output 10 3 3 3" xfId="11210"/>
    <cellStyle name="Output 10 3 3 3 2" xfId="23308"/>
    <cellStyle name="Output 10 3 3 3 2 2" xfId="44494"/>
    <cellStyle name="Output 10 3 3 3 3" xfId="33890"/>
    <cellStyle name="Output 10 3 3 4" xfId="18195"/>
    <cellStyle name="Output 10 3 3 4 2" xfId="39382"/>
    <cellStyle name="Output 10 3 3 5" xfId="28565"/>
    <cellStyle name="Output 10 3 3_Table 2A-1_EFT (Annual)" xfId="7551"/>
    <cellStyle name="Output 10 3 4" xfId="1708"/>
    <cellStyle name="Output 10 3 4 2" xfId="5269"/>
    <cellStyle name="Output 10 3 4 2 2" xfId="13498"/>
    <cellStyle name="Output 10 3 4 2 2 2" xfId="25491"/>
    <cellStyle name="Output 10 3 4 2 2 2 2" xfId="46677"/>
    <cellStyle name="Output 10 3 4 2 2 3" xfId="36073"/>
    <cellStyle name="Output 10 3 4 2 3" xfId="20378"/>
    <cellStyle name="Output 10 3 4 2 3 2" xfId="41565"/>
    <cellStyle name="Output 10 3 4 2 4" xfId="30926"/>
    <cellStyle name="Output 10 3 4 2_Table 2A-1_EFT (Annual)" xfId="15926"/>
    <cellStyle name="Output 10 3 4 3" xfId="10842"/>
    <cellStyle name="Output 10 3 4 3 2" xfId="22945"/>
    <cellStyle name="Output 10 3 4 3 2 2" xfId="44131"/>
    <cellStyle name="Output 10 3 4 3 3" xfId="33527"/>
    <cellStyle name="Output 10 3 4 4" xfId="17832"/>
    <cellStyle name="Output 10 3 4 4 2" xfId="39019"/>
    <cellStyle name="Output 10 3 4 5" xfId="28183"/>
    <cellStyle name="Output 10 3 4_Table 2A-1_EFT (Annual)" xfId="7552"/>
    <cellStyle name="Output 10 3 5" xfId="3938"/>
    <cellStyle name="Output 10 3 5 2" xfId="12266"/>
    <cellStyle name="Output 10 3 5 2 2" xfId="24290"/>
    <cellStyle name="Output 10 3 5 2 2 2" xfId="45476"/>
    <cellStyle name="Output 10 3 5 2 3" xfId="34872"/>
    <cellStyle name="Output 10 3 5 3" xfId="19177"/>
    <cellStyle name="Output 10 3 5 3 2" xfId="40364"/>
    <cellStyle name="Output 10 3 5 4" xfId="29626"/>
    <cellStyle name="Output 10 3 5_Table 2A-1_EFT (Annual)" xfId="15927"/>
    <cellStyle name="Output 10 3 6" xfId="9603"/>
    <cellStyle name="Output 10 3 6 2" xfId="21744"/>
    <cellStyle name="Output 10 3 6 2 2" xfId="42930"/>
    <cellStyle name="Output 10 3 6 3" xfId="32326"/>
    <cellStyle name="Output 10 3 7" xfId="16631"/>
    <cellStyle name="Output 10 3 7 2" xfId="37818"/>
    <cellStyle name="Output 10 3 8" xfId="26883"/>
    <cellStyle name="Output 10 3_Table 2A-1_EFT (Annual)" xfId="3325"/>
    <cellStyle name="Output 10 4" xfId="1185"/>
    <cellStyle name="Output 10 4 2" xfId="2455"/>
    <cellStyle name="Output 10 4 2 2" xfId="6016"/>
    <cellStyle name="Output 10 4 2 2 2" xfId="14210"/>
    <cellStyle name="Output 10 4 2 2 2 2" xfId="26182"/>
    <cellStyle name="Output 10 4 2 2 2 2 2" xfId="47368"/>
    <cellStyle name="Output 10 4 2 2 2 3" xfId="36764"/>
    <cellStyle name="Output 10 4 2 2 3" xfId="21069"/>
    <cellStyle name="Output 10 4 2 2 3 2" xfId="42256"/>
    <cellStyle name="Output 10 4 2 2 4" xfId="31672"/>
    <cellStyle name="Output 10 4 2 2_Table 2A-1_EFT (Annual)" xfId="15928"/>
    <cellStyle name="Output 10 4 2 3" xfId="11552"/>
    <cellStyle name="Output 10 4 2 3 2" xfId="23636"/>
    <cellStyle name="Output 10 4 2 3 2 2" xfId="44822"/>
    <cellStyle name="Output 10 4 2 3 3" xfId="34218"/>
    <cellStyle name="Output 10 4 2 4" xfId="18523"/>
    <cellStyle name="Output 10 4 2 4 2" xfId="39710"/>
    <cellStyle name="Output 10 4 2 5" xfId="28929"/>
    <cellStyle name="Output 10 4 2_Table 2A-1_EFT (Annual)" xfId="7553"/>
    <cellStyle name="Output 10 4 3" xfId="1824"/>
    <cellStyle name="Output 10 4 3 2" xfId="5385"/>
    <cellStyle name="Output 10 4 3 2 2" xfId="13600"/>
    <cellStyle name="Output 10 4 3 2 2 2" xfId="25588"/>
    <cellStyle name="Output 10 4 3 2 2 2 2" xfId="46774"/>
    <cellStyle name="Output 10 4 3 2 2 3" xfId="36170"/>
    <cellStyle name="Output 10 4 3 2 3" xfId="20475"/>
    <cellStyle name="Output 10 4 3 2 3 2" xfId="41662"/>
    <cellStyle name="Output 10 4 3 2 4" xfId="31042"/>
    <cellStyle name="Output 10 4 3 2_Table 2A-1_EFT (Annual)" xfId="15929"/>
    <cellStyle name="Output 10 4 3 3" xfId="10944"/>
    <cellStyle name="Output 10 4 3 3 2" xfId="23042"/>
    <cellStyle name="Output 10 4 3 3 2 2" xfId="44228"/>
    <cellStyle name="Output 10 4 3 3 3" xfId="33624"/>
    <cellStyle name="Output 10 4 3 4" xfId="17929"/>
    <cellStyle name="Output 10 4 3 4 2" xfId="39116"/>
    <cellStyle name="Output 10 4 3 5" xfId="28299"/>
    <cellStyle name="Output 10 4 3_Table 2A-1_EFT (Annual)" xfId="7554"/>
    <cellStyle name="Output 10 4 4" xfId="4746"/>
    <cellStyle name="Output 10 4 4 2" xfId="13006"/>
    <cellStyle name="Output 10 4 4 2 2" xfId="25012"/>
    <cellStyle name="Output 10 4 4 2 2 2" xfId="46198"/>
    <cellStyle name="Output 10 4 4 2 3" xfId="35594"/>
    <cellStyle name="Output 10 4 4 3" xfId="19899"/>
    <cellStyle name="Output 10 4 4 3 2" xfId="41086"/>
    <cellStyle name="Output 10 4 4 4" xfId="30403"/>
    <cellStyle name="Output 10 4 4_Table 2A-1_EFT (Annual)" xfId="15930"/>
    <cellStyle name="Output 10 4 5" xfId="10350"/>
    <cellStyle name="Output 10 4 5 2" xfId="22466"/>
    <cellStyle name="Output 10 4 5 2 2" xfId="43652"/>
    <cellStyle name="Output 10 4 5 3" xfId="33048"/>
    <cellStyle name="Output 10 4 6" xfId="17353"/>
    <cellStyle name="Output 10 4 6 2" xfId="38540"/>
    <cellStyle name="Output 10 4 7" xfId="27660"/>
    <cellStyle name="Output 10 4_Table 2A-1_EFT (Annual)" xfId="3327"/>
    <cellStyle name="Output 10 5" xfId="1788"/>
    <cellStyle name="Output 10 5 2" xfId="5349"/>
    <cellStyle name="Output 10 5 2 2" xfId="13564"/>
    <cellStyle name="Output 10 5 2 2 2" xfId="25552"/>
    <cellStyle name="Output 10 5 2 2 2 2" xfId="46738"/>
    <cellStyle name="Output 10 5 2 2 3" xfId="36134"/>
    <cellStyle name="Output 10 5 2 3" xfId="20439"/>
    <cellStyle name="Output 10 5 2 3 2" xfId="41626"/>
    <cellStyle name="Output 10 5 2 4" xfId="31006"/>
    <cellStyle name="Output 10 5 2_Table 2A-1_EFT (Annual)" xfId="15931"/>
    <cellStyle name="Output 10 5 3" xfId="10908"/>
    <cellStyle name="Output 10 5 3 2" xfId="23006"/>
    <cellStyle name="Output 10 5 3 2 2" xfId="44192"/>
    <cellStyle name="Output 10 5 3 3" xfId="33588"/>
    <cellStyle name="Output 10 5 4" xfId="17893"/>
    <cellStyle name="Output 10 5 4 2" xfId="39080"/>
    <cellStyle name="Output 10 5 5" xfId="28263"/>
    <cellStyle name="Output 10 5_Table 2A-1_EFT (Annual)" xfId="7555"/>
    <cellStyle name="Output 10 6" xfId="1651"/>
    <cellStyle name="Output 10 6 2" xfId="5212"/>
    <cellStyle name="Output 10 6 2 2" xfId="13459"/>
    <cellStyle name="Output 10 6 2 2 2" xfId="25459"/>
    <cellStyle name="Output 10 6 2 2 2 2" xfId="46645"/>
    <cellStyle name="Output 10 6 2 2 3" xfId="36041"/>
    <cellStyle name="Output 10 6 2 3" xfId="20346"/>
    <cellStyle name="Output 10 6 2 3 2" xfId="41533"/>
    <cellStyle name="Output 10 6 2 4" xfId="30869"/>
    <cellStyle name="Output 10 6 2_Table 2A-1_EFT (Annual)" xfId="15932"/>
    <cellStyle name="Output 10 6 3" xfId="10804"/>
    <cellStyle name="Output 10 6 3 2" xfId="22913"/>
    <cellStyle name="Output 10 6 3 2 2" xfId="44099"/>
    <cellStyle name="Output 10 6 3 3" xfId="33495"/>
    <cellStyle name="Output 10 6 4" xfId="17800"/>
    <cellStyle name="Output 10 6 4 2" xfId="38987"/>
    <cellStyle name="Output 10 6 5" xfId="28126"/>
    <cellStyle name="Output 10 6_Table 2A-1_EFT (Annual)" xfId="7556"/>
    <cellStyle name="Output 10 7" xfId="3726"/>
    <cellStyle name="Output 10 7 2" xfId="12094"/>
    <cellStyle name="Output 10 7 2 2" xfId="24124"/>
    <cellStyle name="Output 10 7 2 2 2" xfId="45310"/>
    <cellStyle name="Output 10 7 2 3" xfId="34706"/>
    <cellStyle name="Output 10 7 3" xfId="19011"/>
    <cellStyle name="Output 10 7 3 2" xfId="40198"/>
    <cellStyle name="Output 10 7 4" xfId="29435"/>
    <cellStyle name="Output 10 7_Table 2A-1_EFT (Annual)" xfId="15933"/>
    <cellStyle name="Output 10 8" xfId="9413"/>
    <cellStyle name="Output 10 8 2" xfId="21578"/>
    <cellStyle name="Output 10 8 2 2" xfId="42764"/>
    <cellStyle name="Output 10 8 3" xfId="32160"/>
    <cellStyle name="Output 10 9" xfId="16465"/>
    <cellStyle name="Output 10 9 2" xfId="37652"/>
    <cellStyle name="Output 10_Table 2A-1_EFT (Annual)" xfId="3322"/>
    <cellStyle name="Output 11" xfId="86"/>
    <cellStyle name="Output 11 10" xfId="26642"/>
    <cellStyle name="Output 11 2" xfId="485"/>
    <cellStyle name="Output 11 2 2" xfId="1462"/>
    <cellStyle name="Output 11 2 2 2" xfId="2732"/>
    <cellStyle name="Output 11 2 2 2 2" xfId="6293"/>
    <cellStyle name="Output 11 2 2 2 2 2" xfId="14487"/>
    <cellStyle name="Output 11 2 2 2 2 2 2" xfId="26459"/>
    <cellStyle name="Output 11 2 2 2 2 2 2 2" xfId="47645"/>
    <cellStyle name="Output 11 2 2 2 2 2 3" xfId="37041"/>
    <cellStyle name="Output 11 2 2 2 2 3" xfId="21346"/>
    <cellStyle name="Output 11 2 2 2 2 3 2" xfId="42533"/>
    <cellStyle name="Output 11 2 2 2 2 4" xfId="31949"/>
    <cellStyle name="Output 11 2 2 2 2_Table 2A-1_EFT (Annual)" xfId="15934"/>
    <cellStyle name="Output 11 2 2 2 3" xfId="11829"/>
    <cellStyle name="Output 11 2 2 2 3 2" xfId="23913"/>
    <cellStyle name="Output 11 2 2 2 3 2 2" xfId="45099"/>
    <cellStyle name="Output 11 2 2 2 3 3" xfId="34495"/>
    <cellStyle name="Output 11 2 2 2 4" xfId="18800"/>
    <cellStyle name="Output 11 2 2 2 4 2" xfId="39987"/>
    <cellStyle name="Output 11 2 2 2 5" xfId="29206"/>
    <cellStyle name="Output 11 2 2 2_Table 2A-1_EFT (Annual)" xfId="7557"/>
    <cellStyle name="Output 11 2 2 3" xfId="1910"/>
    <cellStyle name="Output 11 2 2 3 2" xfId="5471"/>
    <cellStyle name="Output 11 2 2 3 2 2" xfId="13686"/>
    <cellStyle name="Output 11 2 2 3 2 2 2" xfId="25674"/>
    <cellStyle name="Output 11 2 2 3 2 2 2 2" xfId="46860"/>
    <cellStyle name="Output 11 2 2 3 2 2 3" xfId="36256"/>
    <cellStyle name="Output 11 2 2 3 2 3" xfId="20561"/>
    <cellStyle name="Output 11 2 2 3 2 3 2" xfId="41748"/>
    <cellStyle name="Output 11 2 2 3 2 4" xfId="31128"/>
    <cellStyle name="Output 11 2 2 3 2_Table 2A-1_EFT (Annual)" xfId="15935"/>
    <cellStyle name="Output 11 2 2 3 3" xfId="11030"/>
    <cellStyle name="Output 11 2 2 3 3 2" xfId="23128"/>
    <cellStyle name="Output 11 2 2 3 3 2 2" xfId="44314"/>
    <cellStyle name="Output 11 2 2 3 3 3" xfId="33710"/>
    <cellStyle name="Output 11 2 2 3 4" xfId="18015"/>
    <cellStyle name="Output 11 2 2 3 4 2" xfId="39202"/>
    <cellStyle name="Output 11 2 2 3 5" xfId="28385"/>
    <cellStyle name="Output 11 2 2 3_Table 2A-1_EFT (Annual)" xfId="7558"/>
    <cellStyle name="Output 11 2 2 4" xfId="5023"/>
    <cellStyle name="Output 11 2 2 4 2" xfId="13283"/>
    <cellStyle name="Output 11 2 2 4 2 2" xfId="25289"/>
    <cellStyle name="Output 11 2 2 4 2 2 2" xfId="46475"/>
    <cellStyle name="Output 11 2 2 4 2 3" xfId="35871"/>
    <cellStyle name="Output 11 2 2 4 3" xfId="20176"/>
    <cellStyle name="Output 11 2 2 4 3 2" xfId="41363"/>
    <cellStyle name="Output 11 2 2 4 4" xfId="30680"/>
    <cellStyle name="Output 11 2 2 4_Table 2A-1_EFT (Annual)" xfId="15936"/>
    <cellStyle name="Output 11 2 2 5" xfId="10627"/>
    <cellStyle name="Output 11 2 2 5 2" xfId="22743"/>
    <cellStyle name="Output 11 2 2 5 2 2" xfId="43929"/>
    <cellStyle name="Output 11 2 2 5 3" xfId="33325"/>
    <cellStyle name="Output 11 2 2 6" xfId="17630"/>
    <cellStyle name="Output 11 2 2 6 2" xfId="38817"/>
    <cellStyle name="Output 11 2 2 7" xfId="27937"/>
    <cellStyle name="Output 11 2 2_Table 2A-1_EFT (Annual)" xfId="3330"/>
    <cellStyle name="Output 11 2 3" xfId="2201"/>
    <cellStyle name="Output 11 2 3 2" xfId="5762"/>
    <cellStyle name="Output 11 2 3 2 2" xfId="13977"/>
    <cellStyle name="Output 11 2 3 2 2 2" xfId="25965"/>
    <cellStyle name="Output 11 2 3 2 2 2 2" xfId="47151"/>
    <cellStyle name="Output 11 2 3 2 2 3" xfId="36547"/>
    <cellStyle name="Output 11 2 3 2 3" xfId="20852"/>
    <cellStyle name="Output 11 2 3 2 3 2" xfId="42039"/>
    <cellStyle name="Output 11 2 3 2 4" xfId="31419"/>
    <cellStyle name="Output 11 2 3 2_Table 2A-1_EFT (Annual)" xfId="15937"/>
    <cellStyle name="Output 11 2 3 3" xfId="11321"/>
    <cellStyle name="Output 11 2 3 3 2" xfId="23419"/>
    <cellStyle name="Output 11 2 3 3 2 2" xfId="44605"/>
    <cellStyle name="Output 11 2 3 3 3" xfId="34001"/>
    <cellStyle name="Output 11 2 3 4" xfId="18306"/>
    <cellStyle name="Output 11 2 3 4 2" xfId="39493"/>
    <cellStyle name="Output 11 2 3 5" xfId="28676"/>
    <cellStyle name="Output 11 2 3_Table 2A-1_EFT (Annual)" xfId="7559"/>
    <cellStyle name="Output 11 2 4" xfId="1735"/>
    <cellStyle name="Output 11 2 4 2" xfId="5296"/>
    <cellStyle name="Output 11 2 4 2 2" xfId="13521"/>
    <cellStyle name="Output 11 2 4 2 2 2" xfId="25512"/>
    <cellStyle name="Output 11 2 4 2 2 2 2" xfId="46698"/>
    <cellStyle name="Output 11 2 4 2 2 3" xfId="36094"/>
    <cellStyle name="Output 11 2 4 2 3" xfId="20399"/>
    <cellStyle name="Output 11 2 4 2 3 2" xfId="41586"/>
    <cellStyle name="Output 11 2 4 2 4" xfId="30953"/>
    <cellStyle name="Output 11 2 4 2_Table 2A-1_EFT (Annual)" xfId="15938"/>
    <cellStyle name="Output 11 2 4 3" xfId="10864"/>
    <cellStyle name="Output 11 2 4 3 2" xfId="22966"/>
    <cellStyle name="Output 11 2 4 3 2 2" xfId="44152"/>
    <cellStyle name="Output 11 2 4 3 3" xfId="33548"/>
    <cellStyle name="Output 11 2 4 4" xfId="17853"/>
    <cellStyle name="Output 11 2 4 4 2" xfId="39040"/>
    <cellStyle name="Output 11 2 4 5" xfId="28210"/>
    <cellStyle name="Output 11 2 4_Table 2A-1_EFT (Annual)" xfId="7560"/>
    <cellStyle name="Output 11 2 5" xfId="4055"/>
    <cellStyle name="Output 11 2 5 2" xfId="12379"/>
    <cellStyle name="Output 11 2 5 2 2" xfId="24401"/>
    <cellStyle name="Output 11 2 5 2 2 2" xfId="45587"/>
    <cellStyle name="Output 11 2 5 2 3" xfId="34983"/>
    <cellStyle name="Output 11 2 5 3" xfId="19288"/>
    <cellStyle name="Output 11 2 5 3 2" xfId="40475"/>
    <cellStyle name="Output 11 2 5 4" xfId="29743"/>
    <cellStyle name="Output 11 2 5_Table 2A-1_EFT (Annual)" xfId="15939"/>
    <cellStyle name="Output 11 2 6" xfId="9718"/>
    <cellStyle name="Output 11 2 6 2" xfId="21855"/>
    <cellStyle name="Output 11 2 6 2 2" xfId="43041"/>
    <cellStyle name="Output 11 2 6 3" xfId="32437"/>
    <cellStyle name="Output 11 2 7" xfId="16742"/>
    <cellStyle name="Output 11 2 7 2" xfId="37929"/>
    <cellStyle name="Output 11 2 8" xfId="27000"/>
    <cellStyle name="Output 11 2_Table 2A-1_EFT (Annual)" xfId="3329"/>
    <cellStyle name="Output 11 3" xfId="318"/>
    <cellStyle name="Output 11 3 2" xfId="1306"/>
    <cellStyle name="Output 11 3 2 2" xfId="2576"/>
    <cellStyle name="Output 11 3 2 2 2" xfId="6137"/>
    <cellStyle name="Output 11 3 2 2 2 2" xfId="14331"/>
    <cellStyle name="Output 11 3 2 2 2 2 2" xfId="26303"/>
    <cellStyle name="Output 11 3 2 2 2 2 2 2" xfId="47489"/>
    <cellStyle name="Output 11 3 2 2 2 2 3" xfId="36885"/>
    <cellStyle name="Output 11 3 2 2 2 3" xfId="21190"/>
    <cellStyle name="Output 11 3 2 2 2 3 2" xfId="42377"/>
    <cellStyle name="Output 11 3 2 2 2 4" xfId="31793"/>
    <cellStyle name="Output 11 3 2 2 2_Table 2A-1_EFT (Annual)" xfId="15940"/>
    <cellStyle name="Output 11 3 2 2 3" xfId="11673"/>
    <cellStyle name="Output 11 3 2 2 3 2" xfId="23757"/>
    <cellStyle name="Output 11 3 2 2 3 2 2" xfId="44943"/>
    <cellStyle name="Output 11 3 2 2 3 3" xfId="34339"/>
    <cellStyle name="Output 11 3 2 2 4" xfId="18644"/>
    <cellStyle name="Output 11 3 2 2 4 2" xfId="39831"/>
    <cellStyle name="Output 11 3 2 2 5" xfId="29050"/>
    <cellStyle name="Output 11 3 2 2_Table 2A-1_EFT (Annual)" xfId="7561"/>
    <cellStyle name="Output 11 3 2 3" xfId="1878"/>
    <cellStyle name="Output 11 3 2 3 2" xfId="5439"/>
    <cellStyle name="Output 11 3 2 3 2 2" xfId="13654"/>
    <cellStyle name="Output 11 3 2 3 2 2 2" xfId="25642"/>
    <cellStyle name="Output 11 3 2 3 2 2 2 2" xfId="46828"/>
    <cellStyle name="Output 11 3 2 3 2 2 3" xfId="36224"/>
    <cellStyle name="Output 11 3 2 3 2 3" xfId="20529"/>
    <cellStyle name="Output 11 3 2 3 2 3 2" xfId="41716"/>
    <cellStyle name="Output 11 3 2 3 2 4" xfId="31096"/>
    <cellStyle name="Output 11 3 2 3 2_Table 2A-1_EFT (Annual)" xfId="15941"/>
    <cellStyle name="Output 11 3 2 3 3" xfId="10998"/>
    <cellStyle name="Output 11 3 2 3 3 2" xfId="23096"/>
    <cellStyle name="Output 11 3 2 3 3 2 2" xfId="44282"/>
    <cellStyle name="Output 11 3 2 3 3 3" xfId="33678"/>
    <cellStyle name="Output 11 3 2 3 4" xfId="17983"/>
    <cellStyle name="Output 11 3 2 3 4 2" xfId="39170"/>
    <cellStyle name="Output 11 3 2 3 5" xfId="28353"/>
    <cellStyle name="Output 11 3 2 3_Table 2A-1_EFT (Annual)" xfId="7562"/>
    <cellStyle name="Output 11 3 2 4" xfId="4867"/>
    <cellStyle name="Output 11 3 2 4 2" xfId="13127"/>
    <cellStyle name="Output 11 3 2 4 2 2" xfId="25133"/>
    <cellStyle name="Output 11 3 2 4 2 2 2" xfId="46319"/>
    <cellStyle name="Output 11 3 2 4 2 3" xfId="35715"/>
    <cellStyle name="Output 11 3 2 4 3" xfId="20020"/>
    <cellStyle name="Output 11 3 2 4 3 2" xfId="41207"/>
    <cellStyle name="Output 11 3 2 4 4" xfId="30524"/>
    <cellStyle name="Output 11 3 2 4_Table 2A-1_EFT (Annual)" xfId="15942"/>
    <cellStyle name="Output 11 3 2 5" xfId="10471"/>
    <cellStyle name="Output 11 3 2 5 2" xfId="22587"/>
    <cellStyle name="Output 11 3 2 5 2 2" xfId="43773"/>
    <cellStyle name="Output 11 3 2 5 3" xfId="33169"/>
    <cellStyle name="Output 11 3 2 6" xfId="17474"/>
    <cellStyle name="Output 11 3 2 6 2" xfId="38661"/>
    <cellStyle name="Output 11 3 2 7" xfId="27781"/>
    <cellStyle name="Output 11 3 2_Table 2A-1_EFT (Annual)" xfId="3332"/>
    <cellStyle name="Output 11 3 3" xfId="2045"/>
    <cellStyle name="Output 11 3 3 2" xfId="5606"/>
    <cellStyle name="Output 11 3 3 2 2" xfId="13821"/>
    <cellStyle name="Output 11 3 3 2 2 2" xfId="25809"/>
    <cellStyle name="Output 11 3 3 2 2 2 2" xfId="46995"/>
    <cellStyle name="Output 11 3 3 2 2 3" xfId="36391"/>
    <cellStyle name="Output 11 3 3 2 3" xfId="20696"/>
    <cellStyle name="Output 11 3 3 2 3 2" xfId="41883"/>
    <cellStyle name="Output 11 3 3 2 4" xfId="31263"/>
    <cellStyle name="Output 11 3 3 2_Table 2A-1_EFT (Annual)" xfId="15943"/>
    <cellStyle name="Output 11 3 3 3" xfId="11165"/>
    <cellStyle name="Output 11 3 3 3 2" xfId="23263"/>
    <cellStyle name="Output 11 3 3 3 2 2" xfId="44449"/>
    <cellStyle name="Output 11 3 3 3 3" xfId="33845"/>
    <cellStyle name="Output 11 3 3 4" xfId="18150"/>
    <cellStyle name="Output 11 3 3 4 2" xfId="39337"/>
    <cellStyle name="Output 11 3 3 5" xfId="28520"/>
    <cellStyle name="Output 11 3 3_Table 2A-1_EFT (Annual)" xfId="7563"/>
    <cellStyle name="Output 11 3 4" xfId="1694"/>
    <cellStyle name="Output 11 3 4 2" xfId="5255"/>
    <cellStyle name="Output 11 3 4 2 2" xfId="13488"/>
    <cellStyle name="Output 11 3 4 2 2 2" xfId="25482"/>
    <cellStyle name="Output 11 3 4 2 2 2 2" xfId="46668"/>
    <cellStyle name="Output 11 3 4 2 2 3" xfId="36064"/>
    <cellStyle name="Output 11 3 4 2 3" xfId="20369"/>
    <cellStyle name="Output 11 3 4 2 3 2" xfId="41556"/>
    <cellStyle name="Output 11 3 4 2 4" xfId="30912"/>
    <cellStyle name="Output 11 3 4 2_Table 2A-1_EFT (Annual)" xfId="15944"/>
    <cellStyle name="Output 11 3 4 3" xfId="10832"/>
    <cellStyle name="Output 11 3 4 3 2" xfId="22936"/>
    <cellStyle name="Output 11 3 4 3 2 2" xfId="44122"/>
    <cellStyle name="Output 11 3 4 3 3" xfId="33518"/>
    <cellStyle name="Output 11 3 4 4" xfId="17823"/>
    <cellStyle name="Output 11 3 4 4 2" xfId="39010"/>
    <cellStyle name="Output 11 3 4 5" xfId="28169"/>
    <cellStyle name="Output 11 3 4_Table 2A-1_EFT (Annual)" xfId="7564"/>
    <cellStyle name="Output 11 3 5" xfId="3888"/>
    <cellStyle name="Output 11 3 5 2" xfId="12220"/>
    <cellStyle name="Output 11 3 5 2 2" xfId="24245"/>
    <cellStyle name="Output 11 3 5 2 2 2" xfId="45431"/>
    <cellStyle name="Output 11 3 5 2 3" xfId="34827"/>
    <cellStyle name="Output 11 3 5 3" xfId="19132"/>
    <cellStyle name="Output 11 3 5 3 2" xfId="40319"/>
    <cellStyle name="Output 11 3 5 4" xfId="29576"/>
    <cellStyle name="Output 11 3 5_Table 2A-1_EFT (Annual)" xfId="15945"/>
    <cellStyle name="Output 11 3 6" xfId="9557"/>
    <cellStyle name="Output 11 3 6 2" xfId="21699"/>
    <cellStyle name="Output 11 3 6 2 2" xfId="42885"/>
    <cellStyle name="Output 11 3 6 3" xfId="32281"/>
    <cellStyle name="Output 11 3 7" xfId="16586"/>
    <cellStyle name="Output 11 3 7 2" xfId="37773"/>
    <cellStyle name="Output 11 3 8" xfId="26833"/>
    <cellStyle name="Output 11 3_Table 2A-1_EFT (Annual)" xfId="3331"/>
    <cellStyle name="Output 11 4" xfId="1140"/>
    <cellStyle name="Output 11 4 2" xfId="2410"/>
    <cellStyle name="Output 11 4 2 2" xfId="5971"/>
    <cellStyle name="Output 11 4 2 2 2" xfId="14165"/>
    <cellStyle name="Output 11 4 2 2 2 2" xfId="26137"/>
    <cellStyle name="Output 11 4 2 2 2 2 2" xfId="47323"/>
    <cellStyle name="Output 11 4 2 2 2 3" xfId="36719"/>
    <cellStyle name="Output 11 4 2 2 3" xfId="21024"/>
    <cellStyle name="Output 11 4 2 2 3 2" xfId="42211"/>
    <cellStyle name="Output 11 4 2 2 4" xfId="31627"/>
    <cellStyle name="Output 11 4 2 2_Table 2A-1_EFT (Annual)" xfId="15946"/>
    <cellStyle name="Output 11 4 2 3" xfId="11507"/>
    <cellStyle name="Output 11 4 2 3 2" xfId="23591"/>
    <cellStyle name="Output 11 4 2 3 2 2" xfId="44777"/>
    <cellStyle name="Output 11 4 2 3 3" xfId="34173"/>
    <cellStyle name="Output 11 4 2 4" xfId="18478"/>
    <cellStyle name="Output 11 4 2 4 2" xfId="39665"/>
    <cellStyle name="Output 11 4 2 5" xfId="28884"/>
    <cellStyle name="Output 11 4 2_Table 2A-1_EFT (Annual)" xfId="7565"/>
    <cellStyle name="Output 11 4 3" xfId="1813"/>
    <cellStyle name="Output 11 4 3 2" xfId="5374"/>
    <cellStyle name="Output 11 4 3 2 2" xfId="13589"/>
    <cellStyle name="Output 11 4 3 2 2 2" xfId="25577"/>
    <cellStyle name="Output 11 4 3 2 2 2 2" xfId="46763"/>
    <cellStyle name="Output 11 4 3 2 2 3" xfId="36159"/>
    <cellStyle name="Output 11 4 3 2 3" xfId="20464"/>
    <cellStyle name="Output 11 4 3 2 3 2" xfId="41651"/>
    <cellStyle name="Output 11 4 3 2 4" xfId="31031"/>
    <cellStyle name="Output 11 4 3 2_Table 2A-1_EFT (Annual)" xfId="15947"/>
    <cellStyle name="Output 11 4 3 3" xfId="10933"/>
    <cellStyle name="Output 11 4 3 3 2" xfId="23031"/>
    <cellStyle name="Output 11 4 3 3 2 2" xfId="44217"/>
    <cellStyle name="Output 11 4 3 3 3" xfId="33613"/>
    <cellStyle name="Output 11 4 3 4" xfId="17918"/>
    <cellStyle name="Output 11 4 3 4 2" xfId="39105"/>
    <cellStyle name="Output 11 4 3 5" xfId="28288"/>
    <cellStyle name="Output 11 4 3_Table 2A-1_EFT (Annual)" xfId="7566"/>
    <cellStyle name="Output 11 4 4" xfId="4701"/>
    <cellStyle name="Output 11 4 4 2" xfId="12961"/>
    <cellStyle name="Output 11 4 4 2 2" xfId="24967"/>
    <cellStyle name="Output 11 4 4 2 2 2" xfId="46153"/>
    <cellStyle name="Output 11 4 4 2 3" xfId="35549"/>
    <cellStyle name="Output 11 4 4 3" xfId="19854"/>
    <cellStyle name="Output 11 4 4 3 2" xfId="41041"/>
    <cellStyle name="Output 11 4 4 4" xfId="30358"/>
    <cellStyle name="Output 11 4 4_Table 2A-1_EFT (Annual)" xfId="15948"/>
    <cellStyle name="Output 11 4 5" xfId="10305"/>
    <cellStyle name="Output 11 4 5 2" xfId="22421"/>
    <cellStyle name="Output 11 4 5 2 2" xfId="43607"/>
    <cellStyle name="Output 11 4 5 3" xfId="33003"/>
    <cellStyle name="Output 11 4 6" xfId="17308"/>
    <cellStyle name="Output 11 4 6 2" xfId="38495"/>
    <cellStyle name="Output 11 4 7" xfId="27615"/>
    <cellStyle name="Output 11 4_Table 2A-1_EFT (Annual)" xfId="3333"/>
    <cellStyle name="Output 11 5" xfId="1942"/>
    <cellStyle name="Output 11 5 2" xfId="5503"/>
    <cellStyle name="Output 11 5 2 2" xfId="13718"/>
    <cellStyle name="Output 11 5 2 2 2" xfId="25706"/>
    <cellStyle name="Output 11 5 2 2 2 2" xfId="46892"/>
    <cellStyle name="Output 11 5 2 2 3" xfId="36288"/>
    <cellStyle name="Output 11 5 2 3" xfId="20593"/>
    <cellStyle name="Output 11 5 2 3 2" xfId="41780"/>
    <cellStyle name="Output 11 5 2 4" xfId="31160"/>
    <cellStyle name="Output 11 5 2_Table 2A-1_EFT (Annual)" xfId="15949"/>
    <cellStyle name="Output 11 5 3" xfId="11062"/>
    <cellStyle name="Output 11 5 3 2" xfId="23160"/>
    <cellStyle name="Output 11 5 3 2 2" xfId="44346"/>
    <cellStyle name="Output 11 5 3 3" xfId="33742"/>
    <cellStyle name="Output 11 5 4" xfId="18047"/>
    <cellStyle name="Output 11 5 4 2" xfId="39234"/>
    <cellStyle name="Output 11 5 5" xfId="28417"/>
    <cellStyle name="Output 11 5_Table 2A-1_EFT (Annual)" xfId="7567"/>
    <cellStyle name="Output 11 6" xfId="1637"/>
    <cellStyle name="Output 11 6 2" xfId="5198"/>
    <cellStyle name="Output 11 6 2 2" xfId="13450"/>
    <cellStyle name="Output 11 6 2 2 2" xfId="25450"/>
    <cellStyle name="Output 11 6 2 2 2 2" xfId="46636"/>
    <cellStyle name="Output 11 6 2 2 3" xfId="36032"/>
    <cellStyle name="Output 11 6 2 3" xfId="20337"/>
    <cellStyle name="Output 11 6 2 3 2" xfId="41524"/>
    <cellStyle name="Output 11 6 2 4" xfId="30855"/>
    <cellStyle name="Output 11 6 2_Table 2A-1_EFT (Annual)" xfId="15950"/>
    <cellStyle name="Output 11 6 3" xfId="10794"/>
    <cellStyle name="Output 11 6 3 2" xfId="22904"/>
    <cellStyle name="Output 11 6 3 2 2" xfId="44090"/>
    <cellStyle name="Output 11 6 3 3" xfId="33486"/>
    <cellStyle name="Output 11 6 4" xfId="17791"/>
    <cellStyle name="Output 11 6 4 2" xfId="38978"/>
    <cellStyle name="Output 11 6 5" xfId="28112"/>
    <cellStyle name="Output 11 6_Table 2A-1_EFT (Annual)" xfId="7568"/>
    <cellStyle name="Output 11 7" xfId="3675"/>
    <cellStyle name="Output 11 7 2" xfId="12048"/>
    <cellStyle name="Output 11 7 2 2" xfId="24079"/>
    <cellStyle name="Output 11 7 2 2 2" xfId="45265"/>
    <cellStyle name="Output 11 7 2 3" xfId="34661"/>
    <cellStyle name="Output 11 7 3" xfId="18966"/>
    <cellStyle name="Output 11 7 3 2" xfId="40153"/>
    <cellStyle name="Output 11 7 4" xfId="29385"/>
    <cellStyle name="Output 11 7_Table 2A-1_EFT (Annual)" xfId="15951"/>
    <cellStyle name="Output 11 8" xfId="9365"/>
    <cellStyle name="Output 11 8 2" xfId="21533"/>
    <cellStyle name="Output 11 8 2 2" xfId="42719"/>
    <cellStyle name="Output 11 8 3" xfId="32115"/>
    <cellStyle name="Output 11 9" xfId="16420"/>
    <cellStyle name="Output 11 9 2" xfId="37607"/>
    <cellStyle name="Output 11_Table 2A-1_EFT (Annual)" xfId="3328"/>
    <cellStyle name="Output 12" xfId="85"/>
    <cellStyle name="Output 12 10" xfId="26641"/>
    <cellStyle name="Output 12 2" xfId="484"/>
    <cellStyle name="Output 12 2 2" xfId="1461"/>
    <cellStyle name="Output 12 2 2 2" xfId="2731"/>
    <cellStyle name="Output 12 2 2 2 2" xfId="6292"/>
    <cellStyle name="Output 12 2 2 2 2 2" xfId="14486"/>
    <cellStyle name="Output 12 2 2 2 2 2 2" xfId="26458"/>
    <cellStyle name="Output 12 2 2 2 2 2 2 2" xfId="47644"/>
    <cellStyle name="Output 12 2 2 2 2 2 3" xfId="37040"/>
    <cellStyle name="Output 12 2 2 2 2 3" xfId="21345"/>
    <cellStyle name="Output 12 2 2 2 2 3 2" xfId="42532"/>
    <cellStyle name="Output 12 2 2 2 2 4" xfId="31948"/>
    <cellStyle name="Output 12 2 2 2 2_Table 2A-1_EFT (Annual)" xfId="15952"/>
    <cellStyle name="Output 12 2 2 2 3" xfId="11828"/>
    <cellStyle name="Output 12 2 2 2 3 2" xfId="23912"/>
    <cellStyle name="Output 12 2 2 2 3 2 2" xfId="45098"/>
    <cellStyle name="Output 12 2 2 2 3 3" xfId="34494"/>
    <cellStyle name="Output 12 2 2 2 4" xfId="18799"/>
    <cellStyle name="Output 12 2 2 2 4 2" xfId="39986"/>
    <cellStyle name="Output 12 2 2 2 5" xfId="29205"/>
    <cellStyle name="Output 12 2 2 2_Table 2A-1_EFT (Annual)" xfId="7569"/>
    <cellStyle name="Output 12 2 2 3" xfId="1909"/>
    <cellStyle name="Output 12 2 2 3 2" xfId="5470"/>
    <cellStyle name="Output 12 2 2 3 2 2" xfId="13685"/>
    <cellStyle name="Output 12 2 2 3 2 2 2" xfId="25673"/>
    <cellStyle name="Output 12 2 2 3 2 2 2 2" xfId="46859"/>
    <cellStyle name="Output 12 2 2 3 2 2 3" xfId="36255"/>
    <cellStyle name="Output 12 2 2 3 2 3" xfId="20560"/>
    <cellStyle name="Output 12 2 2 3 2 3 2" xfId="41747"/>
    <cellStyle name="Output 12 2 2 3 2 4" xfId="31127"/>
    <cellStyle name="Output 12 2 2 3 2_Table 2A-1_EFT (Annual)" xfId="15953"/>
    <cellStyle name="Output 12 2 2 3 3" xfId="11029"/>
    <cellStyle name="Output 12 2 2 3 3 2" xfId="23127"/>
    <cellStyle name="Output 12 2 2 3 3 2 2" xfId="44313"/>
    <cellStyle name="Output 12 2 2 3 3 3" xfId="33709"/>
    <cellStyle name="Output 12 2 2 3 4" xfId="18014"/>
    <cellStyle name="Output 12 2 2 3 4 2" xfId="39201"/>
    <cellStyle name="Output 12 2 2 3 5" xfId="28384"/>
    <cellStyle name="Output 12 2 2 3_Table 2A-1_EFT (Annual)" xfId="7570"/>
    <cellStyle name="Output 12 2 2 4" xfId="5022"/>
    <cellStyle name="Output 12 2 2 4 2" xfId="13282"/>
    <cellStyle name="Output 12 2 2 4 2 2" xfId="25288"/>
    <cellStyle name="Output 12 2 2 4 2 2 2" xfId="46474"/>
    <cellStyle name="Output 12 2 2 4 2 3" xfId="35870"/>
    <cellStyle name="Output 12 2 2 4 3" xfId="20175"/>
    <cellStyle name="Output 12 2 2 4 3 2" xfId="41362"/>
    <cellStyle name="Output 12 2 2 4 4" xfId="30679"/>
    <cellStyle name="Output 12 2 2 4_Table 2A-1_EFT (Annual)" xfId="15954"/>
    <cellStyle name="Output 12 2 2 5" xfId="10626"/>
    <cellStyle name="Output 12 2 2 5 2" xfId="22742"/>
    <cellStyle name="Output 12 2 2 5 2 2" xfId="43928"/>
    <cellStyle name="Output 12 2 2 5 3" xfId="33324"/>
    <cellStyle name="Output 12 2 2 6" xfId="17629"/>
    <cellStyle name="Output 12 2 2 6 2" xfId="38816"/>
    <cellStyle name="Output 12 2 2 7" xfId="27936"/>
    <cellStyle name="Output 12 2 2_Table 2A-1_EFT (Annual)" xfId="3336"/>
    <cellStyle name="Output 12 2 3" xfId="2200"/>
    <cellStyle name="Output 12 2 3 2" xfId="5761"/>
    <cellStyle name="Output 12 2 3 2 2" xfId="13976"/>
    <cellStyle name="Output 12 2 3 2 2 2" xfId="25964"/>
    <cellStyle name="Output 12 2 3 2 2 2 2" xfId="47150"/>
    <cellStyle name="Output 12 2 3 2 2 3" xfId="36546"/>
    <cellStyle name="Output 12 2 3 2 3" xfId="20851"/>
    <cellStyle name="Output 12 2 3 2 3 2" xfId="42038"/>
    <cellStyle name="Output 12 2 3 2 4" xfId="31418"/>
    <cellStyle name="Output 12 2 3 2_Table 2A-1_EFT (Annual)" xfId="15955"/>
    <cellStyle name="Output 12 2 3 3" xfId="11320"/>
    <cellStyle name="Output 12 2 3 3 2" xfId="23418"/>
    <cellStyle name="Output 12 2 3 3 2 2" xfId="44604"/>
    <cellStyle name="Output 12 2 3 3 3" xfId="34000"/>
    <cellStyle name="Output 12 2 3 4" xfId="18305"/>
    <cellStyle name="Output 12 2 3 4 2" xfId="39492"/>
    <cellStyle name="Output 12 2 3 5" xfId="28675"/>
    <cellStyle name="Output 12 2 3_Table 2A-1_EFT (Annual)" xfId="7571"/>
    <cellStyle name="Output 12 2 4" xfId="1734"/>
    <cellStyle name="Output 12 2 4 2" xfId="5295"/>
    <cellStyle name="Output 12 2 4 2 2" xfId="13520"/>
    <cellStyle name="Output 12 2 4 2 2 2" xfId="25511"/>
    <cellStyle name="Output 12 2 4 2 2 2 2" xfId="46697"/>
    <cellStyle name="Output 12 2 4 2 2 3" xfId="36093"/>
    <cellStyle name="Output 12 2 4 2 3" xfId="20398"/>
    <cellStyle name="Output 12 2 4 2 3 2" xfId="41585"/>
    <cellStyle name="Output 12 2 4 2 4" xfId="30952"/>
    <cellStyle name="Output 12 2 4 2_Table 2A-1_EFT (Annual)" xfId="15956"/>
    <cellStyle name="Output 12 2 4 3" xfId="10863"/>
    <cellStyle name="Output 12 2 4 3 2" xfId="22965"/>
    <cellStyle name="Output 12 2 4 3 2 2" xfId="44151"/>
    <cellStyle name="Output 12 2 4 3 3" xfId="33547"/>
    <cellStyle name="Output 12 2 4 4" xfId="17852"/>
    <cellStyle name="Output 12 2 4 4 2" xfId="39039"/>
    <cellStyle name="Output 12 2 4 5" xfId="28209"/>
    <cellStyle name="Output 12 2 4_Table 2A-1_EFT (Annual)" xfId="7572"/>
    <cellStyle name="Output 12 2 5" xfId="4054"/>
    <cellStyle name="Output 12 2 5 2" xfId="12378"/>
    <cellStyle name="Output 12 2 5 2 2" xfId="24400"/>
    <cellStyle name="Output 12 2 5 2 2 2" xfId="45586"/>
    <cellStyle name="Output 12 2 5 2 3" xfId="34982"/>
    <cellStyle name="Output 12 2 5 3" xfId="19287"/>
    <cellStyle name="Output 12 2 5 3 2" xfId="40474"/>
    <cellStyle name="Output 12 2 5 4" xfId="29742"/>
    <cellStyle name="Output 12 2 5_Table 2A-1_EFT (Annual)" xfId="15957"/>
    <cellStyle name="Output 12 2 6" xfId="9717"/>
    <cellStyle name="Output 12 2 6 2" xfId="21854"/>
    <cellStyle name="Output 12 2 6 2 2" xfId="43040"/>
    <cellStyle name="Output 12 2 6 3" xfId="32436"/>
    <cellStyle name="Output 12 2 7" xfId="16741"/>
    <cellStyle name="Output 12 2 7 2" xfId="37928"/>
    <cellStyle name="Output 12 2 8" xfId="26999"/>
    <cellStyle name="Output 12 2_Table 2A-1_EFT (Annual)" xfId="3335"/>
    <cellStyle name="Output 12 3" xfId="317"/>
    <cellStyle name="Output 12 3 2" xfId="1305"/>
    <cellStyle name="Output 12 3 2 2" xfId="2575"/>
    <cellStyle name="Output 12 3 2 2 2" xfId="6136"/>
    <cellStyle name="Output 12 3 2 2 2 2" xfId="14330"/>
    <cellStyle name="Output 12 3 2 2 2 2 2" xfId="26302"/>
    <cellStyle name="Output 12 3 2 2 2 2 2 2" xfId="47488"/>
    <cellStyle name="Output 12 3 2 2 2 2 3" xfId="36884"/>
    <cellStyle name="Output 12 3 2 2 2 3" xfId="21189"/>
    <cellStyle name="Output 12 3 2 2 2 3 2" xfId="42376"/>
    <cellStyle name="Output 12 3 2 2 2 4" xfId="31792"/>
    <cellStyle name="Output 12 3 2 2 2_Table 2A-1_EFT (Annual)" xfId="15958"/>
    <cellStyle name="Output 12 3 2 2 3" xfId="11672"/>
    <cellStyle name="Output 12 3 2 2 3 2" xfId="23756"/>
    <cellStyle name="Output 12 3 2 2 3 2 2" xfId="44942"/>
    <cellStyle name="Output 12 3 2 2 3 3" xfId="34338"/>
    <cellStyle name="Output 12 3 2 2 4" xfId="18643"/>
    <cellStyle name="Output 12 3 2 2 4 2" xfId="39830"/>
    <cellStyle name="Output 12 3 2 2 5" xfId="29049"/>
    <cellStyle name="Output 12 3 2 2_Table 2A-1_EFT (Annual)" xfId="7573"/>
    <cellStyle name="Output 12 3 2 3" xfId="1877"/>
    <cellStyle name="Output 12 3 2 3 2" xfId="5438"/>
    <cellStyle name="Output 12 3 2 3 2 2" xfId="13653"/>
    <cellStyle name="Output 12 3 2 3 2 2 2" xfId="25641"/>
    <cellStyle name="Output 12 3 2 3 2 2 2 2" xfId="46827"/>
    <cellStyle name="Output 12 3 2 3 2 2 3" xfId="36223"/>
    <cellStyle name="Output 12 3 2 3 2 3" xfId="20528"/>
    <cellStyle name="Output 12 3 2 3 2 3 2" xfId="41715"/>
    <cellStyle name="Output 12 3 2 3 2 4" xfId="31095"/>
    <cellStyle name="Output 12 3 2 3 2_Table 2A-1_EFT (Annual)" xfId="15959"/>
    <cellStyle name="Output 12 3 2 3 3" xfId="10997"/>
    <cellStyle name="Output 12 3 2 3 3 2" xfId="23095"/>
    <cellStyle name="Output 12 3 2 3 3 2 2" xfId="44281"/>
    <cellStyle name="Output 12 3 2 3 3 3" xfId="33677"/>
    <cellStyle name="Output 12 3 2 3 4" xfId="17982"/>
    <cellStyle name="Output 12 3 2 3 4 2" xfId="39169"/>
    <cellStyle name="Output 12 3 2 3 5" xfId="28352"/>
    <cellStyle name="Output 12 3 2 3_Table 2A-1_EFT (Annual)" xfId="7574"/>
    <cellStyle name="Output 12 3 2 4" xfId="4866"/>
    <cellStyle name="Output 12 3 2 4 2" xfId="13126"/>
    <cellStyle name="Output 12 3 2 4 2 2" xfId="25132"/>
    <cellStyle name="Output 12 3 2 4 2 2 2" xfId="46318"/>
    <cellStyle name="Output 12 3 2 4 2 3" xfId="35714"/>
    <cellStyle name="Output 12 3 2 4 3" xfId="20019"/>
    <cellStyle name="Output 12 3 2 4 3 2" xfId="41206"/>
    <cellStyle name="Output 12 3 2 4 4" xfId="30523"/>
    <cellStyle name="Output 12 3 2 4_Table 2A-1_EFT (Annual)" xfId="15960"/>
    <cellStyle name="Output 12 3 2 5" xfId="10470"/>
    <cellStyle name="Output 12 3 2 5 2" xfId="22586"/>
    <cellStyle name="Output 12 3 2 5 2 2" xfId="43772"/>
    <cellStyle name="Output 12 3 2 5 3" xfId="33168"/>
    <cellStyle name="Output 12 3 2 6" xfId="17473"/>
    <cellStyle name="Output 12 3 2 6 2" xfId="38660"/>
    <cellStyle name="Output 12 3 2 7" xfId="27780"/>
    <cellStyle name="Output 12 3 2_Table 2A-1_EFT (Annual)" xfId="3338"/>
    <cellStyle name="Output 12 3 3" xfId="2044"/>
    <cellStyle name="Output 12 3 3 2" xfId="5605"/>
    <cellStyle name="Output 12 3 3 2 2" xfId="13820"/>
    <cellStyle name="Output 12 3 3 2 2 2" xfId="25808"/>
    <cellStyle name="Output 12 3 3 2 2 2 2" xfId="46994"/>
    <cellStyle name="Output 12 3 3 2 2 3" xfId="36390"/>
    <cellStyle name="Output 12 3 3 2 3" xfId="20695"/>
    <cellStyle name="Output 12 3 3 2 3 2" xfId="41882"/>
    <cellStyle name="Output 12 3 3 2 4" xfId="31262"/>
    <cellStyle name="Output 12 3 3 2_Table 2A-1_EFT (Annual)" xfId="15961"/>
    <cellStyle name="Output 12 3 3 3" xfId="11164"/>
    <cellStyle name="Output 12 3 3 3 2" xfId="23262"/>
    <cellStyle name="Output 12 3 3 3 2 2" xfId="44448"/>
    <cellStyle name="Output 12 3 3 3 3" xfId="33844"/>
    <cellStyle name="Output 12 3 3 4" xfId="18149"/>
    <cellStyle name="Output 12 3 3 4 2" xfId="39336"/>
    <cellStyle name="Output 12 3 3 5" xfId="28519"/>
    <cellStyle name="Output 12 3 3_Table 2A-1_EFT (Annual)" xfId="7575"/>
    <cellStyle name="Output 12 3 4" xfId="1693"/>
    <cellStyle name="Output 12 3 4 2" xfId="5254"/>
    <cellStyle name="Output 12 3 4 2 2" xfId="13487"/>
    <cellStyle name="Output 12 3 4 2 2 2" xfId="25481"/>
    <cellStyle name="Output 12 3 4 2 2 2 2" xfId="46667"/>
    <cellStyle name="Output 12 3 4 2 2 3" xfId="36063"/>
    <cellStyle name="Output 12 3 4 2 3" xfId="20368"/>
    <cellStyle name="Output 12 3 4 2 3 2" xfId="41555"/>
    <cellStyle name="Output 12 3 4 2 4" xfId="30911"/>
    <cellStyle name="Output 12 3 4 2_Table 2A-1_EFT (Annual)" xfId="15962"/>
    <cellStyle name="Output 12 3 4 3" xfId="10831"/>
    <cellStyle name="Output 12 3 4 3 2" xfId="22935"/>
    <cellStyle name="Output 12 3 4 3 2 2" xfId="44121"/>
    <cellStyle name="Output 12 3 4 3 3" xfId="33517"/>
    <cellStyle name="Output 12 3 4 4" xfId="17822"/>
    <cellStyle name="Output 12 3 4 4 2" xfId="39009"/>
    <cellStyle name="Output 12 3 4 5" xfId="28168"/>
    <cellStyle name="Output 12 3 4_Table 2A-1_EFT (Annual)" xfId="7576"/>
    <cellStyle name="Output 12 3 5" xfId="3887"/>
    <cellStyle name="Output 12 3 5 2" xfId="12219"/>
    <cellStyle name="Output 12 3 5 2 2" xfId="24244"/>
    <cellStyle name="Output 12 3 5 2 2 2" xfId="45430"/>
    <cellStyle name="Output 12 3 5 2 3" xfId="34826"/>
    <cellStyle name="Output 12 3 5 3" xfId="19131"/>
    <cellStyle name="Output 12 3 5 3 2" xfId="40318"/>
    <cellStyle name="Output 12 3 5 4" xfId="29575"/>
    <cellStyle name="Output 12 3 5_Table 2A-1_EFT (Annual)" xfId="15963"/>
    <cellStyle name="Output 12 3 6" xfId="9556"/>
    <cellStyle name="Output 12 3 6 2" xfId="21698"/>
    <cellStyle name="Output 12 3 6 2 2" xfId="42884"/>
    <cellStyle name="Output 12 3 6 3" xfId="32280"/>
    <cellStyle name="Output 12 3 7" xfId="16585"/>
    <cellStyle name="Output 12 3 7 2" xfId="37772"/>
    <cellStyle name="Output 12 3 8" xfId="26832"/>
    <cellStyle name="Output 12 3_Table 2A-1_EFT (Annual)" xfId="3337"/>
    <cellStyle name="Output 12 4" xfId="1139"/>
    <cellStyle name="Output 12 4 2" xfId="2409"/>
    <cellStyle name="Output 12 4 2 2" xfId="5970"/>
    <cellStyle name="Output 12 4 2 2 2" xfId="14164"/>
    <cellStyle name="Output 12 4 2 2 2 2" xfId="26136"/>
    <cellStyle name="Output 12 4 2 2 2 2 2" xfId="47322"/>
    <cellStyle name="Output 12 4 2 2 2 3" xfId="36718"/>
    <cellStyle name="Output 12 4 2 2 3" xfId="21023"/>
    <cellStyle name="Output 12 4 2 2 3 2" xfId="42210"/>
    <cellStyle name="Output 12 4 2 2 4" xfId="31626"/>
    <cellStyle name="Output 12 4 2 2_Table 2A-1_EFT (Annual)" xfId="15964"/>
    <cellStyle name="Output 12 4 2 3" xfId="11506"/>
    <cellStyle name="Output 12 4 2 3 2" xfId="23590"/>
    <cellStyle name="Output 12 4 2 3 2 2" xfId="44776"/>
    <cellStyle name="Output 12 4 2 3 3" xfId="34172"/>
    <cellStyle name="Output 12 4 2 4" xfId="18477"/>
    <cellStyle name="Output 12 4 2 4 2" xfId="39664"/>
    <cellStyle name="Output 12 4 2 5" xfId="28883"/>
    <cellStyle name="Output 12 4 2_Table 2A-1_EFT (Annual)" xfId="7577"/>
    <cellStyle name="Output 12 4 3" xfId="1812"/>
    <cellStyle name="Output 12 4 3 2" xfId="5373"/>
    <cellStyle name="Output 12 4 3 2 2" xfId="13588"/>
    <cellStyle name="Output 12 4 3 2 2 2" xfId="25576"/>
    <cellStyle name="Output 12 4 3 2 2 2 2" xfId="46762"/>
    <cellStyle name="Output 12 4 3 2 2 3" xfId="36158"/>
    <cellStyle name="Output 12 4 3 2 3" xfId="20463"/>
    <cellStyle name="Output 12 4 3 2 3 2" xfId="41650"/>
    <cellStyle name="Output 12 4 3 2 4" xfId="31030"/>
    <cellStyle name="Output 12 4 3 2_Table 2A-1_EFT (Annual)" xfId="15965"/>
    <cellStyle name="Output 12 4 3 3" xfId="10932"/>
    <cellStyle name="Output 12 4 3 3 2" xfId="23030"/>
    <cellStyle name="Output 12 4 3 3 2 2" xfId="44216"/>
    <cellStyle name="Output 12 4 3 3 3" xfId="33612"/>
    <cellStyle name="Output 12 4 3 4" xfId="17917"/>
    <cellStyle name="Output 12 4 3 4 2" xfId="39104"/>
    <cellStyle name="Output 12 4 3 5" xfId="28287"/>
    <cellStyle name="Output 12 4 3_Table 2A-1_EFT (Annual)" xfId="7578"/>
    <cellStyle name="Output 12 4 4" xfId="4700"/>
    <cellStyle name="Output 12 4 4 2" xfId="12960"/>
    <cellStyle name="Output 12 4 4 2 2" xfId="24966"/>
    <cellStyle name="Output 12 4 4 2 2 2" xfId="46152"/>
    <cellStyle name="Output 12 4 4 2 3" xfId="35548"/>
    <cellStyle name="Output 12 4 4 3" xfId="19853"/>
    <cellStyle name="Output 12 4 4 3 2" xfId="41040"/>
    <cellStyle name="Output 12 4 4 4" xfId="30357"/>
    <cellStyle name="Output 12 4 4_Table 2A-1_EFT (Annual)" xfId="15966"/>
    <cellStyle name="Output 12 4 5" xfId="10304"/>
    <cellStyle name="Output 12 4 5 2" xfId="22420"/>
    <cellStyle name="Output 12 4 5 2 2" xfId="43606"/>
    <cellStyle name="Output 12 4 5 3" xfId="33002"/>
    <cellStyle name="Output 12 4 6" xfId="17307"/>
    <cellStyle name="Output 12 4 6 2" xfId="38494"/>
    <cellStyle name="Output 12 4 7" xfId="27614"/>
    <cellStyle name="Output 12 4_Table 2A-1_EFT (Annual)" xfId="3339"/>
    <cellStyle name="Output 12 5" xfId="1810"/>
    <cellStyle name="Output 12 5 2" xfId="5371"/>
    <cellStyle name="Output 12 5 2 2" xfId="13586"/>
    <cellStyle name="Output 12 5 2 2 2" xfId="25574"/>
    <cellStyle name="Output 12 5 2 2 2 2" xfId="46760"/>
    <cellStyle name="Output 12 5 2 2 3" xfId="36156"/>
    <cellStyle name="Output 12 5 2 3" xfId="20461"/>
    <cellStyle name="Output 12 5 2 3 2" xfId="41648"/>
    <cellStyle name="Output 12 5 2 4" xfId="31028"/>
    <cellStyle name="Output 12 5 2_Table 2A-1_EFT (Annual)" xfId="15967"/>
    <cellStyle name="Output 12 5 3" xfId="10930"/>
    <cellStyle name="Output 12 5 3 2" xfId="23028"/>
    <cellStyle name="Output 12 5 3 2 2" xfId="44214"/>
    <cellStyle name="Output 12 5 3 3" xfId="33610"/>
    <cellStyle name="Output 12 5 4" xfId="17915"/>
    <cellStyle name="Output 12 5 4 2" xfId="39102"/>
    <cellStyle name="Output 12 5 5" xfId="28285"/>
    <cellStyle name="Output 12 5_Table 2A-1_EFT (Annual)" xfId="7579"/>
    <cellStyle name="Output 12 6" xfId="1636"/>
    <cellStyle name="Output 12 6 2" xfId="5197"/>
    <cellStyle name="Output 12 6 2 2" xfId="13449"/>
    <cellStyle name="Output 12 6 2 2 2" xfId="25449"/>
    <cellStyle name="Output 12 6 2 2 2 2" xfId="46635"/>
    <cellStyle name="Output 12 6 2 2 3" xfId="36031"/>
    <cellStyle name="Output 12 6 2 3" xfId="20336"/>
    <cellStyle name="Output 12 6 2 3 2" xfId="41523"/>
    <cellStyle name="Output 12 6 2 4" xfId="30854"/>
    <cellStyle name="Output 12 6 2_Table 2A-1_EFT (Annual)" xfId="15968"/>
    <cellStyle name="Output 12 6 3" xfId="10793"/>
    <cellStyle name="Output 12 6 3 2" xfId="22903"/>
    <cellStyle name="Output 12 6 3 2 2" xfId="44089"/>
    <cellStyle name="Output 12 6 3 3" xfId="33485"/>
    <cellStyle name="Output 12 6 4" xfId="17790"/>
    <cellStyle name="Output 12 6 4 2" xfId="38977"/>
    <cellStyle name="Output 12 6 5" xfId="28111"/>
    <cellStyle name="Output 12 6_Table 2A-1_EFT (Annual)" xfId="7580"/>
    <cellStyle name="Output 12 7" xfId="3674"/>
    <cellStyle name="Output 12 7 2" xfId="12047"/>
    <cellStyle name="Output 12 7 2 2" xfId="24078"/>
    <cellStyle name="Output 12 7 2 2 2" xfId="45264"/>
    <cellStyle name="Output 12 7 2 3" xfId="34660"/>
    <cellStyle name="Output 12 7 3" xfId="18965"/>
    <cellStyle name="Output 12 7 3 2" xfId="40152"/>
    <cellStyle name="Output 12 7 4" xfId="29384"/>
    <cellStyle name="Output 12 7_Table 2A-1_EFT (Annual)" xfId="15969"/>
    <cellStyle name="Output 12 8" xfId="9364"/>
    <cellStyle name="Output 12 8 2" xfId="21532"/>
    <cellStyle name="Output 12 8 2 2" xfId="42718"/>
    <cellStyle name="Output 12 8 3" xfId="32114"/>
    <cellStyle name="Output 12 9" xfId="16419"/>
    <cellStyle name="Output 12 9 2" xfId="37606"/>
    <cellStyle name="Output 12_Table 2A-1_EFT (Annual)" xfId="3334"/>
    <cellStyle name="Output 13" xfId="151"/>
    <cellStyle name="Output 13 10" xfId="26706"/>
    <cellStyle name="Output 13 2" xfId="544"/>
    <cellStyle name="Output 13 2 2" xfId="1521"/>
    <cellStyle name="Output 13 2 2 2" xfId="2791"/>
    <cellStyle name="Output 13 2 2 2 2" xfId="6352"/>
    <cellStyle name="Output 13 2 2 2 2 2" xfId="14546"/>
    <cellStyle name="Output 13 2 2 2 2 2 2" xfId="26518"/>
    <cellStyle name="Output 13 2 2 2 2 2 2 2" xfId="47704"/>
    <cellStyle name="Output 13 2 2 2 2 2 3" xfId="37100"/>
    <cellStyle name="Output 13 2 2 2 2 3" xfId="21405"/>
    <cellStyle name="Output 13 2 2 2 2 3 2" xfId="42592"/>
    <cellStyle name="Output 13 2 2 2 2 4" xfId="32008"/>
    <cellStyle name="Output 13 2 2 2 2_Table 2A-1_EFT (Annual)" xfId="7582"/>
    <cellStyle name="Output 13 2 2 2 3" xfId="11888"/>
    <cellStyle name="Output 13 2 2 2 3 2" xfId="23972"/>
    <cellStyle name="Output 13 2 2 2 3 2 2" xfId="45158"/>
    <cellStyle name="Output 13 2 2 2 3 3" xfId="34554"/>
    <cellStyle name="Output 13 2 2 2 4" xfId="18859"/>
    <cellStyle name="Output 13 2 2 2 4 2" xfId="40046"/>
    <cellStyle name="Output 13 2 2 2 5" xfId="29265"/>
    <cellStyle name="Output 13 2 2 2_Table 2A-1_EFT (Annual)" xfId="7581"/>
    <cellStyle name="Output 13 2 2 3" xfId="1921"/>
    <cellStyle name="Output 13 2 2 3 2" xfId="5482"/>
    <cellStyle name="Output 13 2 2 3 2 2" xfId="13697"/>
    <cellStyle name="Output 13 2 2 3 2 2 2" xfId="25685"/>
    <cellStyle name="Output 13 2 2 3 2 2 2 2" xfId="46871"/>
    <cellStyle name="Output 13 2 2 3 2 2 3" xfId="36267"/>
    <cellStyle name="Output 13 2 2 3 2 3" xfId="20572"/>
    <cellStyle name="Output 13 2 2 3 2 3 2" xfId="41759"/>
    <cellStyle name="Output 13 2 2 3 2 4" xfId="31139"/>
    <cellStyle name="Output 13 2 2 3 2_Table 2A-1_EFT (Annual)" xfId="7584"/>
    <cellStyle name="Output 13 2 2 3 3" xfId="11041"/>
    <cellStyle name="Output 13 2 2 3 3 2" xfId="23139"/>
    <cellStyle name="Output 13 2 2 3 3 2 2" xfId="44325"/>
    <cellStyle name="Output 13 2 2 3 3 3" xfId="33721"/>
    <cellStyle name="Output 13 2 2 3 4" xfId="18026"/>
    <cellStyle name="Output 13 2 2 3 4 2" xfId="39213"/>
    <cellStyle name="Output 13 2 2 3 5" xfId="28396"/>
    <cellStyle name="Output 13 2 2 3_Table 2A-1_EFT (Annual)" xfId="7583"/>
    <cellStyle name="Output 13 2 2 4" xfId="5082"/>
    <cellStyle name="Output 13 2 2 4 2" xfId="13342"/>
    <cellStyle name="Output 13 2 2 4 2 2" xfId="25348"/>
    <cellStyle name="Output 13 2 2 4 2 2 2" xfId="46534"/>
    <cellStyle name="Output 13 2 2 4 2 3" xfId="35930"/>
    <cellStyle name="Output 13 2 2 4 3" xfId="20235"/>
    <cellStyle name="Output 13 2 2 4 3 2" xfId="41422"/>
    <cellStyle name="Output 13 2 2 4 4" xfId="30739"/>
    <cellStyle name="Output 13 2 2 4_Table 2A-1_EFT (Annual)" xfId="7585"/>
    <cellStyle name="Output 13 2 2 5" xfId="10686"/>
    <cellStyle name="Output 13 2 2 5 2" xfId="22802"/>
    <cellStyle name="Output 13 2 2 5 2 2" xfId="43988"/>
    <cellStyle name="Output 13 2 2 5 3" xfId="33384"/>
    <cellStyle name="Output 13 2 2 6" xfId="17689"/>
    <cellStyle name="Output 13 2 2 6 2" xfId="38876"/>
    <cellStyle name="Output 13 2 2 7" xfId="27996"/>
    <cellStyle name="Output 13 2 2_Table 2A-1_EFT (Annual)" xfId="3342"/>
    <cellStyle name="Output 13 2 3" xfId="2260"/>
    <cellStyle name="Output 13 2 3 2" xfId="5821"/>
    <cellStyle name="Output 13 2 3 2 2" xfId="14036"/>
    <cellStyle name="Output 13 2 3 2 2 2" xfId="26024"/>
    <cellStyle name="Output 13 2 3 2 2 2 2" xfId="47210"/>
    <cellStyle name="Output 13 2 3 2 2 3" xfId="36606"/>
    <cellStyle name="Output 13 2 3 2 3" xfId="20911"/>
    <cellStyle name="Output 13 2 3 2 3 2" xfId="42098"/>
    <cellStyle name="Output 13 2 3 2 4" xfId="31478"/>
    <cellStyle name="Output 13 2 3 2_Table 2A-1_EFT (Annual)" xfId="7587"/>
    <cellStyle name="Output 13 2 3 3" xfId="11380"/>
    <cellStyle name="Output 13 2 3 3 2" xfId="23478"/>
    <cellStyle name="Output 13 2 3 3 2 2" xfId="44664"/>
    <cellStyle name="Output 13 2 3 3 3" xfId="34060"/>
    <cellStyle name="Output 13 2 3 4" xfId="18365"/>
    <cellStyle name="Output 13 2 3 4 2" xfId="39552"/>
    <cellStyle name="Output 13 2 3 5" xfId="28735"/>
    <cellStyle name="Output 13 2 3_Table 2A-1_EFT (Annual)" xfId="7586"/>
    <cellStyle name="Output 13 2 4" xfId="1746"/>
    <cellStyle name="Output 13 2 4 2" xfId="5307"/>
    <cellStyle name="Output 13 2 4 2 2" xfId="13532"/>
    <cellStyle name="Output 13 2 4 2 2 2" xfId="25523"/>
    <cellStyle name="Output 13 2 4 2 2 2 2" xfId="46709"/>
    <cellStyle name="Output 13 2 4 2 2 3" xfId="36105"/>
    <cellStyle name="Output 13 2 4 2 3" xfId="20410"/>
    <cellStyle name="Output 13 2 4 2 3 2" xfId="41597"/>
    <cellStyle name="Output 13 2 4 2 4" xfId="30964"/>
    <cellStyle name="Output 13 2 4 2_Table 2A-1_EFT (Annual)" xfId="7589"/>
    <cellStyle name="Output 13 2 4 3" xfId="10875"/>
    <cellStyle name="Output 13 2 4 3 2" xfId="22977"/>
    <cellStyle name="Output 13 2 4 3 2 2" xfId="44163"/>
    <cellStyle name="Output 13 2 4 3 3" xfId="33559"/>
    <cellStyle name="Output 13 2 4 4" xfId="17864"/>
    <cellStyle name="Output 13 2 4 4 2" xfId="39051"/>
    <cellStyle name="Output 13 2 4 5" xfId="28221"/>
    <cellStyle name="Output 13 2 4_Table 2A-1_EFT (Annual)" xfId="7588"/>
    <cellStyle name="Output 13 2 5" xfId="4114"/>
    <cellStyle name="Output 13 2 5 2" xfId="12438"/>
    <cellStyle name="Output 13 2 5 2 2" xfId="24460"/>
    <cellStyle name="Output 13 2 5 2 2 2" xfId="45646"/>
    <cellStyle name="Output 13 2 5 2 3" xfId="35042"/>
    <cellStyle name="Output 13 2 5 3" xfId="19347"/>
    <cellStyle name="Output 13 2 5 3 2" xfId="40534"/>
    <cellStyle name="Output 13 2 5 4" xfId="29802"/>
    <cellStyle name="Output 13 2 5_Table 2A-1_EFT (Annual)" xfId="7590"/>
    <cellStyle name="Output 13 2 6" xfId="9777"/>
    <cellStyle name="Output 13 2 6 2" xfId="21914"/>
    <cellStyle name="Output 13 2 6 2 2" xfId="43100"/>
    <cellStyle name="Output 13 2 6 3" xfId="32496"/>
    <cellStyle name="Output 13 2 7" xfId="16801"/>
    <cellStyle name="Output 13 2 7 2" xfId="37988"/>
    <cellStyle name="Output 13 2 8" xfId="27059"/>
    <cellStyle name="Output 13 2_Table 2A-1_EFT (Annual)" xfId="3341"/>
    <cellStyle name="Output 13 3" xfId="382"/>
    <cellStyle name="Output 13 3 2" xfId="1365"/>
    <cellStyle name="Output 13 3 2 2" xfId="2635"/>
    <cellStyle name="Output 13 3 2 2 2" xfId="6196"/>
    <cellStyle name="Output 13 3 2 2 2 2" xfId="14390"/>
    <cellStyle name="Output 13 3 2 2 2 2 2" xfId="26362"/>
    <cellStyle name="Output 13 3 2 2 2 2 2 2" xfId="47548"/>
    <cellStyle name="Output 13 3 2 2 2 2 3" xfId="36944"/>
    <cellStyle name="Output 13 3 2 2 2 3" xfId="21249"/>
    <cellStyle name="Output 13 3 2 2 2 3 2" xfId="42436"/>
    <cellStyle name="Output 13 3 2 2 2 4" xfId="31852"/>
    <cellStyle name="Output 13 3 2 2 2_Table 2A-1_EFT (Annual)" xfId="7592"/>
    <cellStyle name="Output 13 3 2 2 3" xfId="11732"/>
    <cellStyle name="Output 13 3 2 2 3 2" xfId="23816"/>
    <cellStyle name="Output 13 3 2 2 3 2 2" xfId="45002"/>
    <cellStyle name="Output 13 3 2 2 3 3" xfId="34398"/>
    <cellStyle name="Output 13 3 2 2 4" xfId="18703"/>
    <cellStyle name="Output 13 3 2 2 4 2" xfId="39890"/>
    <cellStyle name="Output 13 3 2 2 5" xfId="29109"/>
    <cellStyle name="Output 13 3 2 2_Table 2A-1_EFT (Annual)" xfId="7591"/>
    <cellStyle name="Output 13 3 2 3" xfId="1890"/>
    <cellStyle name="Output 13 3 2 3 2" xfId="5451"/>
    <cellStyle name="Output 13 3 2 3 2 2" xfId="13666"/>
    <cellStyle name="Output 13 3 2 3 2 2 2" xfId="25654"/>
    <cellStyle name="Output 13 3 2 3 2 2 2 2" xfId="46840"/>
    <cellStyle name="Output 13 3 2 3 2 2 3" xfId="36236"/>
    <cellStyle name="Output 13 3 2 3 2 3" xfId="20541"/>
    <cellStyle name="Output 13 3 2 3 2 3 2" xfId="41728"/>
    <cellStyle name="Output 13 3 2 3 2 4" xfId="31108"/>
    <cellStyle name="Output 13 3 2 3 2_Table 2A-1_EFT (Annual)" xfId="7594"/>
    <cellStyle name="Output 13 3 2 3 3" xfId="11010"/>
    <cellStyle name="Output 13 3 2 3 3 2" xfId="23108"/>
    <cellStyle name="Output 13 3 2 3 3 2 2" xfId="44294"/>
    <cellStyle name="Output 13 3 2 3 3 3" xfId="33690"/>
    <cellStyle name="Output 13 3 2 3 4" xfId="17995"/>
    <cellStyle name="Output 13 3 2 3 4 2" xfId="39182"/>
    <cellStyle name="Output 13 3 2 3 5" xfId="28365"/>
    <cellStyle name="Output 13 3 2 3_Table 2A-1_EFT (Annual)" xfId="7593"/>
    <cellStyle name="Output 13 3 2 4" xfId="4926"/>
    <cellStyle name="Output 13 3 2 4 2" xfId="13186"/>
    <cellStyle name="Output 13 3 2 4 2 2" xfId="25192"/>
    <cellStyle name="Output 13 3 2 4 2 2 2" xfId="46378"/>
    <cellStyle name="Output 13 3 2 4 2 3" xfId="35774"/>
    <cellStyle name="Output 13 3 2 4 3" xfId="20079"/>
    <cellStyle name="Output 13 3 2 4 3 2" xfId="41266"/>
    <cellStyle name="Output 13 3 2 4 4" xfId="30583"/>
    <cellStyle name="Output 13 3 2 4_Table 2A-1_EFT (Annual)" xfId="7595"/>
    <cellStyle name="Output 13 3 2 5" xfId="10530"/>
    <cellStyle name="Output 13 3 2 5 2" xfId="22646"/>
    <cellStyle name="Output 13 3 2 5 2 2" xfId="43832"/>
    <cellStyle name="Output 13 3 2 5 3" xfId="33228"/>
    <cellStyle name="Output 13 3 2 6" xfId="17533"/>
    <cellStyle name="Output 13 3 2 6 2" xfId="38720"/>
    <cellStyle name="Output 13 3 2 7" xfId="27840"/>
    <cellStyle name="Output 13 3 2_Table 2A-1_EFT (Annual)" xfId="3344"/>
    <cellStyle name="Output 13 3 3" xfId="2104"/>
    <cellStyle name="Output 13 3 3 2" xfId="5665"/>
    <cellStyle name="Output 13 3 3 2 2" xfId="13880"/>
    <cellStyle name="Output 13 3 3 2 2 2" xfId="25868"/>
    <cellStyle name="Output 13 3 3 2 2 2 2" xfId="47054"/>
    <cellStyle name="Output 13 3 3 2 2 3" xfId="36450"/>
    <cellStyle name="Output 13 3 3 2 3" xfId="20755"/>
    <cellStyle name="Output 13 3 3 2 3 2" xfId="41942"/>
    <cellStyle name="Output 13 3 3 2 4" xfId="31322"/>
    <cellStyle name="Output 13 3 3 2_Table 2A-1_EFT (Annual)" xfId="7597"/>
    <cellStyle name="Output 13 3 3 3" xfId="11224"/>
    <cellStyle name="Output 13 3 3 3 2" xfId="23322"/>
    <cellStyle name="Output 13 3 3 3 2 2" xfId="44508"/>
    <cellStyle name="Output 13 3 3 3 3" xfId="33904"/>
    <cellStyle name="Output 13 3 3 4" xfId="18209"/>
    <cellStyle name="Output 13 3 3 4 2" xfId="39396"/>
    <cellStyle name="Output 13 3 3 5" xfId="28579"/>
    <cellStyle name="Output 13 3 3_Table 2A-1_EFT (Annual)" xfId="7596"/>
    <cellStyle name="Output 13 3 4" xfId="1710"/>
    <cellStyle name="Output 13 3 4 2" xfId="5271"/>
    <cellStyle name="Output 13 3 4 2 2" xfId="13500"/>
    <cellStyle name="Output 13 3 4 2 2 2" xfId="25493"/>
    <cellStyle name="Output 13 3 4 2 2 2 2" xfId="46679"/>
    <cellStyle name="Output 13 3 4 2 2 3" xfId="36075"/>
    <cellStyle name="Output 13 3 4 2 3" xfId="20380"/>
    <cellStyle name="Output 13 3 4 2 3 2" xfId="41567"/>
    <cellStyle name="Output 13 3 4 2 4" xfId="30928"/>
    <cellStyle name="Output 13 3 4 2_Table 2A-1_EFT (Annual)" xfId="7599"/>
    <cellStyle name="Output 13 3 4 3" xfId="10844"/>
    <cellStyle name="Output 13 3 4 3 2" xfId="22947"/>
    <cellStyle name="Output 13 3 4 3 2 2" xfId="44133"/>
    <cellStyle name="Output 13 3 4 3 3" xfId="33529"/>
    <cellStyle name="Output 13 3 4 4" xfId="17834"/>
    <cellStyle name="Output 13 3 4 4 2" xfId="39021"/>
    <cellStyle name="Output 13 3 4 5" xfId="28185"/>
    <cellStyle name="Output 13 3 4_Table 2A-1_EFT (Annual)" xfId="7598"/>
    <cellStyle name="Output 13 3 5" xfId="3952"/>
    <cellStyle name="Output 13 3 5 2" xfId="12280"/>
    <cellStyle name="Output 13 3 5 2 2" xfId="24304"/>
    <cellStyle name="Output 13 3 5 2 2 2" xfId="45490"/>
    <cellStyle name="Output 13 3 5 2 3" xfId="34886"/>
    <cellStyle name="Output 13 3 5 3" xfId="19191"/>
    <cellStyle name="Output 13 3 5 3 2" xfId="40378"/>
    <cellStyle name="Output 13 3 5 4" xfId="29640"/>
    <cellStyle name="Output 13 3 5_Table 2A-1_EFT (Annual)" xfId="7600"/>
    <cellStyle name="Output 13 3 6" xfId="9617"/>
    <cellStyle name="Output 13 3 6 2" xfId="21758"/>
    <cellStyle name="Output 13 3 6 2 2" xfId="42944"/>
    <cellStyle name="Output 13 3 6 3" xfId="32340"/>
    <cellStyle name="Output 13 3 7" xfId="16645"/>
    <cellStyle name="Output 13 3 7 2" xfId="37832"/>
    <cellStyle name="Output 13 3 8" xfId="26897"/>
    <cellStyle name="Output 13 3_Table 2A-1_EFT (Annual)" xfId="3343"/>
    <cellStyle name="Output 13 4" xfId="1199"/>
    <cellStyle name="Output 13 4 2" xfId="2469"/>
    <cellStyle name="Output 13 4 2 2" xfId="6030"/>
    <cellStyle name="Output 13 4 2 2 2" xfId="14224"/>
    <cellStyle name="Output 13 4 2 2 2 2" xfId="26196"/>
    <cellStyle name="Output 13 4 2 2 2 2 2" xfId="47382"/>
    <cellStyle name="Output 13 4 2 2 2 3" xfId="36778"/>
    <cellStyle name="Output 13 4 2 2 3" xfId="21083"/>
    <cellStyle name="Output 13 4 2 2 3 2" xfId="42270"/>
    <cellStyle name="Output 13 4 2 2 4" xfId="31686"/>
    <cellStyle name="Output 13 4 2 2_Table 2A-1_EFT (Annual)" xfId="7602"/>
    <cellStyle name="Output 13 4 2 3" xfId="11566"/>
    <cellStyle name="Output 13 4 2 3 2" xfId="23650"/>
    <cellStyle name="Output 13 4 2 3 2 2" xfId="44836"/>
    <cellStyle name="Output 13 4 2 3 3" xfId="34232"/>
    <cellStyle name="Output 13 4 2 4" xfId="18537"/>
    <cellStyle name="Output 13 4 2 4 2" xfId="39724"/>
    <cellStyle name="Output 13 4 2 5" xfId="28943"/>
    <cellStyle name="Output 13 4 2_Table 2A-1_EFT (Annual)" xfId="7601"/>
    <cellStyle name="Output 13 4 3" xfId="1826"/>
    <cellStyle name="Output 13 4 3 2" xfId="5387"/>
    <cellStyle name="Output 13 4 3 2 2" xfId="13602"/>
    <cellStyle name="Output 13 4 3 2 2 2" xfId="25590"/>
    <cellStyle name="Output 13 4 3 2 2 2 2" xfId="46776"/>
    <cellStyle name="Output 13 4 3 2 2 3" xfId="36172"/>
    <cellStyle name="Output 13 4 3 2 3" xfId="20477"/>
    <cellStyle name="Output 13 4 3 2 3 2" xfId="41664"/>
    <cellStyle name="Output 13 4 3 2 4" xfId="31044"/>
    <cellStyle name="Output 13 4 3 2_Table 2A-1_EFT (Annual)" xfId="7604"/>
    <cellStyle name="Output 13 4 3 3" xfId="10946"/>
    <cellStyle name="Output 13 4 3 3 2" xfId="23044"/>
    <cellStyle name="Output 13 4 3 3 2 2" xfId="44230"/>
    <cellStyle name="Output 13 4 3 3 3" xfId="33626"/>
    <cellStyle name="Output 13 4 3 4" xfId="17931"/>
    <cellStyle name="Output 13 4 3 4 2" xfId="39118"/>
    <cellStyle name="Output 13 4 3 5" xfId="28301"/>
    <cellStyle name="Output 13 4 3_Table 2A-1_EFT (Annual)" xfId="7603"/>
    <cellStyle name="Output 13 4 4" xfId="4760"/>
    <cellStyle name="Output 13 4 4 2" xfId="13020"/>
    <cellStyle name="Output 13 4 4 2 2" xfId="25026"/>
    <cellStyle name="Output 13 4 4 2 2 2" xfId="46212"/>
    <cellStyle name="Output 13 4 4 2 3" xfId="35608"/>
    <cellStyle name="Output 13 4 4 3" xfId="19913"/>
    <cellStyle name="Output 13 4 4 3 2" xfId="41100"/>
    <cellStyle name="Output 13 4 4 4" xfId="30417"/>
    <cellStyle name="Output 13 4 4_Table 2A-1_EFT (Annual)" xfId="7605"/>
    <cellStyle name="Output 13 4 5" xfId="10364"/>
    <cellStyle name="Output 13 4 5 2" xfId="22480"/>
    <cellStyle name="Output 13 4 5 2 2" xfId="43666"/>
    <cellStyle name="Output 13 4 5 3" xfId="33062"/>
    <cellStyle name="Output 13 4 6" xfId="17367"/>
    <cellStyle name="Output 13 4 6 2" xfId="38554"/>
    <cellStyle name="Output 13 4 7" xfId="27674"/>
    <cellStyle name="Output 13 4_Table 2A-1_EFT (Annual)" xfId="3345"/>
    <cellStyle name="Output 13 5" xfId="1781"/>
    <cellStyle name="Output 13 5 2" xfId="5342"/>
    <cellStyle name="Output 13 5 2 2" xfId="13557"/>
    <cellStyle name="Output 13 5 2 2 2" xfId="25545"/>
    <cellStyle name="Output 13 5 2 2 2 2" xfId="46731"/>
    <cellStyle name="Output 13 5 2 2 3" xfId="36127"/>
    <cellStyle name="Output 13 5 2 3" xfId="20432"/>
    <cellStyle name="Output 13 5 2 3 2" xfId="41619"/>
    <cellStyle name="Output 13 5 2 4" xfId="30999"/>
    <cellStyle name="Output 13 5 2_Table 2A-1_EFT (Annual)" xfId="7607"/>
    <cellStyle name="Output 13 5 3" xfId="10901"/>
    <cellStyle name="Output 13 5 3 2" xfId="22999"/>
    <cellStyle name="Output 13 5 3 2 2" xfId="44185"/>
    <cellStyle name="Output 13 5 3 3" xfId="33581"/>
    <cellStyle name="Output 13 5 4" xfId="17886"/>
    <cellStyle name="Output 13 5 4 2" xfId="39073"/>
    <cellStyle name="Output 13 5 5" xfId="28256"/>
    <cellStyle name="Output 13 5_Table 2A-1_EFT (Annual)" xfId="7606"/>
    <cellStyle name="Output 13 6" xfId="1653"/>
    <cellStyle name="Output 13 6 2" xfId="5214"/>
    <cellStyle name="Output 13 6 2 2" xfId="13461"/>
    <cellStyle name="Output 13 6 2 2 2" xfId="25461"/>
    <cellStyle name="Output 13 6 2 2 2 2" xfId="46647"/>
    <cellStyle name="Output 13 6 2 2 3" xfId="36043"/>
    <cellStyle name="Output 13 6 2 3" xfId="20348"/>
    <cellStyle name="Output 13 6 2 3 2" xfId="41535"/>
    <cellStyle name="Output 13 6 2 4" xfId="30871"/>
    <cellStyle name="Output 13 6 2_Table 2A-1_EFT (Annual)" xfId="7609"/>
    <cellStyle name="Output 13 6 3" xfId="10806"/>
    <cellStyle name="Output 13 6 3 2" xfId="22915"/>
    <cellStyle name="Output 13 6 3 2 2" xfId="44101"/>
    <cellStyle name="Output 13 6 3 3" xfId="33497"/>
    <cellStyle name="Output 13 6 4" xfId="17802"/>
    <cellStyle name="Output 13 6 4 2" xfId="38989"/>
    <cellStyle name="Output 13 6 5" xfId="28128"/>
    <cellStyle name="Output 13 6_Table 2A-1_EFT (Annual)" xfId="7608"/>
    <cellStyle name="Output 13 7" xfId="3740"/>
    <cellStyle name="Output 13 7 2" xfId="12108"/>
    <cellStyle name="Output 13 7 2 2" xfId="24138"/>
    <cellStyle name="Output 13 7 2 2 2" xfId="45324"/>
    <cellStyle name="Output 13 7 2 3" xfId="34720"/>
    <cellStyle name="Output 13 7 3" xfId="19025"/>
    <cellStyle name="Output 13 7 3 2" xfId="40212"/>
    <cellStyle name="Output 13 7 4" xfId="29449"/>
    <cellStyle name="Output 13 7_Table 2A-1_EFT (Annual)" xfId="7610"/>
    <cellStyle name="Output 13 8" xfId="9427"/>
    <cellStyle name="Output 13 8 2" xfId="21592"/>
    <cellStyle name="Output 13 8 2 2" xfId="42778"/>
    <cellStyle name="Output 13 8 3" xfId="32174"/>
    <cellStyle name="Output 13 9" xfId="16479"/>
    <cellStyle name="Output 13 9 2" xfId="37666"/>
    <cellStyle name="Output 13_Table 2A-1_EFT (Annual)" xfId="3340"/>
    <cellStyle name="Output 14" xfId="145"/>
    <cellStyle name="Output 14 10" xfId="26700"/>
    <cellStyle name="Output 14 2" xfId="538"/>
    <cellStyle name="Output 14 2 2" xfId="1515"/>
    <cellStyle name="Output 14 2 2 2" xfId="2785"/>
    <cellStyle name="Output 14 2 2 2 2" xfId="6346"/>
    <cellStyle name="Output 14 2 2 2 2 2" xfId="14540"/>
    <cellStyle name="Output 14 2 2 2 2 2 2" xfId="26512"/>
    <cellStyle name="Output 14 2 2 2 2 2 2 2" xfId="47698"/>
    <cellStyle name="Output 14 2 2 2 2 2 3" xfId="37094"/>
    <cellStyle name="Output 14 2 2 2 2 3" xfId="21399"/>
    <cellStyle name="Output 14 2 2 2 2 3 2" xfId="42586"/>
    <cellStyle name="Output 14 2 2 2 2 4" xfId="32002"/>
    <cellStyle name="Output 14 2 2 2 2_Table 2A-1_EFT (Annual)" xfId="7612"/>
    <cellStyle name="Output 14 2 2 2 3" xfId="11882"/>
    <cellStyle name="Output 14 2 2 2 3 2" xfId="23966"/>
    <cellStyle name="Output 14 2 2 2 3 2 2" xfId="45152"/>
    <cellStyle name="Output 14 2 2 2 3 3" xfId="34548"/>
    <cellStyle name="Output 14 2 2 2 4" xfId="18853"/>
    <cellStyle name="Output 14 2 2 2 4 2" xfId="40040"/>
    <cellStyle name="Output 14 2 2 2 5" xfId="29259"/>
    <cellStyle name="Output 14 2 2 2_Table 2A-1_EFT (Annual)" xfId="7611"/>
    <cellStyle name="Output 14 2 2 3" xfId="1920"/>
    <cellStyle name="Output 14 2 2 3 2" xfId="5481"/>
    <cellStyle name="Output 14 2 2 3 2 2" xfId="13696"/>
    <cellStyle name="Output 14 2 2 3 2 2 2" xfId="25684"/>
    <cellStyle name="Output 14 2 2 3 2 2 2 2" xfId="46870"/>
    <cellStyle name="Output 14 2 2 3 2 2 3" xfId="36266"/>
    <cellStyle name="Output 14 2 2 3 2 3" xfId="20571"/>
    <cellStyle name="Output 14 2 2 3 2 3 2" xfId="41758"/>
    <cellStyle name="Output 14 2 2 3 2 4" xfId="31138"/>
    <cellStyle name="Output 14 2 2 3 2_Table 2A-1_EFT (Annual)" xfId="7614"/>
    <cellStyle name="Output 14 2 2 3 3" xfId="11040"/>
    <cellStyle name="Output 14 2 2 3 3 2" xfId="23138"/>
    <cellStyle name="Output 14 2 2 3 3 2 2" xfId="44324"/>
    <cellStyle name="Output 14 2 2 3 3 3" xfId="33720"/>
    <cellStyle name="Output 14 2 2 3 4" xfId="18025"/>
    <cellStyle name="Output 14 2 2 3 4 2" xfId="39212"/>
    <cellStyle name="Output 14 2 2 3 5" xfId="28395"/>
    <cellStyle name="Output 14 2 2 3_Table 2A-1_EFT (Annual)" xfId="7613"/>
    <cellStyle name="Output 14 2 2 4" xfId="5076"/>
    <cellStyle name="Output 14 2 2 4 2" xfId="13336"/>
    <cellStyle name="Output 14 2 2 4 2 2" xfId="25342"/>
    <cellStyle name="Output 14 2 2 4 2 2 2" xfId="46528"/>
    <cellStyle name="Output 14 2 2 4 2 3" xfId="35924"/>
    <cellStyle name="Output 14 2 2 4 3" xfId="20229"/>
    <cellStyle name="Output 14 2 2 4 3 2" xfId="41416"/>
    <cellStyle name="Output 14 2 2 4 4" xfId="30733"/>
    <cellStyle name="Output 14 2 2 4_Table 2A-1_EFT (Annual)" xfId="7615"/>
    <cellStyle name="Output 14 2 2 5" xfId="10680"/>
    <cellStyle name="Output 14 2 2 5 2" xfId="22796"/>
    <cellStyle name="Output 14 2 2 5 2 2" xfId="43982"/>
    <cellStyle name="Output 14 2 2 5 3" xfId="33378"/>
    <cellStyle name="Output 14 2 2 6" xfId="17683"/>
    <cellStyle name="Output 14 2 2 6 2" xfId="38870"/>
    <cellStyle name="Output 14 2 2 7" xfId="27990"/>
    <cellStyle name="Output 14 2 2_Table 2A-1_EFT (Annual)" xfId="3348"/>
    <cellStyle name="Output 14 2 3" xfId="2254"/>
    <cellStyle name="Output 14 2 3 2" xfId="5815"/>
    <cellStyle name="Output 14 2 3 2 2" xfId="14030"/>
    <cellStyle name="Output 14 2 3 2 2 2" xfId="26018"/>
    <cellStyle name="Output 14 2 3 2 2 2 2" xfId="47204"/>
    <cellStyle name="Output 14 2 3 2 2 3" xfId="36600"/>
    <cellStyle name="Output 14 2 3 2 3" xfId="20905"/>
    <cellStyle name="Output 14 2 3 2 3 2" xfId="42092"/>
    <cellStyle name="Output 14 2 3 2 4" xfId="31472"/>
    <cellStyle name="Output 14 2 3 2_Table 2A-1_EFT (Annual)" xfId="7617"/>
    <cellStyle name="Output 14 2 3 3" xfId="11374"/>
    <cellStyle name="Output 14 2 3 3 2" xfId="23472"/>
    <cellStyle name="Output 14 2 3 3 2 2" xfId="44658"/>
    <cellStyle name="Output 14 2 3 3 3" xfId="34054"/>
    <cellStyle name="Output 14 2 3 4" xfId="18359"/>
    <cellStyle name="Output 14 2 3 4 2" xfId="39546"/>
    <cellStyle name="Output 14 2 3 5" xfId="28729"/>
    <cellStyle name="Output 14 2 3_Table 2A-1_EFT (Annual)" xfId="7616"/>
    <cellStyle name="Output 14 2 4" xfId="1745"/>
    <cellStyle name="Output 14 2 4 2" xfId="5306"/>
    <cellStyle name="Output 14 2 4 2 2" xfId="13531"/>
    <cellStyle name="Output 14 2 4 2 2 2" xfId="25522"/>
    <cellStyle name="Output 14 2 4 2 2 2 2" xfId="46708"/>
    <cellStyle name="Output 14 2 4 2 2 3" xfId="36104"/>
    <cellStyle name="Output 14 2 4 2 3" xfId="20409"/>
    <cellStyle name="Output 14 2 4 2 3 2" xfId="41596"/>
    <cellStyle name="Output 14 2 4 2 4" xfId="30963"/>
    <cellStyle name="Output 14 2 4 2_Table 2A-1_EFT (Annual)" xfId="7619"/>
    <cellStyle name="Output 14 2 4 3" xfId="10874"/>
    <cellStyle name="Output 14 2 4 3 2" xfId="22976"/>
    <cellStyle name="Output 14 2 4 3 2 2" xfId="44162"/>
    <cellStyle name="Output 14 2 4 3 3" xfId="33558"/>
    <cellStyle name="Output 14 2 4 4" xfId="17863"/>
    <cellStyle name="Output 14 2 4 4 2" xfId="39050"/>
    <cellStyle name="Output 14 2 4 5" xfId="28220"/>
    <cellStyle name="Output 14 2 4_Table 2A-1_EFT (Annual)" xfId="7618"/>
    <cellStyle name="Output 14 2 5" xfId="4108"/>
    <cellStyle name="Output 14 2 5 2" xfId="12432"/>
    <cellStyle name="Output 14 2 5 2 2" xfId="24454"/>
    <cellStyle name="Output 14 2 5 2 2 2" xfId="45640"/>
    <cellStyle name="Output 14 2 5 2 3" xfId="35036"/>
    <cellStyle name="Output 14 2 5 3" xfId="19341"/>
    <cellStyle name="Output 14 2 5 3 2" xfId="40528"/>
    <cellStyle name="Output 14 2 5 4" xfId="29796"/>
    <cellStyle name="Output 14 2 5_Table 2A-1_EFT (Annual)" xfId="7620"/>
    <cellStyle name="Output 14 2 6" xfId="9771"/>
    <cellStyle name="Output 14 2 6 2" xfId="21908"/>
    <cellStyle name="Output 14 2 6 2 2" xfId="43094"/>
    <cellStyle name="Output 14 2 6 3" xfId="32490"/>
    <cellStyle name="Output 14 2 7" xfId="16795"/>
    <cellStyle name="Output 14 2 7 2" xfId="37982"/>
    <cellStyle name="Output 14 2 8" xfId="27053"/>
    <cellStyle name="Output 14 2_Table 2A-1_EFT (Annual)" xfId="3347"/>
    <cellStyle name="Output 14 3" xfId="376"/>
    <cellStyle name="Output 14 3 2" xfId="1359"/>
    <cellStyle name="Output 14 3 2 2" xfId="2629"/>
    <cellStyle name="Output 14 3 2 2 2" xfId="6190"/>
    <cellStyle name="Output 14 3 2 2 2 2" xfId="14384"/>
    <cellStyle name="Output 14 3 2 2 2 2 2" xfId="26356"/>
    <cellStyle name="Output 14 3 2 2 2 2 2 2" xfId="47542"/>
    <cellStyle name="Output 14 3 2 2 2 2 3" xfId="36938"/>
    <cellStyle name="Output 14 3 2 2 2 3" xfId="21243"/>
    <cellStyle name="Output 14 3 2 2 2 3 2" xfId="42430"/>
    <cellStyle name="Output 14 3 2 2 2 4" xfId="31846"/>
    <cellStyle name="Output 14 3 2 2 2_Table 2A-1_EFT (Annual)" xfId="7622"/>
    <cellStyle name="Output 14 3 2 2 3" xfId="11726"/>
    <cellStyle name="Output 14 3 2 2 3 2" xfId="23810"/>
    <cellStyle name="Output 14 3 2 2 3 2 2" xfId="44996"/>
    <cellStyle name="Output 14 3 2 2 3 3" xfId="34392"/>
    <cellStyle name="Output 14 3 2 2 4" xfId="18697"/>
    <cellStyle name="Output 14 3 2 2 4 2" xfId="39884"/>
    <cellStyle name="Output 14 3 2 2 5" xfId="29103"/>
    <cellStyle name="Output 14 3 2 2_Table 2A-1_EFT (Annual)" xfId="7621"/>
    <cellStyle name="Output 14 3 2 3" xfId="1889"/>
    <cellStyle name="Output 14 3 2 3 2" xfId="5450"/>
    <cellStyle name="Output 14 3 2 3 2 2" xfId="13665"/>
    <cellStyle name="Output 14 3 2 3 2 2 2" xfId="25653"/>
    <cellStyle name="Output 14 3 2 3 2 2 2 2" xfId="46839"/>
    <cellStyle name="Output 14 3 2 3 2 2 3" xfId="36235"/>
    <cellStyle name="Output 14 3 2 3 2 3" xfId="20540"/>
    <cellStyle name="Output 14 3 2 3 2 3 2" xfId="41727"/>
    <cellStyle name="Output 14 3 2 3 2 4" xfId="31107"/>
    <cellStyle name="Output 14 3 2 3 2_Table 2A-1_EFT (Annual)" xfId="7624"/>
    <cellStyle name="Output 14 3 2 3 3" xfId="11009"/>
    <cellStyle name="Output 14 3 2 3 3 2" xfId="23107"/>
    <cellStyle name="Output 14 3 2 3 3 2 2" xfId="44293"/>
    <cellStyle name="Output 14 3 2 3 3 3" xfId="33689"/>
    <cellStyle name="Output 14 3 2 3 4" xfId="17994"/>
    <cellStyle name="Output 14 3 2 3 4 2" xfId="39181"/>
    <cellStyle name="Output 14 3 2 3 5" xfId="28364"/>
    <cellStyle name="Output 14 3 2 3_Table 2A-1_EFT (Annual)" xfId="7623"/>
    <cellStyle name="Output 14 3 2 4" xfId="4920"/>
    <cellStyle name="Output 14 3 2 4 2" xfId="13180"/>
    <cellStyle name="Output 14 3 2 4 2 2" xfId="25186"/>
    <cellStyle name="Output 14 3 2 4 2 2 2" xfId="46372"/>
    <cellStyle name="Output 14 3 2 4 2 3" xfId="35768"/>
    <cellStyle name="Output 14 3 2 4 3" xfId="20073"/>
    <cellStyle name="Output 14 3 2 4 3 2" xfId="41260"/>
    <cellStyle name="Output 14 3 2 4 4" xfId="30577"/>
    <cellStyle name="Output 14 3 2 4_Table 2A-1_EFT (Annual)" xfId="7625"/>
    <cellStyle name="Output 14 3 2 5" xfId="10524"/>
    <cellStyle name="Output 14 3 2 5 2" xfId="22640"/>
    <cellStyle name="Output 14 3 2 5 2 2" xfId="43826"/>
    <cellStyle name="Output 14 3 2 5 3" xfId="33222"/>
    <cellStyle name="Output 14 3 2 6" xfId="17527"/>
    <cellStyle name="Output 14 3 2 6 2" xfId="38714"/>
    <cellStyle name="Output 14 3 2 7" xfId="27834"/>
    <cellStyle name="Output 14 3 2_Table 2A-1_EFT (Annual)" xfId="3350"/>
    <cellStyle name="Output 14 3 3" xfId="2098"/>
    <cellStyle name="Output 14 3 3 2" xfId="5659"/>
    <cellStyle name="Output 14 3 3 2 2" xfId="13874"/>
    <cellStyle name="Output 14 3 3 2 2 2" xfId="25862"/>
    <cellStyle name="Output 14 3 3 2 2 2 2" xfId="47048"/>
    <cellStyle name="Output 14 3 3 2 2 3" xfId="36444"/>
    <cellStyle name="Output 14 3 3 2 3" xfId="20749"/>
    <cellStyle name="Output 14 3 3 2 3 2" xfId="41936"/>
    <cellStyle name="Output 14 3 3 2 4" xfId="31316"/>
    <cellStyle name="Output 14 3 3 2_Table 2A-1_EFT (Annual)" xfId="7627"/>
    <cellStyle name="Output 14 3 3 3" xfId="11218"/>
    <cellStyle name="Output 14 3 3 3 2" xfId="23316"/>
    <cellStyle name="Output 14 3 3 3 2 2" xfId="44502"/>
    <cellStyle name="Output 14 3 3 3 3" xfId="33898"/>
    <cellStyle name="Output 14 3 3 4" xfId="18203"/>
    <cellStyle name="Output 14 3 3 4 2" xfId="39390"/>
    <cellStyle name="Output 14 3 3 5" xfId="28573"/>
    <cellStyle name="Output 14 3 3_Table 2A-1_EFT (Annual)" xfId="7626"/>
    <cellStyle name="Output 14 3 4" xfId="1709"/>
    <cellStyle name="Output 14 3 4 2" xfId="5270"/>
    <cellStyle name="Output 14 3 4 2 2" xfId="13499"/>
    <cellStyle name="Output 14 3 4 2 2 2" xfId="25492"/>
    <cellStyle name="Output 14 3 4 2 2 2 2" xfId="46678"/>
    <cellStyle name="Output 14 3 4 2 2 3" xfId="36074"/>
    <cellStyle name="Output 14 3 4 2 3" xfId="20379"/>
    <cellStyle name="Output 14 3 4 2 3 2" xfId="41566"/>
    <cellStyle name="Output 14 3 4 2 4" xfId="30927"/>
    <cellStyle name="Output 14 3 4 2_Table 2A-1_EFT (Annual)" xfId="7629"/>
    <cellStyle name="Output 14 3 4 3" xfId="10843"/>
    <cellStyle name="Output 14 3 4 3 2" xfId="22946"/>
    <cellStyle name="Output 14 3 4 3 2 2" xfId="44132"/>
    <cellStyle name="Output 14 3 4 3 3" xfId="33528"/>
    <cellStyle name="Output 14 3 4 4" xfId="17833"/>
    <cellStyle name="Output 14 3 4 4 2" xfId="39020"/>
    <cellStyle name="Output 14 3 4 5" xfId="28184"/>
    <cellStyle name="Output 14 3 4_Table 2A-1_EFT (Annual)" xfId="7628"/>
    <cellStyle name="Output 14 3 5" xfId="3946"/>
    <cellStyle name="Output 14 3 5 2" xfId="12274"/>
    <cellStyle name="Output 14 3 5 2 2" xfId="24298"/>
    <cellStyle name="Output 14 3 5 2 2 2" xfId="45484"/>
    <cellStyle name="Output 14 3 5 2 3" xfId="34880"/>
    <cellStyle name="Output 14 3 5 3" xfId="19185"/>
    <cellStyle name="Output 14 3 5 3 2" xfId="40372"/>
    <cellStyle name="Output 14 3 5 4" xfId="29634"/>
    <cellStyle name="Output 14 3 5_Table 2A-1_EFT (Annual)" xfId="7630"/>
    <cellStyle name="Output 14 3 6" xfId="9611"/>
    <cellStyle name="Output 14 3 6 2" xfId="21752"/>
    <cellStyle name="Output 14 3 6 2 2" xfId="42938"/>
    <cellStyle name="Output 14 3 6 3" xfId="32334"/>
    <cellStyle name="Output 14 3 7" xfId="16639"/>
    <cellStyle name="Output 14 3 7 2" xfId="37826"/>
    <cellStyle name="Output 14 3 8" xfId="26891"/>
    <cellStyle name="Output 14 3_Table 2A-1_EFT (Annual)" xfId="3349"/>
    <cellStyle name="Output 14 4" xfId="1193"/>
    <cellStyle name="Output 14 4 2" xfId="2463"/>
    <cellStyle name="Output 14 4 2 2" xfId="6024"/>
    <cellStyle name="Output 14 4 2 2 2" xfId="14218"/>
    <cellStyle name="Output 14 4 2 2 2 2" xfId="26190"/>
    <cellStyle name="Output 14 4 2 2 2 2 2" xfId="47376"/>
    <cellStyle name="Output 14 4 2 2 2 3" xfId="36772"/>
    <cellStyle name="Output 14 4 2 2 3" xfId="21077"/>
    <cellStyle name="Output 14 4 2 2 3 2" xfId="42264"/>
    <cellStyle name="Output 14 4 2 2 4" xfId="31680"/>
    <cellStyle name="Output 14 4 2 2_Table 2A-1_EFT (Annual)" xfId="7632"/>
    <cellStyle name="Output 14 4 2 3" xfId="11560"/>
    <cellStyle name="Output 14 4 2 3 2" xfId="23644"/>
    <cellStyle name="Output 14 4 2 3 2 2" xfId="44830"/>
    <cellStyle name="Output 14 4 2 3 3" xfId="34226"/>
    <cellStyle name="Output 14 4 2 4" xfId="18531"/>
    <cellStyle name="Output 14 4 2 4 2" xfId="39718"/>
    <cellStyle name="Output 14 4 2 5" xfId="28937"/>
    <cellStyle name="Output 14 4 2_Table 2A-1_EFT (Annual)" xfId="7631"/>
    <cellStyle name="Output 14 4 3" xfId="1825"/>
    <cellStyle name="Output 14 4 3 2" xfId="5386"/>
    <cellStyle name="Output 14 4 3 2 2" xfId="13601"/>
    <cellStyle name="Output 14 4 3 2 2 2" xfId="25589"/>
    <cellStyle name="Output 14 4 3 2 2 2 2" xfId="46775"/>
    <cellStyle name="Output 14 4 3 2 2 3" xfId="36171"/>
    <cellStyle name="Output 14 4 3 2 3" xfId="20476"/>
    <cellStyle name="Output 14 4 3 2 3 2" xfId="41663"/>
    <cellStyle name="Output 14 4 3 2 4" xfId="31043"/>
    <cellStyle name="Output 14 4 3 2_Table 2A-1_EFT (Annual)" xfId="7634"/>
    <cellStyle name="Output 14 4 3 3" xfId="10945"/>
    <cellStyle name="Output 14 4 3 3 2" xfId="23043"/>
    <cellStyle name="Output 14 4 3 3 2 2" xfId="44229"/>
    <cellStyle name="Output 14 4 3 3 3" xfId="33625"/>
    <cellStyle name="Output 14 4 3 4" xfId="17930"/>
    <cellStyle name="Output 14 4 3 4 2" xfId="39117"/>
    <cellStyle name="Output 14 4 3 5" xfId="28300"/>
    <cellStyle name="Output 14 4 3_Table 2A-1_EFT (Annual)" xfId="7633"/>
    <cellStyle name="Output 14 4 4" xfId="4754"/>
    <cellStyle name="Output 14 4 4 2" xfId="13014"/>
    <cellStyle name="Output 14 4 4 2 2" xfId="25020"/>
    <cellStyle name="Output 14 4 4 2 2 2" xfId="46206"/>
    <cellStyle name="Output 14 4 4 2 3" xfId="35602"/>
    <cellStyle name="Output 14 4 4 3" xfId="19907"/>
    <cellStyle name="Output 14 4 4 3 2" xfId="41094"/>
    <cellStyle name="Output 14 4 4 4" xfId="30411"/>
    <cellStyle name="Output 14 4 4_Table 2A-1_EFT (Annual)" xfId="7635"/>
    <cellStyle name="Output 14 4 5" xfId="10358"/>
    <cellStyle name="Output 14 4 5 2" xfId="22474"/>
    <cellStyle name="Output 14 4 5 2 2" xfId="43660"/>
    <cellStyle name="Output 14 4 5 3" xfId="33056"/>
    <cellStyle name="Output 14 4 6" xfId="17361"/>
    <cellStyle name="Output 14 4 6 2" xfId="38548"/>
    <cellStyle name="Output 14 4 7" xfId="27668"/>
    <cellStyle name="Output 14 4_Table 2A-1_EFT (Annual)" xfId="3351"/>
    <cellStyle name="Output 14 5" xfId="1784"/>
    <cellStyle name="Output 14 5 2" xfId="5345"/>
    <cellStyle name="Output 14 5 2 2" xfId="13560"/>
    <cellStyle name="Output 14 5 2 2 2" xfId="25548"/>
    <cellStyle name="Output 14 5 2 2 2 2" xfId="46734"/>
    <cellStyle name="Output 14 5 2 2 3" xfId="36130"/>
    <cellStyle name="Output 14 5 2 3" xfId="20435"/>
    <cellStyle name="Output 14 5 2 3 2" xfId="41622"/>
    <cellStyle name="Output 14 5 2 4" xfId="31002"/>
    <cellStyle name="Output 14 5 2_Table 2A-1_EFT (Annual)" xfId="7637"/>
    <cellStyle name="Output 14 5 3" xfId="10904"/>
    <cellStyle name="Output 14 5 3 2" xfId="23002"/>
    <cellStyle name="Output 14 5 3 2 2" xfId="44188"/>
    <cellStyle name="Output 14 5 3 3" xfId="33584"/>
    <cellStyle name="Output 14 5 4" xfId="17889"/>
    <cellStyle name="Output 14 5 4 2" xfId="39076"/>
    <cellStyle name="Output 14 5 5" xfId="28259"/>
    <cellStyle name="Output 14 5_Table 2A-1_EFT (Annual)" xfId="7636"/>
    <cellStyle name="Output 14 6" xfId="1652"/>
    <cellStyle name="Output 14 6 2" xfId="5213"/>
    <cellStyle name="Output 14 6 2 2" xfId="13460"/>
    <cellStyle name="Output 14 6 2 2 2" xfId="25460"/>
    <cellStyle name="Output 14 6 2 2 2 2" xfId="46646"/>
    <cellStyle name="Output 14 6 2 2 3" xfId="36042"/>
    <cellStyle name="Output 14 6 2 3" xfId="20347"/>
    <cellStyle name="Output 14 6 2 3 2" xfId="41534"/>
    <cellStyle name="Output 14 6 2 4" xfId="30870"/>
    <cellStyle name="Output 14 6 2_Table 2A-1_EFT (Annual)" xfId="7639"/>
    <cellStyle name="Output 14 6 3" xfId="10805"/>
    <cellStyle name="Output 14 6 3 2" xfId="22914"/>
    <cellStyle name="Output 14 6 3 2 2" xfId="44100"/>
    <cellStyle name="Output 14 6 3 3" xfId="33496"/>
    <cellStyle name="Output 14 6 4" xfId="17801"/>
    <cellStyle name="Output 14 6 4 2" xfId="38988"/>
    <cellStyle name="Output 14 6 5" xfId="28127"/>
    <cellStyle name="Output 14 6_Table 2A-1_EFT (Annual)" xfId="7638"/>
    <cellStyle name="Output 14 7" xfId="3734"/>
    <cellStyle name="Output 14 7 2" xfId="12102"/>
    <cellStyle name="Output 14 7 2 2" xfId="24132"/>
    <cellStyle name="Output 14 7 2 2 2" xfId="45318"/>
    <cellStyle name="Output 14 7 2 3" xfId="34714"/>
    <cellStyle name="Output 14 7 3" xfId="19019"/>
    <cellStyle name="Output 14 7 3 2" xfId="40206"/>
    <cellStyle name="Output 14 7 4" xfId="29443"/>
    <cellStyle name="Output 14 7_Table 2A-1_EFT (Annual)" xfId="7640"/>
    <cellStyle name="Output 14 8" xfId="9421"/>
    <cellStyle name="Output 14 8 2" xfId="21586"/>
    <cellStyle name="Output 14 8 2 2" xfId="42772"/>
    <cellStyle name="Output 14 8 3" xfId="32168"/>
    <cellStyle name="Output 14 9" xfId="16473"/>
    <cellStyle name="Output 14 9 2" xfId="37660"/>
    <cellStyle name="Output 14_Table 2A-1_EFT (Annual)" xfId="3346"/>
    <cellStyle name="Output 15" xfId="153"/>
    <cellStyle name="Output 15 10" xfId="26708"/>
    <cellStyle name="Output 15 2" xfId="546"/>
    <cellStyle name="Output 15 2 2" xfId="1523"/>
    <cellStyle name="Output 15 2 2 2" xfId="2793"/>
    <cellStyle name="Output 15 2 2 2 2" xfId="6354"/>
    <cellStyle name="Output 15 2 2 2 2 2" xfId="14548"/>
    <cellStyle name="Output 15 2 2 2 2 2 2" xfId="26520"/>
    <cellStyle name="Output 15 2 2 2 2 2 2 2" xfId="47706"/>
    <cellStyle name="Output 15 2 2 2 2 2 3" xfId="37102"/>
    <cellStyle name="Output 15 2 2 2 2 3" xfId="21407"/>
    <cellStyle name="Output 15 2 2 2 2 3 2" xfId="42594"/>
    <cellStyle name="Output 15 2 2 2 2 4" xfId="32010"/>
    <cellStyle name="Output 15 2 2 2 2_Table 2A-1_EFT (Annual)" xfId="7642"/>
    <cellStyle name="Output 15 2 2 2 3" xfId="11890"/>
    <cellStyle name="Output 15 2 2 2 3 2" xfId="23974"/>
    <cellStyle name="Output 15 2 2 2 3 2 2" xfId="45160"/>
    <cellStyle name="Output 15 2 2 2 3 3" xfId="34556"/>
    <cellStyle name="Output 15 2 2 2 4" xfId="18861"/>
    <cellStyle name="Output 15 2 2 2 4 2" xfId="40048"/>
    <cellStyle name="Output 15 2 2 2 5" xfId="29267"/>
    <cellStyle name="Output 15 2 2 2_Table 2A-1_EFT (Annual)" xfId="7641"/>
    <cellStyle name="Output 15 2 2 3" xfId="1922"/>
    <cellStyle name="Output 15 2 2 3 2" xfId="5483"/>
    <cellStyle name="Output 15 2 2 3 2 2" xfId="13698"/>
    <cellStyle name="Output 15 2 2 3 2 2 2" xfId="25686"/>
    <cellStyle name="Output 15 2 2 3 2 2 2 2" xfId="46872"/>
    <cellStyle name="Output 15 2 2 3 2 2 3" xfId="36268"/>
    <cellStyle name="Output 15 2 2 3 2 3" xfId="20573"/>
    <cellStyle name="Output 15 2 2 3 2 3 2" xfId="41760"/>
    <cellStyle name="Output 15 2 2 3 2 4" xfId="31140"/>
    <cellStyle name="Output 15 2 2 3 2_Table 2A-1_EFT (Annual)" xfId="7644"/>
    <cellStyle name="Output 15 2 2 3 3" xfId="11042"/>
    <cellStyle name="Output 15 2 2 3 3 2" xfId="23140"/>
    <cellStyle name="Output 15 2 2 3 3 2 2" xfId="44326"/>
    <cellStyle name="Output 15 2 2 3 3 3" xfId="33722"/>
    <cellStyle name="Output 15 2 2 3 4" xfId="18027"/>
    <cellStyle name="Output 15 2 2 3 4 2" xfId="39214"/>
    <cellStyle name="Output 15 2 2 3 5" xfId="28397"/>
    <cellStyle name="Output 15 2 2 3_Table 2A-1_EFT (Annual)" xfId="7643"/>
    <cellStyle name="Output 15 2 2 4" xfId="5084"/>
    <cellStyle name="Output 15 2 2 4 2" xfId="13344"/>
    <cellStyle name="Output 15 2 2 4 2 2" xfId="25350"/>
    <cellStyle name="Output 15 2 2 4 2 2 2" xfId="46536"/>
    <cellStyle name="Output 15 2 2 4 2 3" xfId="35932"/>
    <cellStyle name="Output 15 2 2 4 3" xfId="20237"/>
    <cellStyle name="Output 15 2 2 4 3 2" xfId="41424"/>
    <cellStyle name="Output 15 2 2 4 4" xfId="30741"/>
    <cellStyle name="Output 15 2 2 4_Table 2A-1_EFT (Annual)" xfId="7645"/>
    <cellStyle name="Output 15 2 2 5" xfId="10688"/>
    <cellStyle name="Output 15 2 2 5 2" xfId="22804"/>
    <cellStyle name="Output 15 2 2 5 2 2" xfId="43990"/>
    <cellStyle name="Output 15 2 2 5 3" xfId="33386"/>
    <cellStyle name="Output 15 2 2 6" xfId="17691"/>
    <cellStyle name="Output 15 2 2 6 2" xfId="38878"/>
    <cellStyle name="Output 15 2 2 7" xfId="27998"/>
    <cellStyle name="Output 15 2 2_Table 2A-1_EFT (Annual)" xfId="3354"/>
    <cellStyle name="Output 15 2 3" xfId="2262"/>
    <cellStyle name="Output 15 2 3 2" xfId="5823"/>
    <cellStyle name="Output 15 2 3 2 2" xfId="14038"/>
    <cellStyle name="Output 15 2 3 2 2 2" xfId="26026"/>
    <cellStyle name="Output 15 2 3 2 2 2 2" xfId="47212"/>
    <cellStyle name="Output 15 2 3 2 2 3" xfId="36608"/>
    <cellStyle name="Output 15 2 3 2 3" xfId="20913"/>
    <cellStyle name="Output 15 2 3 2 3 2" xfId="42100"/>
    <cellStyle name="Output 15 2 3 2 4" xfId="31480"/>
    <cellStyle name="Output 15 2 3 2_Table 2A-1_EFT (Annual)" xfId="7647"/>
    <cellStyle name="Output 15 2 3 3" xfId="11382"/>
    <cellStyle name="Output 15 2 3 3 2" xfId="23480"/>
    <cellStyle name="Output 15 2 3 3 2 2" xfId="44666"/>
    <cellStyle name="Output 15 2 3 3 3" xfId="34062"/>
    <cellStyle name="Output 15 2 3 4" xfId="18367"/>
    <cellStyle name="Output 15 2 3 4 2" xfId="39554"/>
    <cellStyle name="Output 15 2 3 5" xfId="28737"/>
    <cellStyle name="Output 15 2 3_Table 2A-1_EFT (Annual)" xfId="7646"/>
    <cellStyle name="Output 15 2 4" xfId="1747"/>
    <cellStyle name="Output 15 2 4 2" xfId="5308"/>
    <cellStyle name="Output 15 2 4 2 2" xfId="13533"/>
    <cellStyle name="Output 15 2 4 2 2 2" xfId="25524"/>
    <cellStyle name="Output 15 2 4 2 2 2 2" xfId="46710"/>
    <cellStyle name="Output 15 2 4 2 2 3" xfId="36106"/>
    <cellStyle name="Output 15 2 4 2 3" xfId="20411"/>
    <cellStyle name="Output 15 2 4 2 3 2" xfId="41598"/>
    <cellStyle name="Output 15 2 4 2 4" xfId="30965"/>
    <cellStyle name="Output 15 2 4 2_Table 2A-1_EFT (Annual)" xfId="7649"/>
    <cellStyle name="Output 15 2 4 3" xfId="10876"/>
    <cellStyle name="Output 15 2 4 3 2" xfId="22978"/>
    <cellStyle name="Output 15 2 4 3 2 2" xfId="44164"/>
    <cellStyle name="Output 15 2 4 3 3" xfId="33560"/>
    <cellStyle name="Output 15 2 4 4" xfId="17865"/>
    <cellStyle name="Output 15 2 4 4 2" xfId="39052"/>
    <cellStyle name="Output 15 2 4 5" xfId="28222"/>
    <cellStyle name="Output 15 2 4_Table 2A-1_EFT (Annual)" xfId="7648"/>
    <cellStyle name="Output 15 2 5" xfId="4116"/>
    <cellStyle name="Output 15 2 5 2" xfId="12440"/>
    <cellStyle name="Output 15 2 5 2 2" xfId="24462"/>
    <cellStyle name="Output 15 2 5 2 2 2" xfId="45648"/>
    <cellStyle name="Output 15 2 5 2 3" xfId="35044"/>
    <cellStyle name="Output 15 2 5 3" xfId="19349"/>
    <cellStyle name="Output 15 2 5 3 2" xfId="40536"/>
    <cellStyle name="Output 15 2 5 4" xfId="29804"/>
    <cellStyle name="Output 15 2 5_Table 2A-1_EFT (Annual)" xfId="7650"/>
    <cellStyle name="Output 15 2 6" xfId="9779"/>
    <cellStyle name="Output 15 2 6 2" xfId="21916"/>
    <cellStyle name="Output 15 2 6 2 2" xfId="43102"/>
    <cellStyle name="Output 15 2 6 3" xfId="32498"/>
    <cellStyle name="Output 15 2 7" xfId="16803"/>
    <cellStyle name="Output 15 2 7 2" xfId="37990"/>
    <cellStyle name="Output 15 2 8" xfId="27061"/>
    <cellStyle name="Output 15 2_Table 2A-1_EFT (Annual)" xfId="3353"/>
    <cellStyle name="Output 15 3" xfId="384"/>
    <cellStyle name="Output 15 3 2" xfId="1367"/>
    <cellStyle name="Output 15 3 2 2" xfId="2637"/>
    <cellStyle name="Output 15 3 2 2 2" xfId="6198"/>
    <cellStyle name="Output 15 3 2 2 2 2" xfId="14392"/>
    <cellStyle name="Output 15 3 2 2 2 2 2" xfId="26364"/>
    <cellStyle name="Output 15 3 2 2 2 2 2 2" xfId="47550"/>
    <cellStyle name="Output 15 3 2 2 2 2 3" xfId="36946"/>
    <cellStyle name="Output 15 3 2 2 2 3" xfId="21251"/>
    <cellStyle name="Output 15 3 2 2 2 3 2" xfId="42438"/>
    <cellStyle name="Output 15 3 2 2 2 4" xfId="31854"/>
    <cellStyle name="Output 15 3 2 2 2_Table 2A-1_EFT (Annual)" xfId="7652"/>
    <cellStyle name="Output 15 3 2 2 3" xfId="11734"/>
    <cellStyle name="Output 15 3 2 2 3 2" xfId="23818"/>
    <cellStyle name="Output 15 3 2 2 3 2 2" xfId="45004"/>
    <cellStyle name="Output 15 3 2 2 3 3" xfId="34400"/>
    <cellStyle name="Output 15 3 2 2 4" xfId="18705"/>
    <cellStyle name="Output 15 3 2 2 4 2" xfId="39892"/>
    <cellStyle name="Output 15 3 2 2 5" xfId="29111"/>
    <cellStyle name="Output 15 3 2 2_Table 2A-1_EFT (Annual)" xfId="7651"/>
    <cellStyle name="Output 15 3 2 3" xfId="1891"/>
    <cellStyle name="Output 15 3 2 3 2" xfId="5452"/>
    <cellStyle name="Output 15 3 2 3 2 2" xfId="13667"/>
    <cellStyle name="Output 15 3 2 3 2 2 2" xfId="25655"/>
    <cellStyle name="Output 15 3 2 3 2 2 2 2" xfId="46841"/>
    <cellStyle name="Output 15 3 2 3 2 2 3" xfId="36237"/>
    <cellStyle name="Output 15 3 2 3 2 3" xfId="20542"/>
    <cellStyle name="Output 15 3 2 3 2 3 2" xfId="41729"/>
    <cellStyle name="Output 15 3 2 3 2 4" xfId="31109"/>
    <cellStyle name="Output 15 3 2 3 2_Table 2A-1_EFT (Annual)" xfId="7654"/>
    <cellStyle name="Output 15 3 2 3 3" xfId="11011"/>
    <cellStyle name="Output 15 3 2 3 3 2" xfId="23109"/>
    <cellStyle name="Output 15 3 2 3 3 2 2" xfId="44295"/>
    <cellStyle name="Output 15 3 2 3 3 3" xfId="33691"/>
    <cellStyle name="Output 15 3 2 3 4" xfId="17996"/>
    <cellStyle name="Output 15 3 2 3 4 2" xfId="39183"/>
    <cellStyle name="Output 15 3 2 3 5" xfId="28366"/>
    <cellStyle name="Output 15 3 2 3_Table 2A-1_EFT (Annual)" xfId="7653"/>
    <cellStyle name="Output 15 3 2 4" xfId="4928"/>
    <cellStyle name="Output 15 3 2 4 2" xfId="13188"/>
    <cellStyle name="Output 15 3 2 4 2 2" xfId="25194"/>
    <cellStyle name="Output 15 3 2 4 2 2 2" xfId="46380"/>
    <cellStyle name="Output 15 3 2 4 2 3" xfId="35776"/>
    <cellStyle name="Output 15 3 2 4 3" xfId="20081"/>
    <cellStyle name="Output 15 3 2 4 3 2" xfId="41268"/>
    <cellStyle name="Output 15 3 2 4 4" xfId="30585"/>
    <cellStyle name="Output 15 3 2 4_Table 2A-1_EFT (Annual)" xfId="7655"/>
    <cellStyle name="Output 15 3 2 5" xfId="10532"/>
    <cellStyle name="Output 15 3 2 5 2" xfId="22648"/>
    <cellStyle name="Output 15 3 2 5 2 2" xfId="43834"/>
    <cellStyle name="Output 15 3 2 5 3" xfId="33230"/>
    <cellStyle name="Output 15 3 2 6" xfId="17535"/>
    <cellStyle name="Output 15 3 2 6 2" xfId="38722"/>
    <cellStyle name="Output 15 3 2 7" xfId="27842"/>
    <cellStyle name="Output 15 3 2_Table 2A-1_EFT (Annual)" xfId="3356"/>
    <cellStyle name="Output 15 3 3" xfId="2106"/>
    <cellStyle name="Output 15 3 3 2" xfId="5667"/>
    <cellStyle name="Output 15 3 3 2 2" xfId="13882"/>
    <cellStyle name="Output 15 3 3 2 2 2" xfId="25870"/>
    <cellStyle name="Output 15 3 3 2 2 2 2" xfId="47056"/>
    <cellStyle name="Output 15 3 3 2 2 3" xfId="36452"/>
    <cellStyle name="Output 15 3 3 2 3" xfId="20757"/>
    <cellStyle name="Output 15 3 3 2 3 2" xfId="41944"/>
    <cellStyle name="Output 15 3 3 2 4" xfId="31324"/>
    <cellStyle name="Output 15 3 3 2_Table 2A-1_EFT (Annual)" xfId="7657"/>
    <cellStyle name="Output 15 3 3 3" xfId="11226"/>
    <cellStyle name="Output 15 3 3 3 2" xfId="23324"/>
    <cellStyle name="Output 15 3 3 3 2 2" xfId="44510"/>
    <cellStyle name="Output 15 3 3 3 3" xfId="33906"/>
    <cellStyle name="Output 15 3 3 4" xfId="18211"/>
    <cellStyle name="Output 15 3 3 4 2" xfId="39398"/>
    <cellStyle name="Output 15 3 3 5" xfId="28581"/>
    <cellStyle name="Output 15 3 3_Table 2A-1_EFT (Annual)" xfId="7656"/>
    <cellStyle name="Output 15 3 4" xfId="1711"/>
    <cellStyle name="Output 15 3 4 2" xfId="5272"/>
    <cellStyle name="Output 15 3 4 2 2" xfId="13501"/>
    <cellStyle name="Output 15 3 4 2 2 2" xfId="25494"/>
    <cellStyle name="Output 15 3 4 2 2 2 2" xfId="46680"/>
    <cellStyle name="Output 15 3 4 2 2 3" xfId="36076"/>
    <cellStyle name="Output 15 3 4 2 3" xfId="20381"/>
    <cellStyle name="Output 15 3 4 2 3 2" xfId="41568"/>
    <cellStyle name="Output 15 3 4 2 4" xfId="30929"/>
    <cellStyle name="Output 15 3 4 2_Table 2A-1_EFT (Annual)" xfId="7659"/>
    <cellStyle name="Output 15 3 4 3" xfId="10845"/>
    <cellStyle name="Output 15 3 4 3 2" xfId="22948"/>
    <cellStyle name="Output 15 3 4 3 2 2" xfId="44134"/>
    <cellStyle name="Output 15 3 4 3 3" xfId="33530"/>
    <cellStyle name="Output 15 3 4 4" xfId="17835"/>
    <cellStyle name="Output 15 3 4 4 2" xfId="39022"/>
    <cellStyle name="Output 15 3 4 5" xfId="28186"/>
    <cellStyle name="Output 15 3 4_Table 2A-1_EFT (Annual)" xfId="7658"/>
    <cellStyle name="Output 15 3 5" xfId="3954"/>
    <cellStyle name="Output 15 3 5 2" xfId="12282"/>
    <cellStyle name="Output 15 3 5 2 2" xfId="24306"/>
    <cellStyle name="Output 15 3 5 2 2 2" xfId="45492"/>
    <cellStyle name="Output 15 3 5 2 3" xfId="34888"/>
    <cellStyle name="Output 15 3 5 3" xfId="19193"/>
    <cellStyle name="Output 15 3 5 3 2" xfId="40380"/>
    <cellStyle name="Output 15 3 5 4" xfId="29642"/>
    <cellStyle name="Output 15 3 5_Table 2A-1_EFT (Annual)" xfId="7660"/>
    <cellStyle name="Output 15 3 6" xfId="9619"/>
    <cellStyle name="Output 15 3 6 2" xfId="21760"/>
    <cellStyle name="Output 15 3 6 2 2" xfId="42946"/>
    <cellStyle name="Output 15 3 6 3" xfId="32342"/>
    <cellStyle name="Output 15 3 7" xfId="16647"/>
    <cellStyle name="Output 15 3 7 2" xfId="37834"/>
    <cellStyle name="Output 15 3 8" xfId="26899"/>
    <cellStyle name="Output 15 3_Table 2A-1_EFT (Annual)" xfId="3355"/>
    <cellStyle name="Output 15 4" xfId="1201"/>
    <cellStyle name="Output 15 4 2" xfId="2471"/>
    <cellStyle name="Output 15 4 2 2" xfId="6032"/>
    <cellStyle name="Output 15 4 2 2 2" xfId="14226"/>
    <cellStyle name="Output 15 4 2 2 2 2" xfId="26198"/>
    <cellStyle name="Output 15 4 2 2 2 2 2" xfId="47384"/>
    <cellStyle name="Output 15 4 2 2 2 3" xfId="36780"/>
    <cellStyle name="Output 15 4 2 2 3" xfId="21085"/>
    <cellStyle name="Output 15 4 2 2 3 2" xfId="42272"/>
    <cellStyle name="Output 15 4 2 2 4" xfId="31688"/>
    <cellStyle name="Output 15 4 2 2_Table 2A-1_EFT (Annual)" xfId="7662"/>
    <cellStyle name="Output 15 4 2 3" xfId="11568"/>
    <cellStyle name="Output 15 4 2 3 2" xfId="23652"/>
    <cellStyle name="Output 15 4 2 3 2 2" xfId="44838"/>
    <cellStyle name="Output 15 4 2 3 3" xfId="34234"/>
    <cellStyle name="Output 15 4 2 4" xfId="18539"/>
    <cellStyle name="Output 15 4 2 4 2" xfId="39726"/>
    <cellStyle name="Output 15 4 2 5" xfId="28945"/>
    <cellStyle name="Output 15 4 2_Table 2A-1_EFT (Annual)" xfId="7661"/>
    <cellStyle name="Output 15 4 3" xfId="1827"/>
    <cellStyle name="Output 15 4 3 2" xfId="5388"/>
    <cellStyle name="Output 15 4 3 2 2" xfId="13603"/>
    <cellStyle name="Output 15 4 3 2 2 2" xfId="25591"/>
    <cellStyle name="Output 15 4 3 2 2 2 2" xfId="46777"/>
    <cellStyle name="Output 15 4 3 2 2 3" xfId="36173"/>
    <cellStyle name="Output 15 4 3 2 3" xfId="20478"/>
    <cellStyle name="Output 15 4 3 2 3 2" xfId="41665"/>
    <cellStyle name="Output 15 4 3 2 4" xfId="31045"/>
    <cellStyle name="Output 15 4 3 2_Table 2A-1_EFT (Annual)" xfId="7664"/>
    <cellStyle name="Output 15 4 3 3" xfId="10947"/>
    <cellStyle name="Output 15 4 3 3 2" xfId="23045"/>
    <cellStyle name="Output 15 4 3 3 2 2" xfId="44231"/>
    <cellStyle name="Output 15 4 3 3 3" xfId="33627"/>
    <cellStyle name="Output 15 4 3 4" xfId="17932"/>
    <cellStyle name="Output 15 4 3 4 2" xfId="39119"/>
    <cellStyle name="Output 15 4 3 5" xfId="28302"/>
    <cellStyle name="Output 15 4 3_Table 2A-1_EFT (Annual)" xfId="7663"/>
    <cellStyle name="Output 15 4 4" xfId="4762"/>
    <cellStyle name="Output 15 4 4 2" xfId="13022"/>
    <cellStyle name="Output 15 4 4 2 2" xfId="25028"/>
    <cellStyle name="Output 15 4 4 2 2 2" xfId="46214"/>
    <cellStyle name="Output 15 4 4 2 3" xfId="35610"/>
    <cellStyle name="Output 15 4 4 3" xfId="19915"/>
    <cellStyle name="Output 15 4 4 3 2" xfId="41102"/>
    <cellStyle name="Output 15 4 4 4" xfId="30419"/>
    <cellStyle name="Output 15 4 4_Table 2A-1_EFT (Annual)" xfId="7665"/>
    <cellStyle name="Output 15 4 5" xfId="10366"/>
    <cellStyle name="Output 15 4 5 2" xfId="22482"/>
    <cellStyle name="Output 15 4 5 2 2" xfId="43668"/>
    <cellStyle name="Output 15 4 5 3" xfId="33064"/>
    <cellStyle name="Output 15 4 6" xfId="17369"/>
    <cellStyle name="Output 15 4 6 2" xfId="38556"/>
    <cellStyle name="Output 15 4 7" xfId="27676"/>
    <cellStyle name="Output 15 4_Table 2A-1_EFT (Annual)" xfId="3357"/>
    <cellStyle name="Output 15 5" xfId="1780"/>
    <cellStyle name="Output 15 5 2" xfId="5341"/>
    <cellStyle name="Output 15 5 2 2" xfId="13556"/>
    <cellStyle name="Output 15 5 2 2 2" xfId="25544"/>
    <cellStyle name="Output 15 5 2 2 2 2" xfId="46730"/>
    <cellStyle name="Output 15 5 2 2 3" xfId="36126"/>
    <cellStyle name="Output 15 5 2 3" xfId="20431"/>
    <cellStyle name="Output 15 5 2 3 2" xfId="41618"/>
    <cellStyle name="Output 15 5 2 4" xfId="30998"/>
    <cellStyle name="Output 15 5 2_Table 2A-1_EFT (Annual)" xfId="7667"/>
    <cellStyle name="Output 15 5 3" xfId="10900"/>
    <cellStyle name="Output 15 5 3 2" xfId="22998"/>
    <cellStyle name="Output 15 5 3 2 2" xfId="44184"/>
    <cellStyle name="Output 15 5 3 3" xfId="33580"/>
    <cellStyle name="Output 15 5 4" xfId="17885"/>
    <cellStyle name="Output 15 5 4 2" xfId="39072"/>
    <cellStyle name="Output 15 5 5" xfId="28255"/>
    <cellStyle name="Output 15 5_Table 2A-1_EFT (Annual)" xfId="7666"/>
    <cellStyle name="Output 15 6" xfId="1654"/>
    <cellStyle name="Output 15 6 2" xfId="5215"/>
    <cellStyle name="Output 15 6 2 2" xfId="13462"/>
    <cellStyle name="Output 15 6 2 2 2" xfId="25462"/>
    <cellStyle name="Output 15 6 2 2 2 2" xfId="46648"/>
    <cellStyle name="Output 15 6 2 2 3" xfId="36044"/>
    <cellStyle name="Output 15 6 2 3" xfId="20349"/>
    <cellStyle name="Output 15 6 2 3 2" xfId="41536"/>
    <cellStyle name="Output 15 6 2 4" xfId="30872"/>
    <cellStyle name="Output 15 6 2_Table 2A-1_EFT (Annual)" xfId="7669"/>
    <cellStyle name="Output 15 6 3" xfId="10807"/>
    <cellStyle name="Output 15 6 3 2" xfId="22916"/>
    <cellStyle name="Output 15 6 3 2 2" xfId="44102"/>
    <cellStyle name="Output 15 6 3 3" xfId="33498"/>
    <cellStyle name="Output 15 6 4" xfId="17803"/>
    <cellStyle name="Output 15 6 4 2" xfId="38990"/>
    <cellStyle name="Output 15 6 5" xfId="28129"/>
    <cellStyle name="Output 15 6_Table 2A-1_EFT (Annual)" xfId="7668"/>
    <cellStyle name="Output 15 7" xfId="3742"/>
    <cellStyle name="Output 15 7 2" xfId="12110"/>
    <cellStyle name="Output 15 7 2 2" xfId="24140"/>
    <cellStyle name="Output 15 7 2 2 2" xfId="45326"/>
    <cellStyle name="Output 15 7 2 3" xfId="34722"/>
    <cellStyle name="Output 15 7 3" xfId="19027"/>
    <cellStyle name="Output 15 7 3 2" xfId="40214"/>
    <cellStyle name="Output 15 7 4" xfId="29451"/>
    <cellStyle name="Output 15 7_Table 2A-1_EFT (Annual)" xfId="7670"/>
    <cellStyle name="Output 15 8" xfId="9429"/>
    <cellStyle name="Output 15 8 2" xfId="21594"/>
    <cellStyle name="Output 15 8 2 2" xfId="42780"/>
    <cellStyle name="Output 15 8 3" xfId="32176"/>
    <cellStyle name="Output 15 9" xfId="16481"/>
    <cellStyle name="Output 15 9 2" xfId="37668"/>
    <cellStyle name="Output 15_Table 2A-1_EFT (Annual)" xfId="3352"/>
    <cellStyle name="Output 16" xfId="163"/>
    <cellStyle name="Output 16 10" xfId="26718"/>
    <cellStyle name="Output 16 2" xfId="556"/>
    <cellStyle name="Output 16 2 2" xfId="1533"/>
    <cellStyle name="Output 16 2 2 2" xfId="2803"/>
    <cellStyle name="Output 16 2 2 2 2" xfId="6364"/>
    <cellStyle name="Output 16 2 2 2 2 2" xfId="14558"/>
    <cellStyle name="Output 16 2 2 2 2 2 2" xfId="26530"/>
    <cellStyle name="Output 16 2 2 2 2 2 2 2" xfId="47716"/>
    <cellStyle name="Output 16 2 2 2 2 2 3" xfId="37112"/>
    <cellStyle name="Output 16 2 2 2 2 3" xfId="21417"/>
    <cellStyle name="Output 16 2 2 2 2 3 2" xfId="42604"/>
    <cellStyle name="Output 16 2 2 2 2 4" xfId="32020"/>
    <cellStyle name="Output 16 2 2 2 2_Table 2A-1_EFT (Annual)" xfId="7672"/>
    <cellStyle name="Output 16 2 2 2 3" xfId="11900"/>
    <cellStyle name="Output 16 2 2 2 3 2" xfId="23984"/>
    <cellStyle name="Output 16 2 2 2 3 2 2" xfId="45170"/>
    <cellStyle name="Output 16 2 2 2 3 3" xfId="34566"/>
    <cellStyle name="Output 16 2 2 2 4" xfId="18871"/>
    <cellStyle name="Output 16 2 2 2 4 2" xfId="40058"/>
    <cellStyle name="Output 16 2 2 2 5" xfId="29277"/>
    <cellStyle name="Output 16 2 2 2_Table 2A-1_EFT (Annual)" xfId="7671"/>
    <cellStyle name="Output 16 2 2 3" xfId="1924"/>
    <cellStyle name="Output 16 2 2 3 2" xfId="5485"/>
    <cellStyle name="Output 16 2 2 3 2 2" xfId="13700"/>
    <cellStyle name="Output 16 2 2 3 2 2 2" xfId="25688"/>
    <cellStyle name="Output 16 2 2 3 2 2 2 2" xfId="46874"/>
    <cellStyle name="Output 16 2 2 3 2 2 3" xfId="36270"/>
    <cellStyle name="Output 16 2 2 3 2 3" xfId="20575"/>
    <cellStyle name="Output 16 2 2 3 2 3 2" xfId="41762"/>
    <cellStyle name="Output 16 2 2 3 2 4" xfId="31142"/>
    <cellStyle name="Output 16 2 2 3 2_Table 2A-1_EFT (Annual)" xfId="7674"/>
    <cellStyle name="Output 16 2 2 3 3" xfId="11044"/>
    <cellStyle name="Output 16 2 2 3 3 2" xfId="23142"/>
    <cellStyle name="Output 16 2 2 3 3 2 2" xfId="44328"/>
    <cellStyle name="Output 16 2 2 3 3 3" xfId="33724"/>
    <cellStyle name="Output 16 2 2 3 4" xfId="18029"/>
    <cellStyle name="Output 16 2 2 3 4 2" xfId="39216"/>
    <cellStyle name="Output 16 2 2 3 5" xfId="28399"/>
    <cellStyle name="Output 16 2 2 3_Table 2A-1_EFT (Annual)" xfId="7673"/>
    <cellStyle name="Output 16 2 2 4" xfId="5094"/>
    <cellStyle name="Output 16 2 2 4 2" xfId="13354"/>
    <cellStyle name="Output 16 2 2 4 2 2" xfId="25360"/>
    <cellStyle name="Output 16 2 2 4 2 2 2" xfId="46546"/>
    <cellStyle name="Output 16 2 2 4 2 3" xfId="35942"/>
    <cellStyle name="Output 16 2 2 4 3" xfId="20247"/>
    <cellStyle name="Output 16 2 2 4 3 2" xfId="41434"/>
    <cellStyle name="Output 16 2 2 4 4" xfId="30751"/>
    <cellStyle name="Output 16 2 2 4_Table 2A-1_EFT (Annual)" xfId="7675"/>
    <cellStyle name="Output 16 2 2 5" xfId="10698"/>
    <cellStyle name="Output 16 2 2 5 2" xfId="22814"/>
    <cellStyle name="Output 16 2 2 5 2 2" xfId="44000"/>
    <cellStyle name="Output 16 2 2 5 3" xfId="33396"/>
    <cellStyle name="Output 16 2 2 6" xfId="17701"/>
    <cellStyle name="Output 16 2 2 6 2" xfId="38888"/>
    <cellStyle name="Output 16 2 2 7" xfId="28008"/>
    <cellStyle name="Output 16 2 2_Table 2A-1_EFT (Annual)" xfId="3360"/>
    <cellStyle name="Output 16 2 3" xfId="2272"/>
    <cellStyle name="Output 16 2 3 2" xfId="5833"/>
    <cellStyle name="Output 16 2 3 2 2" xfId="14048"/>
    <cellStyle name="Output 16 2 3 2 2 2" xfId="26036"/>
    <cellStyle name="Output 16 2 3 2 2 2 2" xfId="47222"/>
    <cellStyle name="Output 16 2 3 2 2 3" xfId="36618"/>
    <cellStyle name="Output 16 2 3 2 3" xfId="20923"/>
    <cellStyle name="Output 16 2 3 2 3 2" xfId="42110"/>
    <cellStyle name="Output 16 2 3 2 4" xfId="31490"/>
    <cellStyle name="Output 16 2 3 2_Table 2A-1_EFT (Annual)" xfId="7677"/>
    <cellStyle name="Output 16 2 3 3" xfId="11392"/>
    <cellStyle name="Output 16 2 3 3 2" xfId="23490"/>
    <cellStyle name="Output 16 2 3 3 2 2" xfId="44676"/>
    <cellStyle name="Output 16 2 3 3 3" xfId="34072"/>
    <cellStyle name="Output 16 2 3 4" xfId="18377"/>
    <cellStyle name="Output 16 2 3 4 2" xfId="39564"/>
    <cellStyle name="Output 16 2 3 5" xfId="28747"/>
    <cellStyle name="Output 16 2 3_Table 2A-1_EFT (Annual)" xfId="7676"/>
    <cellStyle name="Output 16 2 4" xfId="1749"/>
    <cellStyle name="Output 16 2 4 2" xfId="5310"/>
    <cellStyle name="Output 16 2 4 2 2" xfId="13535"/>
    <cellStyle name="Output 16 2 4 2 2 2" xfId="25526"/>
    <cellStyle name="Output 16 2 4 2 2 2 2" xfId="46712"/>
    <cellStyle name="Output 16 2 4 2 2 3" xfId="36108"/>
    <cellStyle name="Output 16 2 4 2 3" xfId="20413"/>
    <cellStyle name="Output 16 2 4 2 3 2" xfId="41600"/>
    <cellStyle name="Output 16 2 4 2 4" xfId="30967"/>
    <cellStyle name="Output 16 2 4 2_Table 2A-1_EFT (Annual)" xfId="7679"/>
    <cellStyle name="Output 16 2 4 3" xfId="10878"/>
    <cellStyle name="Output 16 2 4 3 2" xfId="22980"/>
    <cellStyle name="Output 16 2 4 3 2 2" xfId="44166"/>
    <cellStyle name="Output 16 2 4 3 3" xfId="33562"/>
    <cellStyle name="Output 16 2 4 4" xfId="17867"/>
    <cellStyle name="Output 16 2 4 4 2" xfId="39054"/>
    <cellStyle name="Output 16 2 4 5" xfId="28224"/>
    <cellStyle name="Output 16 2 4_Table 2A-1_EFT (Annual)" xfId="7678"/>
    <cellStyle name="Output 16 2 5" xfId="4126"/>
    <cellStyle name="Output 16 2 5 2" xfId="12450"/>
    <cellStyle name="Output 16 2 5 2 2" xfId="24472"/>
    <cellStyle name="Output 16 2 5 2 2 2" xfId="45658"/>
    <cellStyle name="Output 16 2 5 2 3" xfId="35054"/>
    <cellStyle name="Output 16 2 5 3" xfId="19359"/>
    <cellStyle name="Output 16 2 5 3 2" xfId="40546"/>
    <cellStyle name="Output 16 2 5 4" xfId="29814"/>
    <cellStyle name="Output 16 2 5_Table 2A-1_EFT (Annual)" xfId="7680"/>
    <cellStyle name="Output 16 2 6" xfId="9789"/>
    <cellStyle name="Output 16 2 6 2" xfId="21926"/>
    <cellStyle name="Output 16 2 6 2 2" xfId="43112"/>
    <cellStyle name="Output 16 2 6 3" xfId="32508"/>
    <cellStyle name="Output 16 2 7" xfId="16813"/>
    <cellStyle name="Output 16 2 7 2" xfId="38000"/>
    <cellStyle name="Output 16 2 8" xfId="27071"/>
    <cellStyle name="Output 16 2_Table 2A-1_EFT (Annual)" xfId="3359"/>
    <cellStyle name="Output 16 3" xfId="394"/>
    <cellStyle name="Output 16 3 2" xfId="1377"/>
    <cellStyle name="Output 16 3 2 2" xfId="2647"/>
    <cellStyle name="Output 16 3 2 2 2" xfId="6208"/>
    <cellStyle name="Output 16 3 2 2 2 2" xfId="14402"/>
    <cellStyle name="Output 16 3 2 2 2 2 2" xfId="26374"/>
    <cellStyle name="Output 16 3 2 2 2 2 2 2" xfId="47560"/>
    <cellStyle name="Output 16 3 2 2 2 2 3" xfId="36956"/>
    <cellStyle name="Output 16 3 2 2 2 3" xfId="21261"/>
    <cellStyle name="Output 16 3 2 2 2 3 2" xfId="42448"/>
    <cellStyle name="Output 16 3 2 2 2 4" xfId="31864"/>
    <cellStyle name="Output 16 3 2 2 2_Table 2A-1_EFT (Annual)" xfId="7682"/>
    <cellStyle name="Output 16 3 2 2 3" xfId="11744"/>
    <cellStyle name="Output 16 3 2 2 3 2" xfId="23828"/>
    <cellStyle name="Output 16 3 2 2 3 2 2" xfId="45014"/>
    <cellStyle name="Output 16 3 2 2 3 3" xfId="34410"/>
    <cellStyle name="Output 16 3 2 2 4" xfId="18715"/>
    <cellStyle name="Output 16 3 2 2 4 2" xfId="39902"/>
    <cellStyle name="Output 16 3 2 2 5" xfId="29121"/>
    <cellStyle name="Output 16 3 2 2_Table 2A-1_EFT (Annual)" xfId="7681"/>
    <cellStyle name="Output 16 3 2 3" xfId="1893"/>
    <cellStyle name="Output 16 3 2 3 2" xfId="5454"/>
    <cellStyle name="Output 16 3 2 3 2 2" xfId="13669"/>
    <cellStyle name="Output 16 3 2 3 2 2 2" xfId="25657"/>
    <cellStyle name="Output 16 3 2 3 2 2 2 2" xfId="46843"/>
    <cellStyle name="Output 16 3 2 3 2 2 3" xfId="36239"/>
    <cellStyle name="Output 16 3 2 3 2 3" xfId="20544"/>
    <cellStyle name="Output 16 3 2 3 2 3 2" xfId="41731"/>
    <cellStyle name="Output 16 3 2 3 2 4" xfId="31111"/>
    <cellStyle name="Output 16 3 2 3 2_Table 2A-1_EFT (Annual)" xfId="7684"/>
    <cellStyle name="Output 16 3 2 3 3" xfId="11013"/>
    <cellStyle name="Output 16 3 2 3 3 2" xfId="23111"/>
    <cellStyle name="Output 16 3 2 3 3 2 2" xfId="44297"/>
    <cellStyle name="Output 16 3 2 3 3 3" xfId="33693"/>
    <cellStyle name="Output 16 3 2 3 4" xfId="17998"/>
    <cellStyle name="Output 16 3 2 3 4 2" xfId="39185"/>
    <cellStyle name="Output 16 3 2 3 5" xfId="28368"/>
    <cellStyle name="Output 16 3 2 3_Table 2A-1_EFT (Annual)" xfId="7683"/>
    <cellStyle name="Output 16 3 2 4" xfId="4938"/>
    <cellStyle name="Output 16 3 2 4 2" xfId="13198"/>
    <cellStyle name="Output 16 3 2 4 2 2" xfId="25204"/>
    <cellStyle name="Output 16 3 2 4 2 2 2" xfId="46390"/>
    <cellStyle name="Output 16 3 2 4 2 3" xfId="35786"/>
    <cellStyle name="Output 16 3 2 4 3" xfId="20091"/>
    <cellStyle name="Output 16 3 2 4 3 2" xfId="41278"/>
    <cellStyle name="Output 16 3 2 4 4" xfId="30595"/>
    <cellStyle name="Output 16 3 2 4_Table 2A-1_EFT (Annual)" xfId="7685"/>
    <cellStyle name="Output 16 3 2 5" xfId="10542"/>
    <cellStyle name="Output 16 3 2 5 2" xfId="22658"/>
    <cellStyle name="Output 16 3 2 5 2 2" xfId="43844"/>
    <cellStyle name="Output 16 3 2 5 3" xfId="33240"/>
    <cellStyle name="Output 16 3 2 6" xfId="17545"/>
    <cellStyle name="Output 16 3 2 6 2" xfId="38732"/>
    <cellStyle name="Output 16 3 2 7" xfId="27852"/>
    <cellStyle name="Output 16 3 2_Table 2A-1_EFT (Annual)" xfId="3362"/>
    <cellStyle name="Output 16 3 3" xfId="2116"/>
    <cellStyle name="Output 16 3 3 2" xfId="5677"/>
    <cellStyle name="Output 16 3 3 2 2" xfId="13892"/>
    <cellStyle name="Output 16 3 3 2 2 2" xfId="25880"/>
    <cellStyle name="Output 16 3 3 2 2 2 2" xfId="47066"/>
    <cellStyle name="Output 16 3 3 2 2 3" xfId="36462"/>
    <cellStyle name="Output 16 3 3 2 3" xfId="20767"/>
    <cellStyle name="Output 16 3 3 2 3 2" xfId="41954"/>
    <cellStyle name="Output 16 3 3 2 4" xfId="31334"/>
    <cellStyle name="Output 16 3 3 2_Table 2A-1_EFT (Annual)" xfId="7687"/>
    <cellStyle name="Output 16 3 3 3" xfId="11236"/>
    <cellStyle name="Output 16 3 3 3 2" xfId="23334"/>
    <cellStyle name="Output 16 3 3 3 2 2" xfId="44520"/>
    <cellStyle name="Output 16 3 3 3 3" xfId="33916"/>
    <cellStyle name="Output 16 3 3 4" xfId="18221"/>
    <cellStyle name="Output 16 3 3 4 2" xfId="39408"/>
    <cellStyle name="Output 16 3 3 5" xfId="28591"/>
    <cellStyle name="Output 16 3 3_Table 2A-1_EFT (Annual)" xfId="7686"/>
    <cellStyle name="Output 16 3 4" xfId="1713"/>
    <cellStyle name="Output 16 3 4 2" xfId="5274"/>
    <cellStyle name="Output 16 3 4 2 2" xfId="13503"/>
    <cellStyle name="Output 16 3 4 2 2 2" xfId="25496"/>
    <cellStyle name="Output 16 3 4 2 2 2 2" xfId="46682"/>
    <cellStyle name="Output 16 3 4 2 2 3" xfId="36078"/>
    <cellStyle name="Output 16 3 4 2 3" xfId="20383"/>
    <cellStyle name="Output 16 3 4 2 3 2" xfId="41570"/>
    <cellStyle name="Output 16 3 4 2 4" xfId="30931"/>
    <cellStyle name="Output 16 3 4 2_Table 2A-1_EFT (Annual)" xfId="7689"/>
    <cellStyle name="Output 16 3 4 3" xfId="10847"/>
    <cellStyle name="Output 16 3 4 3 2" xfId="22950"/>
    <cellStyle name="Output 16 3 4 3 2 2" xfId="44136"/>
    <cellStyle name="Output 16 3 4 3 3" xfId="33532"/>
    <cellStyle name="Output 16 3 4 4" xfId="17837"/>
    <cellStyle name="Output 16 3 4 4 2" xfId="39024"/>
    <cellStyle name="Output 16 3 4 5" xfId="28188"/>
    <cellStyle name="Output 16 3 4_Table 2A-1_EFT (Annual)" xfId="7688"/>
    <cellStyle name="Output 16 3 5" xfId="3964"/>
    <cellStyle name="Output 16 3 5 2" xfId="12292"/>
    <cellStyle name="Output 16 3 5 2 2" xfId="24316"/>
    <cellStyle name="Output 16 3 5 2 2 2" xfId="45502"/>
    <cellStyle name="Output 16 3 5 2 3" xfId="34898"/>
    <cellStyle name="Output 16 3 5 3" xfId="19203"/>
    <cellStyle name="Output 16 3 5 3 2" xfId="40390"/>
    <cellStyle name="Output 16 3 5 4" xfId="29652"/>
    <cellStyle name="Output 16 3 5_Table 2A-1_EFT (Annual)" xfId="7690"/>
    <cellStyle name="Output 16 3 6" xfId="9629"/>
    <cellStyle name="Output 16 3 6 2" xfId="21770"/>
    <cellStyle name="Output 16 3 6 2 2" xfId="42956"/>
    <cellStyle name="Output 16 3 6 3" xfId="32352"/>
    <cellStyle name="Output 16 3 7" xfId="16657"/>
    <cellStyle name="Output 16 3 7 2" xfId="37844"/>
    <cellStyle name="Output 16 3 8" xfId="26909"/>
    <cellStyle name="Output 16 3_Table 2A-1_EFT (Annual)" xfId="3361"/>
    <cellStyle name="Output 16 4" xfId="1211"/>
    <cellStyle name="Output 16 4 2" xfId="2481"/>
    <cellStyle name="Output 16 4 2 2" xfId="6042"/>
    <cellStyle name="Output 16 4 2 2 2" xfId="14236"/>
    <cellStyle name="Output 16 4 2 2 2 2" xfId="26208"/>
    <cellStyle name="Output 16 4 2 2 2 2 2" xfId="47394"/>
    <cellStyle name="Output 16 4 2 2 2 3" xfId="36790"/>
    <cellStyle name="Output 16 4 2 2 3" xfId="21095"/>
    <cellStyle name="Output 16 4 2 2 3 2" xfId="42282"/>
    <cellStyle name="Output 16 4 2 2 4" xfId="31698"/>
    <cellStyle name="Output 16 4 2 2_Table 2A-1_EFT (Annual)" xfId="7692"/>
    <cellStyle name="Output 16 4 2 3" xfId="11578"/>
    <cellStyle name="Output 16 4 2 3 2" xfId="23662"/>
    <cellStyle name="Output 16 4 2 3 2 2" xfId="44848"/>
    <cellStyle name="Output 16 4 2 3 3" xfId="34244"/>
    <cellStyle name="Output 16 4 2 4" xfId="18549"/>
    <cellStyle name="Output 16 4 2 4 2" xfId="39736"/>
    <cellStyle name="Output 16 4 2 5" xfId="28955"/>
    <cellStyle name="Output 16 4 2_Table 2A-1_EFT (Annual)" xfId="7691"/>
    <cellStyle name="Output 16 4 3" xfId="1829"/>
    <cellStyle name="Output 16 4 3 2" xfId="5390"/>
    <cellStyle name="Output 16 4 3 2 2" xfId="13605"/>
    <cellStyle name="Output 16 4 3 2 2 2" xfId="25593"/>
    <cellStyle name="Output 16 4 3 2 2 2 2" xfId="46779"/>
    <cellStyle name="Output 16 4 3 2 2 3" xfId="36175"/>
    <cellStyle name="Output 16 4 3 2 3" xfId="20480"/>
    <cellStyle name="Output 16 4 3 2 3 2" xfId="41667"/>
    <cellStyle name="Output 16 4 3 2 4" xfId="31047"/>
    <cellStyle name="Output 16 4 3 2_Table 2A-1_EFT (Annual)" xfId="7694"/>
    <cellStyle name="Output 16 4 3 3" xfId="10949"/>
    <cellStyle name="Output 16 4 3 3 2" xfId="23047"/>
    <cellStyle name="Output 16 4 3 3 2 2" xfId="44233"/>
    <cellStyle name="Output 16 4 3 3 3" xfId="33629"/>
    <cellStyle name="Output 16 4 3 4" xfId="17934"/>
    <cellStyle name="Output 16 4 3 4 2" xfId="39121"/>
    <cellStyle name="Output 16 4 3 5" xfId="28304"/>
    <cellStyle name="Output 16 4 3_Table 2A-1_EFT (Annual)" xfId="7693"/>
    <cellStyle name="Output 16 4 4" xfId="4772"/>
    <cellStyle name="Output 16 4 4 2" xfId="13032"/>
    <cellStyle name="Output 16 4 4 2 2" xfId="25038"/>
    <cellStyle name="Output 16 4 4 2 2 2" xfId="46224"/>
    <cellStyle name="Output 16 4 4 2 3" xfId="35620"/>
    <cellStyle name="Output 16 4 4 3" xfId="19925"/>
    <cellStyle name="Output 16 4 4 3 2" xfId="41112"/>
    <cellStyle name="Output 16 4 4 4" xfId="30429"/>
    <cellStyle name="Output 16 4 4_Table 2A-1_EFT (Annual)" xfId="7695"/>
    <cellStyle name="Output 16 4 5" xfId="10376"/>
    <cellStyle name="Output 16 4 5 2" xfId="22492"/>
    <cellStyle name="Output 16 4 5 2 2" xfId="43678"/>
    <cellStyle name="Output 16 4 5 3" xfId="33074"/>
    <cellStyle name="Output 16 4 6" xfId="17379"/>
    <cellStyle name="Output 16 4 6 2" xfId="38566"/>
    <cellStyle name="Output 16 4 7" xfId="27686"/>
    <cellStyle name="Output 16 4_Table 2A-1_EFT (Annual)" xfId="3363"/>
    <cellStyle name="Output 16 5" xfId="1950"/>
    <cellStyle name="Output 16 5 2" xfId="5511"/>
    <cellStyle name="Output 16 5 2 2" xfId="13726"/>
    <cellStyle name="Output 16 5 2 2 2" xfId="25714"/>
    <cellStyle name="Output 16 5 2 2 2 2" xfId="46900"/>
    <cellStyle name="Output 16 5 2 2 3" xfId="36296"/>
    <cellStyle name="Output 16 5 2 3" xfId="20601"/>
    <cellStyle name="Output 16 5 2 3 2" xfId="41788"/>
    <cellStyle name="Output 16 5 2 4" xfId="31168"/>
    <cellStyle name="Output 16 5 2_Table 2A-1_EFT (Annual)" xfId="7697"/>
    <cellStyle name="Output 16 5 3" xfId="11070"/>
    <cellStyle name="Output 16 5 3 2" xfId="23168"/>
    <cellStyle name="Output 16 5 3 2 2" xfId="44354"/>
    <cellStyle name="Output 16 5 3 3" xfId="33750"/>
    <cellStyle name="Output 16 5 4" xfId="18055"/>
    <cellStyle name="Output 16 5 4 2" xfId="39242"/>
    <cellStyle name="Output 16 5 5" xfId="28425"/>
    <cellStyle name="Output 16 5_Table 2A-1_EFT (Annual)" xfId="7696"/>
    <cellStyle name="Output 16 6" xfId="1656"/>
    <cellStyle name="Output 16 6 2" xfId="5217"/>
    <cellStyle name="Output 16 6 2 2" xfId="13464"/>
    <cellStyle name="Output 16 6 2 2 2" xfId="25464"/>
    <cellStyle name="Output 16 6 2 2 2 2" xfId="46650"/>
    <cellStyle name="Output 16 6 2 2 3" xfId="36046"/>
    <cellStyle name="Output 16 6 2 3" xfId="20351"/>
    <cellStyle name="Output 16 6 2 3 2" xfId="41538"/>
    <cellStyle name="Output 16 6 2 4" xfId="30874"/>
    <cellStyle name="Output 16 6 2_Table 2A-1_EFT (Annual)" xfId="7699"/>
    <cellStyle name="Output 16 6 3" xfId="10809"/>
    <cellStyle name="Output 16 6 3 2" xfId="22918"/>
    <cellStyle name="Output 16 6 3 2 2" xfId="44104"/>
    <cellStyle name="Output 16 6 3 3" xfId="33500"/>
    <cellStyle name="Output 16 6 4" xfId="17805"/>
    <cellStyle name="Output 16 6 4 2" xfId="38992"/>
    <cellStyle name="Output 16 6 5" xfId="28131"/>
    <cellStyle name="Output 16 6_Table 2A-1_EFT (Annual)" xfId="7698"/>
    <cellStyle name="Output 16 7" xfId="3752"/>
    <cellStyle name="Output 16 7 2" xfId="12120"/>
    <cellStyle name="Output 16 7 2 2" xfId="24150"/>
    <cellStyle name="Output 16 7 2 2 2" xfId="45336"/>
    <cellStyle name="Output 16 7 2 3" xfId="34732"/>
    <cellStyle name="Output 16 7 3" xfId="19037"/>
    <cellStyle name="Output 16 7 3 2" xfId="40224"/>
    <cellStyle name="Output 16 7 4" xfId="29461"/>
    <cellStyle name="Output 16 7_Table 2A-1_EFT (Annual)" xfId="7700"/>
    <cellStyle name="Output 16 8" xfId="9439"/>
    <cellStyle name="Output 16 8 2" xfId="21604"/>
    <cellStyle name="Output 16 8 2 2" xfId="42790"/>
    <cellStyle name="Output 16 8 3" xfId="32186"/>
    <cellStyle name="Output 16 9" xfId="16491"/>
    <cellStyle name="Output 16 9 2" xfId="37678"/>
    <cellStyle name="Output 16_Table 2A-1_EFT (Annual)" xfId="3358"/>
    <cellStyle name="Output 17" xfId="158"/>
    <cellStyle name="Output 17 10" xfId="26713"/>
    <cellStyle name="Output 17 2" xfId="551"/>
    <cellStyle name="Output 17 2 2" xfId="1528"/>
    <cellStyle name="Output 17 2 2 2" xfId="2798"/>
    <cellStyle name="Output 17 2 2 2 2" xfId="6359"/>
    <cellStyle name="Output 17 2 2 2 2 2" xfId="14553"/>
    <cellStyle name="Output 17 2 2 2 2 2 2" xfId="26525"/>
    <cellStyle name="Output 17 2 2 2 2 2 2 2" xfId="47711"/>
    <cellStyle name="Output 17 2 2 2 2 2 3" xfId="37107"/>
    <cellStyle name="Output 17 2 2 2 2 3" xfId="21412"/>
    <cellStyle name="Output 17 2 2 2 2 3 2" xfId="42599"/>
    <cellStyle name="Output 17 2 2 2 2 4" xfId="32015"/>
    <cellStyle name="Output 17 2 2 2 2_Table 2A-1_EFT (Annual)" xfId="7702"/>
    <cellStyle name="Output 17 2 2 2 3" xfId="11895"/>
    <cellStyle name="Output 17 2 2 2 3 2" xfId="23979"/>
    <cellStyle name="Output 17 2 2 2 3 2 2" xfId="45165"/>
    <cellStyle name="Output 17 2 2 2 3 3" xfId="34561"/>
    <cellStyle name="Output 17 2 2 2 4" xfId="18866"/>
    <cellStyle name="Output 17 2 2 2 4 2" xfId="40053"/>
    <cellStyle name="Output 17 2 2 2 5" xfId="29272"/>
    <cellStyle name="Output 17 2 2 2_Table 2A-1_EFT (Annual)" xfId="7701"/>
    <cellStyle name="Output 17 2 2 3" xfId="1923"/>
    <cellStyle name="Output 17 2 2 3 2" xfId="5484"/>
    <cellStyle name="Output 17 2 2 3 2 2" xfId="13699"/>
    <cellStyle name="Output 17 2 2 3 2 2 2" xfId="25687"/>
    <cellStyle name="Output 17 2 2 3 2 2 2 2" xfId="46873"/>
    <cellStyle name="Output 17 2 2 3 2 2 3" xfId="36269"/>
    <cellStyle name="Output 17 2 2 3 2 3" xfId="20574"/>
    <cellStyle name="Output 17 2 2 3 2 3 2" xfId="41761"/>
    <cellStyle name="Output 17 2 2 3 2 4" xfId="31141"/>
    <cellStyle name="Output 17 2 2 3 2_Table 2A-1_EFT (Annual)" xfId="7704"/>
    <cellStyle name="Output 17 2 2 3 3" xfId="11043"/>
    <cellStyle name="Output 17 2 2 3 3 2" xfId="23141"/>
    <cellStyle name="Output 17 2 2 3 3 2 2" xfId="44327"/>
    <cellStyle name="Output 17 2 2 3 3 3" xfId="33723"/>
    <cellStyle name="Output 17 2 2 3 4" xfId="18028"/>
    <cellStyle name="Output 17 2 2 3 4 2" xfId="39215"/>
    <cellStyle name="Output 17 2 2 3 5" xfId="28398"/>
    <cellStyle name="Output 17 2 2 3_Table 2A-1_EFT (Annual)" xfId="7703"/>
    <cellStyle name="Output 17 2 2 4" xfId="5089"/>
    <cellStyle name="Output 17 2 2 4 2" xfId="13349"/>
    <cellStyle name="Output 17 2 2 4 2 2" xfId="25355"/>
    <cellStyle name="Output 17 2 2 4 2 2 2" xfId="46541"/>
    <cellStyle name="Output 17 2 2 4 2 3" xfId="35937"/>
    <cellStyle name="Output 17 2 2 4 3" xfId="20242"/>
    <cellStyle name="Output 17 2 2 4 3 2" xfId="41429"/>
    <cellStyle name="Output 17 2 2 4 4" xfId="30746"/>
    <cellStyle name="Output 17 2 2 4_Table 2A-1_EFT (Annual)" xfId="7705"/>
    <cellStyle name="Output 17 2 2 5" xfId="10693"/>
    <cellStyle name="Output 17 2 2 5 2" xfId="22809"/>
    <cellStyle name="Output 17 2 2 5 2 2" xfId="43995"/>
    <cellStyle name="Output 17 2 2 5 3" xfId="33391"/>
    <cellStyle name="Output 17 2 2 6" xfId="17696"/>
    <cellStyle name="Output 17 2 2 6 2" xfId="38883"/>
    <cellStyle name="Output 17 2 2 7" xfId="28003"/>
    <cellStyle name="Output 17 2 2_Table 2A-1_EFT (Annual)" xfId="3366"/>
    <cellStyle name="Output 17 2 3" xfId="2267"/>
    <cellStyle name="Output 17 2 3 2" xfId="5828"/>
    <cellStyle name="Output 17 2 3 2 2" xfId="14043"/>
    <cellStyle name="Output 17 2 3 2 2 2" xfId="26031"/>
    <cellStyle name="Output 17 2 3 2 2 2 2" xfId="47217"/>
    <cellStyle name="Output 17 2 3 2 2 3" xfId="36613"/>
    <cellStyle name="Output 17 2 3 2 3" xfId="20918"/>
    <cellStyle name="Output 17 2 3 2 3 2" xfId="42105"/>
    <cellStyle name="Output 17 2 3 2 4" xfId="31485"/>
    <cellStyle name="Output 17 2 3 2_Table 2A-1_EFT (Annual)" xfId="7707"/>
    <cellStyle name="Output 17 2 3 3" xfId="11387"/>
    <cellStyle name="Output 17 2 3 3 2" xfId="23485"/>
    <cellStyle name="Output 17 2 3 3 2 2" xfId="44671"/>
    <cellStyle name="Output 17 2 3 3 3" xfId="34067"/>
    <cellStyle name="Output 17 2 3 4" xfId="18372"/>
    <cellStyle name="Output 17 2 3 4 2" xfId="39559"/>
    <cellStyle name="Output 17 2 3 5" xfId="28742"/>
    <cellStyle name="Output 17 2 3_Table 2A-1_EFT (Annual)" xfId="7706"/>
    <cellStyle name="Output 17 2 4" xfId="1748"/>
    <cellStyle name="Output 17 2 4 2" xfId="5309"/>
    <cellStyle name="Output 17 2 4 2 2" xfId="13534"/>
    <cellStyle name="Output 17 2 4 2 2 2" xfId="25525"/>
    <cellStyle name="Output 17 2 4 2 2 2 2" xfId="46711"/>
    <cellStyle name="Output 17 2 4 2 2 3" xfId="36107"/>
    <cellStyle name="Output 17 2 4 2 3" xfId="20412"/>
    <cellStyle name="Output 17 2 4 2 3 2" xfId="41599"/>
    <cellStyle name="Output 17 2 4 2 4" xfId="30966"/>
    <cellStyle name="Output 17 2 4 2_Table 2A-1_EFT (Annual)" xfId="7709"/>
    <cellStyle name="Output 17 2 4 3" xfId="10877"/>
    <cellStyle name="Output 17 2 4 3 2" xfId="22979"/>
    <cellStyle name="Output 17 2 4 3 2 2" xfId="44165"/>
    <cellStyle name="Output 17 2 4 3 3" xfId="33561"/>
    <cellStyle name="Output 17 2 4 4" xfId="17866"/>
    <cellStyle name="Output 17 2 4 4 2" xfId="39053"/>
    <cellStyle name="Output 17 2 4 5" xfId="28223"/>
    <cellStyle name="Output 17 2 4_Table 2A-1_EFT (Annual)" xfId="7708"/>
    <cellStyle name="Output 17 2 5" xfId="4121"/>
    <cellStyle name="Output 17 2 5 2" xfId="12445"/>
    <cellStyle name="Output 17 2 5 2 2" xfId="24467"/>
    <cellStyle name="Output 17 2 5 2 2 2" xfId="45653"/>
    <cellStyle name="Output 17 2 5 2 3" xfId="35049"/>
    <cellStyle name="Output 17 2 5 3" xfId="19354"/>
    <cellStyle name="Output 17 2 5 3 2" xfId="40541"/>
    <cellStyle name="Output 17 2 5 4" xfId="29809"/>
    <cellStyle name="Output 17 2 5_Table 2A-1_EFT (Annual)" xfId="7710"/>
    <cellStyle name="Output 17 2 6" xfId="9784"/>
    <cellStyle name="Output 17 2 6 2" xfId="21921"/>
    <cellStyle name="Output 17 2 6 2 2" xfId="43107"/>
    <cellStyle name="Output 17 2 6 3" xfId="32503"/>
    <cellStyle name="Output 17 2 7" xfId="16808"/>
    <cellStyle name="Output 17 2 7 2" xfId="37995"/>
    <cellStyle name="Output 17 2 8" xfId="27066"/>
    <cellStyle name="Output 17 2_Table 2A-1_EFT (Annual)" xfId="3365"/>
    <cellStyle name="Output 17 3" xfId="389"/>
    <cellStyle name="Output 17 3 2" xfId="1372"/>
    <cellStyle name="Output 17 3 2 2" xfId="2642"/>
    <cellStyle name="Output 17 3 2 2 2" xfId="6203"/>
    <cellStyle name="Output 17 3 2 2 2 2" xfId="14397"/>
    <cellStyle name="Output 17 3 2 2 2 2 2" xfId="26369"/>
    <cellStyle name="Output 17 3 2 2 2 2 2 2" xfId="47555"/>
    <cellStyle name="Output 17 3 2 2 2 2 3" xfId="36951"/>
    <cellStyle name="Output 17 3 2 2 2 3" xfId="21256"/>
    <cellStyle name="Output 17 3 2 2 2 3 2" xfId="42443"/>
    <cellStyle name="Output 17 3 2 2 2 4" xfId="31859"/>
    <cellStyle name="Output 17 3 2 2 2_Table 2A-1_EFT (Annual)" xfId="7712"/>
    <cellStyle name="Output 17 3 2 2 3" xfId="11739"/>
    <cellStyle name="Output 17 3 2 2 3 2" xfId="23823"/>
    <cellStyle name="Output 17 3 2 2 3 2 2" xfId="45009"/>
    <cellStyle name="Output 17 3 2 2 3 3" xfId="34405"/>
    <cellStyle name="Output 17 3 2 2 4" xfId="18710"/>
    <cellStyle name="Output 17 3 2 2 4 2" xfId="39897"/>
    <cellStyle name="Output 17 3 2 2 5" xfId="29116"/>
    <cellStyle name="Output 17 3 2 2_Table 2A-1_EFT (Annual)" xfId="7711"/>
    <cellStyle name="Output 17 3 2 3" xfId="1892"/>
    <cellStyle name="Output 17 3 2 3 2" xfId="5453"/>
    <cellStyle name="Output 17 3 2 3 2 2" xfId="13668"/>
    <cellStyle name="Output 17 3 2 3 2 2 2" xfId="25656"/>
    <cellStyle name="Output 17 3 2 3 2 2 2 2" xfId="46842"/>
    <cellStyle name="Output 17 3 2 3 2 2 3" xfId="36238"/>
    <cellStyle name="Output 17 3 2 3 2 3" xfId="20543"/>
    <cellStyle name="Output 17 3 2 3 2 3 2" xfId="41730"/>
    <cellStyle name="Output 17 3 2 3 2 4" xfId="31110"/>
    <cellStyle name="Output 17 3 2 3 2_Table 2A-1_EFT (Annual)" xfId="7714"/>
    <cellStyle name="Output 17 3 2 3 3" xfId="11012"/>
    <cellStyle name="Output 17 3 2 3 3 2" xfId="23110"/>
    <cellStyle name="Output 17 3 2 3 3 2 2" xfId="44296"/>
    <cellStyle name="Output 17 3 2 3 3 3" xfId="33692"/>
    <cellStyle name="Output 17 3 2 3 4" xfId="17997"/>
    <cellStyle name="Output 17 3 2 3 4 2" xfId="39184"/>
    <cellStyle name="Output 17 3 2 3 5" xfId="28367"/>
    <cellStyle name="Output 17 3 2 3_Table 2A-1_EFT (Annual)" xfId="7713"/>
    <cellStyle name="Output 17 3 2 4" xfId="4933"/>
    <cellStyle name="Output 17 3 2 4 2" xfId="13193"/>
    <cellStyle name="Output 17 3 2 4 2 2" xfId="25199"/>
    <cellStyle name="Output 17 3 2 4 2 2 2" xfId="46385"/>
    <cellStyle name="Output 17 3 2 4 2 3" xfId="35781"/>
    <cellStyle name="Output 17 3 2 4 3" xfId="20086"/>
    <cellStyle name="Output 17 3 2 4 3 2" xfId="41273"/>
    <cellStyle name="Output 17 3 2 4 4" xfId="30590"/>
    <cellStyle name="Output 17 3 2 4_Table 2A-1_EFT (Annual)" xfId="7715"/>
    <cellStyle name="Output 17 3 2 5" xfId="10537"/>
    <cellStyle name="Output 17 3 2 5 2" xfId="22653"/>
    <cellStyle name="Output 17 3 2 5 2 2" xfId="43839"/>
    <cellStyle name="Output 17 3 2 5 3" xfId="33235"/>
    <cellStyle name="Output 17 3 2 6" xfId="17540"/>
    <cellStyle name="Output 17 3 2 6 2" xfId="38727"/>
    <cellStyle name="Output 17 3 2 7" xfId="27847"/>
    <cellStyle name="Output 17 3 2_Table 2A-1_EFT (Annual)" xfId="3368"/>
    <cellStyle name="Output 17 3 3" xfId="2111"/>
    <cellStyle name="Output 17 3 3 2" xfId="5672"/>
    <cellStyle name="Output 17 3 3 2 2" xfId="13887"/>
    <cellStyle name="Output 17 3 3 2 2 2" xfId="25875"/>
    <cellStyle name="Output 17 3 3 2 2 2 2" xfId="47061"/>
    <cellStyle name="Output 17 3 3 2 2 3" xfId="36457"/>
    <cellStyle name="Output 17 3 3 2 3" xfId="20762"/>
    <cellStyle name="Output 17 3 3 2 3 2" xfId="41949"/>
    <cellStyle name="Output 17 3 3 2 4" xfId="31329"/>
    <cellStyle name="Output 17 3 3 2_Table 2A-1_EFT (Annual)" xfId="7717"/>
    <cellStyle name="Output 17 3 3 3" xfId="11231"/>
    <cellStyle name="Output 17 3 3 3 2" xfId="23329"/>
    <cellStyle name="Output 17 3 3 3 2 2" xfId="44515"/>
    <cellStyle name="Output 17 3 3 3 3" xfId="33911"/>
    <cellStyle name="Output 17 3 3 4" xfId="18216"/>
    <cellStyle name="Output 17 3 3 4 2" xfId="39403"/>
    <cellStyle name="Output 17 3 3 5" xfId="28586"/>
    <cellStyle name="Output 17 3 3_Table 2A-1_EFT (Annual)" xfId="7716"/>
    <cellStyle name="Output 17 3 4" xfId="1712"/>
    <cellStyle name="Output 17 3 4 2" xfId="5273"/>
    <cellStyle name="Output 17 3 4 2 2" xfId="13502"/>
    <cellStyle name="Output 17 3 4 2 2 2" xfId="25495"/>
    <cellStyle name="Output 17 3 4 2 2 2 2" xfId="46681"/>
    <cellStyle name="Output 17 3 4 2 2 3" xfId="36077"/>
    <cellStyle name="Output 17 3 4 2 3" xfId="20382"/>
    <cellStyle name="Output 17 3 4 2 3 2" xfId="41569"/>
    <cellStyle name="Output 17 3 4 2 4" xfId="30930"/>
    <cellStyle name="Output 17 3 4 2_Table 2A-1_EFT (Annual)" xfId="7719"/>
    <cellStyle name="Output 17 3 4 3" xfId="10846"/>
    <cellStyle name="Output 17 3 4 3 2" xfId="22949"/>
    <cellStyle name="Output 17 3 4 3 2 2" xfId="44135"/>
    <cellStyle name="Output 17 3 4 3 3" xfId="33531"/>
    <cellStyle name="Output 17 3 4 4" xfId="17836"/>
    <cellStyle name="Output 17 3 4 4 2" xfId="39023"/>
    <cellStyle name="Output 17 3 4 5" xfId="28187"/>
    <cellStyle name="Output 17 3 4_Table 2A-1_EFT (Annual)" xfId="7718"/>
    <cellStyle name="Output 17 3 5" xfId="3959"/>
    <cellStyle name="Output 17 3 5 2" xfId="12287"/>
    <cellStyle name="Output 17 3 5 2 2" xfId="24311"/>
    <cellStyle name="Output 17 3 5 2 2 2" xfId="45497"/>
    <cellStyle name="Output 17 3 5 2 3" xfId="34893"/>
    <cellStyle name="Output 17 3 5 3" xfId="19198"/>
    <cellStyle name="Output 17 3 5 3 2" xfId="40385"/>
    <cellStyle name="Output 17 3 5 4" xfId="29647"/>
    <cellStyle name="Output 17 3 5_Table 2A-1_EFT (Annual)" xfId="7720"/>
    <cellStyle name="Output 17 3 6" xfId="9624"/>
    <cellStyle name="Output 17 3 6 2" xfId="21765"/>
    <cellStyle name="Output 17 3 6 2 2" xfId="42951"/>
    <cellStyle name="Output 17 3 6 3" xfId="32347"/>
    <cellStyle name="Output 17 3 7" xfId="16652"/>
    <cellStyle name="Output 17 3 7 2" xfId="37839"/>
    <cellStyle name="Output 17 3 8" xfId="26904"/>
    <cellStyle name="Output 17 3_Table 2A-1_EFT (Annual)" xfId="3367"/>
    <cellStyle name="Output 17 4" xfId="1206"/>
    <cellStyle name="Output 17 4 2" xfId="2476"/>
    <cellStyle name="Output 17 4 2 2" xfId="6037"/>
    <cellStyle name="Output 17 4 2 2 2" xfId="14231"/>
    <cellStyle name="Output 17 4 2 2 2 2" xfId="26203"/>
    <cellStyle name="Output 17 4 2 2 2 2 2" xfId="47389"/>
    <cellStyle name="Output 17 4 2 2 2 3" xfId="36785"/>
    <cellStyle name="Output 17 4 2 2 3" xfId="21090"/>
    <cellStyle name="Output 17 4 2 2 3 2" xfId="42277"/>
    <cellStyle name="Output 17 4 2 2 4" xfId="31693"/>
    <cellStyle name="Output 17 4 2 2_Table 2A-1_EFT (Annual)" xfId="7722"/>
    <cellStyle name="Output 17 4 2 3" xfId="11573"/>
    <cellStyle name="Output 17 4 2 3 2" xfId="23657"/>
    <cellStyle name="Output 17 4 2 3 2 2" xfId="44843"/>
    <cellStyle name="Output 17 4 2 3 3" xfId="34239"/>
    <cellStyle name="Output 17 4 2 4" xfId="18544"/>
    <cellStyle name="Output 17 4 2 4 2" xfId="39731"/>
    <cellStyle name="Output 17 4 2 5" xfId="28950"/>
    <cellStyle name="Output 17 4 2_Table 2A-1_EFT (Annual)" xfId="7721"/>
    <cellStyle name="Output 17 4 3" xfId="1828"/>
    <cellStyle name="Output 17 4 3 2" xfId="5389"/>
    <cellStyle name="Output 17 4 3 2 2" xfId="13604"/>
    <cellStyle name="Output 17 4 3 2 2 2" xfId="25592"/>
    <cellStyle name="Output 17 4 3 2 2 2 2" xfId="46778"/>
    <cellStyle name="Output 17 4 3 2 2 3" xfId="36174"/>
    <cellStyle name="Output 17 4 3 2 3" xfId="20479"/>
    <cellStyle name="Output 17 4 3 2 3 2" xfId="41666"/>
    <cellStyle name="Output 17 4 3 2 4" xfId="31046"/>
    <cellStyle name="Output 17 4 3 2_Table 2A-1_EFT (Annual)" xfId="7724"/>
    <cellStyle name="Output 17 4 3 3" xfId="10948"/>
    <cellStyle name="Output 17 4 3 3 2" xfId="23046"/>
    <cellStyle name="Output 17 4 3 3 2 2" xfId="44232"/>
    <cellStyle name="Output 17 4 3 3 3" xfId="33628"/>
    <cellStyle name="Output 17 4 3 4" xfId="17933"/>
    <cellStyle name="Output 17 4 3 4 2" xfId="39120"/>
    <cellStyle name="Output 17 4 3 5" xfId="28303"/>
    <cellStyle name="Output 17 4 3_Table 2A-1_EFT (Annual)" xfId="7723"/>
    <cellStyle name="Output 17 4 4" xfId="4767"/>
    <cellStyle name="Output 17 4 4 2" xfId="13027"/>
    <cellStyle name="Output 17 4 4 2 2" xfId="25033"/>
    <cellStyle name="Output 17 4 4 2 2 2" xfId="46219"/>
    <cellStyle name="Output 17 4 4 2 3" xfId="35615"/>
    <cellStyle name="Output 17 4 4 3" xfId="19920"/>
    <cellStyle name="Output 17 4 4 3 2" xfId="41107"/>
    <cellStyle name="Output 17 4 4 4" xfId="30424"/>
    <cellStyle name="Output 17 4 4_Table 2A-1_EFT (Annual)" xfId="7725"/>
    <cellStyle name="Output 17 4 5" xfId="10371"/>
    <cellStyle name="Output 17 4 5 2" xfId="22487"/>
    <cellStyle name="Output 17 4 5 2 2" xfId="43673"/>
    <cellStyle name="Output 17 4 5 3" xfId="33069"/>
    <cellStyle name="Output 17 4 6" xfId="17374"/>
    <cellStyle name="Output 17 4 6 2" xfId="38561"/>
    <cellStyle name="Output 17 4 7" xfId="27681"/>
    <cellStyle name="Output 17 4_Table 2A-1_EFT (Annual)" xfId="3369"/>
    <cellStyle name="Output 17 5" xfId="1945"/>
    <cellStyle name="Output 17 5 2" xfId="5506"/>
    <cellStyle name="Output 17 5 2 2" xfId="13721"/>
    <cellStyle name="Output 17 5 2 2 2" xfId="25709"/>
    <cellStyle name="Output 17 5 2 2 2 2" xfId="46895"/>
    <cellStyle name="Output 17 5 2 2 3" xfId="36291"/>
    <cellStyle name="Output 17 5 2 3" xfId="20596"/>
    <cellStyle name="Output 17 5 2 3 2" xfId="41783"/>
    <cellStyle name="Output 17 5 2 4" xfId="31163"/>
    <cellStyle name="Output 17 5 2_Table 2A-1_EFT (Annual)" xfId="7727"/>
    <cellStyle name="Output 17 5 3" xfId="11065"/>
    <cellStyle name="Output 17 5 3 2" xfId="23163"/>
    <cellStyle name="Output 17 5 3 2 2" xfId="44349"/>
    <cellStyle name="Output 17 5 3 3" xfId="33745"/>
    <cellStyle name="Output 17 5 4" xfId="18050"/>
    <cellStyle name="Output 17 5 4 2" xfId="39237"/>
    <cellStyle name="Output 17 5 5" xfId="28420"/>
    <cellStyle name="Output 17 5_Table 2A-1_EFT (Annual)" xfId="7726"/>
    <cellStyle name="Output 17 6" xfId="1655"/>
    <cellStyle name="Output 17 6 2" xfId="5216"/>
    <cellStyle name="Output 17 6 2 2" xfId="13463"/>
    <cellStyle name="Output 17 6 2 2 2" xfId="25463"/>
    <cellStyle name="Output 17 6 2 2 2 2" xfId="46649"/>
    <cellStyle name="Output 17 6 2 2 3" xfId="36045"/>
    <cellStyle name="Output 17 6 2 3" xfId="20350"/>
    <cellStyle name="Output 17 6 2 3 2" xfId="41537"/>
    <cellStyle name="Output 17 6 2 4" xfId="30873"/>
    <cellStyle name="Output 17 6 2_Table 2A-1_EFT (Annual)" xfId="7729"/>
    <cellStyle name="Output 17 6 3" xfId="10808"/>
    <cellStyle name="Output 17 6 3 2" xfId="22917"/>
    <cellStyle name="Output 17 6 3 2 2" xfId="44103"/>
    <cellStyle name="Output 17 6 3 3" xfId="33499"/>
    <cellStyle name="Output 17 6 4" xfId="17804"/>
    <cellStyle name="Output 17 6 4 2" xfId="38991"/>
    <cellStyle name="Output 17 6 5" xfId="28130"/>
    <cellStyle name="Output 17 6_Table 2A-1_EFT (Annual)" xfId="7728"/>
    <cellStyle name="Output 17 7" xfId="3747"/>
    <cellStyle name="Output 17 7 2" xfId="12115"/>
    <cellStyle name="Output 17 7 2 2" xfId="24145"/>
    <cellStyle name="Output 17 7 2 2 2" xfId="45331"/>
    <cellStyle name="Output 17 7 2 3" xfId="34727"/>
    <cellStyle name="Output 17 7 3" xfId="19032"/>
    <cellStyle name="Output 17 7 3 2" xfId="40219"/>
    <cellStyle name="Output 17 7 4" xfId="29456"/>
    <cellStyle name="Output 17 7_Table 2A-1_EFT (Annual)" xfId="7730"/>
    <cellStyle name="Output 17 8" xfId="9434"/>
    <cellStyle name="Output 17 8 2" xfId="21599"/>
    <cellStyle name="Output 17 8 2 2" xfId="42785"/>
    <cellStyle name="Output 17 8 3" xfId="32181"/>
    <cellStyle name="Output 17 9" xfId="16486"/>
    <cellStyle name="Output 17 9 2" xfId="37673"/>
    <cellStyle name="Output 17_Table 2A-1_EFT (Annual)" xfId="3364"/>
    <cellStyle name="Output 18" xfId="173"/>
    <cellStyle name="Output 18 10" xfId="26728"/>
    <cellStyle name="Output 18 2" xfId="566"/>
    <cellStyle name="Output 18 2 2" xfId="1543"/>
    <cellStyle name="Output 18 2 2 2" xfId="2813"/>
    <cellStyle name="Output 18 2 2 2 2" xfId="6374"/>
    <cellStyle name="Output 18 2 2 2 2 2" xfId="14568"/>
    <cellStyle name="Output 18 2 2 2 2 2 2" xfId="26540"/>
    <cellStyle name="Output 18 2 2 2 2 2 2 2" xfId="47726"/>
    <cellStyle name="Output 18 2 2 2 2 2 3" xfId="37122"/>
    <cellStyle name="Output 18 2 2 2 2 3" xfId="21427"/>
    <cellStyle name="Output 18 2 2 2 2 3 2" xfId="42614"/>
    <cellStyle name="Output 18 2 2 2 2 4" xfId="32030"/>
    <cellStyle name="Output 18 2 2 2 2_Table 2A-1_EFT (Annual)" xfId="7732"/>
    <cellStyle name="Output 18 2 2 2 3" xfId="11910"/>
    <cellStyle name="Output 18 2 2 2 3 2" xfId="23994"/>
    <cellStyle name="Output 18 2 2 2 3 2 2" xfId="45180"/>
    <cellStyle name="Output 18 2 2 2 3 3" xfId="34576"/>
    <cellStyle name="Output 18 2 2 2 4" xfId="18881"/>
    <cellStyle name="Output 18 2 2 2 4 2" xfId="40068"/>
    <cellStyle name="Output 18 2 2 2 5" xfId="29287"/>
    <cellStyle name="Output 18 2 2 2_Table 2A-1_EFT (Annual)" xfId="7731"/>
    <cellStyle name="Output 18 2 2 3" xfId="1926"/>
    <cellStyle name="Output 18 2 2 3 2" xfId="5487"/>
    <cellStyle name="Output 18 2 2 3 2 2" xfId="13702"/>
    <cellStyle name="Output 18 2 2 3 2 2 2" xfId="25690"/>
    <cellStyle name="Output 18 2 2 3 2 2 2 2" xfId="46876"/>
    <cellStyle name="Output 18 2 2 3 2 2 3" xfId="36272"/>
    <cellStyle name="Output 18 2 2 3 2 3" xfId="20577"/>
    <cellStyle name="Output 18 2 2 3 2 3 2" xfId="41764"/>
    <cellStyle name="Output 18 2 2 3 2 4" xfId="31144"/>
    <cellStyle name="Output 18 2 2 3 2_Table 2A-1_EFT (Annual)" xfId="7734"/>
    <cellStyle name="Output 18 2 2 3 3" xfId="11046"/>
    <cellStyle name="Output 18 2 2 3 3 2" xfId="23144"/>
    <cellStyle name="Output 18 2 2 3 3 2 2" xfId="44330"/>
    <cellStyle name="Output 18 2 2 3 3 3" xfId="33726"/>
    <cellStyle name="Output 18 2 2 3 4" xfId="18031"/>
    <cellStyle name="Output 18 2 2 3 4 2" xfId="39218"/>
    <cellStyle name="Output 18 2 2 3 5" xfId="28401"/>
    <cellStyle name="Output 18 2 2 3_Table 2A-1_EFT (Annual)" xfId="7733"/>
    <cellStyle name="Output 18 2 2 4" xfId="5104"/>
    <cellStyle name="Output 18 2 2 4 2" xfId="13364"/>
    <cellStyle name="Output 18 2 2 4 2 2" xfId="25370"/>
    <cellStyle name="Output 18 2 2 4 2 2 2" xfId="46556"/>
    <cellStyle name="Output 18 2 2 4 2 3" xfId="35952"/>
    <cellStyle name="Output 18 2 2 4 3" xfId="20257"/>
    <cellStyle name="Output 18 2 2 4 3 2" xfId="41444"/>
    <cellStyle name="Output 18 2 2 4 4" xfId="30761"/>
    <cellStyle name="Output 18 2 2 4_Table 2A-1_EFT (Annual)" xfId="7735"/>
    <cellStyle name="Output 18 2 2 5" xfId="10708"/>
    <cellStyle name="Output 18 2 2 5 2" xfId="22824"/>
    <cellStyle name="Output 18 2 2 5 2 2" xfId="44010"/>
    <cellStyle name="Output 18 2 2 5 3" xfId="33406"/>
    <cellStyle name="Output 18 2 2 6" xfId="17711"/>
    <cellStyle name="Output 18 2 2 6 2" xfId="38898"/>
    <cellStyle name="Output 18 2 2 7" xfId="28018"/>
    <cellStyle name="Output 18 2 2_Table 2A-1_EFT (Annual)" xfId="3372"/>
    <cellStyle name="Output 18 2 3" xfId="2282"/>
    <cellStyle name="Output 18 2 3 2" xfId="5843"/>
    <cellStyle name="Output 18 2 3 2 2" xfId="14058"/>
    <cellStyle name="Output 18 2 3 2 2 2" xfId="26046"/>
    <cellStyle name="Output 18 2 3 2 2 2 2" xfId="47232"/>
    <cellStyle name="Output 18 2 3 2 2 3" xfId="36628"/>
    <cellStyle name="Output 18 2 3 2 3" xfId="20933"/>
    <cellStyle name="Output 18 2 3 2 3 2" xfId="42120"/>
    <cellStyle name="Output 18 2 3 2 4" xfId="31500"/>
    <cellStyle name="Output 18 2 3 2_Table 2A-1_EFT (Annual)" xfId="7737"/>
    <cellStyle name="Output 18 2 3 3" xfId="11402"/>
    <cellStyle name="Output 18 2 3 3 2" xfId="23500"/>
    <cellStyle name="Output 18 2 3 3 2 2" xfId="44686"/>
    <cellStyle name="Output 18 2 3 3 3" xfId="34082"/>
    <cellStyle name="Output 18 2 3 4" xfId="18387"/>
    <cellStyle name="Output 18 2 3 4 2" xfId="39574"/>
    <cellStyle name="Output 18 2 3 5" xfId="28757"/>
    <cellStyle name="Output 18 2 3_Table 2A-1_EFT (Annual)" xfId="7736"/>
    <cellStyle name="Output 18 2 4" xfId="1751"/>
    <cellStyle name="Output 18 2 4 2" xfId="5312"/>
    <cellStyle name="Output 18 2 4 2 2" xfId="13537"/>
    <cellStyle name="Output 18 2 4 2 2 2" xfId="25528"/>
    <cellStyle name="Output 18 2 4 2 2 2 2" xfId="46714"/>
    <cellStyle name="Output 18 2 4 2 2 3" xfId="36110"/>
    <cellStyle name="Output 18 2 4 2 3" xfId="20415"/>
    <cellStyle name="Output 18 2 4 2 3 2" xfId="41602"/>
    <cellStyle name="Output 18 2 4 2 4" xfId="30969"/>
    <cellStyle name="Output 18 2 4 2_Table 2A-1_EFT (Annual)" xfId="7739"/>
    <cellStyle name="Output 18 2 4 3" xfId="10880"/>
    <cellStyle name="Output 18 2 4 3 2" xfId="22982"/>
    <cellStyle name="Output 18 2 4 3 2 2" xfId="44168"/>
    <cellStyle name="Output 18 2 4 3 3" xfId="33564"/>
    <cellStyle name="Output 18 2 4 4" xfId="17869"/>
    <cellStyle name="Output 18 2 4 4 2" xfId="39056"/>
    <cellStyle name="Output 18 2 4 5" xfId="28226"/>
    <cellStyle name="Output 18 2 4_Table 2A-1_EFT (Annual)" xfId="7738"/>
    <cellStyle name="Output 18 2 5" xfId="4136"/>
    <cellStyle name="Output 18 2 5 2" xfId="12460"/>
    <cellStyle name="Output 18 2 5 2 2" xfId="24482"/>
    <cellStyle name="Output 18 2 5 2 2 2" xfId="45668"/>
    <cellStyle name="Output 18 2 5 2 3" xfId="35064"/>
    <cellStyle name="Output 18 2 5 3" xfId="19369"/>
    <cellStyle name="Output 18 2 5 3 2" xfId="40556"/>
    <cellStyle name="Output 18 2 5 4" xfId="29824"/>
    <cellStyle name="Output 18 2 5_Table 2A-1_EFT (Annual)" xfId="7740"/>
    <cellStyle name="Output 18 2 6" xfId="9799"/>
    <cellStyle name="Output 18 2 6 2" xfId="21936"/>
    <cellStyle name="Output 18 2 6 2 2" xfId="43122"/>
    <cellStyle name="Output 18 2 6 3" xfId="32518"/>
    <cellStyle name="Output 18 2 7" xfId="16823"/>
    <cellStyle name="Output 18 2 7 2" xfId="38010"/>
    <cellStyle name="Output 18 2 8" xfId="27081"/>
    <cellStyle name="Output 18 2_Table 2A-1_EFT (Annual)" xfId="3371"/>
    <cellStyle name="Output 18 3" xfId="404"/>
    <cellStyle name="Output 18 3 2" xfId="1387"/>
    <cellStyle name="Output 18 3 2 2" xfId="2657"/>
    <cellStyle name="Output 18 3 2 2 2" xfId="6218"/>
    <cellStyle name="Output 18 3 2 2 2 2" xfId="14412"/>
    <cellStyle name="Output 18 3 2 2 2 2 2" xfId="26384"/>
    <cellStyle name="Output 18 3 2 2 2 2 2 2" xfId="47570"/>
    <cellStyle name="Output 18 3 2 2 2 2 3" xfId="36966"/>
    <cellStyle name="Output 18 3 2 2 2 3" xfId="21271"/>
    <cellStyle name="Output 18 3 2 2 2 3 2" xfId="42458"/>
    <cellStyle name="Output 18 3 2 2 2 4" xfId="31874"/>
    <cellStyle name="Output 18 3 2 2 2_Table 2A-1_EFT (Annual)" xfId="7742"/>
    <cellStyle name="Output 18 3 2 2 3" xfId="11754"/>
    <cellStyle name="Output 18 3 2 2 3 2" xfId="23838"/>
    <cellStyle name="Output 18 3 2 2 3 2 2" xfId="45024"/>
    <cellStyle name="Output 18 3 2 2 3 3" xfId="34420"/>
    <cellStyle name="Output 18 3 2 2 4" xfId="18725"/>
    <cellStyle name="Output 18 3 2 2 4 2" xfId="39912"/>
    <cellStyle name="Output 18 3 2 2 5" xfId="29131"/>
    <cellStyle name="Output 18 3 2 2_Table 2A-1_EFT (Annual)" xfId="7741"/>
    <cellStyle name="Output 18 3 2 3" xfId="1895"/>
    <cellStyle name="Output 18 3 2 3 2" xfId="5456"/>
    <cellStyle name="Output 18 3 2 3 2 2" xfId="13671"/>
    <cellStyle name="Output 18 3 2 3 2 2 2" xfId="25659"/>
    <cellStyle name="Output 18 3 2 3 2 2 2 2" xfId="46845"/>
    <cellStyle name="Output 18 3 2 3 2 2 3" xfId="36241"/>
    <cellStyle name="Output 18 3 2 3 2 3" xfId="20546"/>
    <cellStyle name="Output 18 3 2 3 2 3 2" xfId="41733"/>
    <cellStyle name="Output 18 3 2 3 2 4" xfId="31113"/>
    <cellStyle name="Output 18 3 2 3 2_Table 2A-1_EFT (Annual)" xfId="7744"/>
    <cellStyle name="Output 18 3 2 3 3" xfId="11015"/>
    <cellStyle name="Output 18 3 2 3 3 2" xfId="23113"/>
    <cellStyle name="Output 18 3 2 3 3 2 2" xfId="44299"/>
    <cellStyle name="Output 18 3 2 3 3 3" xfId="33695"/>
    <cellStyle name="Output 18 3 2 3 4" xfId="18000"/>
    <cellStyle name="Output 18 3 2 3 4 2" xfId="39187"/>
    <cellStyle name="Output 18 3 2 3 5" xfId="28370"/>
    <cellStyle name="Output 18 3 2 3_Table 2A-1_EFT (Annual)" xfId="7743"/>
    <cellStyle name="Output 18 3 2 4" xfId="4948"/>
    <cellStyle name="Output 18 3 2 4 2" xfId="13208"/>
    <cellStyle name="Output 18 3 2 4 2 2" xfId="25214"/>
    <cellStyle name="Output 18 3 2 4 2 2 2" xfId="46400"/>
    <cellStyle name="Output 18 3 2 4 2 3" xfId="35796"/>
    <cellStyle name="Output 18 3 2 4 3" xfId="20101"/>
    <cellStyle name="Output 18 3 2 4 3 2" xfId="41288"/>
    <cellStyle name="Output 18 3 2 4 4" xfId="30605"/>
    <cellStyle name="Output 18 3 2 4_Table 2A-1_EFT (Annual)" xfId="7745"/>
    <cellStyle name="Output 18 3 2 5" xfId="10552"/>
    <cellStyle name="Output 18 3 2 5 2" xfId="22668"/>
    <cellStyle name="Output 18 3 2 5 2 2" xfId="43854"/>
    <cellStyle name="Output 18 3 2 5 3" xfId="33250"/>
    <cellStyle name="Output 18 3 2 6" xfId="17555"/>
    <cellStyle name="Output 18 3 2 6 2" xfId="38742"/>
    <cellStyle name="Output 18 3 2 7" xfId="27862"/>
    <cellStyle name="Output 18 3 2_Table 2A-1_EFT (Annual)" xfId="3374"/>
    <cellStyle name="Output 18 3 3" xfId="2126"/>
    <cellStyle name="Output 18 3 3 2" xfId="5687"/>
    <cellStyle name="Output 18 3 3 2 2" xfId="13902"/>
    <cellStyle name="Output 18 3 3 2 2 2" xfId="25890"/>
    <cellStyle name="Output 18 3 3 2 2 2 2" xfId="47076"/>
    <cellStyle name="Output 18 3 3 2 2 3" xfId="36472"/>
    <cellStyle name="Output 18 3 3 2 3" xfId="20777"/>
    <cellStyle name="Output 18 3 3 2 3 2" xfId="41964"/>
    <cellStyle name="Output 18 3 3 2 4" xfId="31344"/>
    <cellStyle name="Output 18 3 3 2_Table 2A-1_EFT (Annual)" xfId="7747"/>
    <cellStyle name="Output 18 3 3 3" xfId="11246"/>
    <cellStyle name="Output 18 3 3 3 2" xfId="23344"/>
    <cellStyle name="Output 18 3 3 3 2 2" xfId="44530"/>
    <cellStyle name="Output 18 3 3 3 3" xfId="33926"/>
    <cellStyle name="Output 18 3 3 4" xfId="18231"/>
    <cellStyle name="Output 18 3 3 4 2" xfId="39418"/>
    <cellStyle name="Output 18 3 3 5" xfId="28601"/>
    <cellStyle name="Output 18 3 3_Table 2A-1_EFT (Annual)" xfId="7746"/>
    <cellStyle name="Output 18 3 4" xfId="1715"/>
    <cellStyle name="Output 18 3 4 2" xfId="5276"/>
    <cellStyle name="Output 18 3 4 2 2" xfId="13505"/>
    <cellStyle name="Output 18 3 4 2 2 2" xfId="25498"/>
    <cellStyle name="Output 18 3 4 2 2 2 2" xfId="46684"/>
    <cellStyle name="Output 18 3 4 2 2 3" xfId="36080"/>
    <cellStyle name="Output 18 3 4 2 3" xfId="20385"/>
    <cellStyle name="Output 18 3 4 2 3 2" xfId="41572"/>
    <cellStyle name="Output 18 3 4 2 4" xfId="30933"/>
    <cellStyle name="Output 18 3 4 2_Table 2A-1_EFT (Annual)" xfId="7749"/>
    <cellStyle name="Output 18 3 4 3" xfId="10849"/>
    <cellStyle name="Output 18 3 4 3 2" xfId="22952"/>
    <cellStyle name="Output 18 3 4 3 2 2" xfId="44138"/>
    <cellStyle name="Output 18 3 4 3 3" xfId="33534"/>
    <cellStyle name="Output 18 3 4 4" xfId="17839"/>
    <cellStyle name="Output 18 3 4 4 2" xfId="39026"/>
    <cellStyle name="Output 18 3 4 5" xfId="28190"/>
    <cellStyle name="Output 18 3 4_Table 2A-1_EFT (Annual)" xfId="7748"/>
    <cellStyle name="Output 18 3 5" xfId="3974"/>
    <cellStyle name="Output 18 3 5 2" xfId="12302"/>
    <cellStyle name="Output 18 3 5 2 2" xfId="24326"/>
    <cellStyle name="Output 18 3 5 2 2 2" xfId="45512"/>
    <cellStyle name="Output 18 3 5 2 3" xfId="34908"/>
    <cellStyle name="Output 18 3 5 3" xfId="19213"/>
    <cellStyle name="Output 18 3 5 3 2" xfId="40400"/>
    <cellStyle name="Output 18 3 5 4" xfId="29662"/>
    <cellStyle name="Output 18 3 5_Table 2A-1_EFT (Annual)" xfId="7750"/>
    <cellStyle name="Output 18 3 6" xfId="9639"/>
    <cellStyle name="Output 18 3 6 2" xfId="21780"/>
    <cellStyle name="Output 18 3 6 2 2" xfId="42966"/>
    <cellStyle name="Output 18 3 6 3" xfId="32362"/>
    <cellStyle name="Output 18 3 7" xfId="16667"/>
    <cellStyle name="Output 18 3 7 2" xfId="37854"/>
    <cellStyle name="Output 18 3 8" xfId="26919"/>
    <cellStyle name="Output 18 3_Table 2A-1_EFT (Annual)" xfId="3373"/>
    <cellStyle name="Output 18 4" xfId="1221"/>
    <cellStyle name="Output 18 4 2" xfId="2491"/>
    <cellStyle name="Output 18 4 2 2" xfId="6052"/>
    <cellStyle name="Output 18 4 2 2 2" xfId="14246"/>
    <cellStyle name="Output 18 4 2 2 2 2" xfId="26218"/>
    <cellStyle name="Output 18 4 2 2 2 2 2" xfId="47404"/>
    <cellStyle name="Output 18 4 2 2 2 3" xfId="36800"/>
    <cellStyle name="Output 18 4 2 2 3" xfId="21105"/>
    <cellStyle name="Output 18 4 2 2 3 2" xfId="42292"/>
    <cellStyle name="Output 18 4 2 2 4" xfId="31708"/>
    <cellStyle name="Output 18 4 2 2_Table 2A-1_EFT (Annual)" xfId="7752"/>
    <cellStyle name="Output 18 4 2 3" xfId="11588"/>
    <cellStyle name="Output 18 4 2 3 2" xfId="23672"/>
    <cellStyle name="Output 18 4 2 3 2 2" xfId="44858"/>
    <cellStyle name="Output 18 4 2 3 3" xfId="34254"/>
    <cellStyle name="Output 18 4 2 4" xfId="18559"/>
    <cellStyle name="Output 18 4 2 4 2" xfId="39746"/>
    <cellStyle name="Output 18 4 2 5" xfId="28965"/>
    <cellStyle name="Output 18 4 2_Table 2A-1_EFT (Annual)" xfId="7751"/>
    <cellStyle name="Output 18 4 3" xfId="1831"/>
    <cellStyle name="Output 18 4 3 2" xfId="5392"/>
    <cellStyle name="Output 18 4 3 2 2" xfId="13607"/>
    <cellStyle name="Output 18 4 3 2 2 2" xfId="25595"/>
    <cellStyle name="Output 18 4 3 2 2 2 2" xfId="46781"/>
    <cellStyle name="Output 18 4 3 2 2 3" xfId="36177"/>
    <cellStyle name="Output 18 4 3 2 3" xfId="20482"/>
    <cellStyle name="Output 18 4 3 2 3 2" xfId="41669"/>
    <cellStyle name="Output 18 4 3 2 4" xfId="31049"/>
    <cellStyle name="Output 18 4 3 2_Table 2A-1_EFT (Annual)" xfId="7754"/>
    <cellStyle name="Output 18 4 3 3" xfId="10951"/>
    <cellStyle name="Output 18 4 3 3 2" xfId="23049"/>
    <cellStyle name="Output 18 4 3 3 2 2" xfId="44235"/>
    <cellStyle name="Output 18 4 3 3 3" xfId="33631"/>
    <cellStyle name="Output 18 4 3 4" xfId="17936"/>
    <cellStyle name="Output 18 4 3 4 2" xfId="39123"/>
    <cellStyle name="Output 18 4 3 5" xfId="28306"/>
    <cellStyle name="Output 18 4 3_Table 2A-1_EFT (Annual)" xfId="7753"/>
    <cellStyle name="Output 18 4 4" xfId="4782"/>
    <cellStyle name="Output 18 4 4 2" xfId="13042"/>
    <cellStyle name="Output 18 4 4 2 2" xfId="25048"/>
    <cellStyle name="Output 18 4 4 2 2 2" xfId="46234"/>
    <cellStyle name="Output 18 4 4 2 3" xfId="35630"/>
    <cellStyle name="Output 18 4 4 3" xfId="19935"/>
    <cellStyle name="Output 18 4 4 3 2" xfId="41122"/>
    <cellStyle name="Output 18 4 4 4" xfId="30439"/>
    <cellStyle name="Output 18 4 4_Table 2A-1_EFT (Annual)" xfId="7755"/>
    <cellStyle name="Output 18 4 5" xfId="10386"/>
    <cellStyle name="Output 18 4 5 2" xfId="22502"/>
    <cellStyle name="Output 18 4 5 2 2" xfId="43688"/>
    <cellStyle name="Output 18 4 5 3" xfId="33084"/>
    <cellStyle name="Output 18 4 6" xfId="17389"/>
    <cellStyle name="Output 18 4 6 2" xfId="38576"/>
    <cellStyle name="Output 18 4 7" xfId="27696"/>
    <cellStyle name="Output 18 4_Table 2A-1_EFT (Annual)" xfId="3375"/>
    <cellStyle name="Output 18 5" xfId="1960"/>
    <cellStyle name="Output 18 5 2" xfId="5521"/>
    <cellStyle name="Output 18 5 2 2" xfId="13736"/>
    <cellStyle name="Output 18 5 2 2 2" xfId="25724"/>
    <cellStyle name="Output 18 5 2 2 2 2" xfId="46910"/>
    <cellStyle name="Output 18 5 2 2 3" xfId="36306"/>
    <cellStyle name="Output 18 5 2 3" xfId="20611"/>
    <cellStyle name="Output 18 5 2 3 2" xfId="41798"/>
    <cellStyle name="Output 18 5 2 4" xfId="31178"/>
    <cellStyle name="Output 18 5 2_Table 2A-1_EFT (Annual)" xfId="7757"/>
    <cellStyle name="Output 18 5 3" xfId="11080"/>
    <cellStyle name="Output 18 5 3 2" xfId="23178"/>
    <cellStyle name="Output 18 5 3 2 2" xfId="44364"/>
    <cellStyle name="Output 18 5 3 3" xfId="33760"/>
    <cellStyle name="Output 18 5 4" xfId="18065"/>
    <cellStyle name="Output 18 5 4 2" xfId="39252"/>
    <cellStyle name="Output 18 5 5" xfId="28435"/>
    <cellStyle name="Output 18 5_Table 2A-1_EFT (Annual)" xfId="7756"/>
    <cellStyle name="Output 18 6" xfId="1658"/>
    <cellStyle name="Output 18 6 2" xfId="5219"/>
    <cellStyle name="Output 18 6 2 2" xfId="13466"/>
    <cellStyle name="Output 18 6 2 2 2" xfId="25466"/>
    <cellStyle name="Output 18 6 2 2 2 2" xfId="46652"/>
    <cellStyle name="Output 18 6 2 2 3" xfId="36048"/>
    <cellStyle name="Output 18 6 2 3" xfId="20353"/>
    <cellStyle name="Output 18 6 2 3 2" xfId="41540"/>
    <cellStyle name="Output 18 6 2 4" xfId="30876"/>
    <cellStyle name="Output 18 6 2_Table 2A-1_EFT (Annual)" xfId="7759"/>
    <cellStyle name="Output 18 6 3" xfId="10811"/>
    <cellStyle name="Output 18 6 3 2" xfId="22920"/>
    <cellStyle name="Output 18 6 3 2 2" xfId="44106"/>
    <cellStyle name="Output 18 6 3 3" xfId="33502"/>
    <cellStyle name="Output 18 6 4" xfId="17807"/>
    <cellStyle name="Output 18 6 4 2" xfId="38994"/>
    <cellStyle name="Output 18 6 5" xfId="28133"/>
    <cellStyle name="Output 18 6_Table 2A-1_EFT (Annual)" xfId="7758"/>
    <cellStyle name="Output 18 7" xfId="3762"/>
    <cellStyle name="Output 18 7 2" xfId="12130"/>
    <cellStyle name="Output 18 7 2 2" xfId="24160"/>
    <cellStyle name="Output 18 7 2 2 2" xfId="45346"/>
    <cellStyle name="Output 18 7 2 3" xfId="34742"/>
    <cellStyle name="Output 18 7 3" xfId="19047"/>
    <cellStyle name="Output 18 7 3 2" xfId="40234"/>
    <cellStyle name="Output 18 7 4" xfId="29471"/>
    <cellStyle name="Output 18 7_Table 2A-1_EFT (Annual)" xfId="7760"/>
    <cellStyle name="Output 18 8" xfId="9449"/>
    <cellStyle name="Output 18 8 2" xfId="21614"/>
    <cellStyle name="Output 18 8 2 2" xfId="42800"/>
    <cellStyle name="Output 18 8 3" xfId="32196"/>
    <cellStyle name="Output 18 9" xfId="16501"/>
    <cellStyle name="Output 18 9 2" xfId="37688"/>
    <cellStyle name="Output 18_Table 2A-1_EFT (Annual)" xfId="3370"/>
    <cellStyle name="Output 19" xfId="166"/>
    <cellStyle name="Output 19 10" xfId="26721"/>
    <cellStyle name="Output 19 2" xfId="559"/>
    <cellStyle name="Output 19 2 2" xfId="1536"/>
    <cellStyle name="Output 19 2 2 2" xfId="2806"/>
    <cellStyle name="Output 19 2 2 2 2" xfId="6367"/>
    <cellStyle name="Output 19 2 2 2 2 2" xfId="14561"/>
    <cellStyle name="Output 19 2 2 2 2 2 2" xfId="26533"/>
    <cellStyle name="Output 19 2 2 2 2 2 2 2" xfId="47719"/>
    <cellStyle name="Output 19 2 2 2 2 2 3" xfId="37115"/>
    <cellStyle name="Output 19 2 2 2 2 3" xfId="21420"/>
    <cellStyle name="Output 19 2 2 2 2 3 2" xfId="42607"/>
    <cellStyle name="Output 19 2 2 2 2 4" xfId="32023"/>
    <cellStyle name="Output 19 2 2 2 2_Table 2A-1_EFT (Annual)" xfId="7762"/>
    <cellStyle name="Output 19 2 2 2 3" xfId="11903"/>
    <cellStyle name="Output 19 2 2 2 3 2" xfId="23987"/>
    <cellStyle name="Output 19 2 2 2 3 2 2" xfId="45173"/>
    <cellStyle name="Output 19 2 2 2 3 3" xfId="34569"/>
    <cellStyle name="Output 19 2 2 2 4" xfId="18874"/>
    <cellStyle name="Output 19 2 2 2 4 2" xfId="40061"/>
    <cellStyle name="Output 19 2 2 2 5" xfId="29280"/>
    <cellStyle name="Output 19 2 2 2_Table 2A-1_EFT (Annual)" xfId="7761"/>
    <cellStyle name="Output 19 2 2 3" xfId="1925"/>
    <cellStyle name="Output 19 2 2 3 2" xfId="5486"/>
    <cellStyle name="Output 19 2 2 3 2 2" xfId="13701"/>
    <cellStyle name="Output 19 2 2 3 2 2 2" xfId="25689"/>
    <cellStyle name="Output 19 2 2 3 2 2 2 2" xfId="46875"/>
    <cellStyle name="Output 19 2 2 3 2 2 3" xfId="36271"/>
    <cellStyle name="Output 19 2 2 3 2 3" xfId="20576"/>
    <cellStyle name="Output 19 2 2 3 2 3 2" xfId="41763"/>
    <cellStyle name="Output 19 2 2 3 2 4" xfId="31143"/>
    <cellStyle name="Output 19 2 2 3 2_Table 2A-1_EFT (Annual)" xfId="7764"/>
    <cellStyle name="Output 19 2 2 3 3" xfId="11045"/>
    <cellStyle name="Output 19 2 2 3 3 2" xfId="23143"/>
    <cellStyle name="Output 19 2 2 3 3 2 2" xfId="44329"/>
    <cellStyle name="Output 19 2 2 3 3 3" xfId="33725"/>
    <cellStyle name="Output 19 2 2 3 4" xfId="18030"/>
    <cellStyle name="Output 19 2 2 3 4 2" xfId="39217"/>
    <cellStyle name="Output 19 2 2 3 5" xfId="28400"/>
    <cellStyle name="Output 19 2 2 3_Table 2A-1_EFT (Annual)" xfId="7763"/>
    <cellStyle name="Output 19 2 2 4" xfId="5097"/>
    <cellStyle name="Output 19 2 2 4 2" xfId="13357"/>
    <cellStyle name="Output 19 2 2 4 2 2" xfId="25363"/>
    <cellStyle name="Output 19 2 2 4 2 2 2" xfId="46549"/>
    <cellStyle name="Output 19 2 2 4 2 3" xfId="35945"/>
    <cellStyle name="Output 19 2 2 4 3" xfId="20250"/>
    <cellStyle name="Output 19 2 2 4 3 2" xfId="41437"/>
    <cellStyle name="Output 19 2 2 4 4" xfId="30754"/>
    <cellStyle name="Output 19 2 2 4_Table 2A-1_EFT (Annual)" xfId="7765"/>
    <cellStyle name="Output 19 2 2 5" xfId="10701"/>
    <cellStyle name="Output 19 2 2 5 2" xfId="22817"/>
    <cellStyle name="Output 19 2 2 5 2 2" xfId="44003"/>
    <cellStyle name="Output 19 2 2 5 3" xfId="33399"/>
    <cellStyle name="Output 19 2 2 6" xfId="17704"/>
    <cellStyle name="Output 19 2 2 6 2" xfId="38891"/>
    <cellStyle name="Output 19 2 2 7" xfId="28011"/>
    <cellStyle name="Output 19 2 2_Table 2A-1_EFT (Annual)" xfId="3378"/>
    <cellStyle name="Output 19 2 3" xfId="2275"/>
    <cellStyle name="Output 19 2 3 2" xfId="5836"/>
    <cellStyle name="Output 19 2 3 2 2" xfId="14051"/>
    <cellStyle name="Output 19 2 3 2 2 2" xfId="26039"/>
    <cellStyle name="Output 19 2 3 2 2 2 2" xfId="47225"/>
    <cellStyle name="Output 19 2 3 2 2 3" xfId="36621"/>
    <cellStyle name="Output 19 2 3 2 3" xfId="20926"/>
    <cellStyle name="Output 19 2 3 2 3 2" xfId="42113"/>
    <cellStyle name="Output 19 2 3 2 4" xfId="31493"/>
    <cellStyle name="Output 19 2 3 2_Table 2A-1_EFT (Annual)" xfId="7767"/>
    <cellStyle name="Output 19 2 3 3" xfId="11395"/>
    <cellStyle name="Output 19 2 3 3 2" xfId="23493"/>
    <cellStyle name="Output 19 2 3 3 2 2" xfId="44679"/>
    <cellStyle name="Output 19 2 3 3 3" xfId="34075"/>
    <cellStyle name="Output 19 2 3 4" xfId="18380"/>
    <cellStyle name="Output 19 2 3 4 2" xfId="39567"/>
    <cellStyle name="Output 19 2 3 5" xfId="28750"/>
    <cellStyle name="Output 19 2 3_Table 2A-1_EFT (Annual)" xfId="7766"/>
    <cellStyle name="Output 19 2 4" xfId="1750"/>
    <cellStyle name="Output 19 2 4 2" xfId="5311"/>
    <cellStyle name="Output 19 2 4 2 2" xfId="13536"/>
    <cellStyle name="Output 19 2 4 2 2 2" xfId="25527"/>
    <cellStyle name="Output 19 2 4 2 2 2 2" xfId="46713"/>
    <cellStyle name="Output 19 2 4 2 2 3" xfId="36109"/>
    <cellStyle name="Output 19 2 4 2 3" xfId="20414"/>
    <cellStyle name="Output 19 2 4 2 3 2" xfId="41601"/>
    <cellStyle name="Output 19 2 4 2 4" xfId="30968"/>
    <cellStyle name="Output 19 2 4 2_Table 2A-1_EFT (Annual)" xfId="7769"/>
    <cellStyle name="Output 19 2 4 3" xfId="10879"/>
    <cellStyle name="Output 19 2 4 3 2" xfId="22981"/>
    <cellStyle name="Output 19 2 4 3 2 2" xfId="44167"/>
    <cellStyle name="Output 19 2 4 3 3" xfId="33563"/>
    <cellStyle name="Output 19 2 4 4" xfId="17868"/>
    <cellStyle name="Output 19 2 4 4 2" xfId="39055"/>
    <cellStyle name="Output 19 2 4 5" xfId="28225"/>
    <cellStyle name="Output 19 2 4_Table 2A-1_EFT (Annual)" xfId="7768"/>
    <cellStyle name="Output 19 2 5" xfId="4129"/>
    <cellStyle name="Output 19 2 5 2" xfId="12453"/>
    <cellStyle name="Output 19 2 5 2 2" xfId="24475"/>
    <cellStyle name="Output 19 2 5 2 2 2" xfId="45661"/>
    <cellStyle name="Output 19 2 5 2 3" xfId="35057"/>
    <cellStyle name="Output 19 2 5 3" xfId="19362"/>
    <cellStyle name="Output 19 2 5 3 2" xfId="40549"/>
    <cellStyle name="Output 19 2 5 4" xfId="29817"/>
    <cellStyle name="Output 19 2 5_Table 2A-1_EFT (Annual)" xfId="7770"/>
    <cellStyle name="Output 19 2 6" xfId="9792"/>
    <cellStyle name="Output 19 2 6 2" xfId="21929"/>
    <cellStyle name="Output 19 2 6 2 2" xfId="43115"/>
    <cellStyle name="Output 19 2 6 3" xfId="32511"/>
    <cellStyle name="Output 19 2 7" xfId="16816"/>
    <cellStyle name="Output 19 2 7 2" xfId="38003"/>
    <cellStyle name="Output 19 2 8" xfId="27074"/>
    <cellStyle name="Output 19 2_Table 2A-1_EFT (Annual)" xfId="3377"/>
    <cellStyle name="Output 19 3" xfId="397"/>
    <cellStyle name="Output 19 3 2" xfId="1380"/>
    <cellStyle name="Output 19 3 2 2" xfId="2650"/>
    <cellStyle name="Output 19 3 2 2 2" xfId="6211"/>
    <cellStyle name="Output 19 3 2 2 2 2" xfId="14405"/>
    <cellStyle name="Output 19 3 2 2 2 2 2" xfId="26377"/>
    <cellStyle name="Output 19 3 2 2 2 2 2 2" xfId="47563"/>
    <cellStyle name="Output 19 3 2 2 2 2 3" xfId="36959"/>
    <cellStyle name="Output 19 3 2 2 2 3" xfId="21264"/>
    <cellStyle name="Output 19 3 2 2 2 3 2" xfId="42451"/>
    <cellStyle name="Output 19 3 2 2 2 4" xfId="31867"/>
    <cellStyle name="Output 19 3 2 2 2_Table 2A-1_EFT (Annual)" xfId="7772"/>
    <cellStyle name="Output 19 3 2 2 3" xfId="11747"/>
    <cellStyle name="Output 19 3 2 2 3 2" xfId="23831"/>
    <cellStyle name="Output 19 3 2 2 3 2 2" xfId="45017"/>
    <cellStyle name="Output 19 3 2 2 3 3" xfId="34413"/>
    <cellStyle name="Output 19 3 2 2 4" xfId="18718"/>
    <cellStyle name="Output 19 3 2 2 4 2" xfId="39905"/>
    <cellStyle name="Output 19 3 2 2 5" xfId="29124"/>
    <cellStyle name="Output 19 3 2 2_Table 2A-1_EFT (Annual)" xfId="7771"/>
    <cellStyle name="Output 19 3 2 3" xfId="1894"/>
    <cellStyle name="Output 19 3 2 3 2" xfId="5455"/>
    <cellStyle name="Output 19 3 2 3 2 2" xfId="13670"/>
    <cellStyle name="Output 19 3 2 3 2 2 2" xfId="25658"/>
    <cellStyle name="Output 19 3 2 3 2 2 2 2" xfId="46844"/>
    <cellStyle name="Output 19 3 2 3 2 2 3" xfId="36240"/>
    <cellStyle name="Output 19 3 2 3 2 3" xfId="20545"/>
    <cellStyle name="Output 19 3 2 3 2 3 2" xfId="41732"/>
    <cellStyle name="Output 19 3 2 3 2 4" xfId="31112"/>
    <cellStyle name="Output 19 3 2 3 2_Table 2A-1_EFT (Annual)" xfId="7774"/>
    <cellStyle name="Output 19 3 2 3 3" xfId="11014"/>
    <cellStyle name="Output 19 3 2 3 3 2" xfId="23112"/>
    <cellStyle name="Output 19 3 2 3 3 2 2" xfId="44298"/>
    <cellStyle name="Output 19 3 2 3 3 3" xfId="33694"/>
    <cellStyle name="Output 19 3 2 3 4" xfId="17999"/>
    <cellStyle name="Output 19 3 2 3 4 2" xfId="39186"/>
    <cellStyle name="Output 19 3 2 3 5" xfId="28369"/>
    <cellStyle name="Output 19 3 2 3_Table 2A-1_EFT (Annual)" xfId="7773"/>
    <cellStyle name="Output 19 3 2 4" xfId="4941"/>
    <cellStyle name="Output 19 3 2 4 2" xfId="13201"/>
    <cellStyle name="Output 19 3 2 4 2 2" xfId="25207"/>
    <cellStyle name="Output 19 3 2 4 2 2 2" xfId="46393"/>
    <cellStyle name="Output 19 3 2 4 2 3" xfId="35789"/>
    <cellStyle name="Output 19 3 2 4 3" xfId="20094"/>
    <cellStyle name="Output 19 3 2 4 3 2" xfId="41281"/>
    <cellStyle name="Output 19 3 2 4 4" xfId="30598"/>
    <cellStyle name="Output 19 3 2 4_Table 2A-1_EFT (Annual)" xfId="7775"/>
    <cellStyle name="Output 19 3 2 5" xfId="10545"/>
    <cellStyle name="Output 19 3 2 5 2" xfId="22661"/>
    <cellStyle name="Output 19 3 2 5 2 2" xfId="43847"/>
    <cellStyle name="Output 19 3 2 5 3" xfId="33243"/>
    <cellStyle name="Output 19 3 2 6" xfId="17548"/>
    <cellStyle name="Output 19 3 2 6 2" xfId="38735"/>
    <cellStyle name="Output 19 3 2 7" xfId="27855"/>
    <cellStyle name="Output 19 3 2_Table 2A-1_EFT (Annual)" xfId="3380"/>
    <cellStyle name="Output 19 3 3" xfId="2119"/>
    <cellStyle name="Output 19 3 3 2" xfId="5680"/>
    <cellStyle name="Output 19 3 3 2 2" xfId="13895"/>
    <cellStyle name="Output 19 3 3 2 2 2" xfId="25883"/>
    <cellStyle name="Output 19 3 3 2 2 2 2" xfId="47069"/>
    <cellStyle name="Output 19 3 3 2 2 3" xfId="36465"/>
    <cellStyle name="Output 19 3 3 2 3" xfId="20770"/>
    <cellStyle name="Output 19 3 3 2 3 2" xfId="41957"/>
    <cellStyle name="Output 19 3 3 2 4" xfId="31337"/>
    <cellStyle name="Output 19 3 3 2_Table 2A-1_EFT (Annual)" xfId="7777"/>
    <cellStyle name="Output 19 3 3 3" xfId="11239"/>
    <cellStyle name="Output 19 3 3 3 2" xfId="23337"/>
    <cellStyle name="Output 19 3 3 3 2 2" xfId="44523"/>
    <cellStyle name="Output 19 3 3 3 3" xfId="33919"/>
    <cellStyle name="Output 19 3 3 4" xfId="18224"/>
    <cellStyle name="Output 19 3 3 4 2" xfId="39411"/>
    <cellStyle name="Output 19 3 3 5" xfId="28594"/>
    <cellStyle name="Output 19 3 3_Table 2A-1_EFT (Annual)" xfId="7776"/>
    <cellStyle name="Output 19 3 4" xfId="1714"/>
    <cellStyle name="Output 19 3 4 2" xfId="5275"/>
    <cellStyle name="Output 19 3 4 2 2" xfId="13504"/>
    <cellStyle name="Output 19 3 4 2 2 2" xfId="25497"/>
    <cellStyle name="Output 19 3 4 2 2 2 2" xfId="46683"/>
    <cellStyle name="Output 19 3 4 2 2 3" xfId="36079"/>
    <cellStyle name="Output 19 3 4 2 3" xfId="20384"/>
    <cellStyle name="Output 19 3 4 2 3 2" xfId="41571"/>
    <cellStyle name="Output 19 3 4 2 4" xfId="30932"/>
    <cellStyle name="Output 19 3 4 2_Table 2A-1_EFT (Annual)" xfId="7779"/>
    <cellStyle name="Output 19 3 4 3" xfId="10848"/>
    <cellStyle name="Output 19 3 4 3 2" xfId="22951"/>
    <cellStyle name="Output 19 3 4 3 2 2" xfId="44137"/>
    <cellStyle name="Output 19 3 4 3 3" xfId="33533"/>
    <cellStyle name="Output 19 3 4 4" xfId="17838"/>
    <cellStyle name="Output 19 3 4 4 2" xfId="39025"/>
    <cellStyle name="Output 19 3 4 5" xfId="28189"/>
    <cellStyle name="Output 19 3 4_Table 2A-1_EFT (Annual)" xfId="7778"/>
    <cellStyle name="Output 19 3 5" xfId="3967"/>
    <cellStyle name="Output 19 3 5 2" xfId="12295"/>
    <cellStyle name="Output 19 3 5 2 2" xfId="24319"/>
    <cellStyle name="Output 19 3 5 2 2 2" xfId="45505"/>
    <cellStyle name="Output 19 3 5 2 3" xfId="34901"/>
    <cellStyle name="Output 19 3 5 3" xfId="19206"/>
    <cellStyle name="Output 19 3 5 3 2" xfId="40393"/>
    <cellStyle name="Output 19 3 5 4" xfId="29655"/>
    <cellStyle name="Output 19 3 5_Table 2A-1_EFT (Annual)" xfId="7780"/>
    <cellStyle name="Output 19 3 6" xfId="9632"/>
    <cellStyle name="Output 19 3 6 2" xfId="21773"/>
    <cellStyle name="Output 19 3 6 2 2" xfId="42959"/>
    <cellStyle name="Output 19 3 6 3" xfId="32355"/>
    <cellStyle name="Output 19 3 7" xfId="16660"/>
    <cellStyle name="Output 19 3 7 2" xfId="37847"/>
    <cellStyle name="Output 19 3 8" xfId="26912"/>
    <cellStyle name="Output 19 3_Table 2A-1_EFT (Annual)" xfId="3379"/>
    <cellStyle name="Output 19 4" xfId="1214"/>
    <cellStyle name="Output 19 4 2" xfId="2484"/>
    <cellStyle name="Output 19 4 2 2" xfId="6045"/>
    <cellStyle name="Output 19 4 2 2 2" xfId="14239"/>
    <cellStyle name="Output 19 4 2 2 2 2" xfId="26211"/>
    <cellStyle name="Output 19 4 2 2 2 2 2" xfId="47397"/>
    <cellStyle name="Output 19 4 2 2 2 3" xfId="36793"/>
    <cellStyle name="Output 19 4 2 2 3" xfId="21098"/>
    <cellStyle name="Output 19 4 2 2 3 2" xfId="42285"/>
    <cellStyle name="Output 19 4 2 2 4" xfId="31701"/>
    <cellStyle name="Output 19 4 2 2_Table 2A-1_EFT (Annual)" xfId="7782"/>
    <cellStyle name="Output 19 4 2 3" xfId="11581"/>
    <cellStyle name="Output 19 4 2 3 2" xfId="23665"/>
    <cellStyle name="Output 19 4 2 3 2 2" xfId="44851"/>
    <cellStyle name="Output 19 4 2 3 3" xfId="34247"/>
    <cellStyle name="Output 19 4 2 4" xfId="18552"/>
    <cellStyle name="Output 19 4 2 4 2" xfId="39739"/>
    <cellStyle name="Output 19 4 2 5" xfId="28958"/>
    <cellStyle name="Output 19 4 2_Table 2A-1_EFT (Annual)" xfId="7781"/>
    <cellStyle name="Output 19 4 3" xfId="1830"/>
    <cellStyle name="Output 19 4 3 2" xfId="5391"/>
    <cellStyle name="Output 19 4 3 2 2" xfId="13606"/>
    <cellStyle name="Output 19 4 3 2 2 2" xfId="25594"/>
    <cellStyle name="Output 19 4 3 2 2 2 2" xfId="46780"/>
    <cellStyle name="Output 19 4 3 2 2 3" xfId="36176"/>
    <cellStyle name="Output 19 4 3 2 3" xfId="20481"/>
    <cellStyle name="Output 19 4 3 2 3 2" xfId="41668"/>
    <cellStyle name="Output 19 4 3 2 4" xfId="31048"/>
    <cellStyle name="Output 19 4 3 2_Table 2A-1_EFT (Annual)" xfId="7784"/>
    <cellStyle name="Output 19 4 3 3" xfId="10950"/>
    <cellStyle name="Output 19 4 3 3 2" xfId="23048"/>
    <cellStyle name="Output 19 4 3 3 2 2" xfId="44234"/>
    <cellStyle name="Output 19 4 3 3 3" xfId="33630"/>
    <cellStyle name="Output 19 4 3 4" xfId="17935"/>
    <cellStyle name="Output 19 4 3 4 2" xfId="39122"/>
    <cellStyle name="Output 19 4 3 5" xfId="28305"/>
    <cellStyle name="Output 19 4 3_Table 2A-1_EFT (Annual)" xfId="7783"/>
    <cellStyle name="Output 19 4 4" xfId="4775"/>
    <cellStyle name="Output 19 4 4 2" xfId="13035"/>
    <cellStyle name="Output 19 4 4 2 2" xfId="25041"/>
    <cellStyle name="Output 19 4 4 2 2 2" xfId="46227"/>
    <cellStyle name="Output 19 4 4 2 3" xfId="35623"/>
    <cellStyle name="Output 19 4 4 3" xfId="19928"/>
    <cellStyle name="Output 19 4 4 3 2" xfId="41115"/>
    <cellStyle name="Output 19 4 4 4" xfId="30432"/>
    <cellStyle name="Output 19 4 4_Table 2A-1_EFT (Annual)" xfId="7785"/>
    <cellStyle name="Output 19 4 5" xfId="10379"/>
    <cellStyle name="Output 19 4 5 2" xfId="22495"/>
    <cellStyle name="Output 19 4 5 2 2" xfId="43681"/>
    <cellStyle name="Output 19 4 5 3" xfId="33077"/>
    <cellStyle name="Output 19 4 6" xfId="17382"/>
    <cellStyle name="Output 19 4 6 2" xfId="38569"/>
    <cellStyle name="Output 19 4 7" xfId="27689"/>
    <cellStyle name="Output 19 4_Table 2A-1_EFT (Annual)" xfId="3381"/>
    <cellStyle name="Output 19 5" xfId="1953"/>
    <cellStyle name="Output 19 5 2" xfId="5514"/>
    <cellStyle name="Output 19 5 2 2" xfId="13729"/>
    <cellStyle name="Output 19 5 2 2 2" xfId="25717"/>
    <cellStyle name="Output 19 5 2 2 2 2" xfId="46903"/>
    <cellStyle name="Output 19 5 2 2 3" xfId="36299"/>
    <cellStyle name="Output 19 5 2 3" xfId="20604"/>
    <cellStyle name="Output 19 5 2 3 2" xfId="41791"/>
    <cellStyle name="Output 19 5 2 4" xfId="31171"/>
    <cellStyle name="Output 19 5 2_Table 2A-1_EFT (Annual)" xfId="7787"/>
    <cellStyle name="Output 19 5 3" xfId="11073"/>
    <cellStyle name="Output 19 5 3 2" xfId="23171"/>
    <cellStyle name="Output 19 5 3 2 2" xfId="44357"/>
    <cellStyle name="Output 19 5 3 3" xfId="33753"/>
    <cellStyle name="Output 19 5 4" xfId="18058"/>
    <cellStyle name="Output 19 5 4 2" xfId="39245"/>
    <cellStyle name="Output 19 5 5" xfId="28428"/>
    <cellStyle name="Output 19 5_Table 2A-1_EFT (Annual)" xfId="7786"/>
    <cellStyle name="Output 19 6" xfId="1657"/>
    <cellStyle name="Output 19 6 2" xfId="5218"/>
    <cellStyle name="Output 19 6 2 2" xfId="13465"/>
    <cellStyle name="Output 19 6 2 2 2" xfId="25465"/>
    <cellStyle name="Output 19 6 2 2 2 2" xfId="46651"/>
    <cellStyle name="Output 19 6 2 2 3" xfId="36047"/>
    <cellStyle name="Output 19 6 2 3" xfId="20352"/>
    <cellStyle name="Output 19 6 2 3 2" xfId="41539"/>
    <cellStyle name="Output 19 6 2 4" xfId="30875"/>
    <cellStyle name="Output 19 6 2_Table 2A-1_EFT (Annual)" xfId="7789"/>
    <cellStyle name="Output 19 6 3" xfId="10810"/>
    <cellStyle name="Output 19 6 3 2" xfId="22919"/>
    <cellStyle name="Output 19 6 3 2 2" xfId="44105"/>
    <cellStyle name="Output 19 6 3 3" xfId="33501"/>
    <cellStyle name="Output 19 6 4" xfId="17806"/>
    <cellStyle name="Output 19 6 4 2" xfId="38993"/>
    <cellStyle name="Output 19 6 5" xfId="28132"/>
    <cellStyle name="Output 19 6_Table 2A-1_EFT (Annual)" xfId="7788"/>
    <cellStyle name="Output 19 7" xfId="3755"/>
    <cellStyle name="Output 19 7 2" xfId="12123"/>
    <cellStyle name="Output 19 7 2 2" xfId="24153"/>
    <cellStyle name="Output 19 7 2 2 2" xfId="45339"/>
    <cellStyle name="Output 19 7 2 3" xfId="34735"/>
    <cellStyle name="Output 19 7 3" xfId="19040"/>
    <cellStyle name="Output 19 7 3 2" xfId="40227"/>
    <cellStyle name="Output 19 7 4" xfId="29464"/>
    <cellStyle name="Output 19 7_Table 2A-1_EFT (Annual)" xfId="7790"/>
    <cellStyle name="Output 19 8" xfId="9442"/>
    <cellStyle name="Output 19 8 2" xfId="21607"/>
    <cellStyle name="Output 19 8 2 2" xfId="42793"/>
    <cellStyle name="Output 19 8 3" xfId="32189"/>
    <cellStyle name="Output 19 9" xfId="16494"/>
    <cellStyle name="Output 19 9 2" xfId="37681"/>
    <cellStyle name="Output 19_Table 2A-1_EFT (Annual)" xfId="3376"/>
    <cellStyle name="Output 2" xfId="101"/>
    <cellStyle name="Output 2 10" xfId="21514"/>
    <cellStyle name="Output 2 10 2" xfId="42701"/>
    <cellStyle name="Output 2 11" xfId="26656"/>
    <cellStyle name="Output 2 2" xfId="499"/>
    <cellStyle name="Output 2 2 2" xfId="1476"/>
    <cellStyle name="Output 2 2 2 2" xfId="2746"/>
    <cellStyle name="Output 2 2 2 2 2" xfId="6307"/>
    <cellStyle name="Output 2 2 2 2 2 2" xfId="14501"/>
    <cellStyle name="Output 2 2 2 2 2 2 2" xfId="26473"/>
    <cellStyle name="Output 2 2 2 2 2 2 2 2" xfId="47659"/>
    <cellStyle name="Output 2 2 2 2 2 2 3" xfId="37055"/>
    <cellStyle name="Output 2 2 2 2 2 3" xfId="21360"/>
    <cellStyle name="Output 2 2 2 2 2 3 2" xfId="42547"/>
    <cellStyle name="Output 2 2 2 2 2 4" xfId="31963"/>
    <cellStyle name="Output 2 2 2 2 2_Table 2A-1_EFT (Annual)" xfId="7792"/>
    <cellStyle name="Output 2 2 2 2 3" xfId="11843"/>
    <cellStyle name="Output 2 2 2 2 3 2" xfId="23927"/>
    <cellStyle name="Output 2 2 2 2 3 2 2" xfId="45113"/>
    <cellStyle name="Output 2 2 2 2 3 3" xfId="34509"/>
    <cellStyle name="Output 2 2 2 2 4" xfId="18814"/>
    <cellStyle name="Output 2 2 2 2 4 2" xfId="40001"/>
    <cellStyle name="Output 2 2 2 2 5" xfId="29220"/>
    <cellStyle name="Output 2 2 2 2_Table 2A-1_EFT (Annual)" xfId="7791"/>
    <cellStyle name="Output 2 2 2 3" xfId="1914"/>
    <cellStyle name="Output 2 2 2 3 2" xfId="5475"/>
    <cellStyle name="Output 2 2 2 3 2 2" xfId="13690"/>
    <cellStyle name="Output 2 2 2 3 2 2 2" xfId="25678"/>
    <cellStyle name="Output 2 2 2 3 2 2 2 2" xfId="46864"/>
    <cellStyle name="Output 2 2 2 3 2 2 3" xfId="36260"/>
    <cellStyle name="Output 2 2 2 3 2 3" xfId="20565"/>
    <cellStyle name="Output 2 2 2 3 2 3 2" xfId="41752"/>
    <cellStyle name="Output 2 2 2 3 2 4" xfId="31132"/>
    <cellStyle name="Output 2 2 2 3 2_Table 2A-1_EFT (Annual)" xfId="7794"/>
    <cellStyle name="Output 2 2 2 3 3" xfId="11034"/>
    <cellStyle name="Output 2 2 2 3 3 2" xfId="23132"/>
    <cellStyle name="Output 2 2 2 3 3 2 2" xfId="44318"/>
    <cellStyle name="Output 2 2 2 3 3 3" xfId="33714"/>
    <cellStyle name="Output 2 2 2 3 4" xfId="18019"/>
    <cellStyle name="Output 2 2 2 3 4 2" xfId="39206"/>
    <cellStyle name="Output 2 2 2 3 5" xfId="28389"/>
    <cellStyle name="Output 2 2 2 3_Table 2A-1_EFT (Annual)" xfId="7793"/>
    <cellStyle name="Output 2 2 2 4" xfId="5037"/>
    <cellStyle name="Output 2 2 2 4 2" xfId="13297"/>
    <cellStyle name="Output 2 2 2 4 2 2" xfId="25303"/>
    <cellStyle name="Output 2 2 2 4 2 2 2" xfId="46489"/>
    <cellStyle name="Output 2 2 2 4 2 3" xfId="35885"/>
    <cellStyle name="Output 2 2 2 4 3" xfId="20190"/>
    <cellStyle name="Output 2 2 2 4 3 2" xfId="41377"/>
    <cellStyle name="Output 2 2 2 4 4" xfId="30694"/>
    <cellStyle name="Output 2 2 2 4_Table 2A-1_EFT (Annual)" xfId="7795"/>
    <cellStyle name="Output 2 2 2 5" xfId="10641"/>
    <cellStyle name="Output 2 2 2 5 2" xfId="22757"/>
    <cellStyle name="Output 2 2 2 5 2 2" xfId="43943"/>
    <cellStyle name="Output 2 2 2 5 3" xfId="33339"/>
    <cellStyle name="Output 2 2 2 6" xfId="17644"/>
    <cellStyle name="Output 2 2 2 6 2" xfId="38831"/>
    <cellStyle name="Output 2 2 2 7" xfId="27951"/>
    <cellStyle name="Output 2 2 2_Table 2A-1_EFT (Annual)" xfId="3384"/>
    <cellStyle name="Output 2 2 3" xfId="2215"/>
    <cellStyle name="Output 2 2 3 2" xfId="5776"/>
    <cellStyle name="Output 2 2 3 2 2" xfId="13991"/>
    <cellStyle name="Output 2 2 3 2 2 2" xfId="25979"/>
    <cellStyle name="Output 2 2 3 2 2 2 2" xfId="47165"/>
    <cellStyle name="Output 2 2 3 2 2 3" xfId="36561"/>
    <cellStyle name="Output 2 2 3 2 3" xfId="20866"/>
    <cellStyle name="Output 2 2 3 2 3 2" xfId="42053"/>
    <cellStyle name="Output 2 2 3 2 4" xfId="31433"/>
    <cellStyle name="Output 2 2 3 2_Table 2A-1_EFT (Annual)" xfId="7797"/>
    <cellStyle name="Output 2 2 3 3" xfId="11335"/>
    <cellStyle name="Output 2 2 3 3 2" xfId="23433"/>
    <cellStyle name="Output 2 2 3 3 2 2" xfId="44619"/>
    <cellStyle name="Output 2 2 3 3 3" xfId="34015"/>
    <cellStyle name="Output 2 2 3 4" xfId="18320"/>
    <cellStyle name="Output 2 2 3 4 2" xfId="39507"/>
    <cellStyle name="Output 2 2 3 5" xfId="28690"/>
    <cellStyle name="Output 2 2 3_Table 2A-1_EFT (Annual)" xfId="7796"/>
    <cellStyle name="Output 2 2 4" xfId="1739"/>
    <cellStyle name="Output 2 2 4 2" xfId="5300"/>
    <cellStyle name="Output 2 2 4 2 2" xfId="13525"/>
    <cellStyle name="Output 2 2 4 2 2 2" xfId="25516"/>
    <cellStyle name="Output 2 2 4 2 2 2 2" xfId="46702"/>
    <cellStyle name="Output 2 2 4 2 2 3" xfId="36098"/>
    <cellStyle name="Output 2 2 4 2 3" xfId="20403"/>
    <cellStyle name="Output 2 2 4 2 3 2" xfId="41590"/>
    <cellStyle name="Output 2 2 4 2 4" xfId="30957"/>
    <cellStyle name="Output 2 2 4 2_Table 2A-1_EFT (Annual)" xfId="7799"/>
    <cellStyle name="Output 2 2 4 3" xfId="10868"/>
    <cellStyle name="Output 2 2 4 3 2" xfId="22970"/>
    <cellStyle name="Output 2 2 4 3 2 2" xfId="44156"/>
    <cellStyle name="Output 2 2 4 3 3" xfId="33552"/>
    <cellStyle name="Output 2 2 4 4" xfId="17857"/>
    <cellStyle name="Output 2 2 4 4 2" xfId="39044"/>
    <cellStyle name="Output 2 2 4 5" xfId="28214"/>
    <cellStyle name="Output 2 2 4_Table 2A-1_EFT (Annual)" xfId="7798"/>
    <cellStyle name="Output 2 2 5" xfId="4069"/>
    <cellStyle name="Output 2 2 5 2" xfId="12393"/>
    <cellStyle name="Output 2 2 5 2 2" xfId="24415"/>
    <cellStyle name="Output 2 2 5 2 2 2" xfId="45601"/>
    <cellStyle name="Output 2 2 5 2 3" xfId="34997"/>
    <cellStyle name="Output 2 2 5 3" xfId="19302"/>
    <cellStyle name="Output 2 2 5 3 2" xfId="40489"/>
    <cellStyle name="Output 2 2 5 4" xfId="29757"/>
    <cellStyle name="Output 2 2 5_Table 2A-1_EFT (Annual)" xfId="7800"/>
    <cellStyle name="Output 2 2 6" xfId="9732"/>
    <cellStyle name="Output 2 2 6 2" xfId="21869"/>
    <cellStyle name="Output 2 2 6 2 2" xfId="43055"/>
    <cellStyle name="Output 2 2 6 3" xfId="32451"/>
    <cellStyle name="Output 2 2 7" xfId="16756"/>
    <cellStyle name="Output 2 2 7 2" xfId="37943"/>
    <cellStyle name="Output 2 2 8" xfId="27014"/>
    <cellStyle name="Output 2 2_Table 2A-1_EFT (Annual)" xfId="3383"/>
    <cellStyle name="Output 2 3" xfId="332"/>
    <cellStyle name="Output 2 3 2" xfId="1320"/>
    <cellStyle name="Output 2 3 2 2" xfId="2590"/>
    <cellStyle name="Output 2 3 2 2 2" xfId="6151"/>
    <cellStyle name="Output 2 3 2 2 2 2" xfId="14345"/>
    <cellStyle name="Output 2 3 2 2 2 2 2" xfId="26317"/>
    <cellStyle name="Output 2 3 2 2 2 2 2 2" xfId="47503"/>
    <cellStyle name="Output 2 3 2 2 2 2 3" xfId="36899"/>
    <cellStyle name="Output 2 3 2 2 2 3" xfId="21204"/>
    <cellStyle name="Output 2 3 2 2 2 3 2" xfId="42391"/>
    <cellStyle name="Output 2 3 2 2 2 4" xfId="31807"/>
    <cellStyle name="Output 2 3 2 2 2_Table 2A-1_EFT (Annual)" xfId="7802"/>
    <cellStyle name="Output 2 3 2 2 3" xfId="11687"/>
    <cellStyle name="Output 2 3 2 2 3 2" xfId="23771"/>
    <cellStyle name="Output 2 3 2 2 3 2 2" xfId="44957"/>
    <cellStyle name="Output 2 3 2 2 3 3" xfId="34353"/>
    <cellStyle name="Output 2 3 2 2 4" xfId="18658"/>
    <cellStyle name="Output 2 3 2 2 4 2" xfId="39845"/>
    <cellStyle name="Output 2 3 2 2 5" xfId="29064"/>
    <cellStyle name="Output 2 3 2 2_Table 2A-1_EFT (Annual)" xfId="7801"/>
    <cellStyle name="Output 2 3 2 3" xfId="1882"/>
    <cellStyle name="Output 2 3 2 3 2" xfId="5443"/>
    <cellStyle name="Output 2 3 2 3 2 2" xfId="13658"/>
    <cellStyle name="Output 2 3 2 3 2 2 2" xfId="25646"/>
    <cellStyle name="Output 2 3 2 3 2 2 2 2" xfId="46832"/>
    <cellStyle name="Output 2 3 2 3 2 2 3" xfId="36228"/>
    <cellStyle name="Output 2 3 2 3 2 3" xfId="20533"/>
    <cellStyle name="Output 2 3 2 3 2 3 2" xfId="41720"/>
    <cellStyle name="Output 2 3 2 3 2 4" xfId="31100"/>
    <cellStyle name="Output 2 3 2 3 2_Table 2A-1_EFT (Annual)" xfId="7804"/>
    <cellStyle name="Output 2 3 2 3 3" xfId="11002"/>
    <cellStyle name="Output 2 3 2 3 3 2" xfId="23100"/>
    <cellStyle name="Output 2 3 2 3 3 2 2" xfId="44286"/>
    <cellStyle name="Output 2 3 2 3 3 3" xfId="33682"/>
    <cellStyle name="Output 2 3 2 3 4" xfId="17987"/>
    <cellStyle name="Output 2 3 2 3 4 2" xfId="39174"/>
    <cellStyle name="Output 2 3 2 3 5" xfId="28357"/>
    <cellStyle name="Output 2 3 2 3_Table 2A-1_EFT (Annual)" xfId="7803"/>
    <cellStyle name="Output 2 3 2 4" xfId="4881"/>
    <cellStyle name="Output 2 3 2 4 2" xfId="13141"/>
    <cellStyle name="Output 2 3 2 4 2 2" xfId="25147"/>
    <cellStyle name="Output 2 3 2 4 2 2 2" xfId="46333"/>
    <cellStyle name="Output 2 3 2 4 2 3" xfId="35729"/>
    <cellStyle name="Output 2 3 2 4 3" xfId="20034"/>
    <cellStyle name="Output 2 3 2 4 3 2" xfId="41221"/>
    <cellStyle name="Output 2 3 2 4 4" xfId="30538"/>
    <cellStyle name="Output 2 3 2 4_Table 2A-1_EFT (Annual)" xfId="7805"/>
    <cellStyle name="Output 2 3 2 5" xfId="10485"/>
    <cellStyle name="Output 2 3 2 5 2" xfId="22601"/>
    <cellStyle name="Output 2 3 2 5 2 2" xfId="43787"/>
    <cellStyle name="Output 2 3 2 5 3" xfId="33183"/>
    <cellStyle name="Output 2 3 2 6" xfId="17488"/>
    <cellStyle name="Output 2 3 2 6 2" xfId="38675"/>
    <cellStyle name="Output 2 3 2 7" xfId="27795"/>
    <cellStyle name="Output 2 3 2_Table 2A-1_EFT (Annual)" xfId="3386"/>
    <cellStyle name="Output 2 3 3" xfId="2059"/>
    <cellStyle name="Output 2 3 3 2" xfId="5620"/>
    <cellStyle name="Output 2 3 3 2 2" xfId="13835"/>
    <cellStyle name="Output 2 3 3 2 2 2" xfId="25823"/>
    <cellStyle name="Output 2 3 3 2 2 2 2" xfId="47009"/>
    <cellStyle name="Output 2 3 3 2 2 3" xfId="36405"/>
    <cellStyle name="Output 2 3 3 2 3" xfId="20710"/>
    <cellStyle name="Output 2 3 3 2 3 2" xfId="41897"/>
    <cellStyle name="Output 2 3 3 2 4" xfId="31277"/>
    <cellStyle name="Output 2 3 3 2_Table 2A-1_EFT (Annual)" xfId="7807"/>
    <cellStyle name="Output 2 3 3 3" xfId="11179"/>
    <cellStyle name="Output 2 3 3 3 2" xfId="23277"/>
    <cellStyle name="Output 2 3 3 3 2 2" xfId="44463"/>
    <cellStyle name="Output 2 3 3 3 3" xfId="33859"/>
    <cellStyle name="Output 2 3 3 4" xfId="18164"/>
    <cellStyle name="Output 2 3 3 4 2" xfId="39351"/>
    <cellStyle name="Output 2 3 3 5" xfId="28534"/>
    <cellStyle name="Output 2 3 3_Table 2A-1_EFT (Annual)" xfId="7806"/>
    <cellStyle name="Output 2 3 4" xfId="1698"/>
    <cellStyle name="Output 2 3 4 2" xfId="5259"/>
    <cellStyle name="Output 2 3 4 2 2" xfId="13492"/>
    <cellStyle name="Output 2 3 4 2 2 2" xfId="25486"/>
    <cellStyle name="Output 2 3 4 2 2 2 2" xfId="46672"/>
    <cellStyle name="Output 2 3 4 2 2 3" xfId="36068"/>
    <cellStyle name="Output 2 3 4 2 3" xfId="20373"/>
    <cellStyle name="Output 2 3 4 2 3 2" xfId="41560"/>
    <cellStyle name="Output 2 3 4 2 4" xfId="30916"/>
    <cellStyle name="Output 2 3 4 2_Table 2A-1_EFT (Annual)" xfId="7809"/>
    <cellStyle name="Output 2 3 4 3" xfId="10836"/>
    <cellStyle name="Output 2 3 4 3 2" xfId="22940"/>
    <cellStyle name="Output 2 3 4 3 2 2" xfId="44126"/>
    <cellStyle name="Output 2 3 4 3 3" xfId="33522"/>
    <cellStyle name="Output 2 3 4 4" xfId="17827"/>
    <cellStyle name="Output 2 3 4 4 2" xfId="39014"/>
    <cellStyle name="Output 2 3 4 5" xfId="28173"/>
    <cellStyle name="Output 2 3 4_Table 2A-1_EFT (Annual)" xfId="7808"/>
    <cellStyle name="Output 2 3 5" xfId="3902"/>
    <cellStyle name="Output 2 3 5 2" xfId="12234"/>
    <cellStyle name="Output 2 3 5 2 2" xfId="24259"/>
    <cellStyle name="Output 2 3 5 2 2 2" xfId="45445"/>
    <cellStyle name="Output 2 3 5 2 3" xfId="34841"/>
    <cellStyle name="Output 2 3 5 3" xfId="19146"/>
    <cellStyle name="Output 2 3 5 3 2" xfId="40333"/>
    <cellStyle name="Output 2 3 5 4" xfId="29590"/>
    <cellStyle name="Output 2 3 5_Table 2A-1_EFT (Annual)" xfId="7810"/>
    <cellStyle name="Output 2 3 6" xfId="9571"/>
    <cellStyle name="Output 2 3 6 2" xfId="21713"/>
    <cellStyle name="Output 2 3 6 2 2" xfId="42899"/>
    <cellStyle name="Output 2 3 6 3" xfId="32295"/>
    <cellStyle name="Output 2 3 7" xfId="16600"/>
    <cellStyle name="Output 2 3 7 2" xfId="37787"/>
    <cellStyle name="Output 2 3 8" xfId="26847"/>
    <cellStyle name="Output 2 3_Table 2A-1_EFT (Annual)" xfId="3385"/>
    <cellStyle name="Output 2 4" xfId="1154"/>
    <cellStyle name="Output 2 4 2" xfId="2424"/>
    <cellStyle name="Output 2 4 2 2" xfId="5985"/>
    <cellStyle name="Output 2 4 2 2 2" xfId="14179"/>
    <cellStyle name="Output 2 4 2 2 2 2" xfId="26151"/>
    <cellStyle name="Output 2 4 2 2 2 2 2" xfId="47337"/>
    <cellStyle name="Output 2 4 2 2 2 3" xfId="36733"/>
    <cellStyle name="Output 2 4 2 2 3" xfId="21038"/>
    <cellStyle name="Output 2 4 2 2 3 2" xfId="42225"/>
    <cellStyle name="Output 2 4 2 2 4" xfId="31641"/>
    <cellStyle name="Output 2 4 2 2_Table 2A-1_EFT (Annual)" xfId="7812"/>
    <cellStyle name="Output 2 4 2 3" xfId="11521"/>
    <cellStyle name="Output 2 4 2 3 2" xfId="23605"/>
    <cellStyle name="Output 2 4 2 3 2 2" xfId="44791"/>
    <cellStyle name="Output 2 4 2 3 3" xfId="34187"/>
    <cellStyle name="Output 2 4 2 4" xfId="18492"/>
    <cellStyle name="Output 2 4 2 4 2" xfId="39679"/>
    <cellStyle name="Output 2 4 2 5" xfId="28898"/>
    <cellStyle name="Output 2 4 2_Table 2A-1_EFT (Annual)" xfId="7811"/>
    <cellStyle name="Output 2 4 3" xfId="1818"/>
    <cellStyle name="Output 2 4 3 2" xfId="5379"/>
    <cellStyle name="Output 2 4 3 2 2" xfId="13594"/>
    <cellStyle name="Output 2 4 3 2 2 2" xfId="25582"/>
    <cellStyle name="Output 2 4 3 2 2 2 2" xfId="46768"/>
    <cellStyle name="Output 2 4 3 2 2 3" xfId="36164"/>
    <cellStyle name="Output 2 4 3 2 3" xfId="20469"/>
    <cellStyle name="Output 2 4 3 2 3 2" xfId="41656"/>
    <cellStyle name="Output 2 4 3 2 4" xfId="31036"/>
    <cellStyle name="Output 2 4 3 2_Table 2A-1_EFT (Annual)" xfId="7814"/>
    <cellStyle name="Output 2 4 3 3" xfId="10938"/>
    <cellStyle name="Output 2 4 3 3 2" xfId="23036"/>
    <cellStyle name="Output 2 4 3 3 2 2" xfId="44222"/>
    <cellStyle name="Output 2 4 3 3 3" xfId="33618"/>
    <cellStyle name="Output 2 4 3 4" xfId="17923"/>
    <cellStyle name="Output 2 4 3 4 2" xfId="39110"/>
    <cellStyle name="Output 2 4 3 5" xfId="28293"/>
    <cellStyle name="Output 2 4 3_Table 2A-1_EFT (Annual)" xfId="7813"/>
    <cellStyle name="Output 2 4 4" xfId="4715"/>
    <cellStyle name="Output 2 4 4 2" xfId="12975"/>
    <cellStyle name="Output 2 4 4 2 2" xfId="24981"/>
    <cellStyle name="Output 2 4 4 2 2 2" xfId="46167"/>
    <cellStyle name="Output 2 4 4 2 3" xfId="35563"/>
    <cellStyle name="Output 2 4 4 3" xfId="19868"/>
    <cellStyle name="Output 2 4 4 3 2" xfId="41055"/>
    <cellStyle name="Output 2 4 4 4" xfId="30372"/>
    <cellStyle name="Output 2 4 4_Table 2A-1_EFT (Annual)" xfId="7815"/>
    <cellStyle name="Output 2 4 5" xfId="10319"/>
    <cellStyle name="Output 2 4 5 2" xfId="22435"/>
    <cellStyle name="Output 2 4 5 2 2" xfId="43621"/>
    <cellStyle name="Output 2 4 5 3" xfId="33017"/>
    <cellStyle name="Output 2 4 6" xfId="17322"/>
    <cellStyle name="Output 2 4 6 2" xfId="38509"/>
    <cellStyle name="Output 2 4 7" xfId="27629"/>
    <cellStyle name="Output 2 4_Table 2A-1_EFT (Annual)" xfId="3387"/>
    <cellStyle name="Output 2 5" xfId="1803"/>
    <cellStyle name="Output 2 5 2" xfId="5364"/>
    <cellStyle name="Output 2 5 2 2" xfId="13579"/>
    <cellStyle name="Output 2 5 2 2 2" xfId="25567"/>
    <cellStyle name="Output 2 5 2 2 2 2" xfId="46753"/>
    <cellStyle name="Output 2 5 2 2 3" xfId="36149"/>
    <cellStyle name="Output 2 5 2 3" xfId="20454"/>
    <cellStyle name="Output 2 5 2 3 2" xfId="41641"/>
    <cellStyle name="Output 2 5 2 4" xfId="31021"/>
    <cellStyle name="Output 2 5 2_Table 2A-1_EFT (Annual)" xfId="7817"/>
    <cellStyle name="Output 2 5 3" xfId="10923"/>
    <cellStyle name="Output 2 5 3 2" xfId="23021"/>
    <cellStyle name="Output 2 5 3 2 2" xfId="44207"/>
    <cellStyle name="Output 2 5 3 3" xfId="33603"/>
    <cellStyle name="Output 2 5 4" xfId="17908"/>
    <cellStyle name="Output 2 5 4 2" xfId="39095"/>
    <cellStyle name="Output 2 5 5" xfId="28278"/>
    <cellStyle name="Output 2 5_Table 2A-1_EFT (Annual)" xfId="7816"/>
    <cellStyle name="Output 2 6" xfId="1641"/>
    <cellStyle name="Output 2 6 2" xfId="5202"/>
    <cellStyle name="Output 2 6 2 2" xfId="13454"/>
    <cellStyle name="Output 2 6 2 2 2" xfId="25454"/>
    <cellStyle name="Output 2 6 2 2 2 2" xfId="46640"/>
    <cellStyle name="Output 2 6 2 2 3" xfId="36036"/>
    <cellStyle name="Output 2 6 2 3" xfId="20341"/>
    <cellStyle name="Output 2 6 2 3 2" xfId="41528"/>
    <cellStyle name="Output 2 6 2 4" xfId="30859"/>
    <cellStyle name="Output 2 6 2_Table 2A-1_EFT (Annual)" xfId="7819"/>
    <cellStyle name="Output 2 6 3" xfId="10798"/>
    <cellStyle name="Output 2 6 3 2" xfId="22908"/>
    <cellStyle name="Output 2 6 3 2 2" xfId="44094"/>
    <cellStyle name="Output 2 6 3 3" xfId="33490"/>
    <cellStyle name="Output 2 6 4" xfId="17795"/>
    <cellStyle name="Output 2 6 4 2" xfId="38982"/>
    <cellStyle name="Output 2 6 5" xfId="28116"/>
    <cellStyle name="Output 2 6_Table 2A-1_EFT (Annual)" xfId="7818"/>
    <cellStyle name="Output 2 7" xfId="3690"/>
    <cellStyle name="Output 2 7 2" xfId="12062"/>
    <cellStyle name="Output 2 7 2 2" xfId="24093"/>
    <cellStyle name="Output 2 7 2 2 2" xfId="45279"/>
    <cellStyle name="Output 2 7 2 3" xfId="34675"/>
    <cellStyle name="Output 2 7 3" xfId="18980"/>
    <cellStyle name="Output 2 7 3 2" xfId="40167"/>
    <cellStyle name="Output 2 7 4" xfId="29399"/>
    <cellStyle name="Output 2 7_Table 2A-1_EFT (Annual)" xfId="7820"/>
    <cellStyle name="Output 2 8" xfId="9380"/>
    <cellStyle name="Output 2 8 2" xfId="21547"/>
    <cellStyle name="Output 2 8 2 2" xfId="42733"/>
    <cellStyle name="Output 2 8 3" xfId="32129"/>
    <cellStyle name="Output 2 9" xfId="16434"/>
    <cellStyle name="Output 2 9 2" xfId="37621"/>
    <cellStyle name="Output 2_Table 2A-1_EFT (Annual)" xfId="3382"/>
    <cellStyle name="Output 20" xfId="180"/>
    <cellStyle name="Output 20 10" xfId="26735"/>
    <cellStyle name="Output 20 2" xfId="573"/>
    <cellStyle name="Output 20 2 2" xfId="1550"/>
    <cellStyle name="Output 20 2 2 2" xfId="2820"/>
    <cellStyle name="Output 20 2 2 2 2" xfId="6381"/>
    <cellStyle name="Output 20 2 2 2 2 2" xfId="14575"/>
    <cellStyle name="Output 20 2 2 2 2 2 2" xfId="26547"/>
    <cellStyle name="Output 20 2 2 2 2 2 2 2" xfId="47733"/>
    <cellStyle name="Output 20 2 2 2 2 2 3" xfId="37129"/>
    <cellStyle name="Output 20 2 2 2 2 3" xfId="21434"/>
    <cellStyle name="Output 20 2 2 2 2 3 2" xfId="42621"/>
    <cellStyle name="Output 20 2 2 2 2 4" xfId="32037"/>
    <cellStyle name="Output 20 2 2 2 2_Table 2A-1_EFT (Annual)" xfId="7822"/>
    <cellStyle name="Output 20 2 2 2 3" xfId="11917"/>
    <cellStyle name="Output 20 2 2 2 3 2" xfId="24001"/>
    <cellStyle name="Output 20 2 2 2 3 2 2" xfId="45187"/>
    <cellStyle name="Output 20 2 2 2 3 3" xfId="34583"/>
    <cellStyle name="Output 20 2 2 2 4" xfId="18888"/>
    <cellStyle name="Output 20 2 2 2 4 2" xfId="40075"/>
    <cellStyle name="Output 20 2 2 2 5" xfId="29294"/>
    <cellStyle name="Output 20 2 2 2_Table 2A-1_EFT (Annual)" xfId="7821"/>
    <cellStyle name="Output 20 2 2 3" xfId="1927"/>
    <cellStyle name="Output 20 2 2 3 2" xfId="5488"/>
    <cellStyle name="Output 20 2 2 3 2 2" xfId="13703"/>
    <cellStyle name="Output 20 2 2 3 2 2 2" xfId="25691"/>
    <cellStyle name="Output 20 2 2 3 2 2 2 2" xfId="46877"/>
    <cellStyle name="Output 20 2 2 3 2 2 3" xfId="36273"/>
    <cellStyle name="Output 20 2 2 3 2 3" xfId="20578"/>
    <cellStyle name="Output 20 2 2 3 2 3 2" xfId="41765"/>
    <cellStyle name="Output 20 2 2 3 2 4" xfId="31145"/>
    <cellStyle name="Output 20 2 2 3 2_Table 2A-1_EFT (Annual)" xfId="7824"/>
    <cellStyle name="Output 20 2 2 3 3" xfId="11047"/>
    <cellStyle name="Output 20 2 2 3 3 2" xfId="23145"/>
    <cellStyle name="Output 20 2 2 3 3 2 2" xfId="44331"/>
    <cellStyle name="Output 20 2 2 3 3 3" xfId="33727"/>
    <cellStyle name="Output 20 2 2 3 4" xfId="18032"/>
    <cellStyle name="Output 20 2 2 3 4 2" xfId="39219"/>
    <cellStyle name="Output 20 2 2 3 5" xfId="28402"/>
    <cellStyle name="Output 20 2 2 3_Table 2A-1_EFT (Annual)" xfId="7823"/>
    <cellStyle name="Output 20 2 2 4" xfId="5111"/>
    <cellStyle name="Output 20 2 2 4 2" xfId="13371"/>
    <cellStyle name="Output 20 2 2 4 2 2" xfId="25377"/>
    <cellStyle name="Output 20 2 2 4 2 2 2" xfId="46563"/>
    <cellStyle name="Output 20 2 2 4 2 3" xfId="35959"/>
    <cellStyle name="Output 20 2 2 4 3" xfId="20264"/>
    <cellStyle name="Output 20 2 2 4 3 2" xfId="41451"/>
    <cellStyle name="Output 20 2 2 4 4" xfId="30768"/>
    <cellStyle name="Output 20 2 2 4_Table 2A-1_EFT (Annual)" xfId="7825"/>
    <cellStyle name="Output 20 2 2 5" xfId="10715"/>
    <cellStyle name="Output 20 2 2 5 2" xfId="22831"/>
    <cellStyle name="Output 20 2 2 5 2 2" xfId="44017"/>
    <cellStyle name="Output 20 2 2 5 3" xfId="33413"/>
    <cellStyle name="Output 20 2 2 6" xfId="17718"/>
    <cellStyle name="Output 20 2 2 6 2" xfId="38905"/>
    <cellStyle name="Output 20 2 2 7" xfId="28025"/>
    <cellStyle name="Output 20 2 2_Table 2A-1_EFT (Annual)" xfId="3390"/>
    <cellStyle name="Output 20 2 3" xfId="2289"/>
    <cellStyle name="Output 20 2 3 2" xfId="5850"/>
    <cellStyle name="Output 20 2 3 2 2" xfId="14065"/>
    <cellStyle name="Output 20 2 3 2 2 2" xfId="26053"/>
    <cellStyle name="Output 20 2 3 2 2 2 2" xfId="47239"/>
    <cellStyle name="Output 20 2 3 2 2 3" xfId="36635"/>
    <cellStyle name="Output 20 2 3 2 3" xfId="20940"/>
    <cellStyle name="Output 20 2 3 2 3 2" xfId="42127"/>
    <cellStyle name="Output 20 2 3 2 4" xfId="31507"/>
    <cellStyle name="Output 20 2 3 2_Table 2A-1_EFT (Annual)" xfId="7827"/>
    <cellStyle name="Output 20 2 3 3" xfId="11409"/>
    <cellStyle name="Output 20 2 3 3 2" xfId="23507"/>
    <cellStyle name="Output 20 2 3 3 2 2" xfId="44693"/>
    <cellStyle name="Output 20 2 3 3 3" xfId="34089"/>
    <cellStyle name="Output 20 2 3 4" xfId="18394"/>
    <cellStyle name="Output 20 2 3 4 2" xfId="39581"/>
    <cellStyle name="Output 20 2 3 5" xfId="28764"/>
    <cellStyle name="Output 20 2 3_Table 2A-1_EFT (Annual)" xfId="7826"/>
    <cellStyle name="Output 20 2 4" xfId="1752"/>
    <cellStyle name="Output 20 2 4 2" xfId="5313"/>
    <cellStyle name="Output 20 2 4 2 2" xfId="13538"/>
    <cellStyle name="Output 20 2 4 2 2 2" xfId="25529"/>
    <cellStyle name="Output 20 2 4 2 2 2 2" xfId="46715"/>
    <cellStyle name="Output 20 2 4 2 2 3" xfId="36111"/>
    <cellStyle name="Output 20 2 4 2 3" xfId="20416"/>
    <cellStyle name="Output 20 2 4 2 3 2" xfId="41603"/>
    <cellStyle name="Output 20 2 4 2 4" xfId="30970"/>
    <cellStyle name="Output 20 2 4 2_Table 2A-1_EFT (Annual)" xfId="7829"/>
    <cellStyle name="Output 20 2 4 3" xfId="10881"/>
    <cellStyle name="Output 20 2 4 3 2" xfId="22983"/>
    <cellStyle name="Output 20 2 4 3 2 2" xfId="44169"/>
    <cellStyle name="Output 20 2 4 3 3" xfId="33565"/>
    <cellStyle name="Output 20 2 4 4" xfId="17870"/>
    <cellStyle name="Output 20 2 4 4 2" xfId="39057"/>
    <cellStyle name="Output 20 2 4 5" xfId="28227"/>
    <cellStyle name="Output 20 2 4_Table 2A-1_EFT (Annual)" xfId="7828"/>
    <cellStyle name="Output 20 2 5" xfId="4143"/>
    <cellStyle name="Output 20 2 5 2" xfId="12467"/>
    <cellStyle name="Output 20 2 5 2 2" xfId="24489"/>
    <cellStyle name="Output 20 2 5 2 2 2" xfId="45675"/>
    <cellStyle name="Output 20 2 5 2 3" xfId="35071"/>
    <cellStyle name="Output 20 2 5 3" xfId="19376"/>
    <cellStyle name="Output 20 2 5 3 2" xfId="40563"/>
    <cellStyle name="Output 20 2 5 4" xfId="29831"/>
    <cellStyle name="Output 20 2 5_Table 2A-1_EFT (Annual)" xfId="7830"/>
    <cellStyle name="Output 20 2 6" xfId="9806"/>
    <cellStyle name="Output 20 2 6 2" xfId="21943"/>
    <cellStyle name="Output 20 2 6 2 2" xfId="43129"/>
    <cellStyle name="Output 20 2 6 3" xfId="32525"/>
    <cellStyle name="Output 20 2 7" xfId="16830"/>
    <cellStyle name="Output 20 2 7 2" xfId="38017"/>
    <cellStyle name="Output 20 2 8" xfId="27088"/>
    <cellStyle name="Output 20 2_Table 2A-1_EFT (Annual)" xfId="3389"/>
    <cellStyle name="Output 20 3" xfId="411"/>
    <cellStyle name="Output 20 3 2" xfId="1394"/>
    <cellStyle name="Output 20 3 2 2" xfId="2664"/>
    <cellStyle name="Output 20 3 2 2 2" xfId="6225"/>
    <cellStyle name="Output 20 3 2 2 2 2" xfId="14419"/>
    <cellStyle name="Output 20 3 2 2 2 2 2" xfId="26391"/>
    <cellStyle name="Output 20 3 2 2 2 2 2 2" xfId="47577"/>
    <cellStyle name="Output 20 3 2 2 2 2 3" xfId="36973"/>
    <cellStyle name="Output 20 3 2 2 2 3" xfId="21278"/>
    <cellStyle name="Output 20 3 2 2 2 3 2" xfId="42465"/>
    <cellStyle name="Output 20 3 2 2 2 4" xfId="31881"/>
    <cellStyle name="Output 20 3 2 2 2_Table 2A-1_EFT (Annual)" xfId="7832"/>
    <cellStyle name="Output 20 3 2 2 3" xfId="11761"/>
    <cellStyle name="Output 20 3 2 2 3 2" xfId="23845"/>
    <cellStyle name="Output 20 3 2 2 3 2 2" xfId="45031"/>
    <cellStyle name="Output 20 3 2 2 3 3" xfId="34427"/>
    <cellStyle name="Output 20 3 2 2 4" xfId="18732"/>
    <cellStyle name="Output 20 3 2 2 4 2" xfId="39919"/>
    <cellStyle name="Output 20 3 2 2 5" xfId="29138"/>
    <cellStyle name="Output 20 3 2 2_Table 2A-1_EFT (Annual)" xfId="7831"/>
    <cellStyle name="Output 20 3 2 3" xfId="1896"/>
    <cellStyle name="Output 20 3 2 3 2" xfId="5457"/>
    <cellStyle name="Output 20 3 2 3 2 2" xfId="13672"/>
    <cellStyle name="Output 20 3 2 3 2 2 2" xfId="25660"/>
    <cellStyle name="Output 20 3 2 3 2 2 2 2" xfId="46846"/>
    <cellStyle name="Output 20 3 2 3 2 2 3" xfId="36242"/>
    <cellStyle name="Output 20 3 2 3 2 3" xfId="20547"/>
    <cellStyle name="Output 20 3 2 3 2 3 2" xfId="41734"/>
    <cellStyle name="Output 20 3 2 3 2 4" xfId="31114"/>
    <cellStyle name="Output 20 3 2 3 2_Table 2A-1_EFT (Annual)" xfId="7834"/>
    <cellStyle name="Output 20 3 2 3 3" xfId="11016"/>
    <cellStyle name="Output 20 3 2 3 3 2" xfId="23114"/>
    <cellStyle name="Output 20 3 2 3 3 2 2" xfId="44300"/>
    <cellStyle name="Output 20 3 2 3 3 3" xfId="33696"/>
    <cellStyle name="Output 20 3 2 3 4" xfId="18001"/>
    <cellStyle name="Output 20 3 2 3 4 2" xfId="39188"/>
    <cellStyle name="Output 20 3 2 3 5" xfId="28371"/>
    <cellStyle name="Output 20 3 2 3_Table 2A-1_EFT (Annual)" xfId="7833"/>
    <cellStyle name="Output 20 3 2 4" xfId="4955"/>
    <cellStyle name="Output 20 3 2 4 2" xfId="13215"/>
    <cellStyle name="Output 20 3 2 4 2 2" xfId="25221"/>
    <cellStyle name="Output 20 3 2 4 2 2 2" xfId="46407"/>
    <cellStyle name="Output 20 3 2 4 2 3" xfId="35803"/>
    <cellStyle name="Output 20 3 2 4 3" xfId="20108"/>
    <cellStyle name="Output 20 3 2 4 3 2" xfId="41295"/>
    <cellStyle name="Output 20 3 2 4 4" xfId="30612"/>
    <cellStyle name="Output 20 3 2 4_Table 2A-1_EFT (Annual)" xfId="7835"/>
    <cellStyle name="Output 20 3 2 5" xfId="10559"/>
    <cellStyle name="Output 20 3 2 5 2" xfId="22675"/>
    <cellStyle name="Output 20 3 2 5 2 2" xfId="43861"/>
    <cellStyle name="Output 20 3 2 5 3" xfId="33257"/>
    <cellStyle name="Output 20 3 2 6" xfId="17562"/>
    <cellStyle name="Output 20 3 2 6 2" xfId="38749"/>
    <cellStyle name="Output 20 3 2 7" xfId="27869"/>
    <cellStyle name="Output 20 3 2_Table 2A-1_EFT (Annual)" xfId="3392"/>
    <cellStyle name="Output 20 3 3" xfId="2133"/>
    <cellStyle name="Output 20 3 3 2" xfId="5694"/>
    <cellStyle name="Output 20 3 3 2 2" xfId="13909"/>
    <cellStyle name="Output 20 3 3 2 2 2" xfId="25897"/>
    <cellStyle name="Output 20 3 3 2 2 2 2" xfId="47083"/>
    <cellStyle name="Output 20 3 3 2 2 3" xfId="36479"/>
    <cellStyle name="Output 20 3 3 2 3" xfId="20784"/>
    <cellStyle name="Output 20 3 3 2 3 2" xfId="41971"/>
    <cellStyle name="Output 20 3 3 2 4" xfId="31351"/>
    <cellStyle name="Output 20 3 3 2_Table 2A-1_EFT (Annual)" xfId="7837"/>
    <cellStyle name="Output 20 3 3 3" xfId="11253"/>
    <cellStyle name="Output 20 3 3 3 2" xfId="23351"/>
    <cellStyle name="Output 20 3 3 3 2 2" xfId="44537"/>
    <cellStyle name="Output 20 3 3 3 3" xfId="33933"/>
    <cellStyle name="Output 20 3 3 4" xfId="18238"/>
    <cellStyle name="Output 20 3 3 4 2" xfId="39425"/>
    <cellStyle name="Output 20 3 3 5" xfId="28608"/>
    <cellStyle name="Output 20 3 3_Table 2A-1_EFT (Annual)" xfId="7836"/>
    <cellStyle name="Output 20 3 4" xfId="1716"/>
    <cellStyle name="Output 20 3 4 2" xfId="5277"/>
    <cellStyle name="Output 20 3 4 2 2" xfId="13506"/>
    <cellStyle name="Output 20 3 4 2 2 2" xfId="25499"/>
    <cellStyle name="Output 20 3 4 2 2 2 2" xfId="46685"/>
    <cellStyle name="Output 20 3 4 2 2 3" xfId="36081"/>
    <cellStyle name="Output 20 3 4 2 3" xfId="20386"/>
    <cellStyle name="Output 20 3 4 2 3 2" xfId="41573"/>
    <cellStyle name="Output 20 3 4 2 4" xfId="30934"/>
    <cellStyle name="Output 20 3 4 2_Table 2A-1_EFT (Annual)" xfId="7839"/>
    <cellStyle name="Output 20 3 4 3" xfId="10850"/>
    <cellStyle name="Output 20 3 4 3 2" xfId="22953"/>
    <cellStyle name="Output 20 3 4 3 2 2" xfId="44139"/>
    <cellStyle name="Output 20 3 4 3 3" xfId="33535"/>
    <cellStyle name="Output 20 3 4 4" xfId="17840"/>
    <cellStyle name="Output 20 3 4 4 2" xfId="39027"/>
    <cellStyle name="Output 20 3 4 5" xfId="28191"/>
    <cellStyle name="Output 20 3 4_Table 2A-1_EFT (Annual)" xfId="7838"/>
    <cellStyle name="Output 20 3 5" xfId="3981"/>
    <cellStyle name="Output 20 3 5 2" xfId="12309"/>
    <cellStyle name="Output 20 3 5 2 2" xfId="24333"/>
    <cellStyle name="Output 20 3 5 2 2 2" xfId="45519"/>
    <cellStyle name="Output 20 3 5 2 3" xfId="34915"/>
    <cellStyle name="Output 20 3 5 3" xfId="19220"/>
    <cellStyle name="Output 20 3 5 3 2" xfId="40407"/>
    <cellStyle name="Output 20 3 5 4" xfId="29669"/>
    <cellStyle name="Output 20 3 5_Table 2A-1_EFT (Annual)" xfId="7840"/>
    <cellStyle name="Output 20 3 6" xfId="9646"/>
    <cellStyle name="Output 20 3 6 2" xfId="21787"/>
    <cellStyle name="Output 20 3 6 2 2" xfId="42973"/>
    <cellStyle name="Output 20 3 6 3" xfId="32369"/>
    <cellStyle name="Output 20 3 7" xfId="16674"/>
    <cellStyle name="Output 20 3 7 2" xfId="37861"/>
    <cellStyle name="Output 20 3 8" xfId="26926"/>
    <cellStyle name="Output 20 3_Table 2A-1_EFT (Annual)" xfId="3391"/>
    <cellStyle name="Output 20 4" xfId="1228"/>
    <cellStyle name="Output 20 4 2" xfId="2498"/>
    <cellStyle name="Output 20 4 2 2" xfId="6059"/>
    <cellStyle name="Output 20 4 2 2 2" xfId="14253"/>
    <cellStyle name="Output 20 4 2 2 2 2" xfId="26225"/>
    <cellStyle name="Output 20 4 2 2 2 2 2" xfId="47411"/>
    <cellStyle name="Output 20 4 2 2 2 3" xfId="36807"/>
    <cellStyle name="Output 20 4 2 2 3" xfId="21112"/>
    <cellStyle name="Output 20 4 2 2 3 2" xfId="42299"/>
    <cellStyle name="Output 20 4 2 2 4" xfId="31715"/>
    <cellStyle name="Output 20 4 2 2_Table 2A-1_EFT (Annual)" xfId="7842"/>
    <cellStyle name="Output 20 4 2 3" xfId="11595"/>
    <cellStyle name="Output 20 4 2 3 2" xfId="23679"/>
    <cellStyle name="Output 20 4 2 3 2 2" xfId="44865"/>
    <cellStyle name="Output 20 4 2 3 3" xfId="34261"/>
    <cellStyle name="Output 20 4 2 4" xfId="18566"/>
    <cellStyle name="Output 20 4 2 4 2" xfId="39753"/>
    <cellStyle name="Output 20 4 2 5" xfId="28972"/>
    <cellStyle name="Output 20 4 2_Table 2A-1_EFT (Annual)" xfId="7841"/>
    <cellStyle name="Output 20 4 3" xfId="1832"/>
    <cellStyle name="Output 20 4 3 2" xfId="5393"/>
    <cellStyle name="Output 20 4 3 2 2" xfId="13608"/>
    <cellStyle name="Output 20 4 3 2 2 2" xfId="25596"/>
    <cellStyle name="Output 20 4 3 2 2 2 2" xfId="46782"/>
    <cellStyle name="Output 20 4 3 2 2 3" xfId="36178"/>
    <cellStyle name="Output 20 4 3 2 3" xfId="20483"/>
    <cellStyle name="Output 20 4 3 2 3 2" xfId="41670"/>
    <cellStyle name="Output 20 4 3 2 4" xfId="31050"/>
    <cellStyle name="Output 20 4 3 2_Table 2A-1_EFT (Annual)" xfId="7844"/>
    <cellStyle name="Output 20 4 3 3" xfId="10952"/>
    <cellStyle name="Output 20 4 3 3 2" xfId="23050"/>
    <cellStyle name="Output 20 4 3 3 2 2" xfId="44236"/>
    <cellStyle name="Output 20 4 3 3 3" xfId="33632"/>
    <cellStyle name="Output 20 4 3 4" xfId="17937"/>
    <cellStyle name="Output 20 4 3 4 2" xfId="39124"/>
    <cellStyle name="Output 20 4 3 5" xfId="28307"/>
    <cellStyle name="Output 20 4 3_Table 2A-1_EFT (Annual)" xfId="7843"/>
    <cellStyle name="Output 20 4 4" xfId="4789"/>
    <cellStyle name="Output 20 4 4 2" xfId="13049"/>
    <cellStyle name="Output 20 4 4 2 2" xfId="25055"/>
    <cellStyle name="Output 20 4 4 2 2 2" xfId="46241"/>
    <cellStyle name="Output 20 4 4 2 3" xfId="35637"/>
    <cellStyle name="Output 20 4 4 3" xfId="19942"/>
    <cellStyle name="Output 20 4 4 3 2" xfId="41129"/>
    <cellStyle name="Output 20 4 4 4" xfId="30446"/>
    <cellStyle name="Output 20 4 4_Table 2A-1_EFT (Annual)" xfId="7845"/>
    <cellStyle name="Output 20 4 5" xfId="10393"/>
    <cellStyle name="Output 20 4 5 2" xfId="22509"/>
    <cellStyle name="Output 20 4 5 2 2" xfId="43695"/>
    <cellStyle name="Output 20 4 5 3" xfId="33091"/>
    <cellStyle name="Output 20 4 6" xfId="17396"/>
    <cellStyle name="Output 20 4 6 2" xfId="38583"/>
    <cellStyle name="Output 20 4 7" xfId="27703"/>
    <cellStyle name="Output 20 4_Table 2A-1_EFT (Annual)" xfId="3393"/>
    <cellStyle name="Output 20 5" xfId="1967"/>
    <cellStyle name="Output 20 5 2" xfId="5528"/>
    <cellStyle name="Output 20 5 2 2" xfId="13743"/>
    <cellStyle name="Output 20 5 2 2 2" xfId="25731"/>
    <cellStyle name="Output 20 5 2 2 2 2" xfId="46917"/>
    <cellStyle name="Output 20 5 2 2 3" xfId="36313"/>
    <cellStyle name="Output 20 5 2 3" xfId="20618"/>
    <cellStyle name="Output 20 5 2 3 2" xfId="41805"/>
    <cellStyle name="Output 20 5 2 4" xfId="31185"/>
    <cellStyle name="Output 20 5 2_Table 2A-1_EFT (Annual)" xfId="7847"/>
    <cellStyle name="Output 20 5 3" xfId="11087"/>
    <cellStyle name="Output 20 5 3 2" xfId="23185"/>
    <cellStyle name="Output 20 5 3 2 2" xfId="44371"/>
    <cellStyle name="Output 20 5 3 3" xfId="33767"/>
    <cellStyle name="Output 20 5 4" xfId="18072"/>
    <cellStyle name="Output 20 5 4 2" xfId="39259"/>
    <cellStyle name="Output 20 5 5" xfId="28442"/>
    <cellStyle name="Output 20 5_Table 2A-1_EFT (Annual)" xfId="7846"/>
    <cellStyle name="Output 20 6" xfId="1659"/>
    <cellStyle name="Output 20 6 2" xfId="5220"/>
    <cellStyle name="Output 20 6 2 2" xfId="13467"/>
    <cellStyle name="Output 20 6 2 2 2" xfId="25467"/>
    <cellStyle name="Output 20 6 2 2 2 2" xfId="46653"/>
    <cellStyle name="Output 20 6 2 2 3" xfId="36049"/>
    <cellStyle name="Output 20 6 2 3" xfId="20354"/>
    <cellStyle name="Output 20 6 2 3 2" xfId="41541"/>
    <cellStyle name="Output 20 6 2 4" xfId="30877"/>
    <cellStyle name="Output 20 6 2_Table 2A-1_EFT (Annual)" xfId="7849"/>
    <cellStyle name="Output 20 6 3" xfId="10812"/>
    <cellStyle name="Output 20 6 3 2" xfId="22921"/>
    <cellStyle name="Output 20 6 3 2 2" xfId="44107"/>
    <cellStyle name="Output 20 6 3 3" xfId="33503"/>
    <cellStyle name="Output 20 6 4" xfId="17808"/>
    <cellStyle name="Output 20 6 4 2" xfId="38995"/>
    <cellStyle name="Output 20 6 5" xfId="28134"/>
    <cellStyle name="Output 20 6_Table 2A-1_EFT (Annual)" xfId="7848"/>
    <cellStyle name="Output 20 7" xfId="3769"/>
    <cellStyle name="Output 20 7 2" xfId="12137"/>
    <cellStyle name="Output 20 7 2 2" xfId="24167"/>
    <cellStyle name="Output 20 7 2 2 2" xfId="45353"/>
    <cellStyle name="Output 20 7 2 3" xfId="34749"/>
    <cellStyle name="Output 20 7 3" xfId="19054"/>
    <cellStyle name="Output 20 7 3 2" xfId="40241"/>
    <cellStyle name="Output 20 7 4" xfId="29478"/>
    <cellStyle name="Output 20 7_Table 2A-1_EFT (Annual)" xfId="7850"/>
    <cellStyle name="Output 20 8" xfId="9456"/>
    <cellStyle name="Output 20 8 2" xfId="21621"/>
    <cellStyle name="Output 20 8 2 2" xfId="42807"/>
    <cellStyle name="Output 20 8 3" xfId="32203"/>
    <cellStyle name="Output 20 9" xfId="16508"/>
    <cellStyle name="Output 20 9 2" xfId="37695"/>
    <cellStyle name="Output 20_Table 2A-1_EFT (Annual)" xfId="3388"/>
    <cellStyle name="Output 21" xfId="201"/>
    <cellStyle name="Output 21 10" xfId="26756"/>
    <cellStyle name="Output 21 2" xfId="594"/>
    <cellStyle name="Output 21 2 2" xfId="1571"/>
    <cellStyle name="Output 21 2 2 2" xfId="2841"/>
    <cellStyle name="Output 21 2 2 2 2" xfId="6402"/>
    <cellStyle name="Output 21 2 2 2 2 2" xfId="14596"/>
    <cellStyle name="Output 21 2 2 2 2 2 2" xfId="26568"/>
    <cellStyle name="Output 21 2 2 2 2 2 2 2" xfId="47754"/>
    <cellStyle name="Output 21 2 2 2 2 2 3" xfId="37150"/>
    <cellStyle name="Output 21 2 2 2 2 3" xfId="21455"/>
    <cellStyle name="Output 21 2 2 2 2 3 2" xfId="42642"/>
    <cellStyle name="Output 21 2 2 2 2 4" xfId="32058"/>
    <cellStyle name="Output 21 2 2 2 2_Table 2A-1_EFT (Annual)" xfId="7852"/>
    <cellStyle name="Output 21 2 2 2 3" xfId="11938"/>
    <cellStyle name="Output 21 2 2 2 3 2" xfId="24022"/>
    <cellStyle name="Output 21 2 2 2 3 2 2" xfId="45208"/>
    <cellStyle name="Output 21 2 2 2 3 3" xfId="34604"/>
    <cellStyle name="Output 21 2 2 2 4" xfId="18909"/>
    <cellStyle name="Output 21 2 2 2 4 2" xfId="40096"/>
    <cellStyle name="Output 21 2 2 2 5" xfId="29315"/>
    <cellStyle name="Output 21 2 2 2_Table 2A-1_EFT (Annual)" xfId="7851"/>
    <cellStyle name="Output 21 2 2 3" xfId="1931"/>
    <cellStyle name="Output 21 2 2 3 2" xfId="5492"/>
    <cellStyle name="Output 21 2 2 3 2 2" xfId="13707"/>
    <cellStyle name="Output 21 2 2 3 2 2 2" xfId="25695"/>
    <cellStyle name="Output 21 2 2 3 2 2 2 2" xfId="46881"/>
    <cellStyle name="Output 21 2 2 3 2 2 3" xfId="36277"/>
    <cellStyle name="Output 21 2 2 3 2 3" xfId="20582"/>
    <cellStyle name="Output 21 2 2 3 2 3 2" xfId="41769"/>
    <cellStyle name="Output 21 2 2 3 2 4" xfId="31149"/>
    <cellStyle name="Output 21 2 2 3 2_Table 2A-1_EFT (Annual)" xfId="7854"/>
    <cellStyle name="Output 21 2 2 3 3" xfId="11051"/>
    <cellStyle name="Output 21 2 2 3 3 2" xfId="23149"/>
    <cellStyle name="Output 21 2 2 3 3 2 2" xfId="44335"/>
    <cellStyle name="Output 21 2 2 3 3 3" xfId="33731"/>
    <cellStyle name="Output 21 2 2 3 4" xfId="18036"/>
    <cellStyle name="Output 21 2 2 3 4 2" xfId="39223"/>
    <cellStyle name="Output 21 2 2 3 5" xfId="28406"/>
    <cellStyle name="Output 21 2 2 3_Table 2A-1_EFT (Annual)" xfId="7853"/>
    <cellStyle name="Output 21 2 2 4" xfId="5132"/>
    <cellStyle name="Output 21 2 2 4 2" xfId="13392"/>
    <cellStyle name="Output 21 2 2 4 2 2" xfId="25398"/>
    <cellStyle name="Output 21 2 2 4 2 2 2" xfId="46584"/>
    <cellStyle name="Output 21 2 2 4 2 3" xfId="35980"/>
    <cellStyle name="Output 21 2 2 4 3" xfId="20285"/>
    <cellStyle name="Output 21 2 2 4 3 2" xfId="41472"/>
    <cellStyle name="Output 21 2 2 4 4" xfId="30789"/>
    <cellStyle name="Output 21 2 2 4_Table 2A-1_EFT (Annual)" xfId="7855"/>
    <cellStyle name="Output 21 2 2 5" xfId="10736"/>
    <cellStyle name="Output 21 2 2 5 2" xfId="22852"/>
    <cellStyle name="Output 21 2 2 5 2 2" xfId="44038"/>
    <cellStyle name="Output 21 2 2 5 3" xfId="33434"/>
    <cellStyle name="Output 21 2 2 6" xfId="17739"/>
    <cellStyle name="Output 21 2 2 6 2" xfId="38926"/>
    <cellStyle name="Output 21 2 2 7" xfId="28046"/>
    <cellStyle name="Output 21 2 2_Table 2A-1_EFT (Annual)" xfId="3396"/>
    <cellStyle name="Output 21 2 3" xfId="2310"/>
    <cellStyle name="Output 21 2 3 2" xfId="5871"/>
    <cellStyle name="Output 21 2 3 2 2" xfId="14086"/>
    <cellStyle name="Output 21 2 3 2 2 2" xfId="26074"/>
    <cellStyle name="Output 21 2 3 2 2 2 2" xfId="47260"/>
    <cellStyle name="Output 21 2 3 2 2 3" xfId="36656"/>
    <cellStyle name="Output 21 2 3 2 3" xfId="20961"/>
    <cellStyle name="Output 21 2 3 2 3 2" xfId="42148"/>
    <cellStyle name="Output 21 2 3 2 4" xfId="31528"/>
    <cellStyle name="Output 21 2 3 2_Table 2A-1_EFT (Annual)" xfId="7857"/>
    <cellStyle name="Output 21 2 3 3" xfId="11430"/>
    <cellStyle name="Output 21 2 3 3 2" xfId="23528"/>
    <cellStyle name="Output 21 2 3 3 2 2" xfId="44714"/>
    <cellStyle name="Output 21 2 3 3 3" xfId="34110"/>
    <cellStyle name="Output 21 2 3 4" xfId="18415"/>
    <cellStyle name="Output 21 2 3 4 2" xfId="39602"/>
    <cellStyle name="Output 21 2 3 5" xfId="28785"/>
    <cellStyle name="Output 21 2 3_Table 2A-1_EFT (Annual)" xfId="7856"/>
    <cellStyle name="Output 21 2 4" xfId="1756"/>
    <cellStyle name="Output 21 2 4 2" xfId="5317"/>
    <cellStyle name="Output 21 2 4 2 2" xfId="13542"/>
    <cellStyle name="Output 21 2 4 2 2 2" xfId="25533"/>
    <cellStyle name="Output 21 2 4 2 2 2 2" xfId="46719"/>
    <cellStyle name="Output 21 2 4 2 2 3" xfId="36115"/>
    <cellStyle name="Output 21 2 4 2 3" xfId="20420"/>
    <cellStyle name="Output 21 2 4 2 3 2" xfId="41607"/>
    <cellStyle name="Output 21 2 4 2 4" xfId="30974"/>
    <cellStyle name="Output 21 2 4 2_Table 2A-1_EFT (Annual)" xfId="7859"/>
    <cellStyle name="Output 21 2 4 3" xfId="10885"/>
    <cellStyle name="Output 21 2 4 3 2" xfId="22987"/>
    <cellStyle name="Output 21 2 4 3 2 2" xfId="44173"/>
    <cellStyle name="Output 21 2 4 3 3" xfId="33569"/>
    <cellStyle name="Output 21 2 4 4" xfId="17874"/>
    <cellStyle name="Output 21 2 4 4 2" xfId="39061"/>
    <cellStyle name="Output 21 2 4 5" xfId="28231"/>
    <cellStyle name="Output 21 2 4_Table 2A-1_EFT (Annual)" xfId="7858"/>
    <cellStyle name="Output 21 2 5" xfId="4164"/>
    <cellStyle name="Output 21 2 5 2" xfId="12488"/>
    <cellStyle name="Output 21 2 5 2 2" xfId="24510"/>
    <cellStyle name="Output 21 2 5 2 2 2" xfId="45696"/>
    <cellStyle name="Output 21 2 5 2 3" xfId="35092"/>
    <cellStyle name="Output 21 2 5 3" xfId="19397"/>
    <cellStyle name="Output 21 2 5 3 2" xfId="40584"/>
    <cellStyle name="Output 21 2 5 4" xfId="29852"/>
    <cellStyle name="Output 21 2 5_Table 2A-1_EFT (Annual)" xfId="7860"/>
    <cellStyle name="Output 21 2 6" xfId="9827"/>
    <cellStyle name="Output 21 2 6 2" xfId="21964"/>
    <cellStyle name="Output 21 2 6 2 2" xfId="43150"/>
    <cellStyle name="Output 21 2 6 3" xfId="32546"/>
    <cellStyle name="Output 21 2 7" xfId="16851"/>
    <cellStyle name="Output 21 2 7 2" xfId="38038"/>
    <cellStyle name="Output 21 2 8" xfId="27109"/>
    <cellStyle name="Output 21 2_Table 2A-1_EFT (Annual)" xfId="3395"/>
    <cellStyle name="Output 21 3" xfId="430"/>
    <cellStyle name="Output 21 3 2" xfId="1413"/>
    <cellStyle name="Output 21 3 2 2" xfId="2683"/>
    <cellStyle name="Output 21 3 2 2 2" xfId="6244"/>
    <cellStyle name="Output 21 3 2 2 2 2" xfId="14438"/>
    <cellStyle name="Output 21 3 2 2 2 2 2" xfId="26410"/>
    <cellStyle name="Output 21 3 2 2 2 2 2 2" xfId="47596"/>
    <cellStyle name="Output 21 3 2 2 2 2 3" xfId="36992"/>
    <cellStyle name="Output 21 3 2 2 2 3" xfId="21297"/>
    <cellStyle name="Output 21 3 2 2 2 3 2" xfId="42484"/>
    <cellStyle name="Output 21 3 2 2 2 4" xfId="31900"/>
    <cellStyle name="Output 21 3 2 2 2_Table 2A-1_EFT (Annual)" xfId="7862"/>
    <cellStyle name="Output 21 3 2 2 3" xfId="11780"/>
    <cellStyle name="Output 21 3 2 2 3 2" xfId="23864"/>
    <cellStyle name="Output 21 3 2 2 3 2 2" xfId="45050"/>
    <cellStyle name="Output 21 3 2 2 3 3" xfId="34446"/>
    <cellStyle name="Output 21 3 2 2 4" xfId="18751"/>
    <cellStyle name="Output 21 3 2 2 4 2" xfId="39938"/>
    <cellStyle name="Output 21 3 2 2 5" xfId="29157"/>
    <cellStyle name="Output 21 3 2 2_Table 2A-1_EFT (Annual)" xfId="7861"/>
    <cellStyle name="Output 21 3 2 3" xfId="1900"/>
    <cellStyle name="Output 21 3 2 3 2" xfId="5461"/>
    <cellStyle name="Output 21 3 2 3 2 2" xfId="13676"/>
    <cellStyle name="Output 21 3 2 3 2 2 2" xfId="25664"/>
    <cellStyle name="Output 21 3 2 3 2 2 2 2" xfId="46850"/>
    <cellStyle name="Output 21 3 2 3 2 2 3" xfId="36246"/>
    <cellStyle name="Output 21 3 2 3 2 3" xfId="20551"/>
    <cellStyle name="Output 21 3 2 3 2 3 2" xfId="41738"/>
    <cellStyle name="Output 21 3 2 3 2 4" xfId="31118"/>
    <cellStyle name="Output 21 3 2 3 2_Table 2A-1_EFT (Annual)" xfId="7864"/>
    <cellStyle name="Output 21 3 2 3 3" xfId="11020"/>
    <cellStyle name="Output 21 3 2 3 3 2" xfId="23118"/>
    <cellStyle name="Output 21 3 2 3 3 2 2" xfId="44304"/>
    <cellStyle name="Output 21 3 2 3 3 3" xfId="33700"/>
    <cellStyle name="Output 21 3 2 3 4" xfId="18005"/>
    <cellStyle name="Output 21 3 2 3 4 2" xfId="39192"/>
    <cellStyle name="Output 21 3 2 3 5" xfId="28375"/>
    <cellStyle name="Output 21 3 2 3_Table 2A-1_EFT (Annual)" xfId="7863"/>
    <cellStyle name="Output 21 3 2 4" xfId="4974"/>
    <cellStyle name="Output 21 3 2 4 2" xfId="13234"/>
    <cellStyle name="Output 21 3 2 4 2 2" xfId="25240"/>
    <cellStyle name="Output 21 3 2 4 2 2 2" xfId="46426"/>
    <cellStyle name="Output 21 3 2 4 2 3" xfId="35822"/>
    <cellStyle name="Output 21 3 2 4 3" xfId="20127"/>
    <cellStyle name="Output 21 3 2 4 3 2" xfId="41314"/>
    <cellStyle name="Output 21 3 2 4 4" xfId="30631"/>
    <cellStyle name="Output 21 3 2 4_Table 2A-1_EFT (Annual)" xfId="7865"/>
    <cellStyle name="Output 21 3 2 5" xfId="10578"/>
    <cellStyle name="Output 21 3 2 5 2" xfId="22694"/>
    <cellStyle name="Output 21 3 2 5 2 2" xfId="43880"/>
    <cellStyle name="Output 21 3 2 5 3" xfId="33276"/>
    <cellStyle name="Output 21 3 2 6" xfId="17581"/>
    <cellStyle name="Output 21 3 2 6 2" xfId="38768"/>
    <cellStyle name="Output 21 3 2 7" xfId="27888"/>
    <cellStyle name="Output 21 3 2_Table 2A-1_EFT (Annual)" xfId="3398"/>
    <cellStyle name="Output 21 3 3" xfId="2152"/>
    <cellStyle name="Output 21 3 3 2" xfId="5713"/>
    <cellStyle name="Output 21 3 3 2 2" xfId="13928"/>
    <cellStyle name="Output 21 3 3 2 2 2" xfId="25916"/>
    <cellStyle name="Output 21 3 3 2 2 2 2" xfId="47102"/>
    <cellStyle name="Output 21 3 3 2 2 3" xfId="36498"/>
    <cellStyle name="Output 21 3 3 2 3" xfId="20803"/>
    <cellStyle name="Output 21 3 3 2 3 2" xfId="41990"/>
    <cellStyle name="Output 21 3 3 2 4" xfId="31370"/>
    <cellStyle name="Output 21 3 3 2_Table 2A-1_EFT (Annual)" xfId="7867"/>
    <cellStyle name="Output 21 3 3 3" xfId="11272"/>
    <cellStyle name="Output 21 3 3 3 2" xfId="23370"/>
    <cellStyle name="Output 21 3 3 3 2 2" xfId="44556"/>
    <cellStyle name="Output 21 3 3 3 3" xfId="33952"/>
    <cellStyle name="Output 21 3 3 4" xfId="18257"/>
    <cellStyle name="Output 21 3 3 4 2" xfId="39444"/>
    <cellStyle name="Output 21 3 3 5" xfId="28627"/>
    <cellStyle name="Output 21 3 3_Table 2A-1_EFT (Annual)" xfId="7866"/>
    <cellStyle name="Output 21 3 4" xfId="1720"/>
    <cellStyle name="Output 21 3 4 2" xfId="5281"/>
    <cellStyle name="Output 21 3 4 2 2" xfId="13510"/>
    <cellStyle name="Output 21 3 4 2 2 2" xfId="25503"/>
    <cellStyle name="Output 21 3 4 2 2 2 2" xfId="46689"/>
    <cellStyle name="Output 21 3 4 2 2 3" xfId="36085"/>
    <cellStyle name="Output 21 3 4 2 3" xfId="20390"/>
    <cellStyle name="Output 21 3 4 2 3 2" xfId="41577"/>
    <cellStyle name="Output 21 3 4 2 4" xfId="30938"/>
    <cellStyle name="Output 21 3 4 2_Table 2A-1_EFT (Annual)" xfId="7869"/>
    <cellStyle name="Output 21 3 4 3" xfId="10854"/>
    <cellStyle name="Output 21 3 4 3 2" xfId="22957"/>
    <cellStyle name="Output 21 3 4 3 2 2" xfId="44143"/>
    <cellStyle name="Output 21 3 4 3 3" xfId="33539"/>
    <cellStyle name="Output 21 3 4 4" xfId="17844"/>
    <cellStyle name="Output 21 3 4 4 2" xfId="39031"/>
    <cellStyle name="Output 21 3 4 5" xfId="28195"/>
    <cellStyle name="Output 21 3 4_Table 2A-1_EFT (Annual)" xfId="7868"/>
    <cellStyle name="Output 21 3 5" xfId="4000"/>
    <cellStyle name="Output 21 3 5 2" xfId="12328"/>
    <cellStyle name="Output 21 3 5 2 2" xfId="24352"/>
    <cellStyle name="Output 21 3 5 2 2 2" xfId="45538"/>
    <cellStyle name="Output 21 3 5 2 3" xfId="34934"/>
    <cellStyle name="Output 21 3 5 3" xfId="19239"/>
    <cellStyle name="Output 21 3 5 3 2" xfId="40426"/>
    <cellStyle name="Output 21 3 5 4" xfId="29688"/>
    <cellStyle name="Output 21 3 5_Table 2A-1_EFT (Annual)" xfId="7870"/>
    <cellStyle name="Output 21 3 6" xfId="9665"/>
    <cellStyle name="Output 21 3 6 2" xfId="21806"/>
    <cellStyle name="Output 21 3 6 2 2" xfId="42992"/>
    <cellStyle name="Output 21 3 6 3" xfId="32388"/>
    <cellStyle name="Output 21 3 7" xfId="16693"/>
    <cellStyle name="Output 21 3 7 2" xfId="37880"/>
    <cellStyle name="Output 21 3 8" xfId="26945"/>
    <cellStyle name="Output 21 3_Table 2A-1_EFT (Annual)" xfId="3397"/>
    <cellStyle name="Output 21 4" xfId="1249"/>
    <cellStyle name="Output 21 4 2" xfId="2519"/>
    <cellStyle name="Output 21 4 2 2" xfId="6080"/>
    <cellStyle name="Output 21 4 2 2 2" xfId="14274"/>
    <cellStyle name="Output 21 4 2 2 2 2" xfId="26246"/>
    <cellStyle name="Output 21 4 2 2 2 2 2" xfId="47432"/>
    <cellStyle name="Output 21 4 2 2 2 3" xfId="36828"/>
    <cellStyle name="Output 21 4 2 2 3" xfId="21133"/>
    <cellStyle name="Output 21 4 2 2 3 2" xfId="42320"/>
    <cellStyle name="Output 21 4 2 2 4" xfId="31736"/>
    <cellStyle name="Output 21 4 2 2_Table 2A-1_EFT (Annual)" xfId="7872"/>
    <cellStyle name="Output 21 4 2 3" xfId="11616"/>
    <cellStyle name="Output 21 4 2 3 2" xfId="23700"/>
    <cellStyle name="Output 21 4 2 3 2 2" xfId="44886"/>
    <cellStyle name="Output 21 4 2 3 3" xfId="34282"/>
    <cellStyle name="Output 21 4 2 4" xfId="18587"/>
    <cellStyle name="Output 21 4 2 4 2" xfId="39774"/>
    <cellStyle name="Output 21 4 2 5" xfId="28993"/>
    <cellStyle name="Output 21 4 2_Table 2A-1_EFT (Annual)" xfId="7871"/>
    <cellStyle name="Output 21 4 3" xfId="1836"/>
    <cellStyle name="Output 21 4 3 2" xfId="5397"/>
    <cellStyle name="Output 21 4 3 2 2" xfId="13612"/>
    <cellStyle name="Output 21 4 3 2 2 2" xfId="25600"/>
    <cellStyle name="Output 21 4 3 2 2 2 2" xfId="46786"/>
    <cellStyle name="Output 21 4 3 2 2 3" xfId="36182"/>
    <cellStyle name="Output 21 4 3 2 3" xfId="20487"/>
    <cellStyle name="Output 21 4 3 2 3 2" xfId="41674"/>
    <cellStyle name="Output 21 4 3 2 4" xfId="31054"/>
    <cellStyle name="Output 21 4 3 2_Table 2A-1_EFT (Annual)" xfId="7874"/>
    <cellStyle name="Output 21 4 3 3" xfId="10956"/>
    <cellStyle name="Output 21 4 3 3 2" xfId="23054"/>
    <cellStyle name="Output 21 4 3 3 2 2" xfId="44240"/>
    <cellStyle name="Output 21 4 3 3 3" xfId="33636"/>
    <cellStyle name="Output 21 4 3 4" xfId="17941"/>
    <cellStyle name="Output 21 4 3 4 2" xfId="39128"/>
    <cellStyle name="Output 21 4 3 5" xfId="28311"/>
    <cellStyle name="Output 21 4 3_Table 2A-1_EFT (Annual)" xfId="7873"/>
    <cellStyle name="Output 21 4 4" xfId="4810"/>
    <cellStyle name="Output 21 4 4 2" xfId="13070"/>
    <cellStyle name="Output 21 4 4 2 2" xfId="25076"/>
    <cellStyle name="Output 21 4 4 2 2 2" xfId="46262"/>
    <cellStyle name="Output 21 4 4 2 3" xfId="35658"/>
    <cellStyle name="Output 21 4 4 3" xfId="19963"/>
    <cellStyle name="Output 21 4 4 3 2" xfId="41150"/>
    <cellStyle name="Output 21 4 4 4" xfId="30467"/>
    <cellStyle name="Output 21 4 4_Table 2A-1_EFT (Annual)" xfId="7875"/>
    <cellStyle name="Output 21 4 5" xfId="10414"/>
    <cellStyle name="Output 21 4 5 2" xfId="22530"/>
    <cellStyle name="Output 21 4 5 2 2" xfId="43716"/>
    <cellStyle name="Output 21 4 5 3" xfId="33112"/>
    <cellStyle name="Output 21 4 6" xfId="17417"/>
    <cellStyle name="Output 21 4 6 2" xfId="38604"/>
    <cellStyle name="Output 21 4 7" xfId="27724"/>
    <cellStyle name="Output 21 4_Table 2A-1_EFT (Annual)" xfId="3399"/>
    <cellStyle name="Output 21 5" xfId="1988"/>
    <cellStyle name="Output 21 5 2" xfId="5549"/>
    <cellStyle name="Output 21 5 2 2" xfId="13764"/>
    <cellStyle name="Output 21 5 2 2 2" xfId="25752"/>
    <cellStyle name="Output 21 5 2 2 2 2" xfId="46938"/>
    <cellStyle name="Output 21 5 2 2 3" xfId="36334"/>
    <cellStyle name="Output 21 5 2 3" xfId="20639"/>
    <cellStyle name="Output 21 5 2 3 2" xfId="41826"/>
    <cellStyle name="Output 21 5 2 4" xfId="31206"/>
    <cellStyle name="Output 21 5 2_Table 2A-1_EFT (Annual)" xfId="7877"/>
    <cellStyle name="Output 21 5 3" xfId="11108"/>
    <cellStyle name="Output 21 5 3 2" xfId="23206"/>
    <cellStyle name="Output 21 5 3 2 2" xfId="44392"/>
    <cellStyle name="Output 21 5 3 3" xfId="33788"/>
    <cellStyle name="Output 21 5 4" xfId="18093"/>
    <cellStyle name="Output 21 5 4 2" xfId="39280"/>
    <cellStyle name="Output 21 5 5" xfId="28463"/>
    <cellStyle name="Output 21 5_Table 2A-1_EFT (Annual)" xfId="7876"/>
    <cellStyle name="Output 21 6" xfId="1663"/>
    <cellStyle name="Output 21 6 2" xfId="5224"/>
    <cellStyle name="Output 21 6 2 2" xfId="13471"/>
    <cellStyle name="Output 21 6 2 2 2" xfId="25471"/>
    <cellStyle name="Output 21 6 2 2 2 2" xfId="46657"/>
    <cellStyle name="Output 21 6 2 2 3" xfId="36053"/>
    <cellStyle name="Output 21 6 2 3" xfId="20358"/>
    <cellStyle name="Output 21 6 2 3 2" xfId="41545"/>
    <cellStyle name="Output 21 6 2 4" xfId="30881"/>
    <cellStyle name="Output 21 6 2_Table 2A-1_EFT (Annual)" xfId="7879"/>
    <cellStyle name="Output 21 6 3" xfId="10816"/>
    <cellStyle name="Output 21 6 3 2" xfId="22925"/>
    <cellStyle name="Output 21 6 3 2 2" xfId="44111"/>
    <cellStyle name="Output 21 6 3 3" xfId="33507"/>
    <cellStyle name="Output 21 6 4" xfId="17812"/>
    <cellStyle name="Output 21 6 4 2" xfId="38999"/>
    <cellStyle name="Output 21 6 5" xfId="28138"/>
    <cellStyle name="Output 21 6_Table 2A-1_EFT (Annual)" xfId="7878"/>
    <cellStyle name="Output 21 7" xfId="3790"/>
    <cellStyle name="Output 21 7 2" xfId="12158"/>
    <cellStyle name="Output 21 7 2 2" xfId="24188"/>
    <cellStyle name="Output 21 7 2 2 2" xfId="45374"/>
    <cellStyle name="Output 21 7 2 3" xfId="34770"/>
    <cellStyle name="Output 21 7 3" xfId="19075"/>
    <cellStyle name="Output 21 7 3 2" xfId="40262"/>
    <cellStyle name="Output 21 7 4" xfId="29499"/>
    <cellStyle name="Output 21 7_Table 2A-1_EFT (Annual)" xfId="7880"/>
    <cellStyle name="Output 21 8" xfId="9477"/>
    <cellStyle name="Output 21 8 2" xfId="21642"/>
    <cellStyle name="Output 21 8 2 2" xfId="42828"/>
    <cellStyle name="Output 21 8 3" xfId="32224"/>
    <cellStyle name="Output 21 9" xfId="16529"/>
    <cellStyle name="Output 21 9 2" xfId="37716"/>
    <cellStyle name="Output 21_Table 2A-1_EFT (Annual)" xfId="3394"/>
    <cellStyle name="Output 22" xfId="209"/>
    <cellStyle name="Output 22 10" xfId="26764"/>
    <cellStyle name="Output 22 2" xfId="602"/>
    <cellStyle name="Output 22 2 2" xfId="1579"/>
    <cellStyle name="Output 22 2 2 2" xfId="2849"/>
    <cellStyle name="Output 22 2 2 2 2" xfId="6410"/>
    <cellStyle name="Output 22 2 2 2 2 2" xfId="14604"/>
    <cellStyle name="Output 22 2 2 2 2 2 2" xfId="26576"/>
    <cellStyle name="Output 22 2 2 2 2 2 2 2" xfId="47762"/>
    <cellStyle name="Output 22 2 2 2 2 2 3" xfId="37158"/>
    <cellStyle name="Output 22 2 2 2 2 3" xfId="21463"/>
    <cellStyle name="Output 22 2 2 2 2 3 2" xfId="42650"/>
    <cellStyle name="Output 22 2 2 2 2 4" xfId="32066"/>
    <cellStyle name="Output 22 2 2 2 2_Table 2A-1_EFT (Annual)" xfId="7882"/>
    <cellStyle name="Output 22 2 2 2 3" xfId="11946"/>
    <cellStyle name="Output 22 2 2 2 3 2" xfId="24030"/>
    <cellStyle name="Output 22 2 2 2 3 2 2" xfId="45216"/>
    <cellStyle name="Output 22 2 2 2 3 3" xfId="34612"/>
    <cellStyle name="Output 22 2 2 2 4" xfId="18917"/>
    <cellStyle name="Output 22 2 2 2 4 2" xfId="40104"/>
    <cellStyle name="Output 22 2 2 2 5" xfId="29323"/>
    <cellStyle name="Output 22 2 2 2_Table 2A-1_EFT (Annual)" xfId="7881"/>
    <cellStyle name="Output 22 2 2 3" xfId="1933"/>
    <cellStyle name="Output 22 2 2 3 2" xfId="5494"/>
    <cellStyle name="Output 22 2 2 3 2 2" xfId="13709"/>
    <cellStyle name="Output 22 2 2 3 2 2 2" xfId="25697"/>
    <cellStyle name="Output 22 2 2 3 2 2 2 2" xfId="46883"/>
    <cellStyle name="Output 22 2 2 3 2 2 3" xfId="36279"/>
    <cellStyle name="Output 22 2 2 3 2 3" xfId="20584"/>
    <cellStyle name="Output 22 2 2 3 2 3 2" xfId="41771"/>
    <cellStyle name="Output 22 2 2 3 2 4" xfId="31151"/>
    <cellStyle name="Output 22 2 2 3 2_Table 2A-1_EFT (Annual)" xfId="7884"/>
    <cellStyle name="Output 22 2 2 3 3" xfId="11053"/>
    <cellStyle name="Output 22 2 2 3 3 2" xfId="23151"/>
    <cellStyle name="Output 22 2 2 3 3 2 2" xfId="44337"/>
    <cellStyle name="Output 22 2 2 3 3 3" xfId="33733"/>
    <cellStyle name="Output 22 2 2 3 4" xfId="18038"/>
    <cellStyle name="Output 22 2 2 3 4 2" xfId="39225"/>
    <cellStyle name="Output 22 2 2 3 5" xfId="28408"/>
    <cellStyle name="Output 22 2 2 3_Table 2A-1_EFT (Annual)" xfId="7883"/>
    <cellStyle name="Output 22 2 2 4" xfId="5140"/>
    <cellStyle name="Output 22 2 2 4 2" xfId="13400"/>
    <cellStyle name="Output 22 2 2 4 2 2" xfId="25406"/>
    <cellStyle name="Output 22 2 2 4 2 2 2" xfId="46592"/>
    <cellStyle name="Output 22 2 2 4 2 3" xfId="35988"/>
    <cellStyle name="Output 22 2 2 4 3" xfId="20293"/>
    <cellStyle name="Output 22 2 2 4 3 2" xfId="41480"/>
    <cellStyle name="Output 22 2 2 4 4" xfId="30797"/>
    <cellStyle name="Output 22 2 2 4_Table 2A-1_EFT (Annual)" xfId="7885"/>
    <cellStyle name="Output 22 2 2 5" xfId="10744"/>
    <cellStyle name="Output 22 2 2 5 2" xfId="22860"/>
    <cellStyle name="Output 22 2 2 5 2 2" xfId="44046"/>
    <cellStyle name="Output 22 2 2 5 3" xfId="33442"/>
    <cellStyle name="Output 22 2 2 6" xfId="17747"/>
    <cellStyle name="Output 22 2 2 6 2" xfId="38934"/>
    <cellStyle name="Output 22 2 2 7" xfId="28054"/>
    <cellStyle name="Output 22 2 2_Table 2A-1_EFT (Annual)" xfId="3402"/>
    <cellStyle name="Output 22 2 3" xfId="2318"/>
    <cellStyle name="Output 22 2 3 2" xfId="5879"/>
    <cellStyle name="Output 22 2 3 2 2" xfId="14094"/>
    <cellStyle name="Output 22 2 3 2 2 2" xfId="26082"/>
    <cellStyle name="Output 22 2 3 2 2 2 2" xfId="47268"/>
    <cellStyle name="Output 22 2 3 2 2 3" xfId="36664"/>
    <cellStyle name="Output 22 2 3 2 3" xfId="20969"/>
    <cellStyle name="Output 22 2 3 2 3 2" xfId="42156"/>
    <cellStyle name="Output 22 2 3 2 4" xfId="31536"/>
    <cellStyle name="Output 22 2 3 2_Table 2A-1_EFT (Annual)" xfId="7887"/>
    <cellStyle name="Output 22 2 3 3" xfId="11438"/>
    <cellStyle name="Output 22 2 3 3 2" xfId="23536"/>
    <cellStyle name="Output 22 2 3 3 2 2" xfId="44722"/>
    <cellStyle name="Output 22 2 3 3 3" xfId="34118"/>
    <cellStyle name="Output 22 2 3 4" xfId="18423"/>
    <cellStyle name="Output 22 2 3 4 2" xfId="39610"/>
    <cellStyle name="Output 22 2 3 5" xfId="28793"/>
    <cellStyle name="Output 22 2 3_Table 2A-1_EFT (Annual)" xfId="7886"/>
    <cellStyle name="Output 22 2 4" xfId="1758"/>
    <cellStyle name="Output 22 2 4 2" xfId="5319"/>
    <cellStyle name="Output 22 2 4 2 2" xfId="13544"/>
    <cellStyle name="Output 22 2 4 2 2 2" xfId="25535"/>
    <cellStyle name="Output 22 2 4 2 2 2 2" xfId="46721"/>
    <cellStyle name="Output 22 2 4 2 2 3" xfId="36117"/>
    <cellStyle name="Output 22 2 4 2 3" xfId="20422"/>
    <cellStyle name="Output 22 2 4 2 3 2" xfId="41609"/>
    <cellStyle name="Output 22 2 4 2 4" xfId="30976"/>
    <cellStyle name="Output 22 2 4 2_Table 2A-1_EFT (Annual)" xfId="7889"/>
    <cellStyle name="Output 22 2 4 3" xfId="10887"/>
    <cellStyle name="Output 22 2 4 3 2" xfId="22989"/>
    <cellStyle name="Output 22 2 4 3 2 2" xfId="44175"/>
    <cellStyle name="Output 22 2 4 3 3" xfId="33571"/>
    <cellStyle name="Output 22 2 4 4" xfId="17876"/>
    <cellStyle name="Output 22 2 4 4 2" xfId="39063"/>
    <cellStyle name="Output 22 2 4 5" xfId="28233"/>
    <cellStyle name="Output 22 2 4_Table 2A-1_EFT (Annual)" xfId="7888"/>
    <cellStyle name="Output 22 2 5" xfId="4172"/>
    <cellStyle name="Output 22 2 5 2" xfId="12496"/>
    <cellStyle name="Output 22 2 5 2 2" xfId="24518"/>
    <cellStyle name="Output 22 2 5 2 2 2" xfId="45704"/>
    <cellStyle name="Output 22 2 5 2 3" xfId="35100"/>
    <cellStyle name="Output 22 2 5 3" xfId="19405"/>
    <cellStyle name="Output 22 2 5 3 2" xfId="40592"/>
    <cellStyle name="Output 22 2 5 4" xfId="29860"/>
    <cellStyle name="Output 22 2 5_Table 2A-1_EFT (Annual)" xfId="7890"/>
    <cellStyle name="Output 22 2 6" xfId="9835"/>
    <cellStyle name="Output 22 2 6 2" xfId="21972"/>
    <cellStyle name="Output 22 2 6 2 2" xfId="43158"/>
    <cellStyle name="Output 22 2 6 3" xfId="32554"/>
    <cellStyle name="Output 22 2 7" xfId="16859"/>
    <cellStyle name="Output 22 2 7 2" xfId="38046"/>
    <cellStyle name="Output 22 2 8" xfId="27117"/>
    <cellStyle name="Output 22 2_Table 2A-1_EFT (Annual)" xfId="3401"/>
    <cellStyle name="Output 22 3" xfId="437"/>
    <cellStyle name="Output 22 3 2" xfId="1420"/>
    <cellStyle name="Output 22 3 2 2" xfId="2690"/>
    <cellStyle name="Output 22 3 2 2 2" xfId="6251"/>
    <cellStyle name="Output 22 3 2 2 2 2" xfId="14445"/>
    <cellStyle name="Output 22 3 2 2 2 2 2" xfId="26417"/>
    <cellStyle name="Output 22 3 2 2 2 2 2 2" xfId="47603"/>
    <cellStyle name="Output 22 3 2 2 2 2 3" xfId="36999"/>
    <cellStyle name="Output 22 3 2 2 2 3" xfId="21304"/>
    <cellStyle name="Output 22 3 2 2 2 3 2" xfId="42491"/>
    <cellStyle name="Output 22 3 2 2 2 4" xfId="31907"/>
    <cellStyle name="Output 22 3 2 2 2_Table 2A-1_EFT (Annual)" xfId="7892"/>
    <cellStyle name="Output 22 3 2 2 3" xfId="11787"/>
    <cellStyle name="Output 22 3 2 2 3 2" xfId="23871"/>
    <cellStyle name="Output 22 3 2 2 3 2 2" xfId="45057"/>
    <cellStyle name="Output 22 3 2 2 3 3" xfId="34453"/>
    <cellStyle name="Output 22 3 2 2 4" xfId="18758"/>
    <cellStyle name="Output 22 3 2 2 4 2" xfId="39945"/>
    <cellStyle name="Output 22 3 2 2 5" xfId="29164"/>
    <cellStyle name="Output 22 3 2 2_Table 2A-1_EFT (Annual)" xfId="7891"/>
    <cellStyle name="Output 22 3 2 3" xfId="1902"/>
    <cellStyle name="Output 22 3 2 3 2" xfId="5463"/>
    <cellStyle name="Output 22 3 2 3 2 2" xfId="13678"/>
    <cellStyle name="Output 22 3 2 3 2 2 2" xfId="25666"/>
    <cellStyle name="Output 22 3 2 3 2 2 2 2" xfId="46852"/>
    <cellStyle name="Output 22 3 2 3 2 2 3" xfId="36248"/>
    <cellStyle name="Output 22 3 2 3 2 3" xfId="20553"/>
    <cellStyle name="Output 22 3 2 3 2 3 2" xfId="41740"/>
    <cellStyle name="Output 22 3 2 3 2 4" xfId="31120"/>
    <cellStyle name="Output 22 3 2 3 2_Table 2A-1_EFT (Annual)" xfId="7894"/>
    <cellStyle name="Output 22 3 2 3 3" xfId="11022"/>
    <cellStyle name="Output 22 3 2 3 3 2" xfId="23120"/>
    <cellStyle name="Output 22 3 2 3 3 2 2" xfId="44306"/>
    <cellStyle name="Output 22 3 2 3 3 3" xfId="33702"/>
    <cellStyle name="Output 22 3 2 3 4" xfId="18007"/>
    <cellStyle name="Output 22 3 2 3 4 2" xfId="39194"/>
    <cellStyle name="Output 22 3 2 3 5" xfId="28377"/>
    <cellStyle name="Output 22 3 2 3_Table 2A-1_EFT (Annual)" xfId="7893"/>
    <cellStyle name="Output 22 3 2 4" xfId="4981"/>
    <cellStyle name="Output 22 3 2 4 2" xfId="13241"/>
    <cellStyle name="Output 22 3 2 4 2 2" xfId="25247"/>
    <cellStyle name="Output 22 3 2 4 2 2 2" xfId="46433"/>
    <cellStyle name="Output 22 3 2 4 2 3" xfId="35829"/>
    <cellStyle name="Output 22 3 2 4 3" xfId="20134"/>
    <cellStyle name="Output 22 3 2 4 3 2" xfId="41321"/>
    <cellStyle name="Output 22 3 2 4 4" xfId="30638"/>
    <cellStyle name="Output 22 3 2 4_Table 2A-1_EFT (Annual)" xfId="7895"/>
    <cellStyle name="Output 22 3 2 5" xfId="10585"/>
    <cellStyle name="Output 22 3 2 5 2" xfId="22701"/>
    <cellStyle name="Output 22 3 2 5 2 2" xfId="43887"/>
    <cellStyle name="Output 22 3 2 5 3" xfId="33283"/>
    <cellStyle name="Output 22 3 2 6" xfId="17588"/>
    <cellStyle name="Output 22 3 2 6 2" xfId="38775"/>
    <cellStyle name="Output 22 3 2 7" xfId="27895"/>
    <cellStyle name="Output 22 3 2_Table 2A-1_EFT (Annual)" xfId="3404"/>
    <cellStyle name="Output 22 3 3" xfId="2159"/>
    <cellStyle name="Output 22 3 3 2" xfId="5720"/>
    <cellStyle name="Output 22 3 3 2 2" xfId="13935"/>
    <cellStyle name="Output 22 3 3 2 2 2" xfId="25923"/>
    <cellStyle name="Output 22 3 3 2 2 2 2" xfId="47109"/>
    <cellStyle name="Output 22 3 3 2 2 3" xfId="36505"/>
    <cellStyle name="Output 22 3 3 2 3" xfId="20810"/>
    <cellStyle name="Output 22 3 3 2 3 2" xfId="41997"/>
    <cellStyle name="Output 22 3 3 2 4" xfId="31377"/>
    <cellStyle name="Output 22 3 3 2_Table 2A-1_EFT (Annual)" xfId="7897"/>
    <cellStyle name="Output 22 3 3 3" xfId="11279"/>
    <cellStyle name="Output 22 3 3 3 2" xfId="23377"/>
    <cellStyle name="Output 22 3 3 3 2 2" xfId="44563"/>
    <cellStyle name="Output 22 3 3 3 3" xfId="33959"/>
    <cellStyle name="Output 22 3 3 4" xfId="18264"/>
    <cellStyle name="Output 22 3 3 4 2" xfId="39451"/>
    <cellStyle name="Output 22 3 3 5" xfId="28634"/>
    <cellStyle name="Output 22 3 3_Table 2A-1_EFT (Annual)" xfId="7896"/>
    <cellStyle name="Output 22 3 4" xfId="1722"/>
    <cellStyle name="Output 22 3 4 2" xfId="5283"/>
    <cellStyle name="Output 22 3 4 2 2" xfId="13512"/>
    <cellStyle name="Output 22 3 4 2 2 2" xfId="25505"/>
    <cellStyle name="Output 22 3 4 2 2 2 2" xfId="46691"/>
    <cellStyle name="Output 22 3 4 2 2 3" xfId="36087"/>
    <cellStyle name="Output 22 3 4 2 3" xfId="20392"/>
    <cellStyle name="Output 22 3 4 2 3 2" xfId="41579"/>
    <cellStyle name="Output 22 3 4 2 4" xfId="30940"/>
    <cellStyle name="Output 22 3 4 2_Table 2A-1_EFT (Annual)" xfId="7899"/>
    <cellStyle name="Output 22 3 4 3" xfId="10856"/>
    <cellStyle name="Output 22 3 4 3 2" xfId="22959"/>
    <cellStyle name="Output 22 3 4 3 2 2" xfId="44145"/>
    <cellStyle name="Output 22 3 4 3 3" xfId="33541"/>
    <cellStyle name="Output 22 3 4 4" xfId="17846"/>
    <cellStyle name="Output 22 3 4 4 2" xfId="39033"/>
    <cellStyle name="Output 22 3 4 5" xfId="28197"/>
    <cellStyle name="Output 22 3 4_Table 2A-1_EFT (Annual)" xfId="7898"/>
    <cellStyle name="Output 22 3 5" xfId="4007"/>
    <cellStyle name="Output 22 3 5 2" xfId="12335"/>
    <cellStyle name="Output 22 3 5 2 2" xfId="24359"/>
    <cellStyle name="Output 22 3 5 2 2 2" xfId="45545"/>
    <cellStyle name="Output 22 3 5 2 3" xfId="34941"/>
    <cellStyle name="Output 22 3 5 3" xfId="19246"/>
    <cellStyle name="Output 22 3 5 3 2" xfId="40433"/>
    <cellStyle name="Output 22 3 5 4" xfId="29695"/>
    <cellStyle name="Output 22 3 5_Table 2A-1_EFT (Annual)" xfId="7900"/>
    <cellStyle name="Output 22 3 6" xfId="9672"/>
    <cellStyle name="Output 22 3 6 2" xfId="21813"/>
    <cellStyle name="Output 22 3 6 2 2" xfId="42999"/>
    <cellStyle name="Output 22 3 6 3" xfId="32395"/>
    <cellStyle name="Output 22 3 7" xfId="16700"/>
    <cellStyle name="Output 22 3 7 2" xfId="37887"/>
    <cellStyle name="Output 22 3 8" xfId="26952"/>
    <cellStyle name="Output 22 3_Table 2A-1_EFT (Annual)" xfId="3403"/>
    <cellStyle name="Output 22 4" xfId="1257"/>
    <cellStyle name="Output 22 4 2" xfId="2527"/>
    <cellStyle name="Output 22 4 2 2" xfId="6088"/>
    <cellStyle name="Output 22 4 2 2 2" xfId="14282"/>
    <cellStyle name="Output 22 4 2 2 2 2" xfId="26254"/>
    <cellStyle name="Output 22 4 2 2 2 2 2" xfId="47440"/>
    <cellStyle name="Output 22 4 2 2 2 3" xfId="36836"/>
    <cellStyle name="Output 22 4 2 2 3" xfId="21141"/>
    <cellStyle name="Output 22 4 2 2 3 2" xfId="42328"/>
    <cellStyle name="Output 22 4 2 2 4" xfId="31744"/>
    <cellStyle name="Output 22 4 2 2_Table 2A-1_EFT (Annual)" xfId="7902"/>
    <cellStyle name="Output 22 4 2 3" xfId="11624"/>
    <cellStyle name="Output 22 4 2 3 2" xfId="23708"/>
    <cellStyle name="Output 22 4 2 3 2 2" xfId="44894"/>
    <cellStyle name="Output 22 4 2 3 3" xfId="34290"/>
    <cellStyle name="Output 22 4 2 4" xfId="18595"/>
    <cellStyle name="Output 22 4 2 4 2" xfId="39782"/>
    <cellStyle name="Output 22 4 2 5" xfId="29001"/>
    <cellStyle name="Output 22 4 2_Table 2A-1_EFT (Annual)" xfId="7901"/>
    <cellStyle name="Output 22 4 3" xfId="1838"/>
    <cellStyle name="Output 22 4 3 2" xfId="5399"/>
    <cellStyle name="Output 22 4 3 2 2" xfId="13614"/>
    <cellStyle name="Output 22 4 3 2 2 2" xfId="25602"/>
    <cellStyle name="Output 22 4 3 2 2 2 2" xfId="46788"/>
    <cellStyle name="Output 22 4 3 2 2 3" xfId="36184"/>
    <cellStyle name="Output 22 4 3 2 3" xfId="20489"/>
    <cellStyle name="Output 22 4 3 2 3 2" xfId="41676"/>
    <cellStyle name="Output 22 4 3 2 4" xfId="31056"/>
    <cellStyle name="Output 22 4 3 2_Table 2A-1_EFT (Annual)" xfId="7904"/>
    <cellStyle name="Output 22 4 3 3" xfId="10958"/>
    <cellStyle name="Output 22 4 3 3 2" xfId="23056"/>
    <cellStyle name="Output 22 4 3 3 2 2" xfId="44242"/>
    <cellStyle name="Output 22 4 3 3 3" xfId="33638"/>
    <cellStyle name="Output 22 4 3 4" xfId="17943"/>
    <cellStyle name="Output 22 4 3 4 2" xfId="39130"/>
    <cellStyle name="Output 22 4 3 5" xfId="28313"/>
    <cellStyle name="Output 22 4 3_Table 2A-1_EFT (Annual)" xfId="7903"/>
    <cellStyle name="Output 22 4 4" xfId="4818"/>
    <cellStyle name="Output 22 4 4 2" xfId="13078"/>
    <cellStyle name="Output 22 4 4 2 2" xfId="25084"/>
    <cellStyle name="Output 22 4 4 2 2 2" xfId="46270"/>
    <cellStyle name="Output 22 4 4 2 3" xfId="35666"/>
    <cellStyle name="Output 22 4 4 3" xfId="19971"/>
    <cellStyle name="Output 22 4 4 3 2" xfId="41158"/>
    <cellStyle name="Output 22 4 4 4" xfId="30475"/>
    <cellStyle name="Output 22 4 4_Table 2A-1_EFT (Annual)" xfId="7905"/>
    <cellStyle name="Output 22 4 5" xfId="10422"/>
    <cellStyle name="Output 22 4 5 2" xfId="22538"/>
    <cellStyle name="Output 22 4 5 2 2" xfId="43724"/>
    <cellStyle name="Output 22 4 5 3" xfId="33120"/>
    <cellStyle name="Output 22 4 6" xfId="17425"/>
    <cellStyle name="Output 22 4 6 2" xfId="38612"/>
    <cellStyle name="Output 22 4 7" xfId="27732"/>
    <cellStyle name="Output 22 4_Table 2A-1_EFT (Annual)" xfId="3405"/>
    <cellStyle name="Output 22 5" xfId="1996"/>
    <cellStyle name="Output 22 5 2" xfId="5557"/>
    <cellStyle name="Output 22 5 2 2" xfId="13772"/>
    <cellStyle name="Output 22 5 2 2 2" xfId="25760"/>
    <cellStyle name="Output 22 5 2 2 2 2" xfId="46946"/>
    <cellStyle name="Output 22 5 2 2 3" xfId="36342"/>
    <cellStyle name="Output 22 5 2 3" xfId="20647"/>
    <cellStyle name="Output 22 5 2 3 2" xfId="41834"/>
    <cellStyle name="Output 22 5 2 4" xfId="31214"/>
    <cellStyle name="Output 22 5 2_Table 2A-1_EFT (Annual)" xfId="7907"/>
    <cellStyle name="Output 22 5 3" xfId="11116"/>
    <cellStyle name="Output 22 5 3 2" xfId="23214"/>
    <cellStyle name="Output 22 5 3 2 2" xfId="44400"/>
    <cellStyle name="Output 22 5 3 3" xfId="33796"/>
    <cellStyle name="Output 22 5 4" xfId="18101"/>
    <cellStyle name="Output 22 5 4 2" xfId="39288"/>
    <cellStyle name="Output 22 5 5" xfId="28471"/>
    <cellStyle name="Output 22 5_Table 2A-1_EFT (Annual)" xfId="7906"/>
    <cellStyle name="Output 22 6" xfId="1665"/>
    <cellStyle name="Output 22 6 2" xfId="5226"/>
    <cellStyle name="Output 22 6 2 2" xfId="13473"/>
    <cellStyle name="Output 22 6 2 2 2" xfId="25473"/>
    <cellStyle name="Output 22 6 2 2 2 2" xfId="46659"/>
    <cellStyle name="Output 22 6 2 2 3" xfId="36055"/>
    <cellStyle name="Output 22 6 2 3" xfId="20360"/>
    <cellStyle name="Output 22 6 2 3 2" xfId="41547"/>
    <cellStyle name="Output 22 6 2 4" xfId="30883"/>
    <cellStyle name="Output 22 6 2_Table 2A-1_EFT (Annual)" xfId="7909"/>
    <cellStyle name="Output 22 6 3" xfId="10818"/>
    <cellStyle name="Output 22 6 3 2" xfId="22927"/>
    <cellStyle name="Output 22 6 3 2 2" xfId="44113"/>
    <cellStyle name="Output 22 6 3 3" xfId="33509"/>
    <cellStyle name="Output 22 6 4" xfId="17814"/>
    <cellStyle name="Output 22 6 4 2" xfId="39001"/>
    <cellStyle name="Output 22 6 5" xfId="28140"/>
    <cellStyle name="Output 22 6_Table 2A-1_EFT (Annual)" xfId="7908"/>
    <cellStyle name="Output 22 7" xfId="3798"/>
    <cellStyle name="Output 22 7 2" xfId="12166"/>
    <cellStyle name="Output 22 7 2 2" xfId="24196"/>
    <cellStyle name="Output 22 7 2 2 2" xfId="45382"/>
    <cellStyle name="Output 22 7 2 3" xfId="34778"/>
    <cellStyle name="Output 22 7 3" xfId="19083"/>
    <cellStyle name="Output 22 7 3 2" xfId="40270"/>
    <cellStyle name="Output 22 7 4" xfId="29507"/>
    <cellStyle name="Output 22 7_Table 2A-1_EFT (Annual)" xfId="7910"/>
    <cellStyle name="Output 22 8" xfId="9485"/>
    <cellStyle name="Output 22 8 2" xfId="21650"/>
    <cellStyle name="Output 22 8 2 2" xfId="42836"/>
    <cellStyle name="Output 22 8 3" xfId="32232"/>
    <cellStyle name="Output 22 9" xfId="16537"/>
    <cellStyle name="Output 22 9 2" xfId="37724"/>
    <cellStyle name="Output 22_Table 2A-1_EFT (Annual)" xfId="3400"/>
    <cellStyle name="Output 23" xfId="232"/>
    <cellStyle name="Output 23 10" xfId="26787"/>
    <cellStyle name="Output 23 2" xfId="619"/>
    <cellStyle name="Output 23 2 2" xfId="1596"/>
    <cellStyle name="Output 23 2 2 2" xfId="2866"/>
    <cellStyle name="Output 23 2 2 2 2" xfId="6427"/>
    <cellStyle name="Output 23 2 2 2 2 2" xfId="14621"/>
    <cellStyle name="Output 23 2 2 2 2 2 2" xfId="26593"/>
    <cellStyle name="Output 23 2 2 2 2 2 2 2" xfId="47779"/>
    <cellStyle name="Output 23 2 2 2 2 2 3" xfId="37175"/>
    <cellStyle name="Output 23 2 2 2 2 3" xfId="21480"/>
    <cellStyle name="Output 23 2 2 2 2 3 2" xfId="42667"/>
    <cellStyle name="Output 23 2 2 2 2 4" xfId="32083"/>
    <cellStyle name="Output 23 2 2 2 2_Table 2A-1_EFT (Annual)" xfId="7912"/>
    <cellStyle name="Output 23 2 2 2 3" xfId="11963"/>
    <cellStyle name="Output 23 2 2 2 3 2" xfId="24047"/>
    <cellStyle name="Output 23 2 2 2 3 2 2" xfId="45233"/>
    <cellStyle name="Output 23 2 2 2 3 3" xfId="34629"/>
    <cellStyle name="Output 23 2 2 2 4" xfId="18934"/>
    <cellStyle name="Output 23 2 2 2 4 2" xfId="40121"/>
    <cellStyle name="Output 23 2 2 2 5" xfId="29340"/>
    <cellStyle name="Output 23 2 2 2_Table 2A-1_EFT (Annual)" xfId="7911"/>
    <cellStyle name="Output 23 2 2 3" xfId="1936"/>
    <cellStyle name="Output 23 2 2 3 2" xfId="5497"/>
    <cellStyle name="Output 23 2 2 3 2 2" xfId="13712"/>
    <cellStyle name="Output 23 2 2 3 2 2 2" xfId="25700"/>
    <cellStyle name="Output 23 2 2 3 2 2 2 2" xfId="46886"/>
    <cellStyle name="Output 23 2 2 3 2 2 3" xfId="36282"/>
    <cellStyle name="Output 23 2 2 3 2 3" xfId="20587"/>
    <cellStyle name="Output 23 2 2 3 2 3 2" xfId="41774"/>
    <cellStyle name="Output 23 2 2 3 2 4" xfId="31154"/>
    <cellStyle name="Output 23 2 2 3 2_Table 2A-1_EFT (Annual)" xfId="7914"/>
    <cellStyle name="Output 23 2 2 3 3" xfId="11056"/>
    <cellStyle name="Output 23 2 2 3 3 2" xfId="23154"/>
    <cellStyle name="Output 23 2 2 3 3 2 2" xfId="44340"/>
    <cellStyle name="Output 23 2 2 3 3 3" xfId="33736"/>
    <cellStyle name="Output 23 2 2 3 4" xfId="18041"/>
    <cellStyle name="Output 23 2 2 3 4 2" xfId="39228"/>
    <cellStyle name="Output 23 2 2 3 5" xfId="28411"/>
    <cellStyle name="Output 23 2 2 3_Table 2A-1_EFT (Annual)" xfId="7913"/>
    <cellStyle name="Output 23 2 2 4" xfId="5157"/>
    <cellStyle name="Output 23 2 2 4 2" xfId="13417"/>
    <cellStyle name="Output 23 2 2 4 2 2" xfId="25423"/>
    <cellStyle name="Output 23 2 2 4 2 2 2" xfId="46609"/>
    <cellStyle name="Output 23 2 2 4 2 3" xfId="36005"/>
    <cellStyle name="Output 23 2 2 4 3" xfId="20310"/>
    <cellStyle name="Output 23 2 2 4 3 2" xfId="41497"/>
    <cellStyle name="Output 23 2 2 4 4" xfId="30814"/>
    <cellStyle name="Output 23 2 2 4_Table 2A-1_EFT (Annual)" xfId="7915"/>
    <cellStyle name="Output 23 2 2 5" xfId="10761"/>
    <cellStyle name="Output 23 2 2 5 2" xfId="22877"/>
    <cellStyle name="Output 23 2 2 5 2 2" xfId="44063"/>
    <cellStyle name="Output 23 2 2 5 3" xfId="33459"/>
    <cellStyle name="Output 23 2 2 6" xfId="17764"/>
    <cellStyle name="Output 23 2 2 6 2" xfId="38951"/>
    <cellStyle name="Output 23 2 2 7" xfId="28071"/>
    <cellStyle name="Output 23 2 2_Table 2A-1_EFT (Annual)" xfId="3408"/>
    <cellStyle name="Output 23 2 3" xfId="2335"/>
    <cellStyle name="Output 23 2 3 2" xfId="5896"/>
    <cellStyle name="Output 23 2 3 2 2" xfId="14111"/>
    <cellStyle name="Output 23 2 3 2 2 2" xfId="26099"/>
    <cellStyle name="Output 23 2 3 2 2 2 2" xfId="47285"/>
    <cellStyle name="Output 23 2 3 2 2 3" xfId="36681"/>
    <cellStyle name="Output 23 2 3 2 3" xfId="20986"/>
    <cellStyle name="Output 23 2 3 2 3 2" xfId="42173"/>
    <cellStyle name="Output 23 2 3 2 4" xfId="31553"/>
    <cellStyle name="Output 23 2 3 2_Table 2A-1_EFT (Annual)" xfId="7917"/>
    <cellStyle name="Output 23 2 3 3" xfId="11455"/>
    <cellStyle name="Output 23 2 3 3 2" xfId="23553"/>
    <cellStyle name="Output 23 2 3 3 2 2" xfId="44739"/>
    <cellStyle name="Output 23 2 3 3 3" xfId="34135"/>
    <cellStyle name="Output 23 2 3 4" xfId="18440"/>
    <cellStyle name="Output 23 2 3 4 2" xfId="39627"/>
    <cellStyle name="Output 23 2 3 5" xfId="28810"/>
    <cellStyle name="Output 23 2 3_Table 2A-1_EFT (Annual)" xfId="7916"/>
    <cellStyle name="Output 23 2 4" xfId="1761"/>
    <cellStyle name="Output 23 2 4 2" xfId="5322"/>
    <cellStyle name="Output 23 2 4 2 2" xfId="13547"/>
    <cellStyle name="Output 23 2 4 2 2 2" xfId="25538"/>
    <cellStyle name="Output 23 2 4 2 2 2 2" xfId="46724"/>
    <cellStyle name="Output 23 2 4 2 2 3" xfId="36120"/>
    <cellStyle name="Output 23 2 4 2 3" xfId="20425"/>
    <cellStyle name="Output 23 2 4 2 3 2" xfId="41612"/>
    <cellStyle name="Output 23 2 4 2 4" xfId="30979"/>
    <cellStyle name="Output 23 2 4 2_Table 2A-1_EFT (Annual)" xfId="7919"/>
    <cellStyle name="Output 23 2 4 3" xfId="10890"/>
    <cellStyle name="Output 23 2 4 3 2" xfId="22992"/>
    <cellStyle name="Output 23 2 4 3 2 2" xfId="44178"/>
    <cellStyle name="Output 23 2 4 3 3" xfId="33574"/>
    <cellStyle name="Output 23 2 4 4" xfId="17879"/>
    <cellStyle name="Output 23 2 4 4 2" xfId="39066"/>
    <cellStyle name="Output 23 2 4 5" xfId="28236"/>
    <cellStyle name="Output 23 2 4_Table 2A-1_EFT (Annual)" xfId="7918"/>
    <cellStyle name="Output 23 2 5" xfId="4189"/>
    <cellStyle name="Output 23 2 5 2" xfId="12513"/>
    <cellStyle name="Output 23 2 5 2 2" xfId="24535"/>
    <cellStyle name="Output 23 2 5 2 2 2" xfId="45721"/>
    <cellStyle name="Output 23 2 5 2 3" xfId="35117"/>
    <cellStyle name="Output 23 2 5 3" xfId="19422"/>
    <cellStyle name="Output 23 2 5 3 2" xfId="40609"/>
    <cellStyle name="Output 23 2 5 4" xfId="29877"/>
    <cellStyle name="Output 23 2 5_Table 2A-1_EFT (Annual)" xfId="7920"/>
    <cellStyle name="Output 23 2 6" xfId="9852"/>
    <cellStyle name="Output 23 2 6 2" xfId="21989"/>
    <cellStyle name="Output 23 2 6 2 2" xfId="43175"/>
    <cellStyle name="Output 23 2 6 3" xfId="32571"/>
    <cellStyle name="Output 23 2 7" xfId="16876"/>
    <cellStyle name="Output 23 2 7 2" xfId="38063"/>
    <cellStyle name="Output 23 2 8" xfId="27134"/>
    <cellStyle name="Output 23 2_Table 2A-1_EFT (Annual)" xfId="3407"/>
    <cellStyle name="Output 23 3" xfId="459"/>
    <cellStyle name="Output 23 3 2" xfId="1436"/>
    <cellStyle name="Output 23 3 2 2" xfId="2706"/>
    <cellStyle name="Output 23 3 2 2 2" xfId="6267"/>
    <cellStyle name="Output 23 3 2 2 2 2" xfId="14461"/>
    <cellStyle name="Output 23 3 2 2 2 2 2" xfId="26433"/>
    <cellStyle name="Output 23 3 2 2 2 2 2 2" xfId="47619"/>
    <cellStyle name="Output 23 3 2 2 2 2 3" xfId="37015"/>
    <cellStyle name="Output 23 3 2 2 2 3" xfId="21320"/>
    <cellStyle name="Output 23 3 2 2 2 3 2" xfId="42507"/>
    <cellStyle name="Output 23 3 2 2 2 4" xfId="31923"/>
    <cellStyle name="Output 23 3 2 2 2_Table 2A-1_EFT (Annual)" xfId="7922"/>
    <cellStyle name="Output 23 3 2 2 3" xfId="11803"/>
    <cellStyle name="Output 23 3 2 2 3 2" xfId="23887"/>
    <cellStyle name="Output 23 3 2 2 3 2 2" xfId="45073"/>
    <cellStyle name="Output 23 3 2 2 3 3" xfId="34469"/>
    <cellStyle name="Output 23 3 2 2 4" xfId="18774"/>
    <cellStyle name="Output 23 3 2 2 4 2" xfId="39961"/>
    <cellStyle name="Output 23 3 2 2 5" xfId="29180"/>
    <cellStyle name="Output 23 3 2 2_Table 2A-1_EFT (Annual)" xfId="7921"/>
    <cellStyle name="Output 23 3 2 3" xfId="1905"/>
    <cellStyle name="Output 23 3 2 3 2" xfId="5466"/>
    <cellStyle name="Output 23 3 2 3 2 2" xfId="13681"/>
    <cellStyle name="Output 23 3 2 3 2 2 2" xfId="25669"/>
    <cellStyle name="Output 23 3 2 3 2 2 2 2" xfId="46855"/>
    <cellStyle name="Output 23 3 2 3 2 2 3" xfId="36251"/>
    <cellStyle name="Output 23 3 2 3 2 3" xfId="20556"/>
    <cellStyle name="Output 23 3 2 3 2 3 2" xfId="41743"/>
    <cellStyle name="Output 23 3 2 3 2 4" xfId="31123"/>
    <cellStyle name="Output 23 3 2 3 2_Table 2A-1_EFT (Annual)" xfId="7924"/>
    <cellStyle name="Output 23 3 2 3 3" xfId="11025"/>
    <cellStyle name="Output 23 3 2 3 3 2" xfId="23123"/>
    <cellStyle name="Output 23 3 2 3 3 2 2" xfId="44309"/>
    <cellStyle name="Output 23 3 2 3 3 3" xfId="33705"/>
    <cellStyle name="Output 23 3 2 3 4" xfId="18010"/>
    <cellStyle name="Output 23 3 2 3 4 2" xfId="39197"/>
    <cellStyle name="Output 23 3 2 3 5" xfId="28380"/>
    <cellStyle name="Output 23 3 2 3_Table 2A-1_EFT (Annual)" xfId="7923"/>
    <cellStyle name="Output 23 3 2 4" xfId="4997"/>
    <cellStyle name="Output 23 3 2 4 2" xfId="13257"/>
    <cellStyle name="Output 23 3 2 4 2 2" xfId="25263"/>
    <cellStyle name="Output 23 3 2 4 2 2 2" xfId="46449"/>
    <cellStyle name="Output 23 3 2 4 2 3" xfId="35845"/>
    <cellStyle name="Output 23 3 2 4 3" xfId="20150"/>
    <cellStyle name="Output 23 3 2 4 3 2" xfId="41337"/>
    <cellStyle name="Output 23 3 2 4 4" xfId="30654"/>
    <cellStyle name="Output 23 3 2 4_Table 2A-1_EFT (Annual)" xfId="7925"/>
    <cellStyle name="Output 23 3 2 5" xfId="10601"/>
    <cellStyle name="Output 23 3 2 5 2" xfId="22717"/>
    <cellStyle name="Output 23 3 2 5 2 2" xfId="43903"/>
    <cellStyle name="Output 23 3 2 5 3" xfId="33299"/>
    <cellStyle name="Output 23 3 2 6" xfId="17604"/>
    <cellStyle name="Output 23 3 2 6 2" xfId="38791"/>
    <cellStyle name="Output 23 3 2 7" xfId="27911"/>
    <cellStyle name="Output 23 3 2_Table 2A-1_EFT (Annual)" xfId="3410"/>
    <cellStyle name="Output 23 3 3" xfId="2175"/>
    <cellStyle name="Output 23 3 3 2" xfId="5736"/>
    <cellStyle name="Output 23 3 3 2 2" xfId="13951"/>
    <cellStyle name="Output 23 3 3 2 2 2" xfId="25939"/>
    <cellStyle name="Output 23 3 3 2 2 2 2" xfId="47125"/>
    <cellStyle name="Output 23 3 3 2 2 3" xfId="36521"/>
    <cellStyle name="Output 23 3 3 2 3" xfId="20826"/>
    <cellStyle name="Output 23 3 3 2 3 2" xfId="42013"/>
    <cellStyle name="Output 23 3 3 2 4" xfId="31393"/>
    <cellStyle name="Output 23 3 3 2_Table 2A-1_EFT (Annual)" xfId="7927"/>
    <cellStyle name="Output 23 3 3 3" xfId="11295"/>
    <cellStyle name="Output 23 3 3 3 2" xfId="23393"/>
    <cellStyle name="Output 23 3 3 3 2 2" xfId="44579"/>
    <cellStyle name="Output 23 3 3 3 3" xfId="33975"/>
    <cellStyle name="Output 23 3 3 4" xfId="18280"/>
    <cellStyle name="Output 23 3 3 4 2" xfId="39467"/>
    <cellStyle name="Output 23 3 3 5" xfId="28650"/>
    <cellStyle name="Output 23 3 3_Table 2A-1_EFT (Annual)" xfId="7926"/>
    <cellStyle name="Output 23 3 4" xfId="1730"/>
    <cellStyle name="Output 23 3 4 2" xfId="5291"/>
    <cellStyle name="Output 23 3 4 2 2" xfId="13516"/>
    <cellStyle name="Output 23 3 4 2 2 2" xfId="25507"/>
    <cellStyle name="Output 23 3 4 2 2 2 2" xfId="46693"/>
    <cellStyle name="Output 23 3 4 2 2 3" xfId="36089"/>
    <cellStyle name="Output 23 3 4 2 3" xfId="20394"/>
    <cellStyle name="Output 23 3 4 2 3 2" xfId="41581"/>
    <cellStyle name="Output 23 3 4 2 4" xfId="30948"/>
    <cellStyle name="Output 23 3 4 2_Table 2A-1_EFT (Annual)" xfId="7929"/>
    <cellStyle name="Output 23 3 4 3" xfId="10859"/>
    <cellStyle name="Output 23 3 4 3 2" xfId="22961"/>
    <cellStyle name="Output 23 3 4 3 2 2" xfId="44147"/>
    <cellStyle name="Output 23 3 4 3 3" xfId="33543"/>
    <cellStyle name="Output 23 3 4 4" xfId="17848"/>
    <cellStyle name="Output 23 3 4 4 2" xfId="39035"/>
    <cellStyle name="Output 23 3 4 5" xfId="28205"/>
    <cellStyle name="Output 23 3 4_Table 2A-1_EFT (Annual)" xfId="7928"/>
    <cellStyle name="Output 23 3 5" xfId="4029"/>
    <cellStyle name="Output 23 3 5 2" xfId="12353"/>
    <cellStyle name="Output 23 3 5 2 2" xfId="24375"/>
    <cellStyle name="Output 23 3 5 2 2 2" xfId="45561"/>
    <cellStyle name="Output 23 3 5 2 3" xfId="34957"/>
    <cellStyle name="Output 23 3 5 3" xfId="19262"/>
    <cellStyle name="Output 23 3 5 3 2" xfId="40449"/>
    <cellStyle name="Output 23 3 5 4" xfId="29717"/>
    <cellStyle name="Output 23 3 5_Table 2A-1_EFT (Annual)" xfId="7930"/>
    <cellStyle name="Output 23 3 6" xfId="9692"/>
    <cellStyle name="Output 23 3 6 2" xfId="21829"/>
    <cellStyle name="Output 23 3 6 2 2" xfId="43015"/>
    <cellStyle name="Output 23 3 6 3" xfId="32411"/>
    <cellStyle name="Output 23 3 7" xfId="16716"/>
    <cellStyle name="Output 23 3 7 2" xfId="37903"/>
    <cellStyle name="Output 23 3 8" xfId="26974"/>
    <cellStyle name="Output 23 3_Table 2A-1_EFT (Annual)" xfId="3409"/>
    <cellStyle name="Output 23 4" xfId="1274"/>
    <cellStyle name="Output 23 4 2" xfId="2544"/>
    <cellStyle name="Output 23 4 2 2" xfId="6105"/>
    <cellStyle name="Output 23 4 2 2 2" xfId="14299"/>
    <cellStyle name="Output 23 4 2 2 2 2" xfId="26271"/>
    <cellStyle name="Output 23 4 2 2 2 2 2" xfId="47457"/>
    <cellStyle name="Output 23 4 2 2 2 3" xfId="36853"/>
    <cellStyle name="Output 23 4 2 2 3" xfId="21158"/>
    <cellStyle name="Output 23 4 2 2 3 2" xfId="42345"/>
    <cellStyle name="Output 23 4 2 2 4" xfId="31761"/>
    <cellStyle name="Output 23 4 2 2_Table 2A-1_EFT (Annual)" xfId="7932"/>
    <cellStyle name="Output 23 4 2 3" xfId="11641"/>
    <cellStyle name="Output 23 4 2 3 2" xfId="23725"/>
    <cellStyle name="Output 23 4 2 3 2 2" xfId="44911"/>
    <cellStyle name="Output 23 4 2 3 3" xfId="34307"/>
    <cellStyle name="Output 23 4 2 4" xfId="18612"/>
    <cellStyle name="Output 23 4 2 4 2" xfId="39799"/>
    <cellStyle name="Output 23 4 2 5" xfId="29018"/>
    <cellStyle name="Output 23 4 2_Table 2A-1_EFT (Annual)" xfId="7931"/>
    <cellStyle name="Output 23 4 3" xfId="1842"/>
    <cellStyle name="Output 23 4 3 2" xfId="5403"/>
    <cellStyle name="Output 23 4 3 2 2" xfId="13618"/>
    <cellStyle name="Output 23 4 3 2 2 2" xfId="25606"/>
    <cellStyle name="Output 23 4 3 2 2 2 2" xfId="46792"/>
    <cellStyle name="Output 23 4 3 2 2 3" xfId="36188"/>
    <cellStyle name="Output 23 4 3 2 3" xfId="20493"/>
    <cellStyle name="Output 23 4 3 2 3 2" xfId="41680"/>
    <cellStyle name="Output 23 4 3 2 4" xfId="31060"/>
    <cellStyle name="Output 23 4 3 2_Table 2A-1_EFT (Annual)" xfId="7934"/>
    <cellStyle name="Output 23 4 3 3" xfId="10962"/>
    <cellStyle name="Output 23 4 3 3 2" xfId="23060"/>
    <cellStyle name="Output 23 4 3 3 2 2" xfId="44246"/>
    <cellStyle name="Output 23 4 3 3 3" xfId="33642"/>
    <cellStyle name="Output 23 4 3 4" xfId="17947"/>
    <cellStyle name="Output 23 4 3 4 2" xfId="39134"/>
    <cellStyle name="Output 23 4 3 5" xfId="28317"/>
    <cellStyle name="Output 23 4 3_Table 2A-1_EFT (Annual)" xfId="7933"/>
    <cellStyle name="Output 23 4 4" xfId="4835"/>
    <cellStyle name="Output 23 4 4 2" xfId="13095"/>
    <cellStyle name="Output 23 4 4 2 2" xfId="25101"/>
    <cellStyle name="Output 23 4 4 2 2 2" xfId="46287"/>
    <cellStyle name="Output 23 4 4 2 3" xfId="35683"/>
    <cellStyle name="Output 23 4 4 3" xfId="19988"/>
    <cellStyle name="Output 23 4 4 3 2" xfId="41175"/>
    <cellStyle name="Output 23 4 4 4" xfId="30492"/>
    <cellStyle name="Output 23 4 4_Table 2A-1_EFT (Annual)" xfId="7935"/>
    <cellStyle name="Output 23 4 5" xfId="10439"/>
    <cellStyle name="Output 23 4 5 2" xfId="22555"/>
    <cellStyle name="Output 23 4 5 2 2" xfId="43741"/>
    <cellStyle name="Output 23 4 5 3" xfId="33137"/>
    <cellStyle name="Output 23 4 6" xfId="17442"/>
    <cellStyle name="Output 23 4 6 2" xfId="38629"/>
    <cellStyle name="Output 23 4 7" xfId="27749"/>
    <cellStyle name="Output 23 4_Table 2A-1_EFT (Annual)" xfId="3411"/>
    <cellStyle name="Output 23 5" xfId="2013"/>
    <cellStyle name="Output 23 5 2" xfId="5574"/>
    <cellStyle name="Output 23 5 2 2" xfId="13789"/>
    <cellStyle name="Output 23 5 2 2 2" xfId="25777"/>
    <cellStyle name="Output 23 5 2 2 2 2" xfId="46963"/>
    <cellStyle name="Output 23 5 2 2 3" xfId="36359"/>
    <cellStyle name="Output 23 5 2 3" xfId="20664"/>
    <cellStyle name="Output 23 5 2 3 2" xfId="41851"/>
    <cellStyle name="Output 23 5 2 4" xfId="31231"/>
    <cellStyle name="Output 23 5 2_Table 2A-1_EFT (Annual)" xfId="7937"/>
    <cellStyle name="Output 23 5 3" xfId="11133"/>
    <cellStyle name="Output 23 5 3 2" xfId="23231"/>
    <cellStyle name="Output 23 5 3 2 2" xfId="44417"/>
    <cellStyle name="Output 23 5 3 3" xfId="33813"/>
    <cellStyle name="Output 23 5 4" xfId="18118"/>
    <cellStyle name="Output 23 5 4 2" xfId="39305"/>
    <cellStyle name="Output 23 5 5" xfId="28488"/>
    <cellStyle name="Output 23 5_Table 2A-1_EFT (Annual)" xfId="7936"/>
    <cellStyle name="Output 23 6" xfId="1674"/>
    <cellStyle name="Output 23 6 2" xfId="5235"/>
    <cellStyle name="Output 23 6 2 2" xfId="13478"/>
    <cellStyle name="Output 23 6 2 2 2" xfId="25476"/>
    <cellStyle name="Output 23 6 2 2 2 2" xfId="46662"/>
    <cellStyle name="Output 23 6 2 2 3" xfId="36058"/>
    <cellStyle name="Output 23 6 2 3" xfId="20363"/>
    <cellStyle name="Output 23 6 2 3 2" xfId="41550"/>
    <cellStyle name="Output 23 6 2 4" xfId="30892"/>
    <cellStyle name="Output 23 6 2_Table 2A-1_EFT (Annual)" xfId="7939"/>
    <cellStyle name="Output 23 6 3" xfId="10823"/>
    <cellStyle name="Output 23 6 3 2" xfId="22930"/>
    <cellStyle name="Output 23 6 3 2 2" xfId="44116"/>
    <cellStyle name="Output 23 6 3 3" xfId="33512"/>
    <cellStyle name="Output 23 6 4" xfId="17817"/>
    <cellStyle name="Output 23 6 4 2" xfId="39004"/>
    <cellStyle name="Output 23 6 5" xfId="28149"/>
    <cellStyle name="Output 23 6_Table 2A-1_EFT (Annual)" xfId="7938"/>
    <cellStyle name="Output 23 7" xfId="3821"/>
    <cellStyle name="Output 23 7 2" xfId="12184"/>
    <cellStyle name="Output 23 7 2 2" xfId="24213"/>
    <cellStyle name="Output 23 7 2 2 2" xfId="45399"/>
    <cellStyle name="Output 23 7 2 3" xfId="34795"/>
    <cellStyle name="Output 23 7 3" xfId="19100"/>
    <cellStyle name="Output 23 7 3 2" xfId="40287"/>
    <cellStyle name="Output 23 7 4" xfId="29530"/>
    <cellStyle name="Output 23 7_Table 2A-1_EFT (Annual)" xfId="7940"/>
    <cellStyle name="Output 23 8" xfId="9503"/>
    <cellStyle name="Output 23 8 2" xfId="21667"/>
    <cellStyle name="Output 23 8 2 2" xfId="42853"/>
    <cellStyle name="Output 23 8 3" xfId="32249"/>
    <cellStyle name="Output 23 9" xfId="16554"/>
    <cellStyle name="Output 23 9 2" xfId="37741"/>
    <cellStyle name="Output 23_Table 2A-1_EFT (Annual)" xfId="3406"/>
    <cellStyle name="Output 24" xfId="183"/>
    <cellStyle name="Output 24 10" xfId="26738"/>
    <cellStyle name="Output 24 2" xfId="576"/>
    <cellStyle name="Output 24 2 2" xfId="1553"/>
    <cellStyle name="Output 24 2 2 2" xfId="2823"/>
    <cellStyle name="Output 24 2 2 2 2" xfId="6384"/>
    <cellStyle name="Output 24 2 2 2 2 2" xfId="14578"/>
    <cellStyle name="Output 24 2 2 2 2 2 2" xfId="26550"/>
    <cellStyle name="Output 24 2 2 2 2 2 2 2" xfId="47736"/>
    <cellStyle name="Output 24 2 2 2 2 2 3" xfId="37132"/>
    <cellStyle name="Output 24 2 2 2 2 3" xfId="21437"/>
    <cellStyle name="Output 24 2 2 2 2 3 2" xfId="42624"/>
    <cellStyle name="Output 24 2 2 2 2 4" xfId="32040"/>
    <cellStyle name="Output 24 2 2 2 2_Table 2A-1_EFT (Annual)" xfId="7942"/>
    <cellStyle name="Output 24 2 2 2 3" xfId="11920"/>
    <cellStyle name="Output 24 2 2 2 3 2" xfId="24004"/>
    <cellStyle name="Output 24 2 2 2 3 2 2" xfId="45190"/>
    <cellStyle name="Output 24 2 2 2 3 3" xfId="34586"/>
    <cellStyle name="Output 24 2 2 2 4" xfId="18891"/>
    <cellStyle name="Output 24 2 2 2 4 2" xfId="40078"/>
    <cellStyle name="Output 24 2 2 2 5" xfId="29297"/>
    <cellStyle name="Output 24 2 2 2_Table 2A-1_EFT (Annual)" xfId="7941"/>
    <cellStyle name="Output 24 2 2 3" xfId="1928"/>
    <cellStyle name="Output 24 2 2 3 2" xfId="5489"/>
    <cellStyle name="Output 24 2 2 3 2 2" xfId="13704"/>
    <cellStyle name="Output 24 2 2 3 2 2 2" xfId="25692"/>
    <cellStyle name="Output 24 2 2 3 2 2 2 2" xfId="46878"/>
    <cellStyle name="Output 24 2 2 3 2 2 3" xfId="36274"/>
    <cellStyle name="Output 24 2 2 3 2 3" xfId="20579"/>
    <cellStyle name="Output 24 2 2 3 2 3 2" xfId="41766"/>
    <cellStyle name="Output 24 2 2 3 2 4" xfId="31146"/>
    <cellStyle name="Output 24 2 2 3 2_Table 2A-1_EFT (Annual)" xfId="7944"/>
    <cellStyle name="Output 24 2 2 3 3" xfId="11048"/>
    <cellStyle name="Output 24 2 2 3 3 2" xfId="23146"/>
    <cellStyle name="Output 24 2 2 3 3 2 2" xfId="44332"/>
    <cellStyle name="Output 24 2 2 3 3 3" xfId="33728"/>
    <cellStyle name="Output 24 2 2 3 4" xfId="18033"/>
    <cellStyle name="Output 24 2 2 3 4 2" xfId="39220"/>
    <cellStyle name="Output 24 2 2 3 5" xfId="28403"/>
    <cellStyle name="Output 24 2 2 3_Table 2A-1_EFT (Annual)" xfId="7943"/>
    <cellStyle name="Output 24 2 2 4" xfId="5114"/>
    <cellStyle name="Output 24 2 2 4 2" xfId="13374"/>
    <cellStyle name="Output 24 2 2 4 2 2" xfId="25380"/>
    <cellStyle name="Output 24 2 2 4 2 2 2" xfId="46566"/>
    <cellStyle name="Output 24 2 2 4 2 3" xfId="35962"/>
    <cellStyle name="Output 24 2 2 4 3" xfId="20267"/>
    <cellStyle name="Output 24 2 2 4 3 2" xfId="41454"/>
    <cellStyle name="Output 24 2 2 4 4" xfId="30771"/>
    <cellStyle name="Output 24 2 2 4_Table 2A-1_EFT (Annual)" xfId="7945"/>
    <cellStyle name="Output 24 2 2 5" xfId="10718"/>
    <cellStyle name="Output 24 2 2 5 2" xfId="22834"/>
    <cellStyle name="Output 24 2 2 5 2 2" xfId="44020"/>
    <cellStyle name="Output 24 2 2 5 3" xfId="33416"/>
    <cellStyle name="Output 24 2 2 6" xfId="17721"/>
    <cellStyle name="Output 24 2 2 6 2" xfId="38908"/>
    <cellStyle name="Output 24 2 2 7" xfId="28028"/>
    <cellStyle name="Output 24 2 2_Table 2A-1_EFT (Annual)" xfId="3414"/>
    <cellStyle name="Output 24 2 3" xfId="2292"/>
    <cellStyle name="Output 24 2 3 2" xfId="5853"/>
    <cellStyle name="Output 24 2 3 2 2" xfId="14068"/>
    <cellStyle name="Output 24 2 3 2 2 2" xfId="26056"/>
    <cellStyle name="Output 24 2 3 2 2 2 2" xfId="47242"/>
    <cellStyle name="Output 24 2 3 2 2 3" xfId="36638"/>
    <cellStyle name="Output 24 2 3 2 3" xfId="20943"/>
    <cellStyle name="Output 24 2 3 2 3 2" xfId="42130"/>
    <cellStyle name="Output 24 2 3 2 4" xfId="31510"/>
    <cellStyle name="Output 24 2 3 2_Table 2A-1_EFT (Annual)" xfId="7947"/>
    <cellStyle name="Output 24 2 3 3" xfId="11412"/>
    <cellStyle name="Output 24 2 3 3 2" xfId="23510"/>
    <cellStyle name="Output 24 2 3 3 2 2" xfId="44696"/>
    <cellStyle name="Output 24 2 3 3 3" xfId="34092"/>
    <cellStyle name="Output 24 2 3 4" xfId="18397"/>
    <cellStyle name="Output 24 2 3 4 2" xfId="39584"/>
    <cellStyle name="Output 24 2 3 5" xfId="28767"/>
    <cellStyle name="Output 24 2 3_Table 2A-1_EFT (Annual)" xfId="7946"/>
    <cellStyle name="Output 24 2 4" xfId="1753"/>
    <cellStyle name="Output 24 2 4 2" xfId="5314"/>
    <cellStyle name="Output 24 2 4 2 2" xfId="13539"/>
    <cellStyle name="Output 24 2 4 2 2 2" xfId="25530"/>
    <cellStyle name="Output 24 2 4 2 2 2 2" xfId="46716"/>
    <cellStyle name="Output 24 2 4 2 2 3" xfId="36112"/>
    <cellStyle name="Output 24 2 4 2 3" xfId="20417"/>
    <cellStyle name="Output 24 2 4 2 3 2" xfId="41604"/>
    <cellStyle name="Output 24 2 4 2 4" xfId="30971"/>
    <cellStyle name="Output 24 2 4 2_Table 2A-1_EFT (Annual)" xfId="7949"/>
    <cellStyle name="Output 24 2 4 3" xfId="10882"/>
    <cellStyle name="Output 24 2 4 3 2" xfId="22984"/>
    <cellStyle name="Output 24 2 4 3 2 2" xfId="44170"/>
    <cellStyle name="Output 24 2 4 3 3" xfId="33566"/>
    <cellStyle name="Output 24 2 4 4" xfId="17871"/>
    <cellStyle name="Output 24 2 4 4 2" xfId="39058"/>
    <cellStyle name="Output 24 2 4 5" xfId="28228"/>
    <cellStyle name="Output 24 2 4_Table 2A-1_EFT (Annual)" xfId="7948"/>
    <cellStyle name="Output 24 2 5" xfId="4146"/>
    <cellStyle name="Output 24 2 5 2" xfId="12470"/>
    <cellStyle name="Output 24 2 5 2 2" xfId="24492"/>
    <cellStyle name="Output 24 2 5 2 2 2" xfId="45678"/>
    <cellStyle name="Output 24 2 5 2 3" xfId="35074"/>
    <cellStyle name="Output 24 2 5 3" xfId="19379"/>
    <cellStyle name="Output 24 2 5 3 2" xfId="40566"/>
    <cellStyle name="Output 24 2 5 4" xfId="29834"/>
    <cellStyle name="Output 24 2 5_Table 2A-1_EFT (Annual)" xfId="7950"/>
    <cellStyle name="Output 24 2 6" xfId="9809"/>
    <cellStyle name="Output 24 2 6 2" xfId="21946"/>
    <cellStyle name="Output 24 2 6 2 2" xfId="43132"/>
    <cellStyle name="Output 24 2 6 3" xfId="32528"/>
    <cellStyle name="Output 24 2 7" xfId="16833"/>
    <cellStyle name="Output 24 2 7 2" xfId="38020"/>
    <cellStyle name="Output 24 2 8" xfId="27091"/>
    <cellStyle name="Output 24 2_Table 2A-1_EFT (Annual)" xfId="3413"/>
    <cellStyle name="Output 24 3" xfId="414"/>
    <cellStyle name="Output 24 3 2" xfId="1397"/>
    <cellStyle name="Output 24 3 2 2" xfId="2667"/>
    <cellStyle name="Output 24 3 2 2 2" xfId="6228"/>
    <cellStyle name="Output 24 3 2 2 2 2" xfId="14422"/>
    <cellStyle name="Output 24 3 2 2 2 2 2" xfId="26394"/>
    <cellStyle name="Output 24 3 2 2 2 2 2 2" xfId="47580"/>
    <cellStyle name="Output 24 3 2 2 2 2 3" xfId="36976"/>
    <cellStyle name="Output 24 3 2 2 2 3" xfId="21281"/>
    <cellStyle name="Output 24 3 2 2 2 3 2" xfId="42468"/>
    <cellStyle name="Output 24 3 2 2 2 4" xfId="31884"/>
    <cellStyle name="Output 24 3 2 2 2_Table 2A-1_EFT (Annual)" xfId="7952"/>
    <cellStyle name="Output 24 3 2 2 3" xfId="11764"/>
    <cellStyle name="Output 24 3 2 2 3 2" xfId="23848"/>
    <cellStyle name="Output 24 3 2 2 3 2 2" xfId="45034"/>
    <cellStyle name="Output 24 3 2 2 3 3" xfId="34430"/>
    <cellStyle name="Output 24 3 2 2 4" xfId="18735"/>
    <cellStyle name="Output 24 3 2 2 4 2" xfId="39922"/>
    <cellStyle name="Output 24 3 2 2 5" xfId="29141"/>
    <cellStyle name="Output 24 3 2 2_Table 2A-1_EFT (Annual)" xfId="7951"/>
    <cellStyle name="Output 24 3 2 3" xfId="1897"/>
    <cellStyle name="Output 24 3 2 3 2" xfId="5458"/>
    <cellStyle name="Output 24 3 2 3 2 2" xfId="13673"/>
    <cellStyle name="Output 24 3 2 3 2 2 2" xfId="25661"/>
    <cellStyle name="Output 24 3 2 3 2 2 2 2" xfId="46847"/>
    <cellStyle name="Output 24 3 2 3 2 2 3" xfId="36243"/>
    <cellStyle name="Output 24 3 2 3 2 3" xfId="20548"/>
    <cellStyle name="Output 24 3 2 3 2 3 2" xfId="41735"/>
    <cellStyle name="Output 24 3 2 3 2 4" xfId="31115"/>
    <cellStyle name="Output 24 3 2 3 2_Table 2A-1_EFT (Annual)" xfId="7954"/>
    <cellStyle name="Output 24 3 2 3 3" xfId="11017"/>
    <cellStyle name="Output 24 3 2 3 3 2" xfId="23115"/>
    <cellStyle name="Output 24 3 2 3 3 2 2" xfId="44301"/>
    <cellStyle name="Output 24 3 2 3 3 3" xfId="33697"/>
    <cellStyle name="Output 24 3 2 3 4" xfId="18002"/>
    <cellStyle name="Output 24 3 2 3 4 2" xfId="39189"/>
    <cellStyle name="Output 24 3 2 3 5" xfId="28372"/>
    <cellStyle name="Output 24 3 2 3_Table 2A-1_EFT (Annual)" xfId="7953"/>
    <cellStyle name="Output 24 3 2 4" xfId="4958"/>
    <cellStyle name="Output 24 3 2 4 2" xfId="13218"/>
    <cellStyle name="Output 24 3 2 4 2 2" xfId="25224"/>
    <cellStyle name="Output 24 3 2 4 2 2 2" xfId="46410"/>
    <cellStyle name="Output 24 3 2 4 2 3" xfId="35806"/>
    <cellStyle name="Output 24 3 2 4 3" xfId="20111"/>
    <cellStyle name="Output 24 3 2 4 3 2" xfId="41298"/>
    <cellStyle name="Output 24 3 2 4 4" xfId="30615"/>
    <cellStyle name="Output 24 3 2 4_Table 2A-1_EFT (Annual)" xfId="7955"/>
    <cellStyle name="Output 24 3 2 5" xfId="10562"/>
    <cellStyle name="Output 24 3 2 5 2" xfId="22678"/>
    <cellStyle name="Output 24 3 2 5 2 2" xfId="43864"/>
    <cellStyle name="Output 24 3 2 5 3" xfId="33260"/>
    <cellStyle name="Output 24 3 2 6" xfId="17565"/>
    <cellStyle name="Output 24 3 2 6 2" xfId="38752"/>
    <cellStyle name="Output 24 3 2 7" xfId="27872"/>
    <cellStyle name="Output 24 3 2_Table 2A-1_EFT (Annual)" xfId="3416"/>
    <cellStyle name="Output 24 3 3" xfId="2136"/>
    <cellStyle name="Output 24 3 3 2" xfId="5697"/>
    <cellStyle name="Output 24 3 3 2 2" xfId="13912"/>
    <cellStyle name="Output 24 3 3 2 2 2" xfId="25900"/>
    <cellStyle name="Output 24 3 3 2 2 2 2" xfId="47086"/>
    <cellStyle name="Output 24 3 3 2 2 3" xfId="36482"/>
    <cellStyle name="Output 24 3 3 2 3" xfId="20787"/>
    <cellStyle name="Output 24 3 3 2 3 2" xfId="41974"/>
    <cellStyle name="Output 24 3 3 2 4" xfId="31354"/>
    <cellStyle name="Output 24 3 3 2_Table 2A-1_EFT (Annual)" xfId="7957"/>
    <cellStyle name="Output 24 3 3 3" xfId="11256"/>
    <cellStyle name="Output 24 3 3 3 2" xfId="23354"/>
    <cellStyle name="Output 24 3 3 3 2 2" xfId="44540"/>
    <cellStyle name="Output 24 3 3 3 3" xfId="33936"/>
    <cellStyle name="Output 24 3 3 4" xfId="18241"/>
    <cellStyle name="Output 24 3 3 4 2" xfId="39428"/>
    <cellStyle name="Output 24 3 3 5" xfId="28611"/>
    <cellStyle name="Output 24 3 3_Table 2A-1_EFT (Annual)" xfId="7956"/>
    <cellStyle name="Output 24 3 4" xfId="1717"/>
    <cellStyle name="Output 24 3 4 2" xfId="5278"/>
    <cellStyle name="Output 24 3 4 2 2" xfId="13507"/>
    <cellStyle name="Output 24 3 4 2 2 2" xfId="25500"/>
    <cellStyle name="Output 24 3 4 2 2 2 2" xfId="46686"/>
    <cellStyle name="Output 24 3 4 2 2 3" xfId="36082"/>
    <cellStyle name="Output 24 3 4 2 3" xfId="20387"/>
    <cellStyle name="Output 24 3 4 2 3 2" xfId="41574"/>
    <cellStyle name="Output 24 3 4 2 4" xfId="30935"/>
    <cellStyle name="Output 24 3 4 2_Table 2A-1_EFT (Annual)" xfId="7959"/>
    <cellStyle name="Output 24 3 4 3" xfId="10851"/>
    <cellStyle name="Output 24 3 4 3 2" xfId="22954"/>
    <cellStyle name="Output 24 3 4 3 2 2" xfId="44140"/>
    <cellStyle name="Output 24 3 4 3 3" xfId="33536"/>
    <cellStyle name="Output 24 3 4 4" xfId="17841"/>
    <cellStyle name="Output 24 3 4 4 2" xfId="39028"/>
    <cellStyle name="Output 24 3 4 5" xfId="28192"/>
    <cellStyle name="Output 24 3 4_Table 2A-1_EFT (Annual)" xfId="7958"/>
    <cellStyle name="Output 24 3 5" xfId="3984"/>
    <cellStyle name="Output 24 3 5 2" xfId="12312"/>
    <cellStyle name="Output 24 3 5 2 2" xfId="24336"/>
    <cellStyle name="Output 24 3 5 2 2 2" xfId="45522"/>
    <cellStyle name="Output 24 3 5 2 3" xfId="34918"/>
    <cellStyle name="Output 24 3 5 3" xfId="19223"/>
    <cellStyle name="Output 24 3 5 3 2" xfId="40410"/>
    <cellStyle name="Output 24 3 5 4" xfId="29672"/>
    <cellStyle name="Output 24 3 5_Table 2A-1_EFT (Annual)" xfId="7960"/>
    <cellStyle name="Output 24 3 6" xfId="9649"/>
    <cellStyle name="Output 24 3 6 2" xfId="21790"/>
    <cellStyle name="Output 24 3 6 2 2" xfId="42976"/>
    <cellStyle name="Output 24 3 6 3" xfId="32372"/>
    <cellStyle name="Output 24 3 7" xfId="16677"/>
    <cellStyle name="Output 24 3 7 2" xfId="37864"/>
    <cellStyle name="Output 24 3 8" xfId="26929"/>
    <cellStyle name="Output 24 3_Table 2A-1_EFT (Annual)" xfId="3415"/>
    <cellStyle name="Output 24 4" xfId="1231"/>
    <cellStyle name="Output 24 4 2" xfId="2501"/>
    <cellStyle name="Output 24 4 2 2" xfId="6062"/>
    <cellStyle name="Output 24 4 2 2 2" xfId="14256"/>
    <cellStyle name="Output 24 4 2 2 2 2" xfId="26228"/>
    <cellStyle name="Output 24 4 2 2 2 2 2" xfId="47414"/>
    <cellStyle name="Output 24 4 2 2 2 3" xfId="36810"/>
    <cellStyle name="Output 24 4 2 2 3" xfId="21115"/>
    <cellStyle name="Output 24 4 2 2 3 2" xfId="42302"/>
    <cellStyle name="Output 24 4 2 2 4" xfId="31718"/>
    <cellStyle name="Output 24 4 2 2_Table 2A-1_EFT (Annual)" xfId="7962"/>
    <cellStyle name="Output 24 4 2 3" xfId="11598"/>
    <cellStyle name="Output 24 4 2 3 2" xfId="23682"/>
    <cellStyle name="Output 24 4 2 3 2 2" xfId="44868"/>
    <cellStyle name="Output 24 4 2 3 3" xfId="34264"/>
    <cellStyle name="Output 24 4 2 4" xfId="18569"/>
    <cellStyle name="Output 24 4 2 4 2" xfId="39756"/>
    <cellStyle name="Output 24 4 2 5" xfId="28975"/>
    <cellStyle name="Output 24 4 2_Table 2A-1_EFT (Annual)" xfId="7961"/>
    <cellStyle name="Output 24 4 3" xfId="1833"/>
    <cellStyle name="Output 24 4 3 2" xfId="5394"/>
    <cellStyle name="Output 24 4 3 2 2" xfId="13609"/>
    <cellStyle name="Output 24 4 3 2 2 2" xfId="25597"/>
    <cellStyle name="Output 24 4 3 2 2 2 2" xfId="46783"/>
    <cellStyle name="Output 24 4 3 2 2 3" xfId="36179"/>
    <cellStyle name="Output 24 4 3 2 3" xfId="20484"/>
    <cellStyle name="Output 24 4 3 2 3 2" xfId="41671"/>
    <cellStyle name="Output 24 4 3 2 4" xfId="31051"/>
    <cellStyle name="Output 24 4 3 2_Table 2A-1_EFT (Annual)" xfId="7964"/>
    <cellStyle name="Output 24 4 3 3" xfId="10953"/>
    <cellStyle name="Output 24 4 3 3 2" xfId="23051"/>
    <cellStyle name="Output 24 4 3 3 2 2" xfId="44237"/>
    <cellStyle name="Output 24 4 3 3 3" xfId="33633"/>
    <cellStyle name="Output 24 4 3 4" xfId="17938"/>
    <cellStyle name="Output 24 4 3 4 2" xfId="39125"/>
    <cellStyle name="Output 24 4 3 5" xfId="28308"/>
    <cellStyle name="Output 24 4 3_Table 2A-1_EFT (Annual)" xfId="7963"/>
    <cellStyle name="Output 24 4 4" xfId="4792"/>
    <cellStyle name="Output 24 4 4 2" xfId="13052"/>
    <cellStyle name="Output 24 4 4 2 2" xfId="25058"/>
    <cellStyle name="Output 24 4 4 2 2 2" xfId="46244"/>
    <cellStyle name="Output 24 4 4 2 3" xfId="35640"/>
    <cellStyle name="Output 24 4 4 3" xfId="19945"/>
    <cellStyle name="Output 24 4 4 3 2" xfId="41132"/>
    <cellStyle name="Output 24 4 4 4" xfId="30449"/>
    <cellStyle name="Output 24 4 4_Table 2A-1_EFT (Annual)" xfId="7965"/>
    <cellStyle name="Output 24 4 5" xfId="10396"/>
    <cellStyle name="Output 24 4 5 2" xfId="22512"/>
    <cellStyle name="Output 24 4 5 2 2" xfId="43698"/>
    <cellStyle name="Output 24 4 5 3" xfId="33094"/>
    <cellStyle name="Output 24 4 6" xfId="17399"/>
    <cellStyle name="Output 24 4 6 2" xfId="38586"/>
    <cellStyle name="Output 24 4 7" xfId="27706"/>
    <cellStyle name="Output 24 4_Table 2A-1_EFT (Annual)" xfId="3417"/>
    <cellStyle name="Output 24 5" xfId="1970"/>
    <cellStyle name="Output 24 5 2" xfId="5531"/>
    <cellStyle name="Output 24 5 2 2" xfId="13746"/>
    <cellStyle name="Output 24 5 2 2 2" xfId="25734"/>
    <cellStyle name="Output 24 5 2 2 2 2" xfId="46920"/>
    <cellStyle name="Output 24 5 2 2 3" xfId="36316"/>
    <cellStyle name="Output 24 5 2 3" xfId="20621"/>
    <cellStyle name="Output 24 5 2 3 2" xfId="41808"/>
    <cellStyle name="Output 24 5 2 4" xfId="31188"/>
    <cellStyle name="Output 24 5 2_Table 2A-1_EFT (Annual)" xfId="7967"/>
    <cellStyle name="Output 24 5 3" xfId="11090"/>
    <cellStyle name="Output 24 5 3 2" xfId="23188"/>
    <cellStyle name="Output 24 5 3 2 2" xfId="44374"/>
    <cellStyle name="Output 24 5 3 3" xfId="33770"/>
    <cellStyle name="Output 24 5 4" xfId="18075"/>
    <cellStyle name="Output 24 5 4 2" xfId="39262"/>
    <cellStyle name="Output 24 5 5" xfId="28445"/>
    <cellStyle name="Output 24 5_Table 2A-1_EFT (Annual)" xfId="7966"/>
    <cellStyle name="Output 24 6" xfId="1660"/>
    <cellStyle name="Output 24 6 2" xfId="5221"/>
    <cellStyle name="Output 24 6 2 2" xfId="13468"/>
    <cellStyle name="Output 24 6 2 2 2" xfId="25468"/>
    <cellStyle name="Output 24 6 2 2 2 2" xfId="46654"/>
    <cellStyle name="Output 24 6 2 2 3" xfId="36050"/>
    <cellStyle name="Output 24 6 2 3" xfId="20355"/>
    <cellStyle name="Output 24 6 2 3 2" xfId="41542"/>
    <cellStyle name="Output 24 6 2 4" xfId="30878"/>
    <cellStyle name="Output 24 6 2_Table 2A-1_EFT (Annual)" xfId="7969"/>
    <cellStyle name="Output 24 6 3" xfId="10813"/>
    <cellStyle name="Output 24 6 3 2" xfId="22922"/>
    <cellStyle name="Output 24 6 3 2 2" xfId="44108"/>
    <cellStyle name="Output 24 6 3 3" xfId="33504"/>
    <cellStyle name="Output 24 6 4" xfId="17809"/>
    <cellStyle name="Output 24 6 4 2" xfId="38996"/>
    <cellStyle name="Output 24 6 5" xfId="28135"/>
    <cellStyle name="Output 24 6_Table 2A-1_EFT (Annual)" xfId="7968"/>
    <cellStyle name="Output 24 7" xfId="3772"/>
    <cellStyle name="Output 24 7 2" xfId="12140"/>
    <cellStyle name="Output 24 7 2 2" xfId="24170"/>
    <cellStyle name="Output 24 7 2 2 2" xfId="45356"/>
    <cellStyle name="Output 24 7 2 3" xfId="34752"/>
    <cellStyle name="Output 24 7 3" xfId="19057"/>
    <cellStyle name="Output 24 7 3 2" xfId="40244"/>
    <cellStyle name="Output 24 7 4" xfId="29481"/>
    <cellStyle name="Output 24 7_Table 2A-1_EFT (Annual)" xfId="7970"/>
    <cellStyle name="Output 24 8" xfId="9459"/>
    <cellStyle name="Output 24 8 2" xfId="21624"/>
    <cellStyle name="Output 24 8 2 2" xfId="42810"/>
    <cellStyle name="Output 24 8 3" xfId="32206"/>
    <cellStyle name="Output 24 9" xfId="16511"/>
    <cellStyle name="Output 24 9 2" xfId="37698"/>
    <cellStyle name="Output 24_Table 2A-1_EFT (Annual)" xfId="3412"/>
    <cellStyle name="Output 25" xfId="240"/>
    <cellStyle name="Output 25 10" xfId="26795"/>
    <cellStyle name="Output 25 2" xfId="627"/>
    <cellStyle name="Output 25 2 2" xfId="1604"/>
    <cellStyle name="Output 25 2 2 2" xfId="2874"/>
    <cellStyle name="Output 25 2 2 2 2" xfId="6435"/>
    <cellStyle name="Output 25 2 2 2 2 2" xfId="14629"/>
    <cellStyle name="Output 25 2 2 2 2 2 2" xfId="26601"/>
    <cellStyle name="Output 25 2 2 2 2 2 2 2" xfId="47787"/>
    <cellStyle name="Output 25 2 2 2 2 2 3" xfId="37183"/>
    <cellStyle name="Output 25 2 2 2 2 3" xfId="21488"/>
    <cellStyle name="Output 25 2 2 2 2 3 2" xfId="42675"/>
    <cellStyle name="Output 25 2 2 2 2 4" xfId="32091"/>
    <cellStyle name="Output 25 2 2 2 2_Table 2A-1_EFT (Annual)" xfId="7972"/>
    <cellStyle name="Output 25 2 2 2 3" xfId="11971"/>
    <cellStyle name="Output 25 2 2 2 3 2" xfId="24055"/>
    <cellStyle name="Output 25 2 2 2 3 2 2" xfId="45241"/>
    <cellStyle name="Output 25 2 2 2 3 3" xfId="34637"/>
    <cellStyle name="Output 25 2 2 2 4" xfId="18942"/>
    <cellStyle name="Output 25 2 2 2 4 2" xfId="40129"/>
    <cellStyle name="Output 25 2 2 2 5" xfId="29348"/>
    <cellStyle name="Output 25 2 2 2_Table 2A-1_EFT (Annual)" xfId="7971"/>
    <cellStyle name="Output 25 2 2 3" xfId="1938"/>
    <cellStyle name="Output 25 2 2 3 2" xfId="5499"/>
    <cellStyle name="Output 25 2 2 3 2 2" xfId="13714"/>
    <cellStyle name="Output 25 2 2 3 2 2 2" xfId="25702"/>
    <cellStyle name="Output 25 2 2 3 2 2 2 2" xfId="46888"/>
    <cellStyle name="Output 25 2 2 3 2 2 3" xfId="36284"/>
    <cellStyle name="Output 25 2 2 3 2 3" xfId="20589"/>
    <cellStyle name="Output 25 2 2 3 2 3 2" xfId="41776"/>
    <cellStyle name="Output 25 2 2 3 2 4" xfId="31156"/>
    <cellStyle name="Output 25 2 2 3 2_Table 2A-1_EFT (Annual)" xfId="7974"/>
    <cellStyle name="Output 25 2 2 3 3" xfId="11058"/>
    <cellStyle name="Output 25 2 2 3 3 2" xfId="23156"/>
    <cellStyle name="Output 25 2 2 3 3 2 2" xfId="44342"/>
    <cellStyle name="Output 25 2 2 3 3 3" xfId="33738"/>
    <cellStyle name="Output 25 2 2 3 4" xfId="18043"/>
    <cellStyle name="Output 25 2 2 3 4 2" xfId="39230"/>
    <cellStyle name="Output 25 2 2 3 5" xfId="28413"/>
    <cellStyle name="Output 25 2 2 3_Table 2A-1_EFT (Annual)" xfId="7973"/>
    <cellStyle name="Output 25 2 2 4" xfId="5165"/>
    <cellStyle name="Output 25 2 2 4 2" xfId="13425"/>
    <cellStyle name="Output 25 2 2 4 2 2" xfId="25431"/>
    <cellStyle name="Output 25 2 2 4 2 2 2" xfId="46617"/>
    <cellStyle name="Output 25 2 2 4 2 3" xfId="36013"/>
    <cellStyle name="Output 25 2 2 4 3" xfId="20318"/>
    <cellStyle name="Output 25 2 2 4 3 2" xfId="41505"/>
    <cellStyle name="Output 25 2 2 4 4" xfId="30822"/>
    <cellStyle name="Output 25 2 2 4_Table 2A-1_EFT (Annual)" xfId="7975"/>
    <cellStyle name="Output 25 2 2 5" xfId="10769"/>
    <cellStyle name="Output 25 2 2 5 2" xfId="22885"/>
    <cellStyle name="Output 25 2 2 5 2 2" xfId="44071"/>
    <cellStyle name="Output 25 2 2 5 3" xfId="33467"/>
    <cellStyle name="Output 25 2 2 6" xfId="17772"/>
    <cellStyle name="Output 25 2 2 6 2" xfId="38959"/>
    <cellStyle name="Output 25 2 2 7" xfId="28079"/>
    <cellStyle name="Output 25 2 2_Table 2A-1_EFT (Annual)" xfId="3420"/>
    <cellStyle name="Output 25 2 3" xfId="2343"/>
    <cellStyle name="Output 25 2 3 2" xfId="5904"/>
    <cellStyle name="Output 25 2 3 2 2" xfId="14119"/>
    <cellStyle name="Output 25 2 3 2 2 2" xfId="26107"/>
    <cellStyle name="Output 25 2 3 2 2 2 2" xfId="47293"/>
    <cellStyle name="Output 25 2 3 2 2 3" xfId="36689"/>
    <cellStyle name="Output 25 2 3 2 3" xfId="20994"/>
    <cellStyle name="Output 25 2 3 2 3 2" xfId="42181"/>
    <cellStyle name="Output 25 2 3 2 4" xfId="31561"/>
    <cellStyle name="Output 25 2 3 2_Table 2A-1_EFT (Annual)" xfId="7977"/>
    <cellStyle name="Output 25 2 3 3" xfId="11463"/>
    <cellStyle name="Output 25 2 3 3 2" xfId="23561"/>
    <cellStyle name="Output 25 2 3 3 2 2" xfId="44747"/>
    <cellStyle name="Output 25 2 3 3 3" xfId="34143"/>
    <cellStyle name="Output 25 2 3 4" xfId="18448"/>
    <cellStyle name="Output 25 2 3 4 2" xfId="39635"/>
    <cellStyle name="Output 25 2 3 5" xfId="28818"/>
    <cellStyle name="Output 25 2 3_Table 2A-1_EFT (Annual)" xfId="7976"/>
    <cellStyle name="Output 25 2 4" xfId="1763"/>
    <cellStyle name="Output 25 2 4 2" xfId="5324"/>
    <cellStyle name="Output 25 2 4 2 2" xfId="13549"/>
    <cellStyle name="Output 25 2 4 2 2 2" xfId="25540"/>
    <cellStyle name="Output 25 2 4 2 2 2 2" xfId="46726"/>
    <cellStyle name="Output 25 2 4 2 2 3" xfId="36122"/>
    <cellStyle name="Output 25 2 4 2 3" xfId="20427"/>
    <cellStyle name="Output 25 2 4 2 3 2" xfId="41614"/>
    <cellStyle name="Output 25 2 4 2 4" xfId="30981"/>
    <cellStyle name="Output 25 2 4 2_Table 2A-1_EFT (Annual)" xfId="7979"/>
    <cellStyle name="Output 25 2 4 3" xfId="10892"/>
    <cellStyle name="Output 25 2 4 3 2" xfId="22994"/>
    <cellStyle name="Output 25 2 4 3 2 2" xfId="44180"/>
    <cellStyle name="Output 25 2 4 3 3" xfId="33576"/>
    <cellStyle name="Output 25 2 4 4" xfId="17881"/>
    <cellStyle name="Output 25 2 4 4 2" xfId="39068"/>
    <cellStyle name="Output 25 2 4 5" xfId="28238"/>
    <cellStyle name="Output 25 2 4_Table 2A-1_EFT (Annual)" xfId="7978"/>
    <cellStyle name="Output 25 2 5" xfId="4197"/>
    <cellStyle name="Output 25 2 5 2" xfId="12521"/>
    <cellStyle name="Output 25 2 5 2 2" xfId="24543"/>
    <cellStyle name="Output 25 2 5 2 2 2" xfId="45729"/>
    <cellStyle name="Output 25 2 5 2 3" xfId="35125"/>
    <cellStyle name="Output 25 2 5 3" xfId="19430"/>
    <cellStyle name="Output 25 2 5 3 2" xfId="40617"/>
    <cellStyle name="Output 25 2 5 4" xfId="29885"/>
    <cellStyle name="Output 25 2 5_Table 2A-1_EFT (Annual)" xfId="7980"/>
    <cellStyle name="Output 25 2 6" xfId="9860"/>
    <cellStyle name="Output 25 2 6 2" xfId="21997"/>
    <cellStyle name="Output 25 2 6 2 2" xfId="43183"/>
    <cellStyle name="Output 25 2 6 3" xfId="32579"/>
    <cellStyle name="Output 25 2 7" xfId="16884"/>
    <cellStyle name="Output 25 2 7 2" xfId="38071"/>
    <cellStyle name="Output 25 2 8" xfId="27142"/>
    <cellStyle name="Output 25 2_Table 2A-1_EFT (Annual)" xfId="3419"/>
    <cellStyle name="Output 25 3" xfId="466"/>
    <cellStyle name="Output 25 3 2" xfId="1443"/>
    <cellStyle name="Output 25 3 2 2" xfId="2713"/>
    <cellStyle name="Output 25 3 2 2 2" xfId="6274"/>
    <cellStyle name="Output 25 3 2 2 2 2" xfId="14468"/>
    <cellStyle name="Output 25 3 2 2 2 2 2" xfId="26440"/>
    <cellStyle name="Output 25 3 2 2 2 2 2 2" xfId="47626"/>
    <cellStyle name="Output 25 3 2 2 2 2 3" xfId="37022"/>
    <cellStyle name="Output 25 3 2 2 2 3" xfId="21327"/>
    <cellStyle name="Output 25 3 2 2 2 3 2" xfId="42514"/>
    <cellStyle name="Output 25 3 2 2 2 4" xfId="31930"/>
    <cellStyle name="Output 25 3 2 2 2_Table 2A-1_EFT (Annual)" xfId="7982"/>
    <cellStyle name="Output 25 3 2 2 3" xfId="11810"/>
    <cellStyle name="Output 25 3 2 2 3 2" xfId="23894"/>
    <cellStyle name="Output 25 3 2 2 3 2 2" xfId="45080"/>
    <cellStyle name="Output 25 3 2 2 3 3" xfId="34476"/>
    <cellStyle name="Output 25 3 2 2 4" xfId="18781"/>
    <cellStyle name="Output 25 3 2 2 4 2" xfId="39968"/>
    <cellStyle name="Output 25 3 2 2 5" xfId="29187"/>
    <cellStyle name="Output 25 3 2 2_Table 2A-1_EFT (Annual)" xfId="7981"/>
    <cellStyle name="Output 25 3 2 3" xfId="1907"/>
    <cellStyle name="Output 25 3 2 3 2" xfId="5468"/>
    <cellStyle name="Output 25 3 2 3 2 2" xfId="13683"/>
    <cellStyle name="Output 25 3 2 3 2 2 2" xfId="25671"/>
    <cellStyle name="Output 25 3 2 3 2 2 2 2" xfId="46857"/>
    <cellStyle name="Output 25 3 2 3 2 2 3" xfId="36253"/>
    <cellStyle name="Output 25 3 2 3 2 3" xfId="20558"/>
    <cellStyle name="Output 25 3 2 3 2 3 2" xfId="41745"/>
    <cellStyle name="Output 25 3 2 3 2 4" xfId="31125"/>
    <cellStyle name="Output 25 3 2 3 2_Table 2A-1_EFT (Annual)" xfId="7984"/>
    <cellStyle name="Output 25 3 2 3 3" xfId="11027"/>
    <cellStyle name="Output 25 3 2 3 3 2" xfId="23125"/>
    <cellStyle name="Output 25 3 2 3 3 2 2" xfId="44311"/>
    <cellStyle name="Output 25 3 2 3 3 3" xfId="33707"/>
    <cellStyle name="Output 25 3 2 3 4" xfId="18012"/>
    <cellStyle name="Output 25 3 2 3 4 2" xfId="39199"/>
    <cellStyle name="Output 25 3 2 3 5" xfId="28382"/>
    <cellStyle name="Output 25 3 2 3_Table 2A-1_EFT (Annual)" xfId="7983"/>
    <cellStyle name="Output 25 3 2 4" xfId="5004"/>
    <cellStyle name="Output 25 3 2 4 2" xfId="13264"/>
    <cellStyle name="Output 25 3 2 4 2 2" xfId="25270"/>
    <cellStyle name="Output 25 3 2 4 2 2 2" xfId="46456"/>
    <cellStyle name="Output 25 3 2 4 2 3" xfId="35852"/>
    <cellStyle name="Output 25 3 2 4 3" xfId="20157"/>
    <cellStyle name="Output 25 3 2 4 3 2" xfId="41344"/>
    <cellStyle name="Output 25 3 2 4 4" xfId="30661"/>
    <cellStyle name="Output 25 3 2 4_Table 2A-1_EFT (Annual)" xfId="7985"/>
    <cellStyle name="Output 25 3 2 5" xfId="10608"/>
    <cellStyle name="Output 25 3 2 5 2" xfId="22724"/>
    <cellStyle name="Output 25 3 2 5 2 2" xfId="43910"/>
    <cellStyle name="Output 25 3 2 5 3" xfId="33306"/>
    <cellStyle name="Output 25 3 2 6" xfId="17611"/>
    <cellStyle name="Output 25 3 2 6 2" xfId="38798"/>
    <cellStyle name="Output 25 3 2 7" xfId="27918"/>
    <cellStyle name="Output 25 3 2_Table 2A-1_EFT (Annual)" xfId="3422"/>
    <cellStyle name="Output 25 3 3" xfId="2182"/>
    <cellStyle name="Output 25 3 3 2" xfId="5743"/>
    <cellStyle name="Output 25 3 3 2 2" xfId="13958"/>
    <cellStyle name="Output 25 3 3 2 2 2" xfId="25946"/>
    <cellStyle name="Output 25 3 3 2 2 2 2" xfId="47132"/>
    <cellStyle name="Output 25 3 3 2 2 3" xfId="36528"/>
    <cellStyle name="Output 25 3 3 2 3" xfId="20833"/>
    <cellStyle name="Output 25 3 3 2 3 2" xfId="42020"/>
    <cellStyle name="Output 25 3 3 2 4" xfId="31400"/>
    <cellStyle name="Output 25 3 3 2_Table 2A-1_EFT (Annual)" xfId="7987"/>
    <cellStyle name="Output 25 3 3 3" xfId="11302"/>
    <cellStyle name="Output 25 3 3 3 2" xfId="23400"/>
    <cellStyle name="Output 25 3 3 3 2 2" xfId="44586"/>
    <cellStyle name="Output 25 3 3 3 3" xfId="33982"/>
    <cellStyle name="Output 25 3 3 4" xfId="18287"/>
    <cellStyle name="Output 25 3 3 4 2" xfId="39474"/>
    <cellStyle name="Output 25 3 3 5" xfId="28657"/>
    <cellStyle name="Output 25 3 3_Table 2A-1_EFT (Annual)" xfId="7986"/>
    <cellStyle name="Output 25 3 4" xfId="1732"/>
    <cellStyle name="Output 25 3 4 2" xfId="5293"/>
    <cellStyle name="Output 25 3 4 2 2" xfId="13518"/>
    <cellStyle name="Output 25 3 4 2 2 2" xfId="25509"/>
    <cellStyle name="Output 25 3 4 2 2 2 2" xfId="46695"/>
    <cellStyle name="Output 25 3 4 2 2 3" xfId="36091"/>
    <cellStyle name="Output 25 3 4 2 3" xfId="20396"/>
    <cellStyle name="Output 25 3 4 2 3 2" xfId="41583"/>
    <cellStyle name="Output 25 3 4 2 4" xfId="30950"/>
    <cellStyle name="Output 25 3 4 2_Table 2A-1_EFT (Annual)" xfId="7989"/>
    <cellStyle name="Output 25 3 4 3" xfId="10861"/>
    <cellStyle name="Output 25 3 4 3 2" xfId="22963"/>
    <cellStyle name="Output 25 3 4 3 2 2" xfId="44149"/>
    <cellStyle name="Output 25 3 4 3 3" xfId="33545"/>
    <cellStyle name="Output 25 3 4 4" xfId="17850"/>
    <cellStyle name="Output 25 3 4 4 2" xfId="39037"/>
    <cellStyle name="Output 25 3 4 5" xfId="28207"/>
    <cellStyle name="Output 25 3 4_Table 2A-1_EFT (Annual)" xfId="7988"/>
    <cellStyle name="Output 25 3 5" xfId="4036"/>
    <cellStyle name="Output 25 3 5 2" xfId="12360"/>
    <cellStyle name="Output 25 3 5 2 2" xfId="24382"/>
    <cellStyle name="Output 25 3 5 2 2 2" xfId="45568"/>
    <cellStyle name="Output 25 3 5 2 3" xfId="34964"/>
    <cellStyle name="Output 25 3 5 3" xfId="19269"/>
    <cellStyle name="Output 25 3 5 3 2" xfId="40456"/>
    <cellStyle name="Output 25 3 5 4" xfId="29724"/>
    <cellStyle name="Output 25 3 5_Table 2A-1_EFT (Annual)" xfId="7990"/>
    <cellStyle name="Output 25 3 6" xfId="9699"/>
    <cellStyle name="Output 25 3 6 2" xfId="21836"/>
    <cellStyle name="Output 25 3 6 2 2" xfId="43022"/>
    <cellStyle name="Output 25 3 6 3" xfId="32418"/>
    <cellStyle name="Output 25 3 7" xfId="16723"/>
    <cellStyle name="Output 25 3 7 2" xfId="37910"/>
    <cellStyle name="Output 25 3 8" xfId="26981"/>
    <cellStyle name="Output 25 3_Table 2A-1_EFT (Annual)" xfId="3421"/>
    <cellStyle name="Output 25 4" xfId="1282"/>
    <cellStyle name="Output 25 4 2" xfId="2552"/>
    <cellStyle name="Output 25 4 2 2" xfId="6113"/>
    <cellStyle name="Output 25 4 2 2 2" xfId="14307"/>
    <cellStyle name="Output 25 4 2 2 2 2" xfId="26279"/>
    <cellStyle name="Output 25 4 2 2 2 2 2" xfId="47465"/>
    <cellStyle name="Output 25 4 2 2 2 3" xfId="36861"/>
    <cellStyle name="Output 25 4 2 2 3" xfId="21166"/>
    <cellStyle name="Output 25 4 2 2 3 2" xfId="42353"/>
    <cellStyle name="Output 25 4 2 2 4" xfId="31769"/>
    <cellStyle name="Output 25 4 2 2_Table 2A-1_EFT (Annual)" xfId="7992"/>
    <cellStyle name="Output 25 4 2 3" xfId="11649"/>
    <cellStyle name="Output 25 4 2 3 2" xfId="23733"/>
    <cellStyle name="Output 25 4 2 3 2 2" xfId="44919"/>
    <cellStyle name="Output 25 4 2 3 3" xfId="34315"/>
    <cellStyle name="Output 25 4 2 4" xfId="18620"/>
    <cellStyle name="Output 25 4 2 4 2" xfId="39807"/>
    <cellStyle name="Output 25 4 2 5" xfId="29026"/>
    <cellStyle name="Output 25 4 2_Table 2A-1_EFT (Annual)" xfId="7991"/>
    <cellStyle name="Output 25 4 3" xfId="1844"/>
    <cellStyle name="Output 25 4 3 2" xfId="5405"/>
    <cellStyle name="Output 25 4 3 2 2" xfId="13620"/>
    <cellStyle name="Output 25 4 3 2 2 2" xfId="25608"/>
    <cellStyle name="Output 25 4 3 2 2 2 2" xfId="46794"/>
    <cellStyle name="Output 25 4 3 2 2 3" xfId="36190"/>
    <cellStyle name="Output 25 4 3 2 3" xfId="20495"/>
    <cellStyle name="Output 25 4 3 2 3 2" xfId="41682"/>
    <cellStyle name="Output 25 4 3 2 4" xfId="31062"/>
    <cellStyle name="Output 25 4 3 2_Table 2A-1_EFT (Annual)" xfId="7994"/>
    <cellStyle name="Output 25 4 3 3" xfId="10964"/>
    <cellStyle name="Output 25 4 3 3 2" xfId="23062"/>
    <cellStyle name="Output 25 4 3 3 2 2" xfId="44248"/>
    <cellStyle name="Output 25 4 3 3 3" xfId="33644"/>
    <cellStyle name="Output 25 4 3 4" xfId="17949"/>
    <cellStyle name="Output 25 4 3 4 2" xfId="39136"/>
    <cellStyle name="Output 25 4 3 5" xfId="28319"/>
    <cellStyle name="Output 25 4 3_Table 2A-1_EFT (Annual)" xfId="7993"/>
    <cellStyle name="Output 25 4 4" xfId="4843"/>
    <cellStyle name="Output 25 4 4 2" xfId="13103"/>
    <cellStyle name="Output 25 4 4 2 2" xfId="25109"/>
    <cellStyle name="Output 25 4 4 2 2 2" xfId="46295"/>
    <cellStyle name="Output 25 4 4 2 3" xfId="35691"/>
    <cellStyle name="Output 25 4 4 3" xfId="19996"/>
    <cellStyle name="Output 25 4 4 3 2" xfId="41183"/>
    <cellStyle name="Output 25 4 4 4" xfId="30500"/>
    <cellStyle name="Output 25 4 4_Table 2A-1_EFT (Annual)" xfId="7995"/>
    <cellStyle name="Output 25 4 5" xfId="10447"/>
    <cellStyle name="Output 25 4 5 2" xfId="22563"/>
    <cellStyle name="Output 25 4 5 2 2" xfId="43749"/>
    <cellStyle name="Output 25 4 5 3" xfId="33145"/>
    <cellStyle name="Output 25 4 6" xfId="17450"/>
    <cellStyle name="Output 25 4 6 2" xfId="38637"/>
    <cellStyle name="Output 25 4 7" xfId="27757"/>
    <cellStyle name="Output 25 4_Table 2A-1_EFT (Annual)" xfId="3423"/>
    <cellStyle name="Output 25 5" xfId="2021"/>
    <cellStyle name="Output 25 5 2" xfId="5582"/>
    <cellStyle name="Output 25 5 2 2" xfId="13797"/>
    <cellStyle name="Output 25 5 2 2 2" xfId="25785"/>
    <cellStyle name="Output 25 5 2 2 2 2" xfId="46971"/>
    <cellStyle name="Output 25 5 2 2 3" xfId="36367"/>
    <cellStyle name="Output 25 5 2 3" xfId="20672"/>
    <cellStyle name="Output 25 5 2 3 2" xfId="41859"/>
    <cellStyle name="Output 25 5 2 4" xfId="31239"/>
    <cellStyle name="Output 25 5 2_Table 2A-1_EFT (Annual)" xfId="7997"/>
    <cellStyle name="Output 25 5 3" xfId="11141"/>
    <cellStyle name="Output 25 5 3 2" xfId="23239"/>
    <cellStyle name="Output 25 5 3 2 2" xfId="44425"/>
    <cellStyle name="Output 25 5 3 3" xfId="33821"/>
    <cellStyle name="Output 25 5 4" xfId="18126"/>
    <cellStyle name="Output 25 5 4 2" xfId="39313"/>
    <cellStyle name="Output 25 5 5" xfId="28496"/>
    <cellStyle name="Output 25 5_Table 2A-1_EFT (Annual)" xfId="7996"/>
    <cellStyle name="Output 25 6" xfId="1676"/>
    <cellStyle name="Output 25 6 2" xfId="5237"/>
    <cellStyle name="Output 25 6 2 2" xfId="13480"/>
    <cellStyle name="Output 25 6 2 2 2" xfId="25478"/>
    <cellStyle name="Output 25 6 2 2 2 2" xfId="46664"/>
    <cellStyle name="Output 25 6 2 2 3" xfId="36060"/>
    <cellStyle name="Output 25 6 2 3" xfId="20365"/>
    <cellStyle name="Output 25 6 2 3 2" xfId="41552"/>
    <cellStyle name="Output 25 6 2 4" xfId="30894"/>
    <cellStyle name="Output 25 6 2_Table 2A-1_EFT (Annual)" xfId="7999"/>
    <cellStyle name="Output 25 6 3" xfId="10825"/>
    <cellStyle name="Output 25 6 3 2" xfId="22932"/>
    <cellStyle name="Output 25 6 3 2 2" xfId="44118"/>
    <cellStyle name="Output 25 6 3 3" xfId="33514"/>
    <cellStyle name="Output 25 6 4" xfId="17819"/>
    <cellStyle name="Output 25 6 4 2" xfId="39006"/>
    <cellStyle name="Output 25 6 5" xfId="28151"/>
    <cellStyle name="Output 25 6_Table 2A-1_EFT (Annual)" xfId="7998"/>
    <cellStyle name="Output 25 7" xfId="3829"/>
    <cellStyle name="Output 25 7 2" xfId="12192"/>
    <cellStyle name="Output 25 7 2 2" xfId="24221"/>
    <cellStyle name="Output 25 7 2 2 2" xfId="45407"/>
    <cellStyle name="Output 25 7 2 3" xfId="34803"/>
    <cellStyle name="Output 25 7 3" xfId="19108"/>
    <cellStyle name="Output 25 7 3 2" xfId="40295"/>
    <cellStyle name="Output 25 7 4" xfId="29538"/>
    <cellStyle name="Output 25 7_Table 2A-1_EFT (Annual)" xfId="8000"/>
    <cellStyle name="Output 25 8" xfId="9511"/>
    <cellStyle name="Output 25 8 2" xfId="21675"/>
    <cellStyle name="Output 25 8 2 2" xfId="42861"/>
    <cellStyle name="Output 25 8 3" xfId="32257"/>
    <cellStyle name="Output 25 9" xfId="16562"/>
    <cellStyle name="Output 25 9 2" xfId="37749"/>
    <cellStyle name="Output 25_Table 2A-1_EFT (Annual)" xfId="3418"/>
    <cellStyle name="Output 26" xfId="196"/>
    <cellStyle name="Output 26 10" xfId="26751"/>
    <cellStyle name="Output 26 2" xfId="589"/>
    <cellStyle name="Output 26 2 2" xfId="1566"/>
    <cellStyle name="Output 26 2 2 2" xfId="2836"/>
    <cellStyle name="Output 26 2 2 2 2" xfId="6397"/>
    <cellStyle name="Output 26 2 2 2 2 2" xfId="14591"/>
    <cellStyle name="Output 26 2 2 2 2 2 2" xfId="26563"/>
    <cellStyle name="Output 26 2 2 2 2 2 2 2" xfId="47749"/>
    <cellStyle name="Output 26 2 2 2 2 2 3" xfId="37145"/>
    <cellStyle name="Output 26 2 2 2 2 3" xfId="21450"/>
    <cellStyle name="Output 26 2 2 2 2 3 2" xfId="42637"/>
    <cellStyle name="Output 26 2 2 2 2 4" xfId="32053"/>
    <cellStyle name="Output 26 2 2 2 2_Table 2A-1_EFT (Annual)" xfId="8002"/>
    <cellStyle name="Output 26 2 2 2 3" xfId="11933"/>
    <cellStyle name="Output 26 2 2 2 3 2" xfId="24017"/>
    <cellStyle name="Output 26 2 2 2 3 2 2" xfId="45203"/>
    <cellStyle name="Output 26 2 2 2 3 3" xfId="34599"/>
    <cellStyle name="Output 26 2 2 2 4" xfId="18904"/>
    <cellStyle name="Output 26 2 2 2 4 2" xfId="40091"/>
    <cellStyle name="Output 26 2 2 2 5" xfId="29310"/>
    <cellStyle name="Output 26 2 2 2_Table 2A-1_EFT (Annual)" xfId="8001"/>
    <cellStyle name="Output 26 2 2 3" xfId="1930"/>
    <cellStyle name="Output 26 2 2 3 2" xfId="5491"/>
    <cellStyle name="Output 26 2 2 3 2 2" xfId="13706"/>
    <cellStyle name="Output 26 2 2 3 2 2 2" xfId="25694"/>
    <cellStyle name="Output 26 2 2 3 2 2 2 2" xfId="46880"/>
    <cellStyle name="Output 26 2 2 3 2 2 3" xfId="36276"/>
    <cellStyle name="Output 26 2 2 3 2 3" xfId="20581"/>
    <cellStyle name="Output 26 2 2 3 2 3 2" xfId="41768"/>
    <cellStyle name="Output 26 2 2 3 2 4" xfId="31148"/>
    <cellStyle name="Output 26 2 2 3 2_Table 2A-1_EFT (Annual)" xfId="8004"/>
    <cellStyle name="Output 26 2 2 3 3" xfId="11050"/>
    <cellStyle name="Output 26 2 2 3 3 2" xfId="23148"/>
    <cellStyle name="Output 26 2 2 3 3 2 2" xfId="44334"/>
    <cellStyle name="Output 26 2 2 3 3 3" xfId="33730"/>
    <cellStyle name="Output 26 2 2 3 4" xfId="18035"/>
    <cellStyle name="Output 26 2 2 3 4 2" xfId="39222"/>
    <cellStyle name="Output 26 2 2 3 5" xfId="28405"/>
    <cellStyle name="Output 26 2 2 3_Table 2A-1_EFT (Annual)" xfId="8003"/>
    <cellStyle name="Output 26 2 2 4" xfId="5127"/>
    <cellStyle name="Output 26 2 2 4 2" xfId="13387"/>
    <cellStyle name="Output 26 2 2 4 2 2" xfId="25393"/>
    <cellStyle name="Output 26 2 2 4 2 2 2" xfId="46579"/>
    <cellStyle name="Output 26 2 2 4 2 3" xfId="35975"/>
    <cellStyle name="Output 26 2 2 4 3" xfId="20280"/>
    <cellStyle name="Output 26 2 2 4 3 2" xfId="41467"/>
    <cellStyle name="Output 26 2 2 4 4" xfId="30784"/>
    <cellStyle name="Output 26 2 2 4_Table 2A-1_EFT (Annual)" xfId="8005"/>
    <cellStyle name="Output 26 2 2 5" xfId="10731"/>
    <cellStyle name="Output 26 2 2 5 2" xfId="22847"/>
    <cellStyle name="Output 26 2 2 5 2 2" xfId="44033"/>
    <cellStyle name="Output 26 2 2 5 3" xfId="33429"/>
    <cellStyle name="Output 26 2 2 6" xfId="17734"/>
    <cellStyle name="Output 26 2 2 6 2" xfId="38921"/>
    <cellStyle name="Output 26 2 2 7" xfId="28041"/>
    <cellStyle name="Output 26 2 2_Table 2A-1_EFT (Annual)" xfId="3426"/>
    <cellStyle name="Output 26 2 3" xfId="2305"/>
    <cellStyle name="Output 26 2 3 2" xfId="5866"/>
    <cellStyle name="Output 26 2 3 2 2" xfId="14081"/>
    <cellStyle name="Output 26 2 3 2 2 2" xfId="26069"/>
    <cellStyle name="Output 26 2 3 2 2 2 2" xfId="47255"/>
    <cellStyle name="Output 26 2 3 2 2 3" xfId="36651"/>
    <cellStyle name="Output 26 2 3 2 3" xfId="20956"/>
    <cellStyle name="Output 26 2 3 2 3 2" xfId="42143"/>
    <cellStyle name="Output 26 2 3 2 4" xfId="31523"/>
    <cellStyle name="Output 26 2 3 2_Table 2A-1_EFT (Annual)" xfId="8007"/>
    <cellStyle name="Output 26 2 3 3" xfId="11425"/>
    <cellStyle name="Output 26 2 3 3 2" xfId="23523"/>
    <cellStyle name="Output 26 2 3 3 2 2" xfId="44709"/>
    <cellStyle name="Output 26 2 3 3 3" xfId="34105"/>
    <cellStyle name="Output 26 2 3 4" xfId="18410"/>
    <cellStyle name="Output 26 2 3 4 2" xfId="39597"/>
    <cellStyle name="Output 26 2 3 5" xfId="28780"/>
    <cellStyle name="Output 26 2 3_Table 2A-1_EFT (Annual)" xfId="8006"/>
    <cellStyle name="Output 26 2 4" xfId="1755"/>
    <cellStyle name="Output 26 2 4 2" xfId="5316"/>
    <cellStyle name="Output 26 2 4 2 2" xfId="13541"/>
    <cellStyle name="Output 26 2 4 2 2 2" xfId="25532"/>
    <cellStyle name="Output 26 2 4 2 2 2 2" xfId="46718"/>
    <cellStyle name="Output 26 2 4 2 2 3" xfId="36114"/>
    <cellStyle name="Output 26 2 4 2 3" xfId="20419"/>
    <cellStyle name="Output 26 2 4 2 3 2" xfId="41606"/>
    <cellStyle name="Output 26 2 4 2 4" xfId="30973"/>
    <cellStyle name="Output 26 2 4 2_Table 2A-1_EFT (Annual)" xfId="8009"/>
    <cellStyle name="Output 26 2 4 3" xfId="10884"/>
    <cellStyle name="Output 26 2 4 3 2" xfId="22986"/>
    <cellStyle name="Output 26 2 4 3 2 2" xfId="44172"/>
    <cellStyle name="Output 26 2 4 3 3" xfId="33568"/>
    <cellStyle name="Output 26 2 4 4" xfId="17873"/>
    <cellStyle name="Output 26 2 4 4 2" xfId="39060"/>
    <cellStyle name="Output 26 2 4 5" xfId="28230"/>
    <cellStyle name="Output 26 2 4_Table 2A-1_EFT (Annual)" xfId="8008"/>
    <cellStyle name="Output 26 2 5" xfId="4159"/>
    <cellStyle name="Output 26 2 5 2" xfId="12483"/>
    <cellStyle name="Output 26 2 5 2 2" xfId="24505"/>
    <cellStyle name="Output 26 2 5 2 2 2" xfId="45691"/>
    <cellStyle name="Output 26 2 5 2 3" xfId="35087"/>
    <cellStyle name="Output 26 2 5 3" xfId="19392"/>
    <cellStyle name="Output 26 2 5 3 2" xfId="40579"/>
    <cellStyle name="Output 26 2 5 4" xfId="29847"/>
    <cellStyle name="Output 26 2 5_Table 2A-1_EFT (Annual)" xfId="8010"/>
    <cellStyle name="Output 26 2 6" xfId="9822"/>
    <cellStyle name="Output 26 2 6 2" xfId="21959"/>
    <cellStyle name="Output 26 2 6 2 2" xfId="43145"/>
    <cellStyle name="Output 26 2 6 3" xfId="32541"/>
    <cellStyle name="Output 26 2 7" xfId="16846"/>
    <cellStyle name="Output 26 2 7 2" xfId="38033"/>
    <cellStyle name="Output 26 2 8" xfId="27104"/>
    <cellStyle name="Output 26 2_Table 2A-1_EFT (Annual)" xfId="3425"/>
    <cellStyle name="Output 26 3" xfId="425"/>
    <cellStyle name="Output 26 3 2" xfId="1408"/>
    <cellStyle name="Output 26 3 2 2" xfId="2678"/>
    <cellStyle name="Output 26 3 2 2 2" xfId="6239"/>
    <cellStyle name="Output 26 3 2 2 2 2" xfId="14433"/>
    <cellStyle name="Output 26 3 2 2 2 2 2" xfId="26405"/>
    <cellStyle name="Output 26 3 2 2 2 2 2 2" xfId="47591"/>
    <cellStyle name="Output 26 3 2 2 2 2 3" xfId="36987"/>
    <cellStyle name="Output 26 3 2 2 2 3" xfId="21292"/>
    <cellStyle name="Output 26 3 2 2 2 3 2" xfId="42479"/>
    <cellStyle name="Output 26 3 2 2 2 4" xfId="31895"/>
    <cellStyle name="Output 26 3 2 2 2_Table 2A-1_EFT (Annual)" xfId="8012"/>
    <cellStyle name="Output 26 3 2 2 3" xfId="11775"/>
    <cellStyle name="Output 26 3 2 2 3 2" xfId="23859"/>
    <cellStyle name="Output 26 3 2 2 3 2 2" xfId="45045"/>
    <cellStyle name="Output 26 3 2 2 3 3" xfId="34441"/>
    <cellStyle name="Output 26 3 2 2 4" xfId="18746"/>
    <cellStyle name="Output 26 3 2 2 4 2" xfId="39933"/>
    <cellStyle name="Output 26 3 2 2 5" xfId="29152"/>
    <cellStyle name="Output 26 3 2 2_Table 2A-1_EFT (Annual)" xfId="8011"/>
    <cellStyle name="Output 26 3 2 3" xfId="1899"/>
    <cellStyle name="Output 26 3 2 3 2" xfId="5460"/>
    <cellStyle name="Output 26 3 2 3 2 2" xfId="13675"/>
    <cellStyle name="Output 26 3 2 3 2 2 2" xfId="25663"/>
    <cellStyle name="Output 26 3 2 3 2 2 2 2" xfId="46849"/>
    <cellStyle name="Output 26 3 2 3 2 2 3" xfId="36245"/>
    <cellStyle name="Output 26 3 2 3 2 3" xfId="20550"/>
    <cellStyle name="Output 26 3 2 3 2 3 2" xfId="41737"/>
    <cellStyle name="Output 26 3 2 3 2 4" xfId="31117"/>
    <cellStyle name="Output 26 3 2 3 2_Table 2A-1_EFT (Annual)" xfId="8014"/>
    <cellStyle name="Output 26 3 2 3 3" xfId="11019"/>
    <cellStyle name="Output 26 3 2 3 3 2" xfId="23117"/>
    <cellStyle name="Output 26 3 2 3 3 2 2" xfId="44303"/>
    <cellStyle name="Output 26 3 2 3 3 3" xfId="33699"/>
    <cellStyle name="Output 26 3 2 3 4" xfId="18004"/>
    <cellStyle name="Output 26 3 2 3 4 2" xfId="39191"/>
    <cellStyle name="Output 26 3 2 3 5" xfId="28374"/>
    <cellStyle name="Output 26 3 2 3_Table 2A-1_EFT (Annual)" xfId="8013"/>
    <cellStyle name="Output 26 3 2 4" xfId="4969"/>
    <cellStyle name="Output 26 3 2 4 2" xfId="13229"/>
    <cellStyle name="Output 26 3 2 4 2 2" xfId="25235"/>
    <cellStyle name="Output 26 3 2 4 2 2 2" xfId="46421"/>
    <cellStyle name="Output 26 3 2 4 2 3" xfId="35817"/>
    <cellStyle name="Output 26 3 2 4 3" xfId="20122"/>
    <cellStyle name="Output 26 3 2 4 3 2" xfId="41309"/>
    <cellStyle name="Output 26 3 2 4 4" xfId="30626"/>
    <cellStyle name="Output 26 3 2 4_Table 2A-1_EFT (Annual)" xfId="8015"/>
    <cellStyle name="Output 26 3 2 5" xfId="10573"/>
    <cellStyle name="Output 26 3 2 5 2" xfId="22689"/>
    <cellStyle name="Output 26 3 2 5 2 2" xfId="43875"/>
    <cellStyle name="Output 26 3 2 5 3" xfId="33271"/>
    <cellStyle name="Output 26 3 2 6" xfId="17576"/>
    <cellStyle name="Output 26 3 2 6 2" xfId="38763"/>
    <cellStyle name="Output 26 3 2 7" xfId="27883"/>
    <cellStyle name="Output 26 3 2_Table 2A-1_EFT (Annual)" xfId="3428"/>
    <cellStyle name="Output 26 3 3" xfId="2147"/>
    <cellStyle name="Output 26 3 3 2" xfId="5708"/>
    <cellStyle name="Output 26 3 3 2 2" xfId="13923"/>
    <cellStyle name="Output 26 3 3 2 2 2" xfId="25911"/>
    <cellStyle name="Output 26 3 3 2 2 2 2" xfId="47097"/>
    <cellStyle name="Output 26 3 3 2 2 3" xfId="36493"/>
    <cellStyle name="Output 26 3 3 2 3" xfId="20798"/>
    <cellStyle name="Output 26 3 3 2 3 2" xfId="41985"/>
    <cellStyle name="Output 26 3 3 2 4" xfId="31365"/>
    <cellStyle name="Output 26 3 3 2_Table 2A-1_EFT (Annual)" xfId="8017"/>
    <cellStyle name="Output 26 3 3 3" xfId="11267"/>
    <cellStyle name="Output 26 3 3 3 2" xfId="23365"/>
    <cellStyle name="Output 26 3 3 3 2 2" xfId="44551"/>
    <cellStyle name="Output 26 3 3 3 3" xfId="33947"/>
    <cellStyle name="Output 26 3 3 4" xfId="18252"/>
    <cellStyle name="Output 26 3 3 4 2" xfId="39439"/>
    <cellStyle name="Output 26 3 3 5" xfId="28622"/>
    <cellStyle name="Output 26 3 3_Table 2A-1_EFT (Annual)" xfId="8016"/>
    <cellStyle name="Output 26 3 4" xfId="1719"/>
    <cellStyle name="Output 26 3 4 2" xfId="5280"/>
    <cellStyle name="Output 26 3 4 2 2" xfId="13509"/>
    <cellStyle name="Output 26 3 4 2 2 2" xfId="25502"/>
    <cellStyle name="Output 26 3 4 2 2 2 2" xfId="46688"/>
    <cellStyle name="Output 26 3 4 2 2 3" xfId="36084"/>
    <cellStyle name="Output 26 3 4 2 3" xfId="20389"/>
    <cellStyle name="Output 26 3 4 2 3 2" xfId="41576"/>
    <cellStyle name="Output 26 3 4 2 4" xfId="30937"/>
    <cellStyle name="Output 26 3 4 2_Table 2A-1_EFT (Annual)" xfId="8019"/>
    <cellStyle name="Output 26 3 4 3" xfId="10853"/>
    <cellStyle name="Output 26 3 4 3 2" xfId="22956"/>
    <cellStyle name="Output 26 3 4 3 2 2" xfId="44142"/>
    <cellStyle name="Output 26 3 4 3 3" xfId="33538"/>
    <cellStyle name="Output 26 3 4 4" xfId="17843"/>
    <cellStyle name="Output 26 3 4 4 2" xfId="39030"/>
    <cellStyle name="Output 26 3 4 5" xfId="28194"/>
    <cellStyle name="Output 26 3 4_Table 2A-1_EFT (Annual)" xfId="8018"/>
    <cellStyle name="Output 26 3 5" xfId="3995"/>
    <cellStyle name="Output 26 3 5 2" xfId="12323"/>
    <cellStyle name="Output 26 3 5 2 2" xfId="24347"/>
    <cellStyle name="Output 26 3 5 2 2 2" xfId="45533"/>
    <cellStyle name="Output 26 3 5 2 3" xfId="34929"/>
    <cellStyle name="Output 26 3 5 3" xfId="19234"/>
    <cellStyle name="Output 26 3 5 3 2" xfId="40421"/>
    <cellStyle name="Output 26 3 5 4" xfId="29683"/>
    <cellStyle name="Output 26 3 5_Table 2A-1_EFT (Annual)" xfId="8020"/>
    <cellStyle name="Output 26 3 6" xfId="9660"/>
    <cellStyle name="Output 26 3 6 2" xfId="21801"/>
    <cellStyle name="Output 26 3 6 2 2" xfId="42987"/>
    <cellStyle name="Output 26 3 6 3" xfId="32383"/>
    <cellStyle name="Output 26 3 7" xfId="16688"/>
    <cellStyle name="Output 26 3 7 2" xfId="37875"/>
    <cellStyle name="Output 26 3 8" xfId="26940"/>
    <cellStyle name="Output 26 3_Table 2A-1_EFT (Annual)" xfId="3427"/>
    <cellStyle name="Output 26 4" xfId="1244"/>
    <cellStyle name="Output 26 4 2" xfId="2514"/>
    <cellStyle name="Output 26 4 2 2" xfId="6075"/>
    <cellStyle name="Output 26 4 2 2 2" xfId="14269"/>
    <cellStyle name="Output 26 4 2 2 2 2" xfId="26241"/>
    <cellStyle name="Output 26 4 2 2 2 2 2" xfId="47427"/>
    <cellStyle name="Output 26 4 2 2 2 3" xfId="36823"/>
    <cellStyle name="Output 26 4 2 2 3" xfId="21128"/>
    <cellStyle name="Output 26 4 2 2 3 2" xfId="42315"/>
    <cellStyle name="Output 26 4 2 2 4" xfId="31731"/>
    <cellStyle name="Output 26 4 2 2_Table 2A-1_EFT (Annual)" xfId="8022"/>
    <cellStyle name="Output 26 4 2 3" xfId="11611"/>
    <cellStyle name="Output 26 4 2 3 2" xfId="23695"/>
    <cellStyle name="Output 26 4 2 3 2 2" xfId="44881"/>
    <cellStyle name="Output 26 4 2 3 3" xfId="34277"/>
    <cellStyle name="Output 26 4 2 4" xfId="18582"/>
    <cellStyle name="Output 26 4 2 4 2" xfId="39769"/>
    <cellStyle name="Output 26 4 2 5" xfId="28988"/>
    <cellStyle name="Output 26 4 2_Table 2A-1_EFT (Annual)" xfId="8021"/>
    <cellStyle name="Output 26 4 3" xfId="1835"/>
    <cellStyle name="Output 26 4 3 2" xfId="5396"/>
    <cellStyle name="Output 26 4 3 2 2" xfId="13611"/>
    <cellStyle name="Output 26 4 3 2 2 2" xfId="25599"/>
    <cellStyle name="Output 26 4 3 2 2 2 2" xfId="46785"/>
    <cellStyle name="Output 26 4 3 2 2 3" xfId="36181"/>
    <cellStyle name="Output 26 4 3 2 3" xfId="20486"/>
    <cellStyle name="Output 26 4 3 2 3 2" xfId="41673"/>
    <cellStyle name="Output 26 4 3 2 4" xfId="31053"/>
    <cellStyle name="Output 26 4 3 2_Table 2A-1_EFT (Annual)" xfId="8024"/>
    <cellStyle name="Output 26 4 3 3" xfId="10955"/>
    <cellStyle name="Output 26 4 3 3 2" xfId="23053"/>
    <cellStyle name="Output 26 4 3 3 2 2" xfId="44239"/>
    <cellStyle name="Output 26 4 3 3 3" xfId="33635"/>
    <cellStyle name="Output 26 4 3 4" xfId="17940"/>
    <cellStyle name="Output 26 4 3 4 2" xfId="39127"/>
    <cellStyle name="Output 26 4 3 5" xfId="28310"/>
    <cellStyle name="Output 26 4 3_Table 2A-1_EFT (Annual)" xfId="8023"/>
    <cellStyle name="Output 26 4 4" xfId="4805"/>
    <cellStyle name="Output 26 4 4 2" xfId="13065"/>
    <cellStyle name="Output 26 4 4 2 2" xfId="25071"/>
    <cellStyle name="Output 26 4 4 2 2 2" xfId="46257"/>
    <cellStyle name="Output 26 4 4 2 3" xfId="35653"/>
    <cellStyle name="Output 26 4 4 3" xfId="19958"/>
    <cellStyle name="Output 26 4 4 3 2" xfId="41145"/>
    <cellStyle name="Output 26 4 4 4" xfId="30462"/>
    <cellStyle name="Output 26 4 4_Table 2A-1_EFT (Annual)" xfId="8025"/>
    <cellStyle name="Output 26 4 5" xfId="10409"/>
    <cellStyle name="Output 26 4 5 2" xfId="22525"/>
    <cellStyle name="Output 26 4 5 2 2" xfId="43711"/>
    <cellStyle name="Output 26 4 5 3" xfId="33107"/>
    <cellStyle name="Output 26 4 6" xfId="17412"/>
    <cellStyle name="Output 26 4 6 2" xfId="38599"/>
    <cellStyle name="Output 26 4 7" xfId="27719"/>
    <cellStyle name="Output 26 4_Table 2A-1_EFT (Annual)" xfId="3429"/>
    <cellStyle name="Output 26 5" xfId="1983"/>
    <cellStyle name="Output 26 5 2" xfId="5544"/>
    <cellStyle name="Output 26 5 2 2" xfId="13759"/>
    <cellStyle name="Output 26 5 2 2 2" xfId="25747"/>
    <cellStyle name="Output 26 5 2 2 2 2" xfId="46933"/>
    <cellStyle name="Output 26 5 2 2 3" xfId="36329"/>
    <cellStyle name="Output 26 5 2 3" xfId="20634"/>
    <cellStyle name="Output 26 5 2 3 2" xfId="41821"/>
    <cellStyle name="Output 26 5 2 4" xfId="31201"/>
    <cellStyle name="Output 26 5 2_Table 2A-1_EFT (Annual)" xfId="8027"/>
    <cellStyle name="Output 26 5 3" xfId="11103"/>
    <cellStyle name="Output 26 5 3 2" xfId="23201"/>
    <cellStyle name="Output 26 5 3 2 2" xfId="44387"/>
    <cellStyle name="Output 26 5 3 3" xfId="33783"/>
    <cellStyle name="Output 26 5 4" xfId="18088"/>
    <cellStyle name="Output 26 5 4 2" xfId="39275"/>
    <cellStyle name="Output 26 5 5" xfId="28458"/>
    <cellStyle name="Output 26 5_Table 2A-1_EFT (Annual)" xfId="8026"/>
    <cellStyle name="Output 26 6" xfId="1662"/>
    <cellStyle name="Output 26 6 2" xfId="5223"/>
    <cellStyle name="Output 26 6 2 2" xfId="13470"/>
    <cellStyle name="Output 26 6 2 2 2" xfId="25470"/>
    <cellStyle name="Output 26 6 2 2 2 2" xfId="46656"/>
    <cellStyle name="Output 26 6 2 2 3" xfId="36052"/>
    <cellStyle name="Output 26 6 2 3" xfId="20357"/>
    <cellStyle name="Output 26 6 2 3 2" xfId="41544"/>
    <cellStyle name="Output 26 6 2 4" xfId="30880"/>
    <cellStyle name="Output 26 6 2_Table 2A-1_EFT (Annual)" xfId="8029"/>
    <cellStyle name="Output 26 6 3" xfId="10815"/>
    <cellStyle name="Output 26 6 3 2" xfId="22924"/>
    <cellStyle name="Output 26 6 3 2 2" xfId="44110"/>
    <cellStyle name="Output 26 6 3 3" xfId="33506"/>
    <cellStyle name="Output 26 6 4" xfId="17811"/>
    <cellStyle name="Output 26 6 4 2" xfId="38998"/>
    <cellStyle name="Output 26 6 5" xfId="28137"/>
    <cellStyle name="Output 26 6_Table 2A-1_EFT (Annual)" xfId="8028"/>
    <cellStyle name="Output 26 7" xfId="3785"/>
    <cellStyle name="Output 26 7 2" xfId="12153"/>
    <cellStyle name="Output 26 7 2 2" xfId="24183"/>
    <cellStyle name="Output 26 7 2 2 2" xfId="45369"/>
    <cellStyle name="Output 26 7 2 3" xfId="34765"/>
    <cellStyle name="Output 26 7 3" xfId="19070"/>
    <cellStyle name="Output 26 7 3 2" xfId="40257"/>
    <cellStyle name="Output 26 7 4" xfId="29494"/>
    <cellStyle name="Output 26 7_Table 2A-1_EFT (Annual)" xfId="8030"/>
    <cellStyle name="Output 26 8" xfId="9472"/>
    <cellStyle name="Output 26 8 2" xfId="21637"/>
    <cellStyle name="Output 26 8 2 2" xfId="42823"/>
    <cellStyle name="Output 26 8 3" xfId="32219"/>
    <cellStyle name="Output 26 9" xfId="16524"/>
    <cellStyle name="Output 26 9 2" xfId="37711"/>
    <cellStyle name="Output 26_Table 2A-1_EFT (Annual)" xfId="3424"/>
    <cellStyle name="Output 27" xfId="235"/>
    <cellStyle name="Output 27 10" xfId="26790"/>
    <cellStyle name="Output 27 2" xfId="622"/>
    <cellStyle name="Output 27 2 2" xfId="1599"/>
    <cellStyle name="Output 27 2 2 2" xfId="2869"/>
    <cellStyle name="Output 27 2 2 2 2" xfId="6430"/>
    <cellStyle name="Output 27 2 2 2 2 2" xfId="14624"/>
    <cellStyle name="Output 27 2 2 2 2 2 2" xfId="26596"/>
    <cellStyle name="Output 27 2 2 2 2 2 2 2" xfId="47782"/>
    <cellStyle name="Output 27 2 2 2 2 2 3" xfId="37178"/>
    <cellStyle name="Output 27 2 2 2 2 3" xfId="21483"/>
    <cellStyle name="Output 27 2 2 2 2 3 2" xfId="42670"/>
    <cellStyle name="Output 27 2 2 2 2 4" xfId="32086"/>
    <cellStyle name="Output 27 2 2 2 2_Table 2A-1_EFT (Annual)" xfId="8032"/>
    <cellStyle name="Output 27 2 2 2 3" xfId="11966"/>
    <cellStyle name="Output 27 2 2 2 3 2" xfId="24050"/>
    <cellStyle name="Output 27 2 2 2 3 2 2" xfId="45236"/>
    <cellStyle name="Output 27 2 2 2 3 3" xfId="34632"/>
    <cellStyle name="Output 27 2 2 2 4" xfId="18937"/>
    <cellStyle name="Output 27 2 2 2 4 2" xfId="40124"/>
    <cellStyle name="Output 27 2 2 2 5" xfId="29343"/>
    <cellStyle name="Output 27 2 2 2_Table 2A-1_EFT (Annual)" xfId="8031"/>
    <cellStyle name="Output 27 2 2 3" xfId="1937"/>
    <cellStyle name="Output 27 2 2 3 2" xfId="5498"/>
    <cellStyle name="Output 27 2 2 3 2 2" xfId="13713"/>
    <cellStyle name="Output 27 2 2 3 2 2 2" xfId="25701"/>
    <cellStyle name="Output 27 2 2 3 2 2 2 2" xfId="46887"/>
    <cellStyle name="Output 27 2 2 3 2 2 3" xfId="36283"/>
    <cellStyle name="Output 27 2 2 3 2 3" xfId="20588"/>
    <cellStyle name="Output 27 2 2 3 2 3 2" xfId="41775"/>
    <cellStyle name="Output 27 2 2 3 2 4" xfId="31155"/>
    <cellStyle name="Output 27 2 2 3 2_Table 2A-1_EFT (Annual)" xfId="8034"/>
    <cellStyle name="Output 27 2 2 3 3" xfId="11057"/>
    <cellStyle name="Output 27 2 2 3 3 2" xfId="23155"/>
    <cellStyle name="Output 27 2 2 3 3 2 2" xfId="44341"/>
    <cellStyle name="Output 27 2 2 3 3 3" xfId="33737"/>
    <cellStyle name="Output 27 2 2 3 4" xfId="18042"/>
    <cellStyle name="Output 27 2 2 3 4 2" xfId="39229"/>
    <cellStyle name="Output 27 2 2 3 5" xfId="28412"/>
    <cellStyle name="Output 27 2 2 3_Table 2A-1_EFT (Annual)" xfId="8033"/>
    <cellStyle name="Output 27 2 2 4" xfId="5160"/>
    <cellStyle name="Output 27 2 2 4 2" xfId="13420"/>
    <cellStyle name="Output 27 2 2 4 2 2" xfId="25426"/>
    <cellStyle name="Output 27 2 2 4 2 2 2" xfId="46612"/>
    <cellStyle name="Output 27 2 2 4 2 3" xfId="36008"/>
    <cellStyle name="Output 27 2 2 4 3" xfId="20313"/>
    <cellStyle name="Output 27 2 2 4 3 2" xfId="41500"/>
    <cellStyle name="Output 27 2 2 4 4" xfId="30817"/>
    <cellStyle name="Output 27 2 2 4_Table 2A-1_EFT (Annual)" xfId="8035"/>
    <cellStyle name="Output 27 2 2 5" xfId="10764"/>
    <cellStyle name="Output 27 2 2 5 2" xfId="22880"/>
    <cellStyle name="Output 27 2 2 5 2 2" xfId="44066"/>
    <cellStyle name="Output 27 2 2 5 3" xfId="33462"/>
    <cellStyle name="Output 27 2 2 6" xfId="17767"/>
    <cellStyle name="Output 27 2 2 6 2" xfId="38954"/>
    <cellStyle name="Output 27 2 2 7" xfId="28074"/>
    <cellStyle name="Output 27 2 2_Table 2A-1_EFT (Annual)" xfId="3432"/>
    <cellStyle name="Output 27 2 3" xfId="2338"/>
    <cellStyle name="Output 27 2 3 2" xfId="5899"/>
    <cellStyle name="Output 27 2 3 2 2" xfId="14114"/>
    <cellStyle name="Output 27 2 3 2 2 2" xfId="26102"/>
    <cellStyle name="Output 27 2 3 2 2 2 2" xfId="47288"/>
    <cellStyle name="Output 27 2 3 2 2 3" xfId="36684"/>
    <cellStyle name="Output 27 2 3 2 3" xfId="20989"/>
    <cellStyle name="Output 27 2 3 2 3 2" xfId="42176"/>
    <cellStyle name="Output 27 2 3 2 4" xfId="31556"/>
    <cellStyle name="Output 27 2 3 2_Table 2A-1_EFT (Annual)" xfId="8037"/>
    <cellStyle name="Output 27 2 3 3" xfId="11458"/>
    <cellStyle name="Output 27 2 3 3 2" xfId="23556"/>
    <cellStyle name="Output 27 2 3 3 2 2" xfId="44742"/>
    <cellStyle name="Output 27 2 3 3 3" xfId="34138"/>
    <cellStyle name="Output 27 2 3 4" xfId="18443"/>
    <cellStyle name="Output 27 2 3 4 2" xfId="39630"/>
    <cellStyle name="Output 27 2 3 5" xfId="28813"/>
    <cellStyle name="Output 27 2 3_Table 2A-1_EFT (Annual)" xfId="8036"/>
    <cellStyle name="Output 27 2 4" xfId="1762"/>
    <cellStyle name="Output 27 2 4 2" xfId="5323"/>
    <cellStyle name="Output 27 2 4 2 2" xfId="13548"/>
    <cellStyle name="Output 27 2 4 2 2 2" xfId="25539"/>
    <cellStyle name="Output 27 2 4 2 2 2 2" xfId="46725"/>
    <cellStyle name="Output 27 2 4 2 2 3" xfId="36121"/>
    <cellStyle name="Output 27 2 4 2 3" xfId="20426"/>
    <cellStyle name="Output 27 2 4 2 3 2" xfId="41613"/>
    <cellStyle name="Output 27 2 4 2 4" xfId="30980"/>
    <cellStyle name="Output 27 2 4 2_Table 2A-1_EFT (Annual)" xfId="8039"/>
    <cellStyle name="Output 27 2 4 3" xfId="10891"/>
    <cellStyle name="Output 27 2 4 3 2" xfId="22993"/>
    <cellStyle name="Output 27 2 4 3 2 2" xfId="44179"/>
    <cellStyle name="Output 27 2 4 3 3" xfId="33575"/>
    <cellStyle name="Output 27 2 4 4" xfId="17880"/>
    <cellStyle name="Output 27 2 4 4 2" xfId="39067"/>
    <cellStyle name="Output 27 2 4 5" xfId="28237"/>
    <cellStyle name="Output 27 2 4_Table 2A-1_EFT (Annual)" xfId="8038"/>
    <cellStyle name="Output 27 2 5" xfId="4192"/>
    <cellStyle name="Output 27 2 5 2" xfId="12516"/>
    <cellStyle name="Output 27 2 5 2 2" xfId="24538"/>
    <cellStyle name="Output 27 2 5 2 2 2" xfId="45724"/>
    <cellStyle name="Output 27 2 5 2 3" xfId="35120"/>
    <cellStyle name="Output 27 2 5 3" xfId="19425"/>
    <cellStyle name="Output 27 2 5 3 2" xfId="40612"/>
    <cellStyle name="Output 27 2 5 4" xfId="29880"/>
    <cellStyle name="Output 27 2 5_Table 2A-1_EFT (Annual)" xfId="8040"/>
    <cellStyle name="Output 27 2 6" xfId="9855"/>
    <cellStyle name="Output 27 2 6 2" xfId="21992"/>
    <cellStyle name="Output 27 2 6 2 2" xfId="43178"/>
    <cellStyle name="Output 27 2 6 3" xfId="32574"/>
    <cellStyle name="Output 27 2 7" xfId="16879"/>
    <cellStyle name="Output 27 2 7 2" xfId="38066"/>
    <cellStyle name="Output 27 2 8" xfId="27137"/>
    <cellStyle name="Output 27 2_Table 2A-1_EFT (Annual)" xfId="3431"/>
    <cellStyle name="Output 27 3" xfId="461"/>
    <cellStyle name="Output 27 3 2" xfId="1438"/>
    <cellStyle name="Output 27 3 2 2" xfId="2708"/>
    <cellStyle name="Output 27 3 2 2 2" xfId="6269"/>
    <cellStyle name="Output 27 3 2 2 2 2" xfId="14463"/>
    <cellStyle name="Output 27 3 2 2 2 2 2" xfId="26435"/>
    <cellStyle name="Output 27 3 2 2 2 2 2 2" xfId="47621"/>
    <cellStyle name="Output 27 3 2 2 2 2 3" xfId="37017"/>
    <cellStyle name="Output 27 3 2 2 2 3" xfId="21322"/>
    <cellStyle name="Output 27 3 2 2 2 3 2" xfId="42509"/>
    <cellStyle name="Output 27 3 2 2 2 4" xfId="31925"/>
    <cellStyle name="Output 27 3 2 2 2_Table 2A-1_EFT (Annual)" xfId="8042"/>
    <cellStyle name="Output 27 3 2 2 3" xfId="11805"/>
    <cellStyle name="Output 27 3 2 2 3 2" xfId="23889"/>
    <cellStyle name="Output 27 3 2 2 3 2 2" xfId="45075"/>
    <cellStyle name="Output 27 3 2 2 3 3" xfId="34471"/>
    <cellStyle name="Output 27 3 2 2 4" xfId="18776"/>
    <cellStyle name="Output 27 3 2 2 4 2" xfId="39963"/>
    <cellStyle name="Output 27 3 2 2 5" xfId="29182"/>
    <cellStyle name="Output 27 3 2 2_Table 2A-1_EFT (Annual)" xfId="8041"/>
    <cellStyle name="Output 27 3 2 3" xfId="1906"/>
    <cellStyle name="Output 27 3 2 3 2" xfId="5467"/>
    <cellStyle name="Output 27 3 2 3 2 2" xfId="13682"/>
    <cellStyle name="Output 27 3 2 3 2 2 2" xfId="25670"/>
    <cellStyle name="Output 27 3 2 3 2 2 2 2" xfId="46856"/>
    <cellStyle name="Output 27 3 2 3 2 2 3" xfId="36252"/>
    <cellStyle name="Output 27 3 2 3 2 3" xfId="20557"/>
    <cellStyle name="Output 27 3 2 3 2 3 2" xfId="41744"/>
    <cellStyle name="Output 27 3 2 3 2 4" xfId="31124"/>
    <cellStyle name="Output 27 3 2 3 2_Table 2A-1_EFT (Annual)" xfId="8044"/>
    <cellStyle name="Output 27 3 2 3 3" xfId="11026"/>
    <cellStyle name="Output 27 3 2 3 3 2" xfId="23124"/>
    <cellStyle name="Output 27 3 2 3 3 2 2" xfId="44310"/>
    <cellStyle name="Output 27 3 2 3 3 3" xfId="33706"/>
    <cellStyle name="Output 27 3 2 3 4" xfId="18011"/>
    <cellStyle name="Output 27 3 2 3 4 2" xfId="39198"/>
    <cellStyle name="Output 27 3 2 3 5" xfId="28381"/>
    <cellStyle name="Output 27 3 2 3_Table 2A-1_EFT (Annual)" xfId="8043"/>
    <cellStyle name="Output 27 3 2 4" xfId="4999"/>
    <cellStyle name="Output 27 3 2 4 2" xfId="13259"/>
    <cellStyle name="Output 27 3 2 4 2 2" xfId="25265"/>
    <cellStyle name="Output 27 3 2 4 2 2 2" xfId="46451"/>
    <cellStyle name="Output 27 3 2 4 2 3" xfId="35847"/>
    <cellStyle name="Output 27 3 2 4 3" xfId="20152"/>
    <cellStyle name="Output 27 3 2 4 3 2" xfId="41339"/>
    <cellStyle name="Output 27 3 2 4 4" xfId="30656"/>
    <cellStyle name="Output 27 3 2 4_Table 2A-1_EFT (Annual)" xfId="8045"/>
    <cellStyle name="Output 27 3 2 5" xfId="10603"/>
    <cellStyle name="Output 27 3 2 5 2" xfId="22719"/>
    <cellStyle name="Output 27 3 2 5 2 2" xfId="43905"/>
    <cellStyle name="Output 27 3 2 5 3" xfId="33301"/>
    <cellStyle name="Output 27 3 2 6" xfId="17606"/>
    <cellStyle name="Output 27 3 2 6 2" xfId="38793"/>
    <cellStyle name="Output 27 3 2 7" xfId="27913"/>
    <cellStyle name="Output 27 3 2_Table 2A-1_EFT (Annual)" xfId="3434"/>
    <cellStyle name="Output 27 3 3" xfId="2177"/>
    <cellStyle name="Output 27 3 3 2" xfId="5738"/>
    <cellStyle name="Output 27 3 3 2 2" xfId="13953"/>
    <cellStyle name="Output 27 3 3 2 2 2" xfId="25941"/>
    <cellStyle name="Output 27 3 3 2 2 2 2" xfId="47127"/>
    <cellStyle name="Output 27 3 3 2 2 3" xfId="36523"/>
    <cellStyle name="Output 27 3 3 2 3" xfId="20828"/>
    <cellStyle name="Output 27 3 3 2 3 2" xfId="42015"/>
    <cellStyle name="Output 27 3 3 2 4" xfId="31395"/>
    <cellStyle name="Output 27 3 3 2_Table 2A-1_EFT (Annual)" xfId="8047"/>
    <cellStyle name="Output 27 3 3 3" xfId="11297"/>
    <cellStyle name="Output 27 3 3 3 2" xfId="23395"/>
    <cellStyle name="Output 27 3 3 3 2 2" xfId="44581"/>
    <cellStyle name="Output 27 3 3 3 3" xfId="33977"/>
    <cellStyle name="Output 27 3 3 4" xfId="18282"/>
    <cellStyle name="Output 27 3 3 4 2" xfId="39469"/>
    <cellStyle name="Output 27 3 3 5" xfId="28652"/>
    <cellStyle name="Output 27 3 3_Table 2A-1_EFT (Annual)" xfId="8046"/>
    <cellStyle name="Output 27 3 4" xfId="1731"/>
    <cellStyle name="Output 27 3 4 2" xfId="5292"/>
    <cellStyle name="Output 27 3 4 2 2" xfId="13517"/>
    <cellStyle name="Output 27 3 4 2 2 2" xfId="25508"/>
    <cellStyle name="Output 27 3 4 2 2 2 2" xfId="46694"/>
    <cellStyle name="Output 27 3 4 2 2 3" xfId="36090"/>
    <cellStyle name="Output 27 3 4 2 3" xfId="20395"/>
    <cellStyle name="Output 27 3 4 2 3 2" xfId="41582"/>
    <cellStyle name="Output 27 3 4 2 4" xfId="30949"/>
    <cellStyle name="Output 27 3 4 2_Table 2A-1_EFT (Annual)" xfId="8049"/>
    <cellStyle name="Output 27 3 4 3" xfId="10860"/>
    <cellStyle name="Output 27 3 4 3 2" xfId="22962"/>
    <cellStyle name="Output 27 3 4 3 2 2" xfId="44148"/>
    <cellStyle name="Output 27 3 4 3 3" xfId="33544"/>
    <cellStyle name="Output 27 3 4 4" xfId="17849"/>
    <cellStyle name="Output 27 3 4 4 2" xfId="39036"/>
    <cellStyle name="Output 27 3 4 5" xfId="28206"/>
    <cellStyle name="Output 27 3 4_Table 2A-1_EFT (Annual)" xfId="8048"/>
    <cellStyle name="Output 27 3 5" xfId="4031"/>
    <cellStyle name="Output 27 3 5 2" xfId="12355"/>
    <cellStyle name="Output 27 3 5 2 2" xfId="24377"/>
    <cellStyle name="Output 27 3 5 2 2 2" xfId="45563"/>
    <cellStyle name="Output 27 3 5 2 3" xfId="34959"/>
    <cellStyle name="Output 27 3 5 3" xfId="19264"/>
    <cellStyle name="Output 27 3 5 3 2" xfId="40451"/>
    <cellStyle name="Output 27 3 5 4" xfId="29719"/>
    <cellStyle name="Output 27 3 5_Table 2A-1_EFT (Annual)" xfId="8050"/>
    <cellStyle name="Output 27 3 6" xfId="9694"/>
    <cellStyle name="Output 27 3 6 2" xfId="21831"/>
    <cellStyle name="Output 27 3 6 2 2" xfId="43017"/>
    <cellStyle name="Output 27 3 6 3" xfId="32413"/>
    <cellStyle name="Output 27 3 7" xfId="16718"/>
    <cellStyle name="Output 27 3 7 2" xfId="37905"/>
    <cellStyle name="Output 27 3 8" xfId="26976"/>
    <cellStyle name="Output 27 3_Table 2A-1_EFT (Annual)" xfId="3433"/>
    <cellStyle name="Output 27 4" xfId="1277"/>
    <cellStyle name="Output 27 4 2" xfId="2547"/>
    <cellStyle name="Output 27 4 2 2" xfId="6108"/>
    <cellStyle name="Output 27 4 2 2 2" xfId="14302"/>
    <cellStyle name="Output 27 4 2 2 2 2" xfId="26274"/>
    <cellStyle name="Output 27 4 2 2 2 2 2" xfId="47460"/>
    <cellStyle name="Output 27 4 2 2 2 3" xfId="36856"/>
    <cellStyle name="Output 27 4 2 2 3" xfId="21161"/>
    <cellStyle name="Output 27 4 2 2 3 2" xfId="42348"/>
    <cellStyle name="Output 27 4 2 2 4" xfId="31764"/>
    <cellStyle name="Output 27 4 2 2_Table 2A-1_EFT (Annual)" xfId="8052"/>
    <cellStyle name="Output 27 4 2 3" xfId="11644"/>
    <cellStyle name="Output 27 4 2 3 2" xfId="23728"/>
    <cellStyle name="Output 27 4 2 3 2 2" xfId="44914"/>
    <cellStyle name="Output 27 4 2 3 3" xfId="34310"/>
    <cellStyle name="Output 27 4 2 4" xfId="18615"/>
    <cellStyle name="Output 27 4 2 4 2" xfId="39802"/>
    <cellStyle name="Output 27 4 2 5" xfId="29021"/>
    <cellStyle name="Output 27 4 2_Table 2A-1_EFT (Annual)" xfId="8051"/>
    <cellStyle name="Output 27 4 3" xfId="1843"/>
    <cellStyle name="Output 27 4 3 2" xfId="5404"/>
    <cellStyle name="Output 27 4 3 2 2" xfId="13619"/>
    <cellStyle name="Output 27 4 3 2 2 2" xfId="25607"/>
    <cellStyle name="Output 27 4 3 2 2 2 2" xfId="46793"/>
    <cellStyle name="Output 27 4 3 2 2 3" xfId="36189"/>
    <cellStyle name="Output 27 4 3 2 3" xfId="20494"/>
    <cellStyle name="Output 27 4 3 2 3 2" xfId="41681"/>
    <cellStyle name="Output 27 4 3 2 4" xfId="31061"/>
    <cellStyle name="Output 27 4 3 2_Table 2A-1_EFT (Annual)" xfId="8054"/>
    <cellStyle name="Output 27 4 3 3" xfId="10963"/>
    <cellStyle name="Output 27 4 3 3 2" xfId="23061"/>
    <cellStyle name="Output 27 4 3 3 2 2" xfId="44247"/>
    <cellStyle name="Output 27 4 3 3 3" xfId="33643"/>
    <cellStyle name="Output 27 4 3 4" xfId="17948"/>
    <cellStyle name="Output 27 4 3 4 2" xfId="39135"/>
    <cellStyle name="Output 27 4 3 5" xfId="28318"/>
    <cellStyle name="Output 27 4 3_Table 2A-1_EFT (Annual)" xfId="8053"/>
    <cellStyle name="Output 27 4 4" xfId="4838"/>
    <cellStyle name="Output 27 4 4 2" xfId="13098"/>
    <cellStyle name="Output 27 4 4 2 2" xfId="25104"/>
    <cellStyle name="Output 27 4 4 2 2 2" xfId="46290"/>
    <cellStyle name="Output 27 4 4 2 3" xfId="35686"/>
    <cellStyle name="Output 27 4 4 3" xfId="19991"/>
    <cellStyle name="Output 27 4 4 3 2" xfId="41178"/>
    <cellStyle name="Output 27 4 4 4" xfId="30495"/>
    <cellStyle name="Output 27 4 4_Table 2A-1_EFT (Annual)" xfId="8055"/>
    <cellStyle name="Output 27 4 5" xfId="10442"/>
    <cellStyle name="Output 27 4 5 2" xfId="22558"/>
    <cellStyle name="Output 27 4 5 2 2" xfId="43744"/>
    <cellStyle name="Output 27 4 5 3" xfId="33140"/>
    <cellStyle name="Output 27 4 6" xfId="17445"/>
    <cellStyle name="Output 27 4 6 2" xfId="38632"/>
    <cellStyle name="Output 27 4 7" xfId="27752"/>
    <cellStyle name="Output 27 4_Table 2A-1_EFT (Annual)" xfId="3435"/>
    <cellStyle name="Output 27 5" xfId="2016"/>
    <cellStyle name="Output 27 5 2" xfId="5577"/>
    <cellStyle name="Output 27 5 2 2" xfId="13792"/>
    <cellStyle name="Output 27 5 2 2 2" xfId="25780"/>
    <cellStyle name="Output 27 5 2 2 2 2" xfId="46966"/>
    <cellStyle name="Output 27 5 2 2 3" xfId="36362"/>
    <cellStyle name="Output 27 5 2 3" xfId="20667"/>
    <cellStyle name="Output 27 5 2 3 2" xfId="41854"/>
    <cellStyle name="Output 27 5 2 4" xfId="31234"/>
    <cellStyle name="Output 27 5 2_Table 2A-1_EFT (Annual)" xfId="8057"/>
    <cellStyle name="Output 27 5 3" xfId="11136"/>
    <cellStyle name="Output 27 5 3 2" xfId="23234"/>
    <cellStyle name="Output 27 5 3 2 2" xfId="44420"/>
    <cellStyle name="Output 27 5 3 3" xfId="33816"/>
    <cellStyle name="Output 27 5 4" xfId="18121"/>
    <cellStyle name="Output 27 5 4 2" xfId="39308"/>
    <cellStyle name="Output 27 5 5" xfId="28491"/>
    <cellStyle name="Output 27 5_Table 2A-1_EFT (Annual)" xfId="8056"/>
    <cellStyle name="Output 27 6" xfId="1675"/>
    <cellStyle name="Output 27 6 2" xfId="5236"/>
    <cellStyle name="Output 27 6 2 2" xfId="13479"/>
    <cellStyle name="Output 27 6 2 2 2" xfId="25477"/>
    <cellStyle name="Output 27 6 2 2 2 2" xfId="46663"/>
    <cellStyle name="Output 27 6 2 2 3" xfId="36059"/>
    <cellStyle name="Output 27 6 2 3" xfId="20364"/>
    <cellStyle name="Output 27 6 2 3 2" xfId="41551"/>
    <cellStyle name="Output 27 6 2 4" xfId="30893"/>
    <cellStyle name="Output 27 6 2_Table 2A-1_EFT (Annual)" xfId="8059"/>
    <cellStyle name="Output 27 6 3" xfId="10824"/>
    <cellStyle name="Output 27 6 3 2" xfId="22931"/>
    <cellStyle name="Output 27 6 3 2 2" xfId="44117"/>
    <cellStyle name="Output 27 6 3 3" xfId="33513"/>
    <cellStyle name="Output 27 6 4" xfId="17818"/>
    <cellStyle name="Output 27 6 4 2" xfId="39005"/>
    <cellStyle name="Output 27 6 5" xfId="28150"/>
    <cellStyle name="Output 27 6_Table 2A-1_EFT (Annual)" xfId="8058"/>
    <cellStyle name="Output 27 7" xfId="3824"/>
    <cellStyle name="Output 27 7 2" xfId="12187"/>
    <cellStyle name="Output 27 7 2 2" xfId="24216"/>
    <cellStyle name="Output 27 7 2 2 2" xfId="45402"/>
    <cellStyle name="Output 27 7 2 3" xfId="34798"/>
    <cellStyle name="Output 27 7 3" xfId="19103"/>
    <cellStyle name="Output 27 7 3 2" xfId="40290"/>
    <cellStyle name="Output 27 7 4" xfId="29533"/>
    <cellStyle name="Output 27 7_Table 2A-1_EFT (Annual)" xfId="8060"/>
    <cellStyle name="Output 27 8" xfId="9506"/>
    <cellStyle name="Output 27 8 2" xfId="21670"/>
    <cellStyle name="Output 27 8 2 2" xfId="42856"/>
    <cellStyle name="Output 27 8 3" xfId="32252"/>
    <cellStyle name="Output 27 9" xfId="16557"/>
    <cellStyle name="Output 27 9 2" xfId="37744"/>
    <cellStyle name="Output 27_Table 2A-1_EFT (Annual)" xfId="3430"/>
    <cellStyle name="Output 28" xfId="208"/>
    <cellStyle name="Output 28 10" xfId="26763"/>
    <cellStyle name="Output 28 2" xfId="601"/>
    <cellStyle name="Output 28 2 2" xfId="1578"/>
    <cellStyle name="Output 28 2 2 2" xfId="2848"/>
    <cellStyle name="Output 28 2 2 2 2" xfId="6409"/>
    <cellStyle name="Output 28 2 2 2 2 2" xfId="14603"/>
    <cellStyle name="Output 28 2 2 2 2 2 2" xfId="26575"/>
    <cellStyle name="Output 28 2 2 2 2 2 2 2" xfId="47761"/>
    <cellStyle name="Output 28 2 2 2 2 2 3" xfId="37157"/>
    <cellStyle name="Output 28 2 2 2 2 3" xfId="21462"/>
    <cellStyle name="Output 28 2 2 2 2 3 2" xfId="42649"/>
    <cellStyle name="Output 28 2 2 2 2 4" xfId="32065"/>
    <cellStyle name="Output 28 2 2 2 2_Table 2A-1_EFT (Annual)" xfId="8062"/>
    <cellStyle name="Output 28 2 2 2 3" xfId="11945"/>
    <cellStyle name="Output 28 2 2 2 3 2" xfId="24029"/>
    <cellStyle name="Output 28 2 2 2 3 2 2" xfId="45215"/>
    <cellStyle name="Output 28 2 2 2 3 3" xfId="34611"/>
    <cellStyle name="Output 28 2 2 2 4" xfId="18916"/>
    <cellStyle name="Output 28 2 2 2 4 2" xfId="40103"/>
    <cellStyle name="Output 28 2 2 2 5" xfId="29322"/>
    <cellStyle name="Output 28 2 2 2_Table 2A-1_EFT (Annual)" xfId="8061"/>
    <cellStyle name="Output 28 2 2 3" xfId="1932"/>
    <cellStyle name="Output 28 2 2 3 2" xfId="5493"/>
    <cellStyle name="Output 28 2 2 3 2 2" xfId="13708"/>
    <cellStyle name="Output 28 2 2 3 2 2 2" xfId="25696"/>
    <cellStyle name="Output 28 2 2 3 2 2 2 2" xfId="46882"/>
    <cellStyle name="Output 28 2 2 3 2 2 3" xfId="36278"/>
    <cellStyle name="Output 28 2 2 3 2 3" xfId="20583"/>
    <cellStyle name="Output 28 2 2 3 2 3 2" xfId="41770"/>
    <cellStyle name="Output 28 2 2 3 2 4" xfId="31150"/>
    <cellStyle name="Output 28 2 2 3 2_Table 2A-1_EFT (Annual)" xfId="8064"/>
    <cellStyle name="Output 28 2 2 3 3" xfId="11052"/>
    <cellStyle name="Output 28 2 2 3 3 2" xfId="23150"/>
    <cellStyle name="Output 28 2 2 3 3 2 2" xfId="44336"/>
    <cellStyle name="Output 28 2 2 3 3 3" xfId="33732"/>
    <cellStyle name="Output 28 2 2 3 4" xfId="18037"/>
    <cellStyle name="Output 28 2 2 3 4 2" xfId="39224"/>
    <cellStyle name="Output 28 2 2 3 5" xfId="28407"/>
    <cellStyle name="Output 28 2 2 3_Table 2A-1_EFT (Annual)" xfId="8063"/>
    <cellStyle name="Output 28 2 2 4" xfId="5139"/>
    <cellStyle name="Output 28 2 2 4 2" xfId="13399"/>
    <cellStyle name="Output 28 2 2 4 2 2" xfId="25405"/>
    <cellStyle name="Output 28 2 2 4 2 2 2" xfId="46591"/>
    <cellStyle name="Output 28 2 2 4 2 3" xfId="35987"/>
    <cellStyle name="Output 28 2 2 4 3" xfId="20292"/>
    <cellStyle name="Output 28 2 2 4 3 2" xfId="41479"/>
    <cellStyle name="Output 28 2 2 4 4" xfId="30796"/>
    <cellStyle name="Output 28 2 2 4_Table 2A-1_EFT (Annual)" xfId="8065"/>
    <cellStyle name="Output 28 2 2 5" xfId="10743"/>
    <cellStyle name="Output 28 2 2 5 2" xfId="22859"/>
    <cellStyle name="Output 28 2 2 5 2 2" xfId="44045"/>
    <cellStyle name="Output 28 2 2 5 3" xfId="33441"/>
    <cellStyle name="Output 28 2 2 6" xfId="17746"/>
    <cellStyle name="Output 28 2 2 6 2" xfId="38933"/>
    <cellStyle name="Output 28 2 2 7" xfId="28053"/>
    <cellStyle name="Output 28 2 2_Table 2A-1_EFT (Annual)" xfId="3438"/>
    <cellStyle name="Output 28 2 3" xfId="2317"/>
    <cellStyle name="Output 28 2 3 2" xfId="5878"/>
    <cellStyle name="Output 28 2 3 2 2" xfId="14093"/>
    <cellStyle name="Output 28 2 3 2 2 2" xfId="26081"/>
    <cellStyle name="Output 28 2 3 2 2 2 2" xfId="47267"/>
    <cellStyle name="Output 28 2 3 2 2 3" xfId="36663"/>
    <cellStyle name="Output 28 2 3 2 3" xfId="20968"/>
    <cellStyle name="Output 28 2 3 2 3 2" xfId="42155"/>
    <cellStyle name="Output 28 2 3 2 4" xfId="31535"/>
    <cellStyle name="Output 28 2 3 2_Table 2A-1_EFT (Annual)" xfId="8067"/>
    <cellStyle name="Output 28 2 3 3" xfId="11437"/>
    <cellStyle name="Output 28 2 3 3 2" xfId="23535"/>
    <cellStyle name="Output 28 2 3 3 2 2" xfId="44721"/>
    <cellStyle name="Output 28 2 3 3 3" xfId="34117"/>
    <cellStyle name="Output 28 2 3 4" xfId="18422"/>
    <cellStyle name="Output 28 2 3 4 2" xfId="39609"/>
    <cellStyle name="Output 28 2 3 5" xfId="28792"/>
    <cellStyle name="Output 28 2 3_Table 2A-1_EFT (Annual)" xfId="8066"/>
    <cellStyle name="Output 28 2 4" xfId="1757"/>
    <cellStyle name="Output 28 2 4 2" xfId="5318"/>
    <cellStyle name="Output 28 2 4 2 2" xfId="13543"/>
    <cellStyle name="Output 28 2 4 2 2 2" xfId="25534"/>
    <cellStyle name="Output 28 2 4 2 2 2 2" xfId="46720"/>
    <cellStyle name="Output 28 2 4 2 2 3" xfId="36116"/>
    <cellStyle name="Output 28 2 4 2 3" xfId="20421"/>
    <cellStyle name="Output 28 2 4 2 3 2" xfId="41608"/>
    <cellStyle name="Output 28 2 4 2 4" xfId="30975"/>
    <cellStyle name="Output 28 2 4 2_Table 2A-1_EFT (Annual)" xfId="8069"/>
    <cellStyle name="Output 28 2 4 3" xfId="10886"/>
    <cellStyle name="Output 28 2 4 3 2" xfId="22988"/>
    <cellStyle name="Output 28 2 4 3 2 2" xfId="44174"/>
    <cellStyle name="Output 28 2 4 3 3" xfId="33570"/>
    <cellStyle name="Output 28 2 4 4" xfId="17875"/>
    <cellStyle name="Output 28 2 4 4 2" xfId="39062"/>
    <cellStyle name="Output 28 2 4 5" xfId="28232"/>
    <cellStyle name="Output 28 2 4_Table 2A-1_EFT (Annual)" xfId="8068"/>
    <cellStyle name="Output 28 2 5" xfId="4171"/>
    <cellStyle name="Output 28 2 5 2" xfId="12495"/>
    <cellStyle name="Output 28 2 5 2 2" xfId="24517"/>
    <cellStyle name="Output 28 2 5 2 2 2" xfId="45703"/>
    <cellStyle name="Output 28 2 5 2 3" xfId="35099"/>
    <cellStyle name="Output 28 2 5 3" xfId="19404"/>
    <cellStyle name="Output 28 2 5 3 2" xfId="40591"/>
    <cellStyle name="Output 28 2 5 4" xfId="29859"/>
    <cellStyle name="Output 28 2 5_Table 2A-1_EFT (Annual)" xfId="8070"/>
    <cellStyle name="Output 28 2 6" xfId="9834"/>
    <cellStyle name="Output 28 2 6 2" xfId="21971"/>
    <cellStyle name="Output 28 2 6 2 2" xfId="43157"/>
    <cellStyle name="Output 28 2 6 3" xfId="32553"/>
    <cellStyle name="Output 28 2 7" xfId="16858"/>
    <cellStyle name="Output 28 2 7 2" xfId="38045"/>
    <cellStyle name="Output 28 2 8" xfId="27116"/>
    <cellStyle name="Output 28 2_Table 2A-1_EFT (Annual)" xfId="3437"/>
    <cellStyle name="Output 28 3" xfId="436"/>
    <cellStyle name="Output 28 3 2" xfId="1419"/>
    <cellStyle name="Output 28 3 2 2" xfId="2689"/>
    <cellStyle name="Output 28 3 2 2 2" xfId="6250"/>
    <cellStyle name="Output 28 3 2 2 2 2" xfId="14444"/>
    <cellStyle name="Output 28 3 2 2 2 2 2" xfId="26416"/>
    <cellStyle name="Output 28 3 2 2 2 2 2 2" xfId="47602"/>
    <cellStyle name="Output 28 3 2 2 2 2 3" xfId="36998"/>
    <cellStyle name="Output 28 3 2 2 2 3" xfId="21303"/>
    <cellStyle name="Output 28 3 2 2 2 3 2" xfId="42490"/>
    <cellStyle name="Output 28 3 2 2 2 4" xfId="31906"/>
    <cellStyle name="Output 28 3 2 2 2_Table 2A-1_EFT (Annual)" xfId="8072"/>
    <cellStyle name="Output 28 3 2 2 3" xfId="11786"/>
    <cellStyle name="Output 28 3 2 2 3 2" xfId="23870"/>
    <cellStyle name="Output 28 3 2 2 3 2 2" xfId="45056"/>
    <cellStyle name="Output 28 3 2 2 3 3" xfId="34452"/>
    <cellStyle name="Output 28 3 2 2 4" xfId="18757"/>
    <cellStyle name="Output 28 3 2 2 4 2" xfId="39944"/>
    <cellStyle name="Output 28 3 2 2 5" xfId="29163"/>
    <cellStyle name="Output 28 3 2 2_Table 2A-1_EFT (Annual)" xfId="8071"/>
    <cellStyle name="Output 28 3 2 3" xfId="1901"/>
    <cellStyle name="Output 28 3 2 3 2" xfId="5462"/>
    <cellStyle name="Output 28 3 2 3 2 2" xfId="13677"/>
    <cellStyle name="Output 28 3 2 3 2 2 2" xfId="25665"/>
    <cellStyle name="Output 28 3 2 3 2 2 2 2" xfId="46851"/>
    <cellStyle name="Output 28 3 2 3 2 2 3" xfId="36247"/>
    <cellStyle name="Output 28 3 2 3 2 3" xfId="20552"/>
    <cellStyle name="Output 28 3 2 3 2 3 2" xfId="41739"/>
    <cellStyle name="Output 28 3 2 3 2 4" xfId="31119"/>
    <cellStyle name="Output 28 3 2 3 2_Table 2A-1_EFT (Annual)" xfId="8074"/>
    <cellStyle name="Output 28 3 2 3 3" xfId="11021"/>
    <cellStyle name="Output 28 3 2 3 3 2" xfId="23119"/>
    <cellStyle name="Output 28 3 2 3 3 2 2" xfId="44305"/>
    <cellStyle name="Output 28 3 2 3 3 3" xfId="33701"/>
    <cellStyle name="Output 28 3 2 3 4" xfId="18006"/>
    <cellStyle name="Output 28 3 2 3 4 2" xfId="39193"/>
    <cellStyle name="Output 28 3 2 3 5" xfId="28376"/>
    <cellStyle name="Output 28 3 2 3_Table 2A-1_EFT (Annual)" xfId="8073"/>
    <cellStyle name="Output 28 3 2 4" xfId="4980"/>
    <cellStyle name="Output 28 3 2 4 2" xfId="13240"/>
    <cellStyle name="Output 28 3 2 4 2 2" xfId="25246"/>
    <cellStyle name="Output 28 3 2 4 2 2 2" xfId="46432"/>
    <cellStyle name="Output 28 3 2 4 2 3" xfId="35828"/>
    <cellStyle name="Output 28 3 2 4 3" xfId="20133"/>
    <cellStyle name="Output 28 3 2 4 3 2" xfId="41320"/>
    <cellStyle name="Output 28 3 2 4 4" xfId="30637"/>
    <cellStyle name="Output 28 3 2 4_Table 2A-1_EFT (Annual)" xfId="8075"/>
    <cellStyle name="Output 28 3 2 5" xfId="10584"/>
    <cellStyle name="Output 28 3 2 5 2" xfId="22700"/>
    <cellStyle name="Output 28 3 2 5 2 2" xfId="43886"/>
    <cellStyle name="Output 28 3 2 5 3" xfId="33282"/>
    <cellStyle name="Output 28 3 2 6" xfId="17587"/>
    <cellStyle name="Output 28 3 2 6 2" xfId="38774"/>
    <cellStyle name="Output 28 3 2 7" xfId="27894"/>
    <cellStyle name="Output 28 3 2_Table 2A-1_EFT (Annual)" xfId="3440"/>
    <cellStyle name="Output 28 3 3" xfId="2158"/>
    <cellStyle name="Output 28 3 3 2" xfId="5719"/>
    <cellStyle name="Output 28 3 3 2 2" xfId="13934"/>
    <cellStyle name="Output 28 3 3 2 2 2" xfId="25922"/>
    <cellStyle name="Output 28 3 3 2 2 2 2" xfId="47108"/>
    <cellStyle name="Output 28 3 3 2 2 3" xfId="36504"/>
    <cellStyle name="Output 28 3 3 2 3" xfId="20809"/>
    <cellStyle name="Output 28 3 3 2 3 2" xfId="41996"/>
    <cellStyle name="Output 28 3 3 2 4" xfId="31376"/>
    <cellStyle name="Output 28 3 3 2_Table 2A-1_EFT (Annual)" xfId="8077"/>
    <cellStyle name="Output 28 3 3 3" xfId="11278"/>
    <cellStyle name="Output 28 3 3 3 2" xfId="23376"/>
    <cellStyle name="Output 28 3 3 3 2 2" xfId="44562"/>
    <cellStyle name="Output 28 3 3 3 3" xfId="33958"/>
    <cellStyle name="Output 28 3 3 4" xfId="18263"/>
    <cellStyle name="Output 28 3 3 4 2" xfId="39450"/>
    <cellStyle name="Output 28 3 3 5" xfId="28633"/>
    <cellStyle name="Output 28 3 3_Table 2A-1_EFT (Annual)" xfId="8076"/>
    <cellStyle name="Output 28 3 4" xfId="1721"/>
    <cellStyle name="Output 28 3 4 2" xfId="5282"/>
    <cellStyle name="Output 28 3 4 2 2" xfId="13511"/>
    <cellStyle name="Output 28 3 4 2 2 2" xfId="25504"/>
    <cellStyle name="Output 28 3 4 2 2 2 2" xfId="46690"/>
    <cellStyle name="Output 28 3 4 2 2 3" xfId="36086"/>
    <cellStyle name="Output 28 3 4 2 3" xfId="20391"/>
    <cellStyle name="Output 28 3 4 2 3 2" xfId="41578"/>
    <cellStyle name="Output 28 3 4 2 4" xfId="30939"/>
    <cellStyle name="Output 28 3 4 2_Table 2A-1_EFT (Annual)" xfId="8079"/>
    <cellStyle name="Output 28 3 4 3" xfId="10855"/>
    <cellStyle name="Output 28 3 4 3 2" xfId="22958"/>
    <cellStyle name="Output 28 3 4 3 2 2" xfId="44144"/>
    <cellStyle name="Output 28 3 4 3 3" xfId="33540"/>
    <cellStyle name="Output 28 3 4 4" xfId="17845"/>
    <cellStyle name="Output 28 3 4 4 2" xfId="39032"/>
    <cellStyle name="Output 28 3 4 5" xfId="28196"/>
    <cellStyle name="Output 28 3 4_Table 2A-1_EFT (Annual)" xfId="8078"/>
    <cellStyle name="Output 28 3 5" xfId="4006"/>
    <cellStyle name="Output 28 3 5 2" xfId="12334"/>
    <cellStyle name="Output 28 3 5 2 2" xfId="24358"/>
    <cellStyle name="Output 28 3 5 2 2 2" xfId="45544"/>
    <cellStyle name="Output 28 3 5 2 3" xfId="34940"/>
    <cellStyle name="Output 28 3 5 3" xfId="19245"/>
    <cellStyle name="Output 28 3 5 3 2" xfId="40432"/>
    <cellStyle name="Output 28 3 5 4" xfId="29694"/>
    <cellStyle name="Output 28 3 5_Table 2A-1_EFT (Annual)" xfId="8080"/>
    <cellStyle name="Output 28 3 6" xfId="9671"/>
    <cellStyle name="Output 28 3 6 2" xfId="21812"/>
    <cellStyle name="Output 28 3 6 2 2" xfId="42998"/>
    <cellStyle name="Output 28 3 6 3" xfId="32394"/>
    <cellStyle name="Output 28 3 7" xfId="16699"/>
    <cellStyle name="Output 28 3 7 2" xfId="37886"/>
    <cellStyle name="Output 28 3 8" xfId="26951"/>
    <cellStyle name="Output 28 3_Table 2A-1_EFT (Annual)" xfId="3439"/>
    <cellStyle name="Output 28 4" xfId="1256"/>
    <cellStyle name="Output 28 4 2" xfId="2526"/>
    <cellStyle name="Output 28 4 2 2" xfId="6087"/>
    <cellStyle name="Output 28 4 2 2 2" xfId="14281"/>
    <cellStyle name="Output 28 4 2 2 2 2" xfId="26253"/>
    <cellStyle name="Output 28 4 2 2 2 2 2" xfId="47439"/>
    <cellStyle name="Output 28 4 2 2 2 3" xfId="36835"/>
    <cellStyle name="Output 28 4 2 2 3" xfId="21140"/>
    <cellStyle name="Output 28 4 2 2 3 2" xfId="42327"/>
    <cellStyle name="Output 28 4 2 2 4" xfId="31743"/>
    <cellStyle name="Output 28 4 2 2_Table 2A-1_EFT (Annual)" xfId="8082"/>
    <cellStyle name="Output 28 4 2 3" xfId="11623"/>
    <cellStyle name="Output 28 4 2 3 2" xfId="23707"/>
    <cellStyle name="Output 28 4 2 3 2 2" xfId="44893"/>
    <cellStyle name="Output 28 4 2 3 3" xfId="34289"/>
    <cellStyle name="Output 28 4 2 4" xfId="18594"/>
    <cellStyle name="Output 28 4 2 4 2" xfId="39781"/>
    <cellStyle name="Output 28 4 2 5" xfId="29000"/>
    <cellStyle name="Output 28 4 2_Table 2A-1_EFT (Annual)" xfId="8081"/>
    <cellStyle name="Output 28 4 3" xfId="1837"/>
    <cellStyle name="Output 28 4 3 2" xfId="5398"/>
    <cellStyle name="Output 28 4 3 2 2" xfId="13613"/>
    <cellStyle name="Output 28 4 3 2 2 2" xfId="25601"/>
    <cellStyle name="Output 28 4 3 2 2 2 2" xfId="46787"/>
    <cellStyle name="Output 28 4 3 2 2 3" xfId="36183"/>
    <cellStyle name="Output 28 4 3 2 3" xfId="20488"/>
    <cellStyle name="Output 28 4 3 2 3 2" xfId="41675"/>
    <cellStyle name="Output 28 4 3 2 4" xfId="31055"/>
    <cellStyle name="Output 28 4 3 2_Table 2A-1_EFT (Annual)" xfId="8084"/>
    <cellStyle name="Output 28 4 3 3" xfId="10957"/>
    <cellStyle name="Output 28 4 3 3 2" xfId="23055"/>
    <cellStyle name="Output 28 4 3 3 2 2" xfId="44241"/>
    <cellStyle name="Output 28 4 3 3 3" xfId="33637"/>
    <cellStyle name="Output 28 4 3 4" xfId="17942"/>
    <cellStyle name="Output 28 4 3 4 2" xfId="39129"/>
    <cellStyle name="Output 28 4 3 5" xfId="28312"/>
    <cellStyle name="Output 28 4 3_Table 2A-1_EFT (Annual)" xfId="8083"/>
    <cellStyle name="Output 28 4 4" xfId="4817"/>
    <cellStyle name="Output 28 4 4 2" xfId="13077"/>
    <cellStyle name="Output 28 4 4 2 2" xfId="25083"/>
    <cellStyle name="Output 28 4 4 2 2 2" xfId="46269"/>
    <cellStyle name="Output 28 4 4 2 3" xfId="35665"/>
    <cellStyle name="Output 28 4 4 3" xfId="19970"/>
    <cellStyle name="Output 28 4 4 3 2" xfId="41157"/>
    <cellStyle name="Output 28 4 4 4" xfId="30474"/>
    <cellStyle name="Output 28 4 4_Table 2A-1_EFT (Annual)" xfId="8085"/>
    <cellStyle name="Output 28 4 5" xfId="10421"/>
    <cellStyle name="Output 28 4 5 2" xfId="22537"/>
    <cellStyle name="Output 28 4 5 2 2" xfId="43723"/>
    <cellStyle name="Output 28 4 5 3" xfId="33119"/>
    <cellStyle name="Output 28 4 6" xfId="17424"/>
    <cellStyle name="Output 28 4 6 2" xfId="38611"/>
    <cellStyle name="Output 28 4 7" xfId="27731"/>
    <cellStyle name="Output 28 4_Table 2A-1_EFT (Annual)" xfId="3441"/>
    <cellStyle name="Output 28 5" xfId="1995"/>
    <cellStyle name="Output 28 5 2" xfId="5556"/>
    <cellStyle name="Output 28 5 2 2" xfId="13771"/>
    <cellStyle name="Output 28 5 2 2 2" xfId="25759"/>
    <cellStyle name="Output 28 5 2 2 2 2" xfId="46945"/>
    <cellStyle name="Output 28 5 2 2 3" xfId="36341"/>
    <cellStyle name="Output 28 5 2 3" xfId="20646"/>
    <cellStyle name="Output 28 5 2 3 2" xfId="41833"/>
    <cellStyle name="Output 28 5 2 4" xfId="31213"/>
    <cellStyle name="Output 28 5 2_Table 2A-1_EFT (Annual)" xfId="8087"/>
    <cellStyle name="Output 28 5 3" xfId="11115"/>
    <cellStyle name="Output 28 5 3 2" xfId="23213"/>
    <cellStyle name="Output 28 5 3 2 2" xfId="44399"/>
    <cellStyle name="Output 28 5 3 3" xfId="33795"/>
    <cellStyle name="Output 28 5 4" xfId="18100"/>
    <cellStyle name="Output 28 5 4 2" xfId="39287"/>
    <cellStyle name="Output 28 5 5" xfId="28470"/>
    <cellStyle name="Output 28 5_Table 2A-1_EFT (Annual)" xfId="8086"/>
    <cellStyle name="Output 28 6" xfId="1664"/>
    <cellStyle name="Output 28 6 2" xfId="5225"/>
    <cellStyle name="Output 28 6 2 2" xfId="13472"/>
    <cellStyle name="Output 28 6 2 2 2" xfId="25472"/>
    <cellStyle name="Output 28 6 2 2 2 2" xfId="46658"/>
    <cellStyle name="Output 28 6 2 2 3" xfId="36054"/>
    <cellStyle name="Output 28 6 2 3" xfId="20359"/>
    <cellStyle name="Output 28 6 2 3 2" xfId="41546"/>
    <cellStyle name="Output 28 6 2 4" xfId="30882"/>
    <cellStyle name="Output 28 6 2_Table 2A-1_EFT (Annual)" xfId="8089"/>
    <cellStyle name="Output 28 6 3" xfId="10817"/>
    <cellStyle name="Output 28 6 3 2" xfId="22926"/>
    <cellStyle name="Output 28 6 3 2 2" xfId="44112"/>
    <cellStyle name="Output 28 6 3 3" xfId="33508"/>
    <cellStyle name="Output 28 6 4" xfId="17813"/>
    <cellStyle name="Output 28 6 4 2" xfId="39000"/>
    <cellStyle name="Output 28 6 5" xfId="28139"/>
    <cellStyle name="Output 28 6_Table 2A-1_EFT (Annual)" xfId="8088"/>
    <cellStyle name="Output 28 7" xfId="3797"/>
    <cellStyle name="Output 28 7 2" xfId="12165"/>
    <cellStyle name="Output 28 7 2 2" xfId="24195"/>
    <cellStyle name="Output 28 7 2 2 2" xfId="45381"/>
    <cellStyle name="Output 28 7 2 3" xfId="34777"/>
    <cellStyle name="Output 28 7 3" xfId="19082"/>
    <cellStyle name="Output 28 7 3 2" xfId="40269"/>
    <cellStyle name="Output 28 7 4" xfId="29506"/>
    <cellStyle name="Output 28 7_Table 2A-1_EFT (Annual)" xfId="8090"/>
    <cellStyle name="Output 28 8" xfId="9484"/>
    <cellStyle name="Output 28 8 2" xfId="21649"/>
    <cellStyle name="Output 28 8 2 2" xfId="42835"/>
    <cellStyle name="Output 28 8 3" xfId="32231"/>
    <cellStyle name="Output 28 9" xfId="16536"/>
    <cellStyle name="Output 28 9 2" xfId="37723"/>
    <cellStyle name="Output 28_Table 2A-1_EFT (Annual)" xfId="3436"/>
    <cellStyle name="Output 29" xfId="218"/>
    <cellStyle name="Output 29 10" xfId="26773"/>
    <cellStyle name="Output 29 2" xfId="611"/>
    <cellStyle name="Output 29 2 2" xfId="1588"/>
    <cellStyle name="Output 29 2 2 2" xfId="2858"/>
    <cellStyle name="Output 29 2 2 2 2" xfId="6419"/>
    <cellStyle name="Output 29 2 2 2 2 2" xfId="14613"/>
    <cellStyle name="Output 29 2 2 2 2 2 2" xfId="26585"/>
    <cellStyle name="Output 29 2 2 2 2 2 2 2" xfId="47771"/>
    <cellStyle name="Output 29 2 2 2 2 2 3" xfId="37167"/>
    <cellStyle name="Output 29 2 2 2 2 3" xfId="21472"/>
    <cellStyle name="Output 29 2 2 2 2 3 2" xfId="42659"/>
    <cellStyle name="Output 29 2 2 2 2 4" xfId="32075"/>
    <cellStyle name="Output 29 2 2 2 2_Table 2A-1_EFT (Annual)" xfId="8092"/>
    <cellStyle name="Output 29 2 2 2 3" xfId="11955"/>
    <cellStyle name="Output 29 2 2 2 3 2" xfId="24039"/>
    <cellStyle name="Output 29 2 2 2 3 2 2" xfId="45225"/>
    <cellStyle name="Output 29 2 2 2 3 3" xfId="34621"/>
    <cellStyle name="Output 29 2 2 2 4" xfId="18926"/>
    <cellStyle name="Output 29 2 2 2 4 2" xfId="40113"/>
    <cellStyle name="Output 29 2 2 2 5" xfId="29332"/>
    <cellStyle name="Output 29 2 2 2_Table 2A-1_EFT (Annual)" xfId="8091"/>
    <cellStyle name="Output 29 2 2 3" xfId="1934"/>
    <cellStyle name="Output 29 2 2 3 2" xfId="5495"/>
    <cellStyle name="Output 29 2 2 3 2 2" xfId="13710"/>
    <cellStyle name="Output 29 2 2 3 2 2 2" xfId="25698"/>
    <cellStyle name="Output 29 2 2 3 2 2 2 2" xfId="46884"/>
    <cellStyle name="Output 29 2 2 3 2 2 3" xfId="36280"/>
    <cellStyle name="Output 29 2 2 3 2 3" xfId="20585"/>
    <cellStyle name="Output 29 2 2 3 2 3 2" xfId="41772"/>
    <cellStyle name="Output 29 2 2 3 2 4" xfId="31152"/>
    <cellStyle name="Output 29 2 2 3 2_Table 2A-1_EFT (Annual)" xfId="8094"/>
    <cellStyle name="Output 29 2 2 3 3" xfId="11054"/>
    <cellStyle name="Output 29 2 2 3 3 2" xfId="23152"/>
    <cellStyle name="Output 29 2 2 3 3 2 2" xfId="44338"/>
    <cellStyle name="Output 29 2 2 3 3 3" xfId="33734"/>
    <cellStyle name="Output 29 2 2 3 4" xfId="18039"/>
    <cellStyle name="Output 29 2 2 3 4 2" xfId="39226"/>
    <cellStyle name="Output 29 2 2 3 5" xfId="28409"/>
    <cellStyle name="Output 29 2 2 3_Table 2A-1_EFT (Annual)" xfId="8093"/>
    <cellStyle name="Output 29 2 2 4" xfId="5149"/>
    <cellStyle name="Output 29 2 2 4 2" xfId="13409"/>
    <cellStyle name="Output 29 2 2 4 2 2" xfId="25415"/>
    <cellStyle name="Output 29 2 2 4 2 2 2" xfId="46601"/>
    <cellStyle name="Output 29 2 2 4 2 3" xfId="35997"/>
    <cellStyle name="Output 29 2 2 4 3" xfId="20302"/>
    <cellStyle name="Output 29 2 2 4 3 2" xfId="41489"/>
    <cellStyle name="Output 29 2 2 4 4" xfId="30806"/>
    <cellStyle name="Output 29 2 2 4_Table 2A-1_EFT (Annual)" xfId="8095"/>
    <cellStyle name="Output 29 2 2 5" xfId="10753"/>
    <cellStyle name="Output 29 2 2 5 2" xfId="22869"/>
    <cellStyle name="Output 29 2 2 5 2 2" xfId="44055"/>
    <cellStyle name="Output 29 2 2 5 3" xfId="33451"/>
    <cellStyle name="Output 29 2 2 6" xfId="17756"/>
    <cellStyle name="Output 29 2 2 6 2" xfId="38943"/>
    <cellStyle name="Output 29 2 2 7" xfId="28063"/>
    <cellStyle name="Output 29 2 2_Table 2A-1_EFT (Annual)" xfId="3444"/>
    <cellStyle name="Output 29 2 3" xfId="2327"/>
    <cellStyle name="Output 29 2 3 2" xfId="5888"/>
    <cellStyle name="Output 29 2 3 2 2" xfId="14103"/>
    <cellStyle name="Output 29 2 3 2 2 2" xfId="26091"/>
    <cellStyle name="Output 29 2 3 2 2 2 2" xfId="47277"/>
    <cellStyle name="Output 29 2 3 2 2 3" xfId="36673"/>
    <cellStyle name="Output 29 2 3 2 3" xfId="20978"/>
    <cellStyle name="Output 29 2 3 2 3 2" xfId="42165"/>
    <cellStyle name="Output 29 2 3 2 4" xfId="31545"/>
    <cellStyle name="Output 29 2 3 2_Table 2A-1_EFT (Annual)" xfId="8097"/>
    <cellStyle name="Output 29 2 3 3" xfId="11447"/>
    <cellStyle name="Output 29 2 3 3 2" xfId="23545"/>
    <cellStyle name="Output 29 2 3 3 2 2" xfId="44731"/>
    <cellStyle name="Output 29 2 3 3 3" xfId="34127"/>
    <cellStyle name="Output 29 2 3 4" xfId="18432"/>
    <cellStyle name="Output 29 2 3 4 2" xfId="39619"/>
    <cellStyle name="Output 29 2 3 5" xfId="28802"/>
    <cellStyle name="Output 29 2 3_Table 2A-1_EFT (Annual)" xfId="8096"/>
    <cellStyle name="Output 29 2 4" xfId="1759"/>
    <cellStyle name="Output 29 2 4 2" xfId="5320"/>
    <cellStyle name="Output 29 2 4 2 2" xfId="13545"/>
    <cellStyle name="Output 29 2 4 2 2 2" xfId="25536"/>
    <cellStyle name="Output 29 2 4 2 2 2 2" xfId="46722"/>
    <cellStyle name="Output 29 2 4 2 2 3" xfId="36118"/>
    <cellStyle name="Output 29 2 4 2 3" xfId="20423"/>
    <cellStyle name="Output 29 2 4 2 3 2" xfId="41610"/>
    <cellStyle name="Output 29 2 4 2 4" xfId="30977"/>
    <cellStyle name="Output 29 2 4 2_Table 2A-1_EFT (Annual)" xfId="8099"/>
    <cellStyle name="Output 29 2 4 3" xfId="10888"/>
    <cellStyle name="Output 29 2 4 3 2" xfId="22990"/>
    <cellStyle name="Output 29 2 4 3 2 2" xfId="44176"/>
    <cellStyle name="Output 29 2 4 3 3" xfId="33572"/>
    <cellStyle name="Output 29 2 4 4" xfId="17877"/>
    <cellStyle name="Output 29 2 4 4 2" xfId="39064"/>
    <cellStyle name="Output 29 2 4 5" xfId="28234"/>
    <cellStyle name="Output 29 2 4_Table 2A-1_EFT (Annual)" xfId="8098"/>
    <cellStyle name="Output 29 2 5" xfId="4181"/>
    <cellStyle name="Output 29 2 5 2" xfId="12505"/>
    <cellStyle name="Output 29 2 5 2 2" xfId="24527"/>
    <cellStyle name="Output 29 2 5 2 2 2" xfId="45713"/>
    <cellStyle name="Output 29 2 5 2 3" xfId="35109"/>
    <cellStyle name="Output 29 2 5 3" xfId="19414"/>
    <cellStyle name="Output 29 2 5 3 2" xfId="40601"/>
    <cellStyle name="Output 29 2 5 4" xfId="29869"/>
    <cellStyle name="Output 29 2 5_Table 2A-1_EFT (Annual)" xfId="8100"/>
    <cellStyle name="Output 29 2 6" xfId="9844"/>
    <cellStyle name="Output 29 2 6 2" xfId="21981"/>
    <cellStyle name="Output 29 2 6 2 2" xfId="43167"/>
    <cellStyle name="Output 29 2 6 3" xfId="32563"/>
    <cellStyle name="Output 29 2 7" xfId="16868"/>
    <cellStyle name="Output 29 2 7 2" xfId="38055"/>
    <cellStyle name="Output 29 2 8" xfId="27126"/>
    <cellStyle name="Output 29 2_Table 2A-1_EFT (Annual)" xfId="3443"/>
    <cellStyle name="Output 29 3" xfId="446"/>
    <cellStyle name="Output 29 3 2" xfId="1429"/>
    <cellStyle name="Output 29 3 2 2" xfId="2699"/>
    <cellStyle name="Output 29 3 2 2 2" xfId="6260"/>
    <cellStyle name="Output 29 3 2 2 2 2" xfId="14454"/>
    <cellStyle name="Output 29 3 2 2 2 2 2" xfId="26426"/>
    <cellStyle name="Output 29 3 2 2 2 2 2 2" xfId="47612"/>
    <cellStyle name="Output 29 3 2 2 2 2 3" xfId="37008"/>
    <cellStyle name="Output 29 3 2 2 2 3" xfId="21313"/>
    <cellStyle name="Output 29 3 2 2 2 3 2" xfId="42500"/>
    <cellStyle name="Output 29 3 2 2 2 4" xfId="31916"/>
    <cellStyle name="Output 29 3 2 2 2_Table 2A-1_EFT (Annual)" xfId="8102"/>
    <cellStyle name="Output 29 3 2 2 3" xfId="11796"/>
    <cellStyle name="Output 29 3 2 2 3 2" xfId="23880"/>
    <cellStyle name="Output 29 3 2 2 3 2 2" xfId="45066"/>
    <cellStyle name="Output 29 3 2 2 3 3" xfId="34462"/>
    <cellStyle name="Output 29 3 2 2 4" xfId="18767"/>
    <cellStyle name="Output 29 3 2 2 4 2" xfId="39954"/>
    <cellStyle name="Output 29 3 2 2 5" xfId="29173"/>
    <cellStyle name="Output 29 3 2 2_Table 2A-1_EFT (Annual)" xfId="8101"/>
    <cellStyle name="Output 29 3 2 3" xfId="1903"/>
    <cellStyle name="Output 29 3 2 3 2" xfId="5464"/>
    <cellStyle name="Output 29 3 2 3 2 2" xfId="13679"/>
    <cellStyle name="Output 29 3 2 3 2 2 2" xfId="25667"/>
    <cellStyle name="Output 29 3 2 3 2 2 2 2" xfId="46853"/>
    <cellStyle name="Output 29 3 2 3 2 2 3" xfId="36249"/>
    <cellStyle name="Output 29 3 2 3 2 3" xfId="20554"/>
    <cellStyle name="Output 29 3 2 3 2 3 2" xfId="41741"/>
    <cellStyle name="Output 29 3 2 3 2 4" xfId="31121"/>
    <cellStyle name="Output 29 3 2 3 2_Table 2A-1_EFT (Annual)" xfId="8104"/>
    <cellStyle name="Output 29 3 2 3 3" xfId="11023"/>
    <cellStyle name="Output 29 3 2 3 3 2" xfId="23121"/>
    <cellStyle name="Output 29 3 2 3 3 2 2" xfId="44307"/>
    <cellStyle name="Output 29 3 2 3 3 3" xfId="33703"/>
    <cellStyle name="Output 29 3 2 3 4" xfId="18008"/>
    <cellStyle name="Output 29 3 2 3 4 2" xfId="39195"/>
    <cellStyle name="Output 29 3 2 3 5" xfId="28378"/>
    <cellStyle name="Output 29 3 2 3_Table 2A-1_EFT (Annual)" xfId="8103"/>
    <cellStyle name="Output 29 3 2 4" xfId="4990"/>
    <cellStyle name="Output 29 3 2 4 2" xfId="13250"/>
    <cellStyle name="Output 29 3 2 4 2 2" xfId="25256"/>
    <cellStyle name="Output 29 3 2 4 2 2 2" xfId="46442"/>
    <cellStyle name="Output 29 3 2 4 2 3" xfId="35838"/>
    <cellStyle name="Output 29 3 2 4 3" xfId="20143"/>
    <cellStyle name="Output 29 3 2 4 3 2" xfId="41330"/>
    <cellStyle name="Output 29 3 2 4 4" xfId="30647"/>
    <cellStyle name="Output 29 3 2 4_Table 2A-1_EFT (Annual)" xfId="8105"/>
    <cellStyle name="Output 29 3 2 5" xfId="10594"/>
    <cellStyle name="Output 29 3 2 5 2" xfId="22710"/>
    <cellStyle name="Output 29 3 2 5 2 2" xfId="43896"/>
    <cellStyle name="Output 29 3 2 5 3" xfId="33292"/>
    <cellStyle name="Output 29 3 2 6" xfId="17597"/>
    <cellStyle name="Output 29 3 2 6 2" xfId="38784"/>
    <cellStyle name="Output 29 3 2 7" xfId="27904"/>
    <cellStyle name="Output 29 3 2_Table 2A-1_EFT (Annual)" xfId="3446"/>
    <cellStyle name="Output 29 3 3" xfId="2168"/>
    <cellStyle name="Output 29 3 3 2" xfId="5729"/>
    <cellStyle name="Output 29 3 3 2 2" xfId="13944"/>
    <cellStyle name="Output 29 3 3 2 2 2" xfId="25932"/>
    <cellStyle name="Output 29 3 3 2 2 2 2" xfId="47118"/>
    <cellStyle name="Output 29 3 3 2 2 3" xfId="36514"/>
    <cellStyle name="Output 29 3 3 2 3" xfId="20819"/>
    <cellStyle name="Output 29 3 3 2 3 2" xfId="42006"/>
    <cellStyle name="Output 29 3 3 2 4" xfId="31386"/>
    <cellStyle name="Output 29 3 3 2_Table 2A-1_EFT (Annual)" xfId="8107"/>
    <cellStyle name="Output 29 3 3 3" xfId="11288"/>
    <cellStyle name="Output 29 3 3 3 2" xfId="23386"/>
    <cellStyle name="Output 29 3 3 3 2 2" xfId="44572"/>
    <cellStyle name="Output 29 3 3 3 3" xfId="33968"/>
    <cellStyle name="Output 29 3 3 4" xfId="18273"/>
    <cellStyle name="Output 29 3 3 4 2" xfId="39460"/>
    <cellStyle name="Output 29 3 3 5" xfId="28643"/>
    <cellStyle name="Output 29 3 3_Table 2A-1_EFT (Annual)" xfId="8106"/>
    <cellStyle name="Output 29 3 4" xfId="1723"/>
    <cellStyle name="Output 29 3 4 2" xfId="5284"/>
    <cellStyle name="Output 29 3 4 2 2" xfId="13513"/>
    <cellStyle name="Output 29 3 4 2 2 2" xfId="25506"/>
    <cellStyle name="Output 29 3 4 2 2 2 2" xfId="46692"/>
    <cellStyle name="Output 29 3 4 2 2 3" xfId="36088"/>
    <cellStyle name="Output 29 3 4 2 3" xfId="20393"/>
    <cellStyle name="Output 29 3 4 2 3 2" xfId="41580"/>
    <cellStyle name="Output 29 3 4 2 4" xfId="30941"/>
    <cellStyle name="Output 29 3 4 2_Table 2A-1_EFT (Annual)" xfId="8109"/>
    <cellStyle name="Output 29 3 4 3" xfId="10857"/>
    <cellStyle name="Output 29 3 4 3 2" xfId="22960"/>
    <cellStyle name="Output 29 3 4 3 2 2" xfId="44146"/>
    <cellStyle name="Output 29 3 4 3 3" xfId="33542"/>
    <cellStyle name="Output 29 3 4 4" xfId="17847"/>
    <cellStyle name="Output 29 3 4 4 2" xfId="39034"/>
    <cellStyle name="Output 29 3 4 5" xfId="28198"/>
    <cellStyle name="Output 29 3 4_Table 2A-1_EFT (Annual)" xfId="8108"/>
    <cellStyle name="Output 29 3 5" xfId="4016"/>
    <cellStyle name="Output 29 3 5 2" xfId="12344"/>
    <cellStyle name="Output 29 3 5 2 2" xfId="24368"/>
    <cellStyle name="Output 29 3 5 2 2 2" xfId="45554"/>
    <cellStyle name="Output 29 3 5 2 3" xfId="34950"/>
    <cellStyle name="Output 29 3 5 3" xfId="19255"/>
    <cellStyle name="Output 29 3 5 3 2" xfId="40442"/>
    <cellStyle name="Output 29 3 5 4" xfId="29704"/>
    <cellStyle name="Output 29 3 5_Table 2A-1_EFT (Annual)" xfId="8110"/>
    <cellStyle name="Output 29 3 6" xfId="9681"/>
    <cellStyle name="Output 29 3 6 2" xfId="21822"/>
    <cellStyle name="Output 29 3 6 2 2" xfId="43008"/>
    <cellStyle name="Output 29 3 6 3" xfId="32404"/>
    <cellStyle name="Output 29 3 7" xfId="16709"/>
    <cellStyle name="Output 29 3 7 2" xfId="37896"/>
    <cellStyle name="Output 29 3 8" xfId="26961"/>
    <cellStyle name="Output 29 3_Table 2A-1_EFT (Annual)" xfId="3445"/>
    <cellStyle name="Output 29 4" xfId="1266"/>
    <cellStyle name="Output 29 4 2" xfId="2536"/>
    <cellStyle name="Output 29 4 2 2" xfId="6097"/>
    <cellStyle name="Output 29 4 2 2 2" xfId="14291"/>
    <cellStyle name="Output 29 4 2 2 2 2" xfId="26263"/>
    <cellStyle name="Output 29 4 2 2 2 2 2" xfId="47449"/>
    <cellStyle name="Output 29 4 2 2 2 3" xfId="36845"/>
    <cellStyle name="Output 29 4 2 2 3" xfId="21150"/>
    <cellStyle name="Output 29 4 2 2 3 2" xfId="42337"/>
    <cellStyle name="Output 29 4 2 2 4" xfId="31753"/>
    <cellStyle name="Output 29 4 2 2_Table 2A-1_EFT (Annual)" xfId="8112"/>
    <cellStyle name="Output 29 4 2 3" xfId="11633"/>
    <cellStyle name="Output 29 4 2 3 2" xfId="23717"/>
    <cellStyle name="Output 29 4 2 3 2 2" xfId="44903"/>
    <cellStyle name="Output 29 4 2 3 3" xfId="34299"/>
    <cellStyle name="Output 29 4 2 4" xfId="18604"/>
    <cellStyle name="Output 29 4 2 4 2" xfId="39791"/>
    <cellStyle name="Output 29 4 2 5" xfId="29010"/>
    <cellStyle name="Output 29 4 2_Table 2A-1_EFT (Annual)" xfId="8111"/>
    <cellStyle name="Output 29 4 3" xfId="1839"/>
    <cellStyle name="Output 29 4 3 2" xfId="5400"/>
    <cellStyle name="Output 29 4 3 2 2" xfId="13615"/>
    <cellStyle name="Output 29 4 3 2 2 2" xfId="25603"/>
    <cellStyle name="Output 29 4 3 2 2 2 2" xfId="46789"/>
    <cellStyle name="Output 29 4 3 2 2 3" xfId="36185"/>
    <cellStyle name="Output 29 4 3 2 3" xfId="20490"/>
    <cellStyle name="Output 29 4 3 2 3 2" xfId="41677"/>
    <cellStyle name="Output 29 4 3 2 4" xfId="31057"/>
    <cellStyle name="Output 29 4 3 2_Table 2A-1_EFT (Annual)" xfId="8114"/>
    <cellStyle name="Output 29 4 3 3" xfId="10959"/>
    <cellStyle name="Output 29 4 3 3 2" xfId="23057"/>
    <cellStyle name="Output 29 4 3 3 2 2" xfId="44243"/>
    <cellStyle name="Output 29 4 3 3 3" xfId="33639"/>
    <cellStyle name="Output 29 4 3 4" xfId="17944"/>
    <cellStyle name="Output 29 4 3 4 2" xfId="39131"/>
    <cellStyle name="Output 29 4 3 5" xfId="28314"/>
    <cellStyle name="Output 29 4 3_Table 2A-1_EFT (Annual)" xfId="8113"/>
    <cellStyle name="Output 29 4 4" xfId="4827"/>
    <cellStyle name="Output 29 4 4 2" xfId="13087"/>
    <cellStyle name="Output 29 4 4 2 2" xfId="25093"/>
    <cellStyle name="Output 29 4 4 2 2 2" xfId="46279"/>
    <cellStyle name="Output 29 4 4 2 3" xfId="35675"/>
    <cellStyle name="Output 29 4 4 3" xfId="19980"/>
    <cellStyle name="Output 29 4 4 3 2" xfId="41167"/>
    <cellStyle name="Output 29 4 4 4" xfId="30484"/>
    <cellStyle name="Output 29 4 4_Table 2A-1_EFT (Annual)" xfId="8115"/>
    <cellStyle name="Output 29 4 5" xfId="10431"/>
    <cellStyle name="Output 29 4 5 2" xfId="22547"/>
    <cellStyle name="Output 29 4 5 2 2" xfId="43733"/>
    <cellStyle name="Output 29 4 5 3" xfId="33129"/>
    <cellStyle name="Output 29 4 6" xfId="17434"/>
    <cellStyle name="Output 29 4 6 2" xfId="38621"/>
    <cellStyle name="Output 29 4 7" xfId="27741"/>
    <cellStyle name="Output 29 4_Table 2A-1_EFT (Annual)" xfId="3447"/>
    <cellStyle name="Output 29 5" xfId="2005"/>
    <cellStyle name="Output 29 5 2" xfId="5566"/>
    <cellStyle name="Output 29 5 2 2" xfId="13781"/>
    <cellStyle name="Output 29 5 2 2 2" xfId="25769"/>
    <cellStyle name="Output 29 5 2 2 2 2" xfId="46955"/>
    <cellStyle name="Output 29 5 2 2 3" xfId="36351"/>
    <cellStyle name="Output 29 5 2 3" xfId="20656"/>
    <cellStyle name="Output 29 5 2 3 2" xfId="41843"/>
    <cellStyle name="Output 29 5 2 4" xfId="31223"/>
    <cellStyle name="Output 29 5 2_Table 2A-1_EFT (Annual)" xfId="8117"/>
    <cellStyle name="Output 29 5 3" xfId="11125"/>
    <cellStyle name="Output 29 5 3 2" xfId="23223"/>
    <cellStyle name="Output 29 5 3 2 2" xfId="44409"/>
    <cellStyle name="Output 29 5 3 3" xfId="33805"/>
    <cellStyle name="Output 29 5 4" xfId="18110"/>
    <cellStyle name="Output 29 5 4 2" xfId="39297"/>
    <cellStyle name="Output 29 5 5" xfId="28480"/>
    <cellStyle name="Output 29 5_Table 2A-1_EFT (Annual)" xfId="8116"/>
    <cellStyle name="Output 29 6" xfId="1666"/>
    <cellStyle name="Output 29 6 2" xfId="5227"/>
    <cellStyle name="Output 29 6 2 2" xfId="13474"/>
    <cellStyle name="Output 29 6 2 2 2" xfId="25474"/>
    <cellStyle name="Output 29 6 2 2 2 2" xfId="46660"/>
    <cellStyle name="Output 29 6 2 2 3" xfId="36056"/>
    <cellStyle name="Output 29 6 2 3" xfId="20361"/>
    <cellStyle name="Output 29 6 2 3 2" xfId="41548"/>
    <cellStyle name="Output 29 6 2 4" xfId="30884"/>
    <cellStyle name="Output 29 6 2_Table 2A-1_EFT (Annual)" xfId="8119"/>
    <cellStyle name="Output 29 6 3" xfId="10819"/>
    <cellStyle name="Output 29 6 3 2" xfId="22928"/>
    <cellStyle name="Output 29 6 3 2 2" xfId="44114"/>
    <cellStyle name="Output 29 6 3 3" xfId="33510"/>
    <cellStyle name="Output 29 6 4" xfId="17815"/>
    <cellStyle name="Output 29 6 4 2" xfId="39002"/>
    <cellStyle name="Output 29 6 5" xfId="28141"/>
    <cellStyle name="Output 29 6_Table 2A-1_EFT (Annual)" xfId="8118"/>
    <cellStyle name="Output 29 7" xfId="3807"/>
    <cellStyle name="Output 29 7 2" xfId="12175"/>
    <cellStyle name="Output 29 7 2 2" xfId="24205"/>
    <cellStyle name="Output 29 7 2 2 2" xfId="45391"/>
    <cellStyle name="Output 29 7 2 3" xfId="34787"/>
    <cellStyle name="Output 29 7 3" xfId="19092"/>
    <cellStyle name="Output 29 7 3 2" xfId="40279"/>
    <cellStyle name="Output 29 7 4" xfId="29516"/>
    <cellStyle name="Output 29 7_Table 2A-1_EFT (Annual)" xfId="8120"/>
    <cellStyle name="Output 29 8" xfId="9494"/>
    <cellStyle name="Output 29 8 2" xfId="21659"/>
    <cellStyle name="Output 29 8 2 2" xfId="42845"/>
    <cellStyle name="Output 29 8 3" xfId="32241"/>
    <cellStyle name="Output 29 9" xfId="16546"/>
    <cellStyle name="Output 29 9 2" xfId="37733"/>
    <cellStyle name="Output 29_Table 2A-1_EFT (Annual)" xfId="3442"/>
    <cellStyle name="Output 3" xfId="114"/>
    <cellStyle name="Output 3 10" xfId="21509"/>
    <cellStyle name="Output 3 10 2" xfId="42696"/>
    <cellStyle name="Output 3 11" xfId="26669"/>
    <cellStyle name="Output 3 2" xfId="507"/>
    <cellStyle name="Output 3 2 2" xfId="1484"/>
    <cellStyle name="Output 3 2 2 2" xfId="2754"/>
    <cellStyle name="Output 3 2 2 2 2" xfId="6315"/>
    <cellStyle name="Output 3 2 2 2 2 2" xfId="14509"/>
    <cellStyle name="Output 3 2 2 2 2 2 2" xfId="26481"/>
    <cellStyle name="Output 3 2 2 2 2 2 2 2" xfId="47667"/>
    <cellStyle name="Output 3 2 2 2 2 2 3" xfId="37063"/>
    <cellStyle name="Output 3 2 2 2 2 3" xfId="21368"/>
    <cellStyle name="Output 3 2 2 2 2 3 2" xfId="42555"/>
    <cellStyle name="Output 3 2 2 2 2 4" xfId="31971"/>
    <cellStyle name="Output 3 2 2 2 2_Table 2A-1_EFT (Annual)" xfId="8122"/>
    <cellStyle name="Output 3 2 2 2 3" xfId="11851"/>
    <cellStyle name="Output 3 2 2 2 3 2" xfId="23935"/>
    <cellStyle name="Output 3 2 2 2 3 2 2" xfId="45121"/>
    <cellStyle name="Output 3 2 2 2 3 3" xfId="34517"/>
    <cellStyle name="Output 3 2 2 2 4" xfId="18822"/>
    <cellStyle name="Output 3 2 2 2 4 2" xfId="40009"/>
    <cellStyle name="Output 3 2 2 2 5" xfId="29228"/>
    <cellStyle name="Output 3 2 2 2_Table 2A-1_EFT (Annual)" xfId="8121"/>
    <cellStyle name="Output 3 2 2 3" xfId="1916"/>
    <cellStyle name="Output 3 2 2 3 2" xfId="5477"/>
    <cellStyle name="Output 3 2 2 3 2 2" xfId="13692"/>
    <cellStyle name="Output 3 2 2 3 2 2 2" xfId="25680"/>
    <cellStyle name="Output 3 2 2 3 2 2 2 2" xfId="46866"/>
    <cellStyle name="Output 3 2 2 3 2 2 3" xfId="36262"/>
    <cellStyle name="Output 3 2 2 3 2 3" xfId="20567"/>
    <cellStyle name="Output 3 2 2 3 2 3 2" xfId="41754"/>
    <cellStyle name="Output 3 2 2 3 2 4" xfId="31134"/>
    <cellStyle name="Output 3 2 2 3 2_Table 2A-1_EFT (Annual)" xfId="8124"/>
    <cellStyle name="Output 3 2 2 3 3" xfId="11036"/>
    <cellStyle name="Output 3 2 2 3 3 2" xfId="23134"/>
    <cellStyle name="Output 3 2 2 3 3 2 2" xfId="44320"/>
    <cellStyle name="Output 3 2 2 3 3 3" xfId="33716"/>
    <cellStyle name="Output 3 2 2 3 4" xfId="18021"/>
    <cellStyle name="Output 3 2 2 3 4 2" xfId="39208"/>
    <cellStyle name="Output 3 2 2 3 5" xfId="28391"/>
    <cellStyle name="Output 3 2 2 3_Table 2A-1_EFT (Annual)" xfId="8123"/>
    <cellStyle name="Output 3 2 2 4" xfId="5045"/>
    <cellStyle name="Output 3 2 2 4 2" xfId="13305"/>
    <cellStyle name="Output 3 2 2 4 2 2" xfId="25311"/>
    <cellStyle name="Output 3 2 2 4 2 2 2" xfId="46497"/>
    <cellStyle name="Output 3 2 2 4 2 3" xfId="35893"/>
    <cellStyle name="Output 3 2 2 4 3" xfId="20198"/>
    <cellStyle name="Output 3 2 2 4 3 2" xfId="41385"/>
    <cellStyle name="Output 3 2 2 4 4" xfId="30702"/>
    <cellStyle name="Output 3 2 2 4_Table 2A-1_EFT (Annual)" xfId="8125"/>
    <cellStyle name="Output 3 2 2 5" xfId="10649"/>
    <cellStyle name="Output 3 2 2 5 2" xfId="22765"/>
    <cellStyle name="Output 3 2 2 5 2 2" xfId="43951"/>
    <cellStyle name="Output 3 2 2 5 3" xfId="33347"/>
    <cellStyle name="Output 3 2 2 6" xfId="17652"/>
    <cellStyle name="Output 3 2 2 6 2" xfId="38839"/>
    <cellStyle name="Output 3 2 2 7" xfId="27959"/>
    <cellStyle name="Output 3 2 2_Table 2A-1_EFT (Annual)" xfId="3450"/>
    <cellStyle name="Output 3 2 3" xfId="2223"/>
    <cellStyle name="Output 3 2 3 2" xfId="5784"/>
    <cellStyle name="Output 3 2 3 2 2" xfId="13999"/>
    <cellStyle name="Output 3 2 3 2 2 2" xfId="25987"/>
    <cellStyle name="Output 3 2 3 2 2 2 2" xfId="47173"/>
    <cellStyle name="Output 3 2 3 2 2 3" xfId="36569"/>
    <cellStyle name="Output 3 2 3 2 3" xfId="20874"/>
    <cellStyle name="Output 3 2 3 2 3 2" xfId="42061"/>
    <cellStyle name="Output 3 2 3 2 4" xfId="31441"/>
    <cellStyle name="Output 3 2 3 2_Table 2A-1_EFT (Annual)" xfId="8127"/>
    <cellStyle name="Output 3 2 3 3" xfId="11343"/>
    <cellStyle name="Output 3 2 3 3 2" xfId="23441"/>
    <cellStyle name="Output 3 2 3 3 2 2" xfId="44627"/>
    <cellStyle name="Output 3 2 3 3 3" xfId="34023"/>
    <cellStyle name="Output 3 2 3 4" xfId="18328"/>
    <cellStyle name="Output 3 2 3 4 2" xfId="39515"/>
    <cellStyle name="Output 3 2 3 5" xfId="28698"/>
    <cellStyle name="Output 3 2 3_Table 2A-1_EFT (Annual)" xfId="8126"/>
    <cellStyle name="Output 3 2 4" xfId="1741"/>
    <cellStyle name="Output 3 2 4 2" xfId="5302"/>
    <cellStyle name="Output 3 2 4 2 2" xfId="13527"/>
    <cellStyle name="Output 3 2 4 2 2 2" xfId="25518"/>
    <cellStyle name="Output 3 2 4 2 2 2 2" xfId="46704"/>
    <cellStyle name="Output 3 2 4 2 2 3" xfId="36100"/>
    <cellStyle name="Output 3 2 4 2 3" xfId="20405"/>
    <cellStyle name="Output 3 2 4 2 3 2" xfId="41592"/>
    <cellStyle name="Output 3 2 4 2 4" xfId="30959"/>
    <cellStyle name="Output 3 2 4 2_Table 2A-1_EFT (Annual)" xfId="8129"/>
    <cellStyle name="Output 3 2 4 3" xfId="10870"/>
    <cellStyle name="Output 3 2 4 3 2" xfId="22972"/>
    <cellStyle name="Output 3 2 4 3 2 2" xfId="44158"/>
    <cellStyle name="Output 3 2 4 3 3" xfId="33554"/>
    <cellStyle name="Output 3 2 4 4" xfId="17859"/>
    <cellStyle name="Output 3 2 4 4 2" xfId="39046"/>
    <cellStyle name="Output 3 2 4 5" xfId="28216"/>
    <cellStyle name="Output 3 2 4_Table 2A-1_EFT (Annual)" xfId="8128"/>
    <cellStyle name="Output 3 2 5" xfId="4077"/>
    <cellStyle name="Output 3 2 5 2" xfId="12401"/>
    <cellStyle name="Output 3 2 5 2 2" xfId="24423"/>
    <cellStyle name="Output 3 2 5 2 2 2" xfId="45609"/>
    <cellStyle name="Output 3 2 5 2 3" xfId="35005"/>
    <cellStyle name="Output 3 2 5 3" xfId="19310"/>
    <cellStyle name="Output 3 2 5 3 2" xfId="40497"/>
    <cellStyle name="Output 3 2 5 4" xfId="29765"/>
    <cellStyle name="Output 3 2 5_Table 2A-1_EFT (Annual)" xfId="8130"/>
    <cellStyle name="Output 3 2 6" xfId="9740"/>
    <cellStyle name="Output 3 2 6 2" xfId="21877"/>
    <cellStyle name="Output 3 2 6 2 2" xfId="43063"/>
    <cellStyle name="Output 3 2 6 3" xfId="32459"/>
    <cellStyle name="Output 3 2 7" xfId="16764"/>
    <cellStyle name="Output 3 2 7 2" xfId="37951"/>
    <cellStyle name="Output 3 2 8" xfId="27022"/>
    <cellStyle name="Output 3 2_Table 2A-1_EFT (Annual)" xfId="3449"/>
    <cellStyle name="Output 3 3" xfId="345"/>
    <cellStyle name="Output 3 3 2" xfId="1328"/>
    <cellStyle name="Output 3 3 2 2" xfId="2598"/>
    <cellStyle name="Output 3 3 2 2 2" xfId="6159"/>
    <cellStyle name="Output 3 3 2 2 2 2" xfId="14353"/>
    <cellStyle name="Output 3 3 2 2 2 2 2" xfId="26325"/>
    <cellStyle name="Output 3 3 2 2 2 2 2 2" xfId="47511"/>
    <cellStyle name="Output 3 3 2 2 2 2 3" xfId="36907"/>
    <cellStyle name="Output 3 3 2 2 2 3" xfId="21212"/>
    <cellStyle name="Output 3 3 2 2 2 3 2" xfId="42399"/>
    <cellStyle name="Output 3 3 2 2 2 4" xfId="31815"/>
    <cellStyle name="Output 3 3 2 2 2_Table 2A-1_EFT (Annual)" xfId="8132"/>
    <cellStyle name="Output 3 3 2 2 3" xfId="11695"/>
    <cellStyle name="Output 3 3 2 2 3 2" xfId="23779"/>
    <cellStyle name="Output 3 3 2 2 3 2 2" xfId="44965"/>
    <cellStyle name="Output 3 3 2 2 3 3" xfId="34361"/>
    <cellStyle name="Output 3 3 2 2 4" xfId="18666"/>
    <cellStyle name="Output 3 3 2 2 4 2" xfId="39853"/>
    <cellStyle name="Output 3 3 2 2 5" xfId="29072"/>
    <cellStyle name="Output 3 3 2 2_Table 2A-1_EFT (Annual)" xfId="8131"/>
    <cellStyle name="Output 3 3 2 3" xfId="1885"/>
    <cellStyle name="Output 3 3 2 3 2" xfId="5446"/>
    <cellStyle name="Output 3 3 2 3 2 2" xfId="13661"/>
    <cellStyle name="Output 3 3 2 3 2 2 2" xfId="25649"/>
    <cellStyle name="Output 3 3 2 3 2 2 2 2" xfId="46835"/>
    <cellStyle name="Output 3 3 2 3 2 2 3" xfId="36231"/>
    <cellStyle name="Output 3 3 2 3 2 3" xfId="20536"/>
    <cellStyle name="Output 3 3 2 3 2 3 2" xfId="41723"/>
    <cellStyle name="Output 3 3 2 3 2 4" xfId="31103"/>
    <cellStyle name="Output 3 3 2 3 2_Table 2A-1_EFT (Annual)" xfId="8134"/>
    <cellStyle name="Output 3 3 2 3 3" xfId="11005"/>
    <cellStyle name="Output 3 3 2 3 3 2" xfId="23103"/>
    <cellStyle name="Output 3 3 2 3 3 2 2" xfId="44289"/>
    <cellStyle name="Output 3 3 2 3 3 3" xfId="33685"/>
    <cellStyle name="Output 3 3 2 3 4" xfId="17990"/>
    <cellStyle name="Output 3 3 2 3 4 2" xfId="39177"/>
    <cellStyle name="Output 3 3 2 3 5" xfId="28360"/>
    <cellStyle name="Output 3 3 2 3_Table 2A-1_EFT (Annual)" xfId="8133"/>
    <cellStyle name="Output 3 3 2 4" xfId="4889"/>
    <cellStyle name="Output 3 3 2 4 2" xfId="13149"/>
    <cellStyle name="Output 3 3 2 4 2 2" xfId="25155"/>
    <cellStyle name="Output 3 3 2 4 2 2 2" xfId="46341"/>
    <cellStyle name="Output 3 3 2 4 2 3" xfId="35737"/>
    <cellStyle name="Output 3 3 2 4 3" xfId="20042"/>
    <cellStyle name="Output 3 3 2 4 3 2" xfId="41229"/>
    <cellStyle name="Output 3 3 2 4 4" xfId="30546"/>
    <cellStyle name="Output 3 3 2 4_Table 2A-1_EFT (Annual)" xfId="8135"/>
    <cellStyle name="Output 3 3 2 5" xfId="10493"/>
    <cellStyle name="Output 3 3 2 5 2" xfId="22609"/>
    <cellStyle name="Output 3 3 2 5 2 2" xfId="43795"/>
    <cellStyle name="Output 3 3 2 5 3" xfId="33191"/>
    <cellStyle name="Output 3 3 2 6" xfId="17496"/>
    <cellStyle name="Output 3 3 2 6 2" xfId="38683"/>
    <cellStyle name="Output 3 3 2 7" xfId="27803"/>
    <cellStyle name="Output 3 3 2_Table 2A-1_EFT (Annual)" xfId="3452"/>
    <cellStyle name="Output 3 3 3" xfId="2067"/>
    <cellStyle name="Output 3 3 3 2" xfId="5628"/>
    <cellStyle name="Output 3 3 3 2 2" xfId="13843"/>
    <cellStyle name="Output 3 3 3 2 2 2" xfId="25831"/>
    <cellStyle name="Output 3 3 3 2 2 2 2" xfId="47017"/>
    <cellStyle name="Output 3 3 3 2 2 3" xfId="36413"/>
    <cellStyle name="Output 3 3 3 2 3" xfId="20718"/>
    <cellStyle name="Output 3 3 3 2 3 2" xfId="41905"/>
    <cellStyle name="Output 3 3 3 2 4" xfId="31285"/>
    <cellStyle name="Output 3 3 3 2_Table 2A-1_EFT (Annual)" xfId="8137"/>
    <cellStyle name="Output 3 3 3 3" xfId="11187"/>
    <cellStyle name="Output 3 3 3 3 2" xfId="23285"/>
    <cellStyle name="Output 3 3 3 3 2 2" xfId="44471"/>
    <cellStyle name="Output 3 3 3 3 3" xfId="33867"/>
    <cellStyle name="Output 3 3 3 4" xfId="18172"/>
    <cellStyle name="Output 3 3 3 4 2" xfId="39359"/>
    <cellStyle name="Output 3 3 3 5" xfId="28542"/>
    <cellStyle name="Output 3 3 3_Table 2A-1_EFT (Annual)" xfId="8136"/>
    <cellStyle name="Output 3 3 4" xfId="1705"/>
    <cellStyle name="Output 3 3 4 2" xfId="5266"/>
    <cellStyle name="Output 3 3 4 2 2" xfId="13495"/>
    <cellStyle name="Output 3 3 4 2 2 2" xfId="25488"/>
    <cellStyle name="Output 3 3 4 2 2 2 2" xfId="46674"/>
    <cellStyle name="Output 3 3 4 2 2 3" xfId="36070"/>
    <cellStyle name="Output 3 3 4 2 3" xfId="20375"/>
    <cellStyle name="Output 3 3 4 2 3 2" xfId="41562"/>
    <cellStyle name="Output 3 3 4 2 4" xfId="30923"/>
    <cellStyle name="Output 3 3 4 2_Table 2A-1_EFT (Annual)" xfId="8139"/>
    <cellStyle name="Output 3 3 4 3" xfId="10839"/>
    <cellStyle name="Output 3 3 4 3 2" xfId="22942"/>
    <cellStyle name="Output 3 3 4 3 2 2" xfId="44128"/>
    <cellStyle name="Output 3 3 4 3 3" xfId="33524"/>
    <cellStyle name="Output 3 3 4 4" xfId="17829"/>
    <cellStyle name="Output 3 3 4 4 2" xfId="39016"/>
    <cellStyle name="Output 3 3 4 5" xfId="28180"/>
    <cellStyle name="Output 3 3 4_Table 2A-1_EFT (Annual)" xfId="8138"/>
    <cellStyle name="Output 3 3 5" xfId="3915"/>
    <cellStyle name="Output 3 3 5 2" xfId="12243"/>
    <cellStyle name="Output 3 3 5 2 2" xfId="24267"/>
    <cellStyle name="Output 3 3 5 2 2 2" xfId="45453"/>
    <cellStyle name="Output 3 3 5 2 3" xfId="34849"/>
    <cellStyle name="Output 3 3 5 3" xfId="19154"/>
    <cellStyle name="Output 3 3 5 3 2" xfId="40341"/>
    <cellStyle name="Output 3 3 5 4" xfId="29603"/>
    <cellStyle name="Output 3 3 5_Table 2A-1_EFT (Annual)" xfId="8140"/>
    <cellStyle name="Output 3 3 6" xfId="9580"/>
    <cellStyle name="Output 3 3 6 2" xfId="21721"/>
    <cellStyle name="Output 3 3 6 2 2" xfId="42907"/>
    <cellStyle name="Output 3 3 6 3" xfId="32303"/>
    <cellStyle name="Output 3 3 7" xfId="16608"/>
    <cellStyle name="Output 3 3 7 2" xfId="37795"/>
    <cellStyle name="Output 3 3 8" xfId="26860"/>
    <cellStyle name="Output 3 3_Table 2A-1_EFT (Annual)" xfId="3451"/>
    <cellStyle name="Output 3 4" xfId="1162"/>
    <cellStyle name="Output 3 4 2" xfId="2432"/>
    <cellStyle name="Output 3 4 2 2" xfId="5993"/>
    <cellStyle name="Output 3 4 2 2 2" xfId="14187"/>
    <cellStyle name="Output 3 4 2 2 2 2" xfId="26159"/>
    <cellStyle name="Output 3 4 2 2 2 2 2" xfId="47345"/>
    <cellStyle name="Output 3 4 2 2 2 3" xfId="36741"/>
    <cellStyle name="Output 3 4 2 2 3" xfId="21046"/>
    <cellStyle name="Output 3 4 2 2 3 2" xfId="42233"/>
    <cellStyle name="Output 3 4 2 2 4" xfId="31649"/>
    <cellStyle name="Output 3 4 2 2_Table 2A-1_EFT (Annual)" xfId="8142"/>
    <cellStyle name="Output 3 4 2 3" xfId="11529"/>
    <cellStyle name="Output 3 4 2 3 2" xfId="23613"/>
    <cellStyle name="Output 3 4 2 3 2 2" xfId="44799"/>
    <cellStyle name="Output 3 4 2 3 3" xfId="34195"/>
    <cellStyle name="Output 3 4 2 4" xfId="18500"/>
    <cellStyle name="Output 3 4 2 4 2" xfId="39687"/>
    <cellStyle name="Output 3 4 2 5" xfId="28906"/>
    <cellStyle name="Output 3 4 2_Table 2A-1_EFT (Annual)" xfId="8141"/>
    <cellStyle name="Output 3 4 3" xfId="1821"/>
    <cellStyle name="Output 3 4 3 2" xfId="5382"/>
    <cellStyle name="Output 3 4 3 2 2" xfId="13597"/>
    <cellStyle name="Output 3 4 3 2 2 2" xfId="25585"/>
    <cellStyle name="Output 3 4 3 2 2 2 2" xfId="46771"/>
    <cellStyle name="Output 3 4 3 2 2 3" xfId="36167"/>
    <cellStyle name="Output 3 4 3 2 3" xfId="20472"/>
    <cellStyle name="Output 3 4 3 2 3 2" xfId="41659"/>
    <cellStyle name="Output 3 4 3 2 4" xfId="31039"/>
    <cellStyle name="Output 3 4 3 2_Table 2A-1_EFT (Annual)" xfId="8144"/>
    <cellStyle name="Output 3 4 3 3" xfId="10941"/>
    <cellStyle name="Output 3 4 3 3 2" xfId="23039"/>
    <cellStyle name="Output 3 4 3 3 2 2" xfId="44225"/>
    <cellStyle name="Output 3 4 3 3 3" xfId="33621"/>
    <cellStyle name="Output 3 4 3 4" xfId="17926"/>
    <cellStyle name="Output 3 4 3 4 2" xfId="39113"/>
    <cellStyle name="Output 3 4 3 5" xfId="28296"/>
    <cellStyle name="Output 3 4 3_Table 2A-1_EFT (Annual)" xfId="8143"/>
    <cellStyle name="Output 3 4 4" xfId="4723"/>
    <cellStyle name="Output 3 4 4 2" xfId="12983"/>
    <cellStyle name="Output 3 4 4 2 2" xfId="24989"/>
    <cellStyle name="Output 3 4 4 2 2 2" xfId="46175"/>
    <cellStyle name="Output 3 4 4 2 3" xfId="35571"/>
    <cellStyle name="Output 3 4 4 3" xfId="19876"/>
    <cellStyle name="Output 3 4 4 3 2" xfId="41063"/>
    <cellStyle name="Output 3 4 4 4" xfId="30380"/>
    <cellStyle name="Output 3 4 4_Table 2A-1_EFT (Annual)" xfId="8145"/>
    <cellStyle name="Output 3 4 5" xfId="10327"/>
    <cellStyle name="Output 3 4 5 2" xfId="22443"/>
    <cellStyle name="Output 3 4 5 2 2" xfId="43629"/>
    <cellStyle name="Output 3 4 5 3" xfId="33025"/>
    <cellStyle name="Output 3 4 6" xfId="17330"/>
    <cellStyle name="Output 3 4 6 2" xfId="38517"/>
    <cellStyle name="Output 3 4 7" xfId="27637"/>
    <cellStyle name="Output 3 4_Table 2A-1_EFT (Annual)" xfId="3453"/>
    <cellStyle name="Output 3 5" xfId="1867"/>
    <cellStyle name="Output 3 5 2" xfId="5428"/>
    <cellStyle name="Output 3 5 2 2" xfId="13643"/>
    <cellStyle name="Output 3 5 2 2 2" xfId="25631"/>
    <cellStyle name="Output 3 5 2 2 2 2" xfId="46817"/>
    <cellStyle name="Output 3 5 2 2 3" xfId="36213"/>
    <cellStyle name="Output 3 5 2 3" xfId="20518"/>
    <cellStyle name="Output 3 5 2 3 2" xfId="41705"/>
    <cellStyle name="Output 3 5 2 4" xfId="31085"/>
    <cellStyle name="Output 3 5 2_Table 2A-1_EFT (Annual)" xfId="8147"/>
    <cellStyle name="Output 3 5 3" xfId="10987"/>
    <cellStyle name="Output 3 5 3 2" xfId="23085"/>
    <cellStyle name="Output 3 5 3 2 2" xfId="44271"/>
    <cellStyle name="Output 3 5 3 3" xfId="33667"/>
    <cellStyle name="Output 3 5 4" xfId="17972"/>
    <cellStyle name="Output 3 5 4 2" xfId="39159"/>
    <cellStyle name="Output 3 5 5" xfId="28342"/>
    <cellStyle name="Output 3 5_Table 2A-1_EFT (Annual)" xfId="8146"/>
    <cellStyle name="Output 3 6" xfId="1648"/>
    <cellStyle name="Output 3 6 2" xfId="5209"/>
    <cellStyle name="Output 3 6 2 2" xfId="13456"/>
    <cellStyle name="Output 3 6 2 2 2" xfId="25456"/>
    <cellStyle name="Output 3 6 2 2 2 2" xfId="46642"/>
    <cellStyle name="Output 3 6 2 2 3" xfId="36038"/>
    <cellStyle name="Output 3 6 2 3" xfId="20343"/>
    <cellStyle name="Output 3 6 2 3 2" xfId="41530"/>
    <cellStyle name="Output 3 6 2 4" xfId="30866"/>
    <cellStyle name="Output 3 6 2_Table 2A-1_EFT (Annual)" xfId="8149"/>
    <cellStyle name="Output 3 6 3" xfId="10801"/>
    <cellStyle name="Output 3 6 3 2" xfId="22910"/>
    <cellStyle name="Output 3 6 3 2 2" xfId="44096"/>
    <cellStyle name="Output 3 6 3 3" xfId="33492"/>
    <cellStyle name="Output 3 6 4" xfId="17797"/>
    <cellStyle name="Output 3 6 4 2" xfId="38984"/>
    <cellStyle name="Output 3 6 5" xfId="28123"/>
    <cellStyle name="Output 3 6_Table 2A-1_EFT (Annual)" xfId="8148"/>
    <cellStyle name="Output 3 7" xfId="3703"/>
    <cellStyle name="Output 3 7 2" xfId="12071"/>
    <cellStyle name="Output 3 7 2 2" xfId="24101"/>
    <cellStyle name="Output 3 7 2 2 2" xfId="45287"/>
    <cellStyle name="Output 3 7 2 3" xfId="34683"/>
    <cellStyle name="Output 3 7 3" xfId="18988"/>
    <cellStyle name="Output 3 7 3 2" xfId="40175"/>
    <cellStyle name="Output 3 7 4" xfId="29412"/>
    <cellStyle name="Output 3 7_Table 2A-1_EFT (Annual)" xfId="8150"/>
    <cellStyle name="Output 3 8" xfId="9390"/>
    <cellStyle name="Output 3 8 2" xfId="21555"/>
    <cellStyle name="Output 3 8 2 2" xfId="42741"/>
    <cellStyle name="Output 3 8 3" xfId="32137"/>
    <cellStyle name="Output 3 9" xfId="16442"/>
    <cellStyle name="Output 3 9 2" xfId="37629"/>
    <cellStyle name="Output 3_Table 2A-1_EFT (Annual)" xfId="3448"/>
    <cellStyle name="Output 30" xfId="190"/>
    <cellStyle name="Output 30 10" xfId="26745"/>
    <cellStyle name="Output 30 2" xfId="583"/>
    <cellStyle name="Output 30 2 2" xfId="1560"/>
    <cellStyle name="Output 30 2 2 2" xfId="2830"/>
    <cellStyle name="Output 30 2 2 2 2" xfId="6391"/>
    <cellStyle name="Output 30 2 2 2 2 2" xfId="14585"/>
    <cellStyle name="Output 30 2 2 2 2 2 2" xfId="26557"/>
    <cellStyle name="Output 30 2 2 2 2 2 2 2" xfId="47743"/>
    <cellStyle name="Output 30 2 2 2 2 2 3" xfId="37139"/>
    <cellStyle name="Output 30 2 2 2 2 3" xfId="21444"/>
    <cellStyle name="Output 30 2 2 2 2 3 2" xfId="42631"/>
    <cellStyle name="Output 30 2 2 2 2 4" xfId="32047"/>
    <cellStyle name="Output 30 2 2 2 2_Table 2A-1_EFT (Annual)" xfId="8152"/>
    <cellStyle name="Output 30 2 2 2 3" xfId="11927"/>
    <cellStyle name="Output 30 2 2 2 3 2" xfId="24011"/>
    <cellStyle name="Output 30 2 2 2 3 2 2" xfId="45197"/>
    <cellStyle name="Output 30 2 2 2 3 3" xfId="34593"/>
    <cellStyle name="Output 30 2 2 2 4" xfId="18898"/>
    <cellStyle name="Output 30 2 2 2 4 2" xfId="40085"/>
    <cellStyle name="Output 30 2 2 2 5" xfId="29304"/>
    <cellStyle name="Output 30 2 2 2_Table 2A-1_EFT (Annual)" xfId="8151"/>
    <cellStyle name="Output 30 2 2 3" xfId="1929"/>
    <cellStyle name="Output 30 2 2 3 2" xfId="5490"/>
    <cellStyle name="Output 30 2 2 3 2 2" xfId="13705"/>
    <cellStyle name="Output 30 2 2 3 2 2 2" xfId="25693"/>
    <cellStyle name="Output 30 2 2 3 2 2 2 2" xfId="46879"/>
    <cellStyle name="Output 30 2 2 3 2 2 3" xfId="36275"/>
    <cellStyle name="Output 30 2 2 3 2 3" xfId="20580"/>
    <cellStyle name="Output 30 2 2 3 2 3 2" xfId="41767"/>
    <cellStyle name="Output 30 2 2 3 2 4" xfId="31147"/>
    <cellStyle name="Output 30 2 2 3 2_Table 2A-1_EFT (Annual)" xfId="8154"/>
    <cellStyle name="Output 30 2 2 3 3" xfId="11049"/>
    <cellStyle name="Output 30 2 2 3 3 2" xfId="23147"/>
    <cellStyle name="Output 30 2 2 3 3 2 2" xfId="44333"/>
    <cellStyle name="Output 30 2 2 3 3 3" xfId="33729"/>
    <cellStyle name="Output 30 2 2 3 4" xfId="18034"/>
    <cellStyle name="Output 30 2 2 3 4 2" xfId="39221"/>
    <cellStyle name="Output 30 2 2 3 5" xfId="28404"/>
    <cellStyle name="Output 30 2 2 3_Table 2A-1_EFT (Annual)" xfId="8153"/>
    <cellStyle name="Output 30 2 2 4" xfId="5121"/>
    <cellStyle name="Output 30 2 2 4 2" xfId="13381"/>
    <cellStyle name="Output 30 2 2 4 2 2" xfId="25387"/>
    <cellStyle name="Output 30 2 2 4 2 2 2" xfId="46573"/>
    <cellStyle name="Output 30 2 2 4 2 3" xfId="35969"/>
    <cellStyle name="Output 30 2 2 4 3" xfId="20274"/>
    <cellStyle name="Output 30 2 2 4 3 2" xfId="41461"/>
    <cellStyle name="Output 30 2 2 4 4" xfId="30778"/>
    <cellStyle name="Output 30 2 2 4_Table 2A-1_EFT (Annual)" xfId="8155"/>
    <cellStyle name="Output 30 2 2 5" xfId="10725"/>
    <cellStyle name="Output 30 2 2 5 2" xfId="22841"/>
    <cellStyle name="Output 30 2 2 5 2 2" xfId="44027"/>
    <cellStyle name="Output 30 2 2 5 3" xfId="33423"/>
    <cellStyle name="Output 30 2 2 6" xfId="17728"/>
    <cellStyle name="Output 30 2 2 6 2" xfId="38915"/>
    <cellStyle name="Output 30 2 2 7" xfId="28035"/>
    <cellStyle name="Output 30 2 2_Table 2A-1_EFT (Annual)" xfId="3456"/>
    <cellStyle name="Output 30 2 3" xfId="2299"/>
    <cellStyle name="Output 30 2 3 2" xfId="5860"/>
    <cellStyle name="Output 30 2 3 2 2" xfId="14075"/>
    <cellStyle name="Output 30 2 3 2 2 2" xfId="26063"/>
    <cellStyle name="Output 30 2 3 2 2 2 2" xfId="47249"/>
    <cellStyle name="Output 30 2 3 2 2 3" xfId="36645"/>
    <cellStyle name="Output 30 2 3 2 3" xfId="20950"/>
    <cellStyle name="Output 30 2 3 2 3 2" xfId="42137"/>
    <cellStyle name="Output 30 2 3 2 4" xfId="31517"/>
    <cellStyle name="Output 30 2 3 2_Table 2A-1_EFT (Annual)" xfId="8157"/>
    <cellStyle name="Output 30 2 3 3" xfId="11419"/>
    <cellStyle name="Output 30 2 3 3 2" xfId="23517"/>
    <cellStyle name="Output 30 2 3 3 2 2" xfId="44703"/>
    <cellStyle name="Output 30 2 3 3 3" xfId="34099"/>
    <cellStyle name="Output 30 2 3 4" xfId="18404"/>
    <cellStyle name="Output 30 2 3 4 2" xfId="39591"/>
    <cellStyle name="Output 30 2 3 5" xfId="28774"/>
    <cellStyle name="Output 30 2 3_Table 2A-1_EFT (Annual)" xfId="8156"/>
    <cellStyle name="Output 30 2 4" xfId="1754"/>
    <cellStyle name="Output 30 2 4 2" xfId="5315"/>
    <cellStyle name="Output 30 2 4 2 2" xfId="13540"/>
    <cellStyle name="Output 30 2 4 2 2 2" xfId="25531"/>
    <cellStyle name="Output 30 2 4 2 2 2 2" xfId="46717"/>
    <cellStyle name="Output 30 2 4 2 2 3" xfId="36113"/>
    <cellStyle name="Output 30 2 4 2 3" xfId="20418"/>
    <cellStyle name="Output 30 2 4 2 3 2" xfId="41605"/>
    <cellStyle name="Output 30 2 4 2 4" xfId="30972"/>
    <cellStyle name="Output 30 2 4 2_Table 2A-1_EFT (Annual)" xfId="8159"/>
    <cellStyle name="Output 30 2 4 3" xfId="10883"/>
    <cellStyle name="Output 30 2 4 3 2" xfId="22985"/>
    <cellStyle name="Output 30 2 4 3 2 2" xfId="44171"/>
    <cellStyle name="Output 30 2 4 3 3" xfId="33567"/>
    <cellStyle name="Output 30 2 4 4" xfId="17872"/>
    <cellStyle name="Output 30 2 4 4 2" xfId="39059"/>
    <cellStyle name="Output 30 2 4 5" xfId="28229"/>
    <cellStyle name="Output 30 2 4_Table 2A-1_EFT (Annual)" xfId="8158"/>
    <cellStyle name="Output 30 2 5" xfId="4153"/>
    <cellStyle name="Output 30 2 5 2" xfId="12477"/>
    <cellStyle name="Output 30 2 5 2 2" xfId="24499"/>
    <cellStyle name="Output 30 2 5 2 2 2" xfId="45685"/>
    <cellStyle name="Output 30 2 5 2 3" xfId="35081"/>
    <cellStyle name="Output 30 2 5 3" xfId="19386"/>
    <cellStyle name="Output 30 2 5 3 2" xfId="40573"/>
    <cellStyle name="Output 30 2 5 4" xfId="29841"/>
    <cellStyle name="Output 30 2 5_Table 2A-1_EFT (Annual)" xfId="8160"/>
    <cellStyle name="Output 30 2 6" xfId="9816"/>
    <cellStyle name="Output 30 2 6 2" xfId="21953"/>
    <cellStyle name="Output 30 2 6 2 2" xfId="43139"/>
    <cellStyle name="Output 30 2 6 3" xfId="32535"/>
    <cellStyle name="Output 30 2 7" xfId="16840"/>
    <cellStyle name="Output 30 2 7 2" xfId="38027"/>
    <cellStyle name="Output 30 2 8" xfId="27098"/>
    <cellStyle name="Output 30 2_Table 2A-1_EFT (Annual)" xfId="3455"/>
    <cellStyle name="Output 30 3" xfId="420"/>
    <cellStyle name="Output 30 3 2" xfId="1403"/>
    <cellStyle name="Output 30 3 2 2" xfId="2673"/>
    <cellStyle name="Output 30 3 2 2 2" xfId="6234"/>
    <cellStyle name="Output 30 3 2 2 2 2" xfId="14428"/>
    <cellStyle name="Output 30 3 2 2 2 2 2" xfId="26400"/>
    <cellStyle name="Output 30 3 2 2 2 2 2 2" xfId="47586"/>
    <cellStyle name="Output 30 3 2 2 2 2 3" xfId="36982"/>
    <cellStyle name="Output 30 3 2 2 2 3" xfId="21287"/>
    <cellStyle name="Output 30 3 2 2 2 3 2" xfId="42474"/>
    <cellStyle name="Output 30 3 2 2 2 4" xfId="31890"/>
    <cellStyle name="Output 30 3 2 2 2_Table 2A-1_EFT (Annual)" xfId="8162"/>
    <cellStyle name="Output 30 3 2 2 3" xfId="11770"/>
    <cellStyle name="Output 30 3 2 2 3 2" xfId="23854"/>
    <cellStyle name="Output 30 3 2 2 3 2 2" xfId="45040"/>
    <cellStyle name="Output 30 3 2 2 3 3" xfId="34436"/>
    <cellStyle name="Output 30 3 2 2 4" xfId="18741"/>
    <cellStyle name="Output 30 3 2 2 4 2" xfId="39928"/>
    <cellStyle name="Output 30 3 2 2 5" xfId="29147"/>
    <cellStyle name="Output 30 3 2 2_Table 2A-1_EFT (Annual)" xfId="8161"/>
    <cellStyle name="Output 30 3 2 3" xfId="1898"/>
    <cellStyle name="Output 30 3 2 3 2" xfId="5459"/>
    <cellStyle name="Output 30 3 2 3 2 2" xfId="13674"/>
    <cellStyle name="Output 30 3 2 3 2 2 2" xfId="25662"/>
    <cellStyle name="Output 30 3 2 3 2 2 2 2" xfId="46848"/>
    <cellStyle name="Output 30 3 2 3 2 2 3" xfId="36244"/>
    <cellStyle name="Output 30 3 2 3 2 3" xfId="20549"/>
    <cellStyle name="Output 30 3 2 3 2 3 2" xfId="41736"/>
    <cellStyle name="Output 30 3 2 3 2 4" xfId="31116"/>
    <cellStyle name="Output 30 3 2 3 2_Table 2A-1_EFT (Annual)" xfId="8164"/>
    <cellStyle name="Output 30 3 2 3 3" xfId="11018"/>
    <cellStyle name="Output 30 3 2 3 3 2" xfId="23116"/>
    <cellStyle name="Output 30 3 2 3 3 2 2" xfId="44302"/>
    <cellStyle name="Output 30 3 2 3 3 3" xfId="33698"/>
    <cellStyle name="Output 30 3 2 3 4" xfId="18003"/>
    <cellStyle name="Output 30 3 2 3 4 2" xfId="39190"/>
    <cellStyle name="Output 30 3 2 3 5" xfId="28373"/>
    <cellStyle name="Output 30 3 2 3_Table 2A-1_EFT (Annual)" xfId="8163"/>
    <cellStyle name="Output 30 3 2 4" xfId="4964"/>
    <cellStyle name="Output 30 3 2 4 2" xfId="13224"/>
    <cellStyle name="Output 30 3 2 4 2 2" xfId="25230"/>
    <cellStyle name="Output 30 3 2 4 2 2 2" xfId="46416"/>
    <cellStyle name="Output 30 3 2 4 2 3" xfId="35812"/>
    <cellStyle name="Output 30 3 2 4 3" xfId="20117"/>
    <cellStyle name="Output 30 3 2 4 3 2" xfId="41304"/>
    <cellStyle name="Output 30 3 2 4 4" xfId="30621"/>
    <cellStyle name="Output 30 3 2 4_Table 2A-1_EFT (Annual)" xfId="8165"/>
    <cellStyle name="Output 30 3 2 5" xfId="10568"/>
    <cellStyle name="Output 30 3 2 5 2" xfId="22684"/>
    <cellStyle name="Output 30 3 2 5 2 2" xfId="43870"/>
    <cellStyle name="Output 30 3 2 5 3" xfId="33266"/>
    <cellStyle name="Output 30 3 2 6" xfId="17571"/>
    <cellStyle name="Output 30 3 2 6 2" xfId="38758"/>
    <cellStyle name="Output 30 3 2 7" xfId="27878"/>
    <cellStyle name="Output 30 3 2_Table 2A-1_EFT (Annual)" xfId="3458"/>
    <cellStyle name="Output 30 3 3" xfId="2142"/>
    <cellStyle name="Output 30 3 3 2" xfId="5703"/>
    <cellStyle name="Output 30 3 3 2 2" xfId="13918"/>
    <cellStyle name="Output 30 3 3 2 2 2" xfId="25906"/>
    <cellStyle name="Output 30 3 3 2 2 2 2" xfId="47092"/>
    <cellStyle name="Output 30 3 3 2 2 3" xfId="36488"/>
    <cellStyle name="Output 30 3 3 2 3" xfId="20793"/>
    <cellStyle name="Output 30 3 3 2 3 2" xfId="41980"/>
    <cellStyle name="Output 30 3 3 2 4" xfId="31360"/>
    <cellStyle name="Output 30 3 3 2_Table 2A-1_EFT (Annual)" xfId="8167"/>
    <cellStyle name="Output 30 3 3 3" xfId="11262"/>
    <cellStyle name="Output 30 3 3 3 2" xfId="23360"/>
    <cellStyle name="Output 30 3 3 3 2 2" xfId="44546"/>
    <cellStyle name="Output 30 3 3 3 3" xfId="33942"/>
    <cellStyle name="Output 30 3 3 4" xfId="18247"/>
    <cellStyle name="Output 30 3 3 4 2" xfId="39434"/>
    <cellStyle name="Output 30 3 3 5" xfId="28617"/>
    <cellStyle name="Output 30 3 3_Table 2A-1_EFT (Annual)" xfId="8166"/>
    <cellStyle name="Output 30 3 4" xfId="1718"/>
    <cellStyle name="Output 30 3 4 2" xfId="5279"/>
    <cellStyle name="Output 30 3 4 2 2" xfId="13508"/>
    <cellStyle name="Output 30 3 4 2 2 2" xfId="25501"/>
    <cellStyle name="Output 30 3 4 2 2 2 2" xfId="46687"/>
    <cellStyle name="Output 30 3 4 2 2 3" xfId="36083"/>
    <cellStyle name="Output 30 3 4 2 3" xfId="20388"/>
    <cellStyle name="Output 30 3 4 2 3 2" xfId="41575"/>
    <cellStyle name="Output 30 3 4 2 4" xfId="30936"/>
    <cellStyle name="Output 30 3 4 2_Table 2A-1_EFT (Annual)" xfId="8169"/>
    <cellStyle name="Output 30 3 4 3" xfId="10852"/>
    <cellStyle name="Output 30 3 4 3 2" xfId="22955"/>
    <cellStyle name="Output 30 3 4 3 2 2" xfId="44141"/>
    <cellStyle name="Output 30 3 4 3 3" xfId="33537"/>
    <cellStyle name="Output 30 3 4 4" xfId="17842"/>
    <cellStyle name="Output 30 3 4 4 2" xfId="39029"/>
    <cellStyle name="Output 30 3 4 5" xfId="28193"/>
    <cellStyle name="Output 30 3 4_Table 2A-1_EFT (Annual)" xfId="8168"/>
    <cellStyle name="Output 30 3 5" xfId="3990"/>
    <cellStyle name="Output 30 3 5 2" xfId="12318"/>
    <cellStyle name="Output 30 3 5 2 2" xfId="24342"/>
    <cellStyle name="Output 30 3 5 2 2 2" xfId="45528"/>
    <cellStyle name="Output 30 3 5 2 3" xfId="34924"/>
    <cellStyle name="Output 30 3 5 3" xfId="19229"/>
    <cellStyle name="Output 30 3 5 3 2" xfId="40416"/>
    <cellStyle name="Output 30 3 5 4" xfId="29678"/>
    <cellStyle name="Output 30 3 5_Table 2A-1_EFT (Annual)" xfId="8170"/>
    <cellStyle name="Output 30 3 6" xfId="9655"/>
    <cellStyle name="Output 30 3 6 2" xfId="21796"/>
    <cellStyle name="Output 30 3 6 2 2" xfId="42982"/>
    <cellStyle name="Output 30 3 6 3" xfId="32378"/>
    <cellStyle name="Output 30 3 7" xfId="16683"/>
    <cellStyle name="Output 30 3 7 2" xfId="37870"/>
    <cellStyle name="Output 30 3 8" xfId="26935"/>
    <cellStyle name="Output 30 3_Table 2A-1_EFT (Annual)" xfId="3457"/>
    <cellStyle name="Output 30 4" xfId="1238"/>
    <cellStyle name="Output 30 4 2" xfId="2508"/>
    <cellStyle name="Output 30 4 2 2" xfId="6069"/>
    <cellStyle name="Output 30 4 2 2 2" xfId="14263"/>
    <cellStyle name="Output 30 4 2 2 2 2" xfId="26235"/>
    <cellStyle name="Output 30 4 2 2 2 2 2" xfId="47421"/>
    <cellStyle name="Output 30 4 2 2 2 3" xfId="36817"/>
    <cellStyle name="Output 30 4 2 2 3" xfId="21122"/>
    <cellStyle name="Output 30 4 2 2 3 2" xfId="42309"/>
    <cellStyle name="Output 30 4 2 2 4" xfId="31725"/>
    <cellStyle name="Output 30 4 2 2_Table 2A-1_EFT (Annual)" xfId="8172"/>
    <cellStyle name="Output 30 4 2 3" xfId="11605"/>
    <cellStyle name="Output 30 4 2 3 2" xfId="23689"/>
    <cellStyle name="Output 30 4 2 3 2 2" xfId="44875"/>
    <cellStyle name="Output 30 4 2 3 3" xfId="34271"/>
    <cellStyle name="Output 30 4 2 4" xfId="18576"/>
    <cellStyle name="Output 30 4 2 4 2" xfId="39763"/>
    <cellStyle name="Output 30 4 2 5" xfId="28982"/>
    <cellStyle name="Output 30 4 2_Table 2A-1_EFT (Annual)" xfId="8171"/>
    <cellStyle name="Output 30 4 3" xfId="1834"/>
    <cellStyle name="Output 30 4 3 2" xfId="5395"/>
    <cellStyle name="Output 30 4 3 2 2" xfId="13610"/>
    <cellStyle name="Output 30 4 3 2 2 2" xfId="25598"/>
    <cellStyle name="Output 30 4 3 2 2 2 2" xfId="46784"/>
    <cellStyle name="Output 30 4 3 2 2 3" xfId="36180"/>
    <cellStyle name="Output 30 4 3 2 3" xfId="20485"/>
    <cellStyle name="Output 30 4 3 2 3 2" xfId="41672"/>
    <cellStyle name="Output 30 4 3 2 4" xfId="31052"/>
    <cellStyle name="Output 30 4 3 2_Table 2A-1_EFT (Annual)" xfId="8174"/>
    <cellStyle name="Output 30 4 3 3" xfId="10954"/>
    <cellStyle name="Output 30 4 3 3 2" xfId="23052"/>
    <cellStyle name="Output 30 4 3 3 2 2" xfId="44238"/>
    <cellStyle name="Output 30 4 3 3 3" xfId="33634"/>
    <cellStyle name="Output 30 4 3 4" xfId="17939"/>
    <cellStyle name="Output 30 4 3 4 2" xfId="39126"/>
    <cellStyle name="Output 30 4 3 5" xfId="28309"/>
    <cellStyle name="Output 30 4 3_Table 2A-1_EFT (Annual)" xfId="8173"/>
    <cellStyle name="Output 30 4 4" xfId="4799"/>
    <cellStyle name="Output 30 4 4 2" xfId="13059"/>
    <cellStyle name="Output 30 4 4 2 2" xfId="25065"/>
    <cellStyle name="Output 30 4 4 2 2 2" xfId="46251"/>
    <cellStyle name="Output 30 4 4 2 3" xfId="35647"/>
    <cellStyle name="Output 30 4 4 3" xfId="19952"/>
    <cellStyle name="Output 30 4 4 3 2" xfId="41139"/>
    <cellStyle name="Output 30 4 4 4" xfId="30456"/>
    <cellStyle name="Output 30 4 4_Table 2A-1_EFT (Annual)" xfId="8175"/>
    <cellStyle name="Output 30 4 5" xfId="10403"/>
    <cellStyle name="Output 30 4 5 2" xfId="22519"/>
    <cellStyle name="Output 30 4 5 2 2" xfId="43705"/>
    <cellStyle name="Output 30 4 5 3" xfId="33101"/>
    <cellStyle name="Output 30 4 6" xfId="17406"/>
    <cellStyle name="Output 30 4 6 2" xfId="38593"/>
    <cellStyle name="Output 30 4 7" xfId="27713"/>
    <cellStyle name="Output 30 4_Table 2A-1_EFT (Annual)" xfId="3459"/>
    <cellStyle name="Output 30 5" xfId="1977"/>
    <cellStyle name="Output 30 5 2" xfId="5538"/>
    <cellStyle name="Output 30 5 2 2" xfId="13753"/>
    <cellStyle name="Output 30 5 2 2 2" xfId="25741"/>
    <cellStyle name="Output 30 5 2 2 2 2" xfId="46927"/>
    <cellStyle name="Output 30 5 2 2 3" xfId="36323"/>
    <cellStyle name="Output 30 5 2 3" xfId="20628"/>
    <cellStyle name="Output 30 5 2 3 2" xfId="41815"/>
    <cellStyle name="Output 30 5 2 4" xfId="31195"/>
    <cellStyle name="Output 30 5 2_Table 2A-1_EFT (Annual)" xfId="8177"/>
    <cellStyle name="Output 30 5 3" xfId="11097"/>
    <cellStyle name="Output 30 5 3 2" xfId="23195"/>
    <cellStyle name="Output 30 5 3 2 2" xfId="44381"/>
    <cellStyle name="Output 30 5 3 3" xfId="33777"/>
    <cellStyle name="Output 30 5 4" xfId="18082"/>
    <cellStyle name="Output 30 5 4 2" xfId="39269"/>
    <cellStyle name="Output 30 5 5" xfId="28452"/>
    <cellStyle name="Output 30 5_Table 2A-1_EFT (Annual)" xfId="8176"/>
    <cellStyle name="Output 30 6" xfId="1661"/>
    <cellStyle name="Output 30 6 2" xfId="5222"/>
    <cellStyle name="Output 30 6 2 2" xfId="13469"/>
    <cellStyle name="Output 30 6 2 2 2" xfId="25469"/>
    <cellStyle name="Output 30 6 2 2 2 2" xfId="46655"/>
    <cellStyle name="Output 30 6 2 2 3" xfId="36051"/>
    <cellStyle name="Output 30 6 2 3" xfId="20356"/>
    <cellStyle name="Output 30 6 2 3 2" xfId="41543"/>
    <cellStyle name="Output 30 6 2 4" xfId="30879"/>
    <cellStyle name="Output 30 6 2_Table 2A-1_EFT (Annual)" xfId="8179"/>
    <cellStyle name="Output 30 6 3" xfId="10814"/>
    <cellStyle name="Output 30 6 3 2" xfId="22923"/>
    <cellStyle name="Output 30 6 3 2 2" xfId="44109"/>
    <cellStyle name="Output 30 6 3 3" xfId="33505"/>
    <cellStyle name="Output 30 6 4" xfId="17810"/>
    <cellStyle name="Output 30 6 4 2" xfId="38997"/>
    <cellStyle name="Output 30 6 5" xfId="28136"/>
    <cellStyle name="Output 30 6_Table 2A-1_EFT (Annual)" xfId="8178"/>
    <cellStyle name="Output 30 7" xfId="3779"/>
    <cellStyle name="Output 30 7 2" xfId="12147"/>
    <cellStyle name="Output 30 7 2 2" xfId="24177"/>
    <cellStyle name="Output 30 7 2 2 2" xfId="45363"/>
    <cellStyle name="Output 30 7 2 3" xfId="34759"/>
    <cellStyle name="Output 30 7 3" xfId="19064"/>
    <cellStyle name="Output 30 7 3 2" xfId="40251"/>
    <cellStyle name="Output 30 7 4" xfId="29488"/>
    <cellStyle name="Output 30 7_Table 2A-1_EFT (Annual)" xfId="8180"/>
    <cellStyle name="Output 30 8" xfId="9466"/>
    <cellStyle name="Output 30 8 2" xfId="21631"/>
    <cellStyle name="Output 30 8 2 2" xfId="42817"/>
    <cellStyle name="Output 30 8 3" xfId="32213"/>
    <cellStyle name="Output 30 9" xfId="16518"/>
    <cellStyle name="Output 30 9 2" xfId="37705"/>
    <cellStyle name="Output 30_Table 2A-1_EFT (Annual)" xfId="3454"/>
    <cellStyle name="Output 31" xfId="249"/>
    <cellStyle name="Output 31 10" xfId="26804"/>
    <cellStyle name="Output 31 2" xfId="636"/>
    <cellStyle name="Output 31 2 2" xfId="1613"/>
    <cellStyle name="Output 31 2 2 2" xfId="2883"/>
    <cellStyle name="Output 31 2 2 2 2" xfId="6444"/>
    <cellStyle name="Output 31 2 2 2 2 2" xfId="14638"/>
    <cellStyle name="Output 31 2 2 2 2 2 2" xfId="26610"/>
    <cellStyle name="Output 31 2 2 2 2 2 2 2" xfId="47796"/>
    <cellStyle name="Output 31 2 2 2 2 2 3" xfId="37192"/>
    <cellStyle name="Output 31 2 2 2 2 3" xfId="21497"/>
    <cellStyle name="Output 31 2 2 2 2 3 2" xfId="42684"/>
    <cellStyle name="Output 31 2 2 2 2 4" xfId="32100"/>
    <cellStyle name="Output 31 2 2 2 2_Table 2A-1_EFT (Annual)" xfId="8182"/>
    <cellStyle name="Output 31 2 2 2 3" xfId="11980"/>
    <cellStyle name="Output 31 2 2 2 3 2" xfId="24064"/>
    <cellStyle name="Output 31 2 2 2 3 2 2" xfId="45250"/>
    <cellStyle name="Output 31 2 2 2 3 3" xfId="34646"/>
    <cellStyle name="Output 31 2 2 2 4" xfId="18951"/>
    <cellStyle name="Output 31 2 2 2 4 2" xfId="40138"/>
    <cellStyle name="Output 31 2 2 2 5" xfId="29357"/>
    <cellStyle name="Output 31 2 2 2_Table 2A-1_EFT (Annual)" xfId="8181"/>
    <cellStyle name="Output 31 2 2 3" xfId="1939"/>
    <cellStyle name="Output 31 2 2 3 2" xfId="5500"/>
    <cellStyle name="Output 31 2 2 3 2 2" xfId="13715"/>
    <cellStyle name="Output 31 2 2 3 2 2 2" xfId="25703"/>
    <cellStyle name="Output 31 2 2 3 2 2 2 2" xfId="46889"/>
    <cellStyle name="Output 31 2 2 3 2 2 3" xfId="36285"/>
    <cellStyle name="Output 31 2 2 3 2 3" xfId="20590"/>
    <cellStyle name="Output 31 2 2 3 2 3 2" xfId="41777"/>
    <cellStyle name="Output 31 2 2 3 2 4" xfId="31157"/>
    <cellStyle name="Output 31 2 2 3 2_Table 2A-1_EFT (Annual)" xfId="8184"/>
    <cellStyle name="Output 31 2 2 3 3" xfId="11059"/>
    <cellStyle name="Output 31 2 2 3 3 2" xfId="23157"/>
    <cellStyle name="Output 31 2 2 3 3 2 2" xfId="44343"/>
    <cellStyle name="Output 31 2 2 3 3 3" xfId="33739"/>
    <cellStyle name="Output 31 2 2 3 4" xfId="18044"/>
    <cellStyle name="Output 31 2 2 3 4 2" xfId="39231"/>
    <cellStyle name="Output 31 2 2 3 5" xfId="28414"/>
    <cellStyle name="Output 31 2 2 3_Table 2A-1_EFT (Annual)" xfId="8183"/>
    <cellStyle name="Output 31 2 2 4" xfId="5174"/>
    <cellStyle name="Output 31 2 2 4 2" xfId="13434"/>
    <cellStyle name="Output 31 2 2 4 2 2" xfId="25440"/>
    <cellStyle name="Output 31 2 2 4 2 2 2" xfId="46626"/>
    <cellStyle name="Output 31 2 2 4 2 3" xfId="36022"/>
    <cellStyle name="Output 31 2 2 4 3" xfId="20327"/>
    <cellStyle name="Output 31 2 2 4 3 2" xfId="41514"/>
    <cellStyle name="Output 31 2 2 4 4" xfId="30831"/>
    <cellStyle name="Output 31 2 2 4_Table 2A-1_EFT (Annual)" xfId="8185"/>
    <cellStyle name="Output 31 2 2 5" xfId="10778"/>
    <cellStyle name="Output 31 2 2 5 2" xfId="22894"/>
    <cellStyle name="Output 31 2 2 5 2 2" xfId="44080"/>
    <cellStyle name="Output 31 2 2 5 3" xfId="33476"/>
    <cellStyle name="Output 31 2 2 6" xfId="17781"/>
    <cellStyle name="Output 31 2 2 6 2" xfId="38968"/>
    <cellStyle name="Output 31 2 2 7" xfId="28088"/>
    <cellStyle name="Output 31 2 2_Table 2A-1_EFT (Annual)" xfId="3462"/>
    <cellStyle name="Output 31 2 3" xfId="2352"/>
    <cellStyle name="Output 31 2 3 2" xfId="5913"/>
    <cellStyle name="Output 31 2 3 2 2" xfId="14128"/>
    <cellStyle name="Output 31 2 3 2 2 2" xfId="26116"/>
    <cellStyle name="Output 31 2 3 2 2 2 2" xfId="47302"/>
    <cellStyle name="Output 31 2 3 2 2 3" xfId="36698"/>
    <cellStyle name="Output 31 2 3 2 3" xfId="21003"/>
    <cellStyle name="Output 31 2 3 2 3 2" xfId="42190"/>
    <cellStyle name="Output 31 2 3 2 4" xfId="31570"/>
    <cellStyle name="Output 31 2 3 2_Table 2A-1_EFT (Annual)" xfId="8187"/>
    <cellStyle name="Output 31 2 3 3" xfId="11472"/>
    <cellStyle name="Output 31 2 3 3 2" xfId="23570"/>
    <cellStyle name="Output 31 2 3 3 2 2" xfId="44756"/>
    <cellStyle name="Output 31 2 3 3 3" xfId="34152"/>
    <cellStyle name="Output 31 2 3 4" xfId="18457"/>
    <cellStyle name="Output 31 2 3 4 2" xfId="39644"/>
    <cellStyle name="Output 31 2 3 5" xfId="28827"/>
    <cellStyle name="Output 31 2 3_Table 2A-1_EFT (Annual)" xfId="8186"/>
    <cellStyle name="Output 31 2 4" xfId="1764"/>
    <cellStyle name="Output 31 2 4 2" xfId="5325"/>
    <cellStyle name="Output 31 2 4 2 2" xfId="13550"/>
    <cellStyle name="Output 31 2 4 2 2 2" xfId="25541"/>
    <cellStyle name="Output 31 2 4 2 2 2 2" xfId="46727"/>
    <cellStyle name="Output 31 2 4 2 2 3" xfId="36123"/>
    <cellStyle name="Output 31 2 4 2 3" xfId="20428"/>
    <cellStyle name="Output 31 2 4 2 3 2" xfId="41615"/>
    <cellStyle name="Output 31 2 4 2 4" xfId="30982"/>
    <cellStyle name="Output 31 2 4 2_Table 2A-1_EFT (Annual)" xfId="8189"/>
    <cellStyle name="Output 31 2 4 3" xfId="10893"/>
    <cellStyle name="Output 31 2 4 3 2" xfId="22995"/>
    <cellStyle name="Output 31 2 4 3 2 2" xfId="44181"/>
    <cellStyle name="Output 31 2 4 3 3" xfId="33577"/>
    <cellStyle name="Output 31 2 4 4" xfId="17882"/>
    <cellStyle name="Output 31 2 4 4 2" xfId="39069"/>
    <cellStyle name="Output 31 2 4 5" xfId="28239"/>
    <cellStyle name="Output 31 2 4_Table 2A-1_EFT (Annual)" xfId="8188"/>
    <cellStyle name="Output 31 2 5" xfId="4206"/>
    <cellStyle name="Output 31 2 5 2" xfId="12530"/>
    <cellStyle name="Output 31 2 5 2 2" xfId="24552"/>
    <cellStyle name="Output 31 2 5 2 2 2" xfId="45738"/>
    <cellStyle name="Output 31 2 5 2 3" xfId="35134"/>
    <cellStyle name="Output 31 2 5 3" xfId="19439"/>
    <cellStyle name="Output 31 2 5 3 2" xfId="40626"/>
    <cellStyle name="Output 31 2 5 4" xfId="29894"/>
    <cellStyle name="Output 31 2 5_Table 2A-1_EFT (Annual)" xfId="8190"/>
    <cellStyle name="Output 31 2 6" xfId="9869"/>
    <cellStyle name="Output 31 2 6 2" xfId="22006"/>
    <cellStyle name="Output 31 2 6 2 2" xfId="43192"/>
    <cellStyle name="Output 31 2 6 3" xfId="32588"/>
    <cellStyle name="Output 31 2 7" xfId="16893"/>
    <cellStyle name="Output 31 2 7 2" xfId="38080"/>
    <cellStyle name="Output 31 2 8" xfId="27151"/>
    <cellStyle name="Output 31 2_Table 2A-1_EFT (Annual)" xfId="3461"/>
    <cellStyle name="Output 31 3" xfId="475"/>
    <cellStyle name="Output 31 3 2" xfId="1452"/>
    <cellStyle name="Output 31 3 2 2" xfId="2722"/>
    <cellStyle name="Output 31 3 2 2 2" xfId="6283"/>
    <cellStyle name="Output 31 3 2 2 2 2" xfId="14477"/>
    <cellStyle name="Output 31 3 2 2 2 2 2" xfId="26449"/>
    <cellStyle name="Output 31 3 2 2 2 2 2 2" xfId="47635"/>
    <cellStyle name="Output 31 3 2 2 2 2 3" xfId="37031"/>
    <cellStyle name="Output 31 3 2 2 2 3" xfId="21336"/>
    <cellStyle name="Output 31 3 2 2 2 3 2" xfId="42523"/>
    <cellStyle name="Output 31 3 2 2 2 4" xfId="31939"/>
    <cellStyle name="Output 31 3 2 2 2_Table 2A-1_EFT (Annual)" xfId="8192"/>
    <cellStyle name="Output 31 3 2 2 3" xfId="11819"/>
    <cellStyle name="Output 31 3 2 2 3 2" xfId="23903"/>
    <cellStyle name="Output 31 3 2 2 3 2 2" xfId="45089"/>
    <cellStyle name="Output 31 3 2 2 3 3" xfId="34485"/>
    <cellStyle name="Output 31 3 2 2 4" xfId="18790"/>
    <cellStyle name="Output 31 3 2 2 4 2" xfId="39977"/>
    <cellStyle name="Output 31 3 2 2 5" xfId="29196"/>
    <cellStyle name="Output 31 3 2 2_Table 2A-1_EFT (Annual)" xfId="8191"/>
    <cellStyle name="Output 31 3 2 3" xfId="1908"/>
    <cellStyle name="Output 31 3 2 3 2" xfId="5469"/>
    <cellStyle name="Output 31 3 2 3 2 2" xfId="13684"/>
    <cellStyle name="Output 31 3 2 3 2 2 2" xfId="25672"/>
    <cellStyle name="Output 31 3 2 3 2 2 2 2" xfId="46858"/>
    <cellStyle name="Output 31 3 2 3 2 2 3" xfId="36254"/>
    <cellStyle name="Output 31 3 2 3 2 3" xfId="20559"/>
    <cellStyle name="Output 31 3 2 3 2 3 2" xfId="41746"/>
    <cellStyle name="Output 31 3 2 3 2 4" xfId="31126"/>
    <cellStyle name="Output 31 3 2 3 2_Table 2A-1_EFT (Annual)" xfId="8194"/>
    <cellStyle name="Output 31 3 2 3 3" xfId="11028"/>
    <cellStyle name="Output 31 3 2 3 3 2" xfId="23126"/>
    <cellStyle name="Output 31 3 2 3 3 2 2" xfId="44312"/>
    <cellStyle name="Output 31 3 2 3 3 3" xfId="33708"/>
    <cellStyle name="Output 31 3 2 3 4" xfId="18013"/>
    <cellStyle name="Output 31 3 2 3 4 2" xfId="39200"/>
    <cellStyle name="Output 31 3 2 3 5" xfId="28383"/>
    <cellStyle name="Output 31 3 2 3_Table 2A-1_EFT (Annual)" xfId="8193"/>
    <cellStyle name="Output 31 3 2 4" xfId="5013"/>
    <cellStyle name="Output 31 3 2 4 2" xfId="13273"/>
    <cellStyle name="Output 31 3 2 4 2 2" xfId="25279"/>
    <cellStyle name="Output 31 3 2 4 2 2 2" xfId="46465"/>
    <cellStyle name="Output 31 3 2 4 2 3" xfId="35861"/>
    <cellStyle name="Output 31 3 2 4 3" xfId="20166"/>
    <cellStyle name="Output 31 3 2 4 3 2" xfId="41353"/>
    <cellStyle name="Output 31 3 2 4 4" xfId="30670"/>
    <cellStyle name="Output 31 3 2 4_Table 2A-1_EFT (Annual)" xfId="8195"/>
    <cellStyle name="Output 31 3 2 5" xfId="10617"/>
    <cellStyle name="Output 31 3 2 5 2" xfId="22733"/>
    <cellStyle name="Output 31 3 2 5 2 2" xfId="43919"/>
    <cellStyle name="Output 31 3 2 5 3" xfId="33315"/>
    <cellStyle name="Output 31 3 2 6" xfId="17620"/>
    <cellStyle name="Output 31 3 2 6 2" xfId="38807"/>
    <cellStyle name="Output 31 3 2 7" xfId="27927"/>
    <cellStyle name="Output 31 3 2_Table 2A-1_EFT (Annual)" xfId="3464"/>
    <cellStyle name="Output 31 3 3" xfId="2191"/>
    <cellStyle name="Output 31 3 3 2" xfId="5752"/>
    <cellStyle name="Output 31 3 3 2 2" xfId="13967"/>
    <cellStyle name="Output 31 3 3 2 2 2" xfId="25955"/>
    <cellStyle name="Output 31 3 3 2 2 2 2" xfId="47141"/>
    <cellStyle name="Output 31 3 3 2 2 3" xfId="36537"/>
    <cellStyle name="Output 31 3 3 2 3" xfId="20842"/>
    <cellStyle name="Output 31 3 3 2 3 2" xfId="42029"/>
    <cellStyle name="Output 31 3 3 2 4" xfId="31409"/>
    <cellStyle name="Output 31 3 3 2_Table 2A-1_EFT (Annual)" xfId="8197"/>
    <cellStyle name="Output 31 3 3 3" xfId="11311"/>
    <cellStyle name="Output 31 3 3 3 2" xfId="23409"/>
    <cellStyle name="Output 31 3 3 3 2 2" xfId="44595"/>
    <cellStyle name="Output 31 3 3 3 3" xfId="33991"/>
    <cellStyle name="Output 31 3 3 4" xfId="18296"/>
    <cellStyle name="Output 31 3 3 4 2" xfId="39483"/>
    <cellStyle name="Output 31 3 3 5" xfId="28666"/>
    <cellStyle name="Output 31 3 3_Table 2A-1_EFT (Annual)" xfId="8196"/>
    <cellStyle name="Output 31 3 4" xfId="1733"/>
    <cellStyle name="Output 31 3 4 2" xfId="5294"/>
    <cellStyle name="Output 31 3 4 2 2" xfId="13519"/>
    <cellStyle name="Output 31 3 4 2 2 2" xfId="25510"/>
    <cellStyle name="Output 31 3 4 2 2 2 2" xfId="46696"/>
    <cellStyle name="Output 31 3 4 2 2 3" xfId="36092"/>
    <cellStyle name="Output 31 3 4 2 3" xfId="20397"/>
    <cellStyle name="Output 31 3 4 2 3 2" xfId="41584"/>
    <cellStyle name="Output 31 3 4 2 4" xfId="30951"/>
    <cellStyle name="Output 31 3 4 2_Table 2A-1_EFT (Annual)" xfId="8199"/>
    <cellStyle name="Output 31 3 4 3" xfId="10862"/>
    <cellStyle name="Output 31 3 4 3 2" xfId="22964"/>
    <cellStyle name="Output 31 3 4 3 2 2" xfId="44150"/>
    <cellStyle name="Output 31 3 4 3 3" xfId="33546"/>
    <cellStyle name="Output 31 3 4 4" xfId="17851"/>
    <cellStyle name="Output 31 3 4 4 2" xfId="39038"/>
    <cellStyle name="Output 31 3 4 5" xfId="28208"/>
    <cellStyle name="Output 31 3 4_Table 2A-1_EFT (Annual)" xfId="8198"/>
    <cellStyle name="Output 31 3 5" xfId="4045"/>
    <cellStyle name="Output 31 3 5 2" xfId="12369"/>
    <cellStyle name="Output 31 3 5 2 2" xfId="24391"/>
    <cellStyle name="Output 31 3 5 2 2 2" xfId="45577"/>
    <cellStyle name="Output 31 3 5 2 3" xfId="34973"/>
    <cellStyle name="Output 31 3 5 3" xfId="19278"/>
    <cellStyle name="Output 31 3 5 3 2" xfId="40465"/>
    <cellStyle name="Output 31 3 5 4" xfId="29733"/>
    <cellStyle name="Output 31 3 5_Table 2A-1_EFT (Annual)" xfId="8200"/>
    <cellStyle name="Output 31 3 6" xfId="9708"/>
    <cellStyle name="Output 31 3 6 2" xfId="21845"/>
    <cellStyle name="Output 31 3 6 2 2" xfId="43031"/>
    <cellStyle name="Output 31 3 6 3" xfId="32427"/>
    <cellStyle name="Output 31 3 7" xfId="16732"/>
    <cellStyle name="Output 31 3 7 2" xfId="37919"/>
    <cellStyle name="Output 31 3 8" xfId="26990"/>
    <cellStyle name="Output 31 3_Table 2A-1_EFT (Annual)" xfId="3463"/>
    <cellStyle name="Output 31 4" xfId="1291"/>
    <cellStyle name="Output 31 4 2" xfId="2561"/>
    <cellStyle name="Output 31 4 2 2" xfId="6122"/>
    <cellStyle name="Output 31 4 2 2 2" xfId="14316"/>
    <cellStyle name="Output 31 4 2 2 2 2" xfId="26288"/>
    <cellStyle name="Output 31 4 2 2 2 2 2" xfId="47474"/>
    <cellStyle name="Output 31 4 2 2 2 3" xfId="36870"/>
    <cellStyle name="Output 31 4 2 2 3" xfId="21175"/>
    <cellStyle name="Output 31 4 2 2 3 2" xfId="42362"/>
    <cellStyle name="Output 31 4 2 2 4" xfId="31778"/>
    <cellStyle name="Output 31 4 2 2_Table 2A-1_EFT (Annual)" xfId="8202"/>
    <cellStyle name="Output 31 4 2 3" xfId="11658"/>
    <cellStyle name="Output 31 4 2 3 2" xfId="23742"/>
    <cellStyle name="Output 31 4 2 3 2 2" xfId="44928"/>
    <cellStyle name="Output 31 4 2 3 3" xfId="34324"/>
    <cellStyle name="Output 31 4 2 4" xfId="18629"/>
    <cellStyle name="Output 31 4 2 4 2" xfId="39816"/>
    <cellStyle name="Output 31 4 2 5" xfId="29035"/>
    <cellStyle name="Output 31 4 2_Table 2A-1_EFT (Annual)" xfId="8201"/>
    <cellStyle name="Output 31 4 3" xfId="1845"/>
    <cellStyle name="Output 31 4 3 2" xfId="5406"/>
    <cellStyle name="Output 31 4 3 2 2" xfId="13621"/>
    <cellStyle name="Output 31 4 3 2 2 2" xfId="25609"/>
    <cellStyle name="Output 31 4 3 2 2 2 2" xfId="46795"/>
    <cellStyle name="Output 31 4 3 2 2 3" xfId="36191"/>
    <cellStyle name="Output 31 4 3 2 3" xfId="20496"/>
    <cellStyle name="Output 31 4 3 2 3 2" xfId="41683"/>
    <cellStyle name="Output 31 4 3 2 4" xfId="31063"/>
    <cellStyle name="Output 31 4 3 2_Table 2A-1_EFT (Annual)" xfId="8204"/>
    <cellStyle name="Output 31 4 3 3" xfId="10965"/>
    <cellStyle name="Output 31 4 3 3 2" xfId="23063"/>
    <cellStyle name="Output 31 4 3 3 2 2" xfId="44249"/>
    <cellStyle name="Output 31 4 3 3 3" xfId="33645"/>
    <cellStyle name="Output 31 4 3 4" xfId="17950"/>
    <cellStyle name="Output 31 4 3 4 2" xfId="39137"/>
    <cellStyle name="Output 31 4 3 5" xfId="28320"/>
    <cellStyle name="Output 31 4 3_Table 2A-1_EFT (Annual)" xfId="8203"/>
    <cellStyle name="Output 31 4 4" xfId="4852"/>
    <cellStyle name="Output 31 4 4 2" xfId="13112"/>
    <cellStyle name="Output 31 4 4 2 2" xfId="25118"/>
    <cellStyle name="Output 31 4 4 2 2 2" xfId="46304"/>
    <cellStyle name="Output 31 4 4 2 3" xfId="35700"/>
    <cellStyle name="Output 31 4 4 3" xfId="20005"/>
    <cellStyle name="Output 31 4 4 3 2" xfId="41192"/>
    <cellStyle name="Output 31 4 4 4" xfId="30509"/>
    <cellStyle name="Output 31 4 4_Table 2A-1_EFT (Annual)" xfId="8205"/>
    <cellStyle name="Output 31 4 5" xfId="10456"/>
    <cellStyle name="Output 31 4 5 2" xfId="22572"/>
    <cellStyle name="Output 31 4 5 2 2" xfId="43758"/>
    <cellStyle name="Output 31 4 5 3" xfId="33154"/>
    <cellStyle name="Output 31 4 6" xfId="17459"/>
    <cellStyle name="Output 31 4 6 2" xfId="38646"/>
    <cellStyle name="Output 31 4 7" xfId="27766"/>
    <cellStyle name="Output 31 4_Table 2A-1_EFT (Annual)" xfId="3465"/>
    <cellStyle name="Output 31 5" xfId="2030"/>
    <cellStyle name="Output 31 5 2" xfId="5591"/>
    <cellStyle name="Output 31 5 2 2" xfId="13806"/>
    <cellStyle name="Output 31 5 2 2 2" xfId="25794"/>
    <cellStyle name="Output 31 5 2 2 2 2" xfId="46980"/>
    <cellStyle name="Output 31 5 2 2 3" xfId="36376"/>
    <cellStyle name="Output 31 5 2 3" xfId="20681"/>
    <cellStyle name="Output 31 5 2 3 2" xfId="41868"/>
    <cellStyle name="Output 31 5 2 4" xfId="31248"/>
    <cellStyle name="Output 31 5 2_Table 2A-1_EFT (Annual)" xfId="8207"/>
    <cellStyle name="Output 31 5 3" xfId="11150"/>
    <cellStyle name="Output 31 5 3 2" xfId="23248"/>
    <cellStyle name="Output 31 5 3 2 2" xfId="44434"/>
    <cellStyle name="Output 31 5 3 3" xfId="33830"/>
    <cellStyle name="Output 31 5 4" xfId="18135"/>
    <cellStyle name="Output 31 5 4 2" xfId="39322"/>
    <cellStyle name="Output 31 5 5" xfId="28505"/>
    <cellStyle name="Output 31 5_Table 2A-1_EFT (Annual)" xfId="8206"/>
    <cellStyle name="Output 31 6" xfId="1677"/>
    <cellStyle name="Output 31 6 2" xfId="5238"/>
    <cellStyle name="Output 31 6 2 2" xfId="13481"/>
    <cellStyle name="Output 31 6 2 2 2" xfId="25479"/>
    <cellStyle name="Output 31 6 2 2 2 2" xfId="46665"/>
    <cellStyle name="Output 31 6 2 2 3" xfId="36061"/>
    <cellStyle name="Output 31 6 2 3" xfId="20366"/>
    <cellStyle name="Output 31 6 2 3 2" xfId="41553"/>
    <cellStyle name="Output 31 6 2 4" xfId="30895"/>
    <cellStyle name="Output 31 6 2_Table 2A-1_EFT (Annual)" xfId="8209"/>
    <cellStyle name="Output 31 6 3" xfId="10826"/>
    <cellStyle name="Output 31 6 3 2" xfId="22933"/>
    <cellStyle name="Output 31 6 3 2 2" xfId="44119"/>
    <cellStyle name="Output 31 6 3 3" xfId="33515"/>
    <cellStyle name="Output 31 6 4" xfId="17820"/>
    <cellStyle name="Output 31 6 4 2" xfId="39007"/>
    <cellStyle name="Output 31 6 5" xfId="28152"/>
    <cellStyle name="Output 31 6_Table 2A-1_EFT (Annual)" xfId="8208"/>
    <cellStyle name="Output 31 7" xfId="3838"/>
    <cellStyle name="Output 31 7 2" xfId="12201"/>
    <cellStyle name="Output 31 7 2 2" xfId="24230"/>
    <cellStyle name="Output 31 7 2 2 2" xfId="45416"/>
    <cellStyle name="Output 31 7 2 3" xfId="34812"/>
    <cellStyle name="Output 31 7 3" xfId="19117"/>
    <cellStyle name="Output 31 7 3 2" xfId="40304"/>
    <cellStyle name="Output 31 7 4" xfId="29547"/>
    <cellStyle name="Output 31 7_Table 2A-1_EFT (Annual)" xfId="8210"/>
    <cellStyle name="Output 31 8" xfId="9520"/>
    <cellStyle name="Output 31 8 2" xfId="21684"/>
    <cellStyle name="Output 31 8 2 2" xfId="42870"/>
    <cellStyle name="Output 31 8 3" xfId="32266"/>
    <cellStyle name="Output 31 9" xfId="16571"/>
    <cellStyle name="Output 31 9 2" xfId="37758"/>
    <cellStyle name="Output 31_Table 2A-1_EFT (Annual)" xfId="3460"/>
    <cellStyle name="Output 32" xfId="220"/>
    <cellStyle name="Output 32 2" xfId="613"/>
    <cellStyle name="Output 32 2 2" xfId="1590"/>
    <cellStyle name="Output 32 2 2 2" xfId="2860"/>
    <cellStyle name="Output 32 2 2 2 2" xfId="6421"/>
    <cellStyle name="Output 32 2 2 2 2 2" xfId="14615"/>
    <cellStyle name="Output 32 2 2 2 2 2 2" xfId="26587"/>
    <cellStyle name="Output 32 2 2 2 2 2 2 2" xfId="47773"/>
    <cellStyle name="Output 32 2 2 2 2 2 3" xfId="37169"/>
    <cellStyle name="Output 32 2 2 2 2 3" xfId="21474"/>
    <cellStyle name="Output 32 2 2 2 2 3 2" xfId="42661"/>
    <cellStyle name="Output 32 2 2 2 2 4" xfId="32077"/>
    <cellStyle name="Output 32 2 2 2 2_Table 2A-1_EFT (Annual)" xfId="8212"/>
    <cellStyle name="Output 32 2 2 2 3" xfId="11957"/>
    <cellStyle name="Output 32 2 2 2 3 2" xfId="24041"/>
    <cellStyle name="Output 32 2 2 2 3 2 2" xfId="45227"/>
    <cellStyle name="Output 32 2 2 2 3 3" xfId="34623"/>
    <cellStyle name="Output 32 2 2 2 4" xfId="18928"/>
    <cellStyle name="Output 32 2 2 2 4 2" xfId="40115"/>
    <cellStyle name="Output 32 2 2 2 5" xfId="29334"/>
    <cellStyle name="Output 32 2 2 2_Table 2A-1_EFT (Annual)" xfId="8211"/>
    <cellStyle name="Output 32 2 2 3" xfId="1935"/>
    <cellStyle name="Output 32 2 2 3 2" xfId="5496"/>
    <cellStyle name="Output 32 2 2 3 2 2" xfId="13711"/>
    <cellStyle name="Output 32 2 2 3 2 2 2" xfId="25699"/>
    <cellStyle name="Output 32 2 2 3 2 2 2 2" xfId="46885"/>
    <cellStyle name="Output 32 2 2 3 2 2 3" xfId="36281"/>
    <cellStyle name="Output 32 2 2 3 2 3" xfId="20586"/>
    <cellStyle name="Output 32 2 2 3 2 3 2" xfId="41773"/>
    <cellStyle name="Output 32 2 2 3 2 4" xfId="31153"/>
    <cellStyle name="Output 32 2 2 3 2_Table 2A-1_EFT (Annual)" xfId="8214"/>
    <cellStyle name="Output 32 2 2 3 3" xfId="11055"/>
    <cellStyle name="Output 32 2 2 3 3 2" xfId="23153"/>
    <cellStyle name="Output 32 2 2 3 3 2 2" xfId="44339"/>
    <cellStyle name="Output 32 2 2 3 3 3" xfId="33735"/>
    <cellStyle name="Output 32 2 2 3 4" xfId="18040"/>
    <cellStyle name="Output 32 2 2 3 4 2" xfId="39227"/>
    <cellStyle name="Output 32 2 2 3 5" xfId="28410"/>
    <cellStyle name="Output 32 2 2 3_Table 2A-1_EFT (Annual)" xfId="8213"/>
    <cellStyle name="Output 32 2 2 4" xfId="5151"/>
    <cellStyle name="Output 32 2 2 4 2" xfId="13411"/>
    <cellStyle name="Output 32 2 2 4 2 2" xfId="25417"/>
    <cellStyle name="Output 32 2 2 4 2 2 2" xfId="46603"/>
    <cellStyle name="Output 32 2 2 4 2 3" xfId="35999"/>
    <cellStyle name="Output 32 2 2 4 3" xfId="20304"/>
    <cellStyle name="Output 32 2 2 4 3 2" xfId="41491"/>
    <cellStyle name="Output 32 2 2 4 4" xfId="30808"/>
    <cellStyle name="Output 32 2 2 4_Table 2A-1_EFT (Annual)" xfId="8215"/>
    <cellStyle name="Output 32 2 2 5" xfId="10755"/>
    <cellStyle name="Output 32 2 2 5 2" xfId="22871"/>
    <cellStyle name="Output 32 2 2 5 2 2" xfId="44057"/>
    <cellStyle name="Output 32 2 2 5 3" xfId="33453"/>
    <cellStyle name="Output 32 2 2 6" xfId="17758"/>
    <cellStyle name="Output 32 2 2 6 2" xfId="38945"/>
    <cellStyle name="Output 32 2 2 7" xfId="28065"/>
    <cellStyle name="Output 32 2 2_Table 2A-1_EFT (Annual)" xfId="3468"/>
    <cellStyle name="Output 32 2 3" xfId="2329"/>
    <cellStyle name="Output 32 2 3 2" xfId="5890"/>
    <cellStyle name="Output 32 2 3 2 2" xfId="14105"/>
    <cellStyle name="Output 32 2 3 2 2 2" xfId="26093"/>
    <cellStyle name="Output 32 2 3 2 2 2 2" xfId="47279"/>
    <cellStyle name="Output 32 2 3 2 2 3" xfId="36675"/>
    <cellStyle name="Output 32 2 3 2 3" xfId="20980"/>
    <cellStyle name="Output 32 2 3 2 3 2" xfId="42167"/>
    <cellStyle name="Output 32 2 3 2 4" xfId="31547"/>
    <cellStyle name="Output 32 2 3 2_Table 2A-1_EFT (Annual)" xfId="8217"/>
    <cellStyle name="Output 32 2 3 3" xfId="11449"/>
    <cellStyle name="Output 32 2 3 3 2" xfId="23547"/>
    <cellStyle name="Output 32 2 3 3 2 2" xfId="44733"/>
    <cellStyle name="Output 32 2 3 3 3" xfId="34129"/>
    <cellStyle name="Output 32 2 3 4" xfId="18434"/>
    <cellStyle name="Output 32 2 3 4 2" xfId="39621"/>
    <cellStyle name="Output 32 2 3 5" xfId="28804"/>
    <cellStyle name="Output 32 2 3_Table 2A-1_EFT (Annual)" xfId="8216"/>
    <cellStyle name="Output 32 2 4" xfId="1760"/>
    <cellStyle name="Output 32 2 4 2" xfId="5321"/>
    <cellStyle name="Output 32 2 4 2 2" xfId="13546"/>
    <cellStyle name="Output 32 2 4 2 2 2" xfId="25537"/>
    <cellStyle name="Output 32 2 4 2 2 2 2" xfId="46723"/>
    <cellStyle name="Output 32 2 4 2 2 3" xfId="36119"/>
    <cellStyle name="Output 32 2 4 2 3" xfId="20424"/>
    <cellStyle name="Output 32 2 4 2 3 2" xfId="41611"/>
    <cellStyle name="Output 32 2 4 2 4" xfId="30978"/>
    <cellStyle name="Output 32 2 4 2_Table 2A-1_EFT (Annual)" xfId="8219"/>
    <cellStyle name="Output 32 2 4 3" xfId="10889"/>
    <cellStyle name="Output 32 2 4 3 2" xfId="22991"/>
    <cellStyle name="Output 32 2 4 3 2 2" xfId="44177"/>
    <cellStyle name="Output 32 2 4 3 3" xfId="33573"/>
    <cellStyle name="Output 32 2 4 4" xfId="17878"/>
    <cellStyle name="Output 32 2 4 4 2" xfId="39065"/>
    <cellStyle name="Output 32 2 4 5" xfId="28235"/>
    <cellStyle name="Output 32 2 4_Table 2A-1_EFT (Annual)" xfId="8218"/>
    <cellStyle name="Output 32 2 5" xfId="4183"/>
    <cellStyle name="Output 32 2 5 2" xfId="12507"/>
    <cellStyle name="Output 32 2 5 2 2" xfId="24529"/>
    <cellStyle name="Output 32 2 5 2 2 2" xfId="45715"/>
    <cellStyle name="Output 32 2 5 2 3" xfId="35111"/>
    <cellStyle name="Output 32 2 5 3" xfId="19416"/>
    <cellStyle name="Output 32 2 5 3 2" xfId="40603"/>
    <cellStyle name="Output 32 2 5 4" xfId="29871"/>
    <cellStyle name="Output 32 2 5_Table 2A-1_EFT (Annual)" xfId="8220"/>
    <cellStyle name="Output 32 2 6" xfId="9846"/>
    <cellStyle name="Output 32 2 6 2" xfId="21983"/>
    <cellStyle name="Output 32 2 6 2 2" xfId="43169"/>
    <cellStyle name="Output 32 2 6 3" xfId="32565"/>
    <cellStyle name="Output 32 2 7" xfId="16870"/>
    <cellStyle name="Output 32 2 7 2" xfId="38057"/>
    <cellStyle name="Output 32 2 8" xfId="27128"/>
    <cellStyle name="Output 32 2_Table 2A-1_EFT (Annual)" xfId="3467"/>
    <cellStyle name="Output 32 3" xfId="1268"/>
    <cellStyle name="Output 32 3 2" xfId="2538"/>
    <cellStyle name="Output 32 3 2 2" xfId="6099"/>
    <cellStyle name="Output 32 3 2 2 2" xfId="14293"/>
    <cellStyle name="Output 32 3 2 2 2 2" xfId="26265"/>
    <cellStyle name="Output 32 3 2 2 2 2 2" xfId="47451"/>
    <cellStyle name="Output 32 3 2 2 2 3" xfId="36847"/>
    <cellStyle name="Output 32 3 2 2 3" xfId="21152"/>
    <cellStyle name="Output 32 3 2 2 3 2" xfId="42339"/>
    <cellStyle name="Output 32 3 2 2 4" xfId="31755"/>
    <cellStyle name="Output 32 3 2 2_Table 2A-1_EFT (Annual)" xfId="8222"/>
    <cellStyle name="Output 32 3 2 3" xfId="11635"/>
    <cellStyle name="Output 32 3 2 3 2" xfId="23719"/>
    <cellStyle name="Output 32 3 2 3 2 2" xfId="44905"/>
    <cellStyle name="Output 32 3 2 3 3" xfId="34301"/>
    <cellStyle name="Output 32 3 2 4" xfId="18606"/>
    <cellStyle name="Output 32 3 2 4 2" xfId="39793"/>
    <cellStyle name="Output 32 3 2 5" xfId="29012"/>
    <cellStyle name="Output 32 3 2_Table 2A-1_EFT (Annual)" xfId="8221"/>
    <cellStyle name="Output 32 3 3" xfId="1840"/>
    <cellStyle name="Output 32 3 3 2" xfId="5401"/>
    <cellStyle name="Output 32 3 3 2 2" xfId="13616"/>
    <cellStyle name="Output 32 3 3 2 2 2" xfId="25604"/>
    <cellStyle name="Output 32 3 3 2 2 2 2" xfId="46790"/>
    <cellStyle name="Output 32 3 3 2 2 3" xfId="36186"/>
    <cellStyle name="Output 32 3 3 2 3" xfId="20491"/>
    <cellStyle name="Output 32 3 3 2 3 2" xfId="41678"/>
    <cellStyle name="Output 32 3 3 2 4" xfId="31058"/>
    <cellStyle name="Output 32 3 3 2_Table 2A-1_EFT (Annual)" xfId="8224"/>
    <cellStyle name="Output 32 3 3 3" xfId="10960"/>
    <cellStyle name="Output 32 3 3 3 2" xfId="23058"/>
    <cellStyle name="Output 32 3 3 3 2 2" xfId="44244"/>
    <cellStyle name="Output 32 3 3 3 3" xfId="33640"/>
    <cellStyle name="Output 32 3 3 4" xfId="17945"/>
    <cellStyle name="Output 32 3 3 4 2" xfId="39132"/>
    <cellStyle name="Output 32 3 3 5" xfId="28315"/>
    <cellStyle name="Output 32 3 3_Table 2A-1_EFT (Annual)" xfId="8223"/>
    <cellStyle name="Output 32 3 4" xfId="4829"/>
    <cellStyle name="Output 32 3 4 2" xfId="13089"/>
    <cellStyle name="Output 32 3 4 2 2" xfId="25095"/>
    <cellStyle name="Output 32 3 4 2 2 2" xfId="46281"/>
    <cellStyle name="Output 32 3 4 2 3" xfId="35677"/>
    <cellStyle name="Output 32 3 4 3" xfId="19982"/>
    <cellStyle name="Output 32 3 4 3 2" xfId="41169"/>
    <cellStyle name="Output 32 3 4 4" xfId="30486"/>
    <cellStyle name="Output 32 3 4_Table 2A-1_EFT (Annual)" xfId="8225"/>
    <cellStyle name="Output 32 3 5" xfId="10433"/>
    <cellStyle name="Output 32 3 5 2" xfId="22549"/>
    <cellStyle name="Output 32 3 5 2 2" xfId="43735"/>
    <cellStyle name="Output 32 3 5 3" xfId="33131"/>
    <cellStyle name="Output 32 3 6" xfId="17436"/>
    <cellStyle name="Output 32 3 6 2" xfId="38623"/>
    <cellStyle name="Output 32 3 7" xfId="27743"/>
    <cellStyle name="Output 32 3_Table 2A-1_EFT (Annual)" xfId="3469"/>
    <cellStyle name="Output 32 4" xfId="2007"/>
    <cellStyle name="Output 32 4 2" xfId="5568"/>
    <cellStyle name="Output 32 4 2 2" xfId="13783"/>
    <cellStyle name="Output 32 4 2 2 2" xfId="25771"/>
    <cellStyle name="Output 32 4 2 2 2 2" xfId="46957"/>
    <cellStyle name="Output 32 4 2 2 3" xfId="36353"/>
    <cellStyle name="Output 32 4 2 3" xfId="20658"/>
    <cellStyle name="Output 32 4 2 3 2" xfId="41845"/>
    <cellStyle name="Output 32 4 2 4" xfId="31225"/>
    <cellStyle name="Output 32 4 2_Table 2A-1_EFT (Annual)" xfId="8227"/>
    <cellStyle name="Output 32 4 3" xfId="11127"/>
    <cellStyle name="Output 32 4 3 2" xfId="23225"/>
    <cellStyle name="Output 32 4 3 2 2" xfId="44411"/>
    <cellStyle name="Output 32 4 3 3" xfId="33807"/>
    <cellStyle name="Output 32 4 4" xfId="18112"/>
    <cellStyle name="Output 32 4 4 2" xfId="39299"/>
    <cellStyle name="Output 32 4 5" xfId="28482"/>
    <cellStyle name="Output 32 4_Table 2A-1_EFT (Annual)" xfId="8226"/>
    <cellStyle name="Output 32 5" xfId="1667"/>
    <cellStyle name="Output 32 5 2" xfId="5228"/>
    <cellStyle name="Output 32 5 2 2" xfId="13475"/>
    <cellStyle name="Output 32 5 2 2 2" xfId="25475"/>
    <cellStyle name="Output 32 5 2 2 2 2" xfId="46661"/>
    <cellStyle name="Output 32 5 2 2 3" xfId="36057"/>
    <cellStyle name="Output 32 5 2 3" xfId="20362"/>
    <cellStyle name="Output 32 5 2 3 2" xfId="41549"/>
    <cellStyle name="Output 32 5 2 4" xfId="30885"/>
    <cellStyle name="Output 32 5 2_Table 2A-1_EFT (Annual)" xfId="8229"/>
    <cellStyle name="Output 32 5 3" xfId="10820"/>
    <cellStyle name="Output 32 5 3 2" xfId="22929"/>
    <cellStyle name="Output 32 5 3 2 2" xfId="44115"/>
    <cellStyle name="Output 32 5 3 3" xfId="33511"/>
    <cellStyle name="Output 32 5 4" xfId="17816"/>
    <cellStyle name="Output 32 5 4 2" xfId="39003"/>
    <cellStyle name="Output 32 5 5" xfId="28142"/>
    <cellStyle name="Output 32 5_Table 2A-1_EFT (Annual)" xfId="8228"/>
    <cellStyle name="Output 32 6" xfId="3809"/>
    <cellStyle name="Output 32 6 2" xfId="12177"/>
    <cellStyle name="Output 32 6 2 2" xfId="24207"/>
    <cellStyle name="Output 32 6 2 2 2" xfId="45393"/>
    <cellStyle name="Output 32 6 2 3" xfId="34789"/>
    <cellStyle name="Output 32 6 3" xfId="19094"/>
    <cellStyle name="Output 32 6 3 2" xfId="40281"/>
    <cellStyle name="Output 32 6 4" xfId="29518"/>
    <cellStyle name="Output 32 6_Table 2A-1_EFT (Annual)" xfId="8230"/>
    <cellStyle name="Output 32 7" xfId="9496"/>
    <cellStyle name="Output 32 7 2" xfId="21661"/>
    <cellStyle name="Output 32 7 2 2" xfId="42847"/>
    <cellStyle name="Output 32 7 3" xfId="32243"/>
    <cellStyle name="Output 32 8" xfId="16548"/>
    <cellStyle name="Output 32 8 2" xfId="37735"/>
    <cellStyle name="Output 32 9" xfId="26775"/>
    <cellStyle name="Output 32_Table 2A-1_EFT (Annual)" xfId="3466"/>
    <cellStyle name="Output 33" xfId="293"/>
    <cellStyle name="Output 33 2" xfId="1297"/>
    <cellStyle name="Output 33 2 2" xfId="2567"/>
    <cellStyle name="Output 33 2 2 2" xfId="6128"/>
    <cellStyle name="Output 33 2 2 2 2" xfId="14322"/>
    <cellStyle name="Output 33 2 2 2 2 2" xfId="26294"/>
    <cellStyle name="Output 33 2 2 2 2 2 2" xfId="47480"/>
    <cellStyle name="Output 33 2 2 2 2 3" xfId="36876"/>
    <cellStyle name="Output 33 2 2 2 3" xfId="21181"/>
    <cellStyle name="Output 33 2 2 2 3 2" xfId="42368"/>
    <cellStyle name="Output 33 2 2 2 4" xfId="31784"/>
    <cellStyle name="Output 33 2 2 2_Table 2A-1_EFT (Annual)" xfId="8232"/>
    <cellStyle name="Output 33 2 2 3" xfId="11664"/>
    <cellStyle name="Output 33 2 2 3 2" xfId="23748"/>
    <cellStyle name="Output 33 2 2 3 2 2" xfId="44934"/>
    <cellStyle name="Output 33 2 2 3 3" xfId="34330"/>
    <cellStyle name="Output 33 2 2 4" xfId="18635"/>
    <cellStyle name="Output 33 2 2 4 2" xfId="39822"/>
    <cellStyle name="Output 33 2 2 5" xfId="29041"/>
    <cellStyle name="Output 33 2 2_Table 2A-1_EFT (Annual)" xfId="8231"/>
    <cellStyle name="Output 33 2 3" xfId="1872"/>
    <cellStyle name="Output 33 2 3 2" xfId="5433"/>
    <cellStyle name="Output 33 2 3 2 2" xfId="13648"/>
    <cellStyle name="Output 33 2 3 2 2 2" xfId="25636"/>
    <cellStyle name="Output 33 2 3 2 2 2 2" xfId="46822"/>
    <cellStyle name="Output 33 2 3 2 2 3" xfId="36218"/>
    <cellStyle name="Output 33 2 3 2 3" xfId="20523"/>
    <cellStyle name="Output 33 2 3 2 3 2" xfId="41710"/>
    <cellStyle name="Output 33 2 3 2 4" xfId="31090"/>
    <cellStyle name="Output 33 2 3 2_Table 2A-1_EFT (Annual)" xfId="8234"/>
    <cellStyle name="Output 33 2 3 3" xfId="10992"/>
    <cellStyle name="Output 33 2 3 3 2" xfId="23090"/>
    <cellStyle name="Output 33 2 3 3 2 2" xfId="44276"/>
    <cellStyle name="Output 33 2 3 3 3" xfId="33672"/>
    <cellStyle name="Output 33 2 3 4" xfId="17977"/>
    <cellStyle name="Output 33 2 3 4 2" xfId="39164"/>
    <cellStyle name="Output 33 2 3 5" xfId="28347"/>
    <cellStyle name="Output 33 2 3_Table 2A-1_EFT (Annual)" xfId="8233"/>
    <cellStyle name="Output 33 2 4" xfId="4858"/>
    <cellStyle name="Output 33 2 4 2" xfId="13118"/>
    <cellStyle name="Output 33 2 4 2 2" xfId="25124"/>
    <cellStyle name="Output 33 2 4 2 2 2" xfId="46310"/>
    <cellStyle name="Output 33 2 4 2 3" xfId="35706"/>
    <cellStyle name="Output 33 2 4 3" xfId="20011"/>
    <cellStyle name="Output 33 2 4 3 2" xfId="41198"/>
    <cellStyle name="Output 33 2 4 4" xfId="30515"/>
    <cellStyle name="Output 33 2 4_Table 2A-1_EFT (Annual)" xfId="8235"/>
    <cellStyle name="Output 33 2 5" xfId="10462"/>
    <cellStyle name="Output 33 2 5 2" xfId="22578"/>
    <cellStyle name="Output 33 2 5 2 2" xfId="43764"/>
    <cellStyle name="Output 33 2 5 3" xfId="33160"/>
    <cellStyle name="Output 33 2 6" xfId="17465"/>
    <cellStyle name="Output 33 2 6 2" xfId="38652"/>
    <cellStyle name="Output 33 2 7" xfId="27772"/>
    <cellStyle name="Output 33 2_Table 2A-1_EFT (Annual)" xfId="3471"/>
    <cellStyle name="Output 33 3" xfId="2036"/>
    <cellStyle name="Output 33 3 2" xfId="5597"/>
    <cellStyle name="Output 33 3 2 2" xfId="13812"/>
    <cellStyle name="Output 33 3 2 2 2" xfId="25800"/>
    <cellStyle name="Output 33 3 2 2 2 2" xfId="46986"/>
    <cellStyle name="Output 33 3 2 2 3" xfId="36382"/>
    <cellStyle name="Output 33 3 2 3" xfId="20687"/>
    <cellStyle name="Output 33 3 2 3 2" xfId="41874"/>
    <cellStyle name="Output 33 3 2 4" xfId="31254"/>
    <cellStyle name="Output 33 3 2_Table 2A-1_EFT (Annual)" xfId="8237"/>
    <cellStyle name="Output 33 3 3" xfId="11156"/>
    <cellStyle name="Output 33 3 3 2" xfId="23254"/>
    <cellStyle name="Output 33 3 3 2 2" xfId="44440"/>
    <cellStyle name="Output 33 3 3 3" xfId="33836"/>
    <cellStyle name="Output 33 3 4" xfId="18141"/>
    <cellStyle name="Output 33 3 4 2" xfId="39328"/>
    <cellStyle name="Output 33 3 5" xfId="28511"/>
    <cellStyle name="Output 33 3_Table 2A-1_EFT (Annual)" xfId="8236"/>
    <cellStyle name="Output 33 4" xfId="1679"/>
    <cellStyle name="Output 33 4 2" xfId="5240"/>
    <cellStyle name="Output 33 4 2 2" xfId="13483"/>
    <cellStyle name="Output 33 4 2 2 2" xfId="25480"/>
    <cellStyle name="Output 33 4 2 2 2 2" xfId="46666"/>
    <cellStyle name="Output 33 4 2 2 3" xfId="36062"/>
    <cellStyle name="Output 33 4 2 3" xfId="20367"/>
    <cellStyle name="Output 33 4 2 3 2" xfId="41554"/>
    <cellStyle name="Output 33 4 2 4" xfId="30897"/>
    <cellStyle name="Output 33 4 2_Table 2A-1_EFT (Annual)" xfId="8239"/>
    <cellStyle name="Output 33 4 3" xfId="10827"/>
    <cellStyle name="Output 33 4 3 2" xfId="22934"/>
    <cellStyle name="Output 33 4 3 2 2" xfId="44120"/>
    <cellStyle name="Output 33 4 3 3" xfId="33516"/>
    <cellStyle name="Output 33 4 4" xfId="17821"/>
    <cellStyle name="Output 33 4 4 2" xfId="39008"/>
    <cellStyle name="Output 33 4 5" xfId="28154"/>
    <cellStyle name="Output 33 4_Table 2A-1_EFT (Annual)" xfId="8238"/>
    <cellStyle name="Output 33 5" xfId="3865"/>
    <cellStyle name="Output 33 5 2" xfId="12207"/>
    <cellStyle name="Output 33 5 2 2" xfId="24236"/>
    <cellStyle name="Output 33 5 2 2 2" xfId="45422"/>
    <cellStyle name="Output 33 5 2 3" xfId="34818"/>
    <cellStyle name="Output 33 5 3" xfId="19123"/>
    <cellStyle name="Output 33 5 3 2" xfId="40310"/>
    <cellStyle name="Output 33 5 4" xfId="29554"/>
    <cellStyle name="Output 33 5_Table 2A-1_EFT (Annual)" xfId="8240"/>
    <cellStyle name="Output 33 6" xfId="9542"/>
    <cellStyle name="Output 33 6 2" xfId="21690"/>
    <cellStyle name="Output 33 6 2 2" xfId="42876"/>
    <cellStyle name="Output 33 6 3" xfId="32272"/>
    <cellStyle name="Output 33 7" xfId="16577"/>
    <cellStyle name="Output 33 7 2" xfId="37764"/>
    <cellStyle name="Output 33 8" xfId="26811"/>
    <cellStyle name="Output 33_Table 2A-1_EFT (Annual)" xfId="3470"/>
    <cellStyle name="Output 34" xfId="640"/>
    <cellStyle name="Output 34 2" xfId="1617"/>
    <cellStyle name="Output 34 2 2" xfId="2887"/>
    <cellStyle name="Output 34 2 2 2" xfId="6448"/>
    <cellStyle name="Output 34 2 2 2 2" xfId="14642"/>
    <cellStyle name="Output 34 2 2 2 2 2" xfId="26614"/>
    <cellStyle name="Output 34 2 2 2 2 2 2" xfId="47800"/>
    <cellStyle name="Output 34 2 2 2 2 3" xfId="37196"/>
    <cellStyle name="Output 34 2 2 2 3" xfId="21501"/>
    <cellStyle name="Output 34 2 2 2 3 2" xfId="42688"/>
    <cellStyle name="Output 34 2 2 2 4" xfId="32104"/>
    <cellStyle name="Output 34 2 2 2_Table 2A-1_EFT (Annual)" xfId="8243"/>
    <cellStyle name="Output 34 2 2 3" xfId="11984"/>
    <cellStyle name="Output 34 2 2 3 2" xfId="24068"/>
    <cellStyle name="Output 34 2 2 3 2 2" xfId="45254"/>
    <cellStyle name="Output 34 2 2 3 3" xfId="34650"/>
    <cellStyle name="Output 34 2 2 4" xfId="18955"/>
    <cellStyle name="Output 34 2 2 4 2" xfId="40142"/>
    <cellStyle name="Output 34 2 2 5" xfId="29361"/>
    <cellStyle name="Output 34 2 2_Table 2A-1_EFT (Annual)" xfId="8242"/>
    <cellStyle name="Output 34 2 3" xfId="1940"/>
    <cellStyle name="Output 34 2 3 2" xfId="5501"/>
    <cellStyle name="Output 34 2 3 2 2" xfId="13716"/>
    <cellStyle name="Output 34 2 3 2 2 2" xfId="25704"/>
    <cellStyle name="Output 34 2 3 2 2 2 2" xfId="46890"/>
    <cellStyle name="Output 34 2 3 2 2 3" xfId="36286"/>
    <cellStyle name="Output 34 2 3 2 3" xfId="20591"/>
    <cellStyle name="Output 34 2 3 2 3 2" xfId="41778"/>
    <cellStyle name="Output 34 2 3 2 4" xfId="31158"/>
    <cellStyle name="Output 34 2 3 2_Table 2A-1_EFT (Annual)" xfId="8245"/>
    <cellStyle name="Output 34 2 3 3" xfId="11060"/>
    <cellStyle name="Output 34 2 3 3 2" xfId="23158"/>
    <cellStyle name="Output 34 2 3 3 2 2" xfId="44344"/>
    <cellStyle name="Output 34 2 3 3 3" xfId="33740"/>
    <cellStyle name="Output 34 2 3 4" xfId="18045"/>
    <cellStyle name="Output 34 2 3 4 2" xfId="39232"/>
    <cellStyle name="Output 34 2 3 5" xfId="28415"/>
    <cellStyle name="Output 34 2 3_Table 2A-1_EFT (Annual)" xfId="8244"/>
    <cellStyle name="Output 34 2 4" xfId="5178"/>
    <cellStyle name="Output 34 2 4 2" xfId="13438"/>
    <cellStyle name="Output 34 2 4 2 2" xfId="25444"/>
    <cellStyle name="Output 34 2 4 2 2 2" xfId="46630"/>
    <cellStyle name="Output 34 2 4 2 3" xfId="36026"/>
    <cellStyle name="Output 34 2 4 3" xfId="20331"/>
    <cellStyle name="Output 34 2 4 3 2" xfId="41518"/>
    <cellStyle name="Output 34 2 4 4" xfId="30835"/>
    <cellStyle name="Output 34 2 4_Table 2A-1_EFT (Annual)" xfId="8246"/>
    <cellStyle name="Output 34 2 5" xfId="10782"/>
    <cellStyle name="Output 34 2 5 2" xfId="22898"/>
    <cellStyle name="Output 34 2 5 2 2" xfId="44084"/>
    <cellStyle name="Output 34 2 5 3" xfId="33480"/>
    <cellStyle name="Output 34 2 6" xfId="17785"/>
    <cellStyle name="Output 34 2 6 2" xfId="38972"/>
    <cellStyle name="Output 34 2 7" xfId="28092"/>
    <cellStyle name="Output 34 2_Table 2A-1_EFT (Annual)" xfId="3472"/>
    <cellStyle name="Output 34 3" xfId="1129"/>
    <cellStyle name="Output 34 3 2" xfId="2402"/>
    <cellStyle name="Output 34 3 2 2" xfId="5963"/>
    <cellStyle name="Output 34 3 2 2 2" xfId="14157"/>
    <cellStyle name="Output 34 3 2 2 2 2" xfId="26129"/>
    <cellStyle name="Output 34 3 2 2 2 2 2" xfId="47315"/>
    <cellStyle name="Output 34 3 2 2 2 3" xfId="36711"/>
    <cellStyle name="Output 34 3 2 2 3" xfId="21016"/>
    <cellStyle name="Output 34 3 2 2 3 2" xfId="42203"/>
    <cellStyle name="Output 34 3 2 2 4" xfId="31619"/>
    <cellStyle name="Output 34 3 2 2_Table 2A-1_EFT (Annual)" xfId="8248"/>
    <cellStyle name="Output 34 3 2 3" xfId="11499"/>
    <cellStyle name="Output 34 3 2 3 2" xfId="23583"/>
    <cellStyle name="Output 34 3 2 3 2 2" xfId="44769"/>
    <cellStyle name="Output 34 3 2 3 3" xfId="34165"/>
    <cellStyle name="Output 34 3 2 4" xfId="18470"/>
    <cellStyle name="Output 34 3 2 4 2" xfId="39657"/>
    <cellStyle name="Output 34 3 2 5" xfId="28876"/>
    <cellStyle name="Output 34 3 2_Table 2A-1_EFT (Annual)" xfId="8247"/>
    <cellStyle name="Output 34 3 3" xfId="4690"/>
    <cellStyle name="Output 34 3 3 2" xfId="12950"/>
    <cellStyle name="Output 34 3 3 2 2" xfId="24956"/>
    <cellStyle name="Output 34 3 3 2 2 2" xfId="46142"/>
    <cellStyle name="Output 34 3 3 2 3" xfId="35538"/>
    <cellStyle name="Output 34 3 3 3" xfId="19843"/>
    <cellStyle name="Output 34 3 3 3 2" xfId="41030"/>
    <cellStyle name="Output 34 3 3 4" xfId="30347"/>
    <cellStyle name="Output 34 3 3_Table 2A-1_EFT (Annual)" xfId="8249"/>
    <cellStyle name="Output 34 3 4" xfId="10294"/>
    <cellStyle name="Output 34 3 4 2" xfId="22410"/>
    <cellStyle name="Output 34 3 4 2 2" xfId="43596"/>
    <cellStyle name="Output 34 3 4 3" xfId="32992"/>
    <cellStyle name="Output 34 3 5" xfId="17297"/>
    <cellStyle name="Output 34 3 5 2" xfId="38484"/>
    <cellStyle name="Output 34 3 6" xfId="27604"/>
    <cellStyle name="Output 34 3_Table 2A-1_EFT (Annual)" xfId="3473"/>
    <cellStyle name="Output 34 4" xfId="2356"/>
    <cellStyle name="Output 34 4 2" xfId="5917"/>
    <cellStyle name="Output 34 4 2 2" xfId="14132"/>
    <cellStyle name="Output 34 4 2 2 2" xfId="26120"/>
    <cellStyle name="Output 34 4 2 2 2 2" xfId="47306"/>
    <cellStyle name="Output 34 4 2 2 3" xfId="36702"/>
    <cellStyle name="Output 34 4 2 3" xfId="21007"/>
    <cellStyle name="Output 34 4 2 3 2" xfId="42194"/>
    <cellStyle name="Output 34 4 2 4" xfId="31574"/>
    <cellStyle name="Output 34 4 2_Table 2A-1_EFT (Annual)" xfId="8251"/>
    <cellStyle name="Output 34 4 3" xfId="11476"/>
    <cellStyle name="Output 34 4 3 2" xfId="23574"/>
    <cellStyle name="Output 34 4 3 2 2" xfId="44760"/>
    <cellStyle name="Output 34 4 3 3" xfId="34156"/>
    <cellStyle name="Output 34 4 4" xfId="18461"/>
    <cellStyle name="Output 34 4 4 2" xfId="39648"/>
    <cellStyle name="Output 34 4 5" xfId="28831"/>
    <cellStyle name="Output 34 4_Table 2A-1_EFT (Annual)" xfId="8250"/>
    <cellStyle name="Output 34 5" xfId="4210"/>
    <cellStyle name="Output 34 5 2" xfId="12534"/>
    <cellStyle name="Output 34 5 2 2" xfId="24556"/>
    <cellStyle name="Output 34 5 2 2 2" xfId="45742"/>
    <cellStyle name="Output 34 5 2 3" xfId="35138"/>
    <cellStyle name="Output 34 5 3" xfId="19443"/>
    <cellStyle name="Output 34 5 3 2" xfId="40630"/>
    <cellStyle name="Output 34 5 4" xfId="29898"/>
    <cellStyle name="Output 34 5_Table 2A-1_EFT (Annual)" xfId="8252"/>
    <cellStyle name="Output 34 6" xfId="9873"/>
    <cellStyle name="Output 34 6 2" xfId="22010"/>
    <cellStyle name="Output 34 6 2 2" xfId="43196"/>
    <cellStyle name="Output 34 6 3" xfId="32592"/>
    <cellStyle name="Output 34 7" xfId="16897"/>
    <cellStyle name="Output 34 7 2" xfId="38084"/>
    <cellStyle name="Output 34 8" xfId="27155"/>
    <cellStyle name="Output 34_Table 2A-1_EFT (Annual)" xfId="8241"/>
    <cellStyle name="Output 35" xfId="697"/>
    <cellStyle name="Output 35 2" xfId="2364"/>
    <cellStyle name="Output 35 2 2" xfId="5925"/>
    <cellStyle name="Output 35 2 2 2" xfId="14139"/>
    <cellStyle name="Output 35 2 2 2 2" xfId="26127"/>
    <cellStyle name="Output 35 2 2 2 2 2" xfId="47313"/>
    <cellStyle name="Output 35 2 2 2 3" xfId="36709"/>
    <cellStyle name="Output 35 2 2 3" xfId="21014"/>
    <cellStyle name="Output 35 2 2 3 2" xfId="42201"/>
    <cellStyle name="Output 35 2 2 4" xfId="31581"/>
    <cellStyle name="Output 35 2 2_Table 2A-1_EFT (Annual)" xfId="8254"/>
    <cellStyle name="Output 35 2 3" xfId="11484"/>
    <cellStyle name="Output 35 2 3 2" xfId="23581"/>
    <cellStyle name="Output 35 2 3 2 2" xfId="44767"/>
    <cellStyle name="Output 35 2 3 3" xfId="34163"/>
    <cellStyle name="Output 35 2 4" xfId="18468"/>
    <cellStyle name="Output 35 2 4 2" xfId="39655"/>
    <cellStyle name="Output 35 2 5" xfId="28838"/>
    <cellStyle name="Output 35 2_Table 2A-1_EFT (Annual)" xfId="8253"/>
    <cellStyle name="Output 35 3" xfId="1622"/>
    <cellStyle name="Output 35 3 2" xfId="5183"/>
    <cellStyle name="Output 35 3 2 2" xfId="13443"/>
    <cellStyle name="Output 35 3 2 2 2" xfId="25448"/>
    <cellStyle name="Output 35 3 2 2 2 2" xfId="46634"/>
    <cellStyle name="Output 35 3 2 2 3" xfId="36030"/>
    <cellStyle name="Output 35 3 2 3" xfId="20335"/>
    <cellStyle name="Output 35 3 2 3 2" xfId="41522"/>
    <cellStyle name="Output 35 3 2 4" xfId="30840"/>
    <cellStyle name="Output 35 3 2_Table 2A-1_EFT (Annual)" xfId="8256"/>
    <cellStyle name="Output 35 3 3" xfId="10786"/>
    <cellStyle name="Output 35 3 3 2" xfId="22902"/>
    <cellStyle name="Output 35 3 3 2 2" xfId="44088"/>
    <cellStyle name="Output 35 3 3 3" xfId="33484"/>
    <cellStyle name="Output 35 3 4" xfId="17789"/>
    <cellStyle name="Output 35 3 4 2" xfId="38976"/>
    <cellStyle name="Output 35 3 5" xfId="28097"/>
    <cellStyle name="Output 35 3_Table 2A-1_EFT (Annual)" xfId="8255"/>
    <cellStyle name="Output 35 4" xfId="4260"/>
    <cellStyle name="Output 35 4 2" xfId="12545"/>
    <cellStyle name="Output 35 4 2 2" xfId="24563"/>
    <cellStyle name="Output 35 4 2 2 2" xfId="45749"/>
    <cellStyle name="Output 35 4 2 3" xfId="35145"/>
    <cellStyle name="Output 35 4 3" xfId="19450"/>
    <cellStyle name="Output 35 4 3 2" xfId="40637"/>
    <cellStyle name="Output 35 4 4" xfId="29918"/>
    <cellStyle name="Output 35 4_Table 2A-1_EFT (Annual)" xfId="8257"/>
    <cellStyle name="Output 35 5" xfId="9891"/>
    <cellStyle name="Output 35 5 2" xfId="22017"/>
    <cellStyle name="Output 35 5 2 2" xfId="43203"/>
    <cellStyle name="Output 35 5 3" xfId="32599"/>
    <cellStyle name="Output 35 6" xfId="16904"/>
    <cellStyle name="Output 35 6 2" xfId="38091"/>
    <cellStyle name="Output 35 7" xfId="27175"/>
    <cellStyle name="Output 35_Table 2A-1_EFT (Annual)" xfId="3474"/>
    <cellStyle name="Output 36" xfId="16011"/>
    <cellStyle name="Output 36 2" xfId="37204"/>
    <cellStyle name="Output 37" xfId="47808"/>
    <cellStyle name="Output 4" xfId="92"/>
    <cellStyle name="Output 4 10" xfId="21520"/>
    <cellStyle name="Output 4 10 2" xfId="42707"/>
    <cellStyle name="Output 4 11" xfId="26648"/>
    <cellStyle name="Output 4 2" xfId="491"/>
    <cellStyle name="Output 4 2 2" xfId="1468"/>
    <cellStyle name="Output 4 2 2 2" xfId="2738"/>
    <cellStyle name="Output 4 2 2 2 2" xfId="6299"/>
    <cellStyle name="Output 4 2 2 2 2 2" xfId="14493"/>
    <cellStyle name="Output 4 2 2 2 2 2 2" xfId="26465"/>
    <cellStyle name="Output 4 2 2 2 2 2 2 2" xfId="47651"/>
    <cellStyle name="Output 4 2 2 2 2 2 3" xfId="37047"/>
    <cellStyle name="Output 4 2 2 2 2 3" xfId="21352"/>
    <cellStyle name="Output 4 2 2 2 2 3 2" xfId="42539"/>
    <cellStyle name="Output 4 2 2 2 2 4" xfId="31955"/>
    <cellStyle name="Output 4 2 2 2 2_Table 2A-1_EFT (Annual)" xfId="8259"/>
    <cellStyle name="Output 4 2 2 2 3" xfId="11835"/>
    <cellStyle name="Output 4 2 2 2 3 2" xfId="23919"/>
    <cellStyle name="Output 4 2 2 2 3 2 2" xfId="45105"/>
    <cellStyle name="Output 4 2 2 2 3 3" xfId="34501"/>
    <cellStyle name="Output 4 2 2 2 4" xfId="18806"/>
    <cellStyle name="Output 4 2 2 2 4 2" xfId="39993"/>
    <cellStyle name="Output 4 2 2 2 5" xfId="29212"/>
    <cellStyle name="Output 4 2 2 2_Table 2A-1_EFT (Annual)" xfId="8258"/>
    <cellStyle name="Output 4 2 2 3" xfId="1912"/>
    <cellStyle name="Output 4 2 2 3 2" xfId="5473"/>
    <cellStyle name="Output 4 2 2 3 2 2" xfId="13688"/>
    <cellStyle name="Output 4 2 2 3 2 2 2" xfId="25676"/>
    <cellStyle name="Output 4 2 2 3 2 2 2 2" xfId="46862"/>
    <cellStyle name="Output 4 2 2 3 2 2 3" xfId="36258"/>
    <cellStyle name="Output 4 2 2 3 2 3" xfId="20563"/>
    <cellStyle name="Output 4 2 2 3 2 3 2" xfId="41750"/>
    <cellStyle name="Output 4 2 2 3 2 4" xfId="31130"/>
    <cellStyle name="Output 4 2 2 3 2_Table 2A-1_EFT (Annual)" xfId="8261"/>
    <cellStyle name="Output 4 2 2 3 3" xfId="11032"/>
    <cellStyle name="Output 4 2 2 3 3 2" xfId="23130"/>
    <cellStyle name="Output 4 2 2 3 3 2 2" xfId="44316"/>
    <cellStyle name="Output 4 2 2 3 3 3" xfId="33712"/>
    <cellStyle name="Output 4 2 2 3 4" xfId="18017"/>
    <cellStyle name="Output 4 2 2 3 4 2" xfId="39204"/>
    <cellStyle name="Output 4 2 2 3 5" xfId="28387"/>
    <cellStyle name="Output 4 2 2 3_Table 2A-1_EFT (Annual)" xfId="8260"/>
    <cellStyle name="Output 4 2 2 4" xfId="5029"/>
    <cellStyle name="Output 4 2 2 4 2" xfId="13289"/>
    <cellStyle name="Output 4 2 2 4 2 2" xfId="25295"/>
    <cellStyle name="Output 4 2 2 4 2 2 2" xfId="46481"/>
    <cellStyle name="Output 4 2 2 4 2 3" xfId="35877"/>
    <cellStyle name="Output 4 2 2 4 3" xfId="20182"/>
    <cellStyle name="Output 4 2 2 4 3 2" xfId="41369"/>
    <cellStyle name="Output 4 2 2 4 4" xfId="30686"/>
    <cellStyle name="Output 4 2 2 4_Table 2A-1_EFT (Annual)" xfId="8262"/>
    <cellStyle name="Output 4 2 2 5" xfId="10633"/>
    <cellStyle name="Output 4 2 2 5 2" xfId="22749"/>
    <cellStyle name="Output 4 2 2 5 2 2" xfId="43935"/>
    <cellStyle name="Output 4 2 2 5 3" xfId="33331"/>
    <cellStyle name="Output 4 2 2 6" xfId="17636"/>
    <cellStyle name="Output 4 2 2 6 2" xfId="38823"/>
    <cellStyle name="Output 4 2 2 7" xfId="27943"/>
    <cellStyle name="Output 4 2 2_Table 2A-1_EFT (Annual)" xfId="3477"/>
    <cellStyle name="Output 4 2 3" xfId="2207"/>
    <cellStyle name="Output 4 2 3 2" xfId="5768"/>
    <cellStyle name="Output 4 2 3 2 2" xfId="13983"/>
    <cellStyle name="Output 4 2 3 2 2 2" xfId="25971"/>
    <cellStyle name="Output 4 2 3 2 2 2 2" xfId="47157"/>
    <cellStyle name="Output 4 2 3 2 2 3" xfId="36553"/>
    <cellStyle name="Output 4 2 3 2 3" xfId="20858"/>
    <cellStyle name="Output 4 2 3 2 3 2" xfId="42045"/>
    <cellStyle name="Output 4 2 3 2 4" xfId="31425"/>
    <cellStyle name="Output 4 2 3 2_Table 2A-1_EFT (Annual)" xfId="8264"/>
    <cellStyle name="Output 4 2 3 3" xfId="11327"/>
    <cellStyle name="Output 4 2 3 3 2" xfId="23425"/>
    <cellStyle name="Output 4 2 3 3 2 2" xfId="44611"/>
    <cellStyle name="Output 4 2 3 3 3" xfId="34007"/>
    <cellStyle name="Output 4 2 3 4" xfId="18312"/>
    <cellStyle name="Output 4 2 3 4 2" xfId="39499"/>
    <cellStyle name="Output 4 2 3 5" xfId="28682"/>
    <cellStyle name="Output 4 2 3_Table 2A-1_EFT (Annual)" xfId="8263"/>
    <cellStyle name="Output 4 2 4" xfId="1737"/>
    <cellStyle name="Output 4 2 4 2" xfId="5298"/>
    <cellStyle name="Output 4 2 4 2 2" xfId="13523"/>
    <cellStyle name="Output 4 2 4 2 2 2" xfId="25514"/>
    <cellStyle name="Output 4 2 4 2 2 2 2" xfId="46700"/>
    <cellStyle name="Output 4 2 4 2 2 3" xfId="36096"/>
    <cellStyle name="Output 4 2 4 2 3" xfId="20401"/>
    <cellStyle name="Output 4 2 4 2 3 2" xfId="41588"/>
    <cellStyle name="Output 4 2 4 2 4" xfId="30955"/>
    <cellStyle name="Output 4 2 4 2_Table 2A-1_EFT (Annual)" xfId="8266"/>
    <cellStyle name="Output 4 2 4 3" xfId="10866"/>
    <cellStyle name="Output 4 2 4 3 2" xfId="22968"/>
    <cellStyle name="Output 4 2 4 3 2 2" xfId="44154"/>
    <cellStyle name="Output 4 2 4 3 3" xfId="33550"/>
    <cellStyle name="Output 4 2 4 4" xfId="17855"/>
    <cellStyle name="Output 4 2 4 4 2" xfId="39042"/>
    <cellStyle name="Output 4 2 4 5" xfId="28212"/>
    <cellStyle name="Output 4 2 4_Table 2A-1_EFT (Annual)" xfId="8265"/>
    <cellStyle name="Output 4 2 5" xfId="4061"/>
    <cellStyle name="Output 4 2 5 2" xfId="12385"/>
    <cellStyle name="Output 4 2 5 2 2" xfId="24407"/>
    <cellStyle name="Output 4 2 5 2 2 2" xfId="45593"/>
    <cellStyle name="Output 4 2 5 2 3" xfId="34989"/>
    <cellStyle name="Output 4 2 5 3" xfId="19294"/>
    <cellStyle name="Output 4 2 5 3 2" xfId="40481"/>
    <cellStyle name="Output 4 2 5 4" xfId="29749"/>
    <cellStyle name="Output 4 2 5_Table 2A-1_EFT (Annual)" xfId="8267"/>
    <cellStyle name="Output 4 2 6" xfId="9724"/>
    <cellStyle name="Output 4 2 6 2" xfId="21861"/>
    <cellStyle name="Output 4 2 6 2 2" xfId="43047"/>
    <cellStyle name="Output 4 2 6 3" xfId="32443"/>
    <cellStyle name="Output 4 2 7" xfId="16748"/>
    <cellStyle name="Output 4 2 7 2" xfId="37935"/>
    <cellStyle name="Output 4 2 8" xfId="27006"/>
    <cellStyle name="Output 4 2_Table 2A-1_EFT (Annual)" xfId="3476"/>
    <cellStyle name="Output 4 3" xfId="324"/>
    <cellStyle name="Output 4 3 2" xfId="1312"/>
    <cellStyle name="Output 4 3 2 2" xfId="2582"/>
    <cellStyle name="Output 4 3 2 2 2" xfId="6143"/>
    <cellStyle name="Output 4 3 2 2 2 2" xfId="14337"/>
    <cellStyle name="Output 4 3 2 2 2 2 2" xfId="26309"/>
    <cellStyle name="Output 4 3 2 2 2 2 2 2" xfId="47495"/>
    <cellStyle name="Output 4 3 2 2 2 2 3" xfId="36891"/>
    <cellStyle name="Output 4 3 2 2 2 3" xfId="21196"/>
    <cellStyle name="Output 4 3 2 2 2 3 2" xfId="42383"/>
    <cellStyle name="Output 4 3 2 2 2 4" xfId="31799"/>
    <cellStyle name="Output 4 3 2 2 2_Table 2A-1_EFT (Annual)" xfId="8269"/>
    <cellStyle name="Output 4 3 2 2 3" xfId="11679"/>
    <cellStyle name="Output 4 3 2 2 3 2" xfId="23763"/>
    <cellStyle name="Output 4 3 2 2 3 2 2" xfId="44949"/>
    <cellStyle name="Output 4 3 2 2 3 3" xfId="34345"/>
    <cellStyle name="Output 4 3 2 2 4" xfId="18650"/>
    <cellStyle name="Output 4 3 2 2 4 2" xfId="39837"/>
    <cellStyle name="Output 4 3 2 2 5" xfId="29056"/>
    <cellStyle name="Output 4 3 2 2_Table 2A-1_EFT (Annual)" xfId="8268"/>
    <cellStyle name="Output 4 3 2 3" xfId="1880"/>
    <cellStyle name="Output 4 3 2 3 2" xfId="5441"/>
    <cellStyle name="Output 4 3 2 3 2 2" xfId="13656"/>
    <cellStyle name="Output 4 3 2 3 2 2 2" xfId="25644"/>
    <cellStyle name="Output 4 3 2 3 2 2 2 2" xfId="46830"/>
    <cellStyle name="Output 4 3 2 3 2 2 3" xfId="36226"/>
    <cellStyle name="Output 4 3 2 3 2 3" xfId="20531"/>
    <cellStyle name="Output 4 3 2 3 2 3 2" xfId="41718"/>
    <cellStyle name="Output 4 3 2 3 2 4" xfId="31098"/>
    <cellStyle name="Output 4 3 2 3 2_Table 2A-1_EFT (Annual)" xfId="8271"/>
    <cellStyle name="Output 4 3 2 3 3" xfId="11000"/>
    <cellStyle name="Output 4 3 2 3 3 2" xfId="23098"/>
    <cellStyle name="Output 4 3 2 3 3 2 2" xfId="44284"/>
    <cellStyle name="Output 4 3 2 3 3 3" xfId="33680"/>
    <cellStyle name="Output 4 3 2 3 4" xfId="17985"/>
    <cellStyle name="Output 4 3 2 3 4 2" xfId="39172"/>
    <cellStyle name="Output 4 3 2 3 5" xfId="28355"/>
    <cellStyle name="Output 4 3 2 3_Table 2A-1_EFT (Annual)" xfId="8270"/>
    <cellStyle name="Output 4 3 2 4" xfId="4873"/>
    <cellStyle name="Output 4 3 2 4 2" xfId="13133"/>
    <cellStyle name="Output 4 3 2 4 2 2" xfId="25139"/>
    <cellStyle name="Output 4 3 2 4 2 2 2" xfId="46325"/>
    <cellStyle name="Output 4 3 2 4 2 3" xfId="35721"/>
    <cellStyle name="Output 4 3 2 4 3" xfId="20026"/>
    <cellStyle name="Output 4 3 2 4 3 2" xfId="41213"/>
    <cellStyle name="Output 4 3 2 4 4" xfId="30530"/>
    <cellStyle name="Output 4 3 2 4_Table 2A-1_EFT (Annual)" xfId="8272"/>
    <cellStyle name="Output 4 3 2 5" xfId="10477"/>
    <cellStyle name="Output 4 3 2 5 2" xfId="22593"/>
    <cellStyle name="Output 4 3 2 5 2 2" xfId="43779"/>
    <cellStyle name="Output 4 3 2 5 3" xfId="33175"/>
    <cellStyle name="Output 4 3 2 6" xfId="17480"/>
    <cellStyle name="Output 4 3 2 6 2" xfId="38667"/>
    <cellStyle name="Output 4 3 2 7" xfId="27787"/>
    <cellStyle name="Output 4 3 2_Table 2A-1_EFT (Annual)" xfId="3479"/>
    <cellStyle name="Output 4 3 3" xfId="2051"/>
    <cellStyle name="Output 4 3 3 2" xfId="5612"/>
    <cellStyle name="Output 4 3 3 2 2" xfId="13827"/>
    <cellStyle name="Output 4 3 3 2 2 2" xfId="25815"/>
    <cellStyle name="Output 4 3 3 2 2 2 2" xfId="47001"/>
    <cellStyle name="Output 4 3 3 2 2 3" xfId="36397"/>
    <cellStyle name="Output 4 3 3 2 3" xfId="20702"/>
    <cellStyle name="Output 4 3 3 2 3 2" xfId="41889"/>
    <cellStyle name="Output 4 3 3 2 4" xfId="31269"/>
    <cellStyle name="Output 4 3 3 2_Table 2A-1_EFT (Annual)" xfId="8274"/>
    <cellStyle name="Output 4 3 3 3" xfId="11171"/>
    <cellStyle name="Output 4 3 3 3 2" xfId="23269"/>
    <cellStyle name="Output 4 3 3 3 2 2" xfId="44455"/>
    <cellStyle name="Output 4 3 3 3 3" xfId="33851"/>
    <cellStyle name="Output 4 3 3 4" xfId="18156"/>
    <cellStyle name="Output 4 3 3 4 2" xfId="39343"/>
    <cellStyle name="Output 4 3 3 5" xfId="28526"/>
    <cellStyle name="Output 4 3 3_Table 2A-1_EFT (Annual)" xfId="8273"/>
    <cellStyle name="Output 4 3 4" xfId="1696"/>
    <cellStyle name="Output 4 3 4 2" xfId="5257"/>
    <cellStyle name="Output 4 3 4 2 2" xfId="13490"/>
    <cellStyle name="Output 4 3 4 2 2 2" xfId="25484"/>
    <cellStyle name="Output 4 3 4 2 2 2 2" xfId="46670"/>
    <cellStyle name="Output 4 3 4 2 2 3" xfId="36066"/>
    <cellStyle name="Output 4 3 4 2 3" xfId="20371"/>
    <cellStyle name="Output 4 3 4 2 3 2" xfId="41558"/>
    <cellStyle name="Output 4 3 4 2 4" xfId="30914"/>
    <cellStyle name="Output 4 3 4 2_Table 2A-1_EFT (Annual)" xfId="8276"/>
    <cellStyle name="Output 4 3 4 3" xfId="10834"/>
    <cellStyle name="Output 4 3 4 3 2" xfId="22938"/>
    <cellStyle name="Output 4 3 4 3 2 2" xfId="44124"/>
    <cellStyle name="Output 4 3 4 3 3" xfId="33520"/>
    <cellStyle name="Output 4 3 4 4" xfId="17825"/>
    <cellStyle name="Output 4 3 4 4 2" xfId="39012"/>
    <cellStyle name="Output 4 3 4 5" xfId="28171"/>
    <cellStyle name="Output 4 3 4_Table 2A-1_EFT (Annual)" xfId="8275"/>
    <cellStyle name="Output 4 3 5" xfId="3894"/>
    <cellStyle name="Output 4 3 5 2" xfId="12226"/>
    <cellStyle name="Output 4 3 5 2 2" xfId="24251"/>
    <cellStyle name="Output 4 3 5 2 2 2" xfId="45437"/>
    <cellStyle name="Output 4 3 5 2 3" xfId="34833"/>
    <cellStyle name="Output 4 3 5 3" xfId="19138"/>
    <cellStyle name="Output 4 3 5 3 2" xfId="40325"/>
    <cellStyle name="Output 4 3 5 4" xfId="29582"/>
    <cellStyle name="Output 4 3 5_Table 2A-1_EFT (Annual)" xfId="8277"/>
    <cellStyle name="Output 4 3 6" xfId="9563"/>
    <cellStyle name="Output 4 3 6 2" xfId="21705"/>
    <cellStyle name="Output 4 3 6 2 2" xfId="42891"/>
    <cellStyle name="Output 4 3 6 3" xfId="32287"/>
    <cellStyle name="Output 4 3 7" xfId="16592"/>
    <cellStyle name="Output 4 3 7 2" xfId="37779"/>
    <cellStyle name="Output 4 3 8" xfId="26839"/>
    <cellStyle name="Output 4 3_Table 2A-1_EFT (Annual)" xfId="3478"/>
    <cellStyle name="Output 4 4" xfId="1146"/>
    <cellStyle name="Output 4 4 2" xfId="2416"/>
    <cellStyle name="Output 4 4 2 2" xfId="5977"/>
    <cellStyle name="Output 4 4 2 2 2" xfId="14171"/>
    <cellStyle name="Output 4 4 2 2 2 2" xfId="26143"/>
    <cellStyle name="Output 4 4 2 2 2 2 2" xfId="47329"/>
    <cellStyle name="Output 4 4 2 2 2 3" xfId="36725"/>
    <cellStyle name="Output 4 4 2 2 3" xfId="21030"/>
    <cellStyle name="Output 4 4 2 2 3 2" xfId="42217"/>
    <cellStyle name="Output 4 4 2 2 4" xfId="31633"/>
    <cellStyle name="Output 4 4 2 2_Table 2A-1_EFT (Annual)" xfId="8279"/>
    <cellStyle name="Output 4 4 2 3" xfId="11513"/>
    <cellStyle name="Output 4 4 2 3 2" xfId="23597"/>
    <cellStyle name="Output 4 4 2 3 2 2" xfId="44783"/>
    <cellStyle name="Output 4 4 2 3 3" xfId="34179"/>
    <cellStyle name="Output 4 4 2 4" xfId="18484"/>
    <cellStyle name="Output 4 4 2 4 2" xfId="39671"/>
    <cellStyle name="Output 4 4 2 5" xfId="28890"/>
    <cellStyle name="Output 4 4 2_Table 2A-1_EFT (Annual)" xfId="8278"/>
    <cellStyle name="Output 4 4 3" xfId="1815"/>
    <cellStyle name="Output 4 4 3 2" xfId="5376"/>
    <cellStyle name="Output 4 4 3 2 2" xfId="13591"/>
    <cellStyle name="Output 4 4 3 2 2 2" xfId="25579"/>
    <cellStyle name="Output 4 4 3 2 2 2 2" xfId="46765"/>
    <cellStyle name="Output 4 4 3 2 2 3" xfId="36161"/>
    <cellStyle name="Output 4 4 3 2 3" xfId="20466"/>
    <cellStyle name="Output 4 4 3 2 3 2" xfId="41653"/>
    <cellStyle name="Output 4 4 3 2 4" xfId="31033"/>
    <cellStyle name="Output 4 4 3 2_Table 2A-1_EFT (Annual)" xfId="8281"/>
    <cellStyle name="Output 4 4 3 3" xfId="10935"/>
    <cellStyle name="Output 4 4 3 3 2" xfId="23033"/>
    <cellStyle name="Output 4 4 3 3 2 2" xfId="44219"/>
    <cellStyle name="Output 4 4 3 3 3" xfId="33615"/>
    <cellStyle name="Output 4 4 3 4" xfId="17920"/>
    <cellStyle name="Output 4 4 3 4 2" xfId="39107"/>
    <cellStyle name="Output 4 4 3 5" xfId="28290"/>
    <cellStyle name="Output 4 4 3_Table 2A-1_EFT (Annual)" xfId="8280"/>
    <cellStyle name="Output 4 4 4" xfId="4707"/>
    <cellStyle name="Output 4 4 4 2" xfId="12967"/>
    <cellStyle name="Output 4 4 4 2 2" xfId="24973"/>
    <cellStyle name="Output 4 4 4 2 2 2" xfId="46159"/>
    <cellStyle name="Output 4 4 4 2 3" xfId="35555"/>
    <cellStyle name="Output 4 4 4 3" xfId="19860"/>
    <cellStyle name="Output 4 4 4 3 2" xfId="41047"/>
    <cellStyle name="Output 4 4 4 4" xfId="30364"/>
    <cellStyle name="Output 4 4 4_Table 2A-1_EFT (Annual)" xfId="8282"/>
    <cellStyle name="Output 4 4 5" xfId="10311"/>
    <cellStyle name="Output 4 4 5 2" xfId="22427"/>
    <cellStyle name="Output 4 4 5 2 2" xfId="43613"/>
    <cellStyle name="Output 4 4 5 3" xfId="33009"/>
    <cellStyle name="Output 4 4 6" xfId="17314"/>
    <cellStyle name="Output 4 4 6 2" xfId="38501"/>
    <cellStyle name="Output 4 4 7" xfId="27621"/>
    <cellStyle name="Output 4 4_Table 2A-1_EFT (Annual)" xfId="3480"/>
    <cellStyle name="Output 4 5" xfId="1873"/>
    <cellStyle name="Output 4 5 2" xfId="5434"/>
    <cellStyle name="Output 4 5 2 2" xfId="13649"/>
    <cellStyle name="Output 4 5 2 2 2" xfId="25637"/>
    <cellStyle name="Output 4 5 2 2 2 2" xfId="46823"/>
    <cellStyle name="Output 4 5 2 2 3" xfId="36219"/>
    <cellStyle name="Output 4 5 2 3" xfId="20524"/>
    <cellStyle name="Output 4 5 2 3 2" xfId="41711"/>
    <cellStyle name="Output 4 5 2 4" xfId="31091"/>
    <cellStyle name="Output 4 5 2_Table 2A-1_EFT (Annual)" xfId="8284"/>
    <cellStyle name="Output 4 5 3" xfId="10993"/>
    <cellStyle name="Output 4 5 3 2" xfId="23091"/>
    <cellStyle name="Output 4 5 3 2 2" xfId="44277"/>
    <cellStyle name="Output 4 5 3 3" xfId="33673"/>
    <cellStyle name="Output 4 5 4" xfId="17978"/>
    <cellStyle name="Output 4 5 4 2" xfId="39165"/>
    <cellStyle name="Output 4 5 5" xfId="28348"/>
    <cellStyle name="Output 4 5_Table 2A-1_EFT (Annual)" xfId="8283"/>
    <cellStyle name="Output 4 6" xfId="1639"/>
    <cellStyle name="Output 4 6 2" xfId="5200"/>
    <cellStyle name="Output 4 6 2 2" xfId="13452"/>
    <cellStyle name="Output 4 6 2 2 2" xfId="25452"/>
    <cellStyle name="Output 4 6 2 2 2 2" xfId="46638"/>
    <cellStyle name="Output 4 6 2 2 3" xfId="36034"/>
    <cellStyle name="Output 4 6 2 3" xfId="20339"/>
    <cellStyle name="Output 4 6 2 3 2" xfId="41526"/>
    <cellStyle name="Output 4 6 2 4" xfId="30857"/>
    <cellStyle name="Output 4 6 2_Table 2A-1_EFT (Annual)" xfId="8286"/>
    <cellStyle name="Output 4 6 3" xfId="10796"/>
    <cellStyle name="Output 4 6 3 2" xfId="22906"/>
    <cellStyle name="Output 4 6 3 2 2" xfId="44092"/>
    <cellStyle name="Output 4 6 3 3" xfId="33488"/>
    <cellStyle name="Output 4 6 4" xfId="17793"/>
    <cellStyle name="Output 4 6 4 2" xfId="38980"/>
    <cellStyle name="Output 4 6 5" xfId="28114"/>
    <cellStyle name="Output 4 6_Table 2A-1_EFT (Annual)" xfId="8285"/>
    <cellStyle name="Output 4 7" xfId="3681"/>
    <cellStyle name="Output 4 7 2" xfId="12054"/>
    <cellStyle name="Output 4 7 2 2" xfId="24085"/>
    <cellStyle name="Output 4 7 2 2 2" xfId="45271"/>
    <cellStyle name="Output 4 7 2 3" xfId="34667"/>
    <cellStyle name="Output 4 7 3" xfId="18972"/>
    <cellStyle name="Output 4 7 3 2" xfId="40159"/>
    <cellStyle name="Output 4 7 4" xfId="29391"/>
    <cellStyle name="Output 4 7_Table 2A-1_EFT (Annual)" xfId="8287"/>
    <cellStyle name="Output 4 8" xfId="9371"/>
    <cellStyle name="Output 4 8 2" xfId="21539"/>
    <cellStyle name="Output 4 8 2 2" xfId="42725"/>
    <cellStyle name="Output 4 8 3" xfId="32121"/>
    <cellStyle name="Output 4 9" xfId="16426"/>
    <cellStyle name="Output 4 9 2" xfId="37613"/>
    <cellStyle name="Output 4_Table 2A-1_EFT (Annual)" xfId="3475"/>
    <cellStyle name="Output 5" xfId="98"/>
    <cellStyle name="Output 5 10" xfId="21515"/>
    <cellStyle name="Output 5 10 2" xfId="42702"/>
    <cellStyle name="Output 5 11" xfId="26653"/>
    <cellStyle name="Output 5 2" xfId="496"/>
    <cellStyle name="Output 5 2 2" xfId="1473"/>
    <cellStyle name="Output 5 2 2 2" xfId="2743"/>
    <cellStyle name="Output 5 2 2 2 2" xfId="6304"/>
    <cellStyle name="Output 5 2 2 2 2 2" xfId="14498"/>
    <cellStyle name="Output 5 2 2 2 2 2 2" xfId="26470"/>
    <cellStyle name="Output 5 2 2 2 2 2 2 2" xfId="47656"/>
    <cellStyle name="Output 5 2 2 2 2 2 3" xfId="37052"/>
    <cellStyle name="Output 5 2 2 2 2 3" xfId="21357"/>
    <cellStyle name="Output 5 2 2 2 2 3 2" xfId="42544"/>
    <cellStyle name="Output 5 2 2 2 2 4" xfId="31960"/>
    <cellStyle name="Output 5 2 2 2 2_Table 2A-1_EFT (Annual)" xfId="8289"/>
    <cellStyle name="Output 5 2 2 2 3" xfId="11840"/>
    <cellStyle name="Output 5 2 2 2 3 2" xfId="23924"/>
    <cellStyle name="Output 5 2 2 2 3 2 2" xfId="45110"/>
    <cellStyle name="Output 5 2 2 2 3 3" xfId="34506"/>
    <cellStyle name="Output 5 2 2 2 4" xfId="18811"/>
    <cellStyle name="Output 5 2 2 2 4 2" xfId="39998"/>
    <cellStyle name="Output 5 2 2 2 5" xfId="29217"/>
    <cellStyle name="Output 5 2 2 2_Table 2A-1_EFT (Annual)" xfId="8288"/>
    <cellStyle name="Output 5 2 2 3" xfId="1913"/>
    <cellStyle name="Output 5 2 2 3 2" xfId="5474"/>
    <cellStyle name="Output 5 2 2 3 2 2" xfId="13689"/>
    <cellStyle name="Output 5 2 2 3 2 2 2" xfId="25677"/>
    <cellStyle name="Output 5 2 2 3 2 2 2 2" xfId="46863"/>
    <cellStyle name="Output 5 2 2 3 2 2 3" xfId="36259"/>
    <cellStyle name="Output 5 2 2 3 2 3" xfId="20564"/>
    <cellStyle name="Output 5 2 2 3 2 3 2" xfId="41751"/>
    <cellStyle name="Output 5 2 2 3 2 4" xfId="31131"/>
    <cellStyle name="Output 5 2 2 3 2_Table 2A-1_EFT (Annual)" xfId="8291"/>
    <cellStyle name="Output 5 2 2 3 3" xfId="11033"/>
    <cellStyle name="Output 5 2 2 3 3 2" xfId="23131"/>
    <cellStyle name="Output 5 2 2 3 3 2 2" xfId="44317"/>
    <cellStyle name="Output 5 2 2 3 3 3" xfId="33713"/>
    <cellStyle name="Output 5 2 2 3 4" xfId="18018"/>
    <cellStyle name="Output 5 2 2 3 4 2" xfId="39205"/>
    <cellStyle name="Output 5 2 2 3 5" xfId="28388"/>
    <cellStyle name="Output 5 2 2 3_Table 2A-1_EFT (Annual)" xfId="8290"/>
    <cellStyle name="Output 5 2 2 4" xfId="5034"/>
    <cellStyle name="Output 5 2 2 4 2" xfId="13294"/>
    <cellStyle name="Output 5 2 2 4 2 2" xfId="25300"/>
    <cellStyle name="Output 5 2 2 4 2 2 2" xfId="46486"/>
    <cellStyle name="Output 5 2 2 4 2 3" xfId="35882"/>
    <cellStyle name="Output 5 2 2 4 3" xfId="20187"/>
    <cellStyle name="Output 5 2 2 4 3 2" xfId="41374"/>
    <cellStyle name="Output 5 2 2 4 4" xfId="30691"/>
    <cellStyle name="Output 5 2 2 4_Table 2A-1_EFT (Annual)" xfId="8292"/>
    <cellStyle name="Output 5 2 2 5" xfId="10638"/>
    <cellStyle name="Output 5 2 2 5 2" xfId="22754"/>
    <cellStyle name="Output 5 2 2 5 2 2" xfId="43940"/>
    <cellStyle name="Output 5 2 2 5 3" xfId="33336"/>
    <cellStyle name="Output 5 2 2 6" xfId="17641"/>
    <cellStyle name="Output 5 2 2 6 2" xfId="38828"/>
    <cellStyle name="Output 5 2 2 7" xfId="27948"/>
    <cellStyle name="Output 5 2 2_Table 2A-1_EFT (Annual)" xfId="3483"/>
    <cellStyle name="Output 5 2 3" xfId="2212"/>
    <cellStyle name="Output 5 2 3 2" xfId="5773"/>
    <cellStyle name="Output 5 2 3 2 2" xfId="13988"/>
    <cellStyle name="Output 5 2 3 2 2 2" xfId="25976"/>
    <cellStyle name="Output 5 2 3 2 2 2 2" xfId="47162"/>
    <cellStyle name="Output 5 2 3 2 2 3" xfId="36558"/>
    <cellStyle name="Output 5 2 3 2 3" xfId="20863"/>
    <cellStyle name="Output 5 2 3 2 3 2" xfId="42050"/>
    <cellStyle name="Output 5 2 3 2 4" xfId="31430"/>
    <cellStyle name="Output 5 2 3 2_Table 2A-1_EFT (Annual)" xfId="8294"/>
    <cellStyle name="Output 5 2 3 3" xfId="11332"/>
    <cellStyle name="Output 5 2 3 3 2" xfId="23430"/>
    <cellStyle name="Output 5 2 3 3 2 2" xfId="44616"/>
    <cellStyle name="Output 5 2 3 3 3" xfId="34012"/>
    <cellStyle name="Output 5 2 3 4" xfId="18317"/>
    <cellStyle name="Output 5 2 3 4 2" xfId="39504"/>
    <cellStyle name="Output 5 2 3 5" xfId="28687"/>
    <cellStyle name="Output 5 2 3_Table 2A-1_EFT (Annual)" xfId="8293"/>
    <cellStyle name="Output 5 2 4" xfId="1738"/>
    <cellStyle name="Output 5 2 4 2" xfId="5299"/>
    <cellStyle name="Output 5 2 4 2 2" xfId="13524"/>
    <cellStyle name="Output 5 2 4 2 2 2" xfId="25515"/>
    <cellStyle name="Output 5 2 4 2 2 2 2" xfId="46701"/>
    <cellStyle name="Output 5 2 4 2 2 3" xfId="36097"/>
    <cellStyle name="Output 5 2 4 2 3" xfId="20402"/>
    <cellStyle name="Output 5 2 4 2 3 2" xfId="41589"/>
    <cellStyle name="Output 5 2 4 2 4" xfId="30956"/>
    <cellStyle name="Output 5 2 4 2_Table 2A-1_EFT (Annual)" xfId="8296"/>
    <cellStyle name="Output 5 2 4 3" xfId="10867"/>
    <cellStyle name="Output 5 2 4 3 2" xfId="22969"/>
    <cellStyle name="Output 5 2 4 3 2 2" xfId="44155"/>
    <cellStyle name="Output 5 2 4 3 3" xfId="33551"/>
    <cellStyle name="Output 5 2 4 4" xfId="17856"/>
    <cellStyle name="Output 5 2 4 4 2" xfId="39043"/>
    <cellStyle name="Output 5 2 4 5" xfId="28213"/>
    <cellStyle name="Output 5 2 4_Table 2A-1_EFT (Annual)" xfId="8295"/>
    <cellStyle name="Output 5 2 5" xfId="4066"/>
    <cellStyle name="Output 5 2 5 2" xfId="12390"/>
    <cellStyle name="Output 5 2 5 2 2" xfId="24412"/>
    <cellStyle name="Output 5 2 5 2 2 2" xfId="45598"/>
    <cellStyle name="Output 5 2 5 2 3" xfId="34994"/>
    <cellStyle name="Output 5 2 5 3" xfId="19299"/>
    <cellStyle name="Output 5 2 5 3 2" xfId="40486"/>
    <cellStyle name="Output 5 2 5 4" xfId="29754"/>
    <cellStyle name="Output 5 2 5_Table 2A-1_EFT (Annual)" xfId="8297"/>
    <cellStyle name="Output 5 2 6" xfId="9729"/>
    <cellStyle name="Output 5 2 6 2" xfId="21866"/>
    <cellStyle name="Output 5 2 6 2 2" xfId="43052"/>
    <cellStyle name="Output 5 2 6 3" xfId="32448"/>
    <cellStyle name="Output 5 2 7" xfId="16753"/>
    <cellStyle name="Output 5 2 7 2" xfId="37940"/>
    <cellStyle name="Output 5 2 8" xfId="27011"/>
    <cellStyle name="Output 5 2_Table 2A-1_EFT (Annual)" xfId="3482"/>
    <cellStyle name="Output 5 3" xfId="329"/>
    <cellStyle name="Output 5 3 2" xfId="1317"/>
    <cellStyle name="Output 5 3 2 2" xfId="2587"/>
    <cellStyle name="Output 5 3 2 2 2" xfId="6148"/>
    <cellStyle name="Output 5 3 2 2 2 2" xfId="14342"/>
    <cellStyle name="Output 5 3 2 2 2 2 2" xfId="26314"/>
    <cellStyle name="Output 5 3 2 2 2 2 2 2" xfId="47500"/>
    <cellStyle name="Output 5 3 2 2 2 2 3" xfId="36896"/>
    <cellStyle name="Output 5 3 2 2 2 3" xfId="21201"/>
    <cellStyle name="Output 5 3 2 2 2 3 2" xfId="42388"/>
    <cellStyle name="Output 5 3 2 2 2 4" xfId="31804"/>
    <cellStyle name="Output 5 3 2 2 2_Table 2A-1_EFT (Annual)" xfId="8299"/>
    <cellStyle name="Output 5 3 2 2 3" xfId="11684"/>
    <cellStyle name="Output 5 3 2 2 3 2" xfId="23768"/>
    <cellStyle name="Output 5 3 2 2 3 2 2" xfId="44954"/>
    <cellStyle name="Output 5 3 2 2 3 3" xfId="34350"/>
    <cellStyle name="Output 5 3 2 2 4" xfId="18655"/>
    <cellStyle name="Output 5 3 2 2 4 2" xfId="39842"/>
    <cellStyle name="Output 5 3 2 2 5" xfId="29061"/>
    <cellStyle name="Output 5 3 2 2_Table 2A-1_EFT (Annual)" xfId="8298"/>
    <cellStyle name="Output 5 3 2 3" xfId="1881"/>
    <cellStyle name="Output 5 3 2 3 2" xfId="5442"/>
    <cellStyle name="Output 5 3 2 3 2 2" xfId="13657"/>
    <cellStyle name="Output 5 3 2 3 2 2 2" xfId="25645"/>
    <cellStyle name="Output 5 3 2 3 2 2 2 2" xfId="46831"/>
    <cellStyle name="Output 5 3 2 3 2 2 3" xfId="36227"/>
    <cellStyle name="Output 5 3 2 3 2 3" xfId="20532"/>
    <cellStyle name="Output 5 3 2 3 2 3 2" xfId="41719"/>
    <cellStyle name="Output 5 3 2 3 2 4" xfId="31099"/>
    <cellStyle name="Output 5 3 2 3 2_Table 2A-1_EFT (Annual)" xfId="8301"/>
    <cellStyle name="Output 5 3 2 3 3" xfId="11001"/>
    <cellStyle name="Output 5 3 2 3 3 2" xfId="23099"/>
    <cellStyle name="Output 5 3 2 3 3 2 2" xfId="44285"/>
    <cellStyle name="Output 5 3 2 3 3 3" xfId="33681"/>
    <cellStyle name="Output 5 3 2 3 4" xfId="17986"/>
    <cellStyle name="Output 5 3 2 3 4 2" xfId="39173"/>
    <cellStyle name="Output 5 3 2 3 5" xfId="28356"/>
    <cellStyle name="Output 5 3 2 3_Table 2A-1_EFT (Annual)" xfId="8300"/>
    <cellStyle name="Output 5 3 2 4" xfId="4878"/>
    <cellStyle name="Output 5 3 2 4 2" xfId="13138"/>
    <cellStyle name="Output 5 3 2 4 2 2" xfId="25144"/>
    <cellStyle name="Output 5 3 2 4 2 2 2" xfId="46330"/>
    <cellStyle name="Output 5 3 2 4 2 3" xfId="35726"/>
    <cellStyle name="Output 5 3 2 4 3" xfId="20031"/>
    <cellStyle name="Output 5 3 2 4 3 2" xfId="41218"/>
    <cellStyle name="Output 5 3 2 4 4" xfId="30535"/>
    <cellStyle name="Output 5 3 2 4_Table 2A-1_EFT (Annual)" xfId="8302"/>
    <cellStyle name="Output 5 3 2 5" xfId="10482"/>
    <cellStyle name="Output 5 3 2 5 2" xfId="22598"/>
    <cellStyle name="Output 5 3 2 5 2 2" xfId="43784"/>
    <cellStyle name="Output 5 3 2 5 3" xfId="33180"/>
    <cellStyle name="Output 5 3 2 6" xfId="17485"/>
    <cellStyle name="Output 5 3 2 6 2" xfId="38672"/>
    <cellStyle name="Output 5 3 2 7" xfId="27792"/>
    <cellStyle name="Output 5 3 2_Table 2A-1_EFT (Annual)" xfId="3485"/>
    <cellStyle name="Output 5 3 3" xfId="2056"/>
    <cellStyle name="Output 5 3 3 2" xfId="5617"/>
    <cellStyle name="Output 5 3 3 2 2" xfId="13832"/>
    <cellStyle name="Output 5 3 3 2 2 2" xfId="25820"/>
    <cellStyle name="Output 5 3 3 2 2 2 2" xfId="47006"/>
    <cellStyle name="Output 5 3 3 2 2 3" xfId="36402"/>
    <cellStyle name="Output 5 3 3 2 3" xfId="20707"/>
    <cellStyle name="Output 5 3 3 2 3 2" xfId="41894"/>
    <cellStyle name="Output 5 3 3 2 4" xfId="31274"/>
    <cellStyle name="Output 5 3 3 2_Table 2A-1_EFT (Annual)" xfId="8304"/>
    <cellStyle name="Output 5 3 3 3" xfId="11176"/>
    <cellStyle name="Output 5 3 3 3 2" xfId="23274"/>
    <cellStyle name="Output 5 3 3 3 2 2" xfId="44460"/>
    <cellStyle name="Output 5 3 3 3 3" xfId="33856"/>
    <cellStyle name="Output 5 3 3 4" xfId="18161"/>
    <cellStyle name="Output 5 3 3 4 2" xfId="39348"/>
    <cellStyle name="Output 5 3 3 5" xfId="28531"/>
    <cellStyle name="Output 5 3 3_Table 2A-1_EFT (Annual)" xfId="8303"/>
    <cellStyle name="Output 5 3 4" xfId="1697"/>
    <cellStyle name="Output 5 3 4 2" xfId="5258"/>
    <cellStyle name="Output 5 3 4 2 2" xfId="13491"/>
    <cellStyle name="Output 5 3 4 2 2 2" xfId="25485"/>
    <cellStyle name="Output 5 3 4 2 2 2 2" xfId="46671"/>
    <cellStyle name="Output 5 3 4 2 2 3" xfId="36067"/>
    <cellStyle name="Output 5 3 4 2 3" xfId="20372"/>
    <cellStyle name="Output 5 3 4 2 3 2" xfId="41559"/>
    <cellStyle name="Output 5 3 4 2 4" xfId="30915"/>
    <cellStyle name="Output 5 3 4 2_Table 2A-1_EFT (Annual)" xfId="8306"/>
    <cellStyle name="Output 5 3 4 3" xfId="10835"/>
    <cellStyle name="Output 5 3 4 3 2" xfId="22939"/>
    <cellStyle name="Output 5 3 4 3 2 2" xfId="44125"/>
    <cellStyle name="Output 5 3 4 3 3" xfId="33521"/>
    <cellStyle name="Output 5 3 4 4" xfId="17826"/>
    <cellStyle name="Output 5 3 4 4 2" xfId="39013"/>
    <cellStyle name="Output 5 3 4 5" xfId="28172"/>
    <cellStyle name="Output 5 3 4_Table 2A-1_EFT (Annual)" xfId="8305"/>
    <cellStyle name="Output 5 3 5" xfId="3899"/>
    <cellStyle name="Output 5 3 5 2" xfId="12231"/>
    <cellStyle name="Output 5 3 5 2 2" xfId="24256"/>
    <cellStyle name="Output 5 3 5 2 2 2" xfId="45442"/>
    <cellStyle name="Output 5 3 5 2 3" xfId="34838"/>
    <cellStyle name="Output 5 3 5 3" xfId="19143"/>
    <cellStyle name="Output 5 3 5 3 2" xfId="40330"/>
    <cellStyle name="Output 5 3 5 4" xfId="29587"/>
    <cellStyle name="Output 5 3 5_Table 2A-1_EFT (Annual)" xfId="8307"/>
    <cellStyle name="Output 5 3 6" xfId="9568"/>
    <cellStyle name="Output 5 3 6 2" xfId="21710"/>
    <cellStyle name="Output 5 3 6 2 2" xfId="42896"/>
    <cellStyle name="Output 5 3 6 3" xfId="32292"/>
    <cellStyle name="Output 5 3 7" xfId="16597"/>
    <cellStyle name="Output 5 3 7 2" xfId="37784"/>
    <cellStyle name="Output 5 3 8" xfId="26844"/>
    <cellStyle name="Output 5 3_Table 2A-1_EFT (Annual)" xfId="3484"/>
    <cellStyle name="Output 5 4" xfId="1151"/>
    <cellStyle name="Output 5 4 2" xfId="2421"/>
    <cellStyle name="Output 5 4 2 2" xfId="5982"/>
    <cellStyle name="Output 5 4 2 2 2" xfId="14176"/>
    <cellStyle name="Output 5 4 2 2 2 2" xfId="26148"/>
    <cellStyle name="Output 5 4 2 2 2 2 2" xfId="47334"/>
    <cellStyle name="Output 5 4 2 2 2 3" xfId="36730"/>
    <cellStyle name="Output 5 4 2 2 3" xfId="21035"/>
    <cellStyle name="Output 5 4 2 2 3 2" xfId="42222"/>
    <cellStyle name="Output 5 4 2 2 4" xfId="31638"/>
    <cellStyle name="Output 5 4 2 2_Table 2A-1_EFT (Annual)" xfId="8309"/>
    <cellStyle name="Output 5 4 2 3" xfId="11518"/>
    <cellStyle name="Output 5 4 2 3 2" xfId="23602"/>
    <cellStyle name="Output 5 4 2 3 2 2" xfId="44788"/>
    <cellStyle name="Output 5 4 2 3 3" xfId="34184"/>
    <cellStyle name="Output 5 4 2 4" xfId="18489"/>
    <cellStyle name="Output 5 4 2 4 2" xfId="39676"/>
    <cellStyle name="Output 5 4 2 5" xfId="28895"/>
    <cellStyle name="Output 5 4 2_Table 2A-1_EFT (Annual)" xfId="8308"/>
    <cellStyle name="Output 5 4 3" xfId="1817"/>
    <cellStyle name="Output 5 4 3 2" xfId="5378"/>
    <cellStyle name="Output 5 4 3 2 2" xfId="13593"/>
    <cellStyle name="Output 5 4 3 2 2 2" xfId="25581"/>
    <cellStyle name="Output 5 4 3 2 2 2 2" xfId="46767"/>
    <cellStyle name="Output 5 4 3 2 2 3" xfId="36163"/>
    <cellStyle name="Output 5 4 3 2 3" xfId="20468"/>
    <cellStyle name="Output 5 4 3 2 3 2" xfId="41655"/>
    <cellStyle name="Output 5 4 3 2 4" xfId="31035"/>
    <cellStyle name="Output 5 4 3 2_Table 2A-1_EFT (Annual)" xfId="8311"/>
    <cellStyle name="Output 5 4 3 3" xfId="10937"/>
    <cellStyle name="Output 5 4 3 3 2" xfId="23035"/>
    <cellStyle name="Output 5 4 3 3 2 2" xfId="44221"/>
    <cellStyle name="Output 5 4 3 3 3" xfId="33617"/>
    <cellStyle name="Output 5 4 3 4" xfId="17922"/>
    <cellStyle name="Output 5 4 3 4 2" xfId="39109"/>
    <cellStyle name="Output 5 4 3 5" xfId="28292"/>
    <cellStyle name="Output 5 4 3_Table 2A-1_EFT (Annual)" xfId="8310"/>
    <cellStyle name="Output 5 4 4" xfId="4712"/>
    <cellStyle name="Output 5 4 4 2" xfId="12972"/>
    <cellStyle name="Output 5 4 4 2 2" xfId="24978"/>
    <cellStyle name="Output 5 4 4 2 2 2" xfId="46164"/>
    <cellStyle name="Output 5 4 4 2 3" xfId="35560"/>
    <cellStyle name="Output 5 4 4 3" xfId="19865"/>
    <cellStyle name="Output 5 4 4 3 2" xfId="41052"/>
    <cellStyle name="Output 5 4 4 4" xfId="30369"/>
    <cellStyle name="Output 5 4 4_Table 2A-1_EFT (Annual)" xfId="8312"/>
    <cellStyle name="Output 5 4 5" xfId="10316"/>
    <cellStyle name="Output 5 4 5 2" xfId="22432"/>
    <cellStyle name="Output 5 4 5 2 2" xfId="43618"/>
    <cellStyle name="Output 5 4 5 3" xfId="33014"/>
    <cellStyle name="Output 5 4 6" xfId="17319"/>
    <cellStyle name="Output 5 4 6 2" xfId="38506"/>
    <cellStyle name="Output 5 4 7" xfId="27626"/>
    <cellStyle name="Output 5 4_Table 2A-1_EFT (Annual)" xfId="3486"/>
    <cellStyle name="Output 5 5" xfId="1816"/>
    <cellStyle name="Output 5 5 2" xfId="5377"/>
    <cellStyle name="Output 5 5 2 2" xfId="13592"/>
    <cellStyle name="Output 5 5 2 2 2" xfId="25580"/>
    <cellStyle name="Output 5 5 2 2 2 2" xfId="46766"/>
    <cellStyle name="Output 5 5 2 2 3" xfId="36162"/>
    <cellStyle name="Output 5 5 2 3" xfId="20467"/>
    <cellStyle name="Output 5 5 2 3 2" xfId="41654"/>
    <cellStyle name="Output 5 5 2 4" xfId="31034"/>
    <cellStyle name="Output 5 5 2_Table 2A-1_EFT (Annual)" xfId="8314"/>
    <cellStyle name="Output 5 5 3" xfId="10936"/>
    <cellStyle name="Output 5 5 3 2" xfId="23034"/>
    <cellStyle name="Output 5 5 3 2 2" xfId="44220"/>
    <cellStyle name="Output 5 5 3 3" xfId="33616"/>
    <cellStyle name="Output 5 5 4" xfId="17921"/>
    <cellStyle name="Output 5 5 4 2" xfId="39108"/>
    <cellStyle name="Output 5 5 5" xfId="28291"/>
    <cellStyle name="Output 5 5_Table 2A-1_EFT (Annual)" xfId="8313"/>
    <cellStyle name="Output 5 6" xfId="1640"/>
    <cellStyle name="Output 5 6 2" xfId="5201"/>
    <cellStyle name="Output 5 6 2 2" xfId="13453"/>
    <cellStyle name="Output 5 6 2 2 2" xfId="25453"/>
    <cellStyle name="Output 5 6 2 2 2 2" xfId="46639"/>
    <cellStyle name="Output 5 6 2 2 3" xfId="36035"/>
    <cellStyle name="Output 5 6 2 3" xfId="20340"/>
    <cellStyle name="Output 5 6 2 3 2" xfId="41527"/>
    <cellStyle name="Output 5 6 2 4" xfId="30858"/>
    <cellStyle name="Output 5 6 2_Table 2A-1_EFT (Annual)" xfId="8316"/>
    <cellStyle name="Output 5 6 3" xfId="10797"/>
    <cellStyle name="Output 5 6 3 2" xfId="22907"/>
    <cellStyle name="Output 5 6 3 2 2" xfId="44093"/>
    <cellStyle name="Output 5 6 3 3" xfId="33489"/>
    <cellStyle name="Output 5 6 4" xfId="17794"/>
    <cellStyle name="Output 5 6 4 2" xfId="38981"/>
    <cellStyle name="Output 5 6 5" xfId="28115"/>
    <cellStyle name="Output 5 6_Table 2A-1_EFT (Annual)" xfId="8315"/>
    <cellStyle name="Output 5 7" xfId="3687"/>
    <cellStyle name="Output 5 7 2" xfId="12059"/>
    <cellStyle name="Output 5 7 2 2" xfId="24090"/>
    <cellStyle name="Output 5 7 2 2 2" xfId="45276"/>
    <cellStyle name="Output 5 7 2 3" xfId="34672"/>
    <cellStyle name="Output 5 7 3" xfId="18977"/>
    <cellStyle name="Output 5 7 3 2" xfId="40164"/>
    <cellStyle name="Output 5 7 4" xfId="29396"/>
    <cellStyle name="Output 5 7_Table 2A-1_EFT (Annual)" xfId="8317"/>
    <cellStyle name="Output 5 8" xfId="9377"/>
    <cellStyle name="Output 5 8 2" xfId="21544"/>
    <cellStyle name="Output 5 8 2 2" xfId="42730"/>
    <cellStyle name="Output 5 8 3" xfId="32126"/>
    <cellStyle name="Output 5 9" xfId="16431"/>
    <cellStyle name="Output 5 9 2" xfId="37618"/>
    <cellStyle name="Output 5_Table 2A-1_EFT (Annual)" xfId="3481"/>
    <cellStyle name="Output 6" xfId="117"/>
    <cellStyle name="Output 6 10" xfId="26672"/>
    <cellStyle name="Output 6 2" xfId="510"/>
    <cellStyle name="Output 6 2 2" xfId="1487"/>
    <cellStyle name="Output 6 2 2 2" xfId="2757"/>
    <cellStyle name="Output 6 2 2 2 2" xfId="6318"/>
    <cellStyle name="Output 6 2 2 2 2 2" xfId="14512"/>
    <cellStyle name="Output 6 2 2 2 2 2 2" xfId="26484"/>
    <cellStyle name="Output 6 2 2 2 2 2 2 2" xfId="47670"/>
    <cellStyle name="Output 6 2 2 2 2 2 3" xfId="37066"/>
    <cellStyle name="Output 6 2 2 2 2 3" xfId="21371"/>
    <cellStyle name="Output 6 2 2 2 2 3 2" xfId="42558"/>
    <cellStyle name="Output 6 2 2 2 2 4" xfId="31974"/>
    <cellStyle name="Output 6 2 2 2 2_Table 2A-1_EFT (Annual)" xfId="8319"/>
    <cellStyle name="Output 6 2 2 2 3" xfId="11854"/>
    <cellStyle name="Output 6 2 2 2 3 2" xfId="23938"/>
    <cellStyle name="Output 6 2 2 2 3 2 2" xfId="45124"/>
    <cellStyle name="Output 6 2 2 2 3 3" xfId="34520"/>
    <cellStyle name="Output 6 2 2 2 4" xfId="18825"/>
    <cellStyle name="Output 6 2 2 2 4 2" xfId="40012"/>
    <cellStyle name="Output 6 2 2 2 5" xfId="29231"/>
    <cellStyle name="Output 6 2 2 2_Table 2A-1_EFT (Annual)" xfId="8318"/>
    <cellStyle name="Output 6 2 2 3" xfId="1917"/>
    <cellStyle name="Output 6 2 2 3 2" xfId="5478"/>
    <cellStyle name="Output 6 2 2 3 2 2" xfId="13693"/>
    <cellStyle name="Output 6 2 2 3 2 2 2" xfId="25681"/>
    <cellStyle name="Output 6 2 2 3 2 2 2 2" xfId="46867"/>
    <cellStyle name="Output 6 2 2 3 2 2 3" xfId="36263"/>
    <cellStyle name="Output 6 2 2 3 2 3" xfId="20568"/>
    <cellStyle name="Output 6 2 2 3 2 3 2" xfId="41755"/>
    <cellStyle name="Output 6 2 2 3 2 4" xfId="31135"/>
    <cellStyle name="Output 6 2 2 3 2_Table 2A-1_EFT (Annual)" xfId="8321"/>
    <cellStyle name="Output 6 2 2 3 3" xfId="11037"/>
    <cellStyle name="Output 6 2 2 3 3 2" xfId="23135"/>
    <cellStyle name="Output 6 2 2 3 3 2 2" xfId="44321"/>
    <cellStyle name="Output 6 2 2 3 3 3" xfId="33717"/>
    <cellStyle name="Output 6 2 2 3 4" xfId="18022"/>
    <cellStyle name="Output 6 2 2 3 4 2" xfId="39209"/>
    <cellStyle name="Output 6 2 2 3 5" xfId="28392"/>
    <cellStyle name="Output 6 2 2 3_Table 2A-1_EFT (Annual)" xfId="8320"/>
    <cellStyle name="Output 6 2 2 4" xfId="5048"/>
    <cellStyle name="Output 6 2 2 4 2" xfId="13308"/>
    <cellStyle name="Output 6 2 2 4 2 2" xfId="25314"/>
    <cellStyle name="Output 6 2 2 4 2 2 2" xfId="46500"/>
    <cellStyle name="Output 6 2 2 4 2 3" xfId="35896"/>
    <cellStyle name="Output 6 2 2 4 3" xfId="20201"/>
    <cellStyle name="Output 6 2 2 4 3 2" xfId="41388"/>
    <cellStyle name="Output 6 2 2 4 4" xfId="30705"/>
    <cellStyle name="Output 6 2 2 4_Table 2A-1_EFT (Annual)" xfId="8322"/>
    <cellStyle name="Output 6 2 2 5" xfId="10652"/>
    <cellStyle name="Output 6 2 2 5 2" xfId="22768"/>
    <cellStyle name="Output 6 2 2 5 2 2" xfId="43954"/>
    <cellStyle name="Output 6 2 2 5 3" xfId="33350"/>
    <cellStyle name="Output 6 2 2 6" xfId="17655"/>
    <cellStyle name="Output 6 2 2 6 2" xfId="38842"/>
    <cellStyle name="Output 6 2 2 7" xfId="27962"/>
    <cellStyle name="Output 6 2 2_Table 2A-1_EFT (Annual)" xfId="3489"/>
    <cellStyle name="Output 6 2 3" xfId="2226"/>
    <cellStyle name="Output 6 2 3 2" xfId="5787"/>
    <cellStyle name="Output 6 2 3 2 2" xfId="14002"/>
    <cellStyle name="Output 6 2 3 2 2 2" xfId="25990"/>
    <cellStyle name="Output 6 2 3 2 2 2 2" xfId="47176"/>
    <cellStyle name="Output 6 2 3 2 2 3" xfId="36572"/>
    <cellStyle name="Output 6 2 3 2 3" xfId="20877"/>
    <cellStyle name="Output 6 2 3 2 3 2" xfId="42064"/>
    <cellStyle name="Output 6 2 3 2 4" xfId="31444"/>
    <cellStyle name="Output 6 2 3 2_Table 2A-1_EFT (Annual)" xfId="8324"/>
    <cellStyle name="Output 6 2 3 3" xfId="11346"/>
    <cellStyle name="Output 6 2 3 3 2" xfId="23444"/>
    <cellStyle name="Output 6 2 3 3 2 2" xfId="44630"/>
    <cellStyle name="Output 6 2 3 3 3" xfId="34026"/>
    <cellStyle name="Output 6 2 3 4" xfId="18331"/>
    <cellStyle name="Output 6 2 3 4 2" xfId="39518"/>
    <cellStyle name="Output 6 2 3 5" xfId="28701"/>
    <cellStyle name="Output 6 2 3_Table 2A-1_EFT (Annual)" xfId="8323"/>
    <cellStyle name="Output 6 2 4" xfId="1742"/>
    <cellStyle name="Output 6 2 4 2" xfId="5303"/>
    <cellStyle name="Output 6 2 4 2 2" xfId="13528"/>
    <cellStyle name="Output 6 2 4 2 2 2" xfId="25519"/>
    <cellStyle name="Output 6 2 4 2 2 2 2" xfId="46705"/>
    <cellStyle name="Output 6 2 4 2 2 3" xfId="36101"/>
    <cellStyle name="Output 6 2 4 2 3" xfId="20406"/>
    <cellStyle name="Output 6 2 4 2 3 2" xfId="41593"/>
    <cellStyle name="Output 6 2 4 2 4" xfId="30960"/>
    <cellStyle name="Output 6 2 4 2_Table 2A-1_EFT (Annual)" xfId="8326"/>
    <cellStyle name="Output 6 2 4 3" xfId="10871"/>
    <cellStyle name="Output 6 2 4 3 2" xfId="22973"/>
    <cellStyle name="Output 6 2 4 3 2 2" xfId="44159"/>
    <cellStyle name="Output 6 2 4 3 3" xfId="33555"/>
    <cellStyle name="Output 6 2 4 4" xfId="17860"/>
    <cellStyle name="Output 6 2 4 4 2" xfId="39047"/>
    <cellStyle name="Output 6 2 4 5" xfId="28217"/>
    <cellStyle name="Output 6 2 4_Table 2A-1_EFT (Annual)" xfId="8325"/>
    <cellStyle name="Output 6 2 5" xfId="4080"/>
    <cellStyle name="Output 6 2 5 2" xfId="12404"/>
    <cellStyle name="Output 6 2 5 2 2" xfId="24426"/>
    <cellStyle name="Output 6 2 5 2 2 2" xfId="45612"/>
    <cellStyle name="Output 6 2 5 2 3" xfId="35008"/>
    <cellStyle name="Output 6 2 5 3" xfId="19313"/>
    <cellStyle name="Output 6 2 5 3 2" xfId="40500"/>
    <cellStyle name="Output 6 2 5 4" xfId="29768"/>
    <cellStyle name="Output 6 2 5_Table 2A-1_EFT (Annual)" xfId="8327"/>
    <cellStyle name="Output 6 2 6" xfId="9743"/>
    <cellStyle name="Output 6 2 6 2" xfId="21880"/>
    <cellStyle name="Output 6 2 6 2 2" xfId="43066"/>
    <cellStyle name="Output 6 2 6 3" xfId="32462"/>
    <cellStyle name="Output 6 2 7" xfId="16767"/>
    <cellStyle name="Output 6 2 7 2" xfId="37954"/>
    <cellStyle name="Output 6 2 8" xfId="27025"/>
    <cellStyle name="Output 6 2_Table 2A-1_EFT (Annual)" xfId="3488"/>
    <cellStyle name="Output 6 3" xfId="348"/>
    <cellStyle name="Output 6 3 2" xfId="1331"/>
    <cellStyle name="Output 6 3 2 2" xfId="2601"/>
    <cellStyle name="Output 6 3 2 2 2" xfId="6162"/>
    <cellStyle name="Output 6 3 2 2 2 2" xfId="14356"/>
    <cellStyle name="Output 6 3 2 2 2 2 2" xfId="26328"/>
    <cellStyle name="Output 6 3 2 2 2 2 2 2" xfId="47514"/>
    <cellStyle name="Output 6 3 2 2 2 2 3" xfId="36910"/>
    <cellStyle name="Output 6 3 2 2 2 3" xfId="21215"/>
    <cellStyle name="Output 6 3 2 2 2 3 2" xfId="42402"/>
    <cellStyle name="Output 6 3 2 2 2 4" xfId="31818"/>
    <cellStyle name="Output 6 3 2 2 2_Table 2A-1_EFT (Annual)" xfId="8329"/>
    <cellStyle name="Output 6 3 2 2 3" xfId="11698"/>
    <cellStyle name="Output 6 3 2 2 3 2" xfId="23782"/>
    <cellStyle name="Output 6 3 2 2 3 2 2" xfId="44968"/>
    <cellStyle name="Output 6 3 2 2 3 3" xfId="34364"/>
    <cellStyle name="Output 6 3 2 2 4" xfId="18669"/>
    <cellStyle name="Output 6 3 2 2 4 2" xfId="39856"/>
    <cellStyle name="Output 6 3 2 2 5" xfId="29075"/>
    <cellStyle name="Output 6 3 2 2_Table 2A-1_EFT (Annual)" xfId="8328"/>
    <cellStyle name="Output 6 3 2 3" xfId="1886"/>
    <cellStyle name="Output 6 3 2 3 2" xfId="5447"/>
    <cellStyle name="Output 6 3 2 3 2 2" xfId="13662"/>
    <cellStyle name="Output 6 3 2 3 2 2 2" xfId="25650"/>
    <cellStyle name="Output 6 3 2 3 2 2 2 2" xfId="46836"/>
    <cellStyle name="Output 6 3 2 3 2 2 3" xfId="36232"/>
    <cellStyle name="Output 6 3 2 3 2 3" xfId="20537"/>
    <cellStyle name="Output 6 3 2 3 2 3 2" xfId="41724"/>
    <cellStyle name="Output 6 3 2 3 2 4" xfId="31104"/>
    <cellStyle name="Output 6 3 2 3 2_Table 2A-1_EFT (Annual)" xfId="8331"/>
    <cellStyle name="Output 6 3 2 3 3" xfId="11006"/>
    <cellStyle name="Output 6 3 2 3 3 2" xfId="23104"/>
    <cellStyle name="Output 6 3 2 3 3 2 2" xfId="44290"/>
    <cellStyle name="Output 6 3 2 3 3 3" xfId="33686"/>
    <cellStyle name="Output 6 3 2 3 4" xfId="17991"/>
    <cellStyle name="Output 6 3 2 3 4 2" xfId="39178"/>
    <cellStyle name="Output 6 3 2 3 5" xfId="28361"/>
    <cellStyle name="Output 6 3 2 3_Table 2A-1_EFT (Annual)" xfId="8330"/>
    <cellStyle name="Output 6 3 2 4" xfId="4892"/>
    <cellStyle name="Output 6 3 2 4 2" xfId="13152"/>
    <cellStyle name="Output 6 3 2 4 2 2" xfId="25158"/>
    <cellStyle name="Output 6 3 2 4 2 2 2" xfId="46344"/>
    <cellStyle name="Output 6 3 2 4 2 3" xfId="35740"/>
    <cellStyle name="Output 6 3 2 4 3" xfId="20045"/>
    <cellStyle name="Output 6 3 2 4 3 2" xfId="41232"/>
    <cellStyle name="Output 6 3 2 4 4" xfId="30549"/>
    <cellStyle name="Output 6 3 2 4_Table 2A-1_EFT (Annual)" xfId="8332"/>
    <cellStyle name="Output 6 3 2 5" xfId="10496"/>
    <cellStyle name="Output 6 3 2 5 2" xfId="22612"/>
    <cellStyle name="Output 6 3 2 5 2 2" xfId="43798"/>
    <cellStyle name="Output 6 3 2 5 3" xfId="33194"/>
    <cellStyle name="Output 6 3 2 6" xfId="17499"/>
    <cellStyle name="Output 6 3 2 6 2" xfId="38686"/>
    <cellStyle name="Output 6 3 2 7" xfId="27806"/>
    <cellStyle name="Output 6 3 2_Table 2A-1_EFT (Annual)" xfId="3491"/>
    <cellStyle name="Output 6 3 3" xfId="2070"/>
    <cellStyle name="Output 6 3 3 2" xfId="5631"/>
    <cellStyle name="Output 6 3 3 2 2" xfId="13846"/>
    <cellStyle name="Output 6 3 3 2 2 2" xfId="25834"/>
    <cellStyle name="Output 6 3 3 2 2 2 2" xfId="47020"/>
    <cellStyle name="Output 6 3 3 2 2 3" xfId="36416"/>
    <cellStyle name="Output 6 3 3 2 3" xfId="20721"/>
    <cellStyle name="Output 6 3 3 2 3 2" xfId="41908"/>
    <cellStyle name="Output 6 3 3 2 4" xfId="31288"/>
    <cellStyle name="Output 6 3 3 2_Table 2A-1_EFT (Annual)" xfId="8334"/>
    <cellStyle name="Output 6 3 3 3" xfId="11190"/>
    <cellStyle name="Output 6 3 3 3 2" xfId="23288"/>
    <cellStyle name="Output 6 3 3 3 2 2" xfId="44474"/>
    <cellStyle name="Output 6 3 3 3 3" xfId="33870"/>
    <cellStyle name="Output 6 3 3 4" xfId="18175"/>
    <cellStyle name="Output 6 3 3 4 2" xfId="39362"/>
    <cellStyle name="Output 6 3 3 5" xfId="28545"/>
    <cellStyle name="Output 6 3 3_Table 2A-1_EFT (Annual)" xfId="8333"/>
    <cellStyle name="Output 6 3 4" xfId="1706"/>
    <cellStyle name="Output 6 3 4 2" xfId="5267"/>
    <cellStyle name="Output 6 3 4 2 2" xfId="13496"/>
    <cellStyle name="Output 6 3 4 2 2 2" xfId="25489"/>
    <cellStyle name="Output 6 3 4 2 2 2 2" xfId="46675"/>
    <cellStyle name="Output 6 3 4 2 2 3" xfId="36071"/>
    <cellStyle name="Output 6 3 4 2 3" xfId="20376"/>
    <cellStyle name="Output 6 3 4 2 3 2" xfId="41563"/>
    <cellStyle name="Output 6 3 4 2 4" xfId="30924"/>
    <cellStyle name="Output 6 3 4 2_Table 2A-1_EFT (Annual)" xfId="8336"/>
    <cellStyle name="Output 6 3 4 3" xfId="10840"/>
    <cellStyle name="Output 6 3 4 3 2" xfId="22943"/>
    <cellStyle name="Output 6 3 4 3 2 2" xfId="44129"/>
    <cellStyle name="Output 6 3 4 3 3" xfId="33525"/>
    <cellStyle name="Output 6 3 4 4" xfId="17830"/>
    <cellStyle name="Output 6 3 4 4 2" xfId="39017"/>
    <cellStyle name="Output 6 3 4 5" xfId="28181"/>
    <cellStyle name="Output 6 3 4_Table 2A-1_EFT (Annual)" xfId="8335"/>
    <cellStyle name="Output 6 3 5" xfId="3918"/>
    <cellStyle name="Output 6 3 5 2" xfId="12246"/>
    <cellStyle name="Output 6 3 5 2 2" xfId="24270"/>
    <cellStyle name="Output 6 3 5 2 2 2" xfId="45456"/>
    <cellStyle name="Output 6 3 5 2 3" xfId="34852"/>
    <cellStyle name="Output 6 3 5 3" xfId="19157"/>
    <cellStyle name="Output 6 3 5 3 2" xfId="40344"/>
    <cellStyle name="Output 6 3 5 4" xfId="29606"/>
    <cellStyle name="Output 6 3 5_Table 2A-1_EFT (Annual)" xfId="8337"/>
    <cellStyle name="Output 6 3 6" xfId="9583"/>
    <cellStyle name="Output 6 3 6 2" xfId="21724"/>
    <cellStyle name="Output 6 3 6 2 2" xfId="42910"/>
    <cellStyle name="Output 6 3 6 3" xfId="32306"/>
    <cellStyle name="Output 6 3 7" xfId="16611"/>
    <cellStyle name="Output 6 3 7 2" xfId="37798"/>
    <cellStyle name="Output 6 3 8" xfId="26863"/>
    <cellStyle name="Output 6 3_Table 2A-1_EFT (Annual)" xfId="3490"/>
    <cellStyle name="Output 6 4" xfId="1165"/>
    <cellStyle name="Output 6 4 2" xfId="2435"/>
    <cellStyle name="Output 6 4 2 2" xfId="5996"/>
    <cellStyle name="Output 6 4 2 2 2" xfId="14190"/>
    <cellStyle name="Output 6 4 2 2 2 2" xfId="26162"/>
    <cellStyle name="Output 6 4 2 2 2 2 2" xfId="47348"/>
    <cellStyle name="Output 6 4 2 2 2 3" xfId="36744"/>
    <cellStyle name="Output 6 4 2 2 3" xfId="21049"/>
    <cellStyle name="Output 6 4 2 2 3 2" xfId="42236"/>
    <cellStyle name="Output 6 4 2 2 4" xfId="31652"/>
    <cellStyle name="Output 6 4 2 2_Table 2A-1_EFT (Annual)" xfId="8339"/>
    <cellStyle name="Output 6 4 2 3" xfId="11532"/>
    <cellStyle name="Output 6 4 2 3 2" xfId="23616"/>
    <cellStyle name="Output 6 4 2 3 2 2" xfId="44802"/>
    <cellStyle name="Output 6 4 2 3 3" xfId="34198"/>
    <cellStyle name="Output 6 4 2 4" xfId="18503"/>
    <cellStyle name="Output 6 4 2 4 2" xfId="39690"/>
    <cellStyle name="Output 6 4 2 5" xfId="28909"/>
    <cellStyle name="Output 6 4 2_Table 2A-1_EFT (Annual)" xfId="8338"/>
    <cellStyle name="Output 6 4 3" xfId="1822"/>
    <cellStyle name="Output 6 4 3 2" xfId="5383"/>
    <cellStyle name="Output 6 4 3 2 2" xfId="13598"/>
    <cellStyle name="Output 6 4 3 2 2 2" xfId="25586"/>
    <cellStyle name="Output 6 4 3 2 2 2 2" xfId="46772"/>
    <cellStyle name="Output 6 4 3 2 2 3" xfId="36168"/>
    <cellStyle name="Output 6 4 3 2 3" xfId="20473"/>
    <cellStyle name="Output 6 4 3 2 3 2" xfId="41660"/>
    <cellStyle name="Output 6 4 3 2 4" xfId="31040"/>
    <cellStyle name="Output 6 4 3 2_Table 2A-1_EFT (Annual)" xfId="8341"/>
    <cellStyle name="Output 6 4 3 3" xfId="10942"/>
    <cellStyle name="Output 6 4 3 3 2" xfId="23040"/>
    <cellStyle name="Output 6 4 3 3 2 2" xfId="44226"/>
    <cellStyle name="Output 6 4 3 3 3" xfId="33622"/>
    <cellStyle name="Output 6 4 3 4" xfId="17927"/>
    <cellStyle name="Output 6 4 3 4 2" xfId="39114"/>
    <cellStyle name="Output 6 4 3 5" xfId="28297"/>
    <cellStyle name="Output 6 4 3_Table 2A-1_EFT (Annual)" xfId="8340"/>
    <cellStyle name="Output 6 4 4" xfId="4726"/>
    <cellStyle name="Output 6 4 4 2" xfId="12986"/>
    <cellStyle name="Output 6 4 4 2 2" xfId="24992"/>
    <cellStyle name="Output 6 4 4 2 2 2" xfId="46178"/>
    <cellStyle name="Output 6 4 4 2 3" xfId="35574"/>
    <cellStyle name="Output 6 4 4 3" xfId="19879"/>
    <cellStyle name="Output 6 4 4 3 2" xfId="41066"/>
    <cellStyle name="Output 6 4 4 4" xfId="30383"/>
    <cellStyle name="Output 6 4 4_Table 2A-1_EFT (Annual)" xfId="8342"/>
    <cellStyle name="Output 6 4 5" xfId="10330"/>
    <cellStyle name="Output 6 4 5 2" xfId="22446"/>
    <cellStyle name="Output 6 4 5 2 2" xfId="43632"/>
    <cellStyle name="Output 6 4 5 3" xfId="33028"/>
    <cellStyle name="Output 6 4 6" xfId="17333"/>
    <cellStyle name="Output 6 4 6 2" xfId="38520"/>
    <cellStyle name="Output 6 4 7" xfId="27640"/>
    <cellStyle name="Output 6 4_Table 2A-1_EFT (Annual)" xfId="3492"/>
    <cellStyle name="Output 6 5" xfId="1798"/>
    <cellStyle name="Output 6 5 2" xfId="5359"/>
    <cellStyle name="Output 6 5 2 2" xfId="13574"/>
    <cellStyle name="Output 6 5 2 2 2" xfId="25562"/>
    <cellStyle name="Output 6 5 2 2 2 2" xfId="46748"/>
    <cellStyle name="Output 6 5 2 2 3" xfId="36144"/>
    <cellStyle name="Output 6 5 2 3" xfId="20449"/>
    <cellStyle name="Output 6 5 2 3 2" xfId="41636"/>
    <cellStyle name="Output 6 5 2 4" xfId="31016"/>
    <cellStyle name="Output 6 5 2_Table 2A-1_EFT (Annual)" xfId="8344"/>
    <cellStyle name="Output 6 5 3" xfId="10918"/>
    <cellStyle name="Output 6 5 3 2" xfId="23016"/>
    <cellStyle name="Output 6 5 3 2 2" xfId="44202"/>
    <cellStyle name="Output 6 5 3 3" xfId="33598"/>
    <cellStyle name="Output 6 5 4" xfId="17903"/>
    <cellStyle name="Output 6 5 4 2" xfId="39090"/>
    <cellStyle name="Output 6 5 5" xfId="28273"/>
    <cellStyle name="Output 6 5_Table 2A-1_EFT (Annual)" xfId="8343"/>
    <cellStyle name="Output 6 6" xfId="1649"/>
    <cellStyle name="Output 6 6 2" xfId="5210"/>
    <cellStyle name="Output 6 6 2 2" xfId="13457"/>
    <cellStyle name="Output 6 6 2 2 2" xfId="25457"/>
    <cellStyle name="Output 6 6 2 2 2 2" xfId="46643"/>
    <cellStyle name="Output 6 6 2 2 3" xfId="36039"/>
    <cellStyle name="Output 6 6 2 3" xfId="20344"/>
    <cellStyle name="Output 6 6 2 3 2" xfId="41531"/>
    <cellStyle name="Output 6 6 2 4" xfId="30867"/>
    <cellStyle name="Output 6 6 2_Table 2A-1_EFT (Annual)" xfId="8346"/>
    <cellStyle name="Output 6 6 3" xfId="10802"/>
    <cellStyle name="Output 6 6 3 2" xfId="22911"/>
    <cellStyle name="Output 6 6 3 2 2" xfId="44097"/>
    <cellStyle name="Output 6 6 3 3" xfId="33493"/>
    <cellStyle name="Output 6 6 4" xfId="17798"/>
    <cellStyle name="Output 6 6 4 2" xfId="38985"/>
    <cellStyle name="Output 6 6 5" xfId="28124"/>
    <cellStyle name="Output 6 6_Table 2A-1_EFT (Annual)" xfId="8345"/>
    <cellStyle name="Output 6 7" xfId="3706"/>
    <cellStyle name="Output 6 7 2" xfId="12074"/>
    <cellStyle name="Output 6 7 2 2" xfId="24104"/>
    <cellStyle name="Output 6 7 2 2 2" xfId="45290"/>
    <cellStyle name="Output 6 7 2 3" xfId="34686"/>
    <cellStyle name="Output 6 7 3" xfId="18991"/>
    <cellStyle name="Output 6 7 3 2" xfId="40178"/>
    <cellStyle name="Output 6 7 4" xfId="29415"/>
    <cellStyle name="Output 6 7_Table 2A-1_EFT (Annual)" xfId="8347"/>
    <cellStyle name="Output 6 8" xfId="9393"/>
    <cellStyle name="Output 6 8 2" xfId="21558"/>
    <cellStyle name="Output 6 8 2 2" xfId="42744"/>
    <cellStyle name="Output 6 8 3" xfId="32140"/>
    <cellStyle name="Output 6 9" xfId="16445"/>
    <cellStyle name="Output 6 9 2" xfId="37632"/>
    <cellStyle name="Output 6_Table 2A-1_EFT (Annual)" xfId="3487"/>
    <cellStyle name="Output 7" xfId="111"/>
    <cellStyle name="Output 7 10" xfId="26666"/>
    <cellStyle name="Output 7 2" xfId="504"/>
    <cellStyle name="Output 7 2 2" xfId="1481"/>
    <cellStyle name="Output 7 2 2 2" xfId="2751"/>
    <cellStyle name="Output 7 2 2 2 2" xfId="6312"/>
    <cellStyle name="Output 7 2 2 2 2 2" xfId="14506"/>
    <cellStyle name="Output 7 2 2 2 2 2 2" xfId="26478"/>
    <cellStyle name="Output 7 2 2 2 2 2 2 2" xfId="47664"/>
    <cellStyle name="Output 7 2 2 2 2 2 3" xfId="37060"/>
    <cellStyle name="Output 7 2 2 2 2 3" xfId="21365"/>
    <cellStyle name="Output 7 2 2 2 2 3 2" xfId="42552"/>
    <cellStyle name="Output 7 2 2 2 2 4" xfId="31968"/>
    <cellStyle name="Output 7 2 2 2 2_Table 2A-1_EFT (Annual)" xfId="8349"/>
    <cellStyle name="Output 7 2 2 2 3" xfId="11848"/>
    <cellStyle name="Output 7 2 2 2 3 2" xfId="23932"/>
    <cellStyle name="Output 7 2 2 2 3 2 2" xfId="45118"/>
    <cellStyle name="Output 7 2 2 2 3 3" xfId="34514"/>
    <cellStyle name="Output 7 2 2 2 4" xfId="18819"/>
    <cellStyle name="Output 7 2 2 2 4 2" xfId="40006"/>
    <cellStyle name="Output 7 2 2 2 5" xfId="29225"/>
    <cellStyle name="Output 7 2 2 2_Table 2A-1_EFT (Annual)" xfId="8348"/>
    <cellStyle name="Output 7 2 2 3" xfId="1915"/>
    <cellStyle name="Output 7 2 2 3 2" xfId="5476"/>
    <cellStyle name="Output 7 2 2 3 2 2" xfId="13691"/>
    <cellStyle name="Output 7 2 2 3 2 2 2" xfId="25679"/>
    <cellStyle name="Output 7 2 2 3 2 2 2 2" xfId="46865"/>
    <cellStyle name="Output 7 2 2 3 2 2 3" xfId="36261"/>
    <cellStyle name="Output 7 2 2 3 2 3" xfId="20566"/>
    <cellStyle name="Output 7 2 2 3 2 3 2" xfId="41753"/>
    <cellStyle name="Output 7 2 2 3 2 4" xfId="31133"/>
    <cellStyle name="Output 7 2 2 3 2_Table 2A-1_EFT (Annual)" xfId="8351"/>
    <cellStyle name="Output 7 2 2 3 3" xfId="11035"/>
    <cellStyle name="Output 7 2 2 3 3 2" xfId="23133"/>
    <cellStyle name="Output 7 2 2 3 3 2 2" xfId="44319"/>
    <cellStyle name="Output 7 2 2 3 3 3" xfId="33715"/>
    <cellStyle name="Output 7 2 2 3 4" xfId="18020"/>
    <cellStyle name="Output 7 2 2 3 4 2" xfId="39207"/>
    <cellStyle name="Output 7 2 2 3 5" xfId="28390"/>
    <cellStyle name="Output 7 2 2 3_Table 2A-1_EFT (Annual)" xfId="8350"/>
    <cellStyle name="Output 7 2 2 4" xfId="5042"/>
    <cellStyle name="Output 7 2 2 4 2" xfId="13302"/>
    <cellStyle name="Output 7 2 2 4 2 2" xfId="25308"/>
    <cellStyle name="Output 7 2 2 4 2 2 2" xfId="46494"/>
    <cellStyle name="Output 7 2 2 4 2 3" xfId="35890"/>
    <cellStyle name="Output 7 2 2 4 3" xfId="20195"/>
    <cellStyle name="Output 7 2 2 4 3 2" xfId="41382"/>
    <cellStyle name="Output 7 2 2 4 4" xfId="30699"/>
    <cellStyle name="Output 7 2 2 4_Table 2A-1_EFT (Annual)" xfId="8352"/>
    <cellStyle name="Output 7 2 2 5" xfId="10646"/>
    <cellStyle name="Output 7 2 2 5 2" xfId="22762"/>
    <cellStyle name="Output 7 2 2 5 2 2" xfId="43948"/>
    <cellStyle name="Output 7 2 2 5 3" xfId="33344"/>
    <cellStyle name="Output 7 2 2 6" xfId="17649"/>
    <cellStyle name="Output 7 2 2 6 2" xfId="38836"/>
    <cellStyle name="Output 7 2 2 7" xfId="27956"/>
    <cellStyle name="Output 7 2 2_Table 2A-1_EFT (Annual)" xfId="3495"/>
    <cellStyle name="Output 7 2 3" xfId="2220"/>
    <cellStyle name="Output 7 2 3 2" xfId="5781"/>
    <cellStyle name="Output 7 2 3 2 2" xfId="13996"/>
    <cellStyle name="Output 7 2 3 2 2 2" xfId="25984"/>
    <cellStyle name="Output 7 2 3 2 2 2 2" xfId="47170"/>
    <cellStyle name="Output 7 2 3 2 2 3" xfId="36566"/>
    <cellStyle name="Output 7 2 3 2 3" xfId="20871"/>
    <cellStyle name="Output 7 2 3 2 3 2" xfId="42058"/>
    <cellStyle name="Output 7 2 3 2 4" xfId="31438"/>
    <cellStyle name="Output 7 2 3 2_Table 2A-1_EFT (Annual)" xfId="8354"/>
    <cellStyle name="Output 7 2 3 3" xfId="11340"/>
    <cellStyle name="Output 7 2 3 3 2" xfId="23438"/>
    <cellStyle name="Output 7 2 3 3 2 2" xfId="44624"/>
    <cellStyle name="Output 7 2 3 3 3" xfId="34020"/>
    <cellStyle name="Output 7 2 3 4" xfId="18325"/>
    <cellStyle name="Output 7 2 3 4 2" xfId="39512"/>
    <cellStyle name="Output 7 2 3 5" xfId="28695"/>
    <cellStyle name="Output 7 2 3_Table 2A-1_EFT (Annual)" xfId="8353"/>
    <cellStyle name="Output 7 2 4" xfId="1740"/>
    <cellStyle name="Output 7 2 4 2" xfId="5301"/>
    <cellStyle name="Output 7 2 4 2 2" xfId="13526"/>
    <cellStyle name="Output 7 2 4 2 2 2" xfId="25517"/>
    <cellStyle name="Output 7 2 4 2 2 2 2" xfId="46703"/>
    <cellStyle name="Output 7 2 4 2 2 3" xfId="36099"/>
    <cellStyle name="Output 7 2 4 2 3" xfId="20404"/>
    <cellStyle name="Output 7 2 4 2 3 2" xfId="41591"/>
    <cellStyle name="Output 7 2 4 2 4" xfId="30958"/>
    <cellStyle name="Output 7 2 4 2_Table 2A-1_EFT (Annual)" xfId="8356"/>
    <cellStyle name="Output 7 2 4 3" xfId="10869"/>
    <cellStyle name="Output 7 2 4 3 2" xfId="22971"/>
    <cellStyle name="Output 7 2 4 3 2 2" xfId="44157"/>
    <cellStyle name="Output 7 2 4 3 3" xfId="33553"/>
    <cellStyle name="Output 7 2 4 4" xfId="17858"/>
    <cellStyle name="Output 7 2 4 4 2" xfId="39045"/>
    <cellStyle name="Output 7 2 4 5" xfId="28215"/>
    <cellStyle name="Output 7 2 4_Table 2A-1_EFT (Annual)" xfId="8355"/>
    <cellStyle name="Output 7 2 5" xfId="4074"/>
    <cellStyle name="Output 7 2 5 2" xfId="12398"/>
    <cellStyle name="Output 7 2 5 2 2" xfId="24420"/>
    <cellStyle name="Output 7 2 5 2 2 2" xfId="45606"/>
    <cellStyle name="Output 7 2 5 2 3" xfId="35002"/>
    <cellStyle name="Output 7 2 5 3" xfId="19307"/>
    <cellStyle name="Output 7 2 5 3 2" xfId="40494"/>
    <cellStyle name="Output 7 2 5 4" xfId="29762"/>
    <cellStyle name="Output 7 2 5_Table 2A-1_EFT (Annual)" xfId="8357"/>
    <cellStyle name="Output 7 2 6" xfId="9737"/>
    <cellStyle name="Output 7 2 6 2" xfId="21874"/>
    <cellStyle name="Output 7 2 6 2 2" xfId="43060"/>
    <cellStyle name="Output 7 2 6 3" xfId="32456"/>
    <cellStyle name="Output 7 2 7" xfId="16761"/>
    <cellStyle name="Output 7 2 7 2" xfId="37948"/>
    <cellStyle name="Output 7 2 8" xfId="27019"/>
    <cellStyle name="Output 7 2_Table 2A-1_EFT (Annual)" xfId="3494"/>
    <cellStyle name="Output 7 3" xfId="342"/>
    <cellStyle name="Output 7 3 2" xfId="1325"/>
    <cellStyle name="Output 7 3 2 2" xfId="2595"/>
    <cellStyle name="Output 7 3 2 2 2" xfId="6156"/>
    <cellStyle name="Output 7 3 2 2 2 2" xfId="14350"/>
    <cellStyle name="Output 7 3 2 2 2 2 2" xfId="26322"/>
    <cellStyle name="Output 7 3 2 2 2 2 2 2" xfId="47508"/>
    <cellStyle name="Output 7 3 2 2 2 2 3" xfId="36904"/>
    <cellStyle name="Output 7 3 2 2 2 3" xfId="21209"/>
    <cellStyle name="Output 7 3 2 2 2 3 2" xfId="42396"/>
    <cellStyle name="Output 7 3 2 2 2 4" xfId="31812"/>
    <cellStyle name="Output 7 3 2 2 2_Table 2A-1_EFT (Annual)" xfId="8359"/>
    <cellStyle name="Output 7 3 2 2 3" xfId="11692"/>
    <cellStyle name="Output 7 3 2 2 3 2" xfId="23776"/>
    <cellStyle name="Output 7 3 2 2 3 2 2" xfId="44962"/>
    <cellStyle name="Output 7 3 2 2 3 3" xfId="34358"/>
    <cellStyle name="Output 7 3 2 2 4" xfId="18663"/>
    <cellStyle name="Output 7 3 2 2 4 2" xfId="39850"/>
    <cellStyle name="Output 7 3 2 2 5" xfId="29069"/>
    <cellStyle name="Output 7 3 2 2_Table 2A-1_EFT (Annual)" xfId="8358"/>
    <cellStyle name="Output 7 3 2 3" xfId="1884"/>
    <cellStyle name="Output 7 3 2 3 2" xfId="5445"/>
    <cellStyle name="Output 7 3 2 3 2 2" xfId="13660"/>
    <cellStyle name="Output 7 3 2 3 2 2 2" xfId="25648"/>
    <cellStyle name="Output 7 3 2 3 2 2 2 2" xfId="46834"/>
    <cellStyle name="Output 7 3 2 3 2 2 3" xfId="36230"/>
    <cellStyle name="Output 7 3 2 3 2 3" xfId="20535"/>
    <cellStyle name="Output 7 3 2 3 2 3 2" xfId="41722"/>
    <cellStyle name="Output 7 3 2 3 2 4" xfId="31102"/>
    <cellStyle name="Output 7 3 2 3 2_Table 2A-1_EFT (Annual)" xfId="8361"/>
    <cellStyle name="Output 7 3 2 3 3" xfId="11004"/>
    <cellStyle name="Output 7 3 2 3 3 2" xfId="23102"/>
    <cellStyle name="Output 7 3 2 3 3 2 2" xfId="44288"/>
    <cellStyle name="Output 7 3 2 3 3 3" xfId="33684"/>
    <cellStyle name="Output 7 3 2 3 4" xfId="17989"/>
    <cellStyle name="Output 7 3 2 3 4 2" xfId="39176"/>
    <cellStyle name="Output 7 3 2 3 5" xfId="28359"/>
    <cellStyle name="Output 7 3 2 3_Table 2A-1_EFT (Annual)" xfId="8360"/>
    <cellStyle name="Output 7 3 2 4" xfId="4886"/>
    <cellStyle name="Output 7 3 2 4 2" xfId="13146"/>
    <cellStyle name="Output 7 3 2 4 2 2" xfId="25152"/>
    <cellStyle name="Output 7 3 2 4 2 2 2" xfId="46338"/>
    <cellStyle name="Output 7 3 2 4 2 3" xfId="35734"/>
    <cellStyle name="Output 7 3 2 4 3" xfId="20039"/>
    <cellStyle name="Output 7 3 2 4 3 2" xfId="41226"/>
    <cellStyle name="Output 7 3 2 4 4" xfId="30543"/>
    <cellStyle name="Output 7 3 2 4_Table 2A-1_EFT (Annual)" xfId="8362"/>
    <cellStyle name="Output 7 3 2 5" xfId="10490"/>
    <cellStyle name="Output 7 3 2 5 2" xfId="22606"/>
    <cellStyle name="Output 7 3 2 5 2 2" xfId="43792"/>
    <cellStyle name="Output 7 3 2 5 3" xfId="33188"/>
    <cellStyle name="Output 7 3 2 6" xfId="17493"/>
    <cellStyle name="Output 7 3 2 6 2" xfId="38680"/>
    <cellStyle name="Output 7 3 2 7" xfId="27800"/>
    <cellStyle name="Output 7 3 2_Table 2A-1_EFT (Annual)" xfId="3497"/>
    <cellStyle name="Output 7 3 3" xfId="2064"/>
    <cellStyle name="Output 7 3 3 2" xfId="5625"/>
    <cellStyle name="Output 7 3 3 2 2" xfId="13840"/>
    <cellStyle name="Output 7 3 3 2 2 2" xfId="25828"/>
    <cellStyle name="Output 7 3 3 2 2 2 2" xfId="47014"/>
    <cellStyle name="Output 7 3 3 2 2 3" xfId="36410"/>
    <cellStyle name="Output 7 3 3 2 3" xfId="20715"/>
    <cellStyle name="Output 7 3 3 2 3 2" xfId="41902"/>
    <cellStyle name="Output 7 3 3 2 4" xfId="31282"/>
    <cellStyle name="Output 7 3 3 2_Table 2A-1_EFT (Annual)" xfId="8364"/>
    <cellStyle name="Output 7 3 3 3" xfId="11184"/>
    <cellStyle name="Output 7 3 3 3 2" xfId="23282"/>
    <cellStyle name="Output 7 3 3 3 2 2" xfId="44468"/>
    <cellStyle name="Output 7 3 3 3 3" xfId="33864"/>
    <cellStyle name="Output 7 3 3 4" xfId="18169"/>
    <cellStyle name="Output 7 3 3 4 2" xfId="39356"/>
    <cellStyle name="Output 7 3 3 5" xfId="28539"/>
    <cellStyle name="Output 7 3 3_Table 2A-1_EFT (Annual)" xfId="8363"/>
    <cellStyle name="Output 7 3 4" xfId="1704"/>
    <cellStyle name="Output 7 3 4 2" xfId="5265"/>
    <cellStyle name="Output 7 3 4 2 2" xfId="13494"/>
    <cellStyle name="Output 7 3 4 2 2 2" xfId="25487"/>
    <cellStyle name="Output 7 3 4 2 2 2 2" xfId="46673"/>
    <cellStyle name="Output 7 3 4 2 2 3" xfId="36069"/>
    <cellStyle name="Output 7 3 4 2 3" xfId="20374"/>
    <cellStyle name="Output 7 3 4 2 3 2" xfId="41561"/>
    <cellStyle name="Output 7 3 4 2 4" xfId="30922"/>
    <cellStyle name="Output 7 3 4 2_Table 2A-1_EFT (Annual)" xfId="8366"/>
    <cellStyle name="Output 7 3 4 3" xfId="10838"/>
    <cellStyle name="Output 7 3 4 3 2" xfId="22941"/>
    <cellStyle name="Output 7 3 4 3 2 2" xfId="44127"/>
    <cellStyle name="Output 7 3 4 3 3" xfId="33523"/>
    <cellStyle name="Output 7 3 4 4" xfId="17828"/>
    <cellStyle name="Output 7 3 4 4 2" xfId="39015"/>
    <cellStyle name="Output 7 3 4 5" xfId="28179"/>
    <cellStyle name="Output 7 3 4_Table 2A-1_EFT (Annual)" xfId="8365"/>
    <cellStyle name="Output 7 3 5" xfId="3912"/>
    <cellStyle name="Output 7 3 5 2" xfId="12240"/>
    <cellStyle name="Output 7 3 5 2 2" xfId="24264"/>
    <cellStyle name="Output 7 3 5 2 2 2" xfId="45450"/>
    <cellStyle name="Output 7 3 5 2 3" xfId="34846"/>
    <cellStyle name="Output 7 3 5 3" xfId="19151"/>
    <cellStyle name="Output 7 3 5 3 2" xfId="40338"/>
    <cellStyle name="Output 7 3 5 4" xfId="29600"/>
    <cellStyle name="Output 7 3 5_Table 2A-1_EFT (Annual)" xfId="8367"/>
    <cellStyle name="Output 7 3 6" xfId="9577"/>
    <cellStyle name="Output 7 3 6 2" xfId="21718"/>
    <cellStyle name="Output 7 3 6 2 2" xfId="42904"/>
    <cellStyle name="Output 7 3 6 3" xfId="32300"/>
    <cellStyle name="Output 7 3 7" xfId="16605"/>
    <cellStyle name="Output 7 3 7 2" xfId="37792"/>
    <cellStyle name="Output 7 3 8" xfId="26857"/>
    <cellStyle name="Output 7 3_Table 2A-1_EFT (Annual)" xfId="3496"/>
    <cellStyle name="Output 7 4" xfId="1159"/>
    <cellStyle name="Output 7 4 2" xfId="2429"/>
    <cellStyle name="Output 7 4 2 2" xfId="5990"/>
    <cellStyle name="Output 7 4 2 2 2" xfId="14184"/>
    <cellStyle name="Output 7 4 2 2 2 2" xfId="26156"/>
    <cellStyle name="Output 7 4 2 2 2 2 2" xfId="47342"/>
    <cellStyle name="Output 7 4 2 2 2 3" xfId="36738"/>
    <cellStyle name="Output 7 4 2 2 3" xfId="21043"/>
    <cellStyle name="Output 7 4 2 2 3 2" xfId="42230"/>
    <cellStyle name="Output 7 4 2 2 4" xfId="31646"/>
    <cellStyle name="Output 7 4 2 2_Table 2A-1_EFT (Annual)" xfId="8369"/>
    <cellStyle name="Output 7 4 2 3" xfId="11526"/>
    <cellStyle name="Output 7 4 2 3 2" xfId="23610"/>
    <cellStyle name="Output 7 4 2 3 2 2" xfId="44796"/>
    <cellStyle name="Output 7 4 2 3 3" xfId="34192"/>
    <cellStyle name="Output 7 4 2 4" xfId="18497"/>
    <cellStyle name="Output 7 4 2 4 2" xfId="39684"/>
    <cellStyle name="Output 7 4 2 5" xfId="28903"/>
    <cellStyle name="Output 7 4 2_Table 2A-1_EFT (Annual)" xfId="8368"/>
    <cellStyle name="Output 7 4 3" xfId="1820"/>
    <cellStyle name="Output 7 4 3 2" xfId="5381"/>
    <cellStyle name="Output 7 4 3 2 2" xfId="13596"/>
    <cellStyle name="Output 7 4 3 2 2 2" xfId="25584"/>
    <cellStyle name="Output 7 4 3 2 2 2 2" xfId="46770"/>
    <cellStyle name="Output 7 4 3 2 2 3" xfId="36166"/>
    <cellStyle name="Output 7 4 3 2 3" xfId="20471"/>
    <cellStyle name="Output 7 4 3 2 3 2" xfId="41658"/>
    <cellStyle name="Output 7 4 3 2 4" xfId="31038"/>
    <cellStyle name="Output 7 4 3 2_Table 2A-1_EFT (Annual)" xfId="8371"/>
    <cellStyle name="Output 7 4 3 3" xfId="10940"/>
    <cellStyle name="Output 7 4 3 3 2" xfId="23038"/>
    <cellStyle name="Output 7 4 3 3 2 2" xfId="44224"/>
    <cellStyle name="Output 7 4 3 3 3" xfId="33620"/>
    <cellStyle name="Output 7 4 3 4" xfId="17925"/>
    <cellStyle name="Output 7 4 3 4 2" xfId="39112"/>
    <cellStyle name="Output 7 4 3 5" xfId="28295"/>
    <cellStyle name="Output 7 4 3_Table 2A-1_EFT (Annual)" xfId="8370"/>
    <cellStyle name="Output 7 4 4" xfId="4720"/>
    <cellStyle name="Output 7 4 4 2" xfId="12980"/>
    <cellStyle name="Output 7 4 4 2 2" xfId="24986"/>
    <cellStyle name="Output 7 4 4 2 2 2" xfId="46172"/>
    <cellStyle name="Output 7 4 4 2 3" xfId="35568"/>
    <cellStyle name="Output 7 4 4 3" xfId="19873"/>
    <cellStyle name="Output 7 4 4 3 2" xfId="41060"/>
    <cellStyle name="Output 7 4 4 4" xfId="30377"/>
    <cellStyle name="Output 7 4 4_Table 2A-1_EFT (Annual)" xfId="8372"/>
    <cellStyle name="Output 7 4 5" xfId="10324"/>
    <cellStyle name="Output 7 4 5 2" xfId="22440"/>
    <cellStyle name="Output 7 4 5 2 2" xfId="43626"/>
    <cellStyle name="Output 7 4 5 3" xfId="33022"/>
    <cellStyle name="Output 7 4 6" xfId="17327"/>
    <cellStyle name="Output 7 4 6 2" xfId="38514"/>
    <cellStyle name="Output 7 4 7" xfId="27634"/>
    <cellStyle name="Output 7 4_Table 2A-1_EFT (Annual)" xfId="3498"/>
    <cellStyle name="Output 7 5" xfId="1801"/>
    <cellStyle name="Output 7 5 2" xfId="5362"/>
    <cellStyle name="Output 7 5 2 2" xfId="13577"/>
    <cellStyle name="Output 7 5 2 2 2" xfId="25565"/>
    <cellStyle name="Output 7 5 2 2 2 2" xfId="46751"/>
    <cellStyle name="Output 7 5 2 2 3" xfId="36147"/>
    <cellStyle name="Output 7 5 2 3" xfId="20452"/>
    <cellStyle name="Output 7 5 2 3 2" xfId="41639"/>
    <cellStyle name="Output 7 5 2 4" xfId="31019"/>
    <cellStyle name="Output 7 5 2_Table 2A-1_EFT (Annual)" xfId="8374"/>
    <cellStyle name="Output 7 5 3" xfId="10921"/>
    <cellStyle name="Output 7 5 3 2" xfId="23019"/>
    <cellStyle name="Output 7 5 3 2 2" xfId="44205"/>
    <cellStyle name="Output 7 5 3 3" xfId="33601"/>
    <cellStyle name="Output 7 5 4" xfId="17906"/>
    <cellStyle name="Output 7 5 4 2" xfId="39093"/>
    <cellStyle name="Output 7 5 5" xfId="28276"/>
    <cellStyle name="Output 7 5_Table 2A-1_EFT (Annual)" xfId="8373"/>
    <cellStyle name="Output 7 6" xfId="1647"/>
    <cellStyle name="Output 7 6 2" xfId="5208"/>
    <cellStyle name="Output 7 6 2 2" xfId="13455"/>
    <cellStyle name="Output 7 6 2 2 2" xfId="25455"/>
    <cellStyle name="Output 7 6 2 2 2 2" xfId="46641"/>
    <cellStyle name="Output 7 6 2 2 3" xfId="36037"/>
    <cellStyle name="Output 7 6 2 3" xfId="20342"/>
    <cellStyle name="Output 7 6 2 3 2" xfId="41529"/>
    <cellStyle name="Output 7 6 2 4" xfId="30865"/>
    <cellStyle name="Output 7 6 2_Table 2A-1_EFT (Annual)" xfId="8376"/>
    <cellStyle name="Output 7 6 3" xfId="10800"/>
    <cellStyle name="Output 7 6 3 2" xfId="22909"/>
    <cellStyle name="Output 7 6 3 2 2" xfId="44095"/>
    <cellStyle name="Output 7 6 3 3" xfId="33491"/>
    <cellStyle name="Output 7 6 4" xfId="17796"/>
    <cellStyle name="Output 7 6 4 2" xfId="38983"/>
    <cellStyle name="Output 7 6 5" xfId="28122"/>
    <cellStyle name="Output 7 6_Table 2A-1_EFT (Annual)" xfId="8375"/>
    <cellStyle name="Output 7 7" xfId="3700"/>
    <cellStyle name="Output 7 7 2" xfId="12068"/>
    <cellStyle name="Output 7 7 2 2" xfId="24098"/>
    <cellStyle name="Output 7 7 2 2 2" xfId="45284"/>
    <cellStyle name="Output 7 7 2 3" xfId="34680"/>
    <cellStyle name="Output 7 7 3" xfId="18985"/>
    <cellStyle name="Output 7 7 3 2" xfId="40172"/>
    <cellStyle name="Output 7 7 4" xfId="29409"/>
    <cellStyle name="Output 7 7_Table 2A-1_EFT (Annual)" xfId="8377"/>
    <cellStyle name="Output 7 8" xfId="9387"/>
    <cellStyle name="Output 7 8 2" xfId="21552"/>
    <cellStyle name="Output 7 8 2 2" xfId="42738"/>
    <cellStyle name="Output 7 8 3" xfId="32134"/>
    <cellStyle name="Output 7 9" xfId="16439"/>
    <cellStyle name="Output 7 9 2" xfId="37626"/>
    <cellStyle name="Output 7_Table 2A-1_EFT (Annual)" xfId="3493"/>
    <cellStyle name="Output 8" xfId="90"/>
    <cellStyle name="Output 8 10" xfId="26646"/>
    <cellStyle name="Output 8 2" xfId="489"/>
    <cellStyle name="Output 8 2 2" xfId="1466"/>
    <cellStyle name="Output 8 2 2 2" xfId="2736"/>
    <cellStyle name="Output 8 2 2 2 2" xfId="6297"/>
    <cellStyle name="Output 8 2 2 2 2 2" xfId="14491"/>
    <cellStyle name="Output 8 2 2 2 2 2 2" xfId="26463"/>
    <cellStyle name="Output 8 2 2 2 2 2 2 2" xfId="47649"/>
    <cellStyle name="Output 8 2 2 2 2 2 3" xfId="37045"/>
    <cellStyle name="Output 8 2 2 2 2 3" xfId="21350"/>
    <cellStyle name="Output 8 2 2 2 2 3 2" xfId="42537"/>
    <cellStyle name="Output 8 2 2 2 2 4" xfId="31953"/>
    <cellStyle name="Output 8 2 2 2 2_Table 2A-1_EFT (Annual)" xfId="8379"/>
    <cellStyle name="Output 8 2 2 2 3" xfId="11833"/>
    <cellStyle name="Output 8 2 2 2 3 2" xfId="23917"/>
    <cellStyle name="Output 8 2 2 2 3 2 2" xfId="45103"/>
    <cellStyle name="Output 8 2 2 2 3 3" xfId="34499"/>
    <cellStyle name="Output 8 2 2 2 4" xfId="18804"/>
    <cellStyle name="Output 8 2 2 2 4 2" xfId="39991"/>
    <cellStyle name="Output 8 2 2 2 5" xfId="29210"/>
    <cellStyle name="Output 8 2 2 2_Table 2A-1_EFT (Annual)" xfId="8378"/>
    <cellStyle name="Output 8 2 2 3" xfId="1911"/>
    <cellStyle name="Output 8 2 2 3 2" xfId="5472"/>
    <cellStyle name="Output 8 2 2 3 2 2" xfId="13687"/>
    <cellStyle name="Output 8 2 2 3 2 2 2" xfId="25675"/>
    <cellStyle name="Output 8 2 2 3 2 2 2 2" xfId="46861"/>
    <cellStyle name="Output 8 2 2 3 2 2 3" xfId="36257"/>
    <cellStyle name="Output 8 2 2 3 2 3" xfId="20562"/>
    <cellStyle name="Output 8 2 2 3 2 3 2" xfId="41749"/>
    <cellStyle name="Output 8 2 2 3 2 4" xfId="31129"/>
    <cellStyle name="Output 8 2 2 3 2_Table 2A-1_EFT (Annual)" xfId="8381"/>
    <cellStyle name="Output 8 2 2 3 3" xfId="11031"/>
    <cellStyle name="Output 8 2 2 3 3 2" xfId="23129"/>
    <cellStyle name="Output 8 2 2 3 3 2 2" xfId="44315"/>
    <cellStyle name="Output 8 2 2 3 3 3" xfId="33711"/>
    <cellStyle name="Output 8 2 2 3 4" xfId="18016"/>
    <cellStyle name="Output 8 2 2 3 4 2" xfId="39203"/>
    <cellStyle name="Output 8 2 2 3 5" xfId="28386"/>
    <cellStyle name="Output 8 2 2 3_Table 2A-1_EFT (Annual)" xfId="8380"/>
    <cellStyle name="Output 8 2 2 4" xfId="5027"/>
    <cellStyle name="Output 8 2 2 4 2" xfId="13287"/>
    <cellStyle name="Output 8 2 2 4 2 2" xfId="25293"/>
    <cellStyle name="Output 8 2 2 4 2 2 2" xfId="46479"/>
    <cellStyle name="Output 8 2 2 4 2 3" xfId="35875"/>
    <cellStyle name="Output 8 2 2 4 3" xfId="20180"/>
    <cellStyle name="Output 8 2 2 4 3 2" xfId="41367"/>
    <cellStyle name="Output 8 2 2 4 4" xfId="30684"/>
    <cellStyle name="Output 8 2 2 4_Table 2A-1_EFT (Annual)" xfId="8382"/>
    <cellStyle name="Output 8 2 2 5" xfId="10631"/>
    <cellStyle name="Output 8 2 2 5 2" xfId="22747"/>
    <cellStyle name="Output 8 2 2 5 2 2" xfId="43933"/>
    <cellStyle name="Output 8 2 2 5 3" xfId="33329"/>
    <cellStyle name="Output 8 2 2 6" xfId="17634"/>
    <cellStyle name="Output 8 2 2 6 2" xfId="38821"/>
    <cellStyle name="Output 8 2 2 7" xfId="27941"/>
    <cellStyle name="Output 8 2 2_Table 2A-1_EFT (Annual)" xfId="3501"/>
    <cellStyle name="Output 8 2 3" xfId="2205"/>
    <cellStyle name="Output 8 2 3 2" xfId="5766"/>
    <cellStyle name="Output 8 2 3 2 2" xfId="13981"/>
    <cellStyle name="Output 8 2 3 2 2 2" xfId="25969"/>
    <cellStyle name="Output 8 2 3 2 2 2 2" xfId="47155"/>
    <cellStyle name="Output 8 2 3 2 2 3" xfId="36551"/>
    <cellStyle name="Output 8 2 3 2 3" xfId="20856"/>
    <cellStyle name="Output 8 2 3 2 3 2" xfId="42043"/>
    <cellStyle name="Output 8 2 3 2 4" xfId="31423"/>
    <cellStyle name="Output 8 2 3 2_Table 2A-1_EFT (Annual)" xfId="8384"/>
    <cellStyle name="Output 8 2 3 3" xfId="11325"/>
    <cellStyle name="Output 8 2 3 3 2" xfId="23423"/>
    <cellStyle name="Output 8 2 3 3 2 2" xfId="44609"/>
    <cellStyle name="Output 8 2 3 3 3" xfId="34005"/>
    <cellStyle name="Output 8 2 3 4" xfId="18310"/>
    <cellStyle name="Output 8 2 3 4 2" xfId="39497"/>
    <cellStyle name="Output 8 2 3 5" xfId="28680"/>
    <cellStyle name="Output 8 2 3_Table 2A-1_EFT (Annual)" xfId="8383"/>
    <cellStyle name="Output 8 2 4" xfId="1736"/>
    <cellStyle name="Output 8 2 4 2" xfId="5297"/>
    <cellStyle name="Output 8 2 4 2 2" xfId="13522"/>
    <cellStyle name="Output 8 2 4 2 2 2" xfId="25513"/>
    <cellStyle name="Output 8 2 4 2 2 2 2" xfId="46699"/>
    <cellStyle name="Output 8 2 4 2 2 3" xfId="36095"/>
    <cellStyle name="Output 8 2 4 2 3" xfId="20400"/>
    <cellStyle name="Output 8 2 4 2 3 2" xfId="41587"/>
    <cellStyle name="Output 8 2 4 2 4" xfId="30954"/>
    <cellStyle name="Output 8 2 4 2_Table 2A-1_EFT (Annual)" xfId="8386"/>
    <cellStyle name="Output 8 2 4 3" xfId="10865"/>
    <cellStyle name="Output 8 2 4 3 2" xfId="22967"/>
    <cellStyle name="Output 8 2 4 3 2 2" xfId="44153"/>
    <cellStyle name="Output 8 2 4 3 3" xfId="33549"/>
    <cellStyle name="Output 8 2 4 4" xfId="17854"/>
    <cellStyle name="Output 8 2 4 4 2" xfId="39041"/>
    <cellStyle name="Output 8 2 4 5" xfId="28211"/>
    <cellStyle name="Output 8 2 4_Table 2A-1_EFT (Annual)" xfId="8385"/>
    <cellStyle name="Output 8 2 5" xfId="4059"/>
    <cellStyle name="Output 8 2 5 2" xfId="12383"/>
    <cellStyle name="Output 8 2 5 2 2" xfId="24405"/>
    <cellStyle name="Output 8 2 5 2 2 2" xfId="45591"/>
    <cellStyle name="Output 8 2 5 2 3" xfId="34987"/>
    <cellStyle name="Output 8 2 5 3" xfId="19292"/>
    <cellStyle name="Output 8 2 5 3 2" xfId="40479"/>
    <cellStyle name="Output 8 2 5 4" xfId="29747"/>
    <cellStyle name="Output 8 2 5_Table 2A-1_EFT (Annual)" xfId="8387"/>
    <cellStyle name="Output 8 2 6" xfId="9722"/>
    <cellStyle name="Output 8 2 6 2" xfId="21859"/>
    <cellStyle name="Output 8 2 6 2 2" xfId="43045"/>
    <cellStyle name="Output 8 2 6 3" xfId="32441"/>
    <cellStyle name="Output 8 2 7" xfId="16746"/>
    <cellStyle name="Output 8 2 7 2" xfId="37933"/>
    <cellStyle name="Output 8 2 8" xfId="27004"/>
    <cellStyle name="Output 8 2_Table 2A-1_EFT (Annual)" xfId="3500"/>
    <cellStyle name="Output 8 3" xfId="322"/>
    <cellStyle name="Output 8 3 2" xfId="1310"/>
    <cellStyle name="Output 8 3 2 2" xfId="2580"/>
    <cellStyle name="Output 8 3 2 2 2" xfId="6141"/>
    <cellStyle name="Output 8 3 2 2 2 2" xfId="14335"/>
    <cellStyle name="Output 8 3 2 2 2 2 2" xfId="26307"/>
    <cellStyle name="Output 8 3 2 2 2 2 2 2" xfId="47493"/>
    <cellStyle name="Output 8 3 2 2 2 2 3" xfId="36889"/>
    <cellStyle name="Output 8 3 2 2 2 3" xfId="21194"/>
    <cellStyle name="Output 8 3 2 2 2 3 2" xfId="42381"/>
    <cellStyle name="Output 8 3 2 2 2 4" xfId="31797"/>
    <cellStyle name="Output 8 3 2 2 2_Table 2A-1_EFT (Annual)" xfId="8389"/>
    <cellStyle name="Output 8 3 2 2 3" xfId="11677"/>
    <cellStyle name="Output 8 3 2 2 3 2" xfId="23761"/>
    <cellStyle name="Output 8 3 2 2 3 2 2" xfId="44947"/>
    <cellStyle name="Output 8 3 2 2 3 3" xfId="34343"/>
    <cellStyle name="Output 8 3 2 2 4" xfId="18648"/>
    <cellStyle name="Output 8 3 2 2 4 2" xfId="39835"/>
    <cellStyle name="Output 8 3 2 2 5" xfId="29054"/>
    <cellStyle name="Output 8 3 2 2_Table 2A-1_EFT (Annual)" xfId="8388"/>
    <cellStyle name="Output 8 3 2 3" xfId="1879"/>
    <cellStyle name="Output 8 3 2 3 2" xfId="5440"/>
    <cellStyle name="Output 8 3 2 3 2 2" xfId="13655"/>
    <cellStyle name="Output 8 3 2 3 2 2 2" xfId="25643"/>
    <cellStyle name="Output 8 3 2 3 2 2 2 2" xfId="46829"/>
    <cellStyle name="Output 8 3 2 3 2 2 3" xfId="36225"/>
    <cellStyle name="Output 8 3 2 3 2 3" xfId="20530"/>
    <cellStyle name="Output 8 3 2 3 2 3 2" xfId="41717"/>
    <cellStyle name="Output 8 3 2 3 2 4" xfId="31097"/>
    <cellStyle name="Output 8 3 2 3 2_Table 2A-1_EFT (Annual)" xfId="8391"/>
    <cellStyle name="Output 8 3 2 3 3" xfId="10999"/>
    <cellStyle name="Output 8 3 2 3 3 2" xfId="23097"/>
    <cellStyle name="Output 8 3 2 3 3 2 2" xfId="44283"/>
    <cellStyle name="Output 8 3 2 3 3 3" xfId="33679"/>
    <cellStyle name="Output 8 3 2 3 4" xfId="17984"/>
    <cellStyle name="Output 8 3 2 3 4 2" xfId="39171"/>
    <cellStyle name="Output 8 3 2 3 5" xfId="28354"/>
    <cellStyle name="Output 8 3 2 3_Table 2A-1_EFT (Annual)" xfId="8390"/>
    <cellStyle name="Output 8 3 2 4" xfId="4871"/>
    <cellStyle name="Output 8 3 2 4 2" xfId="13131"/>
    <cellStyle name="Output 8 3 2 4 2 2" xfId="25137"/>
    <cellStyle name="Output 8 3 2 4 2 2 2" xfId="46323"/>
    <cellStyle name="Output 8 3 2 4 2 3" xfId="35719"/>
    <cellStyle name="Output 8 3 2 4 3" xfId="20024"/>
    <cellStyle name="Output 8 3 2 4 3 2" xfId="41211"/>
    <cellStyle name="Output 8 3 2 4 4" xfId="30528"/>
    <cellStyle name="Output 8 3 2 4_Table 2A-1_EFT (Annual)" xfId="8392"/>
    <cellStyle name="Output 8 3 2 5" xfId="10475"/>
    <cellStyle name="Output 8 3 2 5 2" xfId="22591"/>
    <cellStyle name="Output 8 3 2 5 2 2" xfId="43777"/>
    <cellStyle name="Output 8 3 2 5 3" xfId="33173"/>
    <cellStyle name="Output 8 3 2 6" xfId="17478"/>
    <cellStyle name="Output 8 3 2 6 2" xfId="38665"/>
    <cellStyle name="Output 8 3 2 7" xfId="27785"/>
    <cellStyle name="Output 8 3 2_Table 2A-1_EFT (Annual)" xfId="3503"/>
    <cellStyle name="Output 8 3 3" xfId="2049"/>
    <cellStyle name="Output 8 3 3 2" xfId="5610"/>
    <cellStyle name="Output 8 3 3 2 2" xfId="13825"/>
    <cellStyle name="Output 8 3 3 2 2 2" xfId="25813"/>
    <cellStyle name="Output 8 3 3 2 2 2 2" xfId="46999"/>
    <cellStyle name="Output 8 3 3 2 2 3" xfId="36395"/>
    <cellStyle name="Output 8 3 3 2 3" xfId="20700"/>
    <cellStyle name="Output 8 3 3 2 3 2" xfId="41887"/>
    <cellStyle name="Output 8 3 3 2 4" xfId="31267"/>
    <cellStyle name="Output 8 3 3 2_Table 2A-1_EFT (Annual)" xfId="8394"/>
    <cellStyle name="Output 8 3 3 3" xfId="11169"/>
    <cellStyle name="Output 8 3 3 3 2" xfId="23267"/>
    <cellStyle name="Output 8 3 3 3 2 2" xfId="44453"/>
    <cellStyle name="Output 8 3 3 3 3" xfId="33849"/>
    <cellStyle name="Output 8 3 3 4" xfId="18154"/>
    <cellStyle name="Output 8 3 3 4 2" xfId="39341"/>
    <cellStyle name="Output 8 3 3 5" xfId="28524"/>
    <cellStyle name="Output 8 3 3_Table 2A-1_EFT (Annual)" xfId="8393"/>
    <cellStyle name="Output 8 3 4" xfId="1695"/>
    <cellStyle name="Output 8 3 4 2" xfId="5256"/>
    <cellStyle name="Output 8 3 4 2 2" xfId="13489"/>
    <cellStyle name="Output 8 3 4 2 2 2" xfId="25483"/>
    <cellStyle name="Output 8 3 4 2 2 2 2" xfId="46669"/>
    <cellStyle name="Output 8 3 4 2 2 3" xfId="36065"/>
    <cellStyle name="Output 8 3 4 2 3" xfId="20370"/>
    <cellStyle name="Output 8 3 4 2 3 2" xfId="41557"/>
    <cellStyle name="Output 8 3 4 2 4" xfId="30913"/>
    <cellStyle name="Output 8 3 4 2_Table 2A-1_EFT (Annual)" xfId="8396"/>
    <cellStyle name="Output 8 3 4 3" xfId="10833"/>
    <cellStyle name="Output 8 3 4 3 2" xfId="22937"/>
    <cellStyle name="Output 8 3 4 3 2 2" xfId="44123"/>
    <cellStyle name="Output 8 3 4 3 3" xfId="33519"/>
    <cellStyle name="Output 8 3 4 4" xfId="17824"/>
    <cellStyle name="Output 8 3 4 4 2" xfId="39011"/>
    <cellStyle name="Output 8 3 4 5" xfId="28170"/>
    <cellStyle name="Output 8 3 4_Table 2A-1_EFT (Annual)" xfId="8395"/>
    <cellStyle name="Output 8 3 5" xfId="3892"/>
    <cellStyle name="Output 8 3 5 2" xfId="12224"/>
    <cellStyle name="Output 8 3 5 2 2" xfId="24249"/>
    <cellStyle name="Output 8 3 5 2 2 2" xfId="45435"/>
    <cellStyle name="Output 8 3 5 2 3" xfId="34831"/>
    <cellStyle name="Output 8 3 5 3" xfId="19136"/>
    <cellStyle name="Output 8 3 5 3 2" xfId="40323"/>
    <cellStyle name="Output 8 3 5 4" xfId="29580"/>
    <cellStyle name="Output 8 3 5_Table 2A-1_EFT (Annual)" xfId="8397"/>
    <cellStyle name="Output 8 3 6" xfId="9561"/>
    <cellStyle name="Output 8 3 6 2" xfId="21703"/>
    <cellStyle name="Output 8 3 6 2 2" xfId="42889"/>
    <cellStyle name="Output 8 3 6 3" xfId="32285"/>
    <cellStyle name="Output 8 3 7" xfId="16590"/>
    <cellStyle name="Output 8 3 7 2" xfId="37777"/>
    <cellStyle name="Output 8 3 8" xfId="26837"/>
    <cellStyle name="Output 8 3_Table 2A-1_EFT (Annual)" xfId="3502"/>
    <cellStyle name="Output 8 4" xfId="1144"/>
    <cellStyle name="Output 8 4 2" xfId="2414"/>
    <cellStyle name="Output 8 4 2 2" xfId="5975"/>
    <cellStyle name="Output 8 4 2 2 2" xfId="14169"/>
    <cellStyle name="Output 8 4 2 2 2 2" xfId="26141"/>
    <cellStyle name="Output 8 4 2 2 2 2 2" xfId="47327"/>
    <cellStyle name="Output 8 4 2 2 2 3" xfId="36723"/>
    <cellStyle name="Output 8 4 2 2 3" xfId="21028"/>
    <cellStyle name="Output 8 4 2 2 3 2" xfId="42215"/>
    <cellStyle name="Output 8 4 2 2 4" xfId="31631"/>
    <cellStyle name="Output 8 4 2 2_Table 2A-1_EFT (Annual)" xfId="8399"/>
    <cellStyle name="Output 8 4 2 3" xfId="11511"/>
    <cellStyle name="Output 8 4 2 3 2" xfId="23595"/>
    <cellStyle name="Output 8 4 2 3 2 2" xfId="44781"/>
    <cellStyle name="Output 8 4 2 3 3" xfId="34177"/>
    <cellStyle name="Output 8 4 2 4" xfId="18482"/>
    <cellStyle name="Output 8 4 2 4 2" xfId="39669"/>
    <cellStyle name="Output 8 4 2 5" xfId="28888"/>
    <cellStyle name="Output 8 4 2_Table 2A-1_EFT (Annual)" xfId="8398"/>
    <cellStyle name="Output 8 4 3" xfId="1814"/>
    <cellStyle name="Output 8 4 3 2" xfId="5375"/>
    <cellStyle name="Output 8 4 3 2 2" xfId="13590"/>
    <cellStyle name="Output 8 4 3 2 2 2" xfId="25578"/>
    <cellStyle name="Output 8 4 3 2 2 2 2" xfId="46764"/>
    <cellStyle name="Output 8 4 3 2 2 3" xfId="36160"/>
    <cellStyle name="Output 8 4 3 2 3" xfId="20465"/>
    <cellStyle name="Output 8 4 3 2 3 2" xfId="41652"/>
    <cellStyle name="Output 8 4 3 2 4" xfId="31032"/>
    <cellStyle name="Output 8 4 3 2_Table 2A-1_EFT (Annual)" xfId="8401"/>
    <cellStyle name="Output 8 4 3 3" xfId="10934"/>
    <cellStyle name="Output 8 4 3 3 2" xfId="23032"/>
    <cellStyle name="Output 8 4 3 3 2 2" xfId="44218"/>
    <cellStyle name="Output 8 4 3 3 3" xfId="33614"/>
    <cellStyle name="Output 8 4 3 4" xfId="17919"/>
    <cellStyle name="Output 8 4 3 4 2" xfId="39106"/>
    <cellStyle name="Output 8 4 3 5" xfId="28289"/>
    <cellStyle name="Output 8 4 3_Table 2A-1_EFT (Annual)" xfId="8400"/>
    <cellStyle name="Output 8 4 4" xfId="4705"/>
    <cellStyle name="Output 8 4 4 2" xfId="12965"/>
    <cellStyle name="Output 8 4 4 2 2" xfId="24971"/>
    <cellStyle name="Output 8 4 4 2 2 2" xfId="46157"/>
    <cellStyle name="Output 8 4 4 2 3" xfId="35553"/>
    <cellStyle name="Output 8 4 4 3" xfId="19858"/>
    <cellStyle name="Output 8 4 4 3 2" xfId="41045"/>
    <cellStyle name="Output 8 4 4 4" xfId="30362"/>
    <cellStyle name="Output 8 4 4_Table 2A-1_EFT (Annual)" xfId="8402"/>
    <cellStyle name="Output 8 4 5" xfId="10309"/>
    <cellStyle name="Output 8 4 5 2" xfId="22425"/>
    <cellStyle name="Output 8 4 5 2 2" xfId="43611"/>
    <cellStyle name="Output 8 4 5 3" xfId="33007"/>
    <cellStyle name="Output 8 4 6" xfId="17312"/>
    <cellStyle name="Output 8 4 6 2" xfId="38499"/>
    <cellStyle name="Output 8 4 7" xfId="27619"/>
    <cellStyle name="Output 8 4_Table 2A-1_EFT (Annual)" xfId="3504"/>
    <cellStyle name="Output 8 5" xfId="1807"/>
    <cellStyle name="Output 8 5 2" xfId="5368"/>
    <cellStyle name="Output 8 5 2 2" xfId="13583"/>
    <cellStyle name="Output 8 5 2 2 2" xfId="25571"/>
    <cellStyle name="Output 8 5 2 2 2 2" xfId="46757"/>
    <cellStyle name="Output 8 5 2 2 3" xfId="36153"/>
    <cellStyle name="Output 8 5 2 3" xfId="20458"/>
    <cellStyle name="Output 8 5 2 3 2" xfId="41645"/>
    <cellStyle name="Output 8 5 2 4" xfId="31025"/>
    <cellStyle name="Output 8 5 2_Table 2A-1_EFT (Annual)" xfId="8404"/>
    <cellStyle name="Output 8 5 3" xfId="10927"/>
    <cellStyle name="Output 8 5 3 2" xfId="23025"/>
    <cellStyle name="Output 8 5 3 2 2" xfId="44211"/>
    <cellStyle name="Output 8 5 3 3" xfId="33607"/>
    <cellStyle name="Output 8 5 4" xfId="17912"/>
    <cellStyle name="Output 8 5 4 2" xfId="39099"/>
    <cellStyle name="Output 8 5 5" xfId="28282"/>
    <cellStyle name="Output 8 5_Table 2A-1_EFT (Annual)" xfId="8403"/>
    <cellStyle name="Output 8 6" xfId="1638"/>
    <cellStyle name="Output 8 6 2" xfId="5199"/>
    <cellStyle name="Output 8 6 2 2" xfId="13451"/>
    <cellStyle name="Output 8 6 2 2 2" xfId="25451"/>
    <cellStyle name="Output 8 6 2 2 2 2" xfId="46637"/>
    <cellStyle name="Output 8 6 2 2 3" xfId="36033"/>
    <cellStyle name="Output 8 6 2 3" xfId="20338"/>
    <cellStyle name="Output 8 6 2 3 2" xfId="41525"/>
    <cellStyle name="Output 8 6 2 4" xfId="30856"/>
    <cellStyle name="Output 8 6 2_Table 2A-1_EFT (Annual)" xfId="8406"/>
    <cellStyle name="Output 8 6 3" xfId="10795"/>
    <cellStyle name="Output 8 6 3 2" xfId="22905"/>
    <cellStyle name="Output 8 6 3 2 2" xfId="44091"/>
    <cellStyle name="Output 8 6 3 3" xfId="33487"/>
    <cellStyle name="Output 8 6 4" xfId="17792"/>
    <cellStyle name="Output 8 6 4 2" xfId="38979"/>
    <cellStyle name="Output 8 6 5" xfId="28113"/>
    <cellStyle name="Output 8 6_Table 2A-1_EFT (Annual)" xfId="8405"/>
    <cellStyle name="Output 8 7" xfId="3679"/>
    <cellStyle name="Output 8 7 2" xfId="12052"/>
    <cellStyle name="Output 8 7 2 2" xfId="24083"/>
    <cellStyle name="Output 8 7 2 2 2" xfId="45269"/>
    <cellStyle name="Output 8 7 2 3" xfId="34665"/>
    <cellStyle name="Output 8 7 3" xfId="18970"/>
    <cellStyle name="Output 8 7 3 2" xfId="40157"/>
    <cellStyle name="Output 8 7 4" xfId="29389"/>
    <cellStyle name="Output 8 7_Table 2A-1_EFT (Annual)" xfId="8407"/>
    <cellStyle name="Output 8 8" xfId="9369"/>
    <cellStyle name="Output 8 8 2" xfId="21537"/>
    <cellStyle name="Output 8 8 2 2" xfId="42723"/>
    <cellStyle name="Output 8 8 3" xfId="32119"/>
    <cellStyle name="Output 8 9" xfId="16424"/>
    <cellStyle name="Output 8 9 2" xfId="37611"/>
    <cellStyle name="Output 8_Table 2A-1_EFT (Annual)" xfId="3499"/>
    <cellStyle name="Output 9" xfId="123"/>
    <cellStyle name="Output 9 10" xfId="26678"/>
    <cellStyle name="Output 9 2" xfId="516"/>
    <cellStyle name="Output 9 2 2" xfId="1493"/>
    <cellStyle name="Output 9 2 2 2" xfId="2763"/>
    <cellStyle name="Output 9 2 2 2 2" xfId="6324"/>
    <cellStyle name="Output 9 2 2 2 2 2" xfId="14518"/>
    <cellStyle name="Output 9 2 2 2 2 2 2" xfId="26490"/>
    <cellStyle name="Output 9 2 2 2 2 2 2 2" xfId="47676"/>
    <cellStyle name="Output 9 2 2 2 2 2 3" xfId="37072"/>
    <cellStyle name="Output 9 2 2 2 2 3" xfId="21377"/>
    <cellStyle name="Output 9 2 2 2 2 3 2" xfId="42564"/>
    <cellStyle name="Output 9 2 2 2 2 4" xfId="31980"/>
    <cellStyle name="Output 9 2 2 2 2_Table 2A-1_EFT (Annual)" xfId="8409"/>
    <cellStyle name="Output 9 2 2 2 3" xfId="11860"/>
    <cellStyle name="Output 9 2 2 2 3 2" xfId="23944"/>
    <cellStyle name="Output 9 2 2 2 3 2 2" xfId="45130"/>
    <cellStyle name="Output 9 2 2 2 3 3" xfId="34526"/>
    <cellStyle name="Output 9 2 2 2 4" xfId="18831"/>
    <cellStyle name="Output 9 2 2 2 4 2" xfId="40018"/>
    <cellStyle name="Output 9 2 2 2 5" xfId="29237"/>
    <cellStyle name="Output 9 2 2 2_Table 2A-1_EFT (Annual)" xfId="8408"/>
    <cellStyle name="Output 9 2 2 3" xfId="1918"/>
    <cellStyle name="Output 9 2 2 3 2" xfId="5479"/>
    <cellStyle name="Output 9 2 2 3 2 2" xfId="13694"/>
    <cellStyle name="Output 9 2 2 3 2 2 2" xfId="25682"/>
    <cellStyle name="Output 9 2 2 3 2 2 2 2" xfId="46868"/>
    <cellStyle name="Output 9 2 2 3 2 2 3" xfId="36264"/>
    <cellStyle name="Output 9 2 2 3 2 3" xfId="20569"/>
    <cellStyle name="Output 9 2 2 3 2 3 2" xfId="41756"/>
    <cellStyle name="Output 9 2 2 3 2 4" xfId="31136"/>
    <cellStyle name="Output 9 2 2 3 2_Table 2A-1_EFT (Annual)" xfId="8411"/>
    <cellStyle name="Output 9 2 2 3 3" xfId="11038"/>
    <cellStyle name="Output 9 2 2 3 3 2" xfId="23136"/>
    <cellStyle name="Output 9 2 2 3 3 2 2" xfId="44322"/>
    <cellStyle name="Output 9 2 2 3 3 3" xfId="33718"/>
    <cellStyle name="Output 9 2 2 3 4" xfId="18023"/>
    <cellStyle name="Output 9 2 2 3 4 2" xfId="39210"/>
    <cellStyle name="Output 9 2 2 3 5" xfId="28393"/>
    <cellStyle name="Output 9 2 2 3_Table 2A-1_EFT (Annual)" xfId="8410"/>
    <cellStyle name="Output 9 2 2 4" xfId="5054"/>
    <cellStyle name="Output 9 2 2 4 2" xfId="13314"/>
    <cellStyle name="Output 9 2 2 4 2 2" xfId="25320"/>
    <cellStyle name="Output 9 2 2 4 2 2 2" xfId="46506"/>
    <cellStyle name="Output 9 2 2 4 2 3" xfId="35902"/>
    <cellStyle name="Output 9 2 2 4 3" xfId="20207"/>
    <cellStyle name="Output 9 2 2 4 3 2" xfId="41394"/>
    <cellStyle name="Output 9 2 2 4 4" xfId="30711"/>
    <cellStyle name="Output 9 2 2 4_Table 2A-1_EFT (Annual)" xfId="8412"/>
    <cellStyle name="Output 9 2 2 5" xfId="10658"/>
    <cellStyle name="Output 9 2 2 5 2" xfId="22774"/>
    <cellStyle name="Output 9 2 2 5 2 2" xfId="43960"/>
    <cellStyle name="Output 9 2 2 5 3" xfId="33356"/>
    <cellStyle name="Output 9 2 2 6" xfId="17661"/>
    <cellStyle name="Output 9 2 2 6 2" xfId="38848"/>
    <cellStyle name="Output 9 2 2 7" xfId="27968"/>
    <cellStyle name="Output 9 2 2_Table 2A-1_EFT (Annual)" xfId="3507"/>
    <cellStyle name="Output 9 2 3" xfId="2232"/>
    <cellStyle name="Output 9 2 3 2" xfId="5793"/>
    <cellStyle name="Output 9 2 3 2 2" xfId="14008"/>
    <cellStyle name="Output 9 2 3 2 2 2" xfId="25996"/>
    <cellStyle name="Output 9 2 3 2 2 2 2" xfId="47182"/>
    <cellStyle name="Output 9 2 3 2 2 3" xfId="36578"/>
    <cellStyle name="Output 9 2 3 2 3" xfId="20883"/>
    <cellStyle name="Output 9 2 3 2 3 2" xfId="42070"/>
    <cellStyle name="Output 9 2 3 2 4" xfId="31450"/>
    <cellStyle name="Output 9 2 3 2_Table 2A-1_EFT (Annual)" xfId="8414"/>
    <cellStyle name="Output 9 2 3 3" xfId="11352"/>
    <cellStyle name="Output 9 2 3 3 2" xfId="23450"/>
    <cellStyle name="Output 9 2 3 3 2 2" xfId="44636"/>
    <cellStyle name="Output 9 2 3 3 3" xfId="34032"/>
    <cellStyle name="Output 9 2 3 4" xfId="18337"/>
    <cellStyle name="Output 9 2 3 4 2" xfId="39524"/>
    <cellStyle name="Output 9 2 3 5" xfId="28707"/>
    <cellStyle name="Output 9 2 3_Table 2A-1_EFT (Annual)" xfId="8413"/>
    <cellStyle name="Output 9 2 4" xfId="1743"/>
    <cellStyle name="Output 9 2 4 2" xfId="5304"/>
    <cellStyle name="Output 9 2 4 2 2" xfId="13529"/>
    <cellStyle name="Output 9 2 4 2 2 2" xfId="25520"/>
    <cellStyle name="Output 9 2 4 2 2 2 2" xfId="46706"/>
    <cellStyle name="Output 9 2 4 2 2 3" xfId="36102"/>
    <cellStyle name="Output 9 2 4 2 3" xfId="20407"/>
    <cellStyle name="Output 9 2 4 2 3 2" xfId="41594"/>
    <cellStyle name="Output 9 2 4 2 4" xfId="30961"/>
    <cellStyle name="Output 9 2 4 2_Table 2A-1_EFT (Annual)" xfId="8416"/>
    <cellStyle name="Output 9 2 4 3" xfId="10872"/>
    <cellStyle name="Output 9 2 4 3 2" xfId="22974"/>
    <cellStyle name="Output 9 2 4 3 2 2" xfId="44160"/>
    <cellStyle name="Output 9 2 4 3 3" xfId="33556"/>
    <cellStyle name="Output 9 2 4 4" xfId="17861"/>
    <cellStyle name="Output 9 2 4 4 2" xfId="39048"/>
    <cellStyle name="Output 9 2 4 5" xfId="28218"/>
    <cellStyle name="Output 9 2 4_Table 2A-1_EFT (Annual)" xfId="8415"/>
    <cellStyle name="Output 9 2 5" xfId="4086"/>
    <cellStyle name="Output 9 2 5 2" xfId="12410"/>
    <cellStyle name="Output 9 2 5 2 2" xfId="24432"/>
    <cellStyle name="Output 9 2 5 2 2 2" xfId="45618"/>
    <cellStyle name="Output 9 2 5 2 3" xfId="35014"/>
    <cellStyle name="Output 9 2 5 3" xfId="19319"/>
    <cellStyle name="Output 9 2 5 3 2" xfId="40506"/>
    <cellStyle name="Output 9 2 5 4" xfId="29774"/>
    <cellStyle name="Output 9 2 5_Table 2A-1_EFT (Annual)" xfId="8417"/>
    <cellStyle name="Output 9 2 6" xfId="9749"/>
    <cellStyle name="Output 9 2 6 2" xfId="21886"/>
    <cellStyle name="Output 9 2 6 2 2" xfId="43072"/>
    <cellStyle name="Output 9 2 6 3" xfId="32468"/>
    <cellStyle name="Output 9 2 7" xfId="16773"/>
    <cellStyle name="Output 9 2 7 2" xfId="37960"/>
    <cellStyle name="Output 9 2 8" xfId="27031"/>
    <cellStyle name="Output 9 2_Table 2A-1_EFT (Annual)" xfId="3506"/>
    <cellStyle name="Output 9 3" xfId="354"/>
    <cellStyle name="Output 9 3 2" xfId="1337"/>
    <cellStyle name="Output 9 3 2 2" xfId="2607"/>
    <cellStyle name="Output 9 3 2 2 2" xfId="6168"/>
    <cellStyle name="Output 9 3 2 2 2 2" xfId="14362"/>
    <cellStyle name="Output 9 3 2 2 2 2 2" xfId="26334"/>
    <cellStyle name="Output 9 3 2 2 2 2 2 2" xfId="47520"/>
    <cellStyle name="Output 9 3 2 2 2 2 3" xfId="36916"/>
    <cellStyle name="Output 9 3 2 2 2 3" xfId="21221"/>
    <cellStyle name="Output 9 3 2 2 2 3 2" xfId="42408"/>
    <cellStyle name="Output 9 3 2 2 2 4" xfId="31824"/>
    <cellStyle name="Output 9 3 2 2 2_Table 2A-1_EFT (Annual)" xfId="8419"/>
    <cellStyle name="Output 9 3 2 2 3" xfId="11704"/>
    <cellStyle name="Output 9 3 2 2 3 2" xfId="23788"/>
    <cellStyle name="Output 9 3 2 2 3 2 2" xfId="44974"/>
    <cellStyle name="Output 9 3 2 2 3 3" xfId="34370"/>
    <cellStyle name="Output 9 3 2 2 4" xfId="18675"/>
    <cellStyle name="Output 9 3 2 2 4 2" xfId="39862"/>
    <cellStyle name="Output 9 3 2 2 5" xfId="29081"/>
    <cellStyle name="Output 9 3 2 2_Table 2A-1_EFT (Annual)" xfId="8418"/>
    <cellStyle name="Output 9 3 2 3" xfId="1887"/>
    <cellStyle name="Output 9 3 2 3 2" xfId="5448"/>
    <cellStyle name="Output 9 3 2 3 2 2" xfId="13663"/>
    <cellStyle name="Output 9 3 2 3 2 2 2" xfId="25651"/>
    <cellStyle name="Output 9 3 2 3 2 2 2 2" xfId="46837"/>
    <cellStyle name="Output 9 3 2 3 2 2 3" xfId="36233"/>
    <cellStyle name="Output 9 3 2 3 2 3" xfId="20538"/>
    <cellStyle name="Output 9 3 2 3 2 3 2" xfId="41725"/>
    <cellStyle name="Output 9 3 2 3 2 4" xfId="31105"/>
    <cellStyle name="Output 9 3 2 3 2_Table 2A-1_EFT (Annual)" xfId="8421"/>
    <cellStyle name="Output 9 3 2 3 3" xfId="11007"/>
    <cellStyle name="Output 9 3 2 3 3 2" xfId="23105"/>
    <cellStyle name="Output 9 3 2 3 3 2 2" xfId="44291"/>
    <cellStyle name="Output 9 3 2 3 3 3" xfId="33687"/>
    <cellStyle name="Output 9 3 2 3 4" xfId="17992"/>
    <cellStyle name="Output 9 3 2 3 4 2" xfId="39179"/>
    <cellStyle name="Output 9 3 2 3 5" xfId="28362"/>
    <cellStyle name="Output 9 3 2 3_Table 2A-1_EFT (Annual)" xfId="8420"/>
    <cellStyle name="Output 9 3 2 4" xfId="4898"/>
    <cellStyle name="Output 9 3 2 4 2" xfId="13158"/>
    <cellStyle name="Output 9 3 2 4 2 2" xfId="25164"/>
    <cellStyle name="Output 9 3 2 4 2 2 2" xfId="46350"/>
    <cellStyle name="Output 9 3 2 4 2 3" xfId="35746"/>
    <cellStyle name="Output 9 3 2 4 3" xfId="20051"/>
    <cellStyle name="Output 9 3 2 4 3 2" xfId="41238"/>
    <cellStyle name="Output 9 3 2 4 4" xfId="30555"/>
    <cellStyle name="Output 9 3 2 4_Table 2A-1_EFT (Annual)" xfId="8422"/>
    <cellStyle name="Output 9 3 2 5" xfId="10502"/>
    <cellStyle name="Output 9 3 2 5 2" xfId="22618"/>
    <cellStyle name="Output 9 3 2 5 2 2" xfId="43804"/>
    <cellStyle name="Output 9 3 2 5 3" xfId="33200"/>
    <cellStyle name="Output 9 3 2 6" xfId="17505"/>
    <cellStyle name="Output 9 3 2 6 2" xfId="38692"/>
    <cellStyle name="Output 9 3 2 7" xfId="27812"/>
    <cellStyle name="Output 9 3 2_Table 2A-1_EFT (Annual)" xfId="3509"/>
    <cellStyle name="Output 9 3 3" xfId="2076"/>
    <cellStyle name="Output 9 3 3 2" xfId="5637"/>
    <cellStyle name="Output 9 3 3 2 2" xfId="13852"/>
    <cellStyle name="Output 9 3 3 2 2 2" xfId="25840"/>
    <cellStyle name="Output 9 3 3 2 2 2 2" xfId="47026"/>
    <cellStyle name="Output 9 3 3 2 2 3" xfId="36422"/>
    <cellStyle name="Output 9 3 3 2 3" xfId="20727"/>
    <cellStyle name="Output 9 3 3 2 3 2" xfId="41914"/>
    <cellStyle name="Output 9 3 3 2 4" xfId="31294"/>
    <cellStyle name="Output 9 3 3 2_Table 2A-1_EFT (Annual)" xfId="8424"/>
    <cellStyle name="Output 9 3 3 3" xfId="11196"/>
    <cellStyle name="Output 9 3 3 3 2" xfId="23294"/>
    <cellStyle name="Output 9 3 3 3 2 2" xfId="44480"/>
    <cellStyle name="Output 9 3 3 3 3" xfId="33876"/>
    <cellStyle name="Output 9 3 3 4" xfId="18181"/>
    <cellStyle name="Output 9 3 3 4 2" xfId="39368"/>
    <cellStyle name="Output 9 3 3 5" xfId="28551"/>
    <cellStyle name="Output 9 3 3_Table 2A-1_EFT (Annual)" xfId="8423"/>
    <cellStyle name="Output 9 3 4" xfId="1707"/>
    <cellStyle name="Output 9 3 4 2" xfId="5268"/>
    <cellStyle name="Output 9 3 4 2 2" xfId="13497"/>
    <cellStyle name="Output 9 3 4 2 2 2" xfId="25490"/>
    <cellStyle name="Output 9 3 4 2 2 2 2" xfId="46676"/>
    <cellStyle name="Output 9 3 4 2 2 3" xfId="36072"/>
    <cellStyle name="Output 9 3 4 2 3" xfId="20377"/>
    <cellStyle name="Output 9 3 4 2 3 2" xfId="41564"/>
    <cellStyle name="Output 9 3 4 2 4" xfId="30925"/>
    <cellStyle name="Output 9 3 4 2_Table 2A-1_EFT (Annual)" xfId="8426"/>
    <cellStyle name="Output 9 3 4 3" xfId="10841"/>
    <cellStyle name="Output 9 3 4 3 2" xfId="22944"/>
    <cellStyle name="Output 9 3 4 3 2 2" xfId="44130"/>
    <cellStyle name="Output 9 3 4 3 3" xfId="33526"/>
    <cellStyle name="Output 9 3 4 4" xfId="17831"/>
    <cellStyle name="Output 9 3 4 4 2" xfId="39018"/>
    <cellStyle name="Output 9 3 4 5" xfId="28182"/>
    <cellStyle name="Output 9 3 4_Table 2A-1_EFT (Annual)" xfId="8425"/>
    <cellStyle name="Output 9 3 5" xfId="3924"/>
    <cellStyle name="Output 9 3 5 2" xfId="12252"/>
    <cellStyle name="Output 9 3 5 2 2" xfId="24276"/>
    <cellStyle name="Output 9 3 5 2 2 2" xfId="45462"/>
    <cellStyle name="Output 9 3 5 2 3" xfId="34858"/>
    <cellStyle name="Output 9 3 5 3" xfId="19163"/>
    <cellStyle name="Output 9 3 5 3 2" xfId="40350"/>
    <cellStyle name="Output 9 3 5 4" xfId="29612"/>
    <cellStyle name="Output 9 3 5_Table 2A-1_EFT (Annual)" xfId="8427"/>
    <cellStyle name="Output 9 3 6" xfId="9589"/>
    <cellStyle name="Output 9 3 6 2" xfId="21730"/>
    <cellStyle name="Output 9 3 6 2 2" xfId="42916"/>
    <cellStyle name="Output 9 3 6 3" xfId="32312"/>
    <cellStyle name="Output 9 3 7" xfId="16617"/>
    <cellStyle name="Output 9 3 7 2" xfId="37804"/>
    <cellStyle name="Output 9 3 8" xfId="26869"/>
    <cellStyle name="Output 9 3_Table 2A-1_EFT (Annual)" xfId="3508"/>
    <cellStyle name="Output 9 4" xfId="1171"/>
    <cellStyle name="Output 9 4 2" xfId="2441"/>
    <cellStyle name="Output 9 4 2 2" xfId="6002"/>
    <cellStyle name="Output 9 4 2 2 2" xfId="14196"/>
    <cellStyle name="Output 9 4 2 2 2 2" xfId="26168"/>
    <cellStyle name="Output 9 4 2 2 2 2 2" xfId="47354"/>
    <cellStyle name="Output 9 4 2 2 2 3" xfId="36750"/>
    <cellStyle name="Output 9 4 2 2 3" xfId="21055"/>
    <cellStyle name="Output 9 4 2 2 3 2" xfId="42242"/>
    <cellStyle name="Output 9 4 2 2 4" xfId="31658"/>
    <cellStyle name="Output 9 4 2 2_Table 2A-1_EFT (Annual)" xfId="8429"/>
    <cellStyle name="Output 9 4 2 3" xfId="11538"/>
    <cellStyle name="Output 9 4 2 3 2" xfId="23622"/>
    <cellStyle name="Output 9 4 2 3 2 2" xfId="44808"/>
    <cellStyle name="Output 9 4 2 3 3" xfId="34204"/>
    <cellStyle name="Output 9 4 2 4" xfId="18509"/>
    <cellStyle name="Output 9 4 2 4 2" xfId="39696"/>
    <cellStyle name="Output 9 4 2 5" xfId="28915"/>
    <cellStyle name="Output 9 4 2_Table 2A-1_EFT (Annual)" xfId="8428"/>
    <cellStyle name="Output 9 4 3" xfId="1823"/>
    <cellStyle name="Output 9 4 3 2" xfId="5384"/>
    <cellStyle name="Output 9 4 3 2 2" xfId="13599"/>
    <cellStyle name="Output 9 4 3 2 2 2" xfId="25587"/>
    <cellStyle name="Output 9 4 3 2 2 2 2" xfId="46773"/>
    <cellStyle name="Output 9 4 3 2 2 3" xfId="36169"/>
    <cellStyle name="Output 9 4 3 2 3" xfId="20474"/>
    <cellStyle name="Output 9 4 3 2 3 2" xfId="41661"/>
    <cellStyle name="Output 9 4 3 2 4" xfId="31041"/>
    <cellStyle name="Output 9 4 3 2_Table 2A-1_EFT (Annual)" xfId="8431"/>
    <cellStyle name="Output 9 4 3 3" xfId="10943"/>
    <cellStyle name="Output 9 4 3 3 2" xfId="23041"/>
    <cellStyle name="Output 9 4 3 3 2 2" xfId="44227"/>
    <cellStyle name="Output 9 4 3 3 3" xfId="33623"/>
    <cellStyle name="Output 9 4 3 4" xfId="17928"/>
    <cellStyle name="Output 9 4 3 4 2" xfId="39115"/>
    <cellStyle name="Output 9 4 3 5" xfId="28298"/>
    <cellStyle name="Output 9 4 3_Table 2A-1_EFT (Annual)" xfId="8430"/>
    <cellStyle name="Output 9 4 4" xfId="4732"/>
    <cellStyle name="Output 9 4 4 2" xfId="12992"/>
    <cellStyle name="Output 9 4 4 2 2" xfId="24998"/>
    <cellStyle name="Output 9 4 4 2 2 2" xfId="46184"/>
    <cellStyle name="Output 9 4 4 2 3" xfId="35580"/>
    <cellStyle name="Output 9 4 4 3" xfId="19885"/>
    <cellStyle name="Output 9 4 4 3 2" xfId="41072"/>
    <cellStyle name="Output 9 4 4 4" xfId="30389"/>
    <cellStyle name="Output 9 4 4_Table 2A-1_EFT (Annual)" xfId="8432"/>
    <cellStyle name="Output 9 4 5" xfId="10336"/>
    <cellStyle name="Output 9 4 5 2" xfId="22452"/>
    <cellStyle name="Output 9 4 5 2 2" xfId="43638"/>
    <cellStyle name="Output 9 4 5 3" xfId="33034"/>
    <cellStyle name="Output 9 4 6" xfId="17339"/>
    <cellStyle name="Output 9 4 6 2" xfId="38526"/>
    <cellStyle name="Output 9 4 7" xfId="27646"/>
    <cellStyle name="Output 9 4_Table 2A-1_EFT (Annual)" xfId="3510"/>
    <cellStyle name="Output 9 5" xfId="1795"/>
    <cellStyle name="Output 9 5 2" xfId="5356"/>
    <cellStyle name="Output 9 5 2 2" xfId="13571"/>
    <cellStyle name="Output 9 5 2 2 2" xfId="25559"/>
    <cellStyle name="Output 9 5 2 2 2 2" xfId="46745"/>
    <cellStyle name="Output 9 5 2 2 3" xfId="36141"/>
    <cellStyle name="Output 9 5 2 3" xfId="20446"/>
    <cellStyle name="Output 9 5 2 3 2" xfId="41633"/>
    <cellStyle name="Output 9 5 2 4" xfId="31013"/>
    <cellStyle name="Output 9 5 2_Table 2A-1_EFT (Annual)" xfId="8434"/>
    <cellStyle name="Output 9 5 3" xfId="10915"/>
    <cellStyle name="Output 9 5 3 2" xfId="23013"/>
    <cellStyle name="Output 9 5 3 2 2" xfId="44199"/>
    <cellStyle name="Output 9 5 3 3" xfId="33595"/>
    <cellStyle name="Output 9 5 4" xfId="17900"/>
    <cellStyle name="Output 9 5 4 2" xfId="39087"/>
    <cellStyle name="Output 9 5 5" xfId="28270"/>
    <cellStyle name="Output 9 5_Table 2A-1_EFT (Annual)" xfId="8433"/>
    <cellStyle name="Output 9 6" xfId="1650"/>
    <cellStyle name="Output 9 6 2" xfId="5211"/>
    <cellStyle name="Output 9 6 2 2" xfId="13458"/>
    <cellStyle name="Output 9 6 2 2 2" xfId="25458"/>
    <cellStyle name="Output 9 6 2 2 2 2" xfId="46644"/>
    <cellStyle name="Output 9 6 2 2 3" xfId="36040"/>
    <cellStyle name="Output 9 6 2 3" xfId="20345"/>
    <cellStyle name="Output 9 6 2 3 2" xfId="41532"/>
    <cellStyle name="Output 9 6 2 4" xfId="30868"/>
    <cellStyle name="Output 9 6 2_Table 2A-1_EFT (Annual)" xfId="8436"/>
    <cellStyle name="Output 9 6 3" xfId="10803"/>
    <cellStyle name="Output 9 6 3 2" xfId="22912"/>
    <cellStyle name="Output 9 6 3 2 2" xfId="44098"/>
    <cellStyle name="Output 9 6 3 3" xfId="33494"/>
    <cellStyle name="Output 9 6 4" xfId="17799"/>
    <cellStyle name="Output 9 6 4 2" xfId="38986"/>
    <cellStyle name="Output 9 6 5" xfId="28125"/>
    <cellStyle name="Output 9 6_Table 2A-1_EFT (Annual)" xfId="8435"/>
    <cellStyle name="Output 9 7" xfId="3712"/>
    <cellStyle name="Output 9 7 2" xfId="12080"/>
    <cellStyle name="Output 9 7 2 2" xfId="24110"/>
    <cellStyle name="Output 9 7 2 2 2" xfId="45296"/>
    <cellStyle name="Output 9 7 2 3" xfId="34692"/>
    <cellStyle name="Output 9 7 3" xfId="18997"/>
    <cellStyle name="Output 9 7 3 2" xfId="40184"/>
    <cellStyle name="Output 9 7 4" xfId="29421"/>
    <cellStyle name="Output 9 7_Table 2A-1_EFT (Annual)" xfId="8437"/>
    <cellStyle name="Output 9 8" xfId="9399"/>
    <cellStyle name="Output 9 8 2" xfId="21564"/>
    <cellStyle name="Output 9 8 2 2" xfId="42750"/>
    <cellStyle name="Output 9 8 3" xfId="32146"/>
    <cellStyle name="Output 9 9" xfId="16451"/>
    <cellStyle name="Output 9 9 2" xfId="37638"/>
    <cellStyle name="Output 9_Table 2A-1_EFT (Annual)" xfId="3505"/>
    <cellStyle name="Percent" xfId="48" builtinId="5"/>
    <cellStyle name="Percent 2" xfId="49"/>
    <cellStyle name="Percent 2 2" xfId="55"/>
    <cellStyle name="Percent 2_Table 2A-1_EFT (Annual)" xfId="8438"/>
    <cellStyle name="Percent 3" xfId="66"/>
    <cellStyle name="Percent 3 2" xfId="223"/>
    <cellStyle name="Percent 3 2 2" xfId="450"/>
    <cellStyle name="Percent 3 2 2 2" xfId="974"/>
    <cellStyle name="Percent 3 2 2 2 2" xfId="2396"/>
    <cellStyle name="Percent 3 2 2 2 2 2" xfId="5957"/>
    <cellStyle name="Percent 3 2 2 2 2 2 2" xfId="16405"/>
    <cellStyle name="Percent 3 2 2 2 2 2 2 2" xfId="37594"/>
    <cellStyle name="Percent 3 2 2 2 2 2 3" xfId="31613"/>
    <cellStyle name="Percent 3 2 2 2 2 3" xfId="16207"/>
    <cellStyle name="Percent 3 2 2 2 2 3 2" xfId="37397"/>
    <cellStyle name="Percent 3 2 2 2 2 4" xfId="28870"/>
    <cellStyle name="Percent 3 2 2 2 2_Table 2A-1_EFT (Annual)" xfId="8443"/>
    <cellStyle name="Percent 3 2 2 2 3" xfId="4535"/>
    <cellStyle name="Percent 3 2 2 2 3 2" xfId="16305"/>
    <cellStyle name="Percent 3 2 2 2 3 2 2" xfId="37495"/>
    <cellStyle name="Percent 3 2 2 2 3 3" xfId="30192"/>
    <cellStyle name="Percent 3 2 2 2 4" xfId="16108"/>
    <cellStyle name="Percent 3 2 2 2 4 2" xfId="37298"/>
    <cellStyle name="Percent 3 2 2 2 5" xfId="27449"/>
    <cellStyle name="Percent 3 2 2 2_Table 2A-1_EFT (Annual)" xfId="8442"/>
    <cellStyle name="Percent 3 2 2 3" xfId="1724"/>
    <cellStyle name="Percent 3 2 2 3 2" xfId="5285"/>
    <cellStyle name="Percent 3 2 2 3 2 2" xfId="16356"/>
    <cellStyle name="Percent 3 2 2 3 2 2 2" xfId="37545"/>
    <cellStyle name="Percent 3 2 2 3 2 3" xfId="30942"/>
    <cellStyle name="Percent 3 2 2 3 3" xfId="16158"/>
    <cellStyle name="Percent 3 2 2 3 3 2" xfId="37348"/>
    <cellStyle name="Percent 3 2 2 3 4" xfId="28199"/>
    <cellStyle name="Percent 3 2 2 3_Table 2A-1_EFT (Annual)" xfId="8444"/>
    <cellStyle name="Percent 3 2 2 4" xfId="4020"/>
    <cellStyle name="Percent 3 2 2 4 2" xfId="16256"/>
    <cellStyle name="Percent 3 2 2 4 2 2" xfId="37446"/>
    <cellStyle name="Percent 3 2 2 4 3" xfId="29708"/>
    <cellStyle name="Percent 3 2 2 5" xfId="16059"/>
    <cellStyle name="Percent 3 2 2 5 2" xfId="37249"/>
    <cellStyle name="Percent 3 2 2 6" xfId="26965"/>
    <cellStyle name="Percent 3 2 2_Table 2A-1_EFT (Annual)" xfId="8441"/>
    <cellStyle name="Percent 3 2 3" xfId="818"/>
    <cellStyle name="Percent 3 2 3 2" xfId="2371"/>
    <cellStyle name="Percent 3 2 3 2 2" xfId="5932"/>
    <cellStyle name="Percent 3 2 3 2 2 2" xfId="16380"/>
    <cellStyle name="Percent 3 2 3 2 2 2 2" xfId="37569"/>
    <cellStyle name="Percent 3 2 3 2 2 3" xfId="31588"/>
    <cellStyle name="Percent 3 2 3 2 3" xfId="16182"/>
    <cellStyle name="Percent 3 2 3 2 3 2" xfId="37372"/>
    <cellStyle name="Percent 3 2 3 2 4" xfId="28845"/>
    <cellStyle name="Percent 3 2 3 2_Table 2A-1_EFT (Annual)" xfId="8446"/>
    <cellStyle name="Percent 3 2 3 3" xfId="4379"/>
    <cellStyle name="Percent 3 2 3 3 2" xfId="16280"/>
    <cellStyle name="Percent 3 2 3 3 2 2" xfId="37470"/>
    <cellStyle name="Percent 3 2 3 3 3" xfId="30036"/>
    <cellStyle name="Percent 3 2 3 4" xfId="16083"/>
    <cellStyle name="Percent 3 2 3 4 2" xfId="37273"/>
    <cellStyle name="Percent 3 2 3 5" xfId="27293"/>
    <cellStyle name="Percent 3 2 3_Table 2A-1_EFT (Annual)" xfId="8445"/>
    <cellStyle name="Percent 3 2 4" xfId="1668"/>
    <cellStyle name="Percent 3 2 4 2" xfId="5229"/>
    <cellStyle name="Percent 3 2 4 2 2" xfId="16331"/>
    <cellStyle name="Percent 3 2 4 2 2 2" xfId="37520"/>
    <cellStyle name="Percent 3 2 4 2 3" xfId="30886"/>
    <cellStyle name="Percent 3 2 4 3" xfId="16133"/>
    <cellStyle name="Percent 3 2 4 3 2" xfId="37323"/>
    <cellStyle name="Percent 3 2 4 4" xfId="28143"/>
    <cellStyle name="Percent 3 2 4_Table 2A-1_EFT (Annual)" xfId="8447"/>
    <cellStyle name="Percent 3 2 5" xfId="3812"/>
    <cellStyle name="Percent 3 2 5 2" xfId="16231"/>
    <cellStyle name="Percent 3 2 5 2 2" xfId="37421"/>
    <cellStyle name="Percent 3 2 5 3" xfId="29521"/>
    <cellStyle name="Percent 3 2 6" xfId="16034"/>
    <cellStyle name="Percent 3 2 6 2" xfId="37224"/>
    <cellStyle name="Percent 3 2 7" xfId="26778"/>
    <cellStyle name="Percent 3 2_Table 2A-1_EFT (Annual)" xfId="8440"/>
    <cellStyle name="Percent 3 3" xfId="304"/>
    <cellStyle name="Percent 3 3 2" xfId="854"/>
    <cellStyle name="Percent 3 3 2 2" xfId="2384"/>
    <cellStyle name="Percent 3 3 2 2 2" xfId="5945"/>
    <cellStyle name="Percent 3 3 2 2 2 2" xfId="16393"/>
    <cellStyle name="Percent 3 3 2 2 2 2 2" xfId="37582"/>
    <cellStyle name="Percent 3 3 2 2 2 3" xfId="31601"/>
    <cellStyle name="Percent 3 3 2 2 3" xfId="16195"/>
    <cellStyle name="Percent 3 3 2 2 3 2" xfId="37385"/>
    <cellStyle name="Percent 3 3 2 2 4" xfId="28858"/>
    <cellStyle name="Percent 3 3 2 2_Table 2A-1_EFT (Annual)" xfId="8450"/>
    <cellStyle name="Percent 3 3 2 3" xfId="4415"/>
    <cellStyle name="Percent 3 3 2 3 2" xfId="16293"/>
    <cellStyle name="Percent 3 3 2 3 2 2" xfId="37483"/>
    <cellStyle name="Percent 3 3 2 3 3" xfId="30072"/>
    <cellStyle name="Percent 3 3 2 4" xfId="16096"/>
    <cellStyle name="Percent 3 3 2 4 2" xfId="37286"/>
    <cellStyle name="Percent 3 3 2 5" xfId="27329"/>
    <cellStyle name="Percent 3 3 2_Table 2A-1_EFT (Annual)" xfId="8449"/>
    <cellStyle name="Percent 3 3 3" xfId="1686"/>
    <cellStyle name="Percent 3 3 3 2" xfId="5247"/>
    <cellStyle name="Percent 3 3 3 2 2" xfId="16344"/>
    <cellStyle name="Percent 3 3 3 2 2 2" xfId="37533"/>
    <cellStyle name="Percent 3 3 3 2 3" xfId="30904"/>
    <cellStyle name="Percent 3 3 3 3" xfId="16146"/>
    <cellStyle name="Percent 3 3 3 3 2" xfId="37336"/>
    <cellStyle name="Percent 3 3 3 4" xfId="28161"/>
    <cellStyle name="Percent 3 3 3_Table 2A-1_EFT (Annual)" xfId="8451"/>
    <cellStyle name="Percent 3 3 4" xfId="3874"/>
    <cellStyle name="Percent 3 3 4 2" xfId="16244"/>
    <cellStyle name="Percent 3 3 4 2 2" xfId="37434"/>
    <cellStyle name="Percent 3 3 4 3" xfId="29562"/>
    <cellStyle name="Percent 3 3 5" xfId="16047"/>
    <cellStyle name="Percent 3 3 5 2" xfId="37237"/>
    <cellStyle name="Percent 3 3 6" xfId="26819"/>
    <cellStyle name="Percent 3 3_Table 2A-1_EFT (Annual)" xfId="8448"/>
    <cellStyle name="Percent 3 4" xfId="650"/>
    <cellStyle name="Percent 3 4 2" xfId="1771"/>
    <cellStyle name="Percent 3 4 2 2" xfId="5332"/>
    <cellStyle name="Percent 3 4 2 2 2" xfId="16368"/>
    <cellStyle name="Percent 3 4 2 2 2 2" xfId="37557"/>
    <cellStyle name="Percent 3 4 2 2 3" xfId="30989"/>
    <cellStyle name="Percent 3 4 2 3" xfId="16170"/>
    <cellStyle name="Percent 3 4 2 3 2" xfId="37360"/>
    <cellStyle name="Percent 3 4 2 4" xfId="28246"/>
    <cellStyle name="Percent 3 4 2_Table 2A-1_EFT (Annual)" xfId="8453"/>
    <cellStyle name="Percent 3 4 3" xfId="4220"/>
    <cellStyle name="Percent 3 4 3 2" xfId="16268"/>
    <cellStyle name="Percent 3 4 3 2 2" xfId="37458"/>
    <cellStyle name="Percent 3 4 3 3" xfId="29908"/>
    <cellStyle name="Percent 3 4 4" xfId="16071"/>
    <cellStyle name="Percent 3 4 4 2" xfId="37261"/>
    <cellStyle name="Percent 3 4 5" xfId="27165"/>
    <cellStyle name="Percent 3 4_Table 2A-1_EFT (Annual)" xfId="8452"/>
    <cellStyle name="Percent 3 5" xfId="1629"/>
    <cellStyle name="Percent 3 5 2" xfId="5190"/>
    <cellStyle name="Percent 3 5 2 2" xfId="16319"/>
    <cellStyle name="Percent 3 5 2 2 2" xfId="37508"/>
    <cellStyle name="Percent 3 5 2 3" xfId="30847"/>
    <cellStyle name="Percent 3 5 3" xfId="16121"/>
    <cellStyle name="Percent 3 5 3 2" xfId="37311"/>
    <cellStyle name="Percent 3 5 4" xfId="28104"/>
    <cellStyle name="Percent 3 5_Table 2A-1_EFT (Annual)" xfId="8454"/>
    <cellStyle name="Percent 3 6" xfId="3658"/>
    <cellStyle name="Percent 3 6 2" xfId="16219"/>
    <cellStyle name="Percent 3 6 2 2" xfId="37409"/>
    <cellStyle name="Percent 3 6 3" xfId="29371"/>
    <cellStyle name="Percent 3 7" xfId="16022"/>
    <cellStyle name="Percent 3 7 2" xfId="37212"/>
    <cellStyle name="Percent 3 8" xfId="26628"/>
    <cellStyle name="Percent 3 9" xfId="47816"/>
    <cellStyle name="Percent 3_Table 2A-1_EFT (Annual)" xfId="8439"/>
    <cellStyle name="Percent 4" xfId="294"/>
    <cellStyle name="Percent 5" xfId="698"/>
    <cellStyle name="Percent 6" xfId="16012"/>
    <cellStyle name="Title" xfId="50" builtinId="15" customBuiltin="1"/>
    <cellStyle name="Title 2" xfId="295"/>
    <cellStyle name="Title 3" xfId="699"/>
    <cellStyle name="Title 4" xfId="16013"/>
    <cellStyle name="Total" xfId="51" builtinId="25" customBuiltin="1"/>
    <cellStyle name="Total 10" xfId="138"/>
    <cellStyle name="Total 10 10" xfId="26693"/>
    <cellStyle name="Total 10 2" xfId="531"/>
    <cellStyle name="Total 10 2 2" xfId="1508"/>
    <cellStyle name="Total 10 2 2 2" xfId="2778"/>
    <cellStyle name="Total 10 2 2 2 2" xfId="6339"/>
    <cellStyle name="Total 10 2 2 2 2 2" xfId="14533"/>
    <cellStyle name="Total 10 2 2 2 2 2 2" xfId="26505"/>
    <cellStyle name="Total 10 2 2 2 2 2 2 2" xfId="47691"/>
    <cellStyle name="Total 10 2 2 2 2 2 3" xfId="37087"/>
    <cellStyle name="Total 10 2 2 2 2 3" xfId="21392"/>
    <cellStyle name="Total 10 2 2 2 2 3 2" xfId="42579"/>
    <cellStyle name="Total 10 2 2 2 2 4" xfId="31995"/>
    <cellStyle name="Total 10 2 2 2 2_Table 2A-1_EFT (Annual)" xfId="8457"/>
    <cellStyle name="Total 10 2 2 2 3" xfId="11875"/>
    <cellStyle name="Total 10 2 2 2 3 2" xfId="23959"/>
    <cellStyle name="Total 10 2 2 2 3 2 2" xfId="45145"/>
    <cellStyle name="Total 10 2 2 2 3 3" xfId="34541"/>
    <cellStyle name="Total 10 2 2 2 4" xfId="18846"/>
    <cellStyle name="Total 10 2 2 2 4 2" xfId="40033"/>
    <cellStyle name="Total 10 2 2 2 5" xfId="29252"/>
    <cellStyle name="Total 10 2 2 2_Table 2A-1_EFT (Annual)" xfId="8456"/>
    <cellStyle name="Total 10 2 2 3" xfId="5069"/>
    <cellStyle name="Total 10 2 2 3 2" xfId="13329"/>
    <cellStyle name="Total 10 2 2 3 2 2" xfId="25335"/>
    <cellStyle name="Total 10 2 2 3 2 2 2" xfId="46521"/>
    <cellStyle name="Total 10 2 2 3 2 3" xfId="35917"/>
    <cellStyle name="Total 10 2 2 3 3" xfId="20222"/>
    <cellStyle name="Total 10 2 2 3 3 2" xfId="41409"/>
    <cellStyle name="Total 10 2 2 3 4" xfId="30726"/>
    <cellStyle name="Total 10 2 2 3_Table 2A-1_EFT (Annual)" xfId="8458"/>
    <cellStyle name="Total 10 2 2 4" xfId="10673"/>
    <cellStyle name="Total 10 2 2 4 2" xfId="22789"/>
    <cellStyle name="Total 10 2 2 4 2 2" xfId="43975"/>
    <cellStyle name="Total 10 2 2 4 3" xfId="33371"/>
    <cellStyle name="Total 10 2 2 5" xfId="17676"/>
    <cellStyle name="Total 10 2 2 5 2" xfId="38863"/>
    <cellStyle name="Total 10 2 2 6" xfId="27983"/>
    <cellStyle name="Total 10 2 2_Table 2A-1_EFT (Annual)" xfId="8455"/>
    <cellStyle name="Total 10 2 3" xfId="1040"/>
    <cellStyle name="Total 10 2 3 2" xfId="4601"/>
    <cellStyle name="Total 10 2 3 2 2" xfId="12861"/>
    <cellStyle name="Total 10 2 3 2 2 2" xfId="24867"/>
    <cellStyle name="Total 10 2 3 2 2 2 2" xfId="46053"/>
    <cellStyle name="Total 10 2 3 2 2 3" xfId="35449"/>
    <cellStyle name="Total 10 2 3 2 3" xfId="19754"/>
    <cellStyle name="Total 10 2 3 2 3 2" xfId="40941"/>
    <cellStyle name="Total 10 2 3 2 4" xfId="30258"/>
    <cellStyle name="Total 10 2 3 2_Table 2A-1_EFT (Annual)" xfId="8460"/>
    <cellStyle name="Total 10 2 3 3" xfId="10205"/>
    <cellStyle name="Total 10 2 3 3 2" xfId="22321"/>
    <cellStyle name="Total 10 2 3 3 2 2" xfId="43507"/>
    <cellStyle name="Total 10 2 3 3 3" xfId="32903"/>
    <cellStyle name="Total 10 2 3 4" xfId="17208"/>
    <cellStyle name="Total 10 2 3 4 2" xfId="38395"/>
    <cellStyle name="Total 10 2 3 5" xfId="27515"/>
    <cellStyle name="Total 10 2 3_Table 2A-1_EFT (Annual)" xfId="8459"/>
    <cellStyle name="Total 10 2 4" xfId="2247"/>
    <cellStyle name="Total 10 2 4 2" xfId="5808"/>
    <cellStyle name="Total 10 2 4 2 2" xfId="14023"/>
    <cellStyle name="Total 10 2 4 2 2 2" xfId="26011"/>
    <cellStyle name="Total 10 2 4 2 2 2 2" xfId="47197"/>
    <cellStyle name="Total 10 2 4 2 2 3" xfId="36593"/>
    <cellStyle name="Total 10 2 4 2 3" xfId="20898"/>
    <cellStyle name="Total 10 2 4 2 3 2" xfId="42085"/>
    <cellStyle name="Total 10 2 4 2 4" xfId="31465"/>
    <cellStyle name="Total 10 2 4 2_Table 2A-1_EFT (Annual)" xfId="8462"/>
    <cellStyle name="Total 10 2 4 3" xfId="11367"/>
    <cellStyle name="Total 10 2 4 3 2" xfId="23465"/>
    <cellStyle name="Total 10 2 4 3 2 2" xfId="44651"/>
    <cellStyle name="Total 10 2 4 3 3" xfId="34047"/>
    <cellStyle name="Total 10 2 4 4" xfId="18352"/>
    <cellStyle name="Total 10 2 4 4 2" xfId="39539"/>
    <cellStyle name="Total 10 2 4 5" xfId="28722"/>
    <cellStyle name="Total 10 2 4_Table 2A-1_EFT (Annual)" xfId="8461"/>
    <cellStyle name="Total 10 2 5" xfId="4101"/>
    <cellStyle name="Total 10 2 5 2" xfId="12425"/>
    <cellStyle name="Total 10 2 5 2 2" xfId="24447"/>
    <cellStyle name="Total 10 2 5 2 2 2" xfId="45633"/>
    <cellStyle name="Total 10 2 5 2 3" xfId="35029"/>
    <cellStyle name="Total 10 2 5 3" xfId="19334"/>
    <cellStyle name="Total 10 2 5 3 2" xfId="40521"/>
    <cellStyle name="Total 10 2 5 4" xfId="29789"/>
    <cellStyle name="Total 10 2 5_Table 2A-1_EFT (Annual)" xfId="8463"/>
    <cellStyle name="Total 10 2 6" xfId="9764"/>
    <cellStyle name="Total 10 2 6 2" xfId="21901"/>
    <cellStyle name="Total 10 2 6 2 2" xfId="43087"/>
    <cellStyle name="Total 10 2 6 3" xfId="32483"/>
    <cellStyle name="Total 10 2 7" xfId="16788"/>
    <cellStyle name="Total 10 2 7 2" xfId="37975"/>
    <cellStyle name="Total 10 2 8" xfId="27046"/>
    <cellStyle name="Total 10 2_Table 2A-1_EFT (Annual)" xfId="3512"/>
    <cellStyle name="Total 10 3" xfId="369"/>
    <cellStyle name="Total 10 3 2" xfId="1352"/>
    <cellStyle name="Total 10 3 2 2" xfId="2622"/>
    <cellStyle name="Total 10 3 2 2 2" xfId="6183"/>
    <cellStyle name="Total 10 3 2 2 2 2" xfId="14377"/>
    <cellStyle name="Total 10 3 2 2 2 2 2" xfId="26349"/>
    <cellStyle name="Total 10 3 2 2 2 2 2 2" xfId="47535"/>
    <cellStyle name="Total 10 3 2 2 2 2 3" xfId="36931"/>
    <cellStyle name="Total 10 3 2 2 2 3" xfId="21236"/>
    <cellStyle name="Total 10 3 2 2 2 3 2" xfId="42423"/>
    <cellStyle name="Total 10 3 2 2 2 4" xfId="31839"/>
    <cellStyle name="Total 10 3 2 2 2_Table 2A-1_EFT (Annual)" xfId="8466"/>
    <cellStyle name="Total 10 3 2 2 3" xfId="11719"/>
    <cellStyle name="Total 10 3 2 2 3 2" xfId="23803"/>
    <cellStyle name="Total 10 3 2 2 3 2 2" xfId="44989"/>
    <cellStyle name="Total 10 3 2 2 3 3" xfId="34385"/>
    <cellStyle name="Total 10 3 2 2 4" xfId="18690"/>
    <cellStyle name="Total 10 3 2 2 4 2" xfId="39877"/>
    <cellStyle name="Total 10 3 2 2 5" xfId="29096"/>
    <cellStyle name="Total 10 3 2 2_Table 2A-1_EFT (Annual)" xfId="8465"/>
    <cellStyle name="Total 10 3 2 3" xfId="4913"/>
    <cellStyle name="Total 10 3 2 3 2" xfId="13173"/>
    <cellStyle name="Total 10 3 2 3 2 2" xfId="25179"/>
    <cellStyle name="Total 10 3 2 3 2 2 2" xfId="46365"/>
    <cellStyle name="Total 10 3 2 3 2 3" xfId="35761"/>
    <cellStyle name="Total 10 3 2 3 3" xfId="20066"/>
    <cellStyle name="Total 10 3 2 3 3 2" xfId="41253"/>
    <cellStyle name="Total 10 3 2 3 4" xfId="30570"/>
    <cellStyle name="Total 10 3 2 3_Table 2A-1_EFT (Annual)" xfId="8467"/>
    <cellStyle name="Total 10 3 2 4" xfId="10517"/>
    <cellStyle name="Total 10 3 2 4 2" xfId="22633"/>
    <cellStyle name="Total 10 3 2 4 2 2" xfId="43819"/>
    <cellStyle name="Total 10 3 2 4 3" xfId="33215"/>
    <cellStyle name="Total 10 3 2 5" xfId="17520"/>
    <cellStyle name="Total 10 3 2 5 2" xfId="38707"/>
    <cellStyle name="Total 10 3 2 6" xfId="27827"/>
    <cellStyle name="Total 10 3 2_Table 2A-1_EFT (Annual)" xfId="8464"/>
    <cellStyle name="Total 10 3 3" xfId="908"/>
    <cellStyle name="Total 10 3 3 2" xfId="4469"/>
    <cellStyle name="Total 10 3 3 2 2" xfId="12731"/>
    <cellStyle name="Total 10 3 3 2 2 2" xfId="24741"/>
    <cellStyle name="Total 10 3 3 2 2 2 2" xfId="45927"/>
    <cellStyle name="Total 10 3 3 2 2 3" xfId="35323"/>
    <cellStyle name="Total 10 3 3 2 3" xfId="19628"/>
    <cellStyle name="Total 10 3 3 2 3 2" xfId="40815"/>
    <cellStyle name="Total 10 3 3 2 4" xfId="30126"/>
    <cellStyle name="Total 10 3 3 2_Table 2A-1_EFT (Annual)" xfId="8469"/>
    <cellStyle name="Total 10 3 3 3" xfId="10078"/>
    <cellStyle name="Total 10 3 3 3 2" xfId="22195"/>
    <cellStyle name="Total 10 3 3 3 2 2" xfId="43381"/>
    <cellStyle name="Total 10 3 3 3 3" xfId="32777"/>
    <cellStyle name="Total 10 3 3 4" xfId="17082"/>
    <cellStyle name="Total 10 3 3 4 2" xfId="38269"/>
    <cellStyle name="Total 10 3 3 5" xfId="27383"/>
    <cellStyle name="Total 10 3 3_Table 2A-1_EFT (Annual)" xfId="8468"/>
    <cellStyle name="Total 10 3 4" xfId="2091"/>
    <cellStyle name="Total 10 3 4 2" xfId="5652"/>
    <cellStyle name="Total 10 3 4 2 2" xfId="13867"/>
    <cellStyle name="Total 10 3 4 2 2 2" xfId="25855"/>
    <cellStyle name="Total 10 3 4 2 2 2 2" xfId="47041"/>
    <cellStyle name="Total 10 3 4 2 2 3" xfId="36437"/>
    <cellStyle name="Total 10 3 4 2 3" xfId="20742"/>
    <cellStyle name="Total 10 3 4 2 3 2" xfId="41929"/>
    <cellStyle name="Total 10 3 4 2 4" xfId="31309"/>
    <cellStyle name="Total 10 3 4 2_Table 2A-1_EFT (Annual)" xfId="8471"/>
    <cellStyle name="Total 10 3 4 3" xfId="11211"/>
    <cellStyle name="Total 10 3 4 3 2" xfId="23309"/>
    <cellStyle name="Total 10 3 4 3 2 2" xfId="44495"/>
    <cellStyle name="Total 10 3 4 3 3" xfId="33891"/>
    <cellStyle name="Total 10 3 4 4" xfId="18196"/>
    <cellStyle name="Total 10 3 4 4 2" xfId="39383"/>
    <cellStyle name="Total 10 3 4 5" xfId="28566"/>
    <cellStyle name="Total 10 3 4_Table 2A-1_EFT (Annual)" xfId="8470"/>
    <cellStyle name="Total 10 3 5" xfId="3939"/>
    <cellStyle name="Total 10 3 5 2" xfId="12267"/>
    <cellStyle name="Total 10 3 5 2 2" xfId="24291"/>
    <cellStyle name="Total 10 3 5 2 2 2" xfId="45477"/>
    <cellStyle name="Total 10 3 5 2 3" xfId="34873"/>
    <cellStyle name="Total 10 3 5 3" xfId="19178"/>
    <cellStyle name="Total 10 3 5 3 2" xfId="40365"/>
    <cellStyle name="Total 10 3 5 4" xfId="29627"/>
    <cellStyle name="Total 10 3 5_Table 2A-1_EFT (Annual)" xfId="8472"/>
    <cellStyle name="Total 10 3 6" xfId="9604"/>
    <cellStyle name="Total 10 3 6 2" xfId="21745"/>
    <cellStyle name="Total 10 3 6 2 2" xfId="42931"/>
    <cellStyle name="Total 10 3 6 3" xfId="32327"/>
    <cellStyle name="Total 10 3 7" xfId="16632"/>
    <cellStyle name="Total 10 3 7 2" xfId="37819"/>
    <cellStyle name="Total 10 3 8" xfId="26884"/>
    <cellStyle name="Total 10 3_Table 2A-1_EFT (Annual)" xfId="3513"/>
    <cellStyle name="Total 10 4" xfId="1186"/>
    <cellStyle name="Total 10 4 2" xfId="2456"/>
    <cellStyle name="Total 10 4 2 2" xfId="6017"/>
    <cellStyle name="Total 10 4 2 2 2" xfId="14211"/>
    <cellStyle name="Total 10 4 2 2 2 2" xfId="26183"/>
    <cellStyle name="Total 10 4 2 2 2 2 2" xfId="47369"/>
    <cellStyle name="Total 10 4 2 2 2 3" xfId="36765"/>
    <cellStyle name="Total 10 4 2 2 3" xfId="21070"/>
    <cellStyle name="Total 10 4 2 2 3 2" xfId="42257"/>
    <cellStyle name="Total 10 4 2 2 4" xfId="31673"/>
    <cellStyle name="Total 10 4 2 2_Table 2A-1_EFT (Annual)" xfId="8475"/>
    <cellStyle name="Total 10 4 2 3" xfId="11553"/>
    <cellStyle name="Total 10 4 2 3 2" xfId="23637"/>
    <cellStyle name="Total 10 4 2 3 2 2" xfId="44823"/>
    <cellStyle name="Total 10 4 2 3 3" xfId="34219"/>
    <cellStyle name="Total 10 4 2 4" xfId="18524"/>
    <cellStyle name="Total 10 4 2 4 2" xfId="39711"/>
    <cellStyle name="Total 10 4 2 5" xfId="28930"/>
    <cellStyle name="Total 10 4 2_Table 2A-1_EFT (Annual)" xfId="8474"/>
    <cellStyle name="Total 10 4 3" xfId="4747"/>
    <cellStyle name="Total 10 4 3 2" xfId="13007"/>
    <cellStyle name="Total 10 4 3 2 2" xfId="25013"/>
    <cellStyle name="Total 10 4 3 2 2 2" xfId="46199"/>
    <cellStyle name="Total 10 4 3 2 3" xfId="35595"/>
    <cellStyle name="Total 10 4 3 3" xfId="19900"/>
    <cellStyle name="Total 10 4 3 3 2" xfId="41087"/>
    <cellStyle name="Total 10 4 3 4" xfId="30404"/>
    <cellStyle name="Total 10 4 3_Table 2A-1_EFT (Annual)" xfId="8476"/>
    <cellStyle name="Total 10 4 4" xfId="10351"/>
    <cellStyle name="Total 10 4 4 2" xfId="22467"/>
    <cellStyle name="Total 10 4 4 2 2" xfId="43653"/>
    <cellStyle name="Total 10 4 4 3" xfId="33049"/>
    <cellStyle name="Total 10 4 5" xfId="17354"/>
    <cellStyle name="Total 10 4 5 2" xfId="38541"/>
    <cellStyle name="Total 10 4 6" xfId="27661"/>
    <cellStyle name="Total 10 4_Table 2A-1_EFT (Annual)" xfId="8473"/>
    <cellStyle name="Total 10 5" xfId="749"/>
    <cellStyle name="Total 10 5 2" xfId="4310"/>
    <cellStyle name="Total 10 5 2 2" xfId="12590"/>
    <cellStyle name="Total 10 5 2 2 2" xfId="24607"/>
    <cellStyle name="Total 10 5 2 2 2 2" xfId="45793"/>
    <cellStyle name="Total 10 5 2 2 3" xfId="35189"/>
    <cellStyle name="Total 10 5 2 3" xfId="19494"/>
    <cellStyle name="Total 10 5 2 3 2" xfId="40681"/>
    <cellStyle name="Total 10 5 2 4" xfId="29967"/>
    <cellStyle name="Total 10 5 2_Table 2A-1_EFT (Annual)" xfId="8478"/>
    <cellStyle name="Total 10 5 3" xfId="9938"/>
    <cellStyle name="Total 10 5 3 2" xfId="22061"/>
    <cellStyle name="Total 10 5 3 2 2" xfId="43247"/>
    <cellStyle name="Total 10 5 3 3" xfId="32643"/>
    <cellStyle name="Total 10 5 4" xfId="16948"/>
    <cellStyle name="Total 10 5 4 2" xfId="38135"/>
    <cellStyle name="Total 10 5 5" xfId="27224"/>
    <cellStyle name="Total 10 5_Table 2A-1_EFT (Annual)" xfId="8477"/>
    <cellStyle name="Total 10 6" xfId="1855"/>
    <cellStyle name="Total 10 6 2" xfId="5416"/>
    <cellStyle name="Total 10 6 2 2" xfId="13631"/>
    <cellStyle name="Total 10 6 2 2 2" xfId="25619"/>
    <cellStyle name="Total 10 6 2 2 2 2" xfId="46805"/>
    <cellStyle name="Total 10 6 2 2 3" xfId="36201"/>
    <cellStyle name="Total 10 6 2 3" xfId="20506"/>
    <cellStyle name="Total 10 6 2 3 2" xfId="41693"/>
    <cellStyle name="Total 10 6 2 4" xfId="31073"/>
    <cellStyle name="Total 10 6 2_Table 2A-1_EFT (Annual)" xfId="8480"/>
    <cellStyle name="Total 10 6 3" xfId="10975"/>
    <cellStyle name="Total 10 6 3 2" xfId="23073"/>
    <cellStyle name="Total 10 6 3 2 2" xfId="44259"/>
    <cellStyle name="Total 10 6 3 3" xfId="33655"/>
    <cellStyle name="Total 10 6 4" xfId="17960"/>
    <cellStyle name="Total 10 6 4 2" xfId="39147"/>
    <cellStyle name="Total 10 6 5" xfId="28330"/>
    <cellStyle name="Total 10 6_Table 2A-1_EFT (Annual)" xfId="8479"/>
    <cellStyle name="Total 10 7" xfId="3727"/>
    <cellStyle name="Total 10 7 2" xfId="12095"/>
    <cellStyle name="Total 10 7 2 2" xfId="24125"/>
    <cellStyle name="Total 10 7 2 2 2" xfId="45311"/>
    <cellStyle name="Total 10 7 2 3" xfId="34707"/>
    <cellStyle name="Total 10 7 3" xfId="19012"/>
    <cellStyle name="Total 10 7 3 2" xfId="40199"/>
    <cellStyle name="Total 10 7 4" xfId="29436"/>
    <cellStyle name="Total 10 7_Table 2A-1_EFT (Annual)" xfId="8481"/>
    <cellStyle name="Total 10 8" xfId="9414"/>
    <cellStyle name="Total 10 8 2" xfId="21579"/>
    <cellStyle name="Total 10 8 2 2" xfId="42765"/>
    <cellStyle name="Total 10 8 3" xfId="32161"/>
    <cellStyle name="Total 10 9" xfId="16466"/>
    <cellStyle name="Total 10 9 2" xfId="37653"/>
    <cellStyle name="Total 10_Table 2A-1_EFT (Annual)" xfId="3511"/>
    <cellStyle name="Total 11" xfId="129"/>
    <cellStyle name="Total 11 10" xfId="26684"/>
    <cellStyle name="Total 11 2" xfId="522"/>
    <cellStyle name="Total 11 2 2" xfId="1499"/>
    <cellStyle name="Total 11 2 2 2" xfId="2769"/>
    <cellStyle name="Total 11 2 2 2 2" xfId="6330"/>
    <cellStyle name="Total 11 2 2 2 2 2" xfId="14524"/>
    <cellStyle name="Total 11 2 2 2 2 2 2" xfId="26496"/>
    <cellStyle name="Total 11 2 2 2 2 2 2 2" xfId="47682"/>
    <cellStyle name="Total 11 2 2 2 2 2 3" xfId="37078"/>
    <cellStyle name="Total 11 2 2 2 2 3" xfId="21383"/>
    <cellStyle name="Total 11 2 2 2 2 3 2" xfId="42570"/>
    <cellStyle name="Total 11 2 2 2 2 4" xfId="31986"/>
    <cellStyle name="Total 11 2 2 2 2_Table 2A-1_EFT (Annual)" xfId="8484"/>
    <cellStyle name="Total 11 2 2 2 3" xfId="11866"/>
    <cellStyle name="Total 11 2 2 2 3 2" xfId="23950"/>
    <cellStyle name="Total 11 2 2 2 3 2 2" xfId="45136"/>
    <cellStyle name="Total 11 2 2 2 3 3" xfId="34532"/>
    <cellStyle name="Total 11 2 2 2 4" xfId="18837"/>
    <cellStyle name="Total 11 2 2 2 4 2" xfId="40024"/>
    <cellStyle name="Total 11 2 2 2 5" xfId="29243"/>
    <cellStyle name="Total 11 2 2 2_Table 2A-1_EFT (Annual)" xfId="8483"/>
    <cellStyle name="Total 11 2 2 3" xfId="5060"/>
    <cellStyle name="Total 11 2 2 3 2" xfId="13320"/>
    <cellStyle name="Total 11 2 2 3 2 2" xfId="25326"/>
    <cellStyle name="Total 11 2 2 3 2 2 2" xfId="46512"/>
    <cellStyle name="Total 11 2 2 3 2 3" xfId="35908"/>
    <cellStyle name="Total 11 2 2 3 3" xfId="20213"/>
    <cellStyle name="Total 11 2 2 3 3 2" xfId="41400"/>
    <cellStyle name="Total 11 2 2 3 4" xfId="30717"/>
    <cellStyle name="Total 11 2 2 3_Table 2A-1_EFT (Annual)" xfId="8485"/>
    <cellStyle name="Total 11 2 2 4" xfId="10664"/>
    <cellStyle name="Total 11 2 2 4 2" xfId="22780"/>
    <cellStyle name="Total 11 2 2 4 2 2" xfId="43966"/>
    <cellStyle name="Total 11 2 2 4 3" xfId="33362"/>
    <cellStyle name="Total 11 2 2 5" xfId="17667"/>
    <cellStyle name="Total 11 2 2 5 2" xfId="38854"/>
    <cellStyle name="Total 11 2 2 6" xfId="27974"/>
    <cellStyle name="Total 11 2 2_Table 2A-1_EFT (Annual)" xfId="8482"/>
    <cellStyle name="Total 11 2 3" xfId="1032"/>
    <cellStyle name="Total 11 2 3 2" xfId="4593"/>
    <cellStyle name="Total 11 2 3 2 2" xfId="12853"/>
    <cellStyle name="Total 11 2 3 2 2 2" xfId="24859"/>
    <cellStyle name="Total 11 2 3 2 2 2 2" xfId="46045"/>
    <cellStyle name="Total 11 2 3 2 2 3" xfId="35441"/>
    <cellStyle name="Total 11 2 3 2 3" xfId="19746"/>
    <cellStyle name="Total 11 2 3 2 3 2" xfId="40933"/>
    <cellStyle name="Total 11 2 3 2 4" xfId="30250"/>
    <cellStyle name="Total 11 2 3 2_Table 2A-1_EFT (Annual)" xfId="8487"/>
    <cellStyle name="Total 11 2 3 3" xfId="10197"/>
    <cellStyle name="Total 11 2 3 3 2" xfId="22313"/>
    <cellStyle name="Total 11 2 3 3 2 2" xfId="43499"/>
    <cellStyle name="Total 11 2 3 3 3" xfId="32895"/>
    <cellStyle name="Total 11 2 3 4" xfId="17200"/>
    <cellStyle name="Total 11 2 3 4 2" xfId="38387"/>
    <cellStyle name="Total 11 2 3 5" xfId="27507"/>
    <cellStyle name="Total 11 2 3_Table 2A-1_EFT (Annual)" xfId="8486"/>
    <cellStyle name="Total 11 2 4" xfId="2238"/>
    <cellStyle name="Total 11 2 4 2" xfId="5799"/>
    <cellStyle name="Total 11 2 4 2 2" xfId="14014"/>
    <cellStyle name="Total 11 2 4 2 2 2" xfId="26002"/>
    <cellStyle name="Total 11 2 4 2 2 2 2" xfId="47188"/>
    <cellStyle name="Total 11 2 4 2 2 3" xfId="36584"/>
    <cellStyle name="Total 11 2 4 2 3" xfId="20889"/>
    <cellStyle name="Total 11 2 4 2 3 2" xfId="42076"/>
    <cellStyle name="Total 11 2 4 2 4" xfId="31456"/>
    <cellStyle name="Total 11 2 4 2_Table 2A-1_EFT (Annual)" xfId="8489"/>
    <cellStyle name="Total 11 2 4 3" xfId="11358"/>
    <cellStyle name="Total 11 2 4 3 2" xfId="23456"/>
    <cellStyle name="Total 11 2 4 3 2 2" xfId="44642"/>
    <cellStyle name="Total 11 2 4 3 3" xfId="34038"/>
    <cellStyle name="Total 11 2 4 4" xfId="18343"/>
    <cellStyle name="Total 11 2 4 4 2" xfId="39530"/>
    <cellStyle name="Total 11 2 4 5" xfId="28713"/>
    <cellStyle name="Total 11 2 4_Table 2A-1_EFT (Annual)" xfId="8488"/>
    <cellStyle name="Total 11 2 5" xfId="4092"/>
    <cellStyle name="Total 11 2 5 2" xfId="12416"/>
    <cellStyle name="Total 11 2 5 2 2" xfId="24438"/>
    <cellStyle name="Total 11 2 5 2 2 2" xfId="45624"/>
    <cellStyle name="Total 11 2 5 2 3" xfId="35020"/>
    <cellStyle name="Total 11 2 5 3" xfId="19325"/>
    <cellStyle name="Total 11 2 5 3 2" xfId="40512"/>
    <cellStyle name="Total 11 2 5 4" xfId="29780"/>
    <cellStyle name="Total 11 2 5_Table 2A-1_EFT (Annual)" xfId="8490"/>
    <cellStyle name="Total 11 2 6" xfId="9755"/>
    <cellStyle name="Total 11 2 6 2" xfId="21892"/>
    <cellStyle name="Total 11 2 6 2 2" xfId="43078"/>
    <cellStyle name="Total 11 2 6 3" xfId="32474"/>
    <cellStyle name="Total 11 2 7" xfId="16779"/>
    <cellStyle name="Total 11 2 7 2" xfId="37966"/>
    <cellStyle name="Total 11 2 8" xfId="27037"/>
    <cellStyle name="Total 11 2_Table 2A-1_EFT (Annual)" xfId="3515"/>
    <cellStyle name="Total 11 3" xfId="360"/>
    <cellStyle name="Total 11 3 2" xfId="1343"/>
    <cellStyle name="Total 11 3 2 2" xfId="2613"/>
    <cellStyle name="Total 11 3 2 2 2" xfId="6174"/>
    <cellStyle name="Total 11 3 2 2 2 2" xfId="14368"/>
    <cellStyle name="Total 11 3 2 2 2 2 2" xfId="26340"/>
    <cellStyle name="Total 11 3 2 2 2 2 2 2" xfId="47526"/>
    <cellStyle name="Total 11 3 2 2 2 2 3" xfId="36922"/>
    <cellStyle name="Total 11 3 2 2 2 3" xfId="21227"/>
    <cellStyle name="Total 11 3 2 2 2 3 2" xfId="42414"/>
    <cellStyle name="Total 11 3 2 2 2 4" xfId="31830"/>
    <cellStyle name="Total 11 3 2 2 2_Table 2A-1_EFT (Annual)" xfId="8493"/>
    <cellStyle name="Total 11 3 2 2 3" xfId="11710"/>
    <cellStyle name="Total 11 3 2 2 3 2" xfId="23794"/>
    <cellStyle name="Total 11 3 2 2 3 2 2" xfId="44980"/>
    <cellStyle name="Total 11 3 2 2 3 3" xfId="34376"/>
    <cellStyle name="Total 11 3 2 2 4" xfId="18681"/>
    <cellStyle name="Total 11 3 2 2 4 2" xfId="39868"/>
    <cellStyle name="Total 11 3 2 2 5" xfId="29087"/>
    <cellStyle name="Total 11 3 2 2_Table 2A-1_EFT (Annual)" xfId="8492"/>
    <cellStyle name="Total 11 3 2 3" xfId="4904"/>
    <cellStyle name="Total 11 3 2 3 2" xfId="13164"/>
    <cellStyle name="Total 11 3 2 3 2 2" xfId="25170"/>
    <cellStyle name="Total 11 3 2 3 2 2 2" xfId="46356"/>
    <cellStyle name="Total 11 3 2 3 2 3" xfId="35752"/>
    <cellStyle name="Total 11 3 2 3 3" xfId="20057"/>
    <cellStyle name="Total 11 3 2 3 3 2" xfId="41244"/>
    <cellStyle name="Total 11 3 2 3 4" xfId="30561"/>
    <cellStyle name="Total 11 3 2 3_Table 2A-1_EFT (Annual)" xfId="8494"/>
    <cellStyle name="Total 11 3 2 4" xfId="10508"/>
    <cellStyle name="Total 11 3 2 4 2" xfId="22624"/>
    <cellStyle name="Total 11 3 2 4 2 2" xfId="43810"/>
    <cellStyle name="Total 11 3 2 4 3" xfId="33206"/>
    <cellStyle name="Total 11 3 2 5" xfId="17511"/>
    <cellStyle name="Total 11 3 2 5 2" xfId="38698"/>
    <cellStyle name="Total 11 3 2 6" xfId="27818"/>
    <cellStyle name="Total 11 3 2_Table 2A-1_EFT (Annual)" xfId="8491"/>
    <cellStyle name="Total 11 3 3" xfId="900"/>
    <cellStyle name="Total 11 3 3 2" xfId="4461"/>
    <cellStyle name="Total 11 3 3 2 2" xfId="12723"/>
    <cellStyle name="Total 11 3 3 2 2 2" xfId="24733"/>
    <cellStyle name="Total 11 3 3 2 2 2 2" xfId="45919"/>
    <cellStyle name="Total 11 3 3 2 2 3" xfId="35315"/>
    <cellStyle name="Total 11 3 3 2 3" xfId="19620"/>
    <cellStyle name="Total 11 3 3 2 3 2" xfId="40807"/>
    <cellStyle name="Total 11 3 3 2 4" xfId="30118"/>
    <cellStyle name="Total 11 3 3 2_Table 2A-1_EFT (Annual)" xfId="8496"/>
    <cellStyle name="Total 11 3 3 3" xfId="10070"/>
    <cellStyle name="Total 11 3 3 3 2" xfId="22187"/>
    <cellStyle name="Total 11 3 3 3 2 2" xfId="43373"/>
    <cellStyle name="Total 11 3 3 3 3" xfId="32769"/>
    <cellStyle name="Total 11 3 3 4" xfId="17074"/>
    <cellStyle name="Total 11 3 3 4 2" xfId="38261"/>
    <cellStyle name="Total 11 3 3 5" xfId="27375"/>
    <cellStyle name="Total 11 3 3_Table 2A-1_EFT (Annual)" xfId="8495"/>
    <cellStyle name="Total 11 3 4" xfId="2082"/>
    <cellStyle name="Total 11 3 4 2" xfId="5643"/>
    <cellStyle name="Total 11 3 4 2 2" xfId="13858"/>
    <cellStyle name="Total 11 3 4 2 2 2" xfId="25846"/>
    <cellStyle name="Total 11 3 4 2 2 2 2" xfId="47032"/>
    <cellStyle name="Total 11 3 4 2 2 3" xfId="36428"/>
    <cellStyle name="Total 11 3 4 2 3" xfId="20733"/>
    <cellStyle name="Total 11 3 4 2 3 2" xfId="41920"/>
    <cellStyle name="Total 11 3 4 2 4" xfId="31300"/>
    <cellStyle name="Total 11 3 4 2_Table 2A-1_EFT (Annual)" xfId="8498"/>
    <cellStyle name="Total 11 3 4 3" xfId="11202"/>
    <cellStyle name="Total 11 3 4 3 2" xfId="23300"/>
    <cellStyle name="Total 11 3 4 3 2 2" xfId="44486"/>
    <cellStyle name="Total 11 3 4 3 3" xfId="33882"/>
    <cellStyle name="Total 11 3 4 4" xfId="18187"/>
    <cellStyle name="Total 11 3 4 4 2" xfId="39374"/>
    <cellStyle name="Total 11 3 4 5" xfId="28557"/>
    <cellStyle name="Total 11 3 4_Table 2A-1_EFT (Annual)" xfId="8497"/>
    <cellStyle name="Total 11 3 5" xfId="3930"/>
    <cellStyle name="Total 11 3 5 2" xfId="12258"/>
    <cellStyle name="Total 11 3 5 2 2" xfId="24282"/>
    <cellStyle name="Total 11 3 5 2 2 2" xfId="45468"/>
    <cellStyle name="Total 11 3 5 2 3" xfId="34864"/>
    <cellStyle name="Total 11 3 5 3" xfId="19169"/>
    <cellStyle name="Total 11 3 5 3 2" xfId="40356"/>
    <cellStyle name="Total 11 3 5 4" xfId="29618"/>
    <cellStyle name="Total 11 3 5_Table 2A-1_EFT (Annual)" xfId="8499"/>
    <cellStyle name="Total 11 3 6" xfId="9595"/>
    <cellStyle name="Total 11 3 6 2" xfId="21736"/>
    <cellStyle name="Total 11 3 6 2 2" xfId="42922"/>
    <cellStyle name="Total 11 3 6 3" xfId="32318"/>
    <cellStyle name="Total 11 3 7" xfId="16623"/>
    <cellStyle name="Total 11 3 7 2" xfId="37810"/>
    <cellStyle name="Total 11 3 8" xfId="26875"/>
    <cellStyle name="Total 11 3_Table 2A-1_EFT (Annual)" xfId="3516"/>
    <cellStyle name="Total 11 4" xfId="1177"/>
    <cellStyle name="Total 11 4 2" xfId="2447"/>
    <cellStyle name="Total 11 4 2 2" xfId="6008"/>
    <cellStyle name="Total 11 4 2 2 2" xfId="14202"/>
    <cellStyle name="Total 11 4 2 2 2 2" xfId="26174"/>
    <cellStyle name="Total 11 4 2 2 2 2 2" xfId="47360"/>
    <cellStyle name="Total 11 4 2 2 2 3" xfId="36756"/>
    <cellStyle name="Total 11 4 2 2 3" xfId="21061"/>
    <cellStyle name="Total 11 4 2 2 3 2" xfId="42248"/>
    <cellStyle name="Total 11 4 2 2 4" xfId="31664"/>
    <cellStyle name="Total 11 4 2 2_Table 2A-1_EFT (Annual)" xfId="8502"/>
    <cellStyle name="Total 11 4 2 3" xfId="11544"/>
    <cellStyle name="Total 11 4 2 3 2" xfId="23628"/>
    <cellStyle name="Total 11 4 2 3 2 2" xfId="44814"/>
    <cellStyle name="Total 11 4 2 3 3" xfId="34210"/>
    <cellStyle name="Total 11 4 2 4" xfId="18515"/>
    <cellStyle name="Total 11 4 2 4 2" xfId="39702"/>
    <cellStyle name="Total 11 4 2 5" xfId="28921"/>
    <cellStyle name="Total 11 4 2_Table 2A-1_EFT (Annual)" xfId="8501"/>
    <cellStyle name="Total 11 4 3" xfId="4738"/>
    <cellStyle name="Total 11 4 3 2" xfId="12998"/>
    <cellStyle name="Total 11 4 3 2 2" xfId="25004"/>
    <cellStyle name="Total 11 4 3 2 2 2" xfId="46190"/>
    <cellStyle name="Total 11 4 3 2 3" xfId="35586"/>
    <cellStyle name="Total 11 4 3 3" xfId="19891"/>
    <cellStyle name="Total 11 4 3 3 2" xfId="41078"/>
    <cellStyle name="Total 11 4 3 4" xfId="30395"/>
    <cellStyle name="Total 11 4 3_Table 2A-1_EFT (Annual)" xfId="8503"/>
    <cellStyle name="Total 11 4 4" xfId="10342"/>
    <cellStyle name="Total 11 4 4 2" xfId="22458"/>
    <cellStyle name="Total 11 4 4 2 2" xfId="43644"/>
    <cellStyle name="Total 11 4 4 3" xfId="33040"/>
    <cellStyle name="Total 11 4 5" xfId="17345"/>
    <cellStyle name="Total 11 4 5 2" xfId="38532"/>
    <cellStyle name="Total 11 4 6" xfId="27652"/>
    <cellStyle name="Total 11 4_Table 2A-1_EFT (Annual)" xfId="8500"/>
    <cellStyle name="Total 11 5" xfId="741"/>
    <cellStyle name="Total 11 5 2" xfId="4302"/>
    <cellStyle name="Total 11 5 2 2" xfId="12582"/>
    <cellStyle name="Total 11 5 2 2 2" xfId="24599"/>
    <cellStyle name="Total 11 5 2 2 2 2" xfId="45785"/>
    <cellStyle name="Total 11 5 2 2 3" xfId="35181"/>
    <cellStyle name="Total 11 5 2 3" xfId="19486"/>
    <cellStyle name="Total 11 5 2 3 2" xfId="40673"/>
    <cellStyle name="Total 11 5 2 4" xfId="29959"/>
    <cellStyle name="Total 11 5 2_Table 2A-1_EFT (Annual)" xfId="8505"/>
    <cellStyle name="Total 11 5 3" xfId="9930"/>
    <cellStyle name="Total 11 5 3 2" xfId="22053"/>
    <cellStyle name="Total 11 5 3 2 2" xfId="43239"/>
    <cellStyle name="Total 11 5 3 3" xfId="32635"/>
    <cellStyle name="Total 11 5 4" xfId="16940"/>
    <cellStyle name="Total 11 5 4 2" xfId="38127"/>
    <cellStyle name="Total 11 5 5" xfId="27216"/>
    <cellStyle name="Total 11 5_Table 2A-1_EFT (Annual)" xfId="8504"/>
    <cellStyle name="Total 11 6" xfId="1792"/>
    <cellStyle name="Total 11 6 2" xfId="5353"/>
    <cellStyle name="Total 11 6 2 2" xfId="13568"/>
    <cellStyle name="Total 11 6 2 2 2" xfId="25556"/>
    <cellStyle name="Total 11 6 2 2 2 2" xfId="46742"/>
    <cellStyle name="Total 11 6 2 2 3" xfId="36138"/>
    <cellStyle name="Total 11 6 2 3" xfId="20443"/>
    <cellStyle name="Total 11 6 2 3 2" xfId="41630"/>
    <cellStyle name="Total 11 6 2 4" xfId="31010"/>
    <cellStyle name="Total 11 6 2_Table 2A-1_EFT (Annual)" xfId="8507"/>
    <cellStyle name="Total 11 6 3" xfId="10912"/>
    <cellStyle name="Total 11 6 3 2" xfId="23010"/>
    <cellStyle name="Total 11 6 3 2 2" xfId="44196"/>
    <cellStyle name="Total 11 6 3 3" xfId="33592"/>
    <cellStyle name="Total 11 6 4" xfId="17897"/>
    <cellStyle name="Total 11 6 4 2" xfId="39084"/>
    <cellStyle name="Total 11 6 5" xfId="28267"/>
    <cellStyle name="Total 11 6_Table 2A-1_EFT (Annual)" xfId="8506"/>
    <cellStyle name="Total 11 7" xfId="3718"/>
    <cellStyle name="Total 11 7 2" xfId="12086"/>
    <cellStyle name="Total 11 7 2 2" xfId="24116"/>
    <cellStyle name="Total 11 7 2 2 2" xfId="45302"/>
    <cellStyle name="Total 11 7 2 3" xfId="34698"/>
    <cellStyle name="Total 11 7 3" xfId="19003"/>
    <cellStyle name="Total 11 7 3 2" xfId="40190"/>
    <cellStyle name="Total 11 7 4" xfId="29427"/>
    <cellStyle name="Total 11 7_Table 2A-1_EFT (Annual)" xfId="8508"/>
    <cellStyle name="Total 11 8" xfId="9405"/>
    <cellStyle name="Total 11 8 2" xfId="21570"/>
    <cellStyle name="Total 11 8 2 2" xfId="42756"/>
    <cellStyle name="Total 11 8 3" xfId="32152"/>
    <cellStyle name="Total 11 9" xfId="16457"/>
    <cellStyle name="Total 11 9 2" xfId="37644"/>
    <cellStyle name="Total 11_Table 2A-1_EFT (Annual)" xfId="3514"/>
    <cellStyle name="Total 12" xfId="144"/>
    <cellStyle name="Total 12 10" xfId="26699"/>
    <cellStyle name="Total 12 2" xfId="537"/>
    <cellStyle name="Total 12 2 2" xfId="1514"/>
    <cellStyle name="Total 12 2 2 2" xfId="2784"/>
    <cellStyle name="Total 12 2 2 2 2" xfId="6345"/>
    <cellStyle name="Total 12 2 2 2 2 2" xfId="14539"/>
    <cellStyle name="Total 12 2 2 2 2 2 2" xfId="26511"/>
    <cellStyle name="Total 12 2 2 2 2 2 2 2" xfId="47697"/>
    <cellStyle name="Total 12 2 2 2 2 2 3" xfId="37093"/>
    <cellStyle name="Total 12 2 2 2 2 3" xfId="21398"/>
    <cellStyle name="Total 12 2 2 2 2 3 2" xfId="42585"/>
    <cellStyle name="Total 12 2 2 2 2 4" xfId="32001"/>
    <cellStyle name="Total 12 2 2 2 2_Table 2A-1_EFT (Annual)" xfId="8511"/>
    <cellStyle name="Total 12 2 2 2 3" xfId="11881"/>
    <cellStyle name="Total 12 2 2 2 3 2" xfId="23965"/>
    <cellStyle name="Total 12 2 2 2 3 2 2" xfId="45151"/>
    <cellStyle name="Total 12 2 2 2 3 3" xfId="34547"/>
    <cellStyle name="Total 12 2 2 2 4" xfId="18852"/>
    <cellStyle name="Total 12 2 2 2 4 2" xfId="40039"/>
    <cellStyle name="Total 12 2 2 2 5" xfId="29258"/>
    <cellStyle name="Total 12 2 2 2_Table 2A-1_EFT (Annual)" xfId="8510"/>
    <cellStyle name="Total 12 2 2 3" xfId="5075"/>
    <cellStyle name="Total 12 2 2 3 2" xfId="13335"/>
    <cellStyle name="Total 12 2 2 3 2 2" xfId="25341"/>
    <cellStyle name="Total 12 2 2 3 2 2 2" xfId="46527"/>
    <cellStyle name="Total 12 2 2 3 2 3" xfId="35923"/>
    <cellStyle name="Total 12 2 2 3 3" xfId="20228"/>
    <cellStyle name="Total 12 2 2 3 3 2" xfId="41415"/>
    <cellStyle name="Total 12 2 2 3 4" xfId="30732"/>
    <cellStyle name="Total 12 2 2 3_Table 2A-1_EFT (Annual)" xfId="8512"/>
    <cellStyle name="Total 12 2 2 4" xfId="10679"/>
    <cellStyle name="Total 12 2 2 4 2" xfId="22795"/>
    <cellStyle name="Total 12 2 2 4 2 2" xfId="43981"/>
    <cellStyle name="Total 12 2 2 4 3" xfId="33377"/>
    <cellStyle name="Total 12 2 2 5" xfId="17682"/>
    <cellStyle name="Total 12 2 2 5 2" xfId="38869"/>
    <cellStyle name="Total 12 2 2 6" xfId="27989"/>
    <cellStyle name="Total 12 2 2_Table 2A-1_EFT (Annual)" xfId="8509"/>
    <cellStyle name="Total 12 2 3" xfId="1046"/>
    <cellStyle name="Total 12 2 3 2" xfId="4607"/>
    <cellStyle name="Total 12 2 3 2 2" xfId="12867"/>
    <cellStyle name="Total 12 2 3 2 2 2" xfId="24873"/>
    <cellStyle name="Total 12 2 3 2 2 2 2" xfId="46059"/>
    <cellStyle name="Total 12 2 3 2 2 3" xfId="35455"/>
    <cellStyle name="Total 12 2 3 2 3" xfId="19760"/>
    <cellStyle name="Total 12 2 3 2 3 2" xfId="40947"/>
    <cellStyle name="Total 12 2 3 2 4" xfId="30264"/>
    <cellStyle name="Total 12 2 3 2_Table 2A-1_EFT (Annual)" xfId="8514"/>
    <cellStyle name="Total 12 2 3 3" xfId="10211"/>
    <cellStyle name="Total 12 2 3 3 2" xfId="22327"/>
    <cellStyle name="Total 12 2 3 3 2 2" xfId="43513"/>
    <cellStyle name="Total 12 2 3 3 3" xfId="32909"/>
    <cellStyle name="Total 12 2 3 4" xfId="17214"/>
    <cellStyle name="Total 12 2 3 4 2" xfId="38401"/>
    <cellStyle name="Total 12 2 3 5" xfId="27521"/>
    <cellStyle name="Total 12 2 3_Table 2A-1_EFT (Annual)" xfId="8513"/>
    <cellStyle name="Total 12 2 4" xfId="2253"/>
    <cellStyle name="Total 12 2 4 2" xfId="5814"/>
    <cellStyle name="Total 12 2 4 2 2" xfId="14029"/>
    <cellStyle name="Total 12 2 4 2 2 2" xfId="26017"/>
    <cellStyle name="Total 12 2 4 2 2 2 2" xfId="47203"/>
    <cellStyle name="Total 12 2 4 2 2 3" xfId="36599"/>
    <cellStyle name="Total 12 2 4 2 3" xfId="20904"/>
    <cellStyle name="Total 12 2 4 2 3 2" xfId="42091"/>
    <cellStyle name="Total 12 2 4 2 4" xfId="31471"/>
    <cellStyle name="Total 12 2 4 2_Table 2A-1_EFT (Annual)" xfId="8516"/>
    <cellStyle name="Total 12 2 4 3" xfId="11373"/>
    <cellStyle name="Total 12 2 4 3 2" xfId="23471"/>
    <cellStyle name="Total 12 2 4 3 2 2" xfId="44657"/>
    <cellStyle name="Total 12 2 4 3 3" xfId="34053"/>
    <cellStyle name="Total 12 2 4 4" xfId="18358"/>
    <cellStyle name="Total 12 2 4 4 2" xfId="39545"/>
    <cellStyle name="Total 12 2 4 5" xfId="28728"/>
    <cellStyle name="Total 12 2 4_Table 2A-1_EFT (Annual)" xfId="8515"/>
    <cellStyle name="Total 12 2 5" xfId="4107"/>
    <cellStyle name="Total 12 2 5 2" xfId="12431"/>
    <cellStyle name="Total 12 2 5 2 2" xfId="24453"/>
    <cellStyle name="Total 12 2 5 2 2 2" xfId="45639"/>
    <cellStyle name="Total 12 2 5 2 3" xfId="35035"/>
    <cellStyle name="Total 12 2 5 3" xfId="19340"/>
    <cellStyle name="Total 12 2 5 3 2" xfId="40527"/>
    <cellStyle name="Total 12 2 5 4" xfId="29795"/>
    <cellStyle name="Total 12 2 5_Table 2A-1_EFT (Annual)" xfId="8517"/>
    <cellStyle name="Total 12 2 6" xfId="9770"/>
    <cellStyle name="Total 12 2 6 2" xfId="21907"/>
    <cellStyle name="Total 12 2 6 2 2" xfId="43093"/>
    <cellStyle name="Total 12 2 6 3" xfId="32489"/>
    <cellStyle name="Total 12 2 7" xfId="16794"/>
    <cellStyle name="Total 12 2 7 2" xfId="37981"/>
    <cellStyle name="Total 12 2 8" xfId="27052"/>
    <cellStyle name="Total 12 2_Table 2A-1_EFT (Annual)" xfId="3518"/>
    <cellStyle name="Total 12 3" xfId="375"/>
    <cellStyle name="Total 12 3 2" xfId="1358"/>
    <cellStyle name="Total 12 3 2 2" xfId="2628"/>
    <cellStyle name="Total 12 3 2 2 2" xfId="6189"/>
    <cellStyle name="Total 12 3 2 2 2 2" xfId="14383"/>
    <cellStyle name="Total 12 3 2 2 2 2 2" xfId="26355"/>
    <cellStyle name="Total 12 3 2 2 2 2 2 2" xfId="47541"/>
    <cellStyle name="Total 12 3 2 2 2 2 3" xfId="36937"/>
    <cellStyle name="Total 12 3 2 2 2 3" xfId="21242"/>
    <cellStyle name="Total 12 3 2 2 2 3 2" xfId="42429"/>
    <cellStyle name="Total 12 3 2 2 2 4" xfId="31845"/>
    <cellStyle name="Total 12 3 2 2 2_Table 2A-1_EFT (Annual)" xfId="8520"/>
    <cellStyle name="Total 12 3 2 2 3" xfId="11725"/>
    <cellStyle name="Total 12 3 2 2 3 2" xfId="23809"/>
    <cellStyle name="Total 12 3 2 2 3 2 2" xfId="44995"/>
    <cellStyle name="Total 12 3 2 2 3 3" xfId="34391"/>
    <cellStyle name="Total 12 3 2 2 4" xfId="18696"/>
    <cellStyle name="Total 12 3 2 2 4 2" xfId="39883"/>
    <cellStyle name="Total 12 3 2 2 5" xfId="29102"/>
    <cellStyle name="Total 12 3 2 2_Table 2A-1_EFT (Annual)" xfId="8519"/>
    <cellStyle name="Total 12 3 2 3" xfId="4919"/>
    <cellStyle name="Total 12 3 2 3 2" xfId="13179"/>
    <cellStyle name="Total 12 3 2 3 2 2" xfId="25185"/>
    <cellStyle name="Total 12 3 2 3 2 2 2" xfId="46371"/>
    <cellStyle name="Total 12 3 2 3 2 3" xfId="35767"/>
    <cellStyle name="Total 12 3 2 3 3" xfId="20072"/>
    <cellStyle name="Total 12 3 2 3 3 2" xfId="41259"/>
    <cellStyle name="Total 12 3 2 3 4" xfId="30576"/>
    <cellStyle name="Total 12 3 2 3_Table 2A-1_EFT (Annual)" xfId="8521"/>
    <cellStyle name="Total 12 3 2 4" xfId="10523"/>
    <cellStyle name="Total 12 3 2 4 2" xfId="22639"/>
    <cellStyle name="Total 12 3 2 4 2 2" xfId="43825"/>
    <cellStyle name="Total 12 3 2 4 3" xfId="33221"/>
    <cellStyle name="Total 12 3 2 5" xfId="17526"/>
    <cellStyle name="Total 12 3 2 5 2" xfId="38713"/>
    <cellStyle name="Total 12 3 2 6" xfId="27833"/>
    <cellStyle name="Total 12 3 2_Table 2A-1_EFT (Annual)" xfId="8518"/>
    <cellStyle name="Total 12 3 3" xfId="914"/>
    <cellStyle name="Total 12 3 3 2" xfId="4475"/>
    <cellStyle name="Total 12 3 3 2 2" xfId="12737"/>
    <cellStyle name="Total 12 3 3 2 2 2" xfId="24747"/>
    <cellStyle name="Total 12 3 3 2 2 2 2" xfId="45933"/>
    <cellStyle name="Total 12 3 3 2 2 3" xfId="35329"/>
    <cellStyle name="Total 12 3 3 2 3" xfId="19634"/>
    <cellStyle name="Total 12 3 3 2 3 2" xfId="40821"/>
    <cellStyle name="Total 12 3 3 2 4" xfId="30132"/>
    <cellStyle name="Total 12 3 3 2_Table 2A-1_EFT (Annual)" xfId="8523"/>
    <cellStyle name="Total 12 3 3 3" xfId="10084"/>
    <cellStyle name="Total 12 3 3 3 2" xfId="22201"/>
    <cellStyle name="Total 12 3 3 3 2 2" xfId="43387"/>
    <cellStyle name="Total 12 3 3 3 3" xfId="32783"/>
    <cellStyle name="Total 12 3 3 4" xfId="17088"/>
    <cellStyle name="Total 12 3 3 4 2" xfId="38275"/>
    <cellStyle name="Total 12 3 3 5" xfId="27389"/>
    <cellStyle name="Total 12 3 3_Table 2A-1_EFT (Annual)" xfId="8522"/>
    <cellStyle name="Total 12 3 4" xfId="2097"/>
    <cellStyle name="Total 12 3 4 2" xfId="5658"/>
    <cellStyle name="Total 12 3 4 2 2" xfId="13873"/>
    <cellStyle name="Total 12 3 4 2 2 2" xfId="25861"/>
    <cellStyle name="Total 12 3 4 2 2 2 2" xfId="47047"/>
    <cellStyle name="Total 12 3 4 2 2 3" xfId="36443"/>
    <cellStyle name="Total 12 3 4 2 3" xfId="20748"/>
    <cellStyle name="Total 12 3 4 2 3 2" xfId="41935"/>
    <cellStyle name="Total 12 3 4 2 4" xfId="31315"/>
    <cellStyle name="Total 12 3 4 2_Table 2A-1_EFT (Annual)" xfId="8525"/>
    <cellStyle name="Total 12 3 4 3" xfId="11217"/>
    <cellStyle name="Total 12 3 4 3 2" xfId="23315"/>
    <cellStyle name="Total 12 3 4 3 2 2" xfId="44501"/>
    <cellStyle name="Total 12 3 4 3 3" xfId="33897"/>
    <cellStyle name="Total 12 3 4 4" xfId="18202"/>
    <cellStyle name="Total 12 3 4 4 2" xfId="39389"/>
    <cellStyle name="Total 12 3 4 5" xfId="28572"/>
    <cellStyle name="Total 12 3 4_Table 2A-1_EFT (Annual)" xfId="8524"/>
    <cellStyle name="Total 12 3 5" xfId="3945"/>
    <cellStyle name="Total 12 3 5 2" xfId="12273"/>
    <cellStyle name="Total 12 3 5 2 2" xfId="24297"/>
    <cellStyle name="Total 12 3 5 2 2 2" xfId="45483"/>
    <cellStyle name="Total 12 3 5 2 3" xfId="34879"/>
    <cellStyle name="Total 12 3 5 3" xfId="19184"/>
    <cellStyle name="Total 12 3 5 3 2" xfId="40371"/>
    <cellStyle name="Total 12 3 5 4" xfId="29633"/>
    <cellStyle name="Total 12 3 5_Table 2A-1_EFT (Annual)" xfId="8526"/>
    <cellStyle name="Total 12 3 6" xfId="9610"/>
    <cellStyle name="Total 12 3 6 2" xfId="21751"/>
    <cellStyle name="Total 12 3 6 2 2" xfId="42937"/>
    <cellStyle name="Total 12 3 6 3" xfId="32333"/>
    <cellStyle name="Total 12 3 7" xfId="16638"/>
    <cellStyle name="Total 12 3 7 2" xfId="37825"/>
    <cellStyle name="Total 12 3 8" xfId="26890"/>
    <cellStyle name="Total 12 3_Table 2A-1_EFT (Annual)" xfId="3519"/>
    <cellStyle name="Total 12 4" xfId="1192"/>
    <cellStyle name="Total 12 4 2" xfId="2462"/>
    <cellStyle name="Total 12 4 2 2" xfId="6023"/>
    <cellStyle name="Total 12 4 2 2 2" xfId="14217"/>
    <cellStyle name="Total 12 4 2 2 2 2" xfId="26189"/>
    <cellStyle name="Total 12 4 2 2 2 2 2" xfId="47375"/>
    <cellStyle name="Total 12 4 2 2 2 3" xfId="36771"/>
    <cellStyle name="Total 12 4 2 2 3" xfId="21076"/>
    <cellStyle name="Total 12 4 2 2 3 2" xfId="42263"/>
    <cellStyle name="Total 12 4 2 2 4" xfId="31679"/>
    <cellStyle name="Total 12 4 2 2_Table 2A-1_EFT (Annual)" xfId="8529"/>
    <cellStyle name="Total 12 4 2 3" xfId="11559"/>
    <cellStyle name="Total 12 4 2 3 2" xfId="23643"/>
    <cellStyle name="Total 12 4 2 3 2 2" xfId="44829"/>
    <cellStyle name="Total 12 4 2 3 3" xfId="34225"/>
    <cellStyle name="Total 12 4 2 4" xfId="18530"/>
    <cellStyle name="Total 12 4 2 4 2" xfId="39717"/>
    <cellStyle name="Total 12 4 2 5" xfId="28936"/>
    <cellStyle name="Total 12 4 2_Table 2A-1_EFT (Annual)" xfId="8528"/>
    <cellStyle name="Total 12 4 3" xfId="4753"/>
    <cellStyle name="Total 12 4 3 2" xfId="13013"/>
    <cellStyle name="Total 12 4 3 2 2" xfId="25019"/>
    <cellStyle name="Total 12 4 3 2 2 2" xfId="46205"/>
    <cellStyle name="Total 12 4 3 2 3" xfId="35601"/>
    <cellStyle name="Total 12 4 3 3" xfId="19906"/>
    <cellStyle name="Total 12 4 3 3 2" xfId="41093"/>
    <cellStyle name="Total 12 4 3 4" xfId="30410"/>
    <cellStyle name="Total 12 4 3_Table 2A-1_EFT (Annual)" xfId="8530"/>
    <cellStyle name="Total 12 4 4" xfId="10357"/>
    <cellStyle name="Total 12 4 4 2" xfId="22473"/>
    <cellStyle name="Total 12 4 4 2 2" xfId="43659"/>
    <cellStyle name="Total 12 4 4 3" xfId="33055"/>
    <cellStyle name="Total 12 4 5" xfId="17360"/>
    <cellStyle name="Total 12 4 5 2" xfId="38547"/>
    <cellStyle name="Total 12 4 6" xfId="27667"/>
    <cellStyle name="Total 12 4_Table 2A-1_EFT (Annual)" xfId="8527"/>
    <cellStyle name="Total 12 5" xfId="755"/>
    <cellStyle name="Total 12 5 2" xfId="4316"/>
    <cellStyle name="Total 12 5 2 2" xfId="12596"/>
    <cellStyle name="Total 12 5 2 2 2" xfId="24613"/>
    <cellStyle name="Total 12 5 2 2 2 2" xfId="45799"/>
    <cellStyle name="Total 12 5 2 2 3" xfId="35195"/>
    <cellStyle name="Total 12 5 2 3" xfId="19500"/>
    <cellStyle name="Total 12 5 2 3 2" xfId="40687"/>
    <cellStyle name="Total 12 5 2 4" xfId="29973"/>
    <cellStyle name="Total 12 5 2_Table 2A-1_EFT (Annual)" xfId="8532"/>
    <cellStyle name="Total 12 5 3" xfId="9944"/>
    <cellStyle name="Total 12 5 3 2" xfId="22067"/>
    <cellStyle name="Total 12 5 3 2 2" xfId="43253"/>
    <cellStyle name="Total 12 5 3 3" xfId="32649"/>
    <cellStyle name="Total 12 5 4" xfId="16954"/>
    <cellStyle name="Total 12 5 4 2" xfId="38141"/>
    <cellStyle name="Total 12 5 5" xfId="27230"/>
    <cellStyle name="Total 12 5_Table 2A-1_EFT (Annual)" xfId="8531"/>
    <cellStyle name="Total 12 6" xfId="1852"/>
    <cellStyle name="Total 12 6 2" xfId="5413"/>
    <cellStyle name="Total 12 6 2 2" xfId="13628"/>
    <cellStyle name="Total 12 6 2 2 2" xfId="25616"/>
    <cellStyle name="Total 12 6 2 2 2 2" xfId="46802"/>
    <cellStyle name="Total 12 6 2 2 3" xfId="36198"/>
    <cellStyle name="Total 12 6 2 3" xfId="20503"/>
    <cellStyle name="Total 12 6 2 3 2" xfId="41690"/>
    <cellStyle name="Total 12 6 2 4" xfId="31070"/>
    <cellStyle name="Total 12 6 2_Table 2A-1_EFT (Annual)" xfId="8534"/>
    <cellStyle name="Total 12 6 3" xfId="10972"/>
    <cellStyle name="Total 12 6 3 2" xfId="23070"/>
    <cellStyle name="Total 12 6 3 2 2" xfId="44256"/>
    <cellStyle name="Total 12 6 3 3" xfId="33652"/>
    <cellStyle name="Total 12 6 4" xfId="17957"/>
    <cellStyle name="Total 12 6 4 2" xfId="39144"/>
    <cellStyle name="Total 12 6 5" xfId="28327"/>
    <cellStyle name="Total 12 6_Table 2A-1_EFT (Annual)" xfId="8533"/>
    <cellStyle name="Total 12 7" xfId="3733"/>
    <cellStyle name="Total 12 7 2" xfId="12101"/>
    <cellStyle name="Total 12 7 2 2" xfId="24131"/>
    <cellStyle name="Total 12 7 2 2 2" xfId="45317"/>
    <cellStyle name="Total 12 7 2 3" xfId="34713"/>
    <cellStyle name="Total 12 7 3" xfId="19018"/>
    <cellStyle name="Total 12 7 3 2" xfId="40205"/>
    <cellStyle name="Total 12 7 4" xfId="29442"/>
    <cellStyle name="Total 12 7_Table 2A-1_EFT (Annual)" xfId="8535"/>
    <cellStyle name="Total 12 8" xfId="9420"/>
    <cellStyle name="Total 12 8 2" xfId="21585"/>
    <cellStyle name="Total 12 8 2 2" xfId="42771"/>
    <cellStyle name="Total 12 8 3" xfId="32167"/>
    <cellStyle name="Total 12 9" xfId="16472"/>
    <cellStyle name="Total 12 9 2" xfId="37659"/>
    <cellStyle name="Total 12_Table 2A-1_EFT (Annual)" xfId="3517"/>
    <cellStyle name="Total 13" xfId="152"/>
    <cellStyle name="Total 13 10" xfId="26707"/>
    <cellStyle name="Total 13 2" xfId="545"/>
    <cellStyle name="Total 13 2 2" xfId="1522"/>
    <cellStyle name="Total 13 2 2 2" xfId="2792"/>
    <cellStyle name="Total 13 2 2 2 2" xfId="6353"/>
    <cellStyle name="Total 13 2 2 2 2 2" xfId="14547"/>
    <cellStyle name="Total 13 2 2 2 2 2 2" xfId="26519"/>
    <cellStyle name="Total 13 2 2 2 2 2 2 2" xfId="47705"/>
    <cellStyle name="Total 13 2 2 2 2 2 3" xfId="37101"/>
    <cellStyle name="Total 13 2 2 2 2 3" xfId="21406"/>
    <cellStyle name="Total 13 2 2 2 2 3 2" xfId="42593"/>
    <cellStyle name="Total 13 2 2 2 2 4" xfId="32009"/>
    <cellStyle name="Total 13 2 2 2 2_Table 2A-1_EFT (Annual)" xfId="8538"/>
    <cellStyle name="Total 13 2 2 2 3" xfId="11889"/>
    <cellStyle name="Total 13 2 2 2 3 2" xfId="23973"/>
    <cellStyle name="Total 13 2 2 2 3 2 2" xfId="45159"/>
    <cellStyle name="Total 13 2 2 2 3 3" xfId="34555"/>
    <cellStyle name="Total 13 2 2 2 4" xfId="18860"/>
    <cellStyle name="Total 13 2 2 2 4 2" xfId="40047"/>
    <cellStyle name="Total 13 2 2 2 5" xfId="29266"/>
    <cellStyle name="Total 13 2 2 2_Table 2A-1_EFT (Annual)" xfId="8537"/>
    <cellStyle name="Total 13 2 2 3" xfId="5083"/>
    <cellStyle name="Total 13 2 2 3 2" xfId="13343"/>
    <cellStyle name="Total 13 2 2 3 2 2" xfId="25349"/>
    <cellStyle name="Total 13 2 2 3 2 2 2" xfId="46535"/>
    <cellStyle name="Total 13 2 2 3 2 3" xfId="35931"/>
    <cellStyle name="Total 13 2 2 3 3" xfId="20236"/>
    <cellStyle name="Total 13 2 2 3 3 2" xfId="41423"/>
    <cellStyle name="Total 13 2 2 3 4" xfId="30740"/>
    <cellStyle name="Total 13 2 2 3_Table 2A-1_EFT (Annual)" xfId="8539"/>
    <cellStyle name="Total 13 2 2 4" xfId="10687"/>
    <cellStyle name="Total 13 2 2 4 2" xfId="22803"/>
    <cellStyle name="Total 13 2 2 4 2 2" xfId="43989"/>
    <cellStyle name="Total 13 2 2 4 3" xfId="33385"/>
    <cellStyle name="Total 13 2 2 5" xfId="17690"/>
    <cellStyle name="Total 13 2 2 5 2" xfId="38877"/>
    <cellStyle name="Total 13 2 2 6" xfId="27997"/>
    <cellStyle name="Total 13 2 2_Table 2A-1_EFT (Annual)" xfId="8536"/>
    <cellStyle name="Total 13 2 3" xfId="1052"/>
    <cellStyle name="Total 13 2 3 2" xfId="4613"/>
    <cellStyle name="Total 13 2 3 2 2" xfId="12873"/>
    <cellStyle name="Total 13 2 3 2 2 2" xfId="24879"/>
    <cellStyle name="Total 13 2 3 2 2 2 2" xfId="46065"/>
    <cellStyle name="Total 13 2 3 2 2 3" xfId="35461"/>
    <cellStyle name="Total 13 2 3 2 3" xfId="19766"/>
    <cellStyle name="Total 13 2 3 2 3 2" xfId="40953"/>
    <cellStyle name="Total 13 2 3 2 4" xfId="30270"/>
    <cellStyle name="Total 13 2 3 2_Table 2A-1_EFT (Annual)" xfId="8541"/>
    <cellStyle name="Total 13 2 3 3" xfId="10217"/>
    <cellStyle name="Total 13 2 3 3 2" xfId="22333"/>
    <cellStyle name="Total 13 2 3 3 2 2" xfId="43519"/>
    <cellStyle name="Total 13 2 3 3 3" xfId="32915"/>
    <cellStyle name="Total 13 2 3 4" xfId="17220"/>
    <cellStyle name="Total 13 2 3 4 2" xfId="38407"/>
    <cellStyle name="Total 13 2 3 5" xfId="27527"/>
    <cellStyle name="Total 13 2 3_Table 2A-1_EFT (Annual)" xfId="8540"/>
    <cellStyle name="Total 13 2 4" xfId="2261"/>
    <cellStyle name="Total 13 2 4 2" xfId="5822"/>
    <cellStyle name="Total 13 2 4 2 2" xfId="14037"/>
    <cellStyle name="Total 13 2 4 2 2 2" xfId="26025"/>
    <cellStyle name="Total 13 2 4 2 2 2 2" xfId="47211"/>
    <cellStyle name="Total 13 2 4 2 2 3" xfId="36607"/>
    <cellStyle name="Total 13 2 4 2 3" xfId="20912"/>
    <cellStyle name="Total 13 2 4 2 3 2" xfId="42099"/>
    <cellStyle name="Total 13 2 4 2 4" xfId="31479"/>
    <cellStyle name="Total 13 2 4 2_Table 2A-1_EFT (Annual)" xfId="8543"/>
    <cellStyle name="Total 13 2 4 3" xfId="11381"/>
    <cellStyle name="Total 13 2 4 3 2" xfId="23479"/>
    <cellStyle name="Total 13 2 4 3 2 2" xfId="44665"/>
    <cellStyle name="Total 13 2 4 3 3" xfId="34061"/>
    <cellStyle name="Total 13 2 4 4" xfId="18366"/>
    <cellStyle name="Total 13 2 4 4 2" xfId="39553"/>
    <cellStyle name="Total 13 2 4 5" xfId="28736"/>
    <cellStyle name="Total 13 2 4_Table 2A-1_EFT (Annual)" xfId="8542"/>
    <cellStyle name="Total 13 2 5" xfId="4115"/>
    <cellStyle name="Total 13 2 5 2" xfId="12439"/>
    <cellStyle name="Total 13 2 5 2 2" xfId="24461"/>
    <cellStyle name="Total 13 2 5 2 2 2" xfId="45647"/>
    <cellStyle name="Total 13 2 5 2 3" xfId="35043"/>
    <cellStyle name="Total 13 2 5 3" xfId="19348"/>
    <cellStyle name="Total 13 2 5 3 2" xfId="40535"/>
    <cellStyle name="Total 13 2 5 4" xfId="29803"/>
    <cellStyle name="Total 13 2 5_Table 2A-1_EFT (Annual)" xfId="8544"/>
    <cellStyle name="Total 13 2 6" xfId="9778"/>
    <cellStyle name="Total 13 2 6 2" xfId="21915"/>
    <cellStyle name="Total 13 2 6 2 2" xfId="43101"/>
    <cellStyle name="Total 13 2 6 3" xfId="32497"/>
    <cellStyle name="Total 13 2 7" xfId="16802"/>
    <cellStyle name="Total 13 2 7 2" xfId="37989"/>
    <cellStyle name="Total 13 2 8" xfId="27060"/>
    <cellStyle name="Total 13 2_Table 2A-1_EFT (Annual)" xfId="3521"/>
    <cellStyle name="Total 13 3" xfId="383"/>
    <cellStyle name="Total 13 3 2" xfId="1366"/>
    <cellStyle name="Total 13 3 2 2" xfId="2636"/>
    <cellStyle name="Total 13 3 2 2 2" xfId="6197"/>
    <cellStyle name="Total 13 3 2 2 2 2" xfId="14391"/>
    <cellStyle name="Total 13 3 2 2 2 2 2" xfId="26363"/>
    <cellStyle name="Total 13 3 2 2 2 2 2 2" xfId="47549"/>
    <cellStyle name="Total 13 3 2 2 2 2 3" xfId="36945"/>
    <cellStyle name="Total 13 3 2 2 2 3" xfId="21250"/>
    <cellStyle name="Total 13 3 2 2 2 3 2" xfId="42437"/>
    <cellStyle name="Total 13 3 2 2 2 4" xfId="31853"/>
    <cellStyle name="Total 13 3 2 2 2_Table 2A-1_EFT (Annual)" xfId="8547"/>
    <cellStyle name="Total 13 3 2 2 3" xfId="11733"/>
    <cellStyle name="Total 13 3 2 2 3 2" xfId="23817"/>
    <cellStyle name="Total 13 3 2 2 3 2 2" xfId="45003"/>
    <cellStyle name="Total 13 3 2 2 3 3" xfId="34399"/>
    <cellStyle name="Total 13 3 2 2 4" xfId="18704"/>
    <cellStyle name="Total 13 3 2 2 4 2" xfId="39891"/>
    <cellStyle name="Total 13 3 2 2 5" xfId="29110"/>
    <cellStyle name="Total 13 3 2 2_Table 2A-1_EFT (Annual)" xfId="8546"/>
    <cellStyle name="Total 13 3 2 3" xfId="4927"/>
    <cellStyle name="Total 13 3 2 3 2" xfId="13187"/>
    <cellStyle name="Total 13 3 2 3 2 2" xfId="25193"/>
    <cellStyle name="Total 13 3 2 3 2 2 2" xfId="46379"/>
    <cellStyle name="Total 13 3 2 3 2 3" xfId="35775"/>
    <cellStyle name="Total 13 3 2 3 3" xfId="20080"/>
    <cellStyle name="Total 13 3 2 3 3 2" xfId="41267"/>
    <cellStyle name="Total 13 3 2 3 4" xfId="30584"/>
    <cellStyle name="Total 13 3 2 3_Table 2A-1_EFT (Annual)" xfId="8548"/>
    <cellStyle name="Total 13 3 2 4" xfId="10531"/>
    <cellStyle name="Total 13 3 2 4 2" xfId="22647"/>
    <cellStyle name="Total 13 3 2 4 2 2" xfId="43833"/>
    <cellStyle name="Total 13 3 2 4 3" xfId="33229"/>
    <cellStyle name="Total 13 3 2 5" xfId="17534"/>
    <cellStyle name="Total 13 3 2 5 2" xfId="38721"/>
    <cellStyle name="Total 13 3 2 6" xfId="27841"/>
    <cellStyle name="Total 13 3 2_Table 2A-1_EFT (Annual)" xfId="8545"/>
    <cellStyle name="Total 13 3 3" xfId="920"/>
    <cellStyle name="Total 13 3 3 2" xfId="4481"/>
    <cellStyle name="Total 13 3 3 2 2" xfId="12743"/>
    <cellStyle name="Total 13 3 3 2 2 2" xfId="24753"/>
    <cellStyle name="Total 13 3 3 2 2 2 2" xfId="45939"/>
    <cellStyle name="Total 13 3 3 2 2 3" xfId="35335"/>
    <cellStyle name="Total 13 3 3 2 3" xfId="19640"/>
    <cellStyle name="Total 13 3 3 2 3 2" xfId="40827"/>
    <cellStyle name="Total 13 3 3 2 4" xfId="30138"/>
    <cellStyle name="Total 13 3 3 2_Table 2A-1_EFT (Annual)" xfId="8550"/>
    <cellStyle name="Total 13 3 3 3" xfId="10090"/>
    <cellStyle name="Total 13 3 3 3 2" xfId="22207"/>
    <cellStyle name="Total 13 3 3 3 2 2" xfId="43393"/>
    <cellStyle name="Total 13 3 3 3 3" xfId="32789"/>
    <cellStyle name="Total 13 3 3 4" xfId="17094"/>
    <cellStyle name="Total 13 3 3 4 2" xfId="38281"/>
    <cellStyle name="Total 13 3 3 5" xfId="27395"/>
    <cellStyle name="Total 13 3 3_Table 2A-1_EFT (Annual)" xfId="8549"/>
    <cellStyle name="Total 13 3 4" xfId="2105"/>
    <cellStyle name="Total 13 3 4 2" xfId="5666"/>
    <cellStyle name="Total 13 3 4 2 2" xfId="13881"/>
    <cellStyle name="Total 13 3 4 2 2 2" xfId="25869"/>
    <cellStyle name="Total 13 3 4 2 2 2 2" xfId="47055"/>
    <cellStyle name="Total 13 3 4 2 2 3" xfId="36451"/>
    <cellStyle name="Total 13 3 4 2 3" xfId="20756"/>
    <cellStyle name="Total 13 3 4 2 3 2" xfId="41943"/>
    <cellStyle name="Total 13 3 4 2 4" xfId="31323"/>
    <cellStyle name="Total 13 3 4 2_Table 2A-1_EFT (Annual)" xfId="8552"/>
    <cellStyle name="Total 13 3 4 3" xfId="11225"/>
    <cellStyle name="Total 13 3 4 3 2" xfId="23323"/>
    <cellStyle name="Total 13 3 4 3 2 2" xfId="44509"/>
    <cellStyle name="Total 13 3 4 3 3" xfId="33905"/>
    <cellStyle name="Total 13 3 4 4" xfId="18210"/>
    <cellStyle name="Total 13 3 4 4 2" xfId="39397"/>
    <cellStyle name="Total 13 3 4 5" xfId="28580"/>
    <cellStyle name="Total 13 3 4_Table 2A-1_EFT (Annual)" xfId="8551"/>
    <cellStyle name="Total 13 3 5" xfId="3953"/>
    <cellStyle name="Total 13 3 5 2" xfId="12281"/>
    <cellStyle name="Total 13 3 5 2 2" xfId="24305"/>
    <cellStyle name="Total 13 3 5 2 2 2" xfId="45491"/>
    <cellStyle name="Total 13 3 5 2 3" xfId="34887"/>
    <cellStyle name="Total 13 3 5 3" xfId="19192"/>
    <cellStyle name="Total 13 3 5 3 2" xfId="40379"/>
    <cellStyle name="Total 13 3 5 4" xfId="29641"/>
    <cellStyle name="Total 13 3 5_Table 2A-1_EFT (Annual)" xfId="8553"/>
    <cellStyle name="Total 13 3 6" xfId="9618"/>
    <cellStyle name="Total 13 3 6 2" xfId="21759"/>
    <cellStyle name="Total 13 3 6 2 2" xfId="42945"/>
    <cellStyle name="Total 13 3 6 3" xfId="32341"/>
    <cellStyle name="Total 13 3 7" xfId="16646"/>
    <cellStyle name="Total 13 3 7 2" xfId="37833"/>
    <cellStyle name="Total 13 3 8" xfId="26898"/>
    <cellStyle name="Total 13 3_Table 2A-1_EFT (Annual)" xfId="3522"/>
    <cellStyle name="Total 13 4" xfId="1200"/>
    <cellStyle name="Total 13 4 2" xfId="2470"/>
    <cellStyle name="Total 13 4 2 2" xfId="6031"/>
    <cellStyle name="Total 13 4 2 2 2" xfId="14225"/>
    <cellStyle name="Total 13 4 2 2 2 2" xfId="26197"/>
    <cellStyle name="Total 13 4 2 2 2 2 2" xfId="47383"/>
    <cellStyle name="Total 13 4 2 2 2 3" xfId="36779"/>
    <cellStyle name="Total 13 4 2 2 3" xfId="21084"/>
    <cellStyle name="Total 13 4 2 2 3 2" xfId="42271"/>
    <cellStyle name="Total 13 4 2 2 4" xfId="31687"/>
    <cellStyle name="Total 13 4 2 2_Table 2A-1_EFT (Annual)" xfId="8556"/>
    <cellStyle name="Total 13 4 2 3" xfId="11567"/>
    <cellStyle name="Total 13 4 2 3 2" xfId="23651"/>
    <cellStyle name="Total 13 4 2 3 2 2" xfId="44837"/>
    <cellStyle name="Total 13 4 2 3 3" xfId="34233"/>
    <cellStyle name="Total 13 4 2 4" xfId="18538"/>
    <cellStyle name="Total 13 4 2 4 2" xfId="39725"/>
    <cellStyle name="Total 13 4 2 5" xfId="28944"/>
    <cellStyle name="Total 13 4 2_Table 2A-1_EFT (Annual)" xfId="8555"/>
    <cellStyle name="Total 13 4 3" xfId="4761"/>
    <cellStyle name="Total 13 4 3 2" xfId="13021"/>
    <cellStyle name="Total 13 4 3 2 2" xfId="25027"/>
    <cellStyle name="Total 13 4 3 2 2 2" xfId="46213"/>
    <cellStyle name="Total 13 4 3 2 3" xfId="35609"/>
    <cellStyle name="Total 13 4 3 3" xfId="19914"/>
    <cellStyle name="Total 13 4 3 3 2" xfId="41101"/>
    <cellStyle name="Total 13 4 3 4" xfId="30418"/>
    <cellStyle name="Total 13 4 3_Table 2A-1_EFT (Annual)" xfId="8557"/>
    <cellStyle name="Total 13 4 4" xfId="10365"/>
    <cellStyle name="Total 13 4 4 2" xfId="22481"/>
    <cellStyle name="Total 13 4 4 2 2" xfId="43667"/>
    <cellStyle name="Total 13 4 4 3" xfId="33063"/>
    <cellStyle name="Total 13 4 5" xfId="17368"/>
    <cellStyle name="Total 13 4 5 2" xfId="38555"/>
    <cellStyle name="Total 13 4 6" xfId="27675"/>
    <cellStyle name="Total 13 4_Table 2A-1_EFT (Annual)" xfId="8554"/>
    <cellStyle name="Total 13 5" xfId="761"/>
    <cellStyle name="Total 13 5 2" xfId="4322"/>
    <cellStyle name="Total 13 5 2 2" xfId="12602"/>
    <cellStyle name="Total 13 5 2 2 2" xfId="24619"/>
    <cellStyle name="Total 13 5 2 2 2 2" xfId="45805"/>
    <cellStyle name="Total 13 5 2 2 3" xfId="35201"/>
    <cellStyle name="Total 13 5 2 3" xfId="19506"/>
    <cellStyle name="Total 13 5 2 3 2" xfId="40693"/>
    <cellStyle name="Total 13 5 2 4" xfId="29979"/>
    <cellStyle name="Total 13 5 2_Table 2A-1_EFT (Annual)" xfId="8559"/>
    <cellStyle name="Total 13 5 3" xfId="9950"/>
    <cellStyle name="Total 13 5 3 2" xfId="22073"/>
    <cellStyle name="Total 13 5 3 2 2" xfId="43259"/>
    <cellStyle name="Total 13 5 3 3" xfId="32655"/>
    <cellStyle name="Total 13 5 4" xfId="16960"/>
    <cellStyle name="Total 13 5 4 2" xfId="38147"/>
    <cellStyle name="Total 13 5 5" xfId="27236"/>
    <cellStyle name="Total 13 5_Table 2A-1_EFT (Annual)" xfId="8558"/>
    <cellStyle name="Total 13 6" xfId="1848"/>
    <cellStyle name="Total 13 6 2" xfId="5409"/>
    <cellStyle name="Total 13 6 2 2" xfId="13624"/>
    <cellStyle name="Total 13 6 2 2 2" xfId="25612"/>
    <cellStyle name="Total 13 6 2 2 2 2" xfId="46798"/>
    <cellStyle name="Total 13 6 2 2 3" xfId="36194"/>
    <cellStyle name="Total 13 6 2 3" xfId="20499"/>
    <cellStyle name="Total 13 6 2 3 2" xfId="41686"/>
    <cellStyle name="Total 13 6 2 4" xfId="31066"/>
    <cellStyle name="Total 13 6 2_Table 2A-1_EFT (Annual)" xfId="8561"/>
    <cellStyle name="Total 13 6 3" xfId="10968"/>
    <cellStyle name="Total 13 6 3 2" xfId="23066"/>
    <cellStyle name="Total 13 6 3 2 2" xfId="44252"/>
    <cellStyle name="Total 13 6 3 3" xfId="33648"/>
    <cellStyle name="Total 13 6 4" xfId="17953"/>
    <cellStyle name="Total 13 6 4 2" xfId="39140"/>
    <cellStyle name="Total 13 6 5" xfId="28323"/>
    <cellStyle name="Total 13 6_Table 2A-1_EFT (Annual)" xfId="8560"/>
    <cellStyle name="Total 13 7" xfId="3741"/>
    <cellStyle name="Total 13 7 2" xfId="12109"/>
    <cellStyle name="Total 13 7 2 2" xfId="24139"/>
    <cellStyle name="Total 13 7 2 2 2" xfId="45325"/>
    <cellStyle name="Total 13 7 2 3" xfId="34721"/>
    <cellStyle name="Total 13 7 3" xfId="19026"/>
    <cellStyle name="Total 13 7 3 2" xfId="40213"/>
    <cellStyle name="Total 13 7 4" xfId="29450"/>
    <cellStyle name="Total 13 7_Table 2A-1_EFT (Annual)" xfId="8562"/>
    <cellStyle name="Total 13 8" xfId="9428"/>
    <cellStyle name="Total 13 8 2" xfId="21593"/>
    <cellStyle name="Total 13 8 2 2" xfId="42779"/>
    <cellStyle name="Total 13 8 3" xfId="32175"/>
    <cellStyle name="Total 13 9" xfId="16480"/>
    <cellStyle name="Total 13 9 2" xfId="37667"/>
    <cellStyle name="Total 13_Table 2A-1_EFT (Annual)" xfId="3520"/>
    <cellStyle name="Total 14" xfId="128"/>
    <cellStyle name="Total 14 10" xfId="26683"/>
    <cellStyle name="Total 14 2" xfId="521"/>
    <cellStyle name="Total 14 2 2" xfId="1498"/>
    <cellStyle name="Total 14 2 2 2" xfId="2768"/>
    <cellStyle name="Total 14 2 2 2 2" xfId="6329"/>
    <cellStyle name="Total 14 2 2 2 2 2" xfId="14523"/>
    <cellStyle name="Total 14 2 2 2 2 2 2" xfId="26495"/>
    <cellStyle name="Total 14 2 2 2 2 2 2 2" xfId="47681"/>
    <cellStyle name="Total 14 2 2 2 2 2 3" xfId="37077"/>
    <cellStyle name="Total 14 2 2 2 2 3" xfId="21382"/>
    <cellStyle name="Total 14 2 2 2 2 3 2" xfId="42569"/>
    <cellStyle name="Total 14 2 2 2 2 4" xfId="31985"/>
    <cellStyle name="Total 14 2 2 2 2_Table 2A-1_EFT (Annual)" xfId="8565"/>
    <cellStyle name="Total 14 2 2 2 3" xfId="11865"/>
    <cellStyle name="Total 14 2 2 2 3 2" xfId="23949"/>
    <cellStyle name="Total 14 2 2 2 3 2 2" xfId="45135"/>
    <cellStyle name="Total 14 2 2 2 3 3" xfId="34531"/>
    <cellStyle name="Total 14 2 2 2 4" xfId="18836"/>
    <cellStyle name="Total 14 2 2 2 4 2" xfId="40023"/>
    <cellStyle name="Total 14 2 2 2 5" xfId="29242"/>
    <cellStyle name="Total 14 2 2 2_Table 2A-1_EFT (Annual)" xfId="8564"/>
    <cellStyle name="Total 14 2 2 3" xfId="5059"/>
    <cellStyle name="Total 14 2 2 3 2" xfId="13319"/>
    <cellStyle name="Total 14 2 2 3 2 2" xfId="25325"/>
    <cellStyle name="Total 14 2 2 3 2 2 2" xfId="46511"/>
    <cellStyle name="Total 14 2 2 3 2 3" xfId="35907"/>
    <cellStyle name="Total 14 2 2 3 3" xfId="20212"/>
    <cellStyle name="Total 14 2 2 3 3 2" xfId="41399"/>
    <cellStyle name="Total 14 2 2 3 4" xfId="30716"/>
    <cellStyle name="Total 14 2 2 3_Table 2A-1_EFT (Annual)" xfId="8566"/>
    <cellStyle name="Total 14 2 2 4" xfId="10663"/>
    <cellStyle name="Total 14 2 2 4 2" xfId="22779"/>
    <cellStyle name="Total 14 2 2 4 2 2" xfId="43965"/>
    <cellStyle name="Total 14 2 2 4 3" xfId="33361"/>
    <cellStyle name="Total 14 2 2 5" xfId="17666"/>
    <cellStyle name="Total 14 2 2 5 2" xfId="38853"/>
    <cellStyle name="Total 14 2 2 6" xfId="27973"/>
    <cellStyle name="Total 14 2 2_Table 2A-1_EFT (Annual)" xfId="8563"/>
    <cellStyle name="Total 14 2 3" xfId="1031"/>
    <cellStyle name="Total 14 2 3 2" xfId="4592"/>
    <cellStyle name="Total 14 2 3 2 2" xfId="12852"/>
    <cellStyle name="Total 14 2 3 2 2 2" xfId="24858"/>
    <cellStyle name="Total 14 2 3 2 2 2 2" xfId="46044"/>
    <cellStyle name="Total 14 2 3 2 2 3" xfId="35440"/>
    <cellStyle name="Total 14 2 3 2 3" xfId="19745"/>
    <cellStyle name="Total 14 2 3 2 3 2" xfId="40932"/>
    <cellStyle name="Total 14 2 3 2 4" xfId="30249"/>
    <cellStyle name="Total 14 2 3 2_Table 2A-1_EFT (Annual)" xfId="8568"/>
    <cellStyle name="Total 14 2 3 3" xfId="10196"/>
    <cellStyle name="Total 14 2 3 3 2" xfId="22312"/>
    <cellStyle name="Total 14 2 3 3 2 2" xfId="43498"/>
    <cellStyle name="Total 14 2 3 3 3" xfId="32894"/>
    <cellStyle name="Total 14 2 3 4" xfId="17199"/>
    <cellStyle name="Total 14 2 3 4 2" xfId="38386"/>
    <cellStyle name="Total 14 2 3 5" xfId="27506"/>
    <cellStyle name="Total 14 2 3_Table 2A-1_EFT (Annual)" xfId="8567"/>
    <cellStyle name="Total 14 2 4" xfId="2237"/>
    <cellStyle name="Total 14 2 4 2" xfId="5798"/>
    <cellStyle name="Total 14 2 4 2 2" xfId="14013"/>
    <cellStyle name="Total 14 2 4 2 2 2" xfId="26001"/>
    <cellStyle name="Total 14 2 4 2 2 2 2" xfId="47187"/>
    <cellStyle name="Total 14 2 4 2 2 3" xfId="36583"/>
    <cellStyle name="Total 14 2 4 2 3" xfId="20888"/>
    <cellStyle name="Total 14 2 4 2 3 2" xfId="42075"/>
    <cellStyle name="Total 14 2 4 2 4" xfId="31455"/>
    <cellStyle name="Total 14 2 4 2_Table 2A-1_EFT (Annual)" xfId="8570"/>
    <cellStyle name="Total 14 2 4 3" xfId="11357"/>
    <cellStyle name="Total 14 2 4 3 2" xfId="23455"/>
    <cellStyle name="Total 14 2 4 3 2 2" xfId="44641"/>
    <cellStyle name="Total 14 2 4 3 3" xfId="34037"/>
    <cellStyle name="Total 14 2 4 4" xfId="18342"/>
    <cellStyle name="Total 14 2 4 4 2" xfId="39529"/>
    <cellStyle name="Total 14 2 4 5" xfId="28712"/>
    <cellStyle name="Total 14 2 4_Table 2A-1_EFT (Annual)" xfId="8569"/>
    <cellStyle name="Total 14 2 5" xfId="4091"/>
    <cellStyle name="Total 14 2 5 2" xfId="12415"/>
    <cellStyle name="Total 14 2 5 2 2" xfId="24437"/>
    <cellStyle name="Total 14 2 5 2 2 2" xfId="45623"/>
    <cellStyle name="Total 14 2 5 2 3" xfId="35019"/>
    <cellStyle name="Total 14 2 5 3" xfId="19324"/>
    <cellStyle name="Total 14 2 5 3 2" xfId="40511"/>
    <cellStyle name="Total 14 2 5 4" xfId="29779"/>
    <cellStyle name="Total 14 2 5_Table 2A-1_EFT (Annual)" xfId="8571"/>
    <cellStyle name="Total 14 2 6" xfId="9754"/>
    <cellStyle name="Total 14 2 6 2" xfId="21891"/>
    <cellStyle name="Total 14 2 6 2 2" xfId="43077"/>
    <cellStyle name="Total 14 2 6 3" xfId="32473"/>
    <cellStyle name="Total 14 2 7" xfId="16778"/>
    <cellStyle name="Total 14 2 7 2" xfId="37965"/>
    <cellStyle name="Total 14 2 8" xfId="27036"/>
    <cellStyle name="Total 14 2_Table 2A-1_EFT (Annual)" xfId="3524"/>
    <cellStyle name="Total 14 3" xfId="359"/>
    <cellStyle name="Total 14 3 2" xfId="1342"/>
    <cellStyle name="Total 14 3 2 2" xfId="2612"/>
    <cellStyle name="Total 14 3 2 2 2" xfId="6173"/>
    <cellStyle name="Total 14 3 2 2 2 2" xfId="14367"/>
    <cellStyle name="Total 14 3 2 2 2 2 2" xfId="26339"/>
    <cellStyle name="Total 14 3 2 2 2 2 2 2" xfId="47525"/>
    <cellStyle name="Total 14 3 2 2 2 2 3" xfId="36921"/>
    <cellStyle name="Total 14 3 2 2 2 3" xfId="21226"/>
    <cellStyle name="Total 14 3 2 2 2 3 2" xfId="42413"/>
    <cellStyle name="Total 14 3 2 2 2 4" xfId="31829"/>
    <cellStyle name="Total 14 3 2 2 2_Table 2A-1_EFT (Annual)" xfId="8574"/>
    <cellStyle name="Total 14 3 2 2 3" xfId="11709"/>
    <cellStyle name="Total 14 3 2 2 3 2" xfId="23793"/>
    <cellStyle name="Total 14 3 2 2 3 2 2" xfId="44979"/>
    <cellStyle name="Total 14 3 2 2 3 3" xfId="34375"/>
    <cellStyle name="Total 14 3 2 2 4" xfId="18680"/>
    <cellStyle name="Total 14 3 2 2 4 2" xfId="39867"/>
    <cellStyle name="Total 14 3 2 2 5" xfId="29086"/>
    <cellStyle name="Total 14 3 2 2_Table 2A-1_EFT (Annual)" xfId="8573"/>
    <cellStyle name="Total 14 3 2 3" xfId="4903"/>
    <cellStyle name="Total 14 3 2 3 2" xfId="13163"/>
    <cellStyle name="Total 14 3 2 3 2 2" xfId="25169"/>
    <cellStyle name="Total 14 3 2 3 2 2 2" xfId="46355"/>
    <cellStyle name="Total 14 3 2 3 2 3" xfId="35751"/>
    <cellStyle name="Total 14 3 2 3 3" xfId="20056"/>
    <cellStyle name="Total 14 3 2 3 3 2" xfId="41243"/>
    <cellStyle name="Total 14 3 2 3 4" xfId="30560"/>
    <cellStyle name="Total 14 3 2 3_Table 2A-1_EFT (Annual)" xfId="8575"/>
    <cellStyle name="Total 14 3 2 4" xfId="10507"/>
    <cellStyle name="Total 14 3 2 4 2" xfId="22623"/>
    <cellStyle name="Total 14 3 2 4 2 2" xfId="43809"/>
    <cellStyle name="Total 14 3 2 4 3" xfId="33205"/>
    <cellStyle name="Total 14 3 2 5" xfId="17510"/>
    <cellStyle name="Total 14 3 2 5 2" xfId="38697"/>
    <cellStyle name="Total 14 3 2 6" xfId="27817"/>
    <cellStyle name="Total 14 3 2_Table 2A-1_EFT (Annual)" xfId="8572"/>
    <cellStyle name="Total 14 3 3" xfId="899"/>
    <cellStyle name="Total 14 3 3 2" xfId="4460"/>
    <cellStyle name="Total 14 3 3 2 2" xfId="12722"/>
    <cellStyle name="Total 14 3 3 2 2 2" xfId="24732"/>
    <cellStyle name="Total 14 3 3 2 2 2 2" xfId="45918"/>
    <cellStyle name="Total 14 3 3 2 2 3" xfId="35314"/>
    <cellStyle name="Total 14 3 3 2 3" xfId="19619"/>
    <cellStyle name="Total 14 3 3 2 3 2" xfId="40806"/>
    <cellStyle name="Total 14 3 3 2 4" xfId="30117"/>
    <cellStyle name="Total 14 3 3 2_Table 2A-1_EFT (Annual)" xfId="8577"/>
    <cellStyle name="Total 14 3 3 3" xfId="10069"/>
    <cellStyle name="Total 14 3 3 3 2" xfId="22186"/>
    <cellStyle name="Total 14 3 3 3 2 2" xfId="43372"/>
    <cellStyle name="Total 14 3 3 3 3" xfId="32768"/>
    <cellStyle name="Total 14 3 3 4" xfId="17073"/>
    <cellStyle name="Total 14 3 3 4 2" xfId="38260"/>
    <cellStyle name="Total 14 3 3 5" xfId="27374"/>
    <cellStyle name="Total 14 3 3_Table 2A-1_EFT (Annual)" xfId="8576"/>
    <cellStyle name="Total 14 3 4" xfId="2081"/>
    <cellStyle name="Total 14 3 4 2" xfId="5642"/>
    <cellStyle name="Total 14 3 4 2 2" xfId="13857"/>
    <cellStyle name="Total 14 3 4 2 2 2" xfId="25845"/>
    <cellStyle name="Total 14 3 4 2 2 2 2" xfId="47031"/>
    <cellStyle name="Total 14 3 4 2 2 3" xfId="36427"/>
    <cellStyle name="Total 14 3 4 2 3" xfId="20732"/>
    <cellStyle name="Total 14 3 4 2 3 2" xfId="41919"/>
    <cellStyle name="Total 14 3 4 2 4" xfId="31299"/>
    <cellStyle name="Total 14 3 4 2_Table 2A-1_EFT (Annual)" xfId="8579"/>
    <cellStyle name="Total 14 3 4 3" xfId="11201"/>
    <cellStyle name="Total 14 3 4 3 2" xfId="23299"/>
    <cellStyle name="Total 14 3 4 3 2 2" xfId="44485"/>
    <cellStyle name="Total 14 3 4 3 3" xfId="33881"/>
    <cellStyle name="Total 14 3 4 4" xfId="18186"/>
    <cellStyle name="Total 14 3 4 4 2" xfId="39373"/>
    <cellStyle name="Total 14 3 4 5" xfId="28556"/>
    <cellStyle name="Total 14 3 4_Table 2A-1_EFT (Annual)" xfId="8578"/>
    <cellStyle name="Total 14 3 5" xfId="3929"/>
    <cellStyle name="Total 14 3 5 2" xfId="12257"/>
    <cellStyle name="Total 14 3 5 2 2" xfId="24281"/>
    <cellStyle name="Total 14 3 5 2 2 2" xfId="45467"/>
    <cellStyle name="Total 14 3 5 2 3" xfId="34863"/>
    <cellStyle name="Total 14 3 5 3" xfId="19168"/>
    <cellStyle name="Total 14 3 5 3 2" xfId="40355"/>
    <cellStyle name="Total 14 3 5 4" xfId="29617"/>
    <cellStyle name="Total 14 3 5_Table 2A-1_EFT (Annual)" xfId="8580"/>
    <cellStyle name="Total 14 3 6" xfId="9594"/>
    <cellStyle name="Total 14 3 6 2" xfId="21735"/>
    <cellStyle name="Total 14 3 6 2 2" xfId="42921"/>
    <cellStyle name="Total 14 3 6 3" xfId="32317"/>
    <cellStyle name="Total 14 3 7" xfId="16622"/>
    <cellStyle name="Total 14 3 7 2" xfId="37809"/>
    <cellStyle name="Total 14 3 8" xfId="26874"/>
    <cellStyle name="Total 14 3_Table 2A-1_EFT (Annual)" xfId="3525"/>
    <cellStyle name="Total 14 4" xfId="1176"/>
    <cellStyle name="Total 14 4 2" xfId="2446"/>
    <cellStyle name="Total 14 4 2 2" xfId="6007"/>
    <cellStyle name="Total 14 4 2 2 2" xfId="14201"/>
    <cellStyle name="Total 14 4 2 2 2 2" xfId="26173"/>
    <cellStyle name="Total 14 4 2 2 2 2 2" xfId="47359"/>
    <cellStyle name="Total 14 4 2 2 2 3" xfId="36755"/>
    <cellStyle name="Total 14 4 2 2 3" xfId="21060"/>
    <cellStyle name="Total 14 4 2 2 3 2" xfId="42247"/>
    <cellStyle name="Total 14 4 2 2 4" xfId="31663"/>
    <cellStyle name="Total 14 4 2 2_Table 2A-1_EFT (Annual)" xfId="8583"/>
    <cellStyle name="Total 14 4 2 3" xfId="11543"/>
    <cellStyle name="Total 14 4 2 3 2" xfId="23627"/>
    <cellStyle name="Total 14 4 2 3 2 2" xfId="44813"/>
    <cellStyle name="Total 14 4 2 3 3" xfId="34209"/>
    <cellStyle name="Total 14 4 2 4" xfId="18514"/>
    <cellStyle name="Total 14 4 2 4 2" xfId="39701"/>
    <cellStyle name="Total 14 4 2 5" xfId="28920"/>
    <cellStyle name="Total 14 4 2_Table 2A-1_EFT (Annual)" xfId="8582"/>
    <cellStyle name="Total 14 4 3" xfId="4737"/>
    <cellStyle name="Total 14 4 3 2" xfId="12997"/>
    <cellStyle name="Total 14 4 3 2 2" xfId="25003"/>
    <cellStyle name="Total 14 4 3 2 2 2" xfId="46189"/>
    <cellStyle name="Total 14 4 3 2 3" xfId="35585"/>
    <cellStyle name="Total 14 4 3 3" xfId="19890"/>
    <cellStyle name="Total 14 4 3 3 2" xfId="41077"/>
    <cellStyle name="Total 14 4 3 4" xfId="30394"/>
    <cellStyle name="Total 14 4 3_Table 2A-1_EFT (Annual)" xfId="8584"/>
    <cellStyle name="Total 14 4 4" xfId="10341"/>
    <cellStyle name="Total 14 4 4 2" xfId="22457"/>
    <cellStyle name="Total 14 4 4 2 2" xfId="43643"/>
    <cellStyle name="Total 14 4 4 3" xfId="33039"/>
    <cellStyle name="Total 14 4 5" xfId="17344"/>
    <cellStyle name="Total 14 4 5 2" xfId="38531"/>
    <cellStyle name="Total 14 4 6" xfId="27651"/>
    <cellStyle name="Total 14 4_Table 2A-1_EFT (Annual)" xfId="8581"/>
    <cellStyle name="Total 14 5" xfId="740"/>
    <cellStyle name="Total 14 5 2" xfId="4301"/>
    <cellStyle name="Total 14 5 2 2" xfId="12581"/>
    <cellStyle name="Total 14 5 2 2 2" xfId="24598"/>
    <cellStyle name="Total 14 5 2 2 2 2" xfId="45784"/>
    <cellStyle name="Total 14 5 2 2 3" xfId="35180"/>
    <cellStyle name="Total 14 5 2 3" xfId="19485"/>
    <cellStyle name="Total 14 5 2 3 2" xfId="40672"/>
    <cellStyle name="Total 14 5 2 4" xfId="29958"/>
    <cellStyle name="Total 14 5 2_Table 2A-1_EFT (Annual)" xfId="8586"/>
    <cellStyle name="Total 14 5 3" xfId="9929"/>
    <cellStyle name="Total 14 5 3 2" xfId="22052"/>
    <cellStyle name="Total 14 5 3 2 2" xfId="43238"/>
    <cellStyle name="Total 14 5 3 3" xfId="32634"/>
    <cellStyle name="Total 14 5 4" xfId="16939"/>
    <cellStyle name="Total 14 5 4 2" xfId="38126"/>
    <cellStyle name="Total 14 5 5" xfId="27215"/>
    <cellStyle name="Total 14 5_Table 2A-1_EFT (Annual)" xfId="8585"/>
    <cellStyle name="Total 14 6" xfId="1860"/>
    <cellStyle name="Total 14 6 2" xfId="5421"/>
    <cellStyle name="Total 14 6 2 2" xfId="13636"/>
    <cellStyle name="Total 14 6 2 2 2" xfId="25624"/>
    <cellStyle name="Total 14 6 2 2 2 2" xfId="46810"/>
    <cellStyle name="Total 14 6 2 2 3" xfId="36206"/>
    <cellStyle name="Total 14 6 2 3" xfId="20511"/>
    <cellStyle name="Total 14 6 2 3 2" xfId="41698"/>
    <cellStyle name="Total 14 6 2 4" xfId="31078"/>
    <cellStyle name="Total 14 6 2_Table 2A-1_EFT (Annual)" xfId="8588"/>
    <cellStyle name="Total 14 6 3" xfId="10980"/>
    <cellStyle name="Total 14 6 3 2" xfId="23078"/>
    <cellStyle name="Total 14 6 3 2 2" xfId="44264"/>
    <cellStyle name="Total 14 6 3 3" xfId="33660"/>
    <cellStyle name="Total 14 6 4" xfId="17965"/>
    <cellStyle name="Total 14 6 4 2" xfId="39152"/>
    <cellStyle name="Total 14 6 5" xfId="28335"/>
    <cellStyle name="Total 14 6_Table 2A-1_EFT (Annual)" xfId="8587"/>
    <cellStyle name="Total 14 7" xfId="3717"/>
    <cellStyle name="Total 14 7 2" xfId="12085"/>
    <cellStyle name="Total 14 7 2 2" xfId="24115"/>
    <cellStyle name="Total 14 7 2 2 2" xfId="45301"/>
    <cellStyle name="Total 14 7 2 3" xfId="34697"/>
    <cellStyle name="Total 14 7 3" xfId="19002"/>
    <cellStyle name="Total 14 7 3 2" xfId="40189"/>
    <cellStyle name="Total 14 7 4" xfId="29426"/>
    <cellStyle name="Total 14 7_Table 2A-1_EFT (Annual)" xfId="8589"/>
    <cellStyle name="Total 14 8" xfId="9404"/>
    <cellStyle name="Total 14 8 2" xfId="21569"/>
    <cellStyle name="Total 14 8 2 2" xfId="42755"/>
    <cellStyle name="Total 14 8 3" xfId="32151"/>
    <cellStyle name="Total 14 9" xfId="16456"/>
    <cellStyle name="Total 14 9 2" xfId="37643"/>
    <cellStyle name="Total 14_Table 2A-1_EFT (Annual)" xfId="3523"/>
    <cellStyle name="Total 15" xfId="141"/>
    <cellStyle name="Total 15 10" xfId="26696"/>
    <cellStyle name="Total 15 2" xfId="534"/>
    <cellStyle name="Total 15 2 2" xfId="1511"/>
    <cellStyle name="Total 15 2 2 2" xfId="2781"/>
    <cellStyle name="Total 15 2 2 2 2" xfId="6342"/>
    <cellStyle name="Total 15 2 2 2 2 2" xfId="14536"/>
    <cellStyle name="Total 15 2 2 2 2 2 2" xfId="26508"/>
    <cellStyle name="Total 15 2 2 2 2 2 2 2" xfId="47694"/>
    <cellStyle name="Total 15 2 2 2 2 2 3" xfId="37090"/>
    <cellStyle name="Total 15 2 2 2 2 3" xfId="21395"/>
    <cellStyle name="Total 15 2 2 2 2 3 2" xfId="42582"/>
    <cellStyle name="Total 15 2 2 2 2 4" xfId="31998"/>
    <cellStyle name="Total 15 2 2 2 2_Table 2A-1_EFT (Annual)" xfId="8592"/>
    <cellStyle name="Total 15 2 2 2 3" xfId="11878"/>
    <cellStyle name="Total 15 2 2 2 3 2" xfId="23962"/>
    <cellStyle name="Total 15 2 2 2 3 2 2" xfId="45148"/>
    <cellStyle name="Total 15 2 2 2 3 3" xfId="34544"/>
    <cellStyle name="Total 15 2 2 2 4" xfId="18849"/>
    <cellStyle name="Total 15 2 2 2 4 2" xfId="40036"/>
    <cellStyle name="Total 15 2 2 2 5" xfId="29255"/>
    <cellStyle name="Total 15 2 2 2_Table 2A-1_EFT (Annual)" xfId="8591"/>
    <cellStyle name="Total 15 2 2 3" xfId="5072"/>
    <cellStyle name="Total 15 2 2 3 2" xfId="13332"/>
    <cellStyle name="Total 15 2 2 3 2 2" xfId="25338"/>
    <cellStyle name="Total 15 2 2 3 2 2 2" xfId="46524"/>
    <cellStyle name="Total 15 2 2 3 2 3" xfId="35920"/>
    <cellStyle name="Total 15 2 2 3 3" xfId="20225"/>
    <cellStyle name="Total 15 2 2 3 3 2" xfId="41412"/>
    <cellStyle name="Total 15 2 2 3 4" xfId="30729"/>
    <cellStyle name="Total 15 2 2 3_Table 2A-1_EFT (Annual)" xfId="8593"/>
    <cellStyle name="Total 15 2 2 4" xfId="10676"/>
    <cellStyle name="Total 15 2 2 4 2" xfId="22792"/>
    <cellStyle name="Total 15 2 2 4 2 2" xfId="43978"/>
    <cellStyle name="Total 15 2 2 4 3" xfId="33374"/>
    <cellStyle name="Total 15 2 2 5" xfId="17679"/>
    <cellStyle name="Total 15 2 2 5 2" xfId="38866"/>
    <cellStyle name="Total 15 2 2 6" xfId="27986"/>
    <cellStyle name="Total 15 2 2_Table 2A-1_EFT (Annual)" xfId="8590"/>
    <cellStyle name="Total 15 2 3" xfId="1043"/>
    <cellStyle name="Total 15 2 3 2" xfId="4604"/>
    <cellStyle name="Total 15 2 3 2 2" xfId="12864"/>
    <cellStyle name="Total 15 2 3 2 2 2" xfId="24870"/>
    <cellStyle name="Total 15 2 3 2 2 2 2" xfId="46056"/>
    <cellStyle name="Total 15 2 3 2 2 3" xfId="35452"/>
    <cellStyle name="Total 15 2 3 2 3" xfId="19757"/>
    <cellStyle name="Total 15 2 3 2 3 2" xfId="40944"/>
    <cellStyle name="Total 15 2 3 2 4" xfId="30261"/>
    <cellStyle name="Total 15 2 3 2_Table 2A-1_EFT (Annual)" xfId="8595"/>
    <cellStyle name="Total 15 2 3 3" xfId="10208"/>
    <cellStyle name="Total 15 2 3 3 2" xfId="22324"/>
    <cellStyle name="Total 15 2 3 3 2 2" xfId="43510"/>
    <cellStyle name="Total 15 2 3 3 3" xfId="32906"/>
    <cellStyle name="Total 15 2 3 4" xfId="17211"/>
    <cellStyle name="Total 15 2 3 4 2" xfId="38398"/>
    <cellStyle name="Total 15 2 3 5" xfId="27518"/>
    <cellStyle name="Total 15 2 3_Table 2A-1_EFT (Annual)" xfId="8594"/>
    <cellStyle name="Total 15 2 4" xfId="2250"/>
    <cellStyle name="Total 15 2 4 2" xfId="5811"/>
    <cellStyle name="Total 15 2 4 2 2" xfId="14026"/>
    <cellStyle name="Total 15 2 4 2 2 2" xfId="26014"/>
    <cellStyle name="Total 15 2 4 2 2 2 2" xfId="47200"/>
    <cellStyle name="Total 15 2 4 2 2 3" xfId="36596"/>
    <cellStyle name="Total 15 2 4 2 3" xfId="20901"/>
    <cellStyle name="Total 15 2 4 2 3 2" xfId="42088"/>
    <cellStyle name="Total 15 2 4 2 4" xfId="31468"/>
    <cellStyle name="Total 15 2 4 2_Table 2A-1_EFT (Annual)" xfId="8597"/>
    <cellStyle name="Total 15 2 4 3" xfId="11370"/>
    <cellStyle name="Total 15 2 4 3 2" xfId="23468"/>
    <cellStyle name="Total 15 2 4 3 2 2" xfId="44654"/>
    <cellStyle name="Total 15 2 4 3 3" xfId="34050"/>
    <cellStyle name="Total 15 2 4 4" xfId="18355"/>
    <cellStyle name="Total 15 2 4 4 2" xfId="39542"/>
    <cellStyle name="Total 15 2 4 5" xfId="28725"/>
    <cellStyle name="Total 15 2 4_Table 2A-1_EFT (Annual)" xfId="8596"/>
    <cellStyle name="Total 15 2 5" xfId="4104"/>
    <cellStyle name="Total 15 2 5 2" xfId="12428"/>
    <cellStyle name="Total 15 2 5 2 2" xfId="24450"/>
    <cellStyle name="Total 15 2 5 2 2 2" xfId="45636"/>
    <cellStyle name="Total 15 2 5 2 3" xfId="35032"/>
    <cellStyle name="Total 15 2 5 3" xfId="19337"/>
    <cellStyle name="Total 15 2 5 3 2" xfId="40524"/>
    <cellStyle name="Total 15 2 5 4" xfId="29792"/>
    <cellStyle name="Total 15 2 5_Table 2A-1_EFT (Annual)" xfId="8598"/>
    <cellStyle name="Total 15 2 6" xfId="9767"/>
    <cellStyle name="Total 15 2 6 2" xfId="21904"/>
    <cellStyle name="Total 15 2 6 2 2" xfId="43090"/>
    <cellStyle name="Total 15 2 6 3" xfId="32486"/>
    <cellStyle name="Total 15 2 7" xfId="16791"/>
    <cellStyle name="Total 15 2 7 2" xfId="37978"/>
    <cellStyle name="Total 15 2 8" xfId="27049"/>
    <cellStyle name="Total 15 2_Table 2A-1_EFT (Annual)" xfId="3527"/>
    <cellStyle name="Total 15 3" xfId="372"/>
    <cellStyle name="Total 15 3 2" xfId="1355"/>
    <cellStyle name="Total 15 3 2 2" xfId="2625"/>
    <cellStyle name="Total 15 3 2 2 2" xfId="6186"/>
    <cellStyle name="Total 15 3 2 2 2 2" xfId="14380"/>
    <cellStyle name="Total 15 3 2 2 2 2 2" xfId="26352"/>
    <cellStyle name="Total 15 3 2 2 2 2 2 2" xfId="47538"/>
    <cellStyle name="Total 15 3 2 2 2 2 3" xfId="36934"/>
    <cellStyle name="Total 15 3 2 2 2 3" xfId="21239"/>
    <cellStyle name="Total 15 3 2 2 2 3 2" xfId="42426"/>
    <cellStyle name="Total 15 3 2 2 2 4" xfId="31842"/>
    <cellStyle name="Total 15 3 2 2 2_Table 2A-1_EFT (Annual)" xfId="8601"/>
    <cellStyle name="Total 15 3 2 2 3" xfId="11722"/>
    <cellStyle name="Total 15 3 2 2 3 2" xfId="23806"/>
    <cellStyle name="Total 15 3 2 2 3 2 2" xfId="44992"/>
    <cellStyle name="Total 15 3 2 2 3 3" xfId="34388"/>
    <cellStyle name="Total 15 3 2 2 4" xfId="18693"/>
    <cellStyle name="Total 15 3 2 2 4 2" xfId="39880"/>
    <cellStyle name="Total 15 3 2 2 5" xfId="29099"/>
    <cellStyle name="Total 15 3 2 2_Table 2A-1_EFT (Annual)" xfId="8600"/>
    <cellStyle name="Total 15 3 2 3" xfId="4916"/>
    <cellStyle name="Total 15 3 2 3 2" xfId="13176"/>
    <cellStyle name="Total 15 3 2 3 2 2" xfId="25182"/>
    <cellStyle name="Total 15 3 2 3 2 2 2" xfId="46368"/>
    <cellStyle name="Total 15 3 2 3 2 3" xfId="35764"/>
    <cellStyle name="Total 15 3 2 3 3" xfId="20069"/>
    <cellStyle name="Total 15 3 2 3 3 2" xfId="41256"/>
    <cellStyle name="Total 15 3 2 3 4" xfId="30573"/>
    <cellStyle name="Total 15 3 2 3_Table 2A-1_EFT (Annual)" xfId="8602"/>
    <cellStyle name="Total 15 3 2 4" xfId="10520"/>
    <cellStyle name="Total 15 3 2 4 2" xfId="22636"/>
    <cellStyle name="Total 15 3 2 4 2 2" xfId="43822"/>
    <cellStyle name="Total 15 3 2 4 3" xfId="33218"/>
    <cellStyle name="Total 15 3 2 5" xfId="17523"/>
    <cellStyle name="Total 15 3 2 5 2" xfId="38710"/>
    <cellStyle name="Total 15 3 2 6" xfId="27830"/>
    <cellStyle name="Total 15 3 2_Table 2A-1_EFT (Annual)" xfId="8599"/>
    <cellStyle name="Total 15 3 3" xfId="911"/>
    <cellStyle name="Total 15 3 3 2" xfId="4472"/>
    <cellStyle name="Total 15 3 3 2 2" xfId="12734"/>
    <cellStyle name="Total 15 3 3 2 2 2" xfId="24744"/>
    <cellStyle name="Total 15 3 3 2 2 2 2" xfId="45930"/>
    <cellStyle name="Total 15 3 3 2 2 3" xfId="35326"/>
    <cellStyle name="Total 15 3 3 2 3" xfId="19631"/>
    <cellStyle name="Total 15 3 3 2 3 2" xfId="40818"/>
    <cellStyle name="Total 15 3 3 2 4" xfId="30129"/>
    <cellStyle name="Total 15 3 3 2_Table 2A-1_EFT (Annual)" xfId="8604"/>
    <cellStyle name="Total 15 3 3 3" xfId="10081"/>
    <cellStyle name="Total 15 3 3 3 2" xfId="22198"/>
    <cellStyle name="Total 15 3 3 3 2 2" xfId="43384"/>
    <cellStyle name="Total 15 3 3 3 3" xfId="32780"/>
    <cellStyle name="Total 15 3 3 4" xfId="17085"/>
    <cellStyle name="Total 15 3 3 4 2" xfId="38272"/>
    <cellStyle name="Total 15 3 3 5" xfId="27386"/>
    <cellStyle name="Total 15 3 3_Table 2A-1_EFT (Annual)" xfId="8603"/>
    <cellStyle name="Total 15 3 4" xfId="2094"/>
    <cellStyle name="Total 15 3 4 2" xfId="5655"/>
    <cellStyle name="Total 15 3 4 2 2" xfId="13870"/>
    <cellStyle name="Total 15 3 4 2 2 2" xfId="25858"/>
    <cellStyle name="Total 15 3 4 2 2 2 2" xfId="47044"/>
    <cellStyle name="Total 15 3 4 2 2 3" xfId="36440"/>
    <cellStyle name="Total 15 3 4 2 3" xfId="20745"/>
    <cellStyle name="Total 15 3 4 2 3 2" xfId="41932"/>
    <cellStyle name="Total 15 3 4 2 4" xfId="31312"/>
    <cellStyle name="Total 15 3 4 2_Table 2A-1_EFT (Annual)" xfId="8606"/>
    <cellStyle name="Total 15 3 4 3" xfId="11214"/>
    <cellStyle name="Total 15 3 4 3 2" xfId="23312"/>
    <cellStyle name="Total 15 3 4 3 2 2" xfId="44498"/>
    <cellStyle name="Total 15 3 4 3 3" xfId="33894"/>
    <cellStyle name="Total 15 3 4 4" xfId="18199"/>
    <cellStyle name="Total 15 3 4 4 2" xfId="39386"/>
    <cellStyle name="Total 15 3 4 5" xfId="28569"/>
    <cellStyle name="Total 15 3 4_Table 2A-1_EFT (Annual)" xfId="8605"/>
    <cellStyle name="Total 15 3 5" xfId="3942"/>
    <cellStyle name="Total 15 3 5 2" xfId="12270"/>
    <cellStyle name="Total 15 3 5 2 2" xfId="24294"/>
    <cellStyle name="Total 15 3 5 2 2 2" xfId="45480"/>
    <cellStyle name="Total 15 3 5 2 3" xfId="34876"/>
    <cellStyle name="Total 15 3 5 3" xfId="19181"/>
    <cellStyle name="Total 15 3 5 3 2" xfId="40368"/>
    <cellStyle name="Total 15 3 5 4" xfId="29630"/>
    <cellStyle name="Total 15 3 5_Table 2A-1_EFT (Annual)" xfId="8607"/>
    <cellStyle name="Total 15 3 6" xfId="9607"/>
    <cellStyle name="Total 15 3 6 2" xfId="21748"/>
    <cellStyle name="Total 15 3 6 2 2" xfId="42934"/>
    <cellStyle name="Total 15 3 6 3" xfId="32330"/>
    <cellStyle name="Total 15 3 7" xfId="16635"/>
    <cellStyle name="Total 15 3 7 2" xfId="37822"/>
    <cellStyle name="Total 15 3 8" xfId="26887"/>
    <cellStyle name="Total 15 3_Table 2A-1_EFT (Annual)" xfId="3528"/>
    <cellStyle name="Total 15 4" xfId="1189"/>
    <cellStyle name="Total 15 4 2" xfId="2459"/>
    <cellStyle name="Total 15 4 2 2" xfId="6020"/>
    <cellStyle name="Total 15 4 2 2 2" xfId="14214"/>
    <cellStyle name="Total 15 4 2 2 2 2" xfId="26186"/>
    <cellStyle name="Total 15 4 2 2 2 2 2" xfId="47372"/>
    <cellStyle name="Total 15 4 2 2 2 3" xfId="36768"/>
    <cellStyle name="Total 15 4 2 2 3" xfId="21073"/>
    <cellStyle name="Total 15 4 2 2 3 2" xfId="42260"/>
    <cellStyle name="Total 15 4 2 2 4" xfId="31676"/>
    <cellStyle name="Total 15 4 2 2_Table 2A-1_EFT (Annual)" xfId="8610"/>
    <cellStyle name="Total 15 4 2 3" xfId="11556"/>
    <cellStyle name="Total 15 4 2 3 2" xfId="23640"/>
    <cellStyle name="Total 15 4 2 3 2 2" xfId="44826"/>
    <cellStyle name="Total 15 4 2 3 3" xfId="34222"/>
    <cellStyle name="Total 15 4 2 4" xfId="18527"/>
    <cellStyle name="Total 15 4 2 4 2" xfId="39714"/>
    <cellStyle name="Total 15 4 2 5" xfId="28933"/>
    <cellStyle name="Total 15 4 2_Table 2A-1_EFT (Annual)" xfId="8609"/>
    <cellStyle name="Total 15 4 3" xfId="4750"/>
    <cellStyle name="Total 15 4 3 2" xfId="13010"/>
    <cellStyle name="Total 15 4 3 2 2" xfId="25016"/>
    <cellStyle name="Total 15 4 3 2 2 2" xfId="46202"/>
    <cellStyle name="Total 15 4 3 2 3" xfId="35598"/>
    <cellStyle name="Total 15 4 3 3" xfId="19903"/>
    <cellStyle name="Total 15 4 3 3 2" xfId="41090"/>
    <cellStyle name="Total 15 4 3 4" xfId="30407"/>
    <cellStyle name="Total 15 4 3_Table 2A-1_EFT (Annual)" xfId="8611"/>
    <cellStyle name="Total 15 4 4" xfId="10354"/>
    <cellStyle name="Total 15 4 4 2" xfId="22470"/>
    <cellStyle name="Total 15 4 4 2 2" xfId="43656"/>
    <cellStyle name="Total 15 4 4 3" xfId="33052"/>
    <cellStyle name="Total 15 4 5" xfId="17357"/>
    <cellStyle name="Total 15 4 5 2" xfId="38544"/>
    <cellStyle name="Total 15 4 6" xfId="27664"/>
    <cellStyle name="Total 15 4_Table 2A-1_EFT (Annual)" xfId="8608"/>
    <cellStyle name="Total 15 5" xfId="752"/>
    <cellStyle name="Total 15 5 2" xfId="4313"/>
    <cellStyle name="Total 15 5 2 2" xfId="12593"/>
    <cellStyle name="Total 15 5 2 2 2" xfId="24610"/>
    <cellStyle name="Total 15 5 2 2 2 2" xfId="45796"/>
    <cellStyle name="Total 15 5 2 2 3" xfId="35192"/>
    <cellStyle name="Total 15 5 2 3" xfId="19497"/>
    <cellStyle name="Total 15 5 2 3 2" xfId="40684"/>
    <cellStyle name="Total 15 5 2 4" xfId="29970"/>
    <cellStyle name="Total 15 5 2_Table 2A-1_EFT (Annual)" xfId="8613"/>
    <cellStyle name="Total 15 5 3" xfId="9941"/>
    <cellStyle name="Total 15 5 3 2" xfId="22064"/>
    <cellStyle name="Total 15 5 3 2 2" xfId="43250"/>
    <cellStyle name="Total 15 5 3 3" xfId="32646"/>
    <cellStyle name="Total 15 5 4" xfId="16951"/>
    <cellStyle name="Total 15 5 4 2" xfId="38138"/>
    <cellStyle name="Total 15 5 5" xfId="27227"/>
    <cellStyle name="Total 15 5_Table 2A-1_EFT (Annual)" xfId="8612"/>
    <cellStyle name="Total 15 6" xfId="1786"/>
    <cellStyle name="Total 15 6 2" xfId="5347"/>
    <cellStyle name="Total 15 6 2 2" xfId="13562"/>
    <cellStyle name="Total 15 6 2 2 2" xfId="25550"/>
    <cellStyle name="Total 15 6 2 2 2 2" xfId="46736"/>
    <cellStyle name="Total 15 6 2 2 3" xfId="36132"/>
    <cellStyle name="Total 15 6 2 3" xfId="20437"/>
    <cellStyle name="Total 15 6 2 3 2" xfId="41624"/>
    <cellStyle name="Total 15 6 2 4" xfId="31004"/>
    <cellStyle name="Total 15 6 2_Table 2A-1_EFT (Annual)" xfId="8615"/>
    <cellStyle name="Total 15 6 3" xfId="10906"/>
    <cellStyle name="Total 15 6 3 2" xfId="23004"/>
    <cellStyle name="Total 15 6 3 2 2" xfId="44190"/>
    <cellStyle name="Total 15 6 3 3" xfId="33586"/>
    <cellStyle name="Total 15 6 4" xfId="17891"/>
    <cellStyle name="Total 15 6 4 2" xfId="39078"/>
    <cellStyle name="Total 15 6 5" xfId="28261"/>
    <cellStyle name="Total 15 6_Table 2A-1_EFT (Annual)" xfId="8614"/>
    <cellStyle name="Total 15 7" xfId="3730"/>
    <cellStyle name="Total 15 7 2" xfId="12098"/>
    <cellStyle name="Total 15 7 2 2" xfId="24128"/>
    <cellStyle name="Total 15 7 2 2 2" xfId="45314"/>
    <cellStyle name="Total 15 7 2 3" xfId="34710"/>
    <cellStyle name="Total 15 7 3" xfId="19015"/>
    <cellStyle name="Total 15 7 3 2" xfId="40202"/>
    <cellStyle name="Total 15 7 4" xfId="29439"/>
    <cellStyle name="Total 15 7_Table 2A-1_EFT (Annual)" xfId="8616"/>
    <cellStyle name="Total 15 8" xfId="9417"/>
    <cellStyle name="Total 15 8 2" xfId="21582"/>
    <cellStyle name="Total 15 8 2 2" xfId="42768"/>
    <cellStyle name="Total 15 8 3" xfId="32164"/>
    <cellStyle name="Total 15 9" xfId="16469"/>
    <cellStyle name="Total 15 9 2" xfId="37656"/>
    <cellStyle name="Total 15_Table 2A-1_EFT (Annual)" xfId="3526"/>
    <cellStyle name="Total 16" xfId="160"/>
    <cellStyle name="Total 16 10" xfId="26715"/>
    <cellStyle name="Total 16 2" xfId="553"/>
    <cellStyle name="Total 16 2 2" xfId="1530"/>
    <cellStyle name="Total 16 2 2 2" xfId="2800"/>
    <cellStyle name="Total 16 2 2 2 2" xfId="6361"/>
    <cellStyle name="Total 16 2 2 2 2 2" xfId="14555"/>
    <cellStyle name="Total 16 2 2 2 2 2 2" xfId="26527"/>
    <cellStyle name="Total 16 2 2 2 2 2 2 2" xfId="47713"/>
    <cellStyle name="Total 16 2 2 2 2 2 3" xfId="37109"/>
    <cellStyle name="Total 16 2 2 2 2 3" xfId="21414"/>
    <cellStyle name="Total 16 2 2 2 2 3 2" xfId="42601"/>
    <cellStyle name="Total 16 2 2 2 2 4" xfId="32017"/>
    <cellStyle name="Total 16 2 2 2 2_Table 2A-1_EFT (Annual)" xfId="8619"/>
    <cellStyle name="Total 16 2 2 2 3" xfId="11897"/>
    <cellStyle name="Total 16 2 2 2 3 2" xfId="23981"/>
    <cellStyle name="Total 16 2 2 2 3 2 2" xfId="45167"/>
    <cellStyle name="Total 16 2 2 2 3 3" xfId="34563"/>
    <cellStyle name="Total 16 2 2 2 4" xfId="18868"/>
    <cellStyle name="Total 16 2 2 2 4 2" xfId="40055"/>
    <cellStyle name="Total 16 2 2 2 5" xfId="29274"/>
    <cellStyle name="Total 16 2 2 2_Table 2A-1_EFT (Annual)" xfId="8618"/>
    <cellStyle name="Total 16 2 2 3" xfId="5091"/>
    <cellStyle name="Total 16 2 2 3 2" xfId="13351"/>
    <cellStyle name="Total 16 2 2 3 2 2" xfId="25357"/>
    <cellStyle name="Total 16 2 2 3 2 2 2" xfId="46543"/>
    <cellStyle name="Total 16 2 2 3 2 3" xfId="35939"/>
    <cellStyle name="Total 16 2 2 3 3" xfId="20244"/>
    <cellStyle name="Total 16 2 2 3 3 2" xfId="41431"/>
    <cellStyle name="Total 16 2 2 3 4" xfId="30748"/>
    <cellStyle name="Total 16 2 2 3_Table 2A-1_EFT (Annual)" xfId="8620"/>
    <cellStyle name="Total 16 2 2 4" xfId="10695"/>
    <cellStyle name="Total 16 2 2 4 2" xfId="22811"/>
    <cellStyle name="Total 16 2 2 4 2 2" xfId="43997"/>
    <cellStyle name="Total 16 2 2 4 3" xfId="33393"/>
    <cellStyle name="Total 16 2 2 5" xfId="17698"/>
    <cellStyle name="Total 16 2 2 5 2" xfId="38885"/>
    <cellStyle name="Total 16 2 2 6" xfId="28005"/>
    <cellStyle name="Total 16 2 2_Table 2A-1_EFT (Annual)" xfId="8617"/>
    <cellStyle name="Total 16 2 3" xfId="1058"/>
    <cellStyle name="Total 16 2 3 2" xfId="4619"/>
    <cellStyle name="Total 16 2 3 2 2" xfId="12879"/>
    <cellStyle name="Total 16 2 3 2 2 2" xfId="24885"/>
    <cellStyle name="Total 16 2 3 2 2 2 2" xfId="46071"/>
    <cellStyle name="Total 16 2 3 2 2 3" xfId="35467"/>
    <cellStyle name="Total 16 2 3 2 3" xfId="19772"/>
    <cellStyle name="Total 16 2 3 2 3 2" xfId="40959"/>
    <cellStyle name="Total 16 2 3 2 4" xfId="30276"/>
    <cellStyle name="Total 16 2 3 2_Table 2A-1_EFT (Annual)" xfId="8622"/>
    <cellStyle name="Total 16 2 3 3" xfId="10223"/>
    <cellStyle name="Total 16 2 3 3 2" xfId="22339"/>
    <cellStyle name="Total 16 2 3 3 2 2" xfId="43525"/>
    <cellStyle name="Total 16 2 3 3 3" xfId="32921"/>
    <cellStyle name="Total 16 2 3 4" xfId="17226"/>
    <cellStyle name="Total 16 2 3 4 2" xfId="38413"/>
    <cellStyle name="Total 16 2 3 5" xfId="27533"/>
    <cellStyle name="Total 16 2 3_Table 2A-1_EFT (Annual)" xfId="8621"/>
    <cellStyle name="Total 16 2 4" xfId="2269"/>
    <cellStyle name="Total 16 2 4 2" xfId="5830"/>
    <cellStyle name="Total 16 2 4 2 2" xfId="14045"/>
    <cellStyle name="Total 16 2 4 2 2 2" xfId="26033"/>
    <cellStyle name="Total 16 2 4 2 2 2 2" xfId="47219"/>
    <cellStyle name="Total 16 2 4 2 2 3" xfId="36615"/>
    <cellStyle name="Total 16 2 4 2 3" xfId="20920"/>
    <cellStyle name="Total 16 2 4 2 3 2" xfId="42107"/>
    <cellStyle name="Total 16 2 4 2 4" xfId="31487"/>
    <cellStyle name="Total 16 2 4 2_Table 2A-1_EFT (Annual)" xfId="8624"/>
    <cellStyle name="Total 16 2 4 3" xfId="11389"/>
    <cellStyle name="Total 16 2 4 3 2" xfId="23487"/>
    <cellStyle name="Total 16 2 4 3 2 2" xfId="44673"/>
    <cellStyle name="Total 16 2 4 3 3" xfId="34069"/>
    <cellStyle name="Total 16 2 4 4" xfId="18374"/>
    <cellStyle name="Total 16 2 4 4 2" xfId="39561"/>
    <cellStyle name="Total 16 2 4 5" xfId="28744"/>
    <cellStyle name="Total 16 2 4_Table 2A-1_EFT (Annual)" xfId="8623"/>
    <cellStyle name="Total 16 2 5" xfId="4123"/>
    <cellStyle name="Total 16 2 5 2" xfId="12447"/>
    <cellStyle name="Total 16 2 5 2 2" xfId="24469"/>
    <cellStyle name="Total 16 2 5 2 2 2" xfId="45655"/>
    <cellStyle name="Total 16 2 5 2 3" xfId="35051"/>
    <cellStyle name="Total 16 2 5 3" xfId="19356"/>
    <cellStyle name="Total 16 2 5 3 2" xfId="40543"/>
    <cellStyle name="Total 16 2 5 4" xfId="29811"/>
    <cellStyle name="Total 16 2 5_Table 2A-1_EFT (Annual)" xfId="8625"/>
    <cellStyle name="Total 16 2 6" xfId="9786"/>
    <cellStyle name="Total 16 2 6 2" xfId="21923"/>
    <cellStyle name="Total 16 2 6 2 2" xfId="43109"/>
    <cellStyle name="Total 16 2 6 3" xfId="32505"/>
    <cellStyle name="Total 16 2 7" xfId="16810"/>
    <cellStyle name="Total 16 2 7 2" xfId="37997"/>
    <cellStyle name="Total 16 2 8" xfId="27068"/>
    <cellStyle name="Total 16 2_Table 2A-1_EFT (Annual)" xfId="3530"/>
    <cellStyle name="Total 16 3" xfId="391"/>
    <cellStyle name="Total 16 3 2" xfId="1374"/>
    <cellStyle name="Total 16 3 2 2" xfId="2644"/>
    <cellStyle name="Total 16 3 2 2 2" xfId="6205"/>
    <cellStyle name="Total 16 3 2 2 2 2" xfId="14399"/>
    <cellStyle name="Total 16 3 2 2 2 2 2" xfId="26371"/>
    <cellStyle name="Total 16 3 2 2 2 2 2 2" xfId="47557"/>
    <cellStyle name="Total 16 3 2 2 2 2 3" xfId="36953"/>
    <cellStyle name="Total 16 3 2 2 2 3" xfId="21258"/>
    <cellStyle name="Total 16 3 2 2 2 3 2" xfId="42445"/>
    <cellStyle name="Total 16 3 2 2 2 4" xfId="31861"/>
    <cellStyle name="Total 16 3 2 2 2_Table 2A-1_EFT (Annual)" xfId="8628"/>
    <cellStyle name="Total 16 3 2 2 3" xfId="11741"/>
    <cellStyle name="Total 16 3 2 2 3 2" xfId="23825"/>
    <cellStyle name="Total 16 3 2 2 3 2 2" xfId="45011"/>
    <cellStyle name="Total 16 3 2 2 3 3" xfId="34407"/>
    <cellStyle name="Total 16 3 2 2 4" xfId="18712"/>
    <cellStyle name="Total 16 3 2 2 4 2" xfId="39899"/>
    <cellStyle name="Total 16 3 2 2 5" xfId="29118"/>
    <cellStyle name="Total 16 3 2 2_Table 2A-1_EFT (Annual)" xfId="8627"/>
    <cellStyle name="Total 16 3 2 3" xfId="4935"/>
    <cellStyle name="Total 16 3 2 3 2" xfId="13195"/>
    <cellStyle name="Total 16 3 2 3 2 2" xfId="25201"/>
    <cellStyle name="Total 16 3 2 3 2 2 2" xfId="46387"/>
    <cellStyle name="Total 16 3 2 3 2 3" xfId="35783"/>
    <cellStyle name="Total 16 3 2 3 3" xfId="20088"/>
    <cellStyle name="Total 16 3 2 3 3 2" xfId="41275"/>
    <cellStyle name="Total 16 3 2 3 4" xfId="30592"/>
    <cellStyle name="Total 16 3 2 3_Table 2A-1_EFT (Annual)" xfId="8629"/>
    <cellStyle name="Total 16 3 2 4" xfId="10539"/>
    <cellStyle name="Total 16 3 2 4 2" xfId="22655"/>
    <cellStyle name="Total 16 3 2 4 2 2" xfId="43841"/>
    <cellStyle name="Total 16 3 2 4 3" xfId="33237"/>
    <cellStyle name="Total 16 3 2 5" xfId="17542"/>
    <cellStyle name="Total 16 3 2 5 2" xfId="38729"/>
    <cellStyle name="Total 16 3 2 6" xfId="27849"/>
    <cellStyle name="Total 16 3 2_Table 2A-1_EFT (Annual)" xfId="8626"/>
    <cellStyle name="Total 16 3 3" xfId="926"/>
    <cellStyle name="Total 16 3 3 2" xfId="4487"/>
    <cellStyle name="Total 16 3 3 2 2" xfId="12749"/>
    <cellStyle name="Total 16 3 3 2 2 2" xfId="24759"/>
    <cellStyle name="Total 16 3 3 2 2 2 2" xfId="45945"/>
    <cellStyle name="Total 16 3 3 2 2 3" xfId="35341"/>
    <cellStyle name="Total 16 3 3 2 3" xfId="19646"/>
    <cellStyle name="Total 16 3 3 2 3 2" xfId="40833"/>
    <cellStyle name="Total 16 3 3 2 4" xfId="30144"/>
    <cellStyle name="Total 16 3 3 2_Table 2A-1_EFT (Annual)" xfId="8631"/>
    <cellStyle name="Total 16 3 3 3" xfId="10096"/>
    <cellStyle name="Total 16 3 3 3 2" xfId="22213"/>
    <cellStyle name="Total 16 3 3 3 2 2" xfId="43399"/>
    <cellStyle name="Total 16 3 3 3 3" xfId="32795"/>
    <cellStyle name="Total 16 3 3 4" xfId="17100"/>
    <cellStyle name="Total 16 3 3 4 2" xfId="38287"/>
    <cellStyle name="Total 16 3 3 5" xfId="27401"/>
    <cellStyle name="Total 16 3 3_Table 2A-1_EFT (Annual)" xfId="8630"/>
    <cellStyle name="Total 16 3 4" xfId="2113"/>
    <cellStyle name="Total 16 3 4 2" xfId="5674"/>
    <cellStyle name="Total 16 3 4 2 2" xfId="13889"/>
    <cellStyle name="Total 16 3 4 2 2 2" xfId="25877"/>
    <cellStyle name="Total 16 3 4 2 2 2 2" xfId="47063"/>
    <cellStyle name="Total 16 3 4 2 2 3" xfId="36459"/>
    <cellStyle name="Total 16 3 4 2 3" xfId="20764"/>
    <cellStyle name="Total 16 3 4 2 3 2" xfId="41951"/>
    <cellStyle name="Total 16 3 4 2 4" xfId="31331"/>
    <cellStyle name="Total 16 3 4 2_Table 2A-1_EFT (Annual)" xfId="8633"/>
    <cellStyle name="Total 16 3 4 3" xfId="11233"/>
    <cellStyle name="Total 16 3 4 3 2" xfId="23331"/>
    <cellStyle name="Total 16 3 4 3 2 2" xfId="44517"/>
    <cellStyle name="Total 16 3 4 3 3" xfId="33913"/>
    <cellStyle name="Total 16 3 4 4" xfId="18218"/>
    <cellStyle name="Total 16 3 4 4 2" xfId="39405"/>
    <cellStyle name="Total 16 3 4 5" xfId="28588"/>
    <cellStyle name="Total 16 3 4_Table 2A-1_EFT (Annual)" xfId="8632"/>
    <cellStyle name="Total 16 3 5" xfId="3961"/>
    <cellStyle name="Total 16 3 5 2" xfId="12289"/>
    <cellStyle name="Total 16 3 5 2 2" xfId="24313"/>
    <cellStyle name="Total 16 3 5 2 2 2" xfId="45499"/>
    <cellStyle name="Total 16 3 5 2 3" xfId="34895"/>
    <cellStyle name="Total 16 3 5 3" xfId="19200"/>
    <cellStyle name="Total 16 3 5 3 2" xfId="40387"/>
    <cellStyle name="Total 16 3 5 4" xfId="29649"/>
    <cellStyle name="Total 16 3 5_Table 2A-1_EFT (Annual)" xfId="8634"/>
    <cellStyle name="Total 16 3 6" xfId="9626"/>
    <cellStyle name="Total 16 3 6 2" xfId="21767"/>
    <cellStyle name="Total 16 3 6 2 2" xfId="42953"/>
    <cellStyle name="Total 16 3 6 3" xfId="32349"/>
    <cellStyle name="Total 16 3 7" xfId="16654"/>
    <cellStyle name="Total 16 3 7 2" xfId="37841"/>
    <cellStyle name="Total 16 3 8" xfId="26906"/>
    <cellStyle name="Total 16 3_Table 2A-1_EFT (Annual)" xfId="3531"/>
    <cellStyle name="Total 16 4" xfId="1208"/>
    <cellStyle name="Total 16 4 2" xfId="2478"/>
    <cellStyle name="Total 16 4 2 2" xfId="6039"/>
    <cellStyle name="Total 16 4 2 2 2" xfId="14233"/>
    <cellStyle name="Total 16 4 2 2 2 2" xfId="26205"/>
    <cellStyle name="Total 16 4 2 2 2 2 2" xfId="47391"/>
    <cellStyle name="Total 16 4 2 2 2 3" xfId="36787"/>
    <cellStyle name="Total 16 4 2 2 3" xfId="21092"/>
    <cellStyle name="Total 16 4 2 2 3 2" xfId="42279"/>
    <cellStyle name="Total 16 4 2 2 4" xfId="31695"/>
    <cellStyle name="Total 16 4 2 2_Table 2A-1_EFT (Annual)" xfId="8637"/>
    <cellStyle name="Total 16 4 2 3" xfId="11575"/>
    <cellStyle name="Total 16 4 2 3 2" xfId="23659"/>
    <cellStyle name="Total 16 4 2 3 2 2" xfId="44845"/>
    <cellStyle name="Total 16 4 2 3 3" xfId="34241"/>
    <cellStyle name="Total 16 4 2 4" xfId="18546"/>
    <cellStyle name="Total 16 4 2 4 2" xfId="39733"/>
    <cellStyle name="Total 16 4 2 5" xfId="28952"/>
    <cellStyle name="Total 16 4 2_Table 2A-1_EFT (Annual)" xfId="8636"/>
    <cellStyle name="Total 16 4 3" xfId="4769"/>
    <cellStyle name="Total 16 4 3 2" xfId="13029"/>
    <cellStyle name="Total 16 4 3 2 2" xfId="25035"/>
    <cellStyle name="Total 16 4 3 2 2 2" xfId="46221"/>
    <cellStyle name="Total 16 4 3 2 3" xfId="35617"/>
    <cellStyle name="Total 16 4 3 3" xfId="19922"/>
    <cellStyle name="Total 16 4 3 3 2" xfId="41109"/>
    <cellStyle name="Total 16 4 3 4" xfId="30426"/>
    <cellStyle name="Total 16 4 3_Table 2A-1_EFT (Annual)" xfId="8638"/>
    <cellStyle name="Total 16 4 4" xfId="10373"/>
    <cellStyle name="Total 16 4 4 2" xfId="22489"/>
    <cellStyle name="Total 16 4 4 2 2" xfId="43675"/>
    <cellStyle name="Total 16 4 4 3" xfId="33071"/>
    <cellStyle name="Total 16 4 5" xfId="17376"/>
    <cellStyle name="Total 16 4 5 2" xfId="38563"/>
    <cellStyle name="Total 16 4 6" xfId="27683"/>
    <cellStyle name="Total 16 4_Table 2A-1_EFT (Annual)" xfId="8635"/>
    <cellStyle name="Total 16 5" xfId="767"/>
    <cellStyle name="Total 16 5 2" xfId="4328"/>
    <cellStyle name="Total 16 5 2 2" xfId="12608"/>
    <cellStyle name="Total 16 5 2 2 2" xfId="24625"/>
    <cellStyle name="Total 16 5 2 2 2 2" xfId="45811"/>
    <cellStyle name="Total 16 5 2 2 3" xfId="35207"/>
    <cellStyle name="Total 16 5 2 3" xfId="19512"/>
    <cellStyle name="Total 16 5 2 3 2" xfId="40699"/>
    <cellStyle name="Total 16 5 2 4" xfId="29985"/>
    <cellStyle name="Total 16 5 2_Table 2A-1_EFT (Annual)" xfId="8640"/>
    <cellStyle name="Total 16 5 3" xfId="9956"/>
    <cellStyle name="Total 16 5 3 2" xfId="22079"/>
    <cellStyle name="Total 16 5 3 2 2" xfId="43265"/>
    <cellStyle name="Total 16 5 3 3" xfId="32661"/>
    <cellStyle name="Total 16 5 4" xfId="16966"/>
    <cellStyle name="Total 16 5 4 2" xfId="38153"/>
    <cellStyle name="Total 16 5 5" xfId="27242"/>
    <cellStyle name="Total 16 5_Table 2A-1_EFT (Annual)" xfId="8639"/>
    <cellStyle name="Total 16 6" xfId="1947"/>
    <cellStyle name="Total 16 6 2" xfId="5508"/>
    <cellStyle name="Total 16 6 2 2" xfId="13723"/>
    <cellStyle name="Total 16 6 2 2 2" xfId="25711"/>
    <cellStyle name="Total 16 6 2 2 2 2" xfId="46897"/>
    <cellStyle name="Total 16 6 2 2 3" xfId="36293"/>
    <cellStyle name="Total 16 6 2 3" xfId="20598"/>
    <cellStyle name="Total 16 6 2 3 2" xfId="41785"/>
    <cellStyle name="Total 16 6 2 4" xfId="31165"/>
    <cellStyle name="Total 16 6 2_Table 2A-1_EFT (Annual)" xfId="8642"/>
    <cellStyle name="Total 16 6 3" xfId="11067"/>
    <cellStyle name="Total 16 6 3 2" xfId="23165"/>
    <cellStyle name="Total 16 6 3 2 2" xfId="44351"/>
    <cellStyle name="Total 16 6 3 3" xfId="33747"/>
    <cellStyle name="Total 16 6 4" xfId="18052"/>
    <cellStyle name="Total 16 6 4 2" xfId="39239"/>
    <cellStyle name="Total 16 6 5" xfId="28422"/>
    <cellStyle name="Total 16 6_Table 2A-1_EFT (Annual)" xfId="8641"/>
    <cellStyle name="Total 16 7" xfId="3749"/>
    <cellStyle name="Total 16 7 2" xfId="12117"/>
    <cellStyle name="Total 16 7 2 2" xfId="24147"/>
    <cellStyle name="Total 16 7 2 2 2" xfId="45333"/>
    <cellStyle name="Total 16 7 2 3" xfId="34729"/>
    <cellStyle name="Total 16 7 3" xfId="19034"/>
    <cellStyle name="Total 16 7 3 2" xfId="40221"/>
    <cellStyle name="Total 16 7 4" xfId="29458"/>
    <cellStyle name="Total 16 7_Table 2A-1_EFT (Annual)" xfId="8643"/>
    <cellStyle name="Total 16 8" xfId="9436"/>
    <cellStyle name="Total 16 8 2" xfId="21601"/>
    <cellStyle name="Total 16 8 2 2" xfId="42787"/>
    <cellStyle name="Total 16 8 3" xfId="32183"/>
    <cellStyle name="Total 16 9" xfId="16488"/>
    <cellStyle name="Total 16 9 2" xfId="37675"/>
    <cellStyle name="Total 16_Table 2A-1_EFT (Annual)" xfId="3529"/>
    <cellStyle name="Total 17" xfId="157"/>
    <cellStyle name="Total 17 10" xfId="26712"/>
    <cellStyle name="Total 17 2" xfId="550"/>
    <cellStyle name="Total 17 2 2" xfId="1527"/>
    <cellStyle name="Total 17 2 2 2" xfId="2797"/>
    <cellStyle name="Total 17 2 2 2 2" xfId="6358"/>
    <cellStyle name="Total 17 2 2 2 2 2" xfId="14552"/>
    <cellStyle name="Total 17 2 2 2 2 2 2" xfId="26524"/>
    <cellStyle name="Total 17 2 2 2 2 2 2 2" xfId="47710"/>
    <cellStyle name="Total 17 2 2 2 2 2 3" xfId="37106"/>
    <cellStyle name="Total 17 2 2 2 2 3" xfId="21411"/>
    <cellStyle name="Total 17 2 2 2 2 3 2" xfId="42598"/>
    <cellStyle name="Total 17 2 2 2 2 4" xfId="32014"/>
    <cellStyle name="Total 17 2 2 2 2_Table 2A-1_EFT (Annual)" xfId="8646"/>
    <cellStyle name="Total 17 2 2 2 3" xfId="11894"/>
    <cellStyle name="Total 17 2 2 2 3 2" xfId="23978"/>
    <cellStyle name="Total 17 2 2 2 3 2 2" xfId="45164"/>
    <cellStyle name="Total 17 2 2 2 3 3" xfId="34560"/>
    <cellStyle name="Total 17 2 2 2 4" xfId="18865"/>
    <cellStyle name="Total 17 2 2 2 4 2" xfId="40052"/>
    <cellStyle name="Total 17 2 2 2 5" xfId="29271"/>
    <cellStyle name="Total 17 2 2 2_Table 2A-1_EFT (Annual)" xfId="8645"/>
    <cellStyle name="Total 17 2 2 3" xfId="5088"/>
    <cellStyle name="Total 17 2 2 3 2" xfId="13348"/>
    <cellStyle name="Total 17 2 2 3 2 2" xfId="25354"/>
    <cellStyle name="Total 17 2 2 3 2 2 2" xfId="46540"/>
    <cellStyle name="Total 17 2 2 3 2 3" xfId="35936"/>
    <cellStyle name="Total 17 2 2 3 3" xfId="20241"/>
    <cellStyle name="Total 17 2 2 3 3 2" xfId="41428"/>
    <cellStyle name="Total 17 2 2 3 4" xfId="30745"/>
    <cellStyle name="Total 17 2 2 3_Table 2A-1_EFT (Annual)" xfId="8647"/>
    <cellStyle name="Total 17 2 2 4" xfId="10692"/>
    <cellStyle name="Total 17 2 2 4 2" xfId="22808"/>
    <cellStyle name="Total 17 2 2 4 2 2" xfId="43994"/>
    <cellStyle name="Total 17 2 2 4 3" xfId="33390"/>
    <cellStyle name="Total 17 2 2 5" xfId="17695"/>
    <cellStyle name="Total 17 2 2 5 2" xfId="38882"/>
    <cellStyle name="Total 17 2 2 6" xfId="28002"/>
    <cellStyle name="Total 17 2 2_Table 2A-1_EFT (Annual)" xfId="8644"/>
    <cellStyle name="Total 17 2 3" xfId="1056"/>
    <cellStyle name="Total 17 2 3 2" xfId="4617"/>
    <cellStyle name="Total 17 2 3 2 2" xfId="12877"/>
    <cellStyle name="Total 17 2 3 2 2 2" xfId="24883"/>
    <cellStyle name="Total 17 2 3 2 2 2 2" xfId="46069"/>
    <cellStyle name="Total 17 2 3 2 2 3" xfId="35465"/>
    <cellStyle name="Total 17 2 3 2 3" xfId="19770"/>
    <cellStyle name="Total 17 2 3 2 3 2" xfId="40957"/>
    <cellStyle name="Total 17 2 3 2 4" xfId="30274"/>
    <cellStyle name="Total 17 2 3 2_Table 2A-1_EFT (Annual)" xfId="8649"/>
    <cellStyle name="Total 17 2 3 3" xfId="10221"/>
    <cellStyle name="Total 17 2 3 3 2" xfId="22337"/>
    <cellStyle name="Total 17 2 3 3 2 2" xfId="43523"/>
    <cellStyle name="Total 17 2 3 3 3" xfId="32919"/>
    <cellStyle name="Total 17 2 3 4" xfId="17224"/>
    <cellStyle name="Total 17 2 3 4 2" xfId="38411"/>
    <cellStyle name="Total 17 2 3 5" xfId="27531"/>
    <cellStyle name="Total 17 2 3_Table 2A-1_EFT (Annual)" xfId="8648"/>
    <cellStyle name="Total 17 2 4" xfId="2266"/>
    <cellStyle name="Total 17 2 4 2" xfId="5827"/>
    <cellStyle name="Total 17 2 4 2 2" xfId="14042"/>
    <cellStyle name="Total 17 2 4 2 2 2" xfId="26030"/>
    <cellStyle name="Total 17 2 4 2 2 2 2" xfId="47216"/>
    <cellStyle name="Total 17 2 4 2 2 3" xfId="36612"/>
    <cellStyle name="Total 17 2 4 2 3" xfId="20917"/>
    <cellStyle name="Total 17 2 4 2 3 2" xfId="42104"/>
    <cellStyle name="Total 17 2 4 2 4" xfId="31484"/>
    <cellStyle name="Total 17 2 4 2_Table 2A-1_EFT (Annual)" xfId="8651"/>
    <cellStyle name="Total 17 2 4 3" xfId="11386"/>
    <cellStyle name="Total 17 2 4 3 2" xfId="23484"/>
    <cellStyle name="Total 17 2 4 3 2 2" xfId="44670"/>
    <cellStyle name="Total 17 2 4 3 3" xfId="34066"/>
    <cellStyle name="Total 17 2 4 4" xfId="18371"/>
    <cellStyle name="Total 17 2 4 4 2" xfId="39558"/>
    <cellStyle name="Total 17 2 4 5" xfId="28741"/>
    <cellStyle name="Total 17 2 4_Table 2A-1_EFT (Annual)" xfId="8650"/>
    <cellStyle name="Total 17 2 5" xfId="4120"/>
    <cellStyle name="Total 17 2 5 2" xfId="12444"/>
    <cellStyle name="Total 17 2 5 2 2" xfId="24466"/>
    <cellStyle name="Total 17 2 5 2 2 2" xfId="45652"/>
    <cellStyle name="Total 17 2 5 2 3" xfId="35048"/>
    <cellStyle name="Total 17 2 5 3" xfId="19353"/>
    <cellStyle name="Total 17 2 5 3 2" xfId="40540"/>
    <cellStyle name="Total 17 2 5 4" xfId="29808"/>
    <cellStyle name="Total 17 2 5_Table 2A-1_EFT (Annual)" xfId="8652"/>
    <cellStyle name="Total 17 2 6" xfId="9783"/>
    <cellStyle name="Total 17 2 6 2" xfId="21920"/>
    <cellStyle name="Total 17 2 6 2 2" xfId="43106"/>
    <cellStyle name="Total 17 2 6 3" xfId="32502"/>
    <cellStyle name="Total 17 2 7" xfId="16807"/>
    <cellStyle name="Total 17 2 7 2" xfId="37994"/>
    <cellStyle name="Total 17 2 8" xfId="27065"/>
    <cellStyle name="Total 17 2_Table 2A-1_EFT (Annual)" xfId="3533"/>
    <cellStyle name="Total 17 3" xfId="388"/>
    <cellStyle name="Total 17 3 2" xfId="1371"/>
    <cellStyle name="Total 17 3 2 2" xfId="2641"/>
    <cellStyle name="Total 17 3 2 2 2" xfId="6202"/>
    <cellStyle name="Total 17 3 2 2 2 2" xfId="14396"/>
    <cellStyle name="Total 17 3 2 2 2 2 2" xfId="26368"/>
    <cellStyle name="Total 17 3 2 2 2 2 2 2" xfId="47554"/>
    <cellStyle name="Total 17 3 2 2 2 2 3" xfId="36950"/>
    <cellStyle name="Total 17 3 2 2 2 3" xfId="21255"/>
    <cellStyle name="Total 17 3 2 2 2 3 2" xfId="42442"/>
    <cellStyle name="Total 17 3 2 2 2 4" xfId="31858"/>
    <cellStyle name="Total 17 3 2 2 2_Table 2A-1_EFT (Annual)" xfId="8655"/>
    <cellStyle name="Total 17 3 2 2 3" xfId="11738"/>
    <cellStyle name="Total 17 3 2 2 3 2" xfId="23822"/>
    <cellStyle name="Total 17 3 2 2 3 2 2" xfId="45008"/>
    <cellStyle name="Total 17 3 2 2 3 3" xfId="34404"/>
    <cellStyle name="Total 17 3 2 2 4" xfId="18709"/>
    <cellStyle name="Total 17 3 2 2 4 2" xfId="39896"/>
    <cellStyle name="Total 17 3 2 2 5" xfId="29115"/>
    <cellStyle name="Total 17 3 2 2_Table 2A-1_EFT (Annual)" xfId="8654"/>
    <cellStyle name="Total 17 3 2 3" xfId="4932"/>
    <cellStyle name="Total 17 3 2 3 2" xfId="13192"/>
    <cellStyle name="Total 17 3 2 3 2 2" xfId="25198"/>
    <cellStyle name="Total 17 3 2 3 2 2 2" xfId="46384"/>
    <cellStyle name="Total 17 3 2 3 2 3" xfId="35780"/>
    <cellStyle name="Total 17 3 2 3 3" xfId="20085"/>
    <cellStyle name="Total 17 3 2 3 3 2" xfId="41272"/>
    <cellStyle name="Total 17 3 2 3 4" xfId="30589"/>
    <cellStyle name="Total 17 3 2 3_Table 2A-1_EFT (Annual)" xfId="8656"/>
    <cellStyle name="Total 17 3 2 4" xfId="10536"/>
    <cellStyle name="Total 17 3 2 4 2" xfId="22652"/>
    <cellStyle name="Total 17 3 2 4 2 2" xfId="43838"/>
    <cellStyle name="Total 17 3 2 4 3" xfId="33234"/>
    <cellStyle name="Total 17 3 2 5" xfId="17539"/>
    <cellStyle name="Total 17 3 2 5 2" xfId="38726"/>
    <cellStyle name="Total 17 3 2 6" xfId="27846"/>
    <cellStyle name="Total 17 3 2_Table 2A-1_EFT (Annual)" xfId="8653"/>
    <cellStyle name="Total 17 3 3" xfId="924"/>
    <cellStyle name="Total 17 3 3 2" xfId="4485"/>
    <cellStyle name="Total 17 3 3 2 2" xfId="12747"/>
    <cellStyle name="Total 17 3 3 2 2 2" xfId="24757"/>
    <cellStyle name="Total 17 3 3 2 2 2 2" xfId="45943"/>
    <cellStyle name="Total 17 3 3 2 2 3" xfId="35339"/>
    <cellStyle name="Total 17 3 3 2 3" xfId="19644"/>
    <cellStyle name="Total 17 3 3 2 3 2" xfId="40831"/>
    <cellStyle name="Total 17 3 3 2 4" xfId="30142"/>
    <cellStyle name="Total 17 3 3 2_Table 2A-1_EFT (Annual)" xfId="8658"/>
    <cellStyle name="Total 17 3 3 3" xfId="10094"/>
    <cellStyle name="Total 17 3 3 3 2" xfId="22211"/>
    <cellStyle name="Total 17 3 3 3 2 2" xfId="43397"/>
    <cellStyle name="Total 17 3 3 3 3" xfId="32793"/>
    <cellStyle name="Total 17 3 3 4" xfId="17098"/>
    <cellStyle name="Total 17 3 3 4 2" xfId="38285"/>
    <cellStyle name="Total 17 3 3 5" xfId="27399"/>
    <cellStyle name="Total 17 3 3_Table 2A-1_EFT (Annual)" xfId="8657"/>
    <cellStyle name="Total 17 3 4" xfId="2110"/>
    <cellStyle name="Total 17 3 4 2" xfId="5671"/>
    <cellStyle name="Total 17 3 4 2 2" xfId="13886"/>
    <cellStyle name="Total 17 3 4 2 2 2" xfId="25874"/>
    <cellStyle name="Total 17 3 4 2 2 2 2" xfId="47060"/>
    <cellStyle name="Total 17 3 4 2 2 3" xfId="36456"/>
    <cellStyle name="Total 17 3 4 2 3" xfId="20761"/>
    <cellStyle name="Total 17 3 4 2 3 2" xfId="41948"/>
    <cellStyle name="Total 17 3 4 2 4" xfId="31328"/>
    <cellStyle name="Total 17 3 4 2_Table 2A-1_EFT (Annual)" xfId="8660"/>
    <cellStyle name="Total 17 3 4 3" xfId="11230"/>
    <cellStyle name="Total 17 3 4 3 2" xfId="23328"/>
    <cellStyle name="Total 17 3 4 3 2 2" xfId="44514"/>
    <cellStyle name="Total 17 3 4 3 3" xfId="33910"/>
    <cellStyle name="Total 17 3 4 4" xfId="18215"/>
    <cellStyle name="Total 17 3 4 4 2" xfId="39402"/>
    <cellStyle name="Total 17 3 4 5" xfId="28585"/>
    <cellStyle name="Total 17 3 4_Table 2A-1_EFT (Annual)" xfId="8659"/>
    <cellStyle name="Total 17 3 5" xfId="3958"/>
    <cellStyle name="Total 17 3 5 2" xfId="12286"/>
    <cellStyle name="Total 17 3 5 2 2" xfId="24310"/>
    <cellStyle name="Total 17 3 5 2 2 2" xfId="45496"/>
    <cellStyle name="Total 17 3 5 2 3" xfId="34892"/>
    <cellStyle name="Total 17 3 5 3" xfId="19197"/>
    <cellStyle name="Total 17 3 5 3 2" xfId="40384"/>
    <cellStyle name="Total 17 3 5 4" xfId="29646"/>
    <cellStyle name="Total 17 3 5_Table 2A-1_EFT (Annual)" xfId="8661"/>
    <cellStyle name="Total 17 3 6" xfId="9623"/>
    <cellStyle name="Total 17 3 6 2" xfId="21764"/>
    <cellStyle name="Total 17 3 6 2 2" xfId="42950"/>
    <cellStyle name="Total 17 3 6 3" xfId="32346"/>
    <cellStyle name="Total 17 3 7" xfId="16651"/>
    <cellStyle name="Total 17 3 7 2" xfId="37838"/>
    <cellStyle name="Total 17 3 8" xfId="26903"/>
    <cellStyle name="Total 17 3_Table 2A-1_EFT (Annual)" xfId="3534"/>
    <cellStyle name="Total 17 4" xfId="1205"/>
    <cellStyle name="Total 17 4 2" xfId="2475"/>
    <cellStyle name="Total 17 4 2 2" xfId="6036"/>
    <cellStyle name="Total 17 4 2 2 2" xfId="14230"/>
    <cellStyle name="Total 17 4 2 2 2 2" xfId="26202"/>
    <cellStyle name="Total 17 4 2 2 2 2 2" xfId="47388"/>
    <cellStyle name="Total 17 4 2 2 2 3" xfId="36784"/>
    <cellStyle name="Total 17 4 2 2 3" xfId="21089"/>
    <cellStyle name="Total 17 4 2 2 3 2" xfId="42276"/>
    <cellStyle name="Total 17 4 2 2 4" xfId="31692"/>
    <cellStyle name="Total 17 4 2 2_Table 2A-1_EFT (Annual)" xfId="8664"/>
    <cellStyle name="Total 17 4 2 3" xfId="11572"/>
    <cellStyle name="Total 17 4 2 3 2" xfId="23656"/>
    <cellStyle name="Total 17 4 2 3 2 2" xfId="44842"/>
    <cellStyle name="Total 17 4 2 3 3" xfId="34238"/>
    <cellStyle name="Total 17 4 2 4" xfId="18543"/>
    <cellStyle name="Total 17 4 2 4 2" xfId="39730"/>
    <cellStyle name="Total 17 4 2 5" xfId="28949"/>
    <cellStyle name="Total 17 4 2_Table 2A-1_EFT (Annual)" xfId="8663"/>
    <cellStyle name="Total 17 4 3" xfId="4766"/>
    <cellStyle name="Total 17 4 3 2" xfId="13026"/>
    <cellStyle name="Total 17 4 3 2 2" xfId="25032"/>
    <cellStyle name="Total 17 4 3 2 2 2" xfId="46218"/>
    <cellStyle name="Total 17 4 3 2 3" xfId="35614"/>
    <cellStyle name="Total 17 4 3 3" xfId="19919"/>
    <cellStyle name="Total 17 4 3 3 2" xfId="41106"/>
    <cellStyle name="Total 17 4 3 4" xfId="30423"/>
    <cellStyle name="Total 17 4 3_Table 2A-1_EFT (Annual)" xfId="8665"/>
    <cellStyle name="Total 17 4 4" xfId="10370"/>
    <cellStyle name="Total 17 4 4 2" xfId="22486"/>
    <cellStyle name="Total 17 4 4 2 2" xfId="43672"/>
    <cellStyle name="Total 17 4 4 3" xfId="33068"/>
    <cellStyle name="Total 17 4 5" xfId="17373"/>
    <cellStyle name="Total 17 4 5 2" xfId="38560"/>
    <cellStyle name="Total 17 4 6" xfId="27680"/>
    <cellStyle name="Total 17 4_Table 2A-1_EFT (Annual)" xfId="8662"/>
    <cellStyle name="Total 17 5" xfId="765"/>
    <cellStyle name="Total 17 5 2" xfId="4326"/>
    <cellStyle name="Total 17 5 2 2" xfId="12606"/>
    <cellStyle name="Total 17 5 2 2 2" xfId="24623"/>
    <cellStyle name="Total 17 5 2 2 2 2" xfId="45809"/>
    <cellStyle name="Total 17 5 2 2 3" xfId="35205"/>
    <cellStyle name="Total 17 5 2 3" xfId="19510"/>
    <cellStyle name="Total 17 5 2 3 2" xfId="40697"/>
    <cellStyle name="Total 17 5 2 4" xfId="29983"/>
    <cellStyle name="Total 17 5 2_Table 2A-1_EFT (Annual)" xfId="8667"/>
    <cellStyle name="Total 17 5 3" xfId="9954"/>
    <cellStyle name="Total 17 5 3 2" xfId="22077"/>
    <cellStyle name="Total 17 5 3 2 2" xfId="43263"/>
    <cellStyle name="Total 17 5 3 3" xfId="32659"/>
    <cellStyle name="Total 17 5 4" xfId="16964"/>
    <cellStyle name="Total 17 5 4 2" xfId="38151"/>
    <cellStyle name="Total 17 5 5" xfId="27240"/>
    <cellStyle name="Total 17 5_Table 2A-1_EFT (Annual)" xfId="8666"/>
    <cellStyle name="Total 17 6" xfId="1778"/>
    <cellStyle name="Total 17 6 2" xfId="5339"/>
    <cellStyle name="Total 17 6 2 2" xfId="13554"/>
    <cellStyle name="Total 17 6 2 2 2" xfId="25542"/>
    <cellStyle name="Total 17 6 2 2 2 2" xfId="46728"/>
    <cellStyle name="Total 17 6 2 2 3" xfId="36124"/>
    <cellStyle name="Total 17 6 2 3" xfId="20429"/>
    <cellStyle name="Total 17 6 2 3 2" xfId="41616"/>
    <cellStyle name="Total 17 6 2 4" xfId="30996"/>
    <cellStyle name="Total 17 6 2_Table 2A-1_EFT (Annual)" xfId="8669"/>
    <cellStyle name="Total 17 6 3" xfId="10898"/>
    <cellStyle name="Total 17 6 3 2" xfId="22996"/>
    <cellStyle name="Total 17 6 3 2 2" xfId="44182"/>
    <cellStyle name="Total 17 6 3 3" xfId="33578"/>
    <cellStyle name="Total 17 6 4" xfId="17883"/>
    <cellStyle name="Total 17 6 4 2" xfId="39070"/>
    <cellStyle name="Total 17 6 5" xfId="28253"/>
    <cellStyle name="Total 17 6_Table 2A-1_EFT (Annual)" xfId="8668"/>
    <cellStyle name="Total 17 7" xfId="3746"/>
    <cellStyle name="Total 17 7 2" xfId="12114"/>
    <cellStyle name="Total 17 7 2 2" xfId="24144"/>
    <cellStyle name="Total 17 7 2 2 2" xfId="45330"/>
    <cellStyle name="Total 17 7 2 3" xfId="34726"/>
    <cellStyle name="Total 17 7 3" xfId="19031"/>
    <cellStyle name="Total 17 7 3 2" xfId="40218"/>
    <cellStyle name="Total 17 7 4" xfId="29455"/>
    <cellStyle name="Total 17 7_Table 2A-1_EFT (Annual)" xfId="8670"/>
    <cellStyle name="Total 17 8" xfId="9433"/>
    <cellStyle name="Total 17 8 2" xfId="21598"/>
    <cellStyle name="Total 17 8 2 2" xfId="42784"/>
    <cellStyle name="Total 17 8 3" xfId="32180"/>
    <cellStyle name="Total 17 9" xfId="16485"/>
    <cellStyle name="Total 17 9 2" xfId="37672"/>
    <cellStyle name="Total 17_Table 2A-1_EFT (Annual)" xfId="3532"/>
    <cellStyle name="Total 18" xfId="174"/>
    <cellStyle name="Total 18 10" xfId="26729"/>
    <cellStyle name="Total 18 2" xfId="567"/>
    <cellStyle name="Total 18 2 2" xfId="1544"/>
    <cellStyle name="Total 18 2 2 2" xfId="2814"/>
    <cellStyle name="Total 18 2 2 2 2" xfId="6375"/>
    <cellStyle name="Total 18 2 2 2 2 2" xfId="14569"/>
    <cellStyle name="Total 18 2 2 2 2 2 2" xfId="26541"/>
    <cellStyle name="Total 18 2 2 2 2 2 2 2" xfId="47727"/>
    <cellStyle name="Total 18 2 2 2 2 2 3" xfId="37123"/>
    <cellStyle name="Total 18 2 2 2 2 3" xfId="21428"/>
    <cellStyle name="Total 18 2 2 2 2 3 2" xfId="42615"/>
    <cellStyle name="Total 18 2 2 2 2 4" xfId="32031"/>
    <cellStyle name="Total 18 2 2 2 2_Table 2A-1_EFT (Annual)" xfId="8673"/>
    <cellStyle name="Total 18 2 2 2 3" xfId="11911"/>
    <cellStyle name="Total 18 2 2 2 3 2" xfId="23995"/>
    <cellStyle name="Total 18 2 2 2 3 2 2" xfId="45181"/>
    <cellStyle name="Total 18 2 2 2 3 3" xfId="34577"/>
    <cellStyle name="Total 18 2 2 2 4" xfId="18882"/>
    <cellStyle name="Total 18 2 2 2 4 2" xfId="40069"/>
    <cellStyle name="Total 18 2 2 2 5" xfId="29288"/>
    <cellStyle name="Total 18 2 2 2_Table 2A-1_EFT (Annual)" xfId="8672"/>
    <cellStyle name="Total 18 2 2 3" xfId="5105"/>
    <cellStyle name="Total 18 2 2 3 2" xfId="13365"/>
    <cellStyle name="Total 18 2 2 3 2 2" xfId="25371"/>
    <cellStyle name="Total 18 2 2 3 2 2 2" xfId="46557"/>
    <cellStyle name="Total 18 2 2 3 2 3" xfId="35953"/>
    <cellStyle name="Total 18 2 2 3 3" xfId="20258"/>
    <cellStyle name="Total 18 2 2 3 3 2" xfId="41445"/>
    <cellStyle name="Total 18 2 2 3 4" xfId="30762"/>
    <cellStyle name="Total 18 2 2 3_Table 2A-1_EFT (Annual)" xfId="8674"/>
    <cellStyle name="Total 18 2 2 4" xfId="10709"/>
    <cellStyle name="Total 18 2 2 4 2" xfId="22825"/>
    <cellStyle name="Total 18 2 2 4 2 2" xfId="44011"/>
    <cellStyle name="Total 18 2 2 4 3" xfId="33407"/>
    <cellStyle name="Total 18 2 2 5" xfId="17712"/>
    <cellStyle name="Total 18 2 2 5 2" xfId="38899"/>
    <cellStyle name="Total 18 2 2 6" xfId="28019"/>
    <cellStyle name="Total 18 2 2_Table 2A-1_EFT (Annual)" xfId="8671"/>
    <cellStyle name="Total 18 2 3" xfId="1069"/>
    <cellStyle name="Total 18 2 3 2" xfId="4630"/>
    <cellStyle name="Total 18 2 3 2 2" xfId="12890"/>
    <cellStyle name="Total 18 2 3 2 2 2" xfId="24896"/>
    <cellStyle name="Total 18 2 3 2 2 2 2" xfId="46082"/>
    <cellStyle name="Total 18 2 3 2 2 3" xfId="35478"/>
    <cellStyle name="Total 18 2 3 2 3" xfId="19783"/>
    <cellStyle name="Total 18 2 3 2 3 2" xfId="40970"/>
    <cellStyle name="Total 18 2 3 2 4" xfId="30287"/>
    <cellStyle name="Total 18 2 3 2_Table 2A-1_EFT (Annual)" xfId="8676"/>
    <cellStyle name="Total 18 2 3 3" xfId="10234"/>
    <cellStyle name="Total 18 2 3 3 2" xfId="22350"/>
    <cellStyle name="Total 18 2 3 3 2 2" xfId="43536"/>
    <cellStyle name="Total 18 2 3 3 3" xfId="32932"/>
    <cellStyle name="Total 18 2 3 4" xfId="17237"/>
    <cellStyle name="Total 18 2 3 4 2" xfId="38424"/>
    <cellStyle name="Total 18 2 3 5" xfId="27544"/>
    <cellStyle name="Total 18 2 3_Table 2A-1_EFT (Annual)" xfId="8675"/>
    <cellStyle name="Total 18 2 4" xfId="2283"/>
    <cellStyle name="Total 18 2 4 2" xfId="5844"/>
    <cellStyle name="Total 18 2 4 2 2" xfId="14059"/>
    <cellStyle name="Total 18 2 4 2 2 2" xfId="26047"/>
    <cellStyle name="Total 18 2 4 2 2 2 2" xfId="47233"/>
    <cellStyle name="Total 18 2 4 2 2 3" xfId="36629"/>
    <cellStyle name="Total 18 2 4 2 3" xfId="20934"/>
    <cellStyle name="Total 18 2 4 2 3 2" xfId="42121"/>
    <cellStyle name="Total 18 2 4 2 4" xfId="31501"/>
    <cellStyle name="Total 18 2 4 2_Table 2A-1_EFT (Annual)" xfId="8678"/>
    <cellStyle name="Total 18 2 4 3" xfId="11403"/>
    <cellStyle name="Total 18 2 4 3 2" xfId="23501"/>
    <cellStyle name="Total 18 2 4 3 2 2" xfId="44687"/>
    <cellStyle name="Total 18 2 4 3 3" xfId="34083"/>
    <cellStyle name="Total 18 2 4 4" xfId="18388"/>
    <cellStyle name="Total 18 2 4 4 2" xfId="39575"/>
    <cellStyle name="Total 18 2 4 5" xfId="28758"/>
    <cellStyle name="Total 18 2 4_Table 2A-1_EFT (Annual)" xfId="8677"/>
    <cellStyle name="Total 18 2 5" xfId="4137"/>
    <cellStyle name="Total 18 2 5 2" xfId="12461"/>
    <cellStyle name="Total 18 2 5 2 2" xfId="24483"/>
    <cellStyle name="Total 18 2 5 2 2 2" xfId="45669"/>
    <cellStyle name="Total 18 2 5 2 3" xfId="35065"/>
    <cellStyle name="Total 18 2 5 3" xfId="19370"/>
    <cellStyle name="Total 18 2 5 3 2" xfId="40557"/>
    <cellStyle name="Total 18 2 5 4" xfId="29825"/>
    <cellStyle name="Total 18 2 5_Table 2A-1_EFT (Annual)" xfId="8679"/>
    <cellStyle name="Total 18 2 6" xfId="9800"/>
    <cellStyle name="Total 18 2 6 2" xfId="21937"/>
    <cellStyle name="Total 18 2 6 2 2" xfId="43123"/>
    <cellStyle name="Total 18 2 6 3" xfId="32519"/>
    <cellStyle name="Total 18 2 7" xfId="16824"/>
    <cellStyle name="Total 18 2 7 2" xfId="38011"/>
    <cellStyle name="Total 18 2 8" xfId="27082"/>
    <cellStyle name="Total 18 2_Table 2A-1_EFT (Annual)" xfId="3536"/>
    <cellStyle name="Total 18 3" xfId="405"/>
    <cellStyle name="Total 18 3 2" xfId="1388"/>
    <cellStyle name="Total 18 3 2 2" xfId="2658"/>
    <cellStyle name="Total 18 3 2 2 2" xfId="6219"/>
    <cellStyle name="Total 18 3 2 2 2 2" xfId="14413"/>
    <cellStyle name="Total 18 3 2 2 2 2 2" xfId="26385"/>
    <cellStyle name="Total 18 3 2 2 2 2 2 2" xfId="47571"/>
    <cellStyle name="Total 18 3 2 2 2 2 3" xfId="36967"/>
    <cellStyle name="Total 18 3 2 2 2 3" xfId="21272"/>
    <cellStyle name="Total 18 3 2 2 2 3 2" xfId="42459"/>
    <cellStyle name="Total 18 3 2 2 2 4" xfId="31875"/>
    <cellStyle name="Total 18 3 2 2 2_Table 2A-1_EFT (Annual)" xfId="8682"/>
    <cellStyle name="Total 18 3 2 2 3" xfId="11755"/>
    <cellStyle name="Total 18 3 2 2 3 2" xfId="23839"/>
    <cellStyle name="Total 18 3 2 2 3 2 2" xfId="45025"/>
    <cellStyle name="Total 18 3 2 2 3 3" xfId="34421"/>
    <cellStyle name="Total 18 3 2 2 4" xfId="18726"/>
    <cellStyle name="Total 18 3 2 2 4 2" xfId="39913"/>
    <cellStyle name="Total 18 3 2 2 5" xfId="29132"/>
    <cellStyle name="Total 18 3 2 2_Table 2A-1_EFT (Annual)" xfId="8681"/>
    <cellStyle name="Total 18 3 2 3" xfId="4949"/>
    <cellStyle name="Total 18 3 2 3 2" xfId="13209"/>
    <cellStyle name="Total 18 3 2 3 2 2" xfId="25215"/>
    <cellStyle name="Total 18 3 2 3 2 2 2" xfId="46401"/>
    <cellStyle name="Total 18 3 2 3 2 3" xfId="35797"/>
    <cellStyle name="Total 18 3 2 3 3" xfId="20102"/>
    <cellStyle name="Total 18 3 2 3 3 2" xfId="41289"/>
    <cellStyle name="Total 18 3 2 3 4" xfId="30606"/>
    <cellStyle name="Total 18 3 2 3_Table 2A-1_EFT (Annual)" xfId="8683"/>
    <cellStyle name="Total 18 3 2 4" xfId="10553"/>
    <cellStyle name="Total 18 3 2 4 2" xfId="22669"/>
    <cellStyle name="Total 18 3 2 4 2 2" xfId="43855"/>
    <cellStyle name="Total 18 3 2 4 3" xfId="33251"/>
    <cellStyle name="Total 18 3 2 5" xfId="17556"/>
    <cellStyle name="Total 18 3 2 5 2" xfId="38743"/>
    <cellStyle name="Total 18 3 2 6" xfId="27863"/>
    <cellStyle name="Total 18 3 2_Table 2A-1_EFT (Annual)" xfId="8680"/>
    <cellStyle name="Total 18 3 3" xfId="937"/>
    <cellStyle name="Total 18 3 3 2" xfId="4498"/>
    <cellStyle name="Total 18 3 3 2 2" xfId="12760"/>
    <cellStyle name="Total 18 3 3 2 2 2" xfId="24770"/>
    <cellStyle name="Total 18 3 3 2 2 2 2" xfId="45956"/>
    <cellStyle name="Total 18 3 3 2 2 3" xfId="35352"/>
    <cellStyle name="Total 18 3 3 2 3" xfId="19657"/>
    <cellStyle name="Total 18 3 3 2 3 2" xfId="40844"/>
    <cellStyle name="Total 18 3 3 2 4" xfId="30155"/>
    <cellStyle name="Total 18 3 3 2_Table 2A-1_EFT (Annual)" xfId="8685"/>
    <cellStyle name="Total 18 3 3 3" xfId="10107"/>
    <cellStyle name="Total 18 3 3 3 2" xfId="22224"/>
    <cellStyle name="Total 18 3 3 3 2 2" xfId="43410"/>
    <cellStyle name="Total 18 3 3 3 3" xfId="32806"/>
    <cellStyle name="Total 18 3 3 4" xfId="17111"/>
    <cellStyle name="Total 18 3 3 4 2" xfId="38298"/>
    <cellStyle name="Total 18 3 3 5" xfId="27412"/>
    <cellStyle name="Total 18 3 3_Table 2A-1_EFT (Annual)" xfId="8684"/>
    <cellStyle name="Total 18 3 4" xfId="2127"/>
    <cellStyle name="Total 18 3 4 2" xfId="5688"/>
    <cellStyle name="Total 18 3 4 2 2" xfId="13903"/>
    <cellStyle name="Total 18 3 4 2 2 2" xfId="25891"/>
    <cellStyle name="Total 18 3 4 2 2 2 2" xfId="47077"/>
    <cellStyle name="Total 18 3 4 2 2 3" xfId="36473"/>
    <cellStyle name="Total 18 3 4 2 3" xfId="20778"/>
    <cellStyle name="Total 18 3 4 2 3 2" xfId="41965"/>
    <cellStyle name="Total 18 3 4 2 4" xfId="31345"/>
    <cellStyle name="Total 18 3 4 2_Table 2A-1_EFT (Annual)" xfId="8687"/>
    <cellStyle name="Total 18 3 4 3" xfId="11247"/>
    <cellStyle name="Total 18 3 4 3 2" xfId="23345"/>
    <cellStyle name="Total 18 3 4 3 2 2" xfId="44531"/>
    <cellStyle name="Total 18 3 4 3 3" xfId="33927"/>
    <cellStyle name="Total 18 3 4 4" xfId="18232"/>
    <cellStyle name="Total 18 3 4 4 2" xfId="39419"/>
    <cellStyle name="Total 18 3 4 5" xfId="28602"/>
    <cellStyle name="Total 18 3 4_Table 2A-1_EFT (Annual)" xfId="8686"/>
    <cellStyle name="Total 18 3 5" xfId="3975"/>
    <cellStyle name="Total 18 3 5 2" xfId="12303"/>
    <cellStyle name="Total 18 3 5 2 2" xfId="24327"/>
    <cellStyle name="Total 18 3 5 2 2 2" xfId="45513"/>
    <cellStyle name="Total 18 3 5 2 3" xfId="34909"/>
    <cellStyle name="Total 18 3 5 3" xfId="19214"/>
    <cellStyle name="Total 18 3 5 3 2" xfId="40401"/>
    <cellStyle name="Total 18 3 5 4" xfId="29663"/>
    <cellStyle name="Total 18 3 5_Table 2A-1_EFT (Annual)" xfId="8688"/>
    <cellStyle name="Total 18 3 6" xfId="9640"/>
    <cellStyle name="Total 18 3 6 2" xfId="21781"/>
    <cellStyle name="Total 18 3 6 2 2" xfId="42967"/>
    <cellStyle name="Total 18 3 6 3" xfId="32363"/>
    <cellStyle name="Total 18 3 7" xfId="16668"/>
    <cellStyle name="Total 18 3 7 2" xfId="37855"/>
    <cellStyle name="Total 18 3 8" xfId="26920"/>
    <cellStyle name="Total 18 3_Table 2A-1_EFT (Annual)" xfId="3537"/>
    <cellStyle name="Total 18 4" xfId="1222"/>
    <cellStyle name="Total 18 4 2" xfId="2492"/>
    <cellStyle name="Total 18 4 2 2" xfId="6053"/>
    <cellStyle name="Total 18 4 2 2 2" xfId="14247"/>
    <cellStyle name="Total 18 4 2 2 2 2" xfId="26219"/>
    <cellStyle name="Total 18 4 2 2 2 2 2" xfId="47405"/>
    <cellStyle name="Total 18 4 2 2 2 3" xfId="36801"/>
    <cellStyle name="Total 18 4 2 2 3" xfId="21106"/>
    <cellStyle name="Total 18 4 2 2 3 2" xfId="42293"/>
    <cellStyle name="Total 18 4 2 2 4" xfId="31709"/>
    <cellStyle name="Total 18 4 2 2_Table 2A-1_EFT (Annual)" xfId="8691"/>
    <cellStyle name="Total 18 4 2 3" xfId="11589"/>
    <cellStyle name="Total 18 4 2 3 2" xfId="23673"/>
    <cellStyle name="Total 18 4 2 3 2 2" xfId="44859"/>
    <cellStyle name="Total 18 4 2 3 3" xfId="34255"/>
    <cellStyle name="Total 18 4 2 4" xfId="18560"/>
    <cellStyle name="Total 18 4 2 4 2" xfId="39747"/>
    <cellStyle name="Total 18 4 2 5" xfId="28966"/>
    <cellStyle name="Total 18 4 2_Table 2A-1_EFT (Annual)" xfId="8690"/>
    <cellStyle name="Total 18 4 3" xfId="4783"/>
    <cellStyle name="Total 18 4 3 2" xfId="13043"/>
    <cellStyle name="Total 18 4 3 2 2" xfId="25049"/>
    <cellStyle name="Total 18 4 3 2 2 2" xfId="46235"/>
    <cellStyle name="Total 18 4 3 2 3" xfId="35631"/>
    <cellStyle name="Total 18 4 3 3" xfId="19936"/>
    <cellStyle name="Total 18 4 3 3 2" xfId="41123"/>
    <cellStyle name="Total 18 4 3 4" xfId="30440"/>
    <cellStyle name="Total 18 4 3_Table 2A-1_EFT (Annual)" xfId="8692"/>
    <cellStyle name="Total 18 4 4" xfId="10387"/>
    <cellStyle name="Total 18 4 4 2" xfId="22503"/>
    <cellStyle name="Total 18 4 4 2 2" xfId="43689"/>
    <cellStyle name="Total 18 4 4 3" xfId="33085"/>
    <cellStyle name="Total 18 4 5" xfId="17390"/>
    <cellStyle name="Total 18 4 5 2" xfId="38577"/>
    <cellStyle name="Total 18 4 6" xfId="27697"/>
    <cellStyle name="Total 18 4_Table 2A-1_EFT (Annual)" xfId="8689"/>
    <cellStyle name="Total 18 5" xfId="778"/>
    <cellStyle name="Total 18 5 2" xfId="4339"/>
    <cellStyle name="Total 18 5 2 2" xfId="12619"/>
    <cellStyle name="Total 18 5 2 2 2" xfId="24636"/>
    <cellStyle name="Total 18 5 2 2 2 2" xfId="45822"/>
    <cellStyle name="Total 18 5 2 2 3" xfId="35218"/>
    <cellStyle name="Total 18 5 2 3" xfId="19523"/>
    <cellStyle name="Total 18 5 2 3 2" xfId="40710"/>
    <cellStyle name="Total 18 5 2 4" xfId="29996"/>
    <cellStyle name="Total 18 5 2_Table 2A-1_EFT (Annual)" xfId="8694"/>
    <cellStyle name="Total 18 5 3" xfId="9967"/>
    <cellStyle name="Total 18 5 3 2" xfId="22090"/>
    <cellStyle name="Total 18 5 3 2 2" xfId="43276"/>
    <cellStyle name="Total 18 5 3 3" xfId="32672"/>
    <cellStyle name="Total 18 5 4" xfId="16977"/>
    <cellStyle name="Total 18 5 4 2" xfId="38164"/>
    <cellStyle name="Total 18 5 5" xfId="27253"/>
    <cellStyle name="Total 18 5_Table 2A-1_EFT (Annual)" xfId="8693"/>
    <cellStyle name="Total 18 6" xfId="1961"/>
    <cellStyle name="Total 18 6 2" xfId="5522"/>
    <cellStyle name="Total 18 6 2 2" xfId="13737"/>
    <cellStyle name="Total 18 6 2 2 2" xfId="25725"/>
    <cellStyle name="Total 18 6 2 2 2 2" xfId="46911"/>
    <cellStyle name="Total 18 6 2 2 3" xfId="36307"/>
    <cellStyle name="Total 18 6 2 3" xfId="20612"/>
    <cellStyle name="Total 18 6 2 3 2" xfId="41799"/>
    <cellStyle name="Total 18 6 2 4" xfId="31179"/>
    <cellStyle name="Total 18 6 2_Table 2A-1_EFT (Annual)" xfId="8696"/>
    <cellStyle name="Total 18 6 3" xfId="11081"/>
    <cellStyle name="Total 18 6 3 2" xfId="23179"/>
    <cellStyle name="Total 18 6 3 2 2" xfId="44365"/>
    <cellStyle name="Total 18 6 3 3" xfId="33761"/>
    <cellStyle name="Total 18 6 4" xfId="18066"/>
    <cellStyle name="Total 18 6 4 2" xfId="39253"/>
    <cellStyle name="Total 18 6 5" xfId="28436"/>
    <cellStyle name="Total 18 6_Table 2A-1_EFT (Annual)" xfId="8695"/>
    <cellStyle name="Total 18 7" xfId="3763"/>
    <cellStyle name="Total 18 7 2" xfId="12131"/>
    <cellStyle name="Total 18 7 2 2" xfId="24161"/>
    <cellStyle name="Total 18 7 2 2 2" xfId="45347"/>
    <cellStyle name="Total 18 7 2 3" xfId="34743"/>
    <cellStyle name="Total 18 7 3" xfId="19048"/>
    <cellStyle name="Total 18 7 3 2" xfId="40235"/>
    <cellStyle name="Total 18 7 4" xfId="29472"/>
    <cellStyle name="Total 18 7_Table 2A-1_EFT (Annual)" xfId="8697"/>
    <cellStyle name="Total 18 8" xfId="9450"/>
    <cellStyle name="Total 18 8 2" xfId="21615"/>
    <cellStyle name="Total 18 8 2 2" xfId="42801"/>
    <cellStyle name="Total 18 8 3" xfId="32197"/>
    <cellStyle name="Total 18 9" xfId="16502"/>
    <cellStyle name="Total 18 9 2" xfId="37689"/>
    <cellStyle name="Total 18_Table 2A-1_EFT (Annual)" xfId="3535"/>
    <cellStyle name="Total 19" xfId="175"/>
    <cellStyle name="Total 19 10" xfId="26730"/>
    <cellStyle name="Total 19 2" xfId="568"/>
    <cellStyle name="Total 19 2 2" xfId="1545"/>
    <cellStyle name="Total 19 2 2 2" xfId="2815"/>
    <cellStyle name="Total 19 2 2 2 2" xfId="6376"/>
    <cellStyle name="Total 19 2 2 2 2 2" xfId="14570"/>
    <cellStyle name="Total 19 2 2 2 2 2 2" xfId="26542"/>
    <cellStyle name="Total 19 2 2 2 2 2 2 2" xfId="47728"/>
    <cellStyle name="Total 19 2 2 2 2 2 3" xfId="37124"/>
    <cellStyle name="Total 19 2 2 2 2 3" xfId="21429"/>
    <cellStyle name="Total 19 2 2 2 2 3 2" xfId="42616"/>
    <cellStyle name="Total 19 2 2 2 2 4" xfId="32032"/>
    <cellStyle name="Total 19 2 2 2 2_Table 2A-1_EFT (Annual)" xfId="8700"/>
    <cellStyle name="Total 19 2 2 2 3" xfId="11912"/>
    <cellStyle name="Total 19 2 2 2 3 2" xfId="23996"/>
    <cellStyle name="Total 19 2 2 2 3 2 2" xfId="45182"/>
    <cellStyle name="Total 19 2 2 2 3 3" xfId="34578"/>
    <cellStyle name="Total 19 2 2 2 4" xfId="18883"/>
    <cellStyle name="Total 19 2 2 2 4 2" xfId="40070"/>
    <cellStyle name="Total 19 2 2 2 5" xfId="29289"/>
    <cellStyle name="Total 19 2 2 2_Table 2A-1_EFT (Annual)" xfId="8699"/>
    <cellStyle name="Total 19 2 2 3" xfId="5106"/>
    <cellStyle name="Total 19 2 2 3 2" xfId="13366"/>
    <cellStyle name="Total 19 2 2 3 2 2" xfId="25372"/>
    <cellStyle name="Total 19 2 2 3 2 2 2" xfId="46558"/>
    <cellStyle name="Total 19 2 2 3 2 3" xfId="35954"/>
    <cellStyle name="Total 19 2 2 3 3" xfId="20259"/>
    <cellStyle name="Total 19 2 2 3 3 2" xfId="41446"/>
    <cellStyle name="Total 19 2 2 3 4" xfId="30763"/>
    <cellStyle name="Total 19 2 2 3_Table 2A-1_EFT (Annual)" xfId="8701"/>
    <cellStyle name="Total 19 2 2 4" xfId="10710"/>
    <cellStyle name="Total 19 2 2 4 2" xfId="22826"/>
    <cellStyle name="Total 19 2 2 4 2 2" xfId="44012"/>
    <cellStyle name="Total 19 2 2 4 3" xfId="33408"/>
    <cellStyle name="Total 19 2 2 5" xfId="17713"/>
    <cellStyle name="Total 19 2 2 5 2" xfId="38900"/>
    <cellStyle name="Total 19 2 2 6" xfId="28020"/>
    <cellStyle name="Total 19 2 2_Table 2A-1_EFT (Annual)" xfId="8698"/>
    <cellStyle name="Total 19 2 3" xfId="1070"/>
    <cellStyle name="Total 19 2 3 2" xfId="4631"/>
    <cellStyle name="Total 19 2 3 2 2" xfId="12891"/>
    <cellStyle name="Total 19 2 3 2 2 2" xfId="24897"/>
    <cellStyle name="Total 19 2 3 2 2 2 2" xfId="46083"/>
    <cellStyle name="Total 19 2 3 2 2 3" xfId="35479"/>
    <cellStyle name="Total 19 2 3 2 3" xfId="19784"/>
    <cellStyle name="Total 19 2 3 2 3 2" xfId="40971"/>
    <cellStyle name="Total 19 2 3 2 4" xfId="30288"/>
    <cellStyle name="Total 19 2 3 2_Table 2A-1_EFT (Annual)" xfId="8703"/>
    <cellStyle name="Total 19 2 3 3" xfId="10235"/>
    <cellStyle name="Total 19 2 3 3 2" xfId="22351"/>
    <cellStyle name="Total 19 2 3 3 2 2" xfId="43537"/>
    <cellStyle name="Total 19 2 3 3 3" xfId="32933"/>
    <cellStyle name="Total 19 2 3 4" xfId="17238"/>
    <cellStyle name="Total 19 2 3 4 2" xfId="38425"/>
    <cellStyle name="Total 19 2 3 5" xfId="27545"/>
    <cellStyle name="Total 19 2 3_Table 2A-1_EFT (Annual)" xfId="8702"/>
    <cellStyle name="Total 19 2 4" xfId="2284"/>
    <cellStyle name="Total 19 2 4 2" xfId="5845"/>
    <cellStyle name="Total 19 2 4 2 2" xfId="14060"/>
    <cellStyle name="Total 19 2 4 2 2 2" xfId="26048"/>
    <cellStyle name="Total 19 2 4 2 2 2 2" xfId="47234"/>
    <cellStyle name="Total 19 2 4 2 2 3" xfId="36630"/>
    <cellStyle name="Total 19 2 4 2 3" xfId="20935"/>
    <cellStyle name="Total 19 2 4 2 3 2" xfId="42122"/>
    <cellStyle name="Total 19 2 4 2 4" xfId="31502"/>
    <cellStyle name="Total 19 2 4 2_Table 2A-1_EFT (Annual)" xfId="8705"/>
    <cellStyle name="Total 19 2 4 3" xfId="11404"/>
    <cellStyle name="Total 19 2 4 3 2" xfId="23502"/>
    <cellStyle name="Total 19 2 4 3 2 2" xfId="44688"/>
    <cellStyle name="Total 19 2 4 3 3" xfId="34084"/>
    <cellStyle name="Total 19 2 4 4" xfId="18389"/>
    <cellStyle name="Total 19 2 4 4 2" xfId="39576"/>
    <cellStyle name="Total 19 2 4 5" xfId="28759"/>
    <cellStyle name="Total 19 2 4_Table 2A-1_EFT (Annual)" xfId="8704"/>
    <cellStyle name="Total 19 2 5" xfId="4138"/>
    <cellStyle name="Total 19 2 5 2" xfId="12462"/>
    <cellStyle name="Total 19 2 5 2 2" xfId="24484"/>
    <cellStyle name="Total 19 2 5 2 2 2" xfId="45670"/>
    <cellStyle name="Total 19 2 5 2 3" xfId="35066"/>
    <cellStyle name="Total 19 2 5 3" xfId="19371"/>
    <cellStyle name="Total 19 2 5 3 2" xfId="40558"/>
    <cellStyle name="Total 19 2 5 4" xfId="29826"/>
    <cellStyle name="Total 19 2 5_Table 2A-1_EFT (Annual)" xfId="8706"/>
    <cellStyle name="Total 19 2 6" xfId="9801"/>
    <cellStyle name="Total 19 2 6 2" xfId="21938"/>
    <cellStyle name="Total 19 2 6 2 2" xfId="43124"/>
    <cellStyle name="Total 19 2 6 3" xfId="32520"/>
    <cellStyle name="Total 19 2 7" xfId="16825"/>
    <cellStyle name="Total 19 2 7 2" xfId="38012"/>
    <cellStyle name="Total 19 2 8" xfId="27083"/>
    <cellStyle name="Total 19 2_Table 2A-1_EFT (Annual)" xfId="3539"/>
    <cellStyle name="Total 19 3" xfId="406"/>
    <cellStyle name="Total 19 3 2" xfId="1389"/>
    <cellStyle name="Total 19 3 2 2" xfId="2659"/>
    <cellStyle name="Total 19 3 2 2 2" xfId="6220"/>
    <cellStyle name="Total 19 3 2 2 2 2" xfId="14414"/>
    <cellStyle name="Total 19 3 2 2 2 2 2" xfId="26386"/>
    <cellStyle name="Total 19 3 2 2 2 2 2 2" xfId="47572"/>
    <cellStyle name="Total 19 3 2 2 2 2 3" xfId="36968"/>
    <cellStyle name="Total 19 3 2 2 2 3" xfId="21273"/>
    <cellStyle name="Total 19 3 2 2 2 3 2" xfId="42460"/>
    <cellStyle name="Total 19 3 2 2 2 4" xfId="31876"/>
    <cellStyle name="Total 19 3 2 2 2_Table 2A-1_EFT (Annual)" xfId="8709"/>
    <cellStyle name="Total 19 3 2 2 3" xfId="11756"/>
    <cellStyle name="Total 19 3 2 2 3 2" xfId="23840"/>
    <cellStyle name="Total 19 3 2 2 3 2 2" xfId="45026"/>
    <cellStyle name="Total 19 3 2 2 3 3" xfId="34422"/>
    <cellStyle name="Total 19 3 2 2 4" xfId="18727"/>
    <cellStyle name="Total 19 3 2 2 4 2" xfId="39914"/>
    <cellStyle name="Total 19 3 2 2 5" xfId="29133"/>
    <cellStyle name="Total 19 3 2 2_Table 2A-1_EFT (Annual)" xfId="8708"/>
    <cellStyle name="Total 19 3 2 3" xfId="4950"/>
    <cellStyle name="Total 19 3 2 3 2" xfId="13210"/>
    <cellStyle name="Total 19 3 2 3 2 2" xfId="25216"/>
    <cellStyle name="Total 19 3 2 3 2 2 2" xfId="46402"/>
    <cellStyle name="Total 19 3 2 3 2 3" xfId="35798"/>
    <cellStyle name="Total 19 3 2 3 3" xfId="20103"/>
    <cellStyle name="Total 19 3 2 3 3 2" xfId="41290"/>
    <cellStyle name="Total 19 3 2 3 4" xfId="30607"/>
    <cellStyle name="Total 19 3 2 3_Table 2A-1_EFT (Annual)" xfId="8710"/>
    <cellStyle name="Total 19 3 2 4" xfId="10554"/>
    <cellStyle name="Total 19 3 2 4 2" xfId="22670"/>
    <cellStyle name="Total 19 3 2 4 2 2" xfId="43856"/>
    <cellStyle name="Total 19 3 2 4 3" xfId="33252"/>
    <cellStyle name="Total 19 3 2 5" xfId="17557"/>
    <cellStyle name="Total 19 3 2 5 2" xfId="38744"/>
    <cellStyle name="Total 19 3 2 6" xfId="27864"/>
    <cellStyle name="Total 19 3 2_Table 2A-1_EFT (Annual)" xfId="8707"/>
    <cellStyle name="Total 19 3 3" xfId="938"/>
    <cellStyle name="Total 19 3 3 2" xfId="4499"/>
    <cellStyle name="Total 19 3 3 2 2" xfId="12761"/>
    <cellStyle name="Total 19 3 3 2 2 2" xfId="24771"/>
    <cellStyle name="Total 19 3 3 2 2 2 2" xfId="45957"/>
    <cellStyle name="Total 19 3 3 2 2 3" xfId="35353"/>
    <cellStyle name="Total 19 3 3 2 3" xfId="19658"/>
    <cellStyle name="Total 19 3 3 2 3 2" xfId="40845"/>
    <cellStyle name="Total 19 3 3 2 4" xfId="30156"/>
    <cellStyle name="Total 19 3 3 2_Table 2A-1_EFT (Annual)" xfId="8712"/>
    <cellStyle name="Total 19 3 3 3" xfId="10108"/>
    <cellStyle name="Total 19 3 3 3 2" xfId="22225"/>
    <cellStyle name="Total 19 3 3 3 2 2" xfId="43411"/>
    <cellStyle name="Total 19 3 3 3 3" xfId="32807"/>
    <cellStyle name="Total 19 3 3 4" xfId="17112"/>
    <cellStyle name="Total 19 3 3 4 2" xfId="38299"/>
    <cellStyle name="Total 19 3 3 5" xfId="27413"/>
    <cellStyle name="Total 19 3 3_Table 2A-1_EFT (Annual)" xfId="8711"/>
    <cellStyle name="Total 19 3 4" xfId="2128"/>
    <cellStyle name="Total 19 3 4 2" xfId="5689"/>
    <cellStyle name="Total 19 3 4 2 2" xfId="13904"/>
    <cellStyle name="Total 19 3 4 2 2 2" xfId="25892"/>
    <cellStyle name="Total 19 3 4 2 2 2 2" xfId="47078"/>
    <cellStyle name="Total 19 3 4 2 2 3" xfId="36474"/>
    <cellStyle name="Total 19 3 4 2 3" xfId="20779"/>
    <cellStyle name="Total 19 3 4 2 3 2" xfId="41966"/>
    <cellStyle name="Total 19 3 4 2 4" xfId="31346"/>
    <cellStyle name="Total 19 3 4 2_Table 2A-1_EFT (Annual)" xfId="8714"/>
    <cellStyle name="Total 19 3 4 3" xfId="11248"/>
    <cellStyle name="Total 19 3 4 3 2" xfId="23346"/>
    <cellStyle name="Total 19 3 4 3 2 2" xfId="44532"/>
    <cellStyle name="Total 19 3 4 3 3" xfId="33928"/>
    <cellStyle name="Total 19 3 4 4" xfId="18233"/>
    <cellStyle name="Total 19 3 4 4 2" xfId="39420"/>
    <cellStyle name="Total 19 3 4 5" xfId="28603"/>
    <cellStyle name="Total 19 3 4_Table 2A-1_EFT (Annual)" xfId="8713"/>
    <cellStyle name="Total 19 3 5" xfId="3976"/>
    <cellStyle name="Total 19 3 5 2" xfId="12304"/>
    <cellStyle name="Total 19 3 5 2 2" xfId="24328"/>
    <cellStyle name="Total 19 3 5 2 2 2" xfId="45514"/>
    <cellStyle name="Total 19 3 5 2 3" xfId="34910"/>
    <cellStyle name="Total 19 3 5 3" xfId="19215"/>
    <cellStyle name="Total 19 3 5 3 2" xfId="40402"/>
    <cellStyle name="Total 19 3 5 4" xfId="29664"/>
    <cellStyle name="Total 19 3 5_Table 2A-1_EFT (Annual)" xfId="8715"/>
    <cellStyle name="Total 19 3 6" xfId="9641"/>
    <cellStyle name="Total 19 3 6 2" xfId="21782"/>
    <cellStyle name="Total 19 3 6 2 2" xfId="42968"/>
    <cellStyle name="Total 19 3 6 3" xfId="32364"/>
    <cellStyle name="Total 19 3 7" xfId="16669"/>
    <cellStyle name="Total 19 3 7 2" xfId="37856"/>
    <cellStyle name="Total 19 3 8" xfId="26921"/>
    <cellStyle name="Total 19 3_Table 2A-1_EFT (Annual)" xfId="3540"/>
    <cellStyle name="Total 19 4" xfId="1223"/>
    <cellStyle name="Total 19 4 2" xfId="2493"/>
    <cellStyle name="Total 19 4 2 2" xfId="6054"/>
    <cellStyle name="Total 19 4 2 2 2" xfId="14248"/>
    <cellStyle name="Total 19 4 2 2 2 2" xfId="26220"/>
    <cellStyle name="Total 19 4 2 2 2 2 2" xfId="47406"/>
    <cellStyle name="Total 19 4 2 2 2 3" xfId="36802"/>
    <cellStyle name="Total 19 4 2 2 3" xfId="21107"/>
    <cellStyle name="Total 19 4 2 2 3 2" xfId="42294"/>
    <cellStyle name="Total 19 4 2 2 4" xfId="31710"/>
    <cellStyle name="Total 19 4 2 2_Table 2A-1_EFT (Annual)" xfId="8718"/>
    <cellStyle name="Total 19 4 2 3" xfId="11590"/>
    <cellStyle name="Total 19 4 2 3 2" xfId="23674"/>
    <cellStyle name="Total 19 4 2 3 2 2" xfId="44860"/>
    <cellStyle name="Total 19 4 2 3 3" xfId="34256"/>
    <cellStyle name="Total 19 4 2 4" xfId="18561"/>
    <cellStyle name="Total 19 4 2 4 2" xfId="39748"/>
    <cellStyle name="Total 19 4 2 5" xfId="28967"/>
    <cellStyle name="Total 19 4 2_Table 2A-1_EFT (Annual)" xfId="8717"/>
    <cellStyle name="Total 19 4 3" xfId="4784"/>
    <cellStyle name="Total 19 4 3 2" xfId="13044"/>
    <cellStyle name="Total 19 4 3 2 2" xfId="25050"/>
    <cellStyle name="Total 19 4 3 2 2 2" xfId="46236"/>
    <cellStyle name="Total 19 4 3 2 3" xfId="35632"/>
    <cellStyle name="Total 19 4 3 3" xfId="19937"/>
    <cellStyle name="Total 19 4 3 3 2" xfId="41124"/>
    <cellStyle name="Total 19 4 3 4" xfId="30441"/>
    <cellStyle name="Total 19 4 3_Table 2A-1_EFT (Annual)" xfId="8719"/>
    <cellStyle name="Total 19 4 4" xfId="10388"/>
    <cellStyle name="Total 19 4 4 2" xfId="22504"/>
    <cellStyle name="Total 19 4 4 2 2" xfId="43690"/>
    <cellStyle name="Total 19 4 4 3" xfId="33086"/>
    <cellStyle name="Total 19 4 5" xfId="17391"/>
    <cellStyle name="Total 19 4 5 2" xfId="38578"/>
    <cellStyle name="Total 19 4 6" xfId="27698"/>
    <cellStyle name="Total 19 4_Table 2A-1_EFT (Annual)" xfId="8716"/>
    <cellStyle name="Total 19 5" xfId="779"/>
    <cellStyle name="Total 19 5 2" xfId="4340"/>
    <cellStyle name="Total 19 5 2 2" xfId="12620"/>
    <cellStyle name="Total 19 5 2 2 2" xfId="24637"/>
    <cellStyle name="Total 19 5 2 2 2 2" xfId="45823"/>
    <cellStyle name="Total 19 5 2 2 3" xfId="35219"/>
    <cellStyle name="Total 19 5 2 3" xfId="19524"/>
    <cellStyle name="Total 19 5 2 3 2" xfId="40711"/>
    <cellStyle name="Total 19 5 2 4" xfId="29997"/>
    <cellStyle name="Total 19 5 2_Table 2A-1_EFT (Annual)" xfId="8721"/>
    <cellStyle name="Total 19 5 3" xfId="9968"/>
    <cellStyle name="Total 19 5 3 2" xfId="22091"/>
    <cellStyle name="Total 19 5 3 2 2" xfId="43277"/>
    <cellStyle name="Total 19 5 3 3" xfId="32673"/>
    <cellStyle name="Total 19 5 4" xfId="16978"/>
    <cellStyle name="Total 19 5 4 2" xfId="38165"/>
    <cellStyle name="Total 19 5 5" xfId="27254"/>
    <cellStyle name="Total 19 5_Table 2A-1_EFT (Annual)" xfId="8720"/>
    <cellStyle name="Total 19 6" xfId="1962"/>
    <cellStyle name="Total 19 6 2" xfId="5523"/>
    <cellStyle name="Total 19 6 2 2" xfId="13738"/>
    <cellStyle name="Total 19 6 2 2 2" xfId="25726"/>
    <cellStyle name="Total 19 6 2 2 2 2" xfId="46912"/>
    <cellStyle name="Total 19 6 2 2 3" xfId="36308"/>
    <cellStyle name="Total 19 6 2 3" xfId="20613"/>
    <cellStyle name="Total 19 6 2 3 2" xfId="41800"/>
    <cellStyle name="Total 19 6 2 4" xfId="31180"/>
    <cellStyle name="Total 19 6 2_Table 2A-1_EFT (Annual)" xfId="8723"/>
    <cellStyle name="Total 19 6 3" xfId="11082"/>
    <cellStyle name="Total 19 6 3 2" xfId="23180"/>
    <cellStyle name="Total 19 6 3 2 2" xfId="44366"/>
    <cellStyle name="Total 19 6 3 3" xfId="33762"/>
    <cellStyle name="Total 19 6 4" xfId="18067"/>
    <cellStyle name="Total 19 6 4 2" xfId="39254"/>
    <cellStyle name="Total 19 6 5" xfId="28437"/>
    <cellStyle name="Total 19 6_Table 2A-1_EFT (Annual)" xfId="8722"/>
    <cellStyle name="Total 19 7" xfId="3764"/>
    <cellStyle name="Total 19 7 2" xfId="12132"/>
    <cellStyle name="Total 19 7 2 2" xfId="24162"/>
    <cellStyle name="Total 19 7 2 2 2" xfId="45348"/>
    <cellStyle name="Total 19 7 2 3" xfId="34744"/>
    <cellStyle name="Total 19 7 3" xfId="19049"/>
    <cellStyle name="Total 19 7 3 2" xfId="40236"/>
    <cellStyle name="Total 19 7 4" xfId="29473"/>
    <cellStyle name="Total 19 7_Table 2A-1_EFT (Annual)" xfId="8724"/>
    <cellStyle name="Total 19 8" xfId="9451"/>
    <cellStyle name="Total 19 8 2" xfId="21616"/>
    <cellStyle name="Total 19 8 2 2" xfId="42802"/>
    <cellStyle name="Total 19 8 3" xfId="32198"/>
    <cellStyle name="Total 19 9" xfId="16503"/>
    <cellStyle name="Total 19 9 2" xfId="37690"/>
    <cellStyle name="Total 19_Table 2A-1_EFT (Annual)" xfId="3538"/>
    <cellStyle name="Total 2" xfId="102"/>
    <cellStyle name="Total 2 10" xfId="21512"/>
    <cellStyle name="Total 2 10 2" xfId="42699"/>
    <cellStyle name="Total 2 11" xfId="26657"/>
    <cellStyle name="Total 2 2" xfId="500"/>
    <cellStyle name="Total 2 2 2" xfId="1477"/>
    <cellStyle name="Total 2 2 2 2" xfId="2747"/>
    <cellStyle name="Total 2 2 2 2 2" xfId="6308"/>
    <cellStyle name="Total 2 2 2 2 2 2" xfId="14502"/>
    <cellStyle name="Total 2 2 2 2 2 2 2" xfId="26474"/>
    <cellStyle name="Total 2 2 2 2 2 2 2 2" xfId="47660"/>
    <cellStyle name="Total 2 2 2 2 2 2 3" xfId="37056"/>
    <cellStyle name="Total 2 2 2 2 2 3" xfId="21361"/>
    <cellStyle name="Total 2 2 2 2 2 3 2" xfId="42548"/>
    <cellStyle name="Total 2 2 2 2 2 4" xfId="31964"/>
    <cellStyle name="Total 2 2 2 2 2_Table 2A-1_EFT (Annual)" xfId="8727"/>
    <cellStyle name="Total 2 2 2 2 3" xfId="11844"/>
    <cellStyle name="Total 2 2 2 2 3 2" xfId="23928"/>
    <cellStyle name="Total 2 2 2 2 3 2 2" xfId="45114"/>
    <cellStyle name="Total 2 2 2 2 3 3" xfId="34510"/>
    <cellStyle name="Total 2 2 2 2 4" xfId="18815"/>
    <cellStyle name="Total 2 2 2 2 4 2" xfId="40002"/>
    <cellStyle name="Total 2 2 2 2 5" xfId="29221"/>
    <cellStyle name="Total 2 2 2 2_Table 2A-1_EFT (Annual)" xfId="8726"/>
    <cellStyle name="Total 2 2 2 3" xfId="5038"/>
    <cellStyle name="Total 2 2 2 3 2" xfId="13298"/>
    <cellStyle name="Total 2 2 2 3 2 2" xfId="25304"/>
    <cellStyle name="Total 2 2 2 3 2 2 2" xfId="46490"/>
    <cellStyle name="Total 2 2 2 3 2 3" xfId="35886"/>
    <cellStyle name="Total 2 2 2 3 3" xfId="20191"/>
    <cellStyle name="Total 2 2 2 3 3 2" xfId="41378"/>
    <cellStyle name="Total 2 2 2 3 4" xfId="30695"/>
    <cellStyle name="Total 2 2 2 3_Table 2A-1_EFT (Annual)" xfId="8728"/>
    <cellStyle name="Total 2 2 2 4" xfId="10642"/>
    <cellStyle name="Total 2 2 2 4 2" xfId="22758"/>
    <cellStyle name="Total 2 2 2 4 2 2" xfId="43944"/>
    <cellStyle name="Total 2 2 2 4 3" xfId="33340"/>
    <cellStyle name="Total 2 2 2 5" xfId="17645"/>
    <cellStyle name="Total 2 2 2 5 2" xfId="38832"/>
    <cellStyle name="Total 2 2 2 6" xfId="27952"/>
    <cellStyle name="Total 2 2 2_Table 2A-1_EFT (Annual)" xfId="8725"/>
    <cellStyle name="Total 2 2 3" xfId="1014"/>
    <cellStyle name="Total 2 2 3 2" xfId="4575"/>
    <cellStyle name="Total 2 2 3 2 2" xfId="12835"/>
    <cellStyle name="Total 2 2 3 2 2 2" xfId="24841"/>
    <cellStyle name="Total 2 2 3 2 2 2 2" xfId="46027"/>
    <cellStyle name="Total 2 2 3 2 2 3" xfId="35423"/>
    <cellStyle name="Total 2 2 3 2 3" xfId="19728"/>
    <cellStyle name="Total 2 2 3 2 3 2" xfId="40915"/>
    <cellStyle name="Total 2 2 3 2 4" xfId="30232"/>
    <cellStyle name="Total 2 2 3 2_Table 2A-1_EFT (Annual)" xfId="8730"/>
    <cellStyle name="Total 2 2 3 3" xfId="10179"/>
    <cellStyle name="Total 2 2 3 3 2" xfId="22295"/>
    <cellStyle name="Total 2 2 3 3 2 2" xfId="43481"/>
    <cellStyle name="Total 2 2 3 3 3" xfId="32877"/>
    <cellStyle name="Total 2 2 3 4" xfId="17182"/>
    <cellStyle name="Total 2 2 3 4 2" xfId="38369"/>
    <cellStyle name="Total 2 2 3 5" xfId="27489"/>
    <cellStyle name="Total 2 2 3_Table 2A-1_EFT (Annual)" xfId="8729"/>
    <cellStyle name="Total 2 2 4" xfId="2216"/>
    <cellStyle name="Total 2 2 4 2" xfId="5777"/>
    <cellStyle name="Total 2 2 4 2 2" xfId="13992"/>
    <cellStyle name="Total 2 2 4 2 2 2" xfId="25980"/>
    <cellStyle name="Total 2 2 4 2 2 2 2" xfId="47166"/>
    <cellStyle name="Total 2 2 4 2 2 3" xfId="36562"/>
    <cellStyle name="Total 2 2 4 2 3" xfId="20867"/>
    <cellStyle name="Total 2 2 4 2 3 2" xfId="42054"/>
    <cellStyle name="Total 2 2 4 2 4" xfId="31434"/>
    <cellStyle name="Total 2 2 4 2_Table 2A-1_EFT (Annual)" xfId="8732"/>
    <cellStyle name="Total 2 2 4 3" xfId="11336"/>
    <cellStyle name="Total 2 2 4 3 2" xfId="23434"/>
    <cellStyle name="Total 2 2 4 3 2 2" xfId="44620"/>
    <cellStyle name="Total 2 2 4 3 3" xfId="34016"/>
    <cellStyle name="Total 2 2 4 4" xfId="18321"/>
    <cellStyle name="Total 2 2 4 4 2" xfId="39508"/>
    <cellStyle name="Total 2 2 4 5" xfId="28691"/>
    <cellStyle name="Total 2 2 4_Table 2A-1_EFT (Annual)" xfId="8731"/>
    <cellStyle name="Total 2 2 5" xfId="4070"/>
    <cellStyle name="Total 2 2 5 2" xfId="12394"/>
    <cellStyle name="Total 2 2 5 2 2" xfId="24416"/>
    <cellStyle name="Total 2 2 5 2 2 2" xfId="45602"/>
    <cellStyle name="Total 2 2 5 2 3" xfId="34998"/>
    <cellStyle name="Total 2 2 5 3" xfId="19303"/>
    <cellStyle name="Total 2 2 5 3 2" xfId="40490"/>
    <cellStyle name="Total 2 2 5 4" xfId="29758"/>
    <cellStyle name="Total 2 2 5_Table 2A-1_EFT (Annual)" xfId="8733"/>
    <cellStyle name="Total 2 2 6" xfId="9733"/>
    <cellStyle name="Total 2 2 6 2" xfId="21870"/>
    <cellStyle name="Total 2 2 6 2 2" xfId="43056"/>
    <cellStyle name="Total 2 2 6 3" xfId="32452"/>
    <cellStyle name="Total 2 2 7" xfId="16757"/>
    <cellStyle name="Total 2 2 7 2" xfId="37944"/>
    <cellStyle name="Total 2 2 8" xfId="27015"/>
    <cellStyle name="Total 2 2_Table 2A-1_EFT (Annual)" xfId="3542"/>
    <cellStyle name="Total 2 3" xfId="333"/>
    <cellStyle name="Total 2 3 2" xfId="1321"/>
    <cellStyle name="Total 2 3 2 2" xfId="2591"/>
    <cellStyle name="Total 2 3 2 2 2" xfId="6152"/>
    <cellStyle name="Total 2 3 2 2 2 2" xfId="14346"/>
    <cellStyle name="Total 2 3 2 2 2 2 2" xfId="26318"/>
    <cellStyle name="Total 2 3 2 2 2 2 2 2" xfId="47504"/>
    <cellStyle name="Total 2 3 2 2 2 2 3" xfId="36900"/>
    <cellStyle name="Total 2 3 2 2 2 3" xfId="21205"/>
    <cellStyle name="Total 2 3 2 2 2 3 2" xfId="42392"/>
    <cellStyle name="Total 2 3 2 2 2 4" xfId="31808"/>
    <cellStyle name="Total 2 3 2 2 2_Table 2A-1_EFT (Annual)" xfId="8736"/>
    <cellStyle name="Total 2 3 2 2 3" xfId="11688"/>
    <cellStyle name="Total 2 3 2 2 3 2" xfId="23772"/>
    <cellStyle name="Total 2 3 2 2 3 2 2" xfId="44958"/>
    <cellStyle name="Total 2 3 2 2 3 3" xfId="34354"/>
    <cellStyle name="Total 2 3 2 2 4" xfId="18659"/>
    <cellStyle name="Total 2 3 2 2 4 2" xfId="39846"/>
    <cellStyle name="Total 2 3 2 2 5" xfId="29065"/>
    <cellStyle name="Total 2 3 2 2_Table 2A-1_EFT (Annual)" xfId="8735"/>
    <cellStyle name="Total 2 3 2 3" xfId="4882"/>
    <cellStyle name="Total 2 3 2 3 2" xfId="13142"/>
    <cellStyle name="Total 2 3 2 3 2 2" xfId="25148"/>
    <cellStyle name="Total 2 3 2 3 2 2 2" xfId="46334"/>
    <cellStyle name="Total 2 3 2 3 2 3" xfId="35730"/>
    <cellStyle name="Total 2 3 2 3 3" xfId="20035"/>
    <cellStyle name="Total 2 3 2 3 3 2" xfId="41222"/>
    <cellStyle name="Total 2 3 2 3 4" xfId="30539"/>
    <cellStyle name="Total 2 3 2 3_Table 2A-1_EFT (Annual)" xfId="8737"/>
    <cellStyle name="Total 2 3 2 4" xfId="10486"/>
    <cellStyle name="Total 2 3 2 4 2" xfId="22602"/>
    <cellStyle name="Total 2 3 2 4 2 2" xfId="43788"/>
    <cellStyle name="Total 2 3 2 4 3" xfId="33184"/>
    <cellStyle name="Total 2 3 2 5" xfId="17489"/>
    <cellStyle name="Total 2 3 2 5 2" xfId="38676"/>
    <cellStyle name="Total 2 3 2 6" xfId="27796"/>
    <cellStyle name="Total 2 3 2_Table 2A-1_EFT (Annual)" xfId="8734"/>
    <cellStyle name="Total 2 3 3" xfId="877"/>
    <cellStyle name="Total 2 3 3 2" xfId="4438"/>
    <cellStyle name="Total 2 3 3 2 2" xfId="12703"/>
    <cellStyle name="Total 2 3 3 2 2 2" xfId="24715"/>
    <cellStyle name="Total 2 3 3 2 2 2 2" xfId="45901"/>
    <cellStyle name="Total 2 3 3 2 2 3" xfId="35297"/>
    <cellStyle name="Total 2 3 3 2 3" xfId="19602"/>
    <cellStyle name="Total 2 3 3 2 3 2" xfId="40789"/>
    <cellStyle name="Total 2 3 3 2 4" xfId="30095"/>
    <cellStyle name="Total 2 3 3 2_Table 2A-1_EFT (Annual)" xfId="8739"/>
    <cellStyle name="Total 2 3 3 3" xfId="10050"/>
    <cellStyle name="Total 2 3 3 3 2" xfId="22169"/>
    <cellStyle name="Total 2 3 3 3 2 2" xfId="43355"/>
    <cellStyle name="Total 2 3 3 3 3" xfId="32751"/>
    <cellStyle name="Total 2 3 3 4" xfId="17056"/>
    <cellStyle name="Total 2 3 3 4 2" xfId="38243"/>
    <cellStyle name="Total 2 3 3 5" xfId="27352"/>
    <cellStyle name="Total 2 3 3_Table 2A-1_EFT (Annual)" xfId="8738"/>
    <cellStyle name="Total 2 3 4" xfId="2060"/>
    <cellStyle name="Total 2 3 4 2" xfId="5621"/>
    <cellStyle name="Total 2 3 4 2 2" xfId="13836"/>
    <cellStyle name="Total 2 3 4 2 2 2" xfId="25824"/>
    <cellStyle name="Total 2 3 4 2 2 2 2" xfId="47010"/>
    <cellStyle name="Total 2 3 4 2 2 3" xfId="36406"/>
    <cellStyle name="Total 2 3 4 2 3" xfId="20711"/>
    <cellStyle name="Total 2 3 4 2 3 2" xfId="41898"/>
    <cellStyle name="Total 2 3 4 2 4" xfId="31278"/>
    <cellStyle name="Total 2 3 4 2_Table 2A-1_EFT (Annual)" xfId="8741"/>
    <cellStyle name="Total 2 3 4 3" xfId="11180"/>
    <cellStyle name="Total 2 3 4 3 2" xfId="23278"/>
    <cellStyle name="Total 2 3 4 3 2 2" xfId="44464"/>
    <cellStyle name="Total 2 3 4 3 3" xfId="33860"/>
    <cellStyle name="Total 2 3 4 4" xfId="18165"/>
    <cellStyle name="Total 2 3 4 4 2" xfId="39352"/>
    <cellStyle name="Total 2 3 4 5" xfId="28535"/>
    <cellStyle name="Total 2 3 4_Table 2A-1_EFT (Annual)" xfId="8740"/>
    <cellStyle name="Total 2 3 5" xfId="3903"/>
    <cellStyle name="Total 2 3 5 2" xfId="12235"/>
    <cellStyle name="Total 2 3 5 2 2" xfId="24260"/>
    <cellStyle name="Total 2 3 5 2 2 2" xfId="45446"/>
    <cellStyle name="Total 2 3 5 2 3" xfId="34842"/>
    <cellStyle name="Total 2 3 5 3" xfId="19147"/>
    <cellStyle name="Total 2 3 5 3 2" xfId="40334"/>
    <cellStyle name="Total 2 3 5 4" xfId="29591"/>
    <cellStyle name="Total 2 3 5_Table 2A-1_EFT (Annual)" xfId="8742"/>
    <cellStyle name="Total 2 3 6" xfId="9572"/>
    <cellStyle name="Total 2 3 6 2" xfId="21714"/>
    <cellStyle name="Total 2 3 6 2 2" xfId="42900"/>
    <cellStyle name="Total 2 3 6 3" xfId="32296"/>
    <cellStyle name="Total 2 3 7" xfId="16601"/>
    <cellStyle name="Total 2 3 7 2" xfId="37788"/>
    <cellStyle name="Total 2 3 8" xfId="26848"/>
    <cellStyle name="Total 2 3_Table 2A-1_EFT (Annual)" xfId="3543"/>
    <cellStyle name="Total 2 4" xfId="1155"/>
    <cellStyle name="Total 2 4 2" xfId="2425"/>
    <cellStyle name="Total 2 4 2 2" xfId="5986"/>
    <cellStyle name="Total 2 4 2 2 2" xfId="14180"/>
    <cellStyle name="Total 2 4 2 2 2 2" xfId="26152"/>
    <cellStyle name="Total 2 4 2 2 2 2 2" xfId="47338"/>
    <cellStyle name="Total 2 4 2 2 2 3" xfId="36734"/>
    <cellStyle name="Total 2 4 2 2 3" xfId="21039"/>
    <cellStyle name="Total 2 4 2 2 3 2" xfId="42226"/>
    <cellStyle name="Total 2 4 2 2 4" xfId="31642"/>
    <cellStyle name="Total 2 4 2 2_Table 2A-1_EFT (Annual)" xfId="8745"/>
    <cellStyle name="Total 2 4 2 3" xfId="11522"/>
    <cellStyle name="Total 2 4 2 3 2" xfId="23606"/>
    <cellStyle name="Total 2 4 2 3 2 2" xfId="44792"/>
    <cellStyle name="Total 2 4 2 3 3" xfId="34188"/>
    <cellStyle name="Total 2 4 2 4" xfId="18493"/>
    <cellStyle name="Total 2 4 2 4 2" xfId="39680"/>
    <cellStyle name="Total 2 4 2 5" xfId="28899"/>
    <cellStyle name="Total 2 4 2_Table 2A-1_EFT (Annual)" xfId="8744"/>
    <cellStyle name="Total 2 4 3" xfId="4716"/>
    <cellStyle name="Total 2 4 3 2" xfId="12976"/>
    <cellStyle name="Total 2 4 3 2 2" xfId="24982"/>
    <cellStyle name="Total 2 4 3 2 2 2" xfId="46168"/>
    <cellStyle name="Total 2 4 3 2 3" xfId="35564"/>
    <cellStyle name="Total 2 4 3 3" xfId="19869"/>
    <cellStyle name="Total 2 4 3 3 2" xfId="41056"/>
    <cellStyle name="Total 2 4 3 4" xfId="30373"/>
    <cellStyle name="Total 2 4 3_Table 2A-1_EFT (Annual)" xfId="8746"/>
    <cellStyle name="Total 2 4 4" xfId="10320"/>
    <cellStyle name="Total 2 4 4 2" xfId="22436"/>
    <cellStyle name="Total 2 4 4 2 2" xfId="43622"/>
    <cellStyle name="Total 2 4 4 3" xfId="33018"/>
    <cellStyle name="Total 2 4 5" xfId="17323"/>
    <cellStyle name="Total 2 4 5 2" xfId="38510"/>
    <cellStyle name="Total 2 4 6" xfId="27630"/>
    <cellStyle name="Total 2 4_Table 2A-1_EFT (Annual)" xfId="8743"/>
    <cellStyle name="Total 2 5" xfId="718"/>
    <cellStyle name="Total 2 5 2" xfId="4279"/>
    <cellStyle name="Total 2 5 2 2" xfId="12563"/>
    <cellStyle name="Total 2 5 2 2 2" xfId="24581"/>
    <cellStyle name="Total 2 5 2 2 2 2" xfId="45767"/>
    <cellStyle name="Total 2 5 2 2 3" xfId="35163"/>
    <cellStyle name="Total 2 5 2 3" xfId="19468"/>
    <cellStyle name="Total 2 5 2 3 2" xfId="40655"/>
    <cellStyle name="Total 2 5 2 4" xfId="29936"/>
    <cellStyle name="Total 2 5 2_Table 2A-1_EFT (Annual)" xfId="8748"/>
    <cellStyle name="Total 2 5 3" xfId="9910"/>
    <cellStyle name="Total 2 5 3 2" xfId="22035"/>
    <cellStyle name="Total 2 5 3 2 2" xfId="43221"/>
    <cellStyle name="Total 2 5 3 3" xfId="32617"/>
    <cellStyle name="Total 2 5 4" xfId="16922"/>
    <cellStyle name="Total 2 5 4 2" xfId="38109"/>
    <cellStyle name="Total 2 5 5" xfId="27193"/>
    <cellStyle name="Total 2 5_Table 2A-1_EFT (Annual)" xfId="8747"/>
    <cellStyle name="Total 2 6" xfId="1809"/>
    <cellStyle name="Total 2 6 2" xfId="5370"/>
    <cellStyle name="Total 2 6 2 2" xfId="13585"/>
    <cellStyle name="Total 2 6 2 2 2" xfId="25573"/>
    <cellStyle name="Total 2 6 2 2 2 2" xfId="46759"/>
    <cellStyle name="Total 2 6 2 2 3" xfId="36155"/>
    <cellStyle name="Total 2 6 2 3" xfId="20460"/>
    <cellStyle name="Total 2 6 2 3 2" xfId="41647"/>
    <cellStyle name="Total 2 6 2 4" xfId="31027"/>
    <cellStyle name="Total 2 6 2_Table 2A-1_EFT (Annual)" xfId="8750"/>
    <cellStyle name="Total 2 6 3" xfId="10929"/>
    <cellStyle name="Total 2 6 3 2" xfId="23027"/>
    <cellStyle name="Total 2 6 3 2 2" xfId="44213"/>
    <cellStyle name="Total 2 6 3 3" xfId="33609"/>
    <cellStyle name="Total 2 6 4" xfId="17914"/>
    <cellStyle name="Total 2 6 4 2" xfId="39101"/>
    <cellStyle name="Total 2 6 5" xfId="28284"/>
    <cellStyle name="Total 2 6_Table 2A-1_EFT (Annual)" xfId="8749"/>
    <cellStyle name="Total 2 7" xfId="3691"/>
    <cellStyle name="Total 2 7 2" xfId="12063"/>
    <cellStyle name="Total 2 7 2 2" xfId="24094"/>
    <cellStyle name="Total 2 7 2 2 2" xfId="45280"/>
    <cellStyle name="Total 2 7 2 3" xfId="34676"/>
    <cellStyle name="Total 2 7 3" xfId="18981"/>
    <cellStyle name="Total 2 7 3 2" xfId="40168"/>
    <cellStyle name="Total 2 7 4" xfId="29400"/>
    <cellStyle name="Total 2 7_Table 2A-1_EFT (Annual)" xfId="8751"/>
    <cellStyle name="Total 2 8" xfId="9381"/>
    <cellStyle name="Total 2 8 2" xfId="21548"/>
    <cellStyle name="Total 2 8 2 2" xfId="42734"/>
    <cellStyle name="Total 2 8 3" xfId="32130"/>
    <cellStyle name="Total 2 9" xfId="16435"/>
    <cellStyle name="Total 2 9 2" xfId="37622"/>
    <cellStyle name="Total 2_Table 2A-1_EFT (Annual)" xfId="3541"/>
    <cellStyle name="Total 20" xfId="181"/>
    <cellStyle name="Total 20 10" xfId="26736"/>
    <cellStyle name="Total 20 2" xfId="574"/>
    <cellStyle name="Total 20 2 2" xfId="1551"/>
    <cellStyle name="Total 20 2 2 2" xfId="2821"/>
    <cellStyle name="Total 20 2 2 2 2" xfId="6382"/>
    <cellStyle name="Total 20 2 2 2 2 2" xfId="14576"/>
    <cellStyle name="Total 20 2 2 2 2 2 2" xfId="26548"/>
    <cellStyle name="Total 20 2 2 2 2 2 2 2" xfId="47734"/>
    <cellStyle name="Total 20 2 2 2 2 2 3" xfId="37130"/>
    <cellStyle name="Total 20 2 2 2 2 3" xfId="21435"/>
    <cellStyle name="Total 20 2 2 2 2 3 2" xfId="42622"/>
    <cellStyle name="Total 20 2 2 2 2 4" xfId="32038"/>
    <cellStyle name="Total 20 2 2 2 2_Table 2A-1_EFT (Annual)" xfId="8754"/>
    <cellStyle name="Total 20 2 2 2 3" xfId="11918"/>
    <cellStyle name="Total 20 2 2 2 3 2" xfId="24002"/>
    <cellStyle name="Total 20 2 2 2 3 2 2" xfId="45188"/>
    <cellStyle name="Total 20 2 2 2 3 3" xfId="34584"/>
    <cellStyle name="Total 20 2 2 2 4" xfId="18889"/>
    <cellStyle name="Total 20 2 2 2 4 2" xfId="40076"/>
    <cellStyle name="Total 20 2 2 2 5" xfId="29295"/>
    <cellStyle name="Total 20 2 2 2_Table 2A-1_EFT (Annual)" xfId="8753"/>
    <cellStyle name="Total 20 2 2 3" xfId="5112"/>
    <cellStyle name="Total 20 2 2 3 2" xfId="13372"/>
    <cellStyle name="Total 20 2 2 3 2 2" xfId="25378"/>
    <cellStyle name="Total 20 2 2 3 2 2 2" xfId="46564"/>
    <cellStyle name="Total 20 2 2 3 2 3" xfId="35960"/>
    <cellStyle name="Total 20 2 2 3 3" xfId="20265"/>
    <cellStyle name="Total 20 2 2 3 3 2" xfId="41452"/>
    <cellStyle name="Total 20 2 2 3 4" xfId="30769"/>
    <cellStyle name="Total 20 2 2 3_Table 2A-1_EFT (Annual)" xfId="8755"/>
    <cellStyle name="Total 20 2 2 4" xfId="10716"/>
    <cellStyle name="Total 20 2 2 4 2" xfId="22832"/>
    <cellStyle name="Total 20 2 2 4 2 2" xfId="44018"/>
    <cellStyle name="Total 20 2 2 4 3" xfId="33414"/>
    <cellStyle name="Total 20 2 2 5" xfId="17719"/>
    <cellStyle name="Total 20 2 2 5 2" xfId="38906"/>
    <cellStyle name="Total 20 2 2 6" xfId="28026"/>
    <cellStyle name="Total 20 2 2_Table 2A-1_EFT (Annual)" xfId="8752"/>
    <cellStyle name="Total 20 2 3" xfId="1075"/>
    <cellStyle name="Total 20 2 3 2" xfId="4636"/>
    <cellStyle name="Total 20 2 3 2 2" xfId="12896"/>
    <cellStyle name="Total 20 2 3 2 2 2" xfId="24902"/>
    <cellStyle name="Total 20 2 3 2 2 2 2" xfId="46088"/>
    <cellStyle name="Total 20 2 3 2 2 3" xfId="35484"/>
    <cellStyle name="Total 20 2 3 2 3" xfId="19789"/>
    <cellStyle name="Total 20 2 3 2 3 2" xfId="40976"/>
    <cellStyle name="Total 20 2 3 2 4" xfId="30293"/>
    <cellStyle name="Total 20 2 3 2_Table 2A-1_EFT (Annual)" xfId="8757"/>
    <cellStyle name="Total 20 2 3 3" xfId="10240"/>
    <cellStyle name="Total 20 2 3 3 2" xfId="22356"/>
    <cellStyle name="Total 20 2 3 3 2 2" xfId="43542"/>
    <cellStyle name="Total 20 2 3 3 3" xfId="32938"/>
    <cellStyle name="Total 20 2 3 4" xfId="17243"/>
    <cellStyle name="Total 20 2 3 4 2" xfId="38430"/>
    <cellStyle name="Total 20 2 3 5" xfId="27550"/>
    <cellStyle name="Total 20 2 3_Table 2A-1_EFT (Annual)" xfId="8756"/>
    <cellStyle name="Total 20 2 4" xfId="2290"/>
    <cellStyle name="Total 20 2 4 2" xfId="5851"/>
    <cellStyle name="Total 20 2 4 2 2" xfId="14066"/>
    <cellStyle name="Total 20 2 4 2 2 2" xfId="26054"/>
    <cellStyle name="Total 20 2 4 2 2 2 2" xfId="47240"/>
    <cellStyle name="Total 20 2 4 2 2 3" xfId="36636"/>
    <cellStyle name="Total 20 2 4 2 3" xfId="20941"/>
    <cellStyle name="Total 20 2 4 2 3 2" xfId="42128"/>
    <cellStyle name="Total 20 2 4 2 4" xfId="31508"/>
    <cellStyle name="Total 20 2 4 2_Table 2A-1_EFT (Annual)" xfId="8759"/>
    <cellStyle name="Total 20 2 4 3" xfId="11410"/>
    <cellStyle name="Total 20 2 4 3 2" xfId="23508"/>
    <cellStyle name="Total 20 2 4 3 2 2" xfId="44694"/>
    <cellStyle name="Total 20 2 4 3 3" xfId="34090"/>
    <cellStyle name="Total 20 2 4 4" xfId="18395"/>
    <cellStyle name="Total 20 2 4 4 2" xfId="39582"/>
    <cellStyle name="Total 20 2 4 5" xfId="28765"/>
    <cellStyle name="Total 20 2 4_Table 2A-1_EFT (Annual)" xfId="8758"/>
    <cellStyle name="Total 20 2 5" xfId="4144"/>
    <cellStyle name="Total 20 2 5 2" xfId="12468"/>
    <cellStyle name="Total 20 2 5 2 2" xfId="24490"/>
    <cellStyle name="Total 20 2 5 2 2 2" xfId="45676"/>
    <cellStyle name="Total 20 2 5 2 3" xfId="35072"/>
    <cellStyle name="Total 20 2 5 3" xfId="19377"/>
    <cellStyle name="Total 20 2 5 3 2" xfId="40564"/>
    <cellStyle name="Total 20 2 5 4" xfId="29832"/>
    <cellStyle name="Total 20 2 5_Table 2A-1_EFT (Annual)" xfId="8760"/>
    <cellStyle name="Total 20 2 6" xfId="9807"/>
    <cellStyle name="Total 20 2 6 2" xfId="21944"/>
    <cellStyle name="Total 20 2 6 2 2" xfId="43130"/>
    <cellStyle name="Total 20 2 6 3" xfId="32526"/>
    <cellStyle name="Total 20 2 7" xfId="16831"/>
    <cellStyle name="Total 20 2 7 2" xfId="38018"/>
    <cellStyle name="Total 20 2 8" xfId="27089"/>
    <cellStyle name="Total 20 2_Table 2A-1_EFT (Annual)" xfId="3545"/>
    <cellStyle name="Total 20 3" xfId="412"/>
    <cellStyle name="Total 20 3 2" xfId="1395"/>
    <cellStyle name="Total 20 3 2 2" xfId="2665"/>
    <cellStyle name="Total 20 3 2 2 2" xfId="6226"/>
    <cellStyle name="Total 20 3 2 2 2 2" xfId="14420"/>
    <cellStyle name="Total 20 3 2 2 2 2 2" xfId="26392"/>
    <cellStyle name="Total 20 3 2 2 2 2 2 2" xfId="47578"/>
    <cellStyle name="Total 20 3 2 2 2 2 3" xfId="36974"/>
    <cellStyle name="Total 20 3 2 2 2 3" xfId="21279"/>
    <cellStyle name="Total 20 3 2 2 2 3 2" xfId="42466"/>
    <cellStyle name="Total 20 3 2 2 2 4" xfId="31882"/>
    <cellStyle name="Total 20 3 2 2 2_Table 2A-1_EFT (Annual)" xfId="8763"/>
    <cellStyle name="Total 20 3 2 2 3" xfId="11762"/>
    <cellStyle name="Total 20 3 2 2 3 2" xfId="23846"/>
    <cellStyle name="Total 20 3 2 2 3 2 2" xfId="45032"/>
    <cellStyle name="Total 20 3 2 2 3 3" xfId="34428"/>
    <cellStyle name="Total 20 3 2 2 4" xfId="18733"/>
    <cellStyle name="Total 20 3 2 2 4 2" xfId="39920"/>
    <cellStyle name="Total 20 3 2 2 5" xfId="29139"/>
    <cellStyle name="Total 20 3 2 2_Table 2A-1_EFT (Annual)" xfId="8762"/>
    <cellStyle name="Total 20 3 2 3" xfId="4956"/>
    <cellStyle name="Total 20 3 2 3 2" xfId="13216"/>
    <cellStyle name="Total 20 3 2 3 2 2" xfId="25222"/>
    <cellStyle name="Total 20 3 2 3 2 2 2" xfId="46408"/>
    <cellStyle name="Total 20 3 2 3 2 3" xfId="35804"/>
    <cellStyle name="Total 20 3 2 3 3" xfId="20109"/>
    <cellStyle name="Total 20 3 2 3 3 2" xfId="41296"/>
    <cellStyle name="Total 20 3 2 3 4" xfId="30613"/>
    <cellStyle name="Total 20 3 2 3_Table 2A-1_EFT (Annual)" xfId="8764"/>
    <cellStyle name="Total 20 3 2 4" xfId="10560"/>
    <cellStyle name="Total 20 3 2 4 2" xfId="22676"/>
    <cellStyle name="Total 20 3 2 4 2 2" xfId="43862"/>
    <cellStyle name="Total 20 3 2 4 3" xfId="33258"/>
    <cellStyle name="Total 20 3 2 5" xfId="17563"/>
    <cellStyle name="Total 20 3 2 5 2" xfId="38750"/>
    <cellStyle name="Total 20 3 2 6" xfId="27870"/>
    <cellStyle name="Total 20 3 2_Table 2A-1_EFT (Annual)" xfId="8761"/>
    <cellStyle name="Total 20 3 3" xfId="943"/>
    <cellStyle name="Total 20 3 3 2" xfId="4504"/>
    <cellStyle name="Total 20 3 3 2 2" xfId="12766"/>
    <cellStyle name="Total 20 3 3 2 2 2" xfId="24776"/>
    <cellStyle name="Total 20 3 3 2 2 2 2" xfId="45962"/>
    <cellStyle name="Total 20 3 3 2 2 3" xfId="35358"/>
    <cellStyle name="Total 20 3 3 2 3" xfId="19663"/>
    <cellStyle name="Total 20 3 3 2 3 2" xfId="40850"/>
    <cellStyle name="Total 20 3 3 2 4" xfId="30161"/>
    <cellStyle name="Total 20 3 3 2_Table 2A-1_EFT (Annual)" xfId="8766"/>
    <cellStyle name="Total 20 3 3 3" xfId="10113"/>
    <cellStyle name="Total 20 3 3 3 2" xfId="22230"/>
    <cellStyle name="Total 20 3 3 3 2 2" xfId="43416"/>
    <cellStyle name="Total 20 3 3 3 3" xfId="32812"/>
    <cellStyle name="Total 20 3 3 4" xfId="17117"/>
    <cellStyle name="Total 20 3 3 4 2" xfId="38304"/>
    <cellStyle name="Total 20 3 3 5" xfId="27418"/>
    <cellStyle name="Total 20 3 3_Table 2A-1_EFT (Annual)" xfId="8765"/>
    <cellStyle name="Total 20 3 4" xfId="2134"/>
    <cellStyle name="Total 20 3 4 2" xfId="5695"/>
    <cellStyle name="Total 20 3 4 2 2" xfId="13910"/>
    <cellStyle name="Total 20 3 4 2 2 2" xfId="25898"/>
    <cellStyle name="Total 20 3 4 2 2 2 2" xfId="47084"/>
    <cellStyle name="Total 20 3 4 2 2 3" xfId="36480"/>
    <cellStyle name="Total 20 3 4 2 3" xfId="20785"/>
    <cellStyle name="Total 20 3 4 2 3 2" xfId="41972"/>
    <cellStyle name="Total 20 3 4 2 4" xfId="31352"/>
    <cellStyle name="Total 20 3 4 2_Table 2A-1_EFT (Annual)" xfId="8768"/>
    <cellStyle name="Total 20 3 4 3" xfId="11254"/>
    <cellStyle name="Total 20 3 4 3 2" xfId="23352"/>
    <cellStyle name="Total 20 3 4 3 2 2" xfId="44538"/>
    <cellStyle name="Total 20 3 4 3 3" xfId="33934"/>
    <cellStyle name="Total 20 3 4 4" xfId="18239"/>
    <cellStyle name="Total 20 3 4 4 2" xfId="39426"/>
    <cellStyle name="Total 20 3 4 5" xfId="28609"/>
    <cellStyle name="Total 20 3 4_Table 2A-1_EFT (Annual)" xfId="8767"/>
    <cellStyle name="Total 20 3 5" xfId="3982"/>
    <cellStyle name="Total 20 3 5 2" xfId="12310"/>
    <cellStyle name="Total 20 3 5 2 2" xfId="24334"/>
    <cellStyle name="Total 20 3 5 2 2 2" xfId="45520"/>
    <cellStyle name="Total 20 3 5 2 3" xfId="34916"/>
    <cellStyle name="Total 20 3 5 3" xfId="19221"/>
    <cellStyle name="Total 20 3 5 3 2" xfId="40408"/>
    <cellStyle name="Total 20 3 5 4" xfId="29670"/>
    <cellStyle name="Total 20 3 5_Table 2A-1_EFT (Annual)" xfId="8769"/>
    <cellStyle name="Total 20 3 6" xfId="9647"/>
    <cellStyle name="Total 20 3 6 2" xfId="21788"/>
    <cellStyle name="Total 20 3 6 2 2" xfId="42974"/>
    <cellStyle name="Total 20 3 6 3" xfId="32370"/>
    <cellStyle name="Total 20 3 7" xfId="16675"/>
    <cellStyle name="Total 20 3 7 2" xfId="37862"/>
    <cellStyle name="Total 20 3 8" xfId="26927"/>
    <cellStyle name="Total 20 3_Table 2A-1_EFT (Annual)" xfId="3546"/>
    <cellStyle name="Total 20 4" xfId="1229"/>
    <cellStyle name="Total 20 4 2" xfId="2499"/>
    <cellStyle name="Total 20 4 2 2" xfId="6060"/>
    <cellStyle name="Total 20 4 2 2 2" xfId="14254"/>
    <cellStyle name="Total 20 4 2 2 2 2" xfId="26226"/>
    <cellStyle name="Total 20 4 2 2 2 2 2" xfId="47412"/>
    <cellStyle name="Total 20 4 2 2 2 3" xfId="36808"/>
    <cellStyle name="Total 20 4 2 2 3" xfId="21113"/>
    <cellStyle name="Total 20 4 2 2 3 2" xfId="42300"/>
    <cellStyle name="Total 20 4 2 2 4" xfId="31716"/>
    <cellStyle name="Total 20 4 2 2_Table 2A-1_EFT (Annual)" xfId="8772"/>
    <cellStyle name="Total 20 4 2 3" xfId="11596"/>
    <cellStyle name="Total 20 4 2 3 2" xfId="23680"/>
    <cellStyle name="Total 20 4 2 3 2 2" xfId="44866"/>
    <cellStyle name="Total 20 4 2 3 3" xfId="34262"/>
    <cellStyle name="Total 20 4 2 4" xfId="18567"/>
    <cellStyle name="Total 20 4 2 4 2" xfId="39754"/>
    <cellStyle name="Total 20 4 2 5" xfId="28973"/>
    <cellStyle name="Total 20 4 2_Table 2A-1_EFT (Annual)" xfId="8771"/>
    <cellStyle name="Total 20 4 3" xfId="4790"/>
    <cellStyle name="Total 20 4 3 2" xfId="13050"/>
    <cellStyle name="Total 20 4 3 2 2" xfId="25056"/>
    <cellStyle name="Total 20 4 3 2 2 2" xfId="46242"/>
    <cellStyle name="Total 20 4 3 2 3" xfId="35638"/>
    <cellStyle name="Total 20 4 3 3" xfId="19943"/>
    <cellStyle name="Total 20 4 3 3 2" xfId="41130"/>
    <cellStyle name="Total 20 4 3 4" xfId="30447"/>
    <cellStyle name="Total 20 4 3_Table 2A-1_EFT (Annual)" xfId="8773"/>
    <cellStyle name="Total 20 4 4" xfId="10394"/>
    <cellStyle name="Total 20 4 4 2" xfId="22510"/>
    <cellStyle name="Total 20 4 4 2 2" xfId="43696"/>
    <cellStyle name="Total 20 4 4 3" xfId="33092"/>
    <cellStyle name="Total 20 4 5" xfId="17397"/>
    <cellStyle name="Total 20 4 5 2" xfId="38584"/>
    <cellStyle name="Total 20 4 6" xfId="27704"/>
    <cellStyle name="Total 20 4_Table 2A-1_EFT (Annual)" xfId="8770"/>
    <cellStyle name="Total 20 5" xfId="784"/>
    <cellStyle name="Total 20 5 2" xfId="4345"/>
    <cellStyle name="Total 20 5 2 2" xfId="12625"/>
    <cellStyle name="Total 20 5 2 2 2" xfId="24642"/>
    <cellStyle name="Total 20 5 2 2 2 2" xfId="45828"/>
    <cellStyle name="Total 20 5 2 2 3" xfId="35224"/>
    <cellStyle name="Total 20 5 2 3" xfId="19529"/>
    <cellStyle name="Total 20 5 2 3 2" xfId="40716"/>
    <cellStyle name="Total 20 5 2 4" xfId="30002"/>
    <cellStyle name="Total 20 5 2_Table 2A-1_EFT (Annual)" xfId="8775"/>
    <cellStyle name="Total 20 5 3" xfId="9973"/>
    <cellStyle name="Total 20 5 3 2" xfId="22096"/>
    <cellStyle name="Total 20 5 3 2 2" xfId="43282"/>
    <cellStyle name="Total 20 5 3 3" xfId="32678"/>
    <cellStyle name="Total 20 5 4" xfId="16983"/>
    <cellStyle name="Total 20 5 4 2" xfId="38170"/>
    <cellStyle name="Total 20 5 5" xfId="27259"/>
    <cellStyle name="Total 20 5_Table 2A-1_EFT (Annual)" xfId="8774"/>
    <cellStyle name="Total 20 6" xfId="1968"/>
    <cellStyle name="Total 20 6 2" xfId="5529"/>
    <cellStyle name="Total 20 6 2 2" xfId="13744"/>
    <cellStyle name="Total 20 6 2 2 2" xfId="25732"/>
    <cellStyle name="Total 20 6 2 2 2 2" xfId="46918"/>
    <cellStyle name="Total 20 6 2 2 3" xfId="36314"/>
    <cellStyle name="Total 20 6 2 3" xfId="20619"/>
    <cellStyle name="Total 20 6 2 3 2" xfId="41806"/>
    <cellStyle name="Total 20 6 2 4" xfId="31186"/>
    <cellStyle name="Total 20 6 2_Table 2A-1_EFT (Annual)" xfId="8777"/>
    <cellStyle name="Total 20 6 3" xfId="11088"/>
    <cellStyle name="Total 20 6 3 2" xfId="23186"/>
    <cellStyle name="Total 20 6 3 2 2" xfId="44372"/>
    <cellStyle name="Total 20 6 3 3" xfId="33768"/>
    <cellStyle name="Total 20 6 4" xfId="18073"/>
    <cellStyle name="Total 20 6 4 2" xfId="39260"/>
    <cellStyle name="Total 20 6 5" xfId="28443"/>
    <cellStyle name="Total 20 6_Table 2A-1_EFT (Annual)" xfId="8776"/>
    <cellStyle name="Total 20 7" xfId="3770"/>
    <cellStyle name="Total 20 7 2" xfId="12138"/>
    <cellStyle name="Total 20 7 2 2" xfId="24168"/>
    <cellStyle name="Total 20 7 2 2 2" xfId="45354"/>
    <cellStyle name="Total 20 7 2 3" xfId="34750"/>
    <cellStyle name="Total 20 7 3" xfId="19055"/>
    <cellStyle name="Total 20 7 3 2" xfId="40242"/>
    <cellStyle name="Total 20 7 4" xfId="29479"/>
    <cellStyle name="Total 20 7_Table 2A-1_EFT (Annual)" xfId="8778"/>
    <cellStyle name="Total 20 8" xfId="9457"/>
    <cellStyle name="Total 20 8 2" xfId="21622"/>
    <cellStyle name="Total 20 8 2 2" xfId="42808"/>
    <cellStyle name="Total 20 8 3" xfId="32204"/>
    <cellStyle name="Total 20 9" xfId="16509"/>
    <cellStyle name="Total 20 9 2" xfId="37696"/>
    <cellStyle name="Total 20_Table 2A-1_EFT (Annual)" xfId="3544"/>
    <cellStyle name="Total 21" xfId="199"/>
    <cellStyle name="Total 21 10" xfId="26754"/>
    <cellStyle name="Total 21 2" xfId="592"/>
    <cellStyle name="Total 21 2 2" xfId="1569"/>
    <cellStyle name="Total 21 2 2 2" xfId="2839"/>
    <cellStyle name="Total 21 2 2 2 2" xfId="6400"/>
    <cellStyle name="Total 21 2 2 2 2 2" xfId="14594"/>
    <cellStyle name="Total 21 2 2 2 2 2 2" xfId="26566"/>
    <cellStyle name="Total 21 2 2 2 2 2 2 2" xfId="47752"/>
    <cellStyle name="Total 21 2 2 2 2 2 3" xfId="37148"/>
    <cellStyle name="Total 21 2 2 2 2 3" xfId="21453"/>
    <cellStyle name="Total 21 2 2 2 2 3 2" xfId="42640"/>
    <cellStyle name="Total 21 2 2 2 2 4" xfId="32056"/>
    <cellStyle name="Total 21 2 2 2 2_Table 2A-1_EFT (Annual)" xfId="8781"/>
    <cellStyle name="Total 21 2 2 2 3" xfId="11936"/>
    <cellStyle name="Total 21 2 2 2 3 2" xfId="24020"/>
    <cellStyle name="Total 21 2 2 2 3 2 2" xfId="45206"/>
    <cellStyle name="Total 21 2 2 2 3 3" xfId="34602"/>
    <cellStyle name="Total 21 2 2 2 4" xfId="18907"/>
    <cellStyle name="Total 21 2 2 2 4 2" xfId="40094"/>
    <cellStyle name="Total 21 2 2 2 5" xfId="29313"/>
    <cellStyle name="Total 21 2 2 2_Table 2A-1_EFT (Annual)" xfId="8780"/>
    <cellStyle name="Total 21 2 2 3" xfId="5130"/>
    <cellStyle name="Total 21 2 2 3 2" xfId="13390"/>
    <cellStyle name="Total 21 2 2 3 2 2" xfId="25396"/>
    <cellStyle name="Total 21 2 2 3 2 2 2" xfId="46582"/>
    <cellStyle name="Total 21 2 2 3 2 3" xfId="35978"/>
    <cellStyle name="Total 21 2 2 3 3" xfId="20283"/>
    <cellStyle name="Total 21 2 2 3 3 2" xfId="41470"/>
    <cellStyle name="Total 21 2 2 3 4" xfId="30787"/>
    <cellStyle name="Total 21 2 2 3_Table 2A-1_EFT (Annual)" xfId="8782"/>
    <cellStyle name="Total 21 2 2 4" xfId="10734"/>
    <cellStyle name="Total 21 2 2 4 2" xfId="22850"/>
    <cellStyle name="Total 21 2 2 4 2 2" xfId="44036"/>
    <cellStyle name="Total 21 2 2 4 3" xfId="33432"/>
    <cellStyle name="Total 21 2 2 5" xfId="17737"/>
    <cellStyle name="Total 21 2 2 5 2" xfId="38924"/>
    <cellStyle name="Total 21 2 2 6" xfId="28044"/>
    <cellStyle name="Total 21 2 2_Table 2A-1_EFT (Annual)" xfId="8779"/>
    <cellStyle name="Total 21 2 3" xfId="1090"/>
    <cellStyle name="Total 21 2 3 2" xfId="4651"/>
    <cellStyle name="Total 21 2 3 2 2" xfId="12911"/>
    <cellStyle name="Total 21 2 3 2 2 2" xfId="24917"/>
    <cellStyle name="Total 21 2 3 2 2 2 2" xfId="46103"/>
    <cellStyle name="Total 21 2 3 2 2 3" xfId="35499"/>
    <cellStyle name="Total 21 2 3 2 3" xfId="19804"/>
    <cellStyle name="Total 21 2 3 2 3 2" xfId="40991"/>
    <cellStyle name="Total 21 2 3 2 4" xfId="30308"/>
    <cellStyle name="Total 21 2 3 2_Table 2A-1_EFT (Annual)" xfId="8784"/>
    <cellStyle name="Total 21 2 3 3" xfId="10255"/>
    <cellStyle name="Total 21 2 3 3 2" xfId="22371"/>
    <cellStyle name="Total 21 2 3 3 2 2" xfId="43557"/>
    <cellStyle name="Total 21 2 3 3 3" xfId="32953"/>
    <cellStyle name="Total 21 2 3 4" xfId="17258"/>
    <cellStyle name="Total 21 2 3 4 2" xfId="38445"/>
    <cellStyle name="Total 21 2 3 5" xfId="27565"/>
    <cellStyle name="Total 21 2 3_Table 2A-1_EFT (Annual)" xfId="8783"/>
    <cellStyle name="Total 21 2 4" xfId="2308"/>
    <cellStyle name="Total 21 2 4 2" xfId="5869"/>
    <cellStyle name="Total 21 2 4 2 2" xfId="14084"/>
    <cellStyle name="Total 21 2 4 2 2 2" xfId="26072"/>
    <cellStyle name="Total 21 2 4 2 2 2 2" xfId="47258"/>
    <cellStyle name="Total 21 2 4 2 2 3" xfId="36654"/>
    <cellStyle name="Total 21 2 4 2 3" xfId="20959"/>
    <cellStyle name="Total 21 2 4 2 3 2" xfId="42146"/>
    <cellStyle name="Total 21 2 4 2 4" xfId="31526"/>
    <cellStyle name="Total 21 2 4 2_Table 2A-1_EFT (Annual)" xfId="8786"/>
    <cellStyle name="Total 21 2 4 3" xfId="11428"/>
    <cellStyle name="Total 21 2 4 3 2" xfId="23526"/>
    <cellStyle name="Total 21 2 4 3 2 2" xfId="44712"/>
    <cellStyle name="Total 21 2 4 3 3" xfId="34108"/>
    <cellStyle name="Total 21 2 4 4" xfId="18413"/>
    <cellStyle name="Total 21 2 4 4 2" xfId="39600"/>
    <cellStyle name="Total 21 2 4 5" xfId="28783"/>
    <cellStyle name="Total 21 2 4_Table 2A-1_EFT (Annual)" xfId="8785"/>
    <cellStyle name="Total 21 2 5" xfId="4162"/>
    <cellStyle name="Total 21 2 5 2" xfId="12486"/>
    <cellStyle name="Total 21 2 5 2 2" xfId="24508"/>
    <cellStyle name="Total 21 2 5 2 2 2" xfId="45694"/>
    <cellStyle name="Total 21 2 5 2 3" xfId="35090"/>
    <cellStyle name="Total 21 2 5 3" xfId="19395"/>
    <cellStyle name="Total 21 2 5 3 2" xfId="40582"/>
    <cellStyle name="Total 21 2 5 4" xfId="29850"/>
    <cellStyle name="Total 21 2 5_Table 2A-1_EFT (Annual)" xfId="8787"/>
    <cellStyle name="Total 21 2 6" xfId="9825"/>
    <cellStyle name="Total 21 2 6 2" xfId="21962"/>
    <cellStyle name="Total 21 2 6 2 2" xfId="43148"/>
    <cellStyle name="Total 21 2 6 3" xfId="32544"/>
    <cellStyle name="Total 21 2 7" xfId="16849"/>
    <cellStyle name="Total 21 2 7 2" xfId="38036"/>
    <cellStyle name="Total 21 2 8" xfId="27107"/>
    <cellStyle name="Total 21 2_Table 2A-1_EFT (Annual)" xfId="3548"/>
    <cellStyle name="Total 21 3" xfId="428"/>
    <cellStyle name="Total 21 3 2" xfId="1411"/>
    <cellStyle name="Total 21 3 2 2" xfId="2681"/>
    <cellStyle name="Total 21 3 2 2 2" xfId="6242"/>
    <cellStyle name="Total 21 3 2 2 2 2" xfId="14436"/>
    <cellStyle name="Total 21 3 2 2 2 2 2" xfId="26408"/>
    <cellStyle name="Total 21 3 2 2 2 2 2 2" xfId="47594"/>
    <cellStyle name="Total 21 3 2 2 2 2 3" xfId="36990"/>
    <cellStyle name="Total 21 3 2 2 2 3" xfId="21295"/>
    <cellStyle name="Total 21 3 2 2 2 3 2" xfId="42482"/>
    <cellStyle name="Total 21 3 2 2 2 4" xfId="31898"/>
    <cellStyle name="Total 21 3 2 2 2_Table 2A-1_EFT (Annual)" xfId="8790"/>
    <cellStyle name="Total 21 3 2 2 3" xfId="11778"/>
    <cellStyle name="Total 21 3 2 2 3 2" xfId="23862"/>
    <cellStyle name="Total 21 3 2 2 3 2 2" xfId="45048"/>
    <cellStyle name="Total 21 3 2 2 3 3" xfId="34444"/>
    <cellStyle name="Total 21 3 2 2 4" xfId="18749"/>
    <cellStyle name="Total 21 3 2 2 4 2" xfId="39936"/>
    <cellStyle name="Total 21 3 2 2 5" xfId="29155"/>
    <cellStyle name="Total 21 3 2 2_Table 2A-1_EFT (Annual)" xfId="8789"/>
    <cellStyle name="Total 21 3 2 3" xfId="4972"/>
    <cellStyle name="Total 21 3 2 3 2" xfId="13232"/>
    <cellStyle name="Total 21 3 2 3 2 2" xfId="25238"/>
    <cellStyle name="Total 21 3 2 3 2 2 2" xfId="46424"/>
    <cellStyle name="Total 21 3 2 3 2 3" xfId="35820"/>
    <cellStyle name="Total 21 3 2 3 3" xfId="20125"/>
    <cellStyle name="Total 21 3 2 3 3 2" xfId="41312"/>
    <cellStyle name="Total 21 3 2 3 4" xfId="30629"/>
    <cellStyle name="Total 21 3 2 3_Table 2A-1_EFT (Annual)" xfId="8791"/>
    <cellStyle name="Total 21 3 2 4" xfId="10576"/>
    <cellStyle name="Total 21 3 2 4 2" xfId="22692"/>
    <cellStyle name="Total 21 3 2 4 2 2" xfId="43878"/>
    <cellStyle name="Total 21 3 2 4 3" xfId="33274"/>
    <cellStyle name="Total 21 3 2 5" xfId="17579"/>
    <cellStyle name="Total 21 3 2 5 2" xfId="38766"/>
    <cellStyle name="Total 21 3 2 6" xfId="27886"/>
    <cellStyle name="Total 21 3 2_Table 2A-1_EFT (Annual)" xfId="8788"/>
    <cellStyle name="Total 21 3 3" xfId="956"/>
    <cellStyle name="Total 21 3 3 2" xfId="4517"/>
    <cellStyle name="Total 21 3 3 2 2" xfId="12779"/>
    <cellStyle name="Total 21 3 3 2 2 2" xfId="24789"/>
    <cellStyle name="Total 21 3 3 2 2 2 2" xfId="45975"/>
    <cellStyle name="Total 21 3 3 2 2 3" xfId="35371"/>
    <cellStyle name="Total 21 3 3 2 3" xfId="19676"/>
    <cellStyle name="Total 21 3 3 2 3 2" xfId="40863"/>
    <cellStyle name="Total 21 3 3 2 4" xfId="30174"/>
    <cellStyle name="Total 21 3 3 2_Table 2A-1_EFT (Annual)" xfId="8793"/>
    <cellStyle name="Total 21 3 3 3" xfId="10126"/>
    <cellStyle name="Total 21 3 3 3 2" xfId="22243"/>
    <cellStyle name="Total 21 3 3 3 2 2" xfId="43429"/>
    <cellStyle name="Total 21 3 3 3 3" xfId="32825"/>
    <cellStyle name="Total 21 3 3 4" xfId="17130"/>
    <cellStyle name="Total 21 3 3 4 2" xfId="38317"/>
    <cellStyle name="Total 21 3 3 5" xfId="27431"/>
    <cellStyle name="Total 21 3 3_Table 2A-1_EFT (Annual)" xfId="8792"/>
    <cellStyle name="Total 21 3 4" xfId="2150"/>
    <cellStyle name="Total 21 3 4 2" xfId="5711"/>
    <cellStyle name="Total 21 3 4 2 2" xfId="13926"/>
    <cellStyle name="Total 21 3 4 2 2 2" xfId="25914"/>
    <cellStyle name="Total 21 3 4 2 2 2 2" xfId="47100"/>
    <cellStyle name="Total 21 3 4 2 2 3" xfId="36496"/>
    <cellStyle name="Total 21 3 4 2 3" xfId="20801"/>
    <cellStyle name="Total 21 3 4 2 3 2" xfId="41988"/>
    <cellStyle name="Total 21 3 4 2 4" xfId="31368"/>
    <cellStyle name="Total 21 3 4 2_Table 2A-1_EFT (Annual)" xfId="8795"/>
    <cellStyle name="Total 21 3 4 3" xfId="11270"/>
    <cellStyle name="Total 21 3 4 3 2" xfId="23368"/>
    <cellStyle name="Total 21 3 4 3 2 2" xfId="44554"/>
    <cellStyle name="Total 21 3 4 3 3" xfId="33950"/>
    <cellStyle name="Total 21 3 4 4" xfId="18255"/>
    <cellStyle name="Total 21 3 4 4 2" xfId="39442"/>
    <cellStyle name="Total 21 3 4 5" xfId="28625"/>
    <cellStyle name="Total 21 3 4_Table 2A-1_EFT (Annual)" xfId="8794"/>
    <cellStyle name="Total 21 3 5" xfId="3998"/>
    <cellStyle name="Total 21 3 5 2" xfId="12326"/>
    <cellStyle name="Total 21 3 5 2 2" xfId="24350"/>
    <cellStyle name="Total 21 3 5 2 2 2" xfId="45536"/>
    <cellStyle name="Total 21 3 5 2 3" xfId="34932"/>
    <cellStyle name="Total 21 3 5 3" xfId="19237"/>
    <cellStyle name="Total 21 3 5 3 2" xfId="40424"/>
    <cellStyle name="Total 21 3 5 4" xfId="29686"/>
    <cellStyle name="Total 21 3 5_Table 2A-1_EFT (Annual)" xfId="8796"/>
    <cellStyle name="Total 21 3 6" xfId="9663"/>
    <cellStyle name="Total 21 3 6 2" xfId="21804"/>
    <cellStyle name="Total 21 3 6 2 2" xfId="42990"/>
    <cellStyle name="Total 21 3 6 3" xfId="32386"/>
    <cellStyle name="Total 21 3 7" xfId="16691"/>
    <cellStyle name="Total 21 3 7 2" xfId="37878"/>
    <cellStyle name="Total 21 3 8" xfId="26943"/>
    <cellStyle name="Total 21 3_Table 2A-1_EFT (Annual)" xfId="3549"/>
    <cellStyle name="Total 21 4" xfId="1247"/>
    <cellStyle name="Total 21 4 2" xfId="2517"/>
    <cellStyle name="Total 21 4 2 2" xfId="6078"/>
    <cellStyle name="Total 21 4 2 2 2" xfId="14272"/>
    <cellStyle name="Total 21 4 2 2 2 2" xfId="26244"/>
    <cellStyle name="Total 21 4 2 2 2 2 2" xfId="47430"/>
    <cellStyle name="Total 21 4 2 2 2 3" xfId="36826"/>
    <cellStyle name="Total 21 4 2 2 3" xfId="21131"/>
    <cellStyle name="Total 21 4 2 2 3 2" xfId="42318"/>
    <cellStyle name="Total 21 4 2 2 4" xfId="31734"/>
    <cellStyle name="Total 21 4 2 2_Table 2A-1_EFT (Annual)" xfId="8799"/>
    <cellStyle name="Total 21 4 2 3" xfId="11614"/>
    <cellStyle name="Total 21 4 2 3 2" xfId="23698"/>
    <cellStyle name="Total 21 4 2 3 2 2" xfId="44884"/>
    <cellStyle name="Total 21 4 2 3 3" xfId="34280"/>
    <cellStyle name="Total 21 4 2 4" xfId="18585"/>
    <cellStyle name="Total 21 4 2 4 2" xfId="39772"/>
    <cellStyle name="Total 21 4 2 5" xfId="28991"/>
    <cellStyle name="Total 21 4 2_Table 2A-1_EFT (Annual)" xfId="8798"/>
    <cellStyle name="Total 21 4 3" xfId="4808"/>
    <cellStyle name="Total 21 4 3 2" xfId="13068"/>
    <cellStyle name="Total 21 4 3 2 2" xfId="25074"/>
    <cellStyle name="Total 21 4 3 2 2 2" xfId="46260"/>
    <cellStyle name="Total 21 4 3 2 3" xfId="35656"/>
    <cellStyle name="Total 21 4 3 3" xfId="19961"/>
    <cellStyle name="Total 21 4 3 3 2" xfId="41148"/>
    <cellStyle name="Total 21 4 3 4" xfId="30465"/>
    <cellStyle name="Total 21 4 3_Table 2A-1_EFT (Annual)" xfId="8800"/>
    <cellStyle name="Total 21 4 4" xfId="10412"/>
    <cellStyle name="Total 21 4 4 2" xfId="22528"/>
    <cellStyle name="Total 21 4 4 2 2" xfId="43714"/>
    <cellStyle name="Total 21 4 4 3" xfId="33110"/>
    <cellStyle name="Total 21 4 5" xfId="17415"/>
    <cellStyle name="Total 21 4 5 2" xfId="38602"/>
    <cellStyle name="Total 21 4 6" xfId="27722"/>
    <cellStyle name="Total 21 4_Table 2A-1_EFT (Annual)" xfId="8797"/>
    <cellStyle name="Total 21 5" xfId="799"/>
    <cellStyle name="Total 21 5 2" xfId="4360"/>
    <cellStyle name="Total 21 5 2 2" xfId="12640"/>
    <cellStyle name="Total 21 5 2 2 2" xfId="24657"/>
    <cellStyle name="Total 21 5 2 2 2 2" xfId="45843"/>
    <cellStyle name="Total 21 5 2 2 3" xfId="35239"/>
    <cellStyle name="Total 21 5 2 3" xfId="19544"/>
    <cellStyle name="Total 21 5 2 3 2" xfId="40731"/>
    <cellStyle name="Total 21 5 2 4" xfId="30017"/>
    <cellStyle name="Total 21 5 2_Table 2A-1_EFT (Annual)" xfId="8802"/>
    <cellStyle name="Total 21 5 3" xfId="9988"/>
    <cellStyle name="Total 21 5 3 2" xfId="22111"/>
    <cellStyle name="Total 21 5 3 2 2" xfId="43297"/>
    <cellStyle name="Total 21 5 3 3" xfId="32693"/>
    <cellStyle name="Total 21 5 4" xfId="16998"/>
    <cellStyle name="Total 21 5 4 2" xfId="38185"/>
    <cellStyle name="Total 21 5 5" xfId="27274"/>
    <cellStyle name="Total 21 5_Table 2A-1_EFT (Annual)" xfId="8801"/>
    <cellStyle name="Total 21 6" xfId="1986"/>
    <cellStyle name="Total 21 6 2" xfId="5547"/>
    <cellStyle name="Total 21 6 2 2" xfId="13762"/>
    <cellStyle name="Total 21 6 2 2 2" xfId="25750"/>
    <cellStyle name="Total 21 6 2 2 2 2" xfId="46936"/>
    <cellStyle name="Total 21 6 2 2 3" xfId="36332"/>
    <cellStyle name="Total 21 6 2 3" xfId="20637"/>
    <cellStyle name="Total 21 6 2 3 2" xfId="41824"/>
    <cellStyle name="Total 21 6 2 4" xfId="31204"/>
    <cellStyle name="Total 21 6 2_Table 2A-1_EFT (Annual)" xfId="8804"/>
    <cellStyle name="Total 21 6 3" xfId="11106"/>
    <cellStyle name="Total 21 6 3 2" xfId="23204"/>
    <cellStyle name="Total 21 6 3 2 2" xfId="44390"/>
    <cellStyle name="Total 21 6 3 3" xfId="33786"/>
    <cellStyle name="Total 21 6 4" xfId="18091"/>
    <cellStyle name="Total 21 6 4 2" xfId="39278"/>
    <cellStyle name="Total 21 6 5" xfId="28461"/>
    <cellStyle name="Total 21 6_Table 2A-1_EFT (Annual)" xfId="8803"/>
    <cellStyle name="Total 21 7" xfId="3788"/>
    <cellStyle name="Total 21 7 2" xfId="12156"/>
    <cellStyle name="Total 21 7 2 2" xfId="24186"/>
    <cellStyle name="Total 21 7 2 2 2" xfId="45372"/>
    <cellStyle name="Total 21 7 2 3" xfId="34768"/>
    <cellStyle name="Total 21 7 3" xfId="19073"/>
    <cellStyle name="Total 21 7 3 2" xfId="40260"/>
    <cellStyle name="Total 21 7 4" xfId="29497"/>
    <cellStyle name="Total 21 7_Table 2A-1_EFT (Annual)" xfId="8805"/>
    <cellStyle name="Total 21 8" xfId="9475"/>
    <cellStyle name="Total 21 8 2" xfId="21640"/>
    <cellStyle name="Total 21 8 2 2" xfId="42826"/>
    <cellStyle name="Total 21 8 3" xfId="32222"/>
    <cellStyle name="Total 21 9" xfId="16527"/>
    <cellStyle name="Total 21 9 2" xfId="37714"/>
    <cellStyle name="Total 21_Table 2A-1_EFT (Annual)" xfId="3547"/>
    <cellStyle name="Total 22" xfId="211"/>
    <cellStyle name="Total 22 10" xfId="26766"/>
    <cellStyle name="Total 22 2" xfId="604"/>
    <cellStyle name="Total 22 2 2" xfId="1581"/>
    <cellStyle name="Total 22 2 2 2" xfId="2851"/>
    <cellStyle name="Total 22 2 2 2 2" xfId="6412"/>
    <cellStyle name="Total 22 2 2 2 2 2" xfId="14606"/>
    <cellStyle name="Total 22 2 2 2 2 2 2" xfId="26578"/>
    <cellStyle name="Total 22 2 2 2 2 2 2 2" xfId="47764"/>
    <cellStyle name="Total 22 2 2 2 2 2 3" xfId="37160"/>
    <cellStyle name="Total 22 2 2 2 2 3" xfId="21465"/>
    <cellStyle name="Total 22 2 2 2 2 3 2" xfId="42652"/>
    <cellStyle name="Total 22 2 2 2 2 4" xfId="32068"/>
    <cellStyle name="Total 22 2 2 2 2_Table 2A-1_EFT (Annual)" xfId="8808"/>
    <cellStyle name="Total 22 2 2 2 3" xfId="11948"/>
    <cellStyle name="Total 22 2 2 2 3 2" xfId="24032"/>
    <cellStyle name="Total 22 2 2 2 3 2 2" xfId="45218"/>
    <cellStyle name="Total 22 2 2 2 3 3" xfId="34614"/>
    <cellStyle name="Total 22 2 2 2 4" xfId="18919"/>
    <cellStyle name="Total 22 2 2 2 4 2" xfId="40106"/>
    <cellStyle name="Total 22 2 2 2 5" xfId="29325"/>
    <cellStyle name="Total 22 2 2 2_Table 2A-1_EFT (Annual)" xfId="8807"/>
    <cellStyle name="Total 22 2 2 3" xfId="5142"/>
    <cellStyle name="Total 22 2 2 3 2" xfId="13402"/>
    <cellStyle name="Total 22 2 2 3 2 2" xfId="25408"/>
    <cellStyle name="Total 22 2 2 3 2 2 2" xfId="46594"/>
    <cellStyle name="Total 22 2 2 3 2 3" xfId="35990"/>
    <cellStyle name="Total 22 2 2 3 3" xfId="20295"/>
    <cellStyle name="Total 22 2 2 3 3 2" xfId="41482"/>
    <cellStyle name="Total 22 2 2 3 4" xfId="30799"/>
    <cellStyle name="Total 22 2 2 3_Table 2A-1_EFT (Annual)" xfId="8809"/>
    <cellStyle name="Total 22 2 2 4" xfId="10746"/>
    <cellStyle name="Total 22 2 2 4 2" xfId="22862"/>
    <cellStyle name="Total 22 2 2 4 2 2" xfId="44048"/>
    <cellStyle name="Total 22 2 2 4 3" xfId="33444"/>
    <cellStyle name="Total 22 2 2 5" xfId="17749"/>
    <cellStyle name="Total 22 2 2 5 2" xfId="38936"/>
    <cellStyle name="Total 22 2 2 6" xfId="28056"/>
    <cellStyle name="Total 22 2 2_Table 2A-1_EFT (Annual)" xfId="8806"/>
    <cellStyle name="Total 22 2 3" xfId="1099"/>
    <cellStyle name="Total 22 2 3 2" xfId="4660"/>
    <cellStyle name="Total 22 2 3 2 2" xfId="12920"/>
    <cellStyle name="Total 22 2 3 2 2 2" xfId="24926"/>
    <cellStyle name="Total 22 2 3 2 2 2 2" xfId="46112"/>
    <cellStyle name="Total 22 2 3 2 2 3" xfId="35508"/>
    <cellStyle name="Total 22 2 3 2 3" xfId="19813"/>
    <cellStyle name="Total 22 2 3 2 3 2" xfId="41000"/>
    <cellStyle name="Total 22 2 3 2 4" xfId="30317"/>
    <cellStyle name="Total 22 2 3 2_Table 2A-1_EFT (Annual)" xfId="8811"/>
    <cellStyle name="Total 22 2 3 3" xfId="10264"/>
    <cellStyle name="Total 22 2 3 3 2" xfId="22380"/>
    <cellStyle name="Total 22 2 3 3 2 2" xfId="43566"/>
    <cellStyle name="Total 22 2 3 3 3" xfId="32962"/>
    <cellStyle name="Total 22 2 3 4" xfId="17267"/>
    <cellStyle name="Total 22 2 3 4 2" xfId="38454"/>
    <cellStyle name="Total 22 2 3 5" xfId="27574"/>
    <cellStyle name="Total 22 2 3_Table 2A-1_EFT (Annual)" xfId="8810"/>
    <cellStyle name="Total 22 2 4" xfId="2320"/>
    <cellStyle name="Total 22 2 4 2" xfId="5881"/>
    <cellStyle name="Total 22 2 4 2 2" xfId="14096"/>
    <cellStyle name="Total 22 2 4 2 2 2" xfId="26084"/>
    <cellStyle name="Total 22 2 4 2 2 2 2" xfId="47270"/>
    <cellStyle name="Total 22 2 4 2 2 3" xfId="36666"/>
    <cellStyle name="Total 22 2 4 2 3" xfId="20971"/>
    <cellStyle name="Total 22 2 4 2 3 2" xfId="42158"/>
    <cellStyle name="Total 22 2 4 2 4" xfId="31538"/>
    <cellStyle name="Total 22 2 4 2_Table 2A-1_EFT (Annual)" xfId="8813"/>
    <cellStyle name="Total 22 2 4 3" xfId="11440"/>
    <cellStyle name="Total 22 2 4 3 2" xfId="23538"/>
    <cellStyle name="Total 22 2 4 3 2 2" xfId="44724"/>
    <cellStyle name="Total 22 2 4 3 3" xfId="34120"/>
    <cellStyle name="Total 22 2 4 4" xfId="18425"/>
    <cellStyle name="Total 22 2 4 4 2" xfId="39612"/>
    <cellStyle name="Total 22 2 4 5" xfId="28795"/>
    <cellStyle name="Total 22 2 4_Table 2A-1_EFT (Annual)" xfId="8812"/>
    <cellStyle name="Total 22 2 5" xfId="4174"/>
    <cellStyle name="Total 22 2 5 2" xfId="12498"/>
    <cellStyle name="Total 22 2 5 2 2" xfId="24520"/>
    <cellStyle name="Total 22 2 5 2 2 2" xfId="45706"/>
    <cellStyle name="Total 22 2 5 2 3" xfId="35102"/>
    <cellStyle name="Total 22 2 5 3" xfId="19407"/>
    <cellStyle name="Total 22 2 5 3 2" xfId="40594"/>
    <cellStyle name="Total 22 2 5 4" xfId="29862"/>
    <cellStyle name="Total 22 2 5_Table 2A-1_EFT (Annual)" xfId="8814"/>
    <cellStyle name="Total 22 2 6" xfId="9837"/>
    <cellStyle name="Total 22 2 6 2" xfId="21974"/>
    <cellStyle name="Total 22 2 6 2 2" xfId="43160"/>
    <cellStyle name="Total 22 2 6 3" xfId="32556"/>
    <cellStyle name="Total 22 2 7" xfId="16861"/>
    <cellStyle name="Total 22 2 7 2" xfId="38048"/>
    <cellStyle name="Total 22 2 8" xfId="27119"/>
    <cellStyle name="Total 22 2_Table 2A-1_EFT (Annual)" xfId="3551"/>
    <cellStyle name="Total 22 3" xfId="439"/>
    <cellStyle name="Total 22 3 2" xfId="1422"/>
    <cellStyle name="Total 22 3 2 2" xfId="2692"/>
    <cellStyle name="Total 22 3 2 2 2" xfId="6253"/>
    <cellStyle name="Total 22 3 2 2 2 2" xfId="14447"/>
    <cellStyle name="Total 22 3 2 2 2 2 2" xfId="26419"/>
    <cellStyle name="Total 22 3 2 2 2 2 2 2" xfId="47605"/>
    <cellStyle name="Total 22 3 2 2 2 2 3" xfId="37001"/>
    <cellStyle name="Total 22 3 2 2 2 3" xfId="21306"/>
    <cellStyle name="Total 22 3 2 2 2 3 2" xfId="42493"/>
    <cellStyle name="Total 22 3 2 2 2 4" xfId="31909"/>
    <cellStyle name="Total 22 3 2 2 2_Table 2A-1_EFT (Annual)" xfId="8817"/>
    <cellStyle name="Total 22 3 2 2 3" xfId="11789"/>
    <cellStyle name="Total 22 3 2 2 3 2" xfId="23873"/>
    <cellStyle name="Total 22 3 2 2 3 2 2" xfId="45059"/>
    <cellStyle name="Total 22 3 2 2 3 3" xfId="34455"/>
    <cellStyle name="Total 22 3 2 2 4" xfId="18760"/>
    <cellStyle name="Total 22 3 2 2 4 2" xfId="39947"/>
    <cellStyle name="Total 22 3 2 2 5" xfId="29166"/>
    <cellStyle name="Total 22 3 2 2_Table 2A-1_EFT (Annual)" xfId="8816"/>
    <cellStyle name="Total 22 3 2 3" xfId="4983"/>
    <cellStyle name="Total 22 3 2 3 2" xfId="13243"/>
    <cellStyle name="Total 22 3 2 3 2 2" xfId="25249"/>
    <cellStyle name="Total 22 3 2 3 2 2 2" xfId="46435"/>
    <cellStyle name="Total 22 3 2 3 2 3" xfId="35831"/>
    <cellStyle name="Total 22 3 2 3 3" xfId="20136"/>
    <cellStyle name="Total 22 3 2 3 3 2" xfId="41323"/>
    <cellStyle name="Total 22 3 2 3 4" xfId="30640"/>
    <cellStyle name="Total 22 3 2 3_Table 2A-1_EFT (Annual)" xfId="8818"/>
    <cellStyle name="Total 22 3 2 4" xfId="10587"/>
    <cellStyle name="Total 22 3 2 4 2" xfId="22703"/>
    <cellStyle name="Total 22 3 2 4 2 2" xfId="43889"/>
    <cellStyle name="Total 22 3 2 4 3" xfId="33285"/>
    <cellStyle name="Total 22 3 2 5" xfId="17590"/>
    <cellStyle name="Total 22 3 2 5 2" xfId="38777"/>
    <cellStyle name="Total 22 3 2 6" xfId="27897"/>
    <cellStyle name="Total 22 3 2_Table 2A-1_EFT (Annual)" xfId="8815"/>
    <cellStyle name="Total 22 3 3" xfId="964"/>
    <cellStyle name="Total 22 3 3 2" xfId="4525"/>
    <cellStyle name="Total 22 3 3 2 2" xfId="12787"/>
    <cellStyle name="Total 22 3 3 2 2 2" xfId="24797"/>
    <cellStyle name="Total 22 3 3 2 2 2 2" xfId="45983"/>
    <cellStyle name="Total 22 3 3 2 2 3" xfId="35379"/>
    <cellStyle name="Total 22 3 3 2 3" xfId="19684"/>
    <cellStyle name="Total 22 3 3 2 3 2" xfId="40871"/>
    <cellStyle name="Total 22 3 3 2 4" xfId="30182"/>
    <cellStyle name="Total 22 3 3 2_Table 2A-1_EFT (Annual)" xfId="8820"/>
    <cellStyle name="Total 22 3 3 3" xfId="10134"/>
    <cellStyle name="Total 22 3 3 3 2" xfId="22251"/>
    <cellStyle name="Total 22 3 3 3 2 2" xfId="43437"/>
    <cellStyle name="Total 22 3 3 3 3" xfId="32833"/>
    <cellStyle name="Total 22 3 3 4" xfId="17138"/>
    <cellStyle name="Total 22 3 3 4 2" xfId="38325"/>
    <cellStyle name="Total 22 3 3 5" xfId="27439"/>
    <cellStyle name="Total 22 3 3_Table 2A-1_EFT (Annual)" xfId="8819"/>
    <cellStyle name="Total 22 3 4" xfId="2161"/>
    <cellStyle name="Total 22 3 4 2" xfId="5722"/>
    <cellStyle name="Total 22 3 4 2 2" xfId="13937"/>
    <cellStyle name="Total 22 3 4 2 2 2" xfId="25925"/>
    <cellStyle name="Total 22 3 4 2 2 2 2" xfId="47111"/>
    <cellStyle name="Total 22 3 4 2 2 3" xfId="36507"/>
    <cellStyle name="Total 22 3 4 2 3" xfId="20812"/>
    <cellStyle name="Total 22 3 4 2 3 2" xfId="41999"/>
    <cellStyle name="Total 22 3 4 2 4" xfId="31379"/>
    <cellStyle name="Total 22 3 4 2_Table 2A-1_EFT (Annual)" xfId="8822"/>
    <cellStyle name="Total 22 3 4 3" xfId="11281"/>
    <cellStyle name="Total 22 3 4 3 2" xfId="23379"/>
    <cellStyle name="Total 22 3 4 3 2 2" xfId="44565"/>
    <cellStyle name="Total 22 3 4 3 3" xfId="33961"/>
    <cellStyle name="Total 22 3 4 4" xfId="18266"/>
    <cellStyle name="Total 22 3 4 4 2" xfId="39453"/>
    <cellStyle name="Total 22 3 4 5" xfId="28636"/>
    <cellStyle name="Total 22 3 4_Table 2A-1_EFT (Annual)" xfId="8821"/>
    <cellStyle name="Total 22 3 5" xfId="4009"/>
    <cellStyle name="Total 22 3 5 2" xfId="12337"/>
    <cellStyle name="Total 22 3 5 2 2" xfId="24361"/>
    <cellStyle name="Total 22 3 5 2 2 2" xfId="45547"/>
    <cellStyle name="Total 22 3 5 2 3" xfId="34943"/>
    <cellStyle name="Total 22 3 5 3" xfId="19248"/>
    <cellStyle name="Total 22 3 5 3 2" xfId="40435"/>
    <cellStyle name="Total 22 3 5 4" xfId="29697"/>
    <cellStyle name="Total 22 3 5_Table 2A-1_EFT (Annual)" xfId="8823"/>
    <cellStyle name="Total 22 3 6" xfId="9674"/>
    <cellStyle name="Total 22 3 6 2" xfId="21815"/>
    <cellStyle name="Total 22 3 6 2 2" xfId="43001"/>
    <cellStyle name="Total 22 3 6 3" xfId="32397"/>
    <cellStyle name="Total 22 3 7" xfId="16702"/>
    <cellStyle name="Total 22 3 7 2" xfId="37889"/>
    <cellStyle name="Total 22 3 8" xfId="26954"/>
    <cellStyle name="Total 22 3_Table 2A-1_EFT (Annual)" xfId="3552"/>
    <cellStyle name="Total 22 4" xfId="1259"/>
    <cellStyle name="Total 22 4 2" xfId="2529"/>
    <cellStyle name="Total 22 4 2 2" xfId="6090"/>
    <cellStyle name="Total 22 4 2 2 2" xfId="14284"/>
    <cellStyle name="Total 22 4 2 2 2 2" xfId="26256"/>
    <cellStyle name="Total 22 4 2 2 2 2 2" xfId="47442"/>
    <cellStyle name="Total 22 4 2 2 2 3" xfId="36838"/>
    <cellStyle name="Total 22 4 2 2 3" xfId="21143"/>
    <cellStyle name="Total 22 4 2 2 3 2" xfId="42330"/>
    <cellStyle name="Total 22 4 2 2 4" xfId="31746"/>
    <cellStyle name="Total 22 4 2 2_Table 2A-1_EFT (Annual)" xfId="8826"/>
    <cellStyle name="Total 22 4 2 3" xfId="11626"/>
    <cellStyle name="Total 22 4 2 3 2" xfId="23710"/>
    <cellStyle name="Total 22 4 2 3 2 2" xfId="44896"/>
    <cellStyle name="Total 22 4 2 3 3" xfId="34292"/>
    <cellStyle name="Total 22 4 2 4" xfId="18597"/>
    <cellStyle name="Total 22 4 2 4 2" xfId="39784"/>
    <cellStyle name="Total 22 4 2 5" xfId="29003"/>
    <cellStyle name="Total 22 4 2_Table 2A-1_EFT (Annual)" xfId="8825"/>
    <cellStyle name="Total 22 4 3" xfId="4820"/>
    <cellStyle name="Total 22 4 3 2" xfId="13080"/>
    <cellStyle name="Total 22 4 3 2 2" xfId="25086"/>
    <cellStyle name="Total 22 4 3 2 2 2" xfId="46272"/>
    <cellStyle name="Total 22 4 3 2 3" xfId="35668"/>
    <cellStyle name="Total 22 4 3 3" xfId="19973"/>
    <cellStyle name="Total 22 4 3 3 2" xfId="41160"/>
    <cellStyle name="Total 22 4 3 4" xfId="30477"/>
    <cellStyle name="Total 22 4 3_Table 2A-1_EFT (Annual)" xfId="8827"/>
    <cellStyle name="Total 22 4 4" xfId="10424"/>
    <cellStyle name="Total 22 4 4 2" xfId="22540"/>
    <cellStyle name="Total 22 4 4 2 2" xfId="43726"/>
    <cellStyle name="Total 22 4 4 3" xfId="33122"/>
    <cellStyle name="Total 22 4 5" xfId="17427"/>
    <cellStyle name="Total 22 4 5 2" xfId="38614"/>
    <cellStyle name="Total 22 4 6" xfId="27734"/>
    <cellStyle name="Total 22 4_Table 2A-1_EFT (Annual)" xfId="8824"/>
    <cellStyle name="Total 22 5" xfId="808"/>
    <cellStyle name="Total 22 5 2" xfId="4369"/>
    <cellStyle name="Total 22 5 2 2" xfId="12649"/>
    <cellStyle name="Total 22 5 2 2 2" xfId="24666"/>
    <cellStyle name="Total 22 5 2 2 2 2" xfId="45852"/>
    <cellStyle name="Total 22 5 2 2 3" xfId="35248"/>
    <cellStyle name="Total 22 5 2 3" xfId="19553"/>
    <cellStyle name="Total 22 5 2 3 2" xfId="40740"/>
    <cellStyle name="Total 22 5 2 4" xfId="30026"/>
    <cellStyle name="Total 22 5 2_Table 2A-1_EFT (Annual)" xfId="8829"/>
    <cellStyle name="Total 22 5 3" xfId="9997"/>
    <cellStyle name="Total 22 5 3 2" xfId="22120"/>
    <cellStyle name="Total 22 5 3 2 2" xfId="43306"/>
    <cellStyle name="Total 22 5 3 3" xfId="32702"/>
    <cellStyle name="Total 22 5 4" xfId="17007"/>
    <cellStyle name="Total 22 5 4 2" xfId="38194"/>
    <cellStyle name="Total 22 5 5" xfId="27283"/>
    <cellStyle name="Total 22 5_Table 2A-1_EFT (Annual)" xfId="8828"/>
    <cellStyle name="Total 22 6" xfId="1998"/>
    <cellStyle name="Total 22 6 2" xfId="5559"/>
    <cellStyle name="Total 22 6 2 2" xfId="13774"/>
    <cellStyle name="Total 22 6 2 2 2" xfId="25762"/>
    <cellStyle name="Total 22 6 2 2 2 2" xfId="46948"/>
    <cellStyle name="Total 22 6 2 2 3" xfId="36344"/>
    <cellStyle name="Total 22 6 2 3" xfId="20649"/>
    <cellStyle name="Total 22 6 2 3 2" xfId="41836"/>
    <cellStyle name="Total 22 6 2 4" xfId="31216"/>
    <cellStyle name="Total 22 6 2_Table 2A-1_EFT (Annual)" xfId="8831"/>
    <cellStyle name="Total 22 6 3" xfId="11118"/>
    <cellStyle name="Total 22 6 3 2" xfId="23216"/>
    <cellStyle name="Total 22 6 3 2 2" xfId="44402"/>
    <cellStyle name="Total 22 6 3 3" xfId="33798"/>
    <cellStyle name="Total 22 6 4" xfId="18103"/>
    <cellStyle name="Total 22 6 4 2" xfId="39290"/>
    <cellStyle name="Total 22 6 5" xfId="28473"/>
    <cellStyle name="Total 22 6_Table 2A-1_EFT (Annual)" xfId="8830"/>
    <cellStyle name="Total 22 7" xfId="3800"/>
    <cellStyle name="Total 22 7 2" xfId="12168"/>
    <cellStyle name="Total 22 7 2 2" xfId="24198"/>
    <cellStyle name="Total 22 7 2 2 2" xfId="45384"/>
    <cellStyle name="Total 22 7 2 3" xfId="34780"/>
    <cellStyle name="Total 22 7 3" xfId="19085"/>
    <cellStyle name="Total 22 7 3 2" xfId="40272"/>
    <cellStyle name="Total 22 7 4" xfId="29509"/>
    <cellStyle name="Total 22 7_Table 2A-1_EFT (Annual)" xfId="8832"/>
    <cellStyle name="Total 22 8" xfId="9487"/>
    <cellStyle name="Total 22 8 2" xfId="21652"/>
    <cellStyle name="Total 22 8 2 2" xfId="42838"/>
    <cellStyle name="Total 22 8 3" xfId="32234"/>
    <cellStyle name="Total 22 9" xfId="16539"/>
    <cellStyle name="Total 22 9 2" xfId="37726"/>
    <cellStyle name="Total 22_Table 2A-1_EFT (Annual)" xfId="3550"/>
    <cellStyle name="Total 23" xfId="215"/>
    <cellStyle name="Total 23 10" xfId="26770"/>
    <cellStyle name="Total 23 2" xfId="608"/>
    <cellStyle name="Total 23 2 2" xfId="1585"/>
    <cellStyle name="Total 23 2 2 2" xfId="2855"/>
    <cellStyle name="Total 23 2 2 2 2" xfId="6416"/>
    <cellStyle name="Total 23 2 2 2 2 2" xfId="14610"/>
    <cellStyle name="Total 23 2 2 2 2 2 2" xfId="26582"/>
    <cellStyle name="Total 23 2 2 2 2 2 2 2" xfId="47768"/>
    <cellStyle name="Total 23 2 2 2 2 2 3" xfId="37164"/>
    <cellStyle name="Total 23 2 2 2 2 3" xfId="21469"/>
    <cellStyle name="Total 23 2 2 2 2 3 2" xfId="42656"/>
    <cellStyle name="Total 23 2 2 2 2 4" xfId="32072"/>
    <cellStyle name="Total 23 2 2 2 2_Table 2A-1_EFT (Annual)" xfId="8835"/>
    <cellStyle name="Total 23 2 2 2 3" xfId="11952"/>
    <cellStyle name="Total 23 2 2 2 3 2" xfId="24036"/>
    <cellStyle name="Total 23 2 2 2 3 2 2" xfId="45222"/>
    <cellStyle name="Total 23 2 2 2 3 3" xfId="34618"/>
    <cellStyle name="Total 23 2 2 2 4" xfId="18923"/>
    <cellStyle name="Total 23 2 2 2 4 2" xfId="40110"/>
    <cellStyle name="Total 23 2 2 2 5" xfId="29329"/>
    <cellStyle name="Total 23 2 2 2_Table 2A-1_EFT (Annual)" xfId="8834"/>
    <cellStyle name="Total 23 2 2 3" xfId="5146"/>
    <cellStyle name="Total 23 2 2 3 2" xfId="13406"/>
    <cellStyle name="Total 23 2 2 3 2 2" xfId="25412"/>
    <cellStyle name="Total 23 2 2 3 2 2 2" xfId="46598"/>
    <cellStyle name="Total 23 2 2 3 2 3" xfId="35994"/>
    <cellStyle name="Total 23 2 2 3 3" xfId="20299"/>
    <cellStyle name="Total 23 2 2 3 3 2" xfId="41486"/>
    <cellStyle name="Total 23 2 2 3 4" xfId="30803"/>
    <cellStyle name="Total 23 2 2 3_Table 2A-1_EFT (Annual)" xfId="8836"/>
    <cellStyle name="Total 23 2 2 4" xfId="10750"/>
    <cellStyle name="Total 23 2 2 4 2" xfId="22866"/>
    <cellStyle name="Total 23 2 2 4 2 2" xfId="44052"/>
    <cellStyle name="Total 23 2 2 4 3" xfId="33448"/>
    <cellStyle name="Total 23 2 2 5" xfId="17753"/>
    <cellStyle name="Total 23 2 2 5 2" xfId="38940"/>
    <cellStyle name="Total 23 2 2 6" xfId="28060"/>
    <cellStyle name="Total 23 2 2_Table 2A-1_EFT (Annual)" xfId="8833"/>
    <cellStyle name="Total 23 2 3" xfId="1103"/>
    <cellStyle name="Total 23 2 3 2" xfId="4664"/>
    <cellStyle name="Total 23 2 3 2 2" xfId="12924"/>
    <cellStyle name="Total 23 2 3 2 2 2" xfId="24930"/>
    <cellStyle name="Total 23 2 3 2 2 2 2" xfId="46116"/>
    <cellStyle name="Total 23 2 3 2 2 3" xfId="35512"/>
    <cellStyle name="Total 23 2 3 2 3" xfId="19817"/>
    <cellStyle name="Total 23 2 3 2 3 2" xfId="41004"/>
    <cellStyle name="Total 23 2 3 2 4" xfId="30321"/>
    <cellStyle name="Total 23 2 3 2_Table 2A-1_EFT (Annual)" xfId="8838"/>
    <cellStyle name="Total 23 2 3 3" xfId="10268"/>
    <cellStyle name="Total 23 2 3 3 2" xfId="22384"/>
    <cellStyle name="Total 23 2 3 3 2 2" xfId="43570"/>
    <cellStyle name="Total 23 2 3 3 3" xfId="32966"/>
    <cellStyle name="Total 23 2 3 4" xfId="17271"/>
    <cellStyle name="Total 23 2 3 4 2" xfId="38458"/>
    <cellStyle name="Total 23 2 3 5" xfId="27578"/>
    <cellStyle name="Total 23 2 3_Table 2A-1_EFT (Annual)" xfId="8837"/>
    <cellStyle name="Total 23 2 4" xfId="2324"/>
    <cellStyle name="Total 23 2 4 2" xfId="5885"/>
    <cellStyle name="Total 23 2 4 2 2" xfId="14100"/>
    <cellStyle name="Total 23 2 4 2 2 2" xfId="26088"/>
    <cellStyle name="Total 23 2 4 2 2 2 2" xfId="47274"/>
    <cellStyle name="Total 23 2 4 2 2 3" xfId="36670"/>
    <cellStyle name="Total 23 2 4 2 3" xfId="20975"/>
    <cellStyle name="Total 23 2 4 2 3 2" xfId="42162"/>
    <cellStyle name="Total 23 2 4 2 4" xfId="31542"/>
    <cellStyle name="Total 23 2 4 2_Table 2A-1_EFT (Annual)" xfId="8840"/>
    <cellStyle name="Total 23 2 4 3" xfId="11444"/>
    <cellStyle name="Total 23 2 4 3 2" xfId="23542"/>
    <cellStyle name="Total 23 2 4 3 2 2" xfId="44728"/>
    <cellStyle name="Total 23 2 4 3 3" xfId="34124"/>
    <cellStyle name="Total 23 2 4 4" xfId="18429"/>
    <cellStyle name="Total 23 2 4 4 2" xfId="39616"/>
    <cellStyle name="Total 23 2 4 5" xfId="28799"/>
    <cellStyle name="Total 23 2 4_Table 2A-1_EFT (Annual)" xfId="8839"/>
    <cellStyle name="Total 23 2 5" xfId="4178"/>
    <cellStyle name="Total 23 2 5 2" xfId="12502"/>
    <cellStyle name="Total 23 2 5 2 2" xfId="24524"/>
    <cellStyle name="Total 23 2 5 2 2 2" xfId="45710"/>
    <cellStyle name="Total 23 2 5 2 3" xfId="35106"/>
    <cellStyle name="Total 23 2 5 3" xfId="19411"/>
    <cellStyle name="Total 23 2 5 3 2" xfId="40598"/>
    <cellStyle name="Total 23 2 5 4" xfId="29866"/>
    <cellStyle name="Total 23 2 5_Table 2A-1_EFT (Annual)" xfId="8841"/>
    <cellStyle name="Total 23 2 6" xfId="9841"/>
    <cellStyle name="Total 23 2 6 2" xfId="21978"/>
    <cellStyle name="Total 23 2 6 2 2" xfId="43164"/>
    <cellStyle name="Total 23 2 6 3" xfId="32560"/>
    <cellStyle name="Total 23 2 7" xfId="16865"/>
    <cellStyle name="Total 23 2 7 2" xfId="38052"/>
    <cellStyle name="Total 23 2 8" xfId="27123"/>
    <cellStyle name="Total 23 2_Table 2A-1_EFT (Annual)" xfId="3554"/>
    <cellStyle name="Total 23 3" xfId="443"/>
    <cellStyle name="Total 23 3 2" xfId="1426"/>
    <cellStyle name="Total 23 3 2 2" xfId="2696"/>
    <cellStyle name="Total 23 3 2 2 2" xfId="6257"/>
    <cellStyle name="Total 23 3 2 2 2 2" xfId="14451"/>
    <cellStyle name="Total 23 3 2 2 2 2 2" xfId="26423"/>
    <cellStyle name="Total 23 3 2 2 2 2 2 2" xfId="47609"/>
    <cellStyle name="Total 23 3 2 2 2 2 3" xfId="37005"/>
    <cellStyle name="Total 23 3 2 2 2 3" xfId="21310"/>
    <cellStyle name="Total 23 3 2 2 2 3 2" xfId="42497"/>
    <cellStyle name="Total 23 3 2 2 2 4" xfId="31913"/>
    <cellStyle name="Total 23 3 2 2 2_Table 2A-1_EFT (Annual)" xfId="8844"/>
    <cellStyle name="Total 23 3 2 2 3" xfId="11793"/>
    <cellStyle name="Total 23 3 2 2 3 2" xfId="23877"/>
    <cellStyle name="Total 23 3 2 2 3 2 2" xfId="45063"/>
    <cellStyle name="Total 23 3 2 2 3 3" xfId="34459"/>
    <cellStyle name="Total 23 3 2 2 4" xfId="18764"/>
    <cellStyle name="Total 23 3 2 2 4 2" xfId="39951"/>
    <cellStyle name="Total 23 3 2 2 5" xfId="29170"/>
    <cellStyle name="Total 23 3 2 2_Table 2A-1_EFT (Annual)" xfId="8843"/>
    <cellStyle name="Total 23 3 2 3" xfId="4987"/>
    <cellStyle name="Total 23 3 2 3 2" xfId="13247"/>
    <cellStyle name="Total 23 3 2 3 2 2" xfId="25253"/>
    <cellStyle name="Total 23 3 2 3 2 2 2" xfId="46439"/>
    <cellStyle name="Total 23 3 2 3 2 3" xfId="35835"/>
    <cellStyle name="Total 23 3 2 3 3" xfId="20140"/>
    <cellStyle name="Total 23 3 2 3 3 2" xfId="41327"/>
    <cellStyle name="Total 23 3 2 3 4" xfId="30644"/>
    <cellStyle name="Total 23 3 2 3_Table 2A-1_EFT (Annual)" xfId="8845"/>
    <cellStyle name="Total 23 3 2 4" xfId="10591"/>
    <cellStyle name="Total 23 3 2 4 2" xfId="22707"/>
    <cellStyle name="Total 23 3 2 4 2 2" xfId="43893"/>
    <cellStyle name="Total 23 3 2 4 3" xfId="33289"/>
    <cellStyle name="Total 23 3 2 5" xfId="17594"/>
    <cellStyle name="Total 23 3 2 5 2" xfId="38781"/>
    <cellStyle name="Total 23 3 2 6" xfId="27901"/>
    <cellStyle name="Total 23 3 2_Table 2A-1_EFT (Annual)" xfId="8842"/>
    <cellStyle name="Total 23 3 3" xfId="968"/>
    <cellStyle name="Total 23 3 3 2" xfId="4529"/>
    <cellStyle name="Total 23 3 3 2 2" xfId="12791"/>
    <cellStyle name="Total 23 3 3 2 2 2" xfId="24801"/>
    <cellStyle name="Total 23 3 3 2 2 2 2" xfId="45987"/>
    <cellStyle name="Total 23 3 3 2 2 3" xfId="35383"/>
    <cellStyle name="Total 23 3 3 2 3" xfId="19688"/>
    <cellStyle name="Total 23 3 3 2 3 2" xfId="40875"/>
    <cellStyle name="Total 23 3 3 2 4" xfId="30186"/>
    <cellStyle name="Total 23 3 3 2_Table 2A-1_EFT (Annual)" xfId="8847"/>
    <cellStyle name="Total 23 3 3 3" xfId="10138"/>
    <cellStyle name="Total 23 3 3 3 2" xfId="22255"/>
    <cellStyle name="Total 23 3 3 3 2 2" xfId="43441"/>
    <cellStyle name="Total 23 3 3 3 3" xfId="32837"/>
    <cellStyle name="Total 23 3 3 4" xfId="17142"/>
    <cellStyle name="Total 23 3 3 4 2" xfId="38329"/>
    <cellStyle name="Total 23 3 3 5" xfId="27443"/>
    <cellStyle name="Total 23 3 3_Table 2A-1_EFT (Annual)" xfId="8846"/>
    <cellStyle name="Total 23 3 4" xfId="2165"/>
    <cellStyle name="Total 23 3 4 2" xfId="5726"/>
    <cellStyle name="Total 23 3 4 2 2" xfId="13941"/>
    <cellStyle name="Total 23 3 4 2 2 2" xfId="25929"/>
    <cellStyle name="Total 23 3 4 2 2 2 2" xfId="47115"/>
    <cellStyle name="Total 23 3 4 2 2 3" xfId="36511"/>
    <cellStyle name="Total 23 3 4 2 3" xfId="20816"/>
    <cellStyle name="Total 23 3 4 2 3 2" xfId="42003"/>
    <cellStyle name="Total 23 3 4 2 4" xfId="31383"/>
    <cellStyle name="Total 23 3 4 2_Table 2A-1_EFT (Annual)" xfId="8849"/>
    <cellStyle name="Total 23 3 4 3" xfId="11285"/>
    <cellStyle name="Total 23 3 4 3 2" xfId="23383"/>
    <cellStyle name="Total 23 3 4 3 2 2" xfId="44569"/>
    <cellStyle name="Total 23 3 4 3 3" xfId="33965"/>
    <cellStyle name="Total 23 3 4 4" xfId="18270"/>
    <cellStyle name="Total 23 3 4 4 2" xfId="39457"/>
    <cellStyle name="Total 23 3 4 5" xfId="28640"/>
    <cellStyle name="Total 23 3 4_Table 2A-1_EFT (Annual)" xfId="8848"/>
    <cellStyle name="Total 23 3 5" xfId="4013"/>
    <cellStyle name="Total 23 3 5 2" xfId="12341"/>
    <cellStyle name="Total 23 3 5 2 2" xfId="24365"/>
    <cellStyle name="Total 23 3 5 2 2 2" xfId="45551"/>
    <cellStyle name="Total 23 3 5 2 3" xfId="34947"/>
    <cellStyle name="Total 23 3 5 3" xfId="19252"/>
    <cellStyle name="Total 23 3 5 3 2" xfId="40439"/>
    <cellStyle name="Total 23 3 5 4" xfId="29701"/>
    <cellStyle name="Total 23 3 5_Table 2A-1_EFT (Annual)" xfId="8850"/>
    <cellStyle name="Total 23 3 6" xfId="9678"/>
    <cellStyle name="Total 23 3 6 2" xfId="21819"/>
    <cellStyle name="Total 23 3 6 2 2" xfId="43005"/>
    <cellStyle name="Total 23 3 6 3" xfId="32401"/>
    <cellStyle name="Total 23 3 7" xfId="16706"/>
    <cellStyle name="Total 23 3 7 2" xfId="37893"/>
    <cellStyle name="Total 23 3 8" xfId="26958"/>
    <cellStyle name="Total 23 3_Table 2A-1_EFT (Annual)" xfId="3555"/>
    <cellStyle name="Total 23 4" xfId="1263"/>
    <cellStyle name="Total 23 4 2" xfId="2533"/>
    <cellStyle name="Total 23 4 2 2" xfId="6094"/>
    <cellStyle name="Total 23 4 2 2 2" xfId="14288"/>
    <cellStyle name="Total 23 4 2 2 2 2" xfId="26260"/>
    <cellStyle name="Total 23 4 2 2 2 2 2" xfId="47446"/>
    <cellStyle name="Total 23 4 2 2 2 3" xfId="36842"/>
    <cellStyle name="Total 23 4 2 2 3" xfId="21147"/>
    <cellStyle name="Total 23 4 2 2 3 2" xfId="42334"/>
    <cellStyle name="Total 23 4 2 2 4" xfId="31750"/>
    <cellStyle name="Total 23 4 2 2_Table 2A-1_EFT (Annual)" xfId="8853"/>
    <cellStyle name="Total 23 4 2 3" xfId="11630"/>
    <cellStyle name="Total 23 4 2 3 2" xfId="23714"/>
    <cellStyle name="Total 23 4 2 3 2 2" xfId="44900"/>
    <cellStyle name="Total 23 4 2 3 3" xfId="34296"/>
    <cellStyle name="Total 23 4 2 4" xfId="18601"/>
    <cellStyle name="Total 23 4 2 4 2" xfId="39788"/>
    <cellStyle name="Total 23 4 2 5" xfId="29007"/>
    <cellStyle name="Total 23 4 2_Table 2A-1_EFT (Annual)" xfId="8852"/>
    <cellStyle name="Total 23 4 3" xfId="4824"/>
    <cellStyle name="Total 23 4 3 2" xfId="13084"/>
    <cellStyle name="Total 23 4 3 2 2" xfId="25090"/>
    <cellStyle name="Total 23 4 3 2 2 2" xfId="46276"/>
    <cellStyle name="Total 23 4 3 2 3" xfId="35672"/>
    <cellStyle name="Total 23 4 3 3" xfId="19977"/>
    <cellStyle name="Total 23 4 3 3 2" xfId="41164"/>
    <cellStyle name="Total 23 4 3 4" xfId="30481"/>
    <cellStyle name="Total 23 4 3_Table 2A-1_EFT (Annual)" xfId="8854"/>
    <cellStyle name="Total 23 4 4" xfId="10428"/>
    <cellStyle name="Total 23 4 4 2" xfId="22544"/>
    <cellStyle name="Total 23 4 4 2 2" xfId="43730"/>
    <cellStyle name="Total 23 4 4 3" xfId="33126"/>
    <cellStyle name="Total 23 4 5" xfId="17431"/>
    <cellStyle name="Total 23 4 5 2" xfId="38618"/>
    <cellStyle name="Total 23 4 6" xfId="27738"/>
    <cellStyle name="Total 23 4_Table 2A-1_EFT (Annual)" xfId="8851"/>
    <cellStyle name="Total 23 5" xfId="812"/>
    <cellStyle name="Total 23 5 2" xfId="4373"/>
    <cellStyle name="Total 23 5 2 2" xfId="12653"/>
    <cellStyle name="Total 23 5 2 2 2" xfId="24670"/>
    <cellStyle name="Total 23 5 2 2 2 2" xfId="45856"/>
    <cellStyle name="Total 23 5 2 2 3" xfId="35252"/>
    <cellStyle name="Total 23 5 2 3" xfId="19557"/>
    <cellStyle name="Total 23 5 2 3 2" xfId="40744"/>
    <cellStyle name="Total 23 5 2 4" xfId="30030"/>
    <cellStyle name="Total 23 5 2_Table 2A-1_EFT (Annual)" xfId="8856"/>
    <cellStyle name="Total 23 5 3" xfId="10001"/>
    <cellStyle name="Total 23 5 3 2" xfId="22124"/>
    <cellStyle name="Total 23 5 3 2 2" xfId="43310"/>
    <cellStyle name="Total 23 5 3 3" xfId="32706"/>
    <cellStyle name="Total 23 5 4" xfId="17011"/>
    <cellStyle name="Total 23 5 4 2" xfId="38198"/>
    <cellStyle name="Total 23 5 5" xfId="27287"/>
    <cellStyle name="Total 23 5_Table 2A-1_EFT (Annual)" xfId="8855"/>
    <cellStyle name="Total 23 6" xfId="2002"/>
    <cellStyle name="Total 23 6 2" xfId="5563"/>
    <cellStyle name="Total 23 6 2 2" xfId="13778"/>
    <cellStyle name="Total 23 6 2 2 2" xfId="25766"/>
    <cellStyle name="Total 23 6 2 2 2 2" xfId="46952"/>
    <cellStyle name="Total 23 6 2 2 3" xfId="36348"/>
    <cellStyle name="Total 23 6 2 3" xfId="20653"/>
    <cellStyle name="Total 23 6 2 3 2" xfId="41840"/>
    <cellStyle name="Total 23 6 2 4" xfId="31220"/>
    <cellStyle name="Total 23 6 2_Table 2A-1_EFT (Annual)" xfId="8858"/>
    <cellStyle name="Total 23 6 3" xfId="11122"/>
    <cellStyle name="Total 23 6 3 2" xfId="23220"/>
    <cellStyle name="Total 23 6 3 2 2" xfId="44406"/>
    <cellStyle name="Total 23 6 3 3" xfId="33802"/>
    <cellStyle name="Total 23 6 4" xfId="18107"/>
    <cellStyle name="Total 23 6 4 2" xfId="39294"/>
    <cellStyle name="Total 23 6 5" xfId="28477"/>
    <cellStyle name="Total 23 6_Table 2A-1_EFT (Annual)" xfId="8857"/>
    <cellStyle name="Total 23 7" xfId="3804"/>
    <cellStyle name="Total 23 7 2" xfId="12172"/>
    <cellStyle name="Total 23 7 2 2" xfId="24202"/>
    <cellStyle name="Total 23 7 2 2 2" xfId="45388"/>
    <cellStyle name="Total 23 7 2 3" xfId="34784"/>
    <cellStyle name="Total 23 7 3" xfId="19089"/>
    <cellStyle name="Total 23 7 3 2" xfId="40276"/>
    <cellStyle name="Total 23 7 4" xfId="29513"/>
    <cellStyle name="Total 23 7_Table 2A-1_EFT (Annual)" xfId="8859"/>
    <cellStyle name="Total 23 8" xfId="9491"/>
    <cellStyle name="Total 23 8 2" xfId="21656"/>
    <cellStyle name="Total 23 8 2 2" xfId="42842"/>
    <cellStyle name="Total 23 8 3" xfId="32238"/>
    <cellStyle name="Total 23 9" xfId="16543"/>
    <cellStyle name="Total 23 9 2" xfId="37730"/>
    <cellStyle name="Total 23_Table 2A-1_EFT (Annual)" xfId="3553"/>
    <cellStyle name="Total 24" xfId="198"/>
    <cellStyle name="Total 24 10" xfId="26753"/>
    <cellStyle name="Total 24 2" xfId="591"/>
    <cellStyle name="Total 24 2 2" xfId="1568"/>
    <cellStyle name="Total 24 2 2 2" xfId="2838"/>
    <cellStyle name="Total 24 2 2 2 2" xfId="6399"/>
    <cellStyle name="Total 24 2 2 2 2 2" xfId="14593"/>
    <cellStyle name="Total 24 2 2 2 2 2 2" xfId="26565"/>
    <cellStyle name="Total 24 2 2 2 2 2 2 2" xfId="47751"/>
    <cellStyle name="Total 24 2 2 2 2 2 3" xfId="37147"/>
    <cellStyle name="Total 24 2 2 2 2 3" xfId="21452"/>
    <cellStyle name="Total 24 2 2 2 2 3 2" xfId="42639"/>
    <cellStyle name="Total 24 2 2 2 2 4" xfId="32055"/>
    <cellStyle name="Total 24 2 2 2 2_Table 2A-1_EFT (Annual)" xfId="8862"/>
    <cellStyle name="Total 24 2 2 2 3" xfId="11935"/>
    <cellStyle name="Total 24 2 2 2 3 2" xfId="24019"/>
    <cellStyle name="Total 24 2 2 2 3 2 2" xfId="45205"/>
    <cellStyle name="Total 24 2 2 2 3 3" xfId="34601"/>
    <cellStyle name="Total 24 2 2 2 4" xfId="18906"/>
    <cellStyle name="Total 24 2 2 2 4 2" xfId="40093"/>
    <cellStyle name="Total 24 2 2 2 5" xfId="29312"/>
    <cellStyle name="Total 24 2 2 2_Table 2A-1_EFT (Annual)" xfId="8861"/>
    <cellStyle name="Total 24 2 2 3" xfId="5129"/>
    <cellStyle name="Total 24 2 2 3 2" xfId="13389"/>
    <cellStyle name="Total 24 2 2 3 2 2" xfId="25395"/>
    <cellStyle name="Total 24 2 2 3 2 2 2" xfId="46581"/>
    <cellStyle name="Total 24 2 2 3 2 3" xfId="35977"/>
    <cellStyle name="Total 24 2 2 3 3" xfId="20282"/>
    <cellStyle name="Total 24 2 2 3 3 2" xfId="41469"/>
    <cellStyle name="Total 24 2 2 3 4" xfId="30786"/>
    <cellStyle name="Total 24 2 2 3_Table 2A-1_EFT (Annual)" xfId="8863"/>
    <cellStyle name="Total 24 2 2 4" xfId="10733"/>
    <cellStyle name="Total 24 2 2 4 2" xfId="22849"/>
    <cellStyle name="Total 24 2 2 4 2 2" xfId="44035"/>
    <cellStyle name="Total 24 2 2 4 3" xfId="33431"/>
    <cellStyle name="Total 24 2 2 5" xfId="17736"/>
    <cellStyle name="Total 24 2 2 5 2" xfId="38923"/>
    <cellStyle name="Total 24 2 2 6" xfId="28043"/>
    <cellStyle name="Total 24 2 2_Table 2A-1_EFT (Annual)" xfId="8860"/>
    <cellStyle name="Total 24 2 3" xfId="1089"/>
    <cellStyle name="Total 24 2 3 2" xfId="4650"/>
    <cellStyle name="Total 24 2 3 2 2" xfId="12910"/>
    <cellStyle name="Total 24 2 3 2 2 2" xfId="24916"/>
    <cellStyle name="Total 24 2 3 2 2 2 2" xfId="46102"/>
    <cellStyle name="Total 24 2 3 2 2 3" xfId="35498"/>
    <cellStyle name="Total 24 2 3 2 3" xfId="19803"/>
    <cellStyle name="Total 24 2 3 2 3 2" xfId="40990"/>
    <cellStyle name="Total 24 2 3 2 4" xfId="30307"/>
    <cellStyle name="Total 24 2 3 2_Table 2A-1_EFT (Annual)" xfId="8865"/>
    <cellStyle name="Total 24 2 3 3" xfId="10254"/>
    <cellStyle name="Total 24 2 3 3 2" xfId="22370"/>
    <cellStyle name="Total 24 2 3 3 2 2" xfId="43556"/>
    <cellStyle name="Total 24 2 3 3 3" xfId="32952"/>
    <cellStyle name="Total 24 2 3 4" xfId="17257"/>
    <cellStyle name="Total 24 2 3 4 2" xfId="38444"/>
    <cellStyle name="Total 24 2 3 5" xfId="27564"/>
    <cellStyle name="Total 24 2 3_Table 2A-1_EFT (Annual)" xfId="8864"/>
    <cellStyle name="Total 24 2 4" xfId="2307"/>
    <cellStyle name="Total 24 2 4 2" xfId="5868"/>
    <cellStyle name="Total 24 2 4 2 2" xfId="14083"/>
    <cellStyle name="Total 24 2 4 2 2 2" xfId="26071"/>
    <cellStyle name="Total 24 2 4 2 2 2 2" xfId="47257"/>
    <cellStyle name="Total 24 2 4 2 2 3" xfId="36653"/>
    <cellStyle name="Total 24 2 4 2 3" xfId="20958"/>
    <cellStyle name="Total 24 2 4 2 3 2" xfId="42145"/>
    <cellStyle name="Total 24 2 4 2 4" xfId="31525"/>
    <cellStyle name="Total 24 2 4 2_Table 2A-1_EFT (Annual)" xfId="8867"/>
    <cellStyle name="Total 24 2 4 3" xfId="11427"/>
    <cellStyle name="Total 24 2 4 3 2" xfId="23525"/>
    <cellStyle name="Total 24 2 4 3 2 2" xfId="44711"/>
    <cellStyle name="Total 24 2 4 3 3" xfId="34107"/>
    <cellStyle name="Total 24 2 4 4" xfId="18412"/>
    <cellStyle name="Total 24 2 4 4 2" xfId="39599"/>
    <cellStyle name="Total 24 2 4 5" xfId="28782"/>
    <cellStyle name="Total 24 2 4_Table 2A-1_EFT (Annual)" xfId="8866"/>
    <cellStyle name="Total 24 2 5" xfId="4161"/>
    <cellStyle name="Total 24 2 5 2" xfId="12485"/>
    <cellStyle name="Total 24 2 5 2 2" xfId="24507"/>
    <cellStyle name="Total 24 2 5 2 2 2" xfId="45693"/>
    <cellStyle name="Total 24 2 5 2 3" xfId="35089"/>
    <cellStyle name="Total 24 2 5 3" xfId="19394"/>
    <cellStyle name="Total 24 2 5 3 2" xfId="40581"/>
    <cellStyle name="Total 24 2 5 4" xfId="29849"/>
    <cellStyle name="Total 24 2 5_Table 2A-1_EFT (Annual)" xfId="8868"/>
    <cellStyle name="Total 24 2 6" xfId="9824"/>
    <cellStyle name="Total 24 2 6 2" xfId="21961"/>
    <cellStyle name="Total 24 2 6 2 2" xfId="43147"/>
    <cellStyle name="Total 24 2 6 3" xfId="32543"/>
    <cellStyle name="Total 24 2 7" xfId="16848"/>
    <cellStyle name="Total 24 2 7 2" xfId="38035"/>
    <cellStyle name="Total 24 2 8" xfId="27106"/>
    <cellStyle name="Total 24 2_Table 2A-1_EFT (Annual)" xfId="3557"/>
    <cellStyle name="Total 24 3" xfId="427"/>
    <cellStyle name="Total 24 3 2" xfId="1410"/>
    <cellStyle name="Total 24 3 2 2" xfId="2680"/>
    <cellStyle name="Total 24 3 2 2 2" xfId="6241"/>
    <cellStyle name="Total 24 3 2 2 2 2" xfId="14435"/>
    <cellStyle name="Total 24 3 2 2 2 2 2" xfId="26407"/>
    <cellStyle name="Total 24 3 2 2 2 2 2 2" xfId="47593"/>
    <cellStyle name="Total 24 3 2 2 2 2 3" xfId="36989"/>
    <cellStyle name="Total 24 3 2 2 2 3" xfId="21294"/>
    <cellStyle name="Total 24 3 2 2 2 3 2" xfId="42481"/>
    <cellStyle name="Total 24 3 2 2 2 4" xfId="31897"/>
    <cellStyle name="Total 24 3 2 2 2_Table 2A-1_EFT (Annual)" xfId="8871"/>
    <cellStyle name="Total 24 3 2 2 3" xfId="11777"/>
    <cellStyle name="Total 24 3 2 2 3 2" xfId="23861"/>
    <cellStyle name="Total 24 3 2 2 3 2 2" xfId="45047"/>
    <cellStyle name="Total 24 3 2 2 3 3" xfId="34443"/>
    <cellStyle name="Total 24 3 2 2 4" xfId="18748"/>
    <cellStyle name="Total 24 3 2 2 4 2" xfId="39935"/>
    <cellStyle name="Total 24 3 2 2 5" xfId="29154"/>
    <cellStyle name="Total 24 3 2 2_Table 2A-1_EFT (Annual)" xfId="8870"/>
    <cellStyle name="Total 24 3 2 3" xfId="4971"/>
    <cellStyle name="Total 24 3 2 3 2" xfId="13231"/>
    <cellStyle name="Total 24 3 2 3 2 2" xfId="25237"/>
    <cellStyle name="Total 24 3 2 3 2 2 2" xfId="46423"/>
    <cellStyle name="Total 24 3 2 3 2 3" xfId="35819"/>
    <cellStyle name="Total 24 3 2 3 3" xfId="20124"/>
    <cellStyle name="Total 24 3 2 3 3 2" xfId="41311"/>
    <cellStyle name="Total 24 3 2 3 4" xfId="30628"/>
    <cellStyle name="Total 24 3 2 3_Table 2A-1_EFT (Annual)" xfId="8872"/>
    <cellStyle name="Total 24 3 2 4" xfId="10575"/>
    <cellStyle name="Total 24 3 2 4 2" xfId="22691"/>
    <cellStyle name="Total 24 3 2 4 2 2" xfId="43877"/>
    <cellStyle name="Total 24 3 2 4 3" xfId="33273"/>
    <cellStyle name="Total 24 3 2 5" xfId="17578"/>
    <cellStyle name="Total 24 3 2 5 2" xfId="38765"/>
    <cellStyle name="Total 24 3 2 6" xfId="27885"/>
    <cellStyle name="Total 24 3 2_Table 2A-1_EFT (Annual)" xfId="8869"/>
    <cellStyle name="Total 24 3 3" xfId="955"/>
    <cellStyle name="Total 24 3 3 2" xfId="4516"/>
    <cellStyle name="Total 24 3 3 2 2" xfId="12778"/>
    <cellStyle name="Total 24 3 3 2 2 2" xfId="24788"/>
    <cellStyle name="Total 24 3 3 2 2 2 2" xfId="45974"/>
    <cellStyle name="Total 24 3 3 2 2 3" xfId="35370"/>
    <cellStyle name="Total 24 3 3 2 3" xfId="19675"/>
    <cellStyle name="Total 24 3 3 2 3 2" xfId="40862"/>
    <cellStyle name="Total 24 3 3 2 4" xfId="30173"/>
    <cellStyle name="Total 24 3 3 2_Table 2A-1_EFT (Annual)" xfId="8874"/>
    <cellStyle name="Total 24 3 3 3" xfId="10125"/>
    <cellStyle name="Total 24 3 3 3 2" xfId="22242"/>
    <cellStyle name="Total 24 3 3 3 2 2" xfId="43428"/>
    <cellStyle name="Total 24 3 3 3 3" xfId="32824"/>
    <cellStyle name="Total 24 3 3 4" xfId="17129"/>
    <cellStyle name="Total 24 3 3 4 2" xfId="38316"/>
    <cellStyle name="Total 24 3 3 5" xfId="27430"/>
    <cellStyle name="Total 24 3 3_Table 2A-1_EFT (Annual)" xfId="8873"/>
    <cellStyle name="Total 24 3 4" xfId="2149"/>
    <cellStyle name="Total 24 3 4 2" xfId="5710"/>
    <cellStyle name="Total 24 3 4 2 2" xfId="13925"/>
    <cellStyle name="Total 24 3 4 2 2 2" xfId="25913"/>
    <cellStyle name="Total 24 3 4 2 2 2 2" xfId="47099"/>
    <cellStyle name="Total 24 3 4 2 2 3" xfId="36495"/>
    <cellStyle name="Total 24 3 4 2 3" xfId="20800"/>
    <cellStyle name="Total 24 3 4 2 3 2" xfId="41987"/>
    <cellStyle name="Total 24 3 4 2 4" xfId="31367"/>
    <cellStyle name="Total 24 3 4 2_Table 2A-1_EFT (Annual)" xfId="8876"/>
    <cellStyle name="Total 24 3 4 3" xfId="11269"/>
    <cellStyle name="Total 24 3 4 3 2" xfId="23367"/>
    <cellStyle name="Total 24 3 4 3 2 2" xfId="44553"/>
    <cellStyle name="Total 24 3 4 3 3" xfId="33949"/>
    <cellStyle name="Total 24 3 4 4" xfId="18254"/>
    <cellStyle name="Total 24 3 4 4 2" xfId="39441"/>
    <cellStyle name="Total 24 3 4 5" xfId="28624"/>
    <cellStyle name="Total 24 3 4_Table 2A-1_EFT (Annual)" xfId="8875"/>
    <cellStyle name="Total 24 3 5" xfId="3997"/>
    <cellStyle name="Total 24 3 5 2" xfId="12325"/>
    <cellStyle name="Total 24 3 5 2 2" xfId="24349"/>
    <cellStyle name="Total 24 3 5 2 2 2" xfId="45535"/>
    <cellStyle name="Total 24 3 5 2 3" xfId="34931"/>
    <cellStyle name="Total 24 3 5 3" xfId="19236"/>
    <cellStyle name="Total 24 3 5 3 2" xfId="40423"/>
    <cellStyle name="Total 24 3 5 4" xfId="29685"/>
    <cellStyle name="Total 24 3 5_Table 2A-1_EFT (Annual)" xfId="8877"/>
    <cellStyle name="Total 24 3 6" xfId="9662"/>
    <cellStyle name="Total 24 3 6 2" xfId="21803"/>
    <cellStyle name="Total 24 3 6 2 2" xfId="42989"/>
    <cellStyle name="Total 24 3 6 3" xfId="32385"/>
    <cellStyle name="Total 24 3 7" xfId="16690"/>
    <cellStyle name="Total 24 3 7 2" xfId="37877"/>
    <cellStyle name="Total 24 3 8" xfId="26942"/>
    <cellStyle name="Total 24 3_Table 2A-1_EFT (Annual)" xfId="3558"/>
    <cellStyle name="Total 24 4" xfId="1246"/>
    <cellStyle name="Total 24 4 2" xfId="2516"/>
    <cellStyle name="Total 24 4 2 2" xfId="6077"/>
    <cellStyle name="Total 24 4 2 2 2" xfId="14271"/>
    <cellStyle name="Total 24 4 2 2 2 2" xfId="26243"/>
    <cellStyle name="Total 24 4 2 2 2 2 2" xfId="47429"/>
    <cellStyle name="Total 24 4 2 2 2 3" xfId="36825"/>
    <cellStyle name="Total 24 4 2 2 3" xfId="21130"/>
    <cellStyle name="Total 24 4 2 2 3 2" xfId="42317"/>
    <cellStyle name="Total 24 4 2 2 4" xfId="31733"/>
    <cellStyle name="Total 24 4 2 2_Table 2A-1_EFT (Annual)" xfId="8880"/>
    <cellStyle name="Total 24 4 2 3" xfId="11613"/>
    <cellStyle name="Total 24 4 2 3 2" xfId="23697"/>
    <cellStyle name="Total 24 4 2 3 2 2" xfId="44883"/>
    <cellStyle name="Total 24 4 2 3 3" xfId="34279"/>
    <cellStyle name="Total 24 4 2 4" xfId="18584"/>
    <cellStyle name="Total 24 4 2 4 2" xfId="39771"/>
    <cellStyle name="Total 24 4 2 5" xfId="28990"/>
    <cellStyle name="Total 24 4 2_Table 2A-1_EFT (Annual)" xfId="8879"/>
    <cellStyle name="Total 24 4 3" xfId="4807"/>
    <cellStyle name="Total 24 4 3 2" xfId="13067"/>
    <cellStyle name="Total 24 4 3 2 2" xfId="25073"/>
    <cellStyle name="Total 24 4 3 2 2 2" xfId="46259"/>
    <cellStyle name="Total 24 4 3 2 3" xfId="35655"/>
    <cellStyle name="Total 24 4 3 3" xfId="19960"/>
    <cellStyle name="Total 24 4 3 3 2" xfId="41147"/>
    <cellStyle name="Total 24 4 3 4" xfId="30464"/>
    <cellStyle name="Total 24 4 3_Table 2A-1_EFT (Annual)" xfId="8881"/>
    <cellStyle name="Total 24 4 4" xfId="10411"/>
    <cellStyle name="Total 24 4 4 2" xfId="22527"/>
    <cellStyle name="Total 24 4 4 2 2" xfId="43713"/>
    <cellStyle name="Total 24 4 4 3" xfId="33109"/>
    <cellStyle name="Total 24 4 5" xfId="17414"/>
    <cellStyle name="Total 24 4 5 2" xfId="38601"/>
    <cellStyle name="Total 24 4 6" xfId="27721"/>
    <cellStyle name="Total 24 4_Table 2A-1_EFT (Annual)" xfId="8878"/>
    <cellStyle name="Total 24 5" xfId="798"/>
    <cellStyle name="Total 24 5 2" xfId="4359"/>
    <cellStyle name="Total 24 5 2 2" xfId="12639"/>
    <cellStyle name="Total 24 5 2 2 2" xfId="24656"/>
    <cellStyle name="Total 24 5 2 2 2 2" xfId="45842"/>
    <cellStyle name="Total 24 5 2 2 3" xfId="35238"/>
    <cellStyle name="Total 24 5 2 3" xfId="19543"/>
    <cellStyle name="Total 24 5 2 3 2" xfId="40730"/>
    <cellStyle name="Total 24 5 2 4" xfId="30016"/>
    <cellStyle name="Total 24 5 2_Table 2A-1_EFT (Annual)" xfId="8883"/>
    <cellStyle name="Total 24 5 3" xfId="9987"/>
    <cellStyle name="Total 24 5 3 2" xfId="22110"/>
    <cellStyle name="Total 24 5 3 2 2" xfId="43296"/>
    <cellStyle name="Total 24 5 3 3" xfId="32692"/>
    <cellStyle name="Total 24 5 4" xfId="16997"/>
    <cellStyle name="Total 24 5 4 2" xfId="38184"/>
    <cellStyle name="Total 24 5 5" xfId="27273"/>
    <cellStyle name="Total 24 5_Table 2A-1_EFT (Annual)" xfId="8882"/>
    <cellStyle name="Total 24 6" xfId="1985"/>
    <cellStyle name="Total 24 6 2" xfId="5546"/>
    <cellStyle name="Total 24 6 2 2" xfId="13761"/>
    <cellStyle name="Total 24 6 2 2 2" xfId="25749"/>
    <cellStyle name="Total 24 6 2 2 2 2" xfId="46935"/>
    <cellStyle name="Total 24 6 2 2 3" xfId="36331"/>
    <cellStyle name="Total 24 6 2 3" xfId="20636"/>
    <cellStyle name="Total 24 6 2 3 2" xfId="41823"/>
    <cellStyle name="Total 24 6 2 4" xfId="31203"/>
    <cellStyle name="Total 24 6 2_Table 2A-1_EFT (Annual)" xfId="8885"/>
    <cellStyle name="Total 24 6 3" xfId="11105"/>
    <cellStyle name="Total 24 6 3 2" xfId="23203"/>
    <cellStyle name="Total 24 6 3 2 2" xfId="44389"/>
    <cellStyle name="Total 24 6 3 3" xfId="33785"/>
    <cellStyle name="Total 24 6 4" xfId="18090"/>
    <cellStyle name="Total 24 6 4 2" xfId="39277"/>
    <cellStyle name="Total 24 6 5" xfId="28460"/>
    <cellStyle name="Total 24 6_Table 2A-1_EFT (Annual)" xfId="8884"/>
    <cellStyle name="Total 24 7" xfId="3787"/>
    <cellStyle name="Total 24 7 2" xfId="12155"/>
    <cellStyle name="Total 24 7 2 2" xfId="24185"/>
    <cellStyle name="Total 24 7 2 2 2" xfId="45371"/>
    <cellStyle name="Total 24 7 2 3" xfId="34767"/>
    <cellStyle name="Total 24 7 3" xfId="19072"/>
    <cellStyle name="Total 24 7 3 2" xfId="40259"/>
    <cellStyle name="Total 24 7 4" xfId="29496"/>
    <cellStyle name="Total 24 7_Table 2A-1_EFT (Annual)" xfId="8886"/>
    <cellStyle name="Total 24 8" xfId="9474"/>
    <cellStyle name="Total 24 8 2" xfId="21639"/>
    <cellStyle name="Total 24 8 2 2" xfId="42825"/>
    <cellStyle name="Total 24 8 3" xfId="32221"/>
    <cellStyle name="Total 24 9" xfId="16526"/>
    <cellStyle name="Total 24 9 2" xfId="37713"/>
    <cellStyle name="Total 24_Table 2A-1_EFT (Annual)" xfId="3556"/>
    <cellStyle name="Total 25" xfId="241"/>
    <cellStyle name="Total 25 10" xfId="26796"/>
    <cellStyle name="Total 25 2" xfId="628"/>
    <cellStyle name="Total 25 2 2" xfId="1605"/>
    <cellStyle name="Total 25 2 2 2" xfId="2875"/>
    <cellStyle name="Total 25 2 2 2 2" xfId="6436"/>
    <cellStyle name="Total 25 2 2 2 2 2" xfId="14630"/>
    <cellStyle name="Total 25 2 2 2 2 2 2" xfId="26602"/>
    <cellStyle name="Total 25 2 2 2 2 2 2 2" xfId="47788"/>
    <cellStyle name="Total 25 2 2 2 2 2 3" xfId="37184"/>
    <cellStyle name="Total 25 2 2 2 2 3" xfId="21489"/>
    <cellStyle name="Total 25 2 2 2 2 3 2" xfId="42676"/>
    <cellStyle name="Total 25 2 2 2 2 4" xfId="32092"/>
    <cellStyle name="Total 25 2 2 2 2_Table 2A-1_EFT (Annual)" xfId="8889"/>
    <cellStyle name="Total 25 2 2 2 3" xfId="11972"/>
    <cellStyle name="Total 25 2 2 2 3 2" xfId="24056"/>
    <cellStyle name="Total 25 2 2 2 3 2 2" xfId="45242"/>
    <cellStyle name="Total 25 2 2 2 3 3" xfId="34638"/>
    <cellStyle name="Total 25 2 2 2 4" xfId="18943"/>
    <cellStyle name="Total 25 2 2 2 4 2" xfId="40130"/>
    <cellStyle name="Total 25 2 2 2 5" xfId="29349"/>
    <cellStyle name="Total 25 2 2 2_Table 2A-1_EFT (Annual)" xfId="8888"/>
    <cellStyle name="Total 25 2 2 3" xfId="5166"/>
    <cellStyle name="Total 25 2 2 3 2" xfId="13426"/>
    <cellStyle name="Total 25 2 2 3 2 2" xfId="25432"/>
    <cellStyle name="Total 25 2 2 3 2 2 2" xfId="46618"/>
    <cellStyle name="Total 25 2 2 3 2 3" xfId="36014"/>
    <cellStyle name="Total 25 2 2 3 3" xfId="20319"/>
    <cellStyle name="Total 25 2 2 3 3 2" xfId="41506"/>
    <cellStyle name="Total 25 2 2 3 4" xfId="30823"/>
    <cellStyle name="Total 25 2 2 3_Table 2A-1_EFT (Annual)" xfId="8890"/>
    <cellStyle name="Total 25 2 2 4" xfId="10770"/>
    <cellStyle name="Total 25 2 2 4 2" xfId="22886"/>
    <cellStyle name="Total 25 2 2 4 2 2" xfId="44072"/>
    <cellStyle name="Total 25 2 2 4 3" xfId="33468"/>
    <cellStyle name="Total 25 2 2 5" xfId="17773"/>
    <cellStyle name="Total 25 2 2 5 2" xfId="38960"/>
    <cellStyle name="Total 25 2 2 6" xfId="28080"/>
    <cellStyle name="Total 25 2 2_Table 2A-1_EFT (Annual)" xfId="8887"/>
    <cellStyle name="Total 25 2 3" xfId="1118"/>
    <cellStyle name="Total 25 2 3 2" xfId="4679"/>
    <cellStyle name="Total 25 2 3 2 2" xfId="12939"/>
    <cellStyle name="Total 25 2 3 2 2 2" xfId="24945"/>
    <cellStyle name="Total 25 2 3 2 2 2 2" xfId="46131"/>
    <cellStyle name="Total 25 2 3 2 2 3" xfId="35527"/>
    <cellStyle name="Total 25 2 3 2 3" xfId="19832"/>
    <cellStyle name="Total 25 2 3 2 3 2" xfId="41019"/>
    <cellStyle name="Total 25 2 3 2 4" xfId="30336"/>
    <cellStyle name="Total 25 2 3 2_Table 2A-1_EFT (Annual)" xfId="8892"/>
    <cellStyle name="Total 25 2 3 3" xfId="10283"/>
    <cellStyle name="Total 25 2 3 3 2" xfId="22399"/>
    <cellStyle name="Total 25 2 3 3 2 2" xfId="43585"/>
    <cellStyle name="Total 25 2 3 3 3" xfId="32981"/>
    <cellStyle name="Total 25 2 3 4" xfId="17286"/>
    <cellStyle name="Total 25 2 3 4 2" xfId="38473"/>
    <cellStyle name="Total 25 2 3 5" xfId="27593"/>
    <cellStyle name="Total 25 2 3_Table 2A-1_EFT (Annual)" xfId="8891"/>
    <cellStyle name="Total 25 2 4" xfId="2344"/>
    <cellStyle name="Total 25 2 4 2" xfId="5905"/>
    <cellStyle name="Total 25 2 4 2 2" xfId="14120"/>
    <cellStyle name="Total 25 2 4 2 2 2" xfId="26108"/>
    <cellStyle name="Total 25 2 4 2 2 2 2" xfId="47294"/>
    <cellStyle name="Total 25 2 4 2 2 3" xfId="36690"/>
    <cellStyle name="Total 25 2 4 2 3" xfId="20995"/>
    <cellStyle name="Total 25 2 4 2 3 2" xfId="42182"/>
    <cellStyle name="Total 25 2 4 2 4" xfId="31562"/>
    <cellStyle name="Total 25 2 4 2_Table 2A-1_EFT (Annual)" xfId="8894"/>
    <cellStyle name="Total 25 2 4 3" xfId="11464"/>
    <cellStyle name="Total 25 2 4 3 2" xfId="23562"/>
    <cellStyle name="Total 25 2 4 3 2 2" xfId="44748"/>
    <cellStyle name="Total 25 2 4 3 3" xfId="34144"/>
    <cellStyle name="Total 25 2 4 4" xfId="18449"/>
    <cellStyle name="Total 25 2 4 4 2" xfId="39636"/>
    <cellStyle name="Total 25 2 4 5" xfId="28819"/>
    <cellStyle name="Total 25 2 4_Table 2A-1_EFT (Annual)" xfId="8893"/>
    <cellStyle name="Total 25 2 5" xfId="4198"/>
    <cellStyle name="Total 25 2 5 2" xfId="12522"/>
    <cellStyle name="Total 25 2 5 2 2" xfId="24544"/>
    <cellStyle name="Total 25 2 5 2 2 2" xfId="45730"/>
    <cellStyle name="Total 25 2 5 2 3" xfId="35126"/>
    <cellStyle name="Total 25 2 5 3" xfId="19431"/>
    <cellStyle name="Total 25 2 5 3 2" xfId="40618"/>
    <cellStyle name="Total 25 2 5 4" xfId="29886"/>
    <cellStyle name="Total 25 2 5_Table 2A-1_EFT (Annual)" xfId="8895"/>
    <cellStyle name="Total 25 2 6" xfId="9861"/>
    <cellStyle name="Total 25 2 6 2" xfId="21998"/>
    <cellStyle name="Total 25 2 6 2 2" xfId="43184"/>
    <cellStyle name="Total 25 2 6 3" xfId="32580"/>
    <cellStyle name="Total 25 2 7" xfId="16885"/>
    <cellStyle name="Total 25 2 7 2" xfId="38072"/>
    <cellStyle name="Total 25 2 8" xfId="27143"/>
    <cellStyle name="Total 25 2_Table 2A-1_EFT (Annual)" xfId="3560"/>
    <cellStyle name="Total 25 3" xfId="467"/>
    <cellStyle name="Total 25 3 2" xfId="1444"/>
    <cellStyle name="Total 25 3 2 2" xfId="2714"/>
    <cellStyle name="Total 25 3 2 2 2" xfId="6275"/>
    <cellStyle name="Total 25 3 2 2 2 2" xfId="14469"/>
    <cellStyle name="Total 25 3 2 2 2 2 2" xfId="26441"/>
    <cellStyle name="Total 25 3 2 2 2 2 2 2" xfId="47627"/>
    <cellStyle name="Total 25 3 2 2 2 2 3" xfId="37023"/>
    <cellStyle name="Total 25 3 2 2 2 3" xfId="21328"/>
    <cellStyle name="Total 25 3 2 2 2 3 2" xfId="42515"/>
    <cellStyle name="Total 25 3 2 2 2 4" xfId="31931"/>
    <cellStyle name="Total 25 3 2 2 2_Table 2A-1_EFT (Annual)" xfId="8898"/>
    <cellStyle name="Total 25 3 2 2 3" xfId="11811"/>
    <cellStyle name="Total 25 3 2 2 3 2" xfId="23895"/>
    <cellStyle name="Total 25 3 2 2 3 2 2" xfId="45081"/>
    <cellStyle name="Total 25 3 2 2 3 3" xfId="34477"/>
    <cellStyle name="Total 25 3 2 2 4" xfId="18782"/>
    <cellStyle name="Total 25 3 2 2 4 2" xfId="39969"/>
    <cellStyle name="Total 25 3 2 2 5" xfId="29188"/>
    <cellStyle name="Total 25 3 2 2_Table 2A-1_EFT (Annual)" xfId="8897"/>
    <cellStyle name="Total 25 3 2 3" xfId="5005"/>
    <cellStyle name="Total 25 3 2 3 2" xfId="13265"/>
    <cellStyle name="Total 25 3 2 3 2 2" xfId="25271"/>
    <cellStyle name="Total 25 3 2 3 2 2 2" xfId="46457"/>
    <cellStyle name="Total 25 3 2 3 2 3" xfId="35853"/>
    <cellStyle name="Total 25 3 2 3 3" xfId="20158"/>
    <cellStyle name="Total 25 3 2 3 3 2" xfId="41345"/>
    <cellStyle name="Total 25 3 2 3 4" xfId="30662"/>
    <cellStyle name="Total 25 3 2 3_Table 2A-1_EFT (Annual)" xfId="8899"/>
    <cellStyle name="Total 25 3 2 4" xfId="10609"/>
    <cellStyle name="Total 25 3 2 4 2" xfId="22725"/>
    <cellStyle name="Total 25 3 2 4 2 2" xfId="43911"/>
    <cellStyle name="Total 25 3 2 4 3" xfId="33307"/>
    <cellStyle name="Total 25 3 2 5" xfId="17612"/>
    <cellStyle name="Total 25 3 2 5 2" xfId="38799"/>
    <cellStyle name="Total 25 3 2 6" xfId="27919"/>
    <cellStyle name="Total 25 3 2_Table 2A-1_EFT (Annual)" xfId="8896"/>
    <cellStyle name="Total 25 3 3" xfId="988"/>
    <cellStyle name="Total 25 3 3 2" xfId="4549"/>
    <cellStyle name="Total 25 3 3 2 2" xfId="12809"/>
    <cellStyle name="Total 25 3 3 2 2 2" xfId="24815"/>
    <cellStyle name="Total 25 3 3 2 2 2 2" xfId="46001"/>
    <cellStyle name="Total 25 3 3 2 2 3" xfId="35397"/>
    <cellStyle name="Total 25 3 3 2 3" xfId="19702"/>
    <cellStyle name="Total 25 3 3 2 3 2" xfId="40889"/>
    <cellStyle name="Total 25 3 3 2 4" xfId="30206"/>
    <cellStyle name="Total 25 3 3 2_Table 2A-1_EFT (Annual)" xfId="8901"/>
    <cellStyle name="Total 25 3 3 3" xfId="10153"/>
    <cellStyle name="Total 25 3 3 3 2" xfId="22269"/>
    <cellStyle name="Total 25 3 3 3 2 2" xfId="43455"/>
    <cellStyle name="Total 25 3 3 3 3" xfId="32851"/>
    <cellStyle name="Total 25 3 3 4" xfId="17156"/>
    <cellStyle name="Total 25 3 3 4 2" xfId="38343"/>
    <cellStyle name="Total 25 3 3 5" xfId="27463"/>
    <cellStyle name="Total 25 3 3_Table 2A-1_EFT (Annual)" xfId="8900"/>
    <cellStyle name="Total 25 3 4" xfId="2183"/>
    <cellStyle name="Total 25 3 4 2" xfId="5744"/>
    <cellStyle name="Total 25 3 4 2 2" xfId="13959"/>
    <cellStyle name="Total 25 3 4 2 2 2" xfId="25947"/>
    <cellStyle name="Total 25 3 4 2 2 2 2" xfId="47133"/>
    <cellStyle name="Total 25 3 4 2 2 3" xfId="36529"/>
    <cellStyle name="Total 25 3 4 2 3" xfId="20834"/>
    <cellStyle name="Total 25 3 4 2 3 2" xfId="42021"/>
    <cellStyle name="Total 25 3 4 2 4" xfId="31401"/>
    <cellStyle name="Total 25 3 4 2_Table 2A-1_EFT (Annual)" xfId="8903"/>
    <cellStyle name="Total 25 3 4 3" xfId="11303"/>
    <cellStyle name="Total 25 3 4 3 2" xfId="23401"/>
    <cellStyle name="Total 25 3 4 3 2 2" xfId="44587"/>
    <cellStyle name="Total 25 3 4 3 3" xfId="33983"/>
    <cellStyle name="Total 25 3 4 4" xfId="18288"/>
    <cellStyle name="Total 25 3 4 4 2" xfId="39475"/>
    <cellStyle name="Total 25 3 4 5" xfId="28658"/>
    <cellStyle name="Total 25 3 4_Table 2A-1_EFT (Annual)" xfId="8902"/>
    <cellStyle name="Total 25 3 5" xfId="4037"/>
    <cellStyle name="Total 25 3 5 2" xfId="12361"/>
    <cellStyle name="Total 25 3 5 2 2" xfId="24383"/>
    <cellStyle name="Total 25 3 5 2 2 2" xfId="45569"/>
    <cellStyle name="Total 25 3 5 2 3" xfId="34965"/>
    <cellStyle name="Total 25 3 5 3" xfId="19270"/>
    <cellStyle name="Total 25 3 5 3 2" xfId="40457"/>
    <cellStyle name="Total 25 3 5 4" xfId="29725"/>
    <cellStyle name="Total 25 3 5_Table 2A-1_EFT (Annual)" xfId="8904"/>
    <cellStyle name="Total 25 3 6" xfId="9700"/>
    <cellStyle name="Total 25 3 6 2" xfId="21837"/>
    <cellStyle name="Total 25 3 6 2 2" xfId="43023"/>
    <cellStyle name="Total 25 3 6 3" xfId="32419"/>
    <cellStyle name="Total 25 3 7" xfId="16724"/>
    <cellStyle name="Total 25 3 7 2" xfId="37911"/>
    <cellStyle name="Total 25 3 8" xfId="26982"/>
    <cellStyle name="Total 25 3_Table 2A-1_EFT (Annual)" xfId="3561"/>
    <cellStyle name="Total 25 4" xfId="1283"/>
    <cellStyle name="Total 25 4 2" xfId="2553"/>
    <cellStyle name="Total 25 4 2 2" xfId="6114"/>
    <cellStyle name="Total 25 4 2 2 2" xfId="14308"/>
    <cellStyle name="Total 25 4 2 2 2 2" xfId="26280"/>
    <cellStyle name="Total 25 4 2 2 2 2 2" xfId="47466"/>
    <cellStyle name="Total 25 4 2 2 2 3" xfId="36862"/>
    <cellStyle name="Total 25 4 2 2 3" xfId="21167"/>
    <cellStyle name="Total 25 4 2 2 3 2" xfId="42354"/>
    <cellStyle name="Total 25 4 2 2 4" xfId="31770"/>
    <cellStyle name="Total 25 4 2 2_Table 2A-1_EFT (Annual)" xfId="8907"/>
    <cellStyle name="Total 25 4 2 3" xfId="11650"/>
    <cellStyle name="Total 25 4 2 3 2" xfId="23734"/>
    <cellStyle name="Total 25 4 2 3 2 2" xfId="44920"/>
    <cellStyle name="Total 25 4 2 3 3" xfId="34316"/>
    <cellStyle name="Total 25 4 2 4" xfId="18621"/>
    <cellStyle name="Total 25 4 2 4 2" xfId="39808"/>
    <cellStyle name="Total 25 4 2 5" xfId="29027"/>
    <cellStyle name="Total 25 4 2_Table 2A-1_EFT (Annual)" xfId="8906"/>
    <cellStyle name="Total 25 4 3" xfId="4844"/>
    <cellStyle name="Total 25 4 3 2" xfId="13104"/>
    <cellStyle name="Total 25 4 3 2 2" xfId="25110"/>
    <cellStyle name="Total 25 4 3 2 2 2" xfId="46296"/>
    <cellStyle name="Total 25 4 3 2 3" xfId="35692"/>
    <cellStyle name="Total 25 4 3 3" xfId="19997"/>
    <cellStyle name="Total 25 4 3 3 2" xfId="41184"/>
    <cellStyle name="Total 25 4 3 4" xfId="30501"/>
    <cellStyle name="Total 25 4 3_Table 2A-1_EFT (Annual)" xfId="8908"/>
    <cellStyle name="Total 25 4 4" xfId="10448"/>
    <cellStyle name="Total 25 4 4 2" xfId="22564"/>
    <cellStyle name="Total 25 4 4 2 2" xfId="43750"/>
    <cellStyle name="Total 25 4 4 3" xfId="33146"/>
    <cellStyle name="Total 25 4 5" xfId="17451"/>
    <cellStyle name="Total 25 4 5 2" xfId="38638"/>
    <cellStyle name="Total 25 4 6" xfId="27758"/>
    <cellStyle name="Total 25 4_Table 2A-1_EFT (Annual)" xfId="8905"/>
    <cellStyle name="Total 25 5" xfId="833"/>
    <cellStyle name="Total 25 5 2" xfId="4394"/>
    <cellStyle name="Total 25 5 2 2" xfId="12668"/>
    <cellStyle name="Total 25 5 2 2 2" xfId="24685"/>
    <cellStyle name="Total 25 5 2 2 2 2" xfId="45871"/>
    <cellStyle name="Total 25 5 2 2 3" xfId="35267"/>
    <cellStyle name="Total 25 5 2 3" xfId="19572"/>
    <cellStyle name="Total 25 5 2 3 2" xfId="40759"/>
    <cellStyle name="Total 25 5 2 4" xfId="30051"/>
    <cellStyle name="Total 25 5 2_Table 2A-1_EFT (Annual)" xfId="8910"/>
    <cellStyle name="Total 25 5 3" xfId="10017"/>
    <cellStyle name="Total 25 5 3 2" xfId="22139"/>
    <cellStyle name="Total 25 5 3 2 2" xfId="43325"/>
    <cellStyle name="Total 25 5 3 3" xfId="32721"/>
    <cellStyle name="Total 25 5 4" xfId="17026"/>
    <cellStyle name="Total 25 5 4 2" xfId="38213"/>
    <cellStyle name="Total 25 5 5" xfId="27308"/>
    <cellStyle name="Total 25 5_Table 2A-1_EFT (Annual)" xfId="8909"/>
    <cellStyle name="Total 25 6" xfId="2022"/>
    <cellStyle name="Total 25 6 2" xfId="5583"/>
    <cellStyle name="Total 25 6 2 2" xfId="13798"/>
    <cellStyle name="Total 25 6 2 2 2" xfId="25786"/>
    <cellStyle name="Total 25 6 2 2 2 2" xfId="46972"/>
    <cellStyle name="Total 25 6 2 2 3" xfId="36368"/>
    <cellStyle name="Total 25 6 2 3" xfId="20673"/>
    <cellStyle name="Total 25 6 2 3 2" xfId="41860"/>
    <cellStyle name="Total 25 6 2 4" xfId="31240"/>
    <cellStyle name="Total 25 6 2_Table 2A-1_EFT (Annual)" xfId="8912"/>
    <cellStyle name="Total 25 6 3" xfId="11142"/>
    <cellStyle name="Total 25 6 3 2" xfId="23240"/>
    <cellStyle name="Total 25 6 3 2 2" xfId="44426"/>
    <cellStyle name="Total 25 6 3 3" xfId="33822"/>
    <cellStyle name="Total 25 6 4" xfId="18127"/>
    <cellStyle name="Total 25 6 4 2" xfId="39314"/>
    <cellStyle name="Total 25 6 5" xfId="28497"/>
    <cellStyle name="Total 25 6_Table 2A-1_EFT (Annual)" xfId="8911"/>
    <cellStyle name="Total 25 7" xfId="3830"/>
    <cellStyle name="Total 25 7 2" xfId="12193"/>
    <cellStyle name="Total 25 7 2 2" xfId="24222"/>
    <cellStyle name="Total 25 7 2 2 2" xfId="45408"/>
    <cellStyle name="Total 25 7 2 3" xfId="34804"/>
    <cellStyle name="Total 25 7 3" xfId="19109"/>
    <cellStyle name="Total 25 7 3 2" xfId="40296"/>
    <cellStyle name="Total 25 7 4" xfId="29539"/>
    <cellStyle name="Total 25 7_Table 2A-1_EFT (Annual)" xfId="8913"/>
    <cellStyle name="Total 25 8" xfId="9512"/>
    <cellStyle name="Total 25 8 2" xfId="21676"/>
    <cellStyle name="Total 25 8 2 2" xfId="42862"/>
    <cellStyle name="Total 25 8 3" xfId="32258"/>
    <cellStyle name="Total 25 9" xfId="16563"/>
    <cellStyle name="Total 25 9 2" xfId="37750"/>
    <cellStyle name="Total 25_Table 2A-1_EFT (Annual)" xfId="3559"/>
    <cellStyle name="Total 26" xfId="206"/>
    <cellStyle name="Total 26 10" xfId="26761"/>
    <cellStyle name="Total 26 2" xfId="599"/>
    <cellStyle name="Total 26 2 2" xfId="1576"/>
    <cellStyle name="Total 26 2 2 2" xfId="2846"/>
    <cellStyle name="Total 26 2 2 2 2" xfId="6407"/>
    <cellStyle name="Total 26 2 2 2 2 2" xfId="14601"/>
    <cellStyle name="Total 26 2 2 2 2 2 2" xfId="26573"/>
    <cellStyle name="Total 26 2 2 2 2 2 2 2" xfId="47759"/>
    <cellStyle name="Total 26 2 2 2 2 2 3" xfId="37155"/>
    <cellStyle name="Total 26 2 2 2 2 3" xfId="21460"/>
    <cellStyle name="Total 26 2 2 2 2 3 2" xfId="42647"/>
    <cellStyle name="Total 26 2 2 2 2 4" xfId="32063"/>
    <cellStyle name="Total 26 2 2 2 2_Table 2A-1_EFT (Annual)" xfId="8916"/>
    <cellStyle name="Total 26 2 2 2 3" xfId="11943"/>
    <cellStyle name="Total 26 2 2 2 3 2" xfId="24027"/>
    <cellStyle name="Total 26 2 2 2 3 2 2" xfId="45213"/>
    <cellStyle name="Total 26 2 2 2 3 3" xfId="34609"/>
    <cellStyle name="Total 26 2 2 2 4" xfId="18914"/>
    <cellStyle name="Total 26 2 2 2 4 2" xfId="40101"/>
    <cellStyle name="Total 26 2 2 2 5" xfId="29320"/>
    <cellStyle name="Total 26 2 2 2_Table 2A-1_EFT (Annual)" xfId="8915"/>
    <cellStyle name="Total 26 2 2 3" xfId="5137"/>
    <cellStyle name="Total 26 2 2 3 2" xfId="13397"/>
    <cellStyle name="Total 26 2 2 3 2 2" xfId="25403"/>
    <cellStyle name="Total 26 2 2 3 2 2 2" xfId="46589"/>
    <cellStyle name="Total 26 2 2 3 2 3" xfId="35985"/>
    <cellStyle name="Total 26 2 2 3 3" xfId="20290"/>
    <cellStyle name="Total 26 2 2 3 3 2" xfId="41477"/>
    <cellStyle name="Total 26 2 2 3 4" xfId="30794"/>
    <cellStyle name="Total 26 2 2 3_Table 2A-1_EFT (Annual)" xfId="8917"/>
    <cellStyle name="Total 26 2 2 4" xfId="10741"/>
    <cellStyle name="Total 26 2 2 4 2" xfId="22857"/>
    <cellStyle name="Total 26 2 2 4 2 2" xfId="44043"/>
    <cellStyle name="Total 26 2 2 4 3" xfId="33439"/>
    <cellStyle name="Total 26 2 2 5" xfId="17744"/>
    <cellStyle name="Total 26 2 2 5 2" xfId="38931"/>
    <cellStyle name="Total 26 2 2 6" xfId="28051"/>
    <cellStyle name="Total 26 2 2_Table 2A-1_EFT (Annual)" xfId="8914"/>
    <cellStyle name="Total 26 2 3" xfId="1096"/>
    <cellStyle name="Total 26 2 3 2" xfId="4657"/>
    <cellStyle name="Total 26 2 3 2 2" xfId="12917"/>
    <cellStyle name="Total 26 2 3 2 2 2" xfId="24923"/>
    <cellStyle name="Total 26 2 3 2 2 2 2" xfId="46109"/>
    <cellStyle name="Total 26 2 3 2 2 3" xfId="35505"/>
    <cellStyle name="Total 26 2 3 2 3" xfId="19810"/>
    <cellStyle name="Total 26 2 3 2 3 2" xfId="40997"/>
    <cellStyle name="Total 26 2 3 2 4" xfId="30314"/>
    <cellStyle name="Total 26 2 3 2_Table 2A-1_EFT (Annual)" xfId="8919"/>
    <cellStyle name="Total 26 2 3 3" xfId="10261"/>
    <cellStyle name="Total 26 2 3 3 2" xfId="22377"/>
    <cellStyle name="Total 26 2 3 3 2 2" xfId="43563"/>
    <cellStyle name="Total 26 2 3 3 3" xfId="32959"/>
    <cellStyle name="Total 26 2 3 4" xfId="17264"/>
    <cellStyle name="Total 26 2 3 4 2" xfId="38451"/>
    <cellStyle name="Total 26 2 3 5" xfId="27571"/>
    <cellStyle name="Total 26 2 3_Table 2A-1_EFT (Annual)" xfId="8918"/>
    <cellStyle name="Total 26 2 4" xfId="2315"/>
    <cellStyle name="Total 26 2 4 2" xfId="5876"/>
    <cellStyle name="Total 26 2 4 2 2" xfId="14091"/>
    <cellStyle name="Total 26 2 4 2 2 2" xfId="26079"/>
    <cellStyle name="Total 26 2 4 2 2 2 2" xfId="47265"/>
    <cellStyle name="Total 26 2 4 2 2 3" xfId="36661"/>
    <cellStyle name="Total 26 2 4 2 3" xfId="20966"/>
    <cellStyle name="Total 26 2 4 2 3 2" xfId="42153"/>
    <cellStyle name="Total 26 2 4 2 4" xfId="31533"/>
    <cellStyle name="Total 26 2 4 2_Table 2A-1_EFT (Annual)" xfId="8921"/>
    <cellStyle name="Total 26 2 4 3" xfId="11435"/>
    <cellStyle name="Total 26 2 4 3 2" xfId="23533"/>
    <cellStyle name="Total 26 2 4 3 2 2" xfId="44719"/>
    <cellStyle name="Total 26 2 4 3 3" xfId="34115"/>
    <cellStyle name="Total 26 2 4 4" xfId="18420"/>
    <cellStyle name="Total 26 2 4 4 2" xfId="39607"/>
    <cellStyle name="Total 26 2 4 5" xfId="28790"/>
    <cellStyle name="Total 26 2 4_Table 2A-1_EFT (Annual)" xfId="8920"/>
    <cellStyle name="Total 26 2 5" xfId="4169"/>
    <cellStyle name="Total 26 2 5 2" xfId="12493"/>
    <cellStyle name="Total 26 2 5 2 2" xfId="24515"/>
    <cellStyle name="Total 26 2 5 2 2 2" xfId="45701"/>
    <cellStyle name="Total 26 2 5 2 3" xfId="35097"/>
    <cellStyle name="Total 26 2 5 3" xfId="19402"/>
    <cellStyle name="Total 26 2 5 3 2" xfId="40589"/>
    <cellStyle name="Total 26 2 5 4" xfId="29857"/>
    <cellStyle name="Total 26 2 5_Table 2A-1_EFT (Annual)" xfId="8922"/>
    <cellStyle name="Total 26 2 6" xfId="9832"/>
    <cellStyle name="Total 26 2 6 2" xfId="21969"/>
    <cellStyle name="Total 26 2 6 2 2" xfId="43155"/>
    <cellStyle name="Total 26 2 6 3" xfId="32551"/>
    <cellStyle name="Total 26 2 7" xfId="16856"/>
    <cellStyle name="Total 26 2 7 2" xfId="38043"/>
    <cellStyle name="Total 26 2 8" xfId="27114"/>
    <cellStyle name="Total 26 2_Table 2A-1_EFT (Annual)" xfId="3563"/>
    <cellStyle name="Total 26 3" xfId="434"/>
    <cellStyle name="Total 26 3 2" xfId="1417"/>
    <cellStyle name="Total 26 3 2 2" xfId="2687"/>
    <cellStyle name="Total 26 3 2 2 2" xfId="6248"/>
    <cellStyle name="Total 26 3 2 2 2 2" xfId="14442"/>
    <cellStyle name="Total 26 3 2 2 2 2 2" xfId="26414"/>
    <cellStyle name="Total 26 3 2 2 2 2 2 2" xfId="47600"/>
    <cellStyle name="Total 26 3 2 2 2 2 3" xfId="36996"/>
    <cellStyle name="Total 26 3 2 2 2 3" xfId="21301"/>
    <cellStyle name="Total 26 3 2 2 2 3 2" xfId="42488"/>
    <cellStyle name="Total 26 3 2 2 2 4" xfId="31904"/>
    <cellStyle name="Total 26 3 2 2 2_Table 2A-1_EFT (Annual)" xfId="8925"/>
    <cellStyle name="Total 26 3 2 2 3" xfId="11784"/>
    <cellStyle name="Total 26 3 2 2 3 2" xfId="23868"/>
    <cellStyle name="Total 26 3 2 2 3 2 2" xfId="45054"/>
    <cellStyle name="Total 26 3 2 2 3 3" xfId="34450"/>
    <cellStyle name="Total 26 3 2 2 4" xfId="18755"/>
    <cellStyle name="Total 26 3 2 2 4 2" xfId="39942"/>
    <cellStyle name="Total 26 3 2 2 5" xfId="29161"/>
    <cellStyle name="Total 26 3 2 2_Table 2A-1_EFT (Annual)" xfId="8924"/>
    <cellStyle name="Total 26 3 2 3" xfId="4978"/>
    <cellStyle name="Total 26 3 2 3 2" xfId="13238"/>
    <cellStyle name="Total 26 3 2 3 2 2" xfId="25244"/>
    <cellStyle name="Total 26 3 2 3 2 2 2" xfId="46430"/>
    <cellStyle name="Total 26 3 2 3 2 3" xfId="35826"/>
    <cellStyle name="Total 26 3 2 3 3" xfId="20131"/>
    <cellStyle name="Total 26 3 2 3 3 2" xfId="41318"/>
    <cellStyle name="Total 26 3 2 3 4" xfId="30635"/>
    <cellStyle name="Total 26 3 2 3_Table 2A-1_EFT (Annual)" xfId="8926"/>
    <cellStyle name="Total 26 3 2 4" xfId="10582"/>
    <cellStyle name="Total 26 3 2 4 2" xfId="22698"/>
    <cellStyle name="Total 26 3 2 4 2 2" xfId="43884"/>
    <cellStyle name="Total 26 3 2 4 3" xfId="33280"/>
    <cellStyle name="Total 26 3 2 5" xfId="17585"/>
    <cellStyle name="Total 26 3 2 5 2" xfId="38772"/>
    <cellStyle name="Total 26 3 2 6" xfId="27892"/>
    <cellStyle name="Total 26 3 2_Table 2A-1_EFT (Annual)" xfId="8923"/>
    <cellStyle name="Total 26 3 3" xfId="961"/>
    <cellStyle name="Total 26 3 3 2" xfId="4522"/>
    <cellStyle name="Total 26 3 3 2 2" xfId="12784"/>
    <cellStyle name="Total 26 3 3 2 2 2" xfId="24794"/>
    <cellStyle name="Total 26 3 3 2 2 2 2" xfId="45980"/>
    <cellStyle name="Total 26 3 3 2 2 3" xfId="35376"/>
    <cellStyle name="Total 26 3 3 2 3" xfId="19681"/>
    <cellStyle name="Total 26 3 3 2 3 2" xfId="40868"/>
    <cellStyle name="Total 26 3 3 2 4" xfId="30179"/>
    <cellStyle name="Total 26 3 3 2_Table 2A-1_EFT (Annual)" xfId="8928"/>
    <cellStyle name="Total 26 3 3 3" xfId="10131"/>
    <cellStyle name="Total 26 3 3 3 2" xfId="22248"/>
    <cellStyle name="Total 26 3 3 3 2 2" xfId="43434"/>
    <cellStyle name="Total 26 3 3 3 3" xfId="32830"/>
    <cellStyle name="Total 26 3 3 4" xfId="17135"/>
    <cellStyle name="Total 26 3 3 4 2" xfId="38322"/>
    <cellStyle name="Total 26 3 3 5" xfId="27436"/>
    <cellStyle name="Total 26 3 3_Table 2A-1_EFT (Annual)" xfId="8927"/>
    <cellStyle name="Total 26 3 4" xfId="2156"/>
    <cellStyle name="Total 26 3 4 2" xfId="5717"/>
    <cellStyle name="Total 26 3 4 2 2" xfId="13932"/>
    <cellStyle name="Total 26 3 4 2 2 2" xfId="25920"/>
    <cellStyle name="Total 26 3 4 2 2 2 2" xfId="47106"/>
    <cellStyle name="Total 26 3 4 2 2 3" xfId="36502"/>
    <cellStyle name="Total 26 3 4 2 3" xfId="20807"/>
    <cellStyle name="Total 26 3 4 2 3 2" xfId="41994"/>
    <cellStyle name="Total 26 3 4 2 4" xfId="31374"/>
    <cellStyle name="Total 26 3 4 2_Table 2A-1_EFT (Annual)" xfId="8930"/>
    <cellStyle name="Total 26 3 4 3" xfId="11276"/>
    <cellStyle name="Total 26 3 4 3 2" xfId="23374"/>
    <cellStyle name="Total 26 3 4 3 2 2" xfId="44560"/>
    <cellStyle name="Total 26 3 4 3 3" xfId="33956"/>
    <cellStyle name="Total 26 3 4 4" xfId="18261"/>
    <cellStyle name="Total 26 3 4 4 2" xfId="39448"/>
    <cellStyle name="Total 26 3 4 5" xfId="28631"/>
    <cellStyle name="Total 26 3 4_Table 2A-1_EFT (Annual)" xfId="8929"/>
    <cellStyle name="Total 26 3 5" xfId="4004"/>
    <cellStyle name="Total 26 3 5 2" xfId="12332"/>
    <cellStyle name="Total 26 3 5 2 2" xfId="24356"/>
    <cellStyle name="Total 26 3 5 2 2 2" xfId="45542"/>
    <cellStyle name="Total 26 3 5 2 3" xfId="34938"/>
    <cellStyle name="Total 26 3 5 3" xfId="19243"/>
    <cellStyle name="Total 26 3 5 3 2" xfId="40430"/>
    <cellStyle name="Total 26 3 5 4" xfId="29692"/>
    <cellStyle name="Total 26 3 5_Table 2A-1_EFT (Annual)" xfId="8931"/>
    <cellStyle name="Total 26 3 6" xfId="9669"/>
    <cellStyle name="Total 26 3 6 2" xfId="21810"/>
    <cellStyle name="Total 26 3 6 2 2" xfId="42996"/>
    <cellStyle name="Total 26 3 6 3" xfId="32392"/>
    <cellStyle name="Total 26 3 7" xfId="16697"/>
    <cellStyle name="Total 26 3 7 2" xfId="37884"/>
    <cellStyle name="Total 26 3 8" xfId="26949"/>
    <cellStyle name="Total 26 3_Table 2A-1_EFT (Annual)" xfId="3564"/>
    <cellStyle name="Total 26 4" xfId="1254"/>
    <cellStyle name="Total 26 4 2" xfId="2524"/>
    <cellStyle name="Total 26 4 2 2" xfId="6085"/>
    <cellStyle name="Total 26 4 2 2 2" xfId="14279"/>
    <cellStyle name="Total 26 4 2 2 2 2" xfId="26251"/>
    <cellStyle name="Total 26 4 2 2 2 2 2" xfId="47437"/>
    <cellStyle name="Total 26 4 2 2 2 3" xfId="36833"/>
    <cellStyle name="Total 26 4 2 2 3" xfId="21138"/>
    <cellStyle name="Total 26 4 2 2 3 2" xfId="42325"/>
    <cellStyle name="Total 26 4 2 2 4" xfId="31741"/>
    <cellStyle name="Total 26 4 2 2_Table 2A-1_EFT (Annual)" xfId="8934"/>
    <cellStyle name="Total 26 4 2 3" xfId="11621"/>
    <cellStyle name="Total 26 4 2 3 2" xfId="23705"/>
    <cellStyle name="Total 26 4 2 3 2 2" xfId="44891"/>
    <cellStyle name="Total 26 4 2 3 3" xfId="34287"/>
    <cellStyle name="Total 26 4 2 4" xfId="18592"/>
    <cellStyle name="Total 26 4 2 4 2" xfId="39779"/>
    <cellStyle name="Total 26 4 2 5" xfId="28998"/>
    <cellStyle name="Total 26 4 2_Table 2A-1_EFT (Annual)" xfId="8933"/>
    <cellStyle name="Total 26 4 3" xfId="4815"/>
    <cellStyle name="Total 26 4 3 2" xfId="13075"/>
    <cellStyle name="Total 26 4 3 2 2" xfId="25081"/>
    <cellStyle name="Total 26 4 3 2 2 2" xfId="46267"/>
    <cellStyle name="Total 26 4 3 2 3" xfId="35663"/>
    <cellStyle name="Total 26 4 3 3" xfId="19968"/>
    <cellStyle name="Total 26 4 3 3 2" xfId="41155"/>
    <cellStyle name="Total 26 4 3 4" xfId="30472"/>
    <cellStyle name="Total 26 4 3_Table 2A-1_EFT (Annual)" xfId="8935"/>
    <cellStyle name="Total 26 4 4" xfId="10419"/>
    <cellStyle name="Total 26 4 4 2" xfId="22535"/>
    <cellStyle name="Total 26 4 4 2 2" xfId="43721"/>
    <cellStyle name="Total 26 4 4 3" xfId="33117"/>
    <cellStyle name="Total 26 4 5" xfId="17422"/>
    <cellStyle name="Total 26 4 5 2" xfId="38609"/>
    <cellStyle name="Total 26 4 6" xfId="27729"/>
    <cellStyle name="Total 26 4_Table 2A-1_EFT (Annual)" xfId="8932"/>
    <cellStyle name="Total 26 5" xfId="805"/>
    <cellStyle name="Total 26 5 2" xfId="4366"/>
    <cellStyle name="Total 26 5 2 2" xfId="12646"/>
    <cellStyle name="Total 26 5 2 2 2" xfId="24663"/>
    <cellStyle name="Total 26 5 2 2 2 2" xfId="45849"/>
    <cellStyle name="Total 26 5 2 2 3" xfId="35245"/>
    <cellStyle name="Total 26 5 2 3" xfId="19550"/>
    <cellStyle name="Total 26 5 2 3 2" xfId="40737"/>
    <cellStyle name="Total 26 5 2 4" xfId="30023"/>
    <cellStyle name="Total 26 5 2_Table 2A-1_EFT (Annual)" xfId="8937"/>
    <cellStyle name="Total 26 5 3" xfId="9994"/>
    <cellStyle name="Total 26 5 3 2" xfId="22117"/>
    <cellStyle name="Total 26 5 3 2 2" xfId="43303"/>
    <cellStyle name="Total 26 5 3 3" xfId="32699"/>
    <cellStyle name="Total 26 5 4" xfId="17004"/>
    <cellStyle name="Total 26 5 4 2" xfId="38191"/>
    <cellStyle name="Total 26 5 5" xfId="27280"/>
    <cellStyle name="Total 26 5_Table 2A-1_EFT (Annual)" xfId="8936"/>
    <cellStyle name="Total 26 6" xfId="1993"/>
    <cellStyle name="Total 26 6 2" xfId="5554"/>
    <cellStyle name="Total 26 6 2 2" xfId="13769"/>
    <cellStyle name="Total 26 6 2 2 2" xfId="25757"/>
    <cellStyle name="Total 26 6 2 2 2 2" xfId="46943"/>
    <cellStyle name="Total 26 6 2 2 3" xfId="36339"/>
    <cellStyle name="Total 26 6 2 3" xfId="20644"/>
    <cellStyle name="Total 26 6 2 3 2" xfId="41831"/>
    <cellStyle name="Total 26 6 2 4" xfId="31211"/>
    <cellStyle name="Total 26 6 2_Table 2A-1_EFT (Annual)" xfId="8939"/>
    <cellStyle name="Total 26 6 3" xfId="11113"/>
    <cellStyle name="Total 26 6 3 2" xfId="23211"/>
    <cellStyle name="Total 26 6 3 2 2" xfId="44397"/>
    <cellStyle name="Total 26 6 3 3" xfId="33793"/>
    <cellStyle name="Total 26 6 4" xfId="18098"/>
    <cellStyle name="Total 26 6 4 2" xfId="39285"/>
    <cellStyle name="Total 26 6 5" xfId="28468"/>
    <cellStyle name="Total 26 6_Table 2A-1_EFT (Annual)" xfId="8938"/>
    <cellStyle name="Total 26 7" xfId="3795"/>
    <cellStyle name="Total 26 7 2" xfId="12163"/>
    <cellStyle name="Total 26 7 2 2" xfId="24193"/>
    <cellStyle name="Total 26 7 2 2 2" xfId="45379"/>
    <cellStyle name="Total 26 7 2 3" xfId="34775"/>
    <cellStyle name="Total 26 7 3" xfId="19080"/>
    <cellStyle name="Total 26 7 3 2" xfId="40267"/>
    <cellStyle name="Total 26 7 4" xfId="29504"/>
    <cellStyle name="Total 26 7_Table 2A-1_EFT (Annual)" xfId="8940"/>
    <cellStyle name="Total 26 8" xfId="9482"/>
    <cellStyle name="Total 26 8 2" xfId="21647"/>
    <cellStyle name="Total 26 8 2 2" xfId="42833"/>
    <cellStyle name="Total 26 8 3" xfId="32229"/>
    <cellStyle name="Total 26 9" xfId="16534"/>
    <cellStyle name="Total 26 9 2" xfId="37721"/>
    <cellStyle name="Total 26_Table 2A-1_EFT (Annual)" xfId="3562"/>
    <cellStyle name="Total 27" xfId="248"/>
    <cellStyle name="Total 27 10" xfId="26803"/>
    <cellStyle name="Total 27 2" xfId="635"/>
    <cellStyle name="Total 27 2 2" xfId="1612"/>
    <cellStyle name="Total 27 2 2 2" xfId="2882"/>
    <cellStyle name="Total 27 2 2 2 2" xfId="6443"/>
    <cellStyle name="Total 27 2 2 2 2 2" xfId="14637"/>
    <cellStyle name="Total 27 2 2 2 2 2 2" xfId="26609"/>
    <cellStyle name="Total 27 2 2 2 2 2 2 2" xfId="47795"/>
    <cellStyle name="Total 27 2 2 2 2 2 3" xfId="37191"/>
    <cellStyle name="Total 27 2 2 2 2 3" xfId="21496"/>
    <cellStyle name="Total 27 2 2 2 2 3 2" xfId="42683"/>
    <cellStyle name="Total 27 2 2 2 2 4" xfId="32099"/>
    <cellStyle name="Total 27 2 2 2 2_Table 2A-1_EFT (Annual)" xfId="8943"/>
    <cellStyle name="Total 27 2 2 2 3" xfId="11979"/>
    <cellStyle name="Total 27 2 2 2 3 2" xfId="24063"/>
    <cellStyle name="Total 27 2 2 2 3 2 2" xfId="45249"/>
    <cellStyle name="Total 27 2 2 2 3 3" xfId="34645"/>
    <cellStyle name="Total 27 2 2 2 4" xfId="18950"/>
    <cellStyle name="Total 27 2 2 2 4 2" xfId="40137"/>
    <cellStyle name="Total 27 2 2 2 5" xfId="29356"/>
    <cellStyle name="Total 27 2 2 2_Table 2A-1_EFT (Annual)" xfId="8942"/>
    <cellStyle name="Total 27 2 2 3" xfId="5173"/>
    <cellStyle name="Total 27 2 2 3 2" xfId="13433"/>
    <cellStyle name="Total 27 2 2 3 2 2" xfId="25439"/>
    <cellStyle name="Total 27 2 2 3 2 2 2" xfId="46625"/>
    <cellStyle name="Total 27 2 2 3 2 3" xfId="36021"/>
    <cellStyle name="Total 27 2 2 3 3" xfId="20326"/>
    <cellStyle name="Total 27 2 2 3 3 2" xfId="41513"/>
    <cellStyle name="Total 27 2 2 3 4" xfId="30830"/>
    <cellStyle name="Total 27 2 2 3_Table 2A-1_EFT (Annual)" xfId="8944"/>
    <cellStyle name="Total 27 2 2 4" xfId="10777"/>
    <cellStyle name="Total 27 2 2 4 2" xfId="22893"/>
    <cellStyle name="Total 27 2 2 4 2 2" xfId="44079"/>
    <cellStyle name="Total 27 2 2 4 3" xfId="33475"/>
    <cellStyle name="Total 27 2 2 5" xfId="17780"/>
    <cellStyle name="Total 27 2 2 5 2" xfId="38967"/>
    <cellStyle name="Total 27 2 2 6" xfId="28087"/>
    <cellStyle name="Total 27 2 2_Table 2A-1_EFT (Annual)" xfId="8941"/>
    <cellStyle name="Total 27 2 3" xfId="1125"/>
    <cellStyle name="Total 27 2 3 2" xfId="4686"/>
    <cellStyle name="Total 27 2 3 2 2" xfId="12946"/>
    <cellStyle name="Total 27 2 3 2 2 2" xfId="24952"/>
    <cellStyle name="Total 27 2 3 2 2 2 2" xfId="46138"/>
    <cellStyle name="Total 27 2 3 2 2 3" xfId="35534"/>
    <cellStyle name="Total 27 2 3 2 3" xfId="19839"/>
    <cellStyle name="Total 27 2 3 2 3 2" xfId="41026"/>
    <cellStyle name="Total 27 2 3 2 4" xfId="30343"/>
    <cellStyle name="Total 27 2 3 2_Table 2A-1_EFT (Annual)" xfId="8946"/>
    <cellStyle name="Total 27 2 3 3" xfId="10290"/>
    <cellStyle name="Total 27 2 3 3 2" xfId="22406"/>
    <cellStyle name="Total 27 2 3 3 2 2" xfId="43592"/>
    <cellStyle name="Total 27 2 3 3 3" xfId="32988"/>
    <cellStyle name="Total 27 2 3 4" xfId="17293"/>
    <cellStyle name="Total 27 2 3 4 2" xfId="38480"/>
    <cellStyle name="Total 27 2 3 5" xfId="27600"/>
    <cellStyle name="Total 27 2 3_Table 2A-1_EFT (Annual)" xfId="8945"/>
    <cellStyle name="Total 27 2 4" xfId="2351"/>
    <cellStyle name="Total 27 2 4 2" xfId="5912"/>
    <cellStyle name="Total 27 2 4 2 2" xfId="14127"/>
    <cellStyle name="Total 27 2 4 2 2 2" xfId="26115"/>
    <cellStyle name="Total 27 2 4 2 2 2 2" xfId="47301"/>
    <cellStyle name="Total 27 2 4 2 2 3" xfId="36697"/>
    <cellStyle name="Total 27 2 4 2 3" xfId="21002"/>
    <cellStyle name="Total 27 2 4 2 3 2" xfId="42189"/>
    <cellStyle name="Total 27 2 4 2 4" xfId="31569"/>
    <cellStyle name="Total 27 2 4 2_Table 2A-1_EFT (Annual)" xfId="8948"/>
    <cellStyle name="Total 27 2 4 3" xfId="11471"/>
    <cellStyle name="Total 27 2 4 3 2" xfId="23569"/>
    <cellStyle name="Total 27 2 4 3 2 2" xfId="44755"/>
    <cellStyle name="Total 27 2 4 3 3" xfId="34151"/>
    <cellStyle name="Total 27 2 4 4" xfId="18456"/>
    <cellStyle name="Total 27 2 4 4 2" xfId="39643"/>
    <cellStyle name="Total 27 2 4 5" xfId="28826"/>
    <cellStyle name="Total 27 2 4_Table 2A-1_EFT (Annual)" xfId="8947"/>
    <cellStyle name="Total 27 2 5" xfId="4205"/>
    <cellStyle name="Total 27 2 5 2" xfId="12529"/>
    <cellStyle name="Total 27 2 5 2 2" xfId="24551"/>
    <cellStyle name="Total 27 2 5 2 2 2" xfId="45737"/>
    <cellStyle name="Total 27 2 5 2 3" xfId="35133"/>
    <cellStyle name="Total 27 2 5 3" xfId="19438"/>
    <cellStyle name="Total 27 2 5 3 2" xfId="40625"/>
    <cellStyle name="Total 27 2 5 4" xfId="29893"/>
    <cellStyle name="Total 27 2 5_Table 2A-1_EFT (Annual)" xfId="8949"/>
    <cellStyle name="Total 27 2 6" xfId="9868"/>
    <cellStyle name="Total 27 2 6 2" xfId="22005"/>
    <cellStyle name="Total 27 2 6 2 2" xfId="43191"/>
    <cellStyle name="Total 27 2 6 3" xfId="32587"/>
    <cellStyle name="Total 27 2 7" xfId="16892"/>
    <cellStyle name="Total 27 2 7 2" xfId="38079"/>
    <cellStyle name="Total 27 2 8" xfId="27150"/>
    <cellStyle name="Total 27 2_Table 2A-1_EFT (Annual)" xfId="3566"/>
    <cellStyle name="Total 27 3" xfId="474"/>
    <cellStyle name="Total 27 3 2" xfId="1451"/>
    <cellStyle name="Total 27 3 2 2" xfId="2721"/>
    <cellStyle name="Total 27 3 2 2 2" xfId="6282"/>
    <cellStyle name="Total 27 3 2 2 2 2" xfId="14476"/>
    <cellStyle name="Total 27 3 2 2 2 2 2" xfId="26448"/>
    <cellStyle name="Total 27 3 2 2 2 2 2 2" xfId="47634"/>
    <cellStyle name="Total 27 3 2 2 2 2 3" xfId="37030"/>
    <cellStyle name="Total 27 3 2 2 2 3" xfId="21335"/>
    <cellStyle name="Total 27 3 2 2 2 3 2" xfId="42522"/>
    <cellStyle name="Total 27 3 2 2 2 4" xfId="31938"/>
    <cellStyle name="Total 27 3 2 2 2_Table 2A-1_EFT (Annual)" xfId="8952"/>
    <cellStyle name="Total 27 3 2 2 3" xfId="11818"/>
    <cellStyle name="Total 27 3 2 2 3 2" xfId="23902"/>
    <cellStyle name="Total 27 3 2 2 3 2 2" xfId="45088"/>
    <cellStyle name="Total 27 3 2 2 3 3" xfId="34484"/>
    <cellStyle name="Total 27 3 2 2 4" xfId="18789"/>
    <cellStyle name="Total 27 3 2 2 4 2" xfId="39976"/>
    <cellStyle name="Total 27 3 2 2 5" xfId="29195"/>
    <cellStyle name="Total 27 3 2 2_Table 2A-1_EFT (Annual)" xfId="8951"/>
    <cellStyle name="Total 27 3 2 3" xfId="5012"/>
    <cellStyle name="Total 27 3 2 3 2" xfId="13272"/>
    <cellStyle name="Total 27 3 2 3 2 2" xfId="25278"/>
    <cellStyle name="Total 27 3 2 3 2 2 2" xfId="46464"/>
    <cellStyle name="Total 27 3 2 3 2 3" xfId="35860"/>
    <cellStyle name="Total 27 3 2 3 3" xfId="20165"/>
    <cellStyle name="Total 27 3 2 3 3 2" xfId="41352"/>
    <cellStyle name="Total 27 3 2 3 4" xfId="30669"/>
    <cellStyle name="Total 27 3 2 3_Table 2A-1_EFT (Annual)" xfId="8953"/>
    <cellStyle name="Total 27 3 2 4" xfId="10616"/>
    <cellStyle name="Total 27 3 2 4 2" xfId="22732"/>
    <cellStyle name="Total 27 3 2 4 2 2" xfId="43918"/>
    <cellStyle name="Total 27 3 2 4 3" xfId="33314"/>
    <cellStyle name="Total 27 3 2 5" xfId="17619"/>
    <cellStyle name="Total 27 3 2 5 2" xfId="38806"/>
    <cellStyle name="Total 27 3 2 6" xfId="27926"/>
    <cellStyle name="Total 27 3 2_Table 2A-1_EFT (Annual)" xfId="8950"/>
    <cellStyle name="Total 27 3 3" xfId="995"/>
    <cellStyle name="Total 27 3 3 2" xfId="4556"/>
    <cellStyle name="Total 27 3 3 2 2" xfId="12816"/>
    <cellStyle name="Total 27 3 3 2 2 2" xfId="24822"/>
    <cellStyle name="Total 27 3 3 2 2 2 2" xfId="46008"/>
    <cellStyle name="Total 27 3 3 2 2 3" xfId="35404"/>
    <cellStyle name="Total 27 3 3 2 3" xfId="19709"/>
    <cellStyle name="Total 27 3 3 2 3 2" xfId="40896"/>
    <cellStyle name="Total 27 3 3 2 4" xfId="30213"/>
    <cellStyle name="Total 27 3 3 2_Table 2A-1_EFT (Annual)" xfId="8955"/>
    <cellStyle name="Total 27 3 3 3" xfId="10160"/>
    <cellStyle name="Total 27 3 3 3 2" xfId="22276"/>
    <cellStyle name="Total 27 3 3 3 2 2" xfId="43462"/>
    <cellStyle name="Total 27 3 3 3 3" xfId="32858"/>
    <cellStyle name="Total 27 3 3 4" xfId="17163"/>
    <cellStyle name="Total 27 3 3 4 2" xfId="38350"/>
    <cellStyle name="Total 27 3 3 5" xfId="27470"/>
    <cellStyle name="Total 27 3 3_Table 2A-1_EFT (Annual)" xfId="8954"/>
    <cellStyle name="Total 27 3 4" xfId="2190"/>
    <cellStyle name="Total 27 3 4 2" xfId="5751"/>
    <cellStyle name="Total 27 3 4 2 2" xfId="13966"/>
    <cellStyle name="Total 27 3 4 2 2 2" xfId="25954"/>
    <cellStyle name="Total 27 3 4 2 2 2 2" xfId="47140"/>
    <cellStyle name="Total 27 3 4 2 2 3" xfId="36536"/>
    <cellStyle name="Total 27 3 4 2 3" xfId="20841"/>
    <cellStyle name="Total 27 3 4 2 3 2" xfId="42028"/>
    <cellStyle name="Total 27 3 4 2 4" xfId="31408"/>
    <cellStyle name="Total 27 3 4 2_Table 2A-1_EFT (Annual)" xfId="8957"/>
    <cellStyle name="Total 27 3 4 3" xfId="11310"/>
    <cellStyle name="Total 27 3 4 3 2" xfId="23408"/>
    <cellStyle name="Total 27 3 4 3 2 2" xfId="44594"/>
    <cellStyle name="Total 27 3 4 3 3" xfId="33990"/>
    <cellStyle name="Total 27 3 4 4" xfId="18295"/>
    <cellStyle name="Total 27 3 4 4 2" xfId="39482"/>
    <cellStyle name="Total 27 3 4 5" xfId="28665"/>
    <cellStyle name="Total 27 3 4_Table 2A-1_EFT (Annual)" xfId="8956"/>
    <cellStyle name="Total 27 3 5" xfId="4044"/>
    <cellStyle name="Total 27 3 5 2" xfId="12368"/>
    <cellStyle name="Total 27 3 5 2 2" xfId="24390"/>
    <cellStyle name="Total 27 3 5 2 2 2" xfId="45576"/>
    <cellStyle name="Total 27 3 5 2 3" xfId="34972"/>
    <cellStyle name="Total 27 3 5 3" xfId="19277"/>
    <cellStyle name="Total 27 3 5 3 2" xfId="40464"/>
    <cellStyle name="Total 27 3 5 4" xfId="29732"/>
    <cellStyle name="Total 27 3 5_Table 2A-1_EFT (Annual)" xfId="8958"/>
    <cellStyle name="Total 27 3 6" xfId="9707"/>
    <cellStyle name="Total 27 3 6 2" xfId="21844"/>
    <cellStyle name="Total 27 3 6 2 2" xfId="43030"/>
    <cellStyle name="Total 27 3 6 3" xfId="32426"/>
    <cellStyle name="Total 27 3 7" xfId="16731"/>
    <cellStyle name="Total 27 3 7 2" xfId="37918"/>
    <cellStyle name="Total 27 3 8" xfId="26989"/>
    <cellStyle name="Total 27 3_Table 2A-1_EFT (Annual)" xfId="3567"/>
    <cellStyle name="Total 27 4" xfId="1290"/>
    <cellStyle name="Total 27 4 2" xfId="2560"/>
    <cellStyle name="Total 27 4 2 2" xfId="6121"/>
    <cellStyle name="Total 27 4 2 2 2" xfId="14315"/>
    <cellStyle name="Total 27 4 2 2 2 2" xfId="26287"/>
    <cellStyle name="Total 27 4 2 2 2 2 2" xfId="47473"/>
    <cellStyle name="Total 27 4 2 2 2 3" xfId="36869"/>
    <cellStyle name="Total 27 4 2 2 3" xfId="21174"/>
    <cellStyle name="Total 27 4 2 2 3 2" xfId="42361"/>
    <cellStyle name="Total 27 4 2 2 4" xfId="31777"/>
    <cellStyle name="Total 27 4 2 2_Table 2A-1_EFT (Annual)" xfId="8961"/>
    <cellStyle name="Total 27 4 2 3" xfId="11657"/>
    <cellStyle name="Total 27 4 2 3 2" xfId="23741"/>
    <cellStyle name="Total 27 4 2 3 2 2" xfId="44927"/>
    <cellStyle name="Total 27 4 2 3 3" xfId="34323"/>
    <cellStyle name="Total 27 4 2 4" xfId="18628"/>
    <cellStyle name="Total 27 4 2 4 2" xfId="39815"/>
    <cellStyle name="Total 27 4 2 5" xfId="29034"/>
    <cellStyle name="Total 27 4 2_Table 2A-1_EFT (Annual)" xfId="8960"/>
    <cellStyle name="Total 27 4 3" xfId="4851"/>
    <cellStyle name="Total 27 4 3 2" xfId="13111"/>
    <cellStyle name="Total 27 4 3 2 2" xfId="25117"/>
    <cellStyle name="Total 27 4 3 2 2 2" xfId="46303"/>
    <cellStyle name="Total 27 4 3 2 3" xfId="35699"/>
    <cellStyle name="Total 27 4 3 3" xfId="20004"/>
    <cellStyle name="Total 27 4 3 3 2" xfId="41191"/>
    <cellStyle name="Total 27 4 3 4" xfId="30508"/>
    <cellStyle name="Total 27 4 3_Table 2A-1_EFT (Annual)" xfId="8962"/>
    <cellStyle name="Total 27 4 4" xfId="10455"/>
    <cellStyle name="Total 27 4 4 2" xfId="22571"/>
    <cellStyle name="Total 27 4 4 2 2" xfId="43757"/>
    <cellStyle name="Total 27 4 4 3" xfId="33153"/>
    <cellStyle name="Total 27 4 5" xfId="17458"/>
    <cellStyle name="Total 27 4 5 2" xfId="38645"/>
    <cellStyle name="Total 27 4 6" xfId="27765"/>
    <cellStyle name="Total 27 4_Table 2A-1_EFT (Annual)" xfId="8959"/>
    <cellStyle name="Total 27 5" xfId="840"/>
    <cellStyle name="Total 27 5 2" xfId="4401"/>
    <cellStyle name="Total 27 5 2 2" xfId="12675"/>
    <cellStyle name="Total 27 5 2 2 2" xfId="24692"/>
    <cellStyle name="Total 27 5 2 2 2 2" xfId="45878"/>
    <cellStyle name="Total 27 5 2 2 3" xfId="35274"/>
    <cellStyle name="Total 27 5 2 3" xfId="19579"/>
    <cellStyle name="Total 27 5 2 3 2" xfId="40766"/>
    <cellStyle name="Total 27 5 2 4" xfId="30058"/>
    <cellStyle name="Total 27 5 2_Table 2A-1_EFT (Annual)" xfId="8964"/>
    <cellStyle name="Total 27 5 3" xfId="10024"/>
    <cellStyle name="Total 27 5 3 2" xfId="22146"/>
    <cellStyle name="Total 27 5 3 2 2" xfId="43332"/>
    <cellStyle name="Total 27 5 3 3" xfId="32728"/>
    <cellStyle name="Total 27 5 4" xfId="17033"/>
    <cellStyle name="Total 27 5 4 2" xfId="38220"/>
    <cellStyle name="Total 27 5 5" xfId="27315"/>
    <cellStyle name="Total 27 5_Table 2A-1_EFT (Annual)" xfId="8963"/>
    <cellStyle name="Total 27 6" xfId="2029"/>
    <cellStyle name="Total 27 6 2" xfId="5590"/>
    <cellStyle name="Total 27 6 2 2" xfId="13805"/>
    <cellStyle name="Total 27 6 2 2 2" xfId="25793"/>
    <cellStyle name="Total 27 6 2 2 2 2" xfId="46979"/>
    <cellStyle name="Total 27 6 2 2 3" xfId="36375"/>
    <cellStyle name="Total 27 6 2 3" xfId="20680"/>
    <cellStyle name="Total 27 6 2 3 2" xfId="41867"/>
    <cellStyle name="Total 27 6 2 4" xfId="31247"/>
    <cellStyle name="Total 27 6 2_Table 2A-1_EFT (Annual)" xfId="8966"/>
    <cellStyle name="Total 27 6 3" xfId="11149"/>
    <cellStyle name="Total 27 6 3 2" xfId="23247"/>
    <cellStyle name="Total 27 6 3 2 2" xfId="44433"/>
    <cellStyle name="Total 27 6 3 3" xfId="33829"/>
    <cellStyle name="Total 27 6 4" xfId="18134"/>
    <cellStyle name="Total 27 6 4 2" xfId="39321"/>
    <cellStyle name="Total 27 6 5" xfId="28504"/>
    <cellStyle name="Total 27 6_Table 2A-1_EFT (Annual)" xfId="8965"/>
    <cellStyle name="Total 27 7" xfId="3837"/>
    <cellStyle name="Total 27 7 2" xfId="12200"/>
    <cellStyle name="Total 27 7 2 2" xfId="24229"/>
    <cellStyle name="Total 27 7 2 2 2" xfId="45415"/>
    <cellStyle name="Total 27 7 2 3" xfId="34811"/>
    <cellStyle name="Total 27 7 3" xfId="19116"/>
    <cellStyle name="Total 27 7 3 2" xfId="40303"/>
    <cellStyle name="Total 27 7 4" xfId="29546"/>
    <cellStyle name="Total 27 7_Table 2A-1_EFT (Annual)" xfId="8967"/>
    <cellStyle name="Total 27 8" xfId="9519"/>
    <cellStyle name="Total 27 8 2" xfId="21683"/>
    <cellStyle name="Total 27 8 2 2" xfId="42869"/>
    <cellStyle name="Total 27 8 3" xfId="32265"/>
    <cellStyle name="Total 27 9" xfId="16570"/>
    <cellStyle name="Total 27 9 2" xfId="37757"/>
    <cellStyle name="Total 27_Table 2A-1_EFT (Annual)" xfId="3565"/>
    <cellStyle name="Total 28" xfId="188"/>
    <cellStyle name="Total 28 10" xfId="26743"/>
    <cellStyle name="Total 28 2" xfId="581"/>
    <cellStyle name="Total 28 2 2" xfId="1558"/>
    <cellStyle name="Total 28 2 2 2" xfId="2828"/>
    <cellStyle name="Total 28 2 2 2 2" xfId="6389"/>
    <cellStyle name="Total 28 2 2 2 2 2" xfId="14583"/>
    <cellStyle name="Total 28 2 2 2 2 2 2" xfId="26555"/>
    <cellStyle name="Total 28 2 2 2 2 2 2 2" xfId="47741"/>
    <cellStyle name="Total 28 2 2 2 2 2 3" xfId="37137"/>
    <cellStyle name="Total 28 2 2 2 2 3" xfId="21442"/>
    <cellStyle name="Total 28 2 2 2 2 3 2" xfId="42629"/>
    <cellStyle name="Total 28 2 2 2 2 4" xfId="32045"/>
    <cellStyle name="Total 28 2 2 2 2_Table 2A-1_EFT (Annual)" xfId="8970"/>
    <cellStyle name="Total 28 2 2 2 3" xfId="11925"/>
    <cellStyle name="Total 28 2 2 2 3 2" xfId="24009"/>
    <cellStyle name="Total 28 2 2 2 3 2 2" xfId="45195"/>
    <cellStyle name="Total 28 2 2 2 3 3" xfId="34591"/>
    <cellStyle name="Total 28 2 2 2 4" xfId="18896"/>
    <cellStyle name="Total 28 2 2 2 4 2" xfId="40083"/>
    <cellStyle name="Total 28 2 2 2 5" xfId="29302"/>
    <cellStyle name="Total 28 2 2 2_Table 2A-1_EFT (Annual)" xfId="8969"/>
    <cellStyle name="Total 28 2 2 3" xfId="5119"/>
    <cellStyle name="Total 28 2 2 3 2" xfId="13379"/>
    <cellStyle name="Total 28 2 2 3 2 2" xfId="25385"/>
    <cellStyle name="Total 28 2 2 3 2 2 2" xfId="46571"/>
    <cellStyle name="Total 28 2 2 3 2 3" xfId="35967"/>
    <cellStyle name="Total 28 2 2 3 3" xfId="20272"/>
    <cellStyle name="Total 28 2 2 3 3 2" xfId="41459"/>
    <cellStyle name="Total 28 2 2 3 4" xfId="30776"/>
    <cellStyle name="Total 28 2 2 3_Table 2A-1_EFT (Annual)" xfId="8971"/>
    <cellStyle name="Total 28 2 2 4" xfId="10723"/>
    <cellStyle name="Total 28 2 2 4 2" xfId="22839"/>
    <cellStyle name="Total 28 2 2 4 2 2" xfId="44025"/>
    <cellStyle name="Total 28 2 2 4 3" xfId="33421"/>
    <cellStyle name="Total 28 2 2 5" xfId="17726"/>
    <cellStyle name="Total 28 2 2 5 2" xfId="38913"/>
    <cellStyle name="Total 28 2 2 6" xfId="28033"/>
    <cellStyle name="Total 28 2 2_Table 2A-1_EFT (Annual)" xfId="8968"/>
    <cellStyle name="Total 28 2 3" xfId="1081"/>
    <cellStyle name="Total 28 2 3 2" xfId="4642"/>
    <cellStyle name="Total 28 2 3 2 2" xfId="12902"/>
    <cellStyle name="Total 28 2 3 2 2 2" xfId="24908"/>
    <cellStyle name="Total 28 2 3 2 2 2 2" xfId="46094"/>
    <cellStyle name="Total 28 2 3 2 2 3" xfId="35490"/>
    <cellStyle name="Total 28 2 3 2 3" xfId="19795"/>
    <cellStyle name="Total 28 2 3 2 3 2" xfId="40982"/>
    <cellStyle name="Total 28 2 3 2 4" xfId="30299"/>
    <cellStyle name="Total 28 2 3 2_Table 2A-1_EFT (Annual)" xfId="8973"/>
    <cellStyle name="Total 28 2 3 3" xfId="10246"/>
    <cellStyle name="Total 28 2 3 3 2" xfId="22362"/>
    <cellStyle name="Total 28 2 3 3 2 2" xfId="43548"/>
    <cellStyle name="Total 28 2 3 3 3" xfId="32944"/>
    <cellStyle name="Total 28 2 3 4" xfId="17249"/>
    <cellStyle name="Total 28 2 3 4 2" xfId="38436"/>
    <cellStyle name="Total 28 2 3 5" xfId="27556"/>
    <cellStyle name="Total 28 2 3_Table 2A-1_EFT (Annual)" xfId="8972"/>
    <cellStyle name="Total 28 2 4" xfId="2297"/>
    <cellStyle name="Total 28 2 4 2" xfId="5858"/>
    <cellStyle name="Total 28 2 4 2 2" xfId="14073"/>
    <cellStyle name="Total 28 2 4 2 2 2" xfId="26061"/>
    <cellStyle name="Total 28 2 4 2 2 2 2" xfId="47247"/>
    <cellStyle name="Total 28 2 4 2 2 3" xfId="36643"/>
    <cellStyle name="Total 28 2 4 2 3" xfId="20948"/>
    <cellStyle name="Total 28 2 4 2 3 2" xfId="42135"/>
    <cellStyle name="Total 28 2 4 2 4" xfId="31515"/>
    <cellStyle name="Total 28 2 4 2_Table 2A-1_EFT (Annual)" xfId="8975"/>
    <cellStyle name="Total 28 2 4 3" xfId="11417"/>
    <cellStyle name="Total 28 2 4 3 2" xfId="23515"/>
    <cellStyle name="Total 28 2 4 3 2 2" xfId="44701"/>
    <cellStyle name="Total 28 2 4 3 3" xfId="34097"/>
    <cellStyle name="Total 28 2 4 4" xfId="18402"/>
    <cellStyle name="Total 28 2 4 4 2" xfId="39589"/>
    <cellStyle name="Total 28 2 4 5" xfId="28772"/>
    <cellStyle name="Total 28 2 4_Table 2A-1_EFT (Annual)" xfId="8974"/>
    <cellStyle name="Total 28 2 5" xfId="4151"/>
    <cellStyle name="Total 28 2 5 2" xfId="12475"/>
    <cellStyle name="Total 28 2 5 2 2" xfId="24497"/>
    <cellStyle name="Total 28 2 5 2 2 2" xfId="45683"/>
    <cellStyle name="Total 28 2 5 2 3" xfId="35079"/>
    <cellStyle name="Total 28 2 5 3" xfId="19384"/>
    <cellStyle name="Total 28 2 5 3 2" xfId="40571"/>
    <cellStyle name="Total 28 2 5 4" xfId="29839"/>
    <cellStyle name="Total 28 2 5_Table 2A-1_EFT (Annual)" xfId="8976"/>
    <cellStyle name="Total 28 2 6" xfId="9814"/>
    <cellStyle name="Total 28 2 6 2" xfId="21951"/>
    <cellStyle name="Total 28 2 6 2 2" xfId="43137"/>
    <cellStyle name="Total 28 2 6 3" xfId="32533"/>
    <cellStyle name="Total 28 2 7" xfId="16838"/>
    <cellStyle name="Total 28 2 7 2" xfId="38025"/>
    <cellStyle name="Total 28 2 8" xfId="27096"/>
    <cellStyle name="Total 28 2_Table 2A-1_EFT (Annual)" xfId="3569"/>
    <cellStyle name="Total 28 3" xfId="418"/>
    <cellStyle name="Total 28 3 2" xfId="1401"/>
    <cellStyle name="Total 28 3 2 2" xfId="2671"/>
    <cellStyle name="Total 28 3 2 2 2" xfId="6232"/>
    <cellStyle name="Total 28 3 2 2 2 2" xfId="14426"/>
    <cellStyle name="Total 28 3 2 2 2 2 2" xfId="26398"/>
    <cellStyle name="Total 28 3 2 2 2 2 2 2" xfId="47584"/>
    <cellStyle name="Total 28 3 2 2 2 2 3" xfId="36980"/>
    <cellStyle name="Total 28 3 2 2 2 3" xfId="21285"/>
    <cellStyle name="Total 28 3 2 2 2 3 2" xfId="42472"/>
    <cellStyle name="Total 28 3 2 2 2 4" xfId="31888"/>
    <cellStyle name="Total 28 3 2 2 2_Table 2A-1_EFT (Annual)" xfId="8979"/>
    <cellStyle name="Total 28 3 2 2 3" xfId="11768"/>
    <cellStyle name="Total 28 3 2 2 3 2" xfId="23852"/>
    <cellStyle name="Total 28 3 2 2 3 2 2" xfId="45038"/>
    <cellStyle name="Total 28 3 2 2 3 3" xfId="34434"/>
    <cellStyle name="Total 28 3 2 2 4" xfId="18739"/>
    <cellStyle name="Total 28 3 2 2 4 2" xfId="39926"/>
    <cellStyle name="Total 28 3 2 2 5" xfId="29145"/>
    <cellStyle name="Total 28 3 2 2_Table 2A-1_EFT (Annual)" xfId="8978"/>
    <cellStyle name="Total 28 3 2 3" xfId="4962"/>
    <cellStyle name="Total 28 3 2 3 2" xfId="13222"/>
    <cellStyle name="Total 28 3 2 3 2 2" xfId="25228"/>
    <cellStyle name="Total 28 3 2 3 2 2 2" xfId="46414"/>
    <cellStyle name="Total 28 3 2 3 2 3" xfId="35810"/>
    <cellStyle name="Total 28 3 2 3 3" xfId="20115"/>
    <cellStyle name="Total 28 3 2 3 3 2" xfId="41302"/>
    <cellStyle name="Total 28 3 2 3 4" xfId="30619"/>
    <cellStyle name="Total 28 3 2 3_Table 2A-1_EFT (Annual)" xfId="8980"/>
    <cellStyle name="Total 28 3 2 4" xfId="10566"/>
    <cellStyle name="Total 28 3 2 4 2" xfId="22682"/>
    <cellStyle name="Total 28 3 2 4 2 2" xfId="43868"/>
    <cellStyle name="Total 28 3 2 4 3" xfId="33264"/>
    <cellStyle name="Total 28 3 2 5" xfId="17569"/>
    <cellStyle name="Total 28 3 2 5 2" xfId="38756"/>
    <cellStyle name="Total 28 3 2 6" xfId="27876"/>
    <cellStyle name="Total 28 3 2_Table 2A-1_EFT (Annual)" xfId="8977"/>
    <cellStyle name="Total 28 3 3" xfId="948"/>
    <cellStyle name="Total 28 3 3 2" xfId="4509"/>
    <cellStyle name="Total 28 3 3 2 2" xfId="12771"/>
    <cellStyle name="Total 28 3 3 2 2 2" xfId="24781"/>
    <cellStyle name="Total 28 3 3 2 2 2 2" xfId="45967"/>
    <cellStyle name="Total 28 3 3 2 2 3" xfId="35363"/>
    <cellStyle name="Total 28 3 3 2 3" xfId="19668"/>
    <cellStyle name="Total 28 3 3 2 3 2" xfId="40855"/>
    <cellStyle name="Total 28 3 3 2 4" xfId="30166"/>
    <cellStyle name="Total 28 3 3 2_Table 2A-1_EFT (Annual)" xfId="8982"/>
    <cellStyle name="Total 28 3 3 3" xfId="10118"/>
    <cellStyle name="Total 28 3 3 3 2" xfId="22235"/>
    <cellStyle name="Total 28 3 3 3 2 2" xfId="43421"/>
    <cellStyle name="Total 28 3 3 3 3" xfId="32817"/>
    <cellStyle name="Total 28 3 3 4" xfId="17122"/>
    <cellStyle name="Total 28 3 3 4 2" xfId="38309"/>
    <cellStyle name="Total 28 3 3 5" xfId="27423"/>
    <cellStyle name="Total 28 3 3_Table 2A-1_EFT (Annual)" xfId="8981"/>
    <cellStyle name="Total 28 3 4" xfId="2140"/>
    <cellStyle name="Total 28 3 4 2" xfId="5701"/>
    <cellStyle name="Total 28 3 4 2 2" xfId="13916"/>
    <cellStyle name="Total 28 3 4 2 2 2" xfId="25904"/>
    <cellStyle name="Total 28 3 4 2 2 2 2" xfId="47090"/>
    <cellStyle name="Total 28 3 4 2 2 3" xfId="36486"/>
    <cellStyle name="Total 28 3 4 2 3" xfId="20791"/>
    <cellStyle name="Total 28 3 4 2 3 2" xfId="41978"/>
    <cellStyle name="Total 28 3 4 2 4" xfId="31358"/>
    <cellStyle name="Total 28 3 4 2_Table 2A-1_EFT (Annual)" xfId="8984"/>
    <cellStyle name="Total 28 3 4 3" xfId="11260"/>
    <cellStyle name="Total 28 3 4 3 2" xfId="23358"/>
    <cellStyle name="Total 28 3 4 3 2 2" xfId="44544"/>
    <cellStyle name="Total 28 3 4 3 3" xfId="33940"/>
    <cellStyle name="Total 28 3 4 4" xfId="18245"/>
    <cellStyle name="Total 28 3 4 4 2" xfId="39432"/>
    <cellStyle name="Total 28 3 4 5" xfId="28615"/>
    <cellStyle name="Total 28 3 4_Table 2A-1_EFT (Annual)" xfId="8983"/>
    <cellStyle name="Total 28 3 5" xfId="3988"/>
    <cellStyle name="Total 28 3 5 2" xfId="12316"/>
    <cellStyle name="Total 28 3 5 2 2" xfId="24340"/>
    <cellStyle name="Total 28 3 5 2 2 2" xfId="45526"/>
    <cellStyle name="Total 28 3 5 2 3" xfId="34922"/>
    <cellStyle name="Total 28 3 5 3" xfId="19227"/>
    <cellStyle name="Total 28 3 5 3 2" xfId="40414"/>
    <cellStyle name="Total 28 3 5 4" xfId="29676"/>
    <cellStyle name="Total 28 3 5_Table 2A-1_EFT (Annual)" xfId="8985"/>
    <cellStyle name="Total 28 3 6" xfId="9653"/>
    <cellStyle name="Total 28 3 6 2" xfId="21794"/>
    <cellStyle name="Total 28 3 6 2 2" xfId="42980"/>
    <cellStyle name="Total 28 3 6 3" xfId="32376"/>
    <cellStyle name="Total 28 3 7" xfId="16681"/>
    <cellStyle name="Total 28 3 7 2" xfId="37868"/>
    <cellStyle name="Total 28 3 8" xfId="26933"/>
    <cellStyle name="Total 28 3_Table 2A-1_EFT (Annual)" xfId="3570"/>
    <cellStyle name="Total 28 4" xfId="1236"/>
    <cellStyle name="Total 28 4 2" xfId="2506"/>
    <cellStyle name="Total 28 4 2 2" xfId="6067"/>
    <cellStyle name="Total 28 4 2 2 2" xfId="14261"/>
    <cellStyle name="Total 28 4 2 2 2 2" xfId="26233"/>
    <cellStyle name="Total 28 4 2 2 2 2 2" xfId="47419"/>
    <cellStyle name="Total 28 4 2 2 2 3" xfId="36815"/>
    <cellStyle name="Total 28 4 2 2 3" xfId="21120"/>
    <cellStyle name="Total 28 4 2 2 3 2" xfId="42307"/>
    <cellStyle name="Total 28 4 2 2 4" xfId="31723"/>
    <cellStyle name="Total 28 4 2 2_Table 2A-1_EFT (Annual)" xfId="8988"/>
    <cellStyle name="Total 28 4 2 3" xfId="11603"/>
    <cellStyle name="Total 28 4 2 3 2" xfId="23687"/>
    <cellStyle name="Total 28 4 2 3 2 2" xfId="44873"/>
    <cellStyle name="Total 28 4 2 3 3" xfId="34269"/>
    <cellStyle name="Total 28 4 2 4" xfId="18574"/>
    <cellStyle name="Total 28 4 2 4 2" xfId="39761"/>
    <cellStyle name="Total 28 4 2 5" xfId="28980"/>
    <cellStyle name="Total 28 4 2_Table 2A-1_EFT (Annual)" xfId="8987"/>
    <cellStyle name="Total 28 4 3" xfId="4797"/>
    <cellStyle name="Total 28 4 3 2" xfId="13057"/>
    <cellStyle name="Total 28 4 3 2 2" xfId="25063"/>
    <cellStyle name="Total 28 4 3 2 2 2" xfId="46249"/>
    <cellStyle name="Total 28 4 3 2 3" xfId="35645"/>
    <cellStyle name="Total 28 4 3 3" xfId="19950"/>
    <cellStyle name="Total 28 4 3 3 2" xfId="41137"/>
    <cellStyle name="Total 28 4 3 4" xfId="30454"/>
    <cellStyle name="Total 28 4 3_Table 2A-1_EFT (Annual)" xfId="8989"/>
    <cellStyle name="Total 28 4 4" xfId="10401"/>
    <cellStyle name="Total 28 4 4 2" xfId="22517"/>
    <cellStyle name="Total 28 4 4 2 2" xfId="43703"/>
    <cellStyle name="Total 28 4 4 3" xfId="33099"/>
    <cellStyle name="Total 28 4 5" xfId="17404"/>
    <cellStyle name="Total 28 4 5 2" xfId="38591"/>
    <cellStyle name="Total 28 4 6" xfId="27711"/>
    <cellStyle name="Total 28 4_Table 2A-1_EFT (Annual)" xfId="8986"/>
    <cellStyle name="Total 28 5" xfId="790"/>
    <cellStyle name="Total 28 5 2" xfId="4351"/>
    <cellStyle name="Total 28 5 2 2" xfId="12631"/>
    <cellStyle name="Total 28 5 2 2 2" xfId="24648"/>
    <cellStyle name="Total 28 5 2 2 2 2" xfId="45834"/>
    <cellStyle name="Total 28 5 2 2 3" xfId="35230"/>
    <cellStyle name="Total 28 5 2 3" xfId="19535"/>
    <cellStyle name="Total 28 5 2 3 2" xfId="40722"/>
    <cellStyle name="Total 28 5 2 4" xfId="30008"/>
    <cellStyle name="Total 28 5 2_Table 2A-1_EFT (Annual)" xfId="8991"/>
    <cellStyle name="Total 28 5 3" xfId="9979"/>
    <cellStyle name="Total 28 5 3 2" xfId="22102"/>
    <cellStyle name="Total 28 5 3 2 2" xfId="43288"/>
    <cellStyle name="Total 28 5 3 3" xfId="32684"/>
    <cellStyle name="Total 28 5 4" xfId="16989"/>
    <cellStyle name="Total 28 5 4 2" xfId="38176"/>
    <cellStyle name="Total 28 5 5" xfId="27265"/>
    <cellStyle name="Total 28 5_Table 2A-1_EFT (Annual)" xfId="8990"/>
    <cellStyle name="Total 28 6" xfId="1975"/>
    <cellStyle name="Total 28 6 2" xfId="5536"/>
    <cellStyle name="Total 28 6 2 2" xfId="13751"/>
    <cellStyle name="Total 28 6 2 2 2" xfId="25739"/>
    <cellStyle name="Total 28 6 2 2 2 2" xfId="46925"/>
    <cellStyle name="Total 28 6 2 2 3" xfId="36321"/>
    <cellStyle name="Total 28 6 2 3" xfId="20626"/>
    <cellStyle name="Total 28 6 2 3 2" xfId="41813"/>
    <cellStyle name="Total 28 6 2 4" xfId="31193"/>
    <cellStyle name="Total 28 6 2_Table 2A-1_EFT (Annual)" xfId="8993"/>
    <cellStyle name="Total 28 6 3" xfId="11095"/>
    <cellStyle name="Total 28 6 3 2" xfId="23193"/>
    <cellStyle name="Total 28 6 3 2 2" xfId="44379"/>
    <cellStyle name="Total 28 6 3 3" xfId="33775"/>
    <cellStyle name="Total 28 6 4" xfId="18080"/>
    <cellStyle name="Total 28 6 4 2" xfId="39267"/>
    <cellStyle name="Total 28 6 5" xfId="28450"/>
    <cellStyle name="Total 28 6_Table 2A-1_EFT (Annual)" xfId="8992"/>
    <cellStyle name="Total 28 7" xfId="3777"/>
    <cellStyle name="Total 28 7 2" xfId="12145"/>
    <cellStyle name="Total 28 7 2 2" xfId="24175"/>
    <cellStyle name="Total 28 7 2 2 2" xfId="45361"/>
    <cellStyle name="Total 28 7 2 3" xfId="34757"/>
    <cellStyle name="Total 28 7 3" xfId="19062"/>
    <cellStyle name="Total 28 7 3 2" xfId="40249"/>
    <cellStyle name="Total 28 7 4" xfId="29486"/>
    <cellStyle name="Total 28 7_Table 2A-1_EFT (Annual)" xfId="8994"/>
    <cellStyle name="Total 28 8" xfId="9464"/>
    <cellStyle name="Total 28 8 2" xfId="21629"/>
    <cellStyle name="Total 28 8 2 2" xfId="42815"/>
    <cellStyle name="Total 28 8 3" xfId="32211"/>
    <cellStyle name="Total 28 9" xfId="16516"/>
    <cellStyle name="Total 28 9 2" xfId="37703"/>
    <cellStyle name="Total 28_Table 2A-1_EFT (Annual)" xfId="3568"/>
    <cellStyle name="Total 29" xfId="214"/>
    <cellStyle name="Total 29 10" xfId="26769"/>
    <cellStyle name="Total 29 2" xfId="607"/>
    <cellStyle name="Total 29 2 2" xfId="1584"/>
    <cellStyle name="Total 29 2 2 2" xfId="2854"/>
    <cellStyle name="Total 29 2 2 2 2" xfId="6415"/>
    <cellStyle name="Total 29 2 2 2 2 2" xfId="14609"/>
    <cellStyle name="Total 29 2 2 2 2 2 2" xfId="26581"/>
    <cellStyle name="Total 29 2 2 2 2 2 2 2" xfId="47767"/>
    <cellStyle name="Total 29 2 2 2 2 2 3" xfId="37163"/>
    <cellStyle name="Total 29 2 2 2 2 3" xfId="21468"/>
    <cellStyle name="Total 29 2 2 2 2 3 2" xfId="42655"/>
    <cellStyle name="Total 29 2 2 2 2 4" xfId="32071"/>
    <cellStyle name="Total 29 2 2 2 2_Table 2A-1_EFT (Annual)" xfId="8997"/>
    <cellStyle name="Total 29 2 2 2 3" xfId="11951"/>
    <cellStyle name="Total 29 2 2 2 3 2" xfId="24035"/>
    <cellStyle name="Total 29 2 2 2 3 2 2" xfId="45221"/>
    <cellStyle name="Total 29 2 2 2 3 3" xfId="34617"/>
    <cellStyle name="Total 29 2 2 2 4" xfId="18922"/>
    <cellStyle name="Total 29 2 2 2 4 2" xfId="40109"/>
    <cellStyle name="Total 29 2 2 2 5" xfId="29328"/>
    <cellStyle name="Total 29 2 2 2_Table 2A-1_EFT (Annual)" xfId="8996"/>
    <cellStyle name="Total 29 2 2 3" xfId="5145"/>
    <cellStyle name="Total 29 2 2 3 2" xfId="13405"/>
    <cellStyle name="Total 29 2 2 3 2 2" xfId="25411"/>
    <cellStyle name="Total 29 2 2 3 2 2 2" xfId="46597"/>
    <cellStyle name="Total 29 2 2 3 2 3" xfId="35993"/>
    <cellStyle name="Total 29 2 2 3 3" xfId="20298"/>
    <cellStyle name="Total 29 2 2 3 3 2" xfId="41485"/>
    <cellStyle name="Total 29 2 2 3 4" xfId="30802"/>
    <cellStyle name="Total 29 2 2 3_Table 2A-1_EFT (Annual)" xfId="8998"/>
    <cellStyle name="Total 29 2 2 4" xfId="10749"/>
    <cellStyle name="Total 29 2 2 4 2" xfId="22865"/>
    <cellStyle name="Total 29 2 2 4 2 2" xfId="44051"/>
    <cellStyle name="Total 29 2 2 4 3" xfId="33447"/>
    <cellStyle name="Total 29 2 2 5" xfId="17752"/>
    <cellStyle name="Total 29 2 2 5 2" xfId="38939"/>
    <cellStyle name="Total 29 2 2 6" xfId="28059"/>
    <cellStyle name="Total 29 2 2_Table 2A-1_EFT (Annual)" xfId="8995"/>
    <cellStyle name="Total 29 2 3" xfId="1102"/>
    <cellStyle name="Total 29 2 3 2" xfId="4663"/>
    <cellStyle name="Total 29 2 3 2 2" xfId="12923"/>
    <cellStyle name="Total 29 2 3 2 2 2" xfId="24929"/>
    <cellStyle name="Total 29 2 3 2 2 2 2" xfId="46115"/>
    <cellStyle name="Total 29 2 3 2 2 3" xfId="35511"/>
    <cellStyle name="Total 29 2 3 2 3" xfId="19816"/>
    <cellStyle name="Total 29 2 3 2 3 2" xfId="41003"/>
    <cellStyle name="Total 29 2 3 2 4" xfId="30320"/>
    <cellStyle name="Total 29 2 3 2_Table 2A-1_EFT (Annual)" xfId="9000"/>
    <cellStyle name="Total 29 2 3 3" xfId="10267"/>
    <cellStyle name="Total 29 2 3 3 2" xfId="22383"/>
    <cellStyle name="Total 29 2 3 3 2 2" xfId="43569"/>
    <cellStyle name="Total 29 2 3 3 3" xfId="32965"/>
    <cellStyle name="Total 29 2 3 4" xfId="17270"/>
    <cellStyle name="Total 29 2 3 4 2" xfId="38457"/>
    <cellStyle name="Total 29 2 3 5" xfId="27577"/>
    <cellStyle name="Total 29 2 3_Table 2A-1_EFT (Annual)" xfId="8999"/>
    <cellStyle name="Total 29 2 4" xfId="2323"/>
    <cellStyle name="Total 29 2 4 2" xfId="5884"/>
    <cellStyle name="Total 29 2 4 2 2" xfId="14099"/>
    <cellStyle name="Total 29 2 4 2 2 2" xfId="26087"/>
    <cellStyle name="Total 29 2 4 2 2 2 2" xfId="47273"/>
    <cellStyle name="Total 29 2 4 2 2 3" xfId="36669"/>
    <cellStyle name="Total 29 2 4 2 3" xfId="20974"/>
    <cellStyle name="Total 29 2 4 2 3 2" xfId="42161"/>
    <cellStyle name="Total 29 2 4 2 4" xfId="31541"/>
    <cellStyle name="Total 29 2 4 2_Table 2A-1_EFT (Annual)" xfId="9002"/>
    <cellStyle name="Total 29 2 4 3" xfId="11443"/>
    <cellStyle name="Total 29 2 4 3 2" xfId="23541"/>
    <cellStyle name="Total 29 2 4 3 2 2" xfId="44727"/>
    <cellStyle name="Total 29 2 4 3 3" xfId="34123"/>
    <cellStyle name="Total 29 2 4 4" xfId="18428"/>
    <cellStyle name="Total 29 2 4 4 2" xfId="39615"/>
    <cellStyle name="Total 29 2 4 5" xfId="28798"/>
    <cellStyle name="Total 29 2 4_Table 2A-1_EFT (Annual)" xfId="9001"/>
    <cellStyle name="Total 29 2 5" xfId="4177"/>
    <cellStyle name="Total 29 2 5 2" xfId="12501"/>
    <cellStyle name="Total 29 2 5 2 2" xfId="24523"/>
    <cellStyle name="Total 29 2 5 2 2 2" xfId="45709"/>
    <cellStyle name="Total 29 2 5 2 3" xfId="35105"/>
    <cellStyle name="Total 29 2 5 3" xfId="19410"/>
    <cellStyle name="Total 29 2 5 3 2" xfId="40597"/>
    <cellStyle name="Total 29 2 5 4" xfId="29865"/>
    <cellStyle name="Total 29 2 5_Table 2A-1_EFT (Annual)" xfId="9003"/>
    <cellStyle name="Total 29 2 6" xfId="9840"/>
    <cellStyle name="Total 29 2 6 2" xfId="21977"/>
    <cellStyle name="Total 29 2 6 2 2" xfId="43163"/>
    <cellStyle name="Total 29 2 6 3" xfId="32559"/>
    <cellStyle name="Total 29 2 7" xfId="16864"/>
    <cellStyle name="Total 29 2 7 2" xfId="38051"/>
    <cellStyle name="Total 29 2 8" xfId="27122"/>
    <cellStyle name="Total 29 2_Table 2A-1_EFT (Annual)" xfId="3572"/>
    <cellStyle name="Total 29 3" xfId="442"/>
    <cellStyle name="Total 29 3 2" xfId="1425"/>
    <cellStyle name="Total 29 3 2 2" xfId="2695"/>
    <cellStyle name="Total 29 3 2 2 2" xfId="6256"/>
    <cellStyle name="Total 29 3 2 2 2 2" xfId="14450"/>
    <cellStyle name="Total 29 3 2 2 2 2 2" xfId="26422"/>
    <cellStyle name="Total 29 3 2 2 2 2 2 2" xfId="47608"/>
    <cellStyle name="Total 29 3 2 2 2 2 3" xfId="37004"/>
    <cellStyle name="Total 29 3 2 2 2 3" xfId="21309"/>
    <cellStyle name="Total 29 3 2 2 2 3 2" xfId="42496"/>
    <cellStyle name="Total 29 3 2 2 2 4" xfId="31912"/>
    <cellStyle name="Total 29 3 2 2 2_Table 2A-1_EFT (Annual)" xfId="9006"/>
    <cellStyle name="Total 29 3 2 2 3" xfId="11792"/>
    <cellStyle name="Total 29 3 2 2 3 2" xfId="23876"/>
    <cellStyle name="Total 29 3 2 2 3 2 2" xfId="45062"/>
    <cellStyle name="Total 29 3 2 2 3 3" xfId="34458"/>
    <cellStyle name="Total 29 3 2 2 4" xfId="18763"/>
    <cellStyle name="Total 29 3 2 2 4 2" xfId="39950"/>
    <cellStyle name="Total 29 3 2 2 5" xfId="29169"/>
    <cellStyle name="Total 29 3 2 2_Table 2A-1_EFT (Annual)" xfId="9005"/>
    <cellStyle name="Total 29 3 2 3" xfId="4986"/>
    <cellStyle name="Total 29 3 2 3 2" xfId="13246"/>
    <cellStyle name="Total 29 3 2 3 2 2" xfId="25252"/>
    <cellStyle name="Total 29 3 2 3 2 2 2" xfId="46438"/>
    <cellStyle name="Total 29 3 2 3 2 3" xfId="35834"/>
    <cellStyle name="Total 29 3 2 3 3" xfId="20139"/>
    <cellStyle name="Total 29 3 2 3 3 2" xfId="41326"/>
    <cellStyle name="Total 29 3 2 3 4" xfId="30643"/>
    <cellStyle name="Total 29 3 2 3_Table 2A-1_EFT (Annual)" xfId="9007"/>
    <cellStyle name="Total 29 3 2 4" xfId="10590"/>
    <cellStyle name="Total 29 3 2 4 2" xfId="22706"/>
    <cellStyle name="Total 29 3 2 4 2 2" xfId="43892"/>
    <cellStyle name="Total 29 3 2 4 3" xfId="33288"/>
    <cellStyle name="Total 29 3 2 5" xfId="17593"/>
    <cellStyle name="Total 29 3 2 5 2" xfId="38780"/>
    <cellStyle name="Total 29 3 2 6" xfId="27900"/>
    <cellStyle name="Total 29 3 2_Table 2A-1_EFT (Annual)" xfId="9004"/>
    <cellStyle name="Total 29 3 3" xfId="967"/>
    <cellStyle name="Total 29 3 3 2" xfId="4528"/>
    <cellStyle name="Total 29 3 3 2 2" xfId="12790"/>
    <cellStyle name="Total 29 3 3 2 2 2" xfId="24800"/>
    <cellStyle name="Total 29 3 3 2 2 2 2" xfId="45986"/>
    <cellStyle name="Total 29 3 3 2 2 3" xfId="35382"/>
    <cellStyle name="Total 29 3 3 2 3" xfId="19687"/>
    <cellStyle name="Total 29 3 3 2 3 2" xfId="40874"/>
    <cellStyle name="Total 29 3 3 2 4" xfId="30185"/>
    <cellStyle name="Total 29 3 3 2_Table 2A-1_EFT (Annual)" xfId="9009"/>
    <cellStyle name="Total 29 3 3 3" xfId="10137"/>
    <cellStyle name="Total 29 3 3 3 2" xfId="22254"/>
    <cellStyle name="Total 29 3 3 3 2 2" xfId="43440"/>
    <cellStyle name="Total 29 3 3 3 3" xfId="32836"/>
    <cellStyle name="Total 29 3 3 4" xfId="17141"/>
    <cellStyle name="Total 29 3 3 4 2" xfId="38328"/>
    <cellStyle name="Total 29 3 3 5" xfId="27442"/>
    <cellStyle name="Total 29 3 3_Table 2A-1_EFT (Annual)" xfId="9008"/>
    <cellStyle name="Total 29 3 4" xfId="2164"/>
    <cellStyle name="Total 29 3 4 2" xfId="5725"/>
    <cellStyle name="Total 29 3 4 2 2" xfId="13940"/>
    <cellStyle name="Total 29 3 4 2 2 2" xfId="25928"/>
    <cellStyle name="Total 29 3 4 2 2 2 2" xfId="47114"/>
    <cellStyle name="Total 29 3 4 2 2 3" xfId="36510"/>
    <cellStyle name="Total 29 3 4 2 3" xfId="20815"/>
    <cellStyle name="Total 29 3 4 2 3 2" xfId="42002"/>
    <cellStyle name="Total 29 3 4 2 4" xfId="31382"/>
    <cellStyle name="Total 29 3 4 2_Table 2A-1_EFT (Annual)" xfId="9011"/>
    <cellStyle name="Total 29 3 4 3" xfId="11284"/>
    <cellStyle name="Total 29 3 4 3 2" xfId="23382"/>
    <cellStyle name="Total 29 3 4 3 2 2" xfId="44568"/>
    <cellStyle name="Total 29 3 4 3 3" xfId="33964"/>
    <cellStyle name="Total 29 3 4 4" xfId="18269"/>
    <cellStyle name="Total 29 3 4 4 2" xfId="39456"/>
    <cellStyle name="Total 29 3 4 5" xfId="28639"/>
    <cellStyle name="Total 29 3 4_Table 2A-1_EFT (Annual)" xfId="9010"/>
    <cellStyle name="Total 29 3 5" xfId="4012"/>
    <cellStyle name="Total 29 3 5 2" xfId="12340"/>
    <cellStyle name="Total 29 3 5 2 2" xfId="24364"/>
    <cellStyle name="Total 29 3 5 2 2 2" xfId="45550"/>
    <cellStyle name="Total 29 3 5 2 3" xfId="34946"/>
    <cellStyle name="Total 29 3 5 3" xfId="19251"/>
    <cellStyle name="Total 29 3 5 3 2" xfId="40438"/>
    <cellStyle name="Total 29 3 5 4" xfId="29700"/>
    <cellStyle name="Total 29 3 5_Table 2A-1_EFT (Annual)" xfId="9012"/>
    <cellStyle name="Total 29 3 6" xfId="9677"/>
    <cellStyle name="Total 29 3 6 2" xfId="21818"/>
    <cellStyle name="Total 29 3 6 2 2" xfId="43004"/>
    <cellStyle name="Total 29 3 6 3" xfId="32400"/>
    <cellStyle name="Total 29 3 7" xfId="16705"/>
    <cellStyle name="Total 29 3 7 2" xfId="37892"/>
    <cellStyle name="Total 29 3 8" xfId="26957"/>
    <cellStyle name="Total 29 3_Table 2A-1_EFT (Annual)" xfId="3573"/>
    <cellStyle name="Total 29 4" xfId="1262"/>
    <cellStyle name="Total 29 4 2" xfId="2532"/>
    <cellStyle name="Total 29 4 2 2" xfId="6093"/>
    <cellStyle name="Total 29 4 2 2 2" xfId="14287"/>
    <cellStyle name="Total 29 4 2 2 2 2" xfId="26259"/>
    <cellStyle name="Total 29 4 2 2 2 2 2" xfId="47445"/>
    <cellStyle name="Total 29 4 2 2 2 3" xfId="36841"/>
    <cellStyle name="Total 29 4 2 2 3" xfId="21146"/>
    <cellStyle name="Total 29 4 2 2 3 2" xfId="42333"/>
    <cellStyle name="Total 29 4 2 2 4" xfId="31749"/>
    <cellStyle name="Total 29 4 2 2_Table 2A-1_EFT (Annual)" xfId="9015"/>
    <cellStyle name="Total 29 4 2 3" xfId="11629"/>
    <cellStyle name="Total 29 4 2 3 2" xfId="23713"/>
    <cellStyle name="Total 29 4 2 3 2 2" xfId="44899"/>
    <cellStyle name="Total 29 4 2 3 3" xfId="34295"/>
    <cellStyle name="Total 29 4 2 4" xfId="18600"/>
    <cellStyle name="Total 29 4 2 4 2" xfId="39787"/>
    <cellStyle name="Total 29 4 2 5" xfId="29006"/>
    <cellStyle name="Total 29 4 2_Table 2A-1_EFT (Annual)" xfId="9014"/>
    <cellStyle name="Total 29 4 3" xfId="4823"/>
    <cellStyle name="Total 29 4 3 2" xfId="13083"/>
    <cellStyle name="Total 29 4 3 2 2" xfId="25089"/>
    <cellStyle name="Total 29 4 3 2 2 2" xfId="46275"/>
    <cellStyle name="Total 29 4 3 2 3" xfId="35671"/>
    <cellStyle name="Total 29 4 3 3" xfId="19976"/>
    <cellStyle name="Total 29 4 3 3 2" xfId="41163"/>
    <cellStyle name="Total 29 4 3 4" xfId="30480"/>
    <cellStyle name="Total 29 4 3_Table 2A-1_EFT (Annual)" xfId="9016"/>
    <cellStyle name="Total 29 4 4" xfId="10427"/>
    <cellStyle name="Total 29 4 4 2" xfId="22543"/>
    <cellStyle name="Total 29 4 4 2 2" xfId="43729"/>
    <cellStyle name="Total 29 4 4 3" xfId="33125"/>
    <cellStyle name="Total 29 4 5" xfId="17430"/>
    <cellStyle name="Total 29 4 5 2" xfId="38617"/>
    <cellStyle name="Total 29 4 6" xfId="27737"/>
    <cellStyle name="Total 29 4_Table 2A-1_EFT (Annual)" xfId="9013"/>
    <cellStyle name="Total 29 5" xfId="811"/>
    <cellStyle name="Total 29 5 2" xfId="4372"/>
    <cellStyle name="Total 29 5 2 2" xfId="12652"/>
    <cellStyle name="Total 29 5 2 2 2" xfId="24669"/>
    <cellStyle name="Total 29 5 2 2 2 2" xfId="45855"/>
    <cellStyle name="Total 29 5 2 2 3" xfId="35251"/>
    <cellStyle name="Total 29 5 2 3" xfId="19556"/>
    <cellStyle name="Total 29 5 2 3 2" xfId="40743"/>
    <cellStyle name="Total 29 5 2 4" xfId="30029"/>
    <cellStyle name="Total 29 5 2_Table 2A-1_EFT (Annual)" xfId="9018"/>
    <cellStyle name="Total 29 5 3" xfId="10000"/>
    <cellStyle name="Total 29 5 3 2" xfId="22123"/>
    <cellStyle name="Total 29 5 3 2 2" xfId="43309"/>
    <cellStyle name="Total 29 5 3 3" xfId="32705"/>
    <cellStyle name="Total 29 5 4" xfId="17010"/>
    <cellStyle name="Total 29 5 4 2" xfId="38197"/>
    <cellStyle name="Total 29 5 5" xfId="27286"/>
    <cellStyle name="Total 29 5_Table 2A-1_EFT (Annual)" xfId="9017"/>
    <cellStyle name="Total 29 6" xfId="2001"/>
    <cellStyle name="Total 29 6 2" xfId="5562"/>
    <cellStyle name="Total 29 6 2 2" xfId="13777"/>
    <cellStyle name="Total 29 6 2 2 2" xfId="25765"/>
    <cellStyle name="Total 29 6 2 2 2 2" xfId="46951"/>
    <cellStyle name="Total 29 6 2 2 3" xfId="36347"/>
    <cellStyle name="Total 29 6 2 3" xfId="20652"/>
    <cellStyle name="Total 29 6 2 3 2" xfId="41839"/>
    <cellStyle name="Total 29 6 2 4" xfId="31219"/>
    <cellStyle name="Total 29 6 2_Table 2A-1_EFT (Annual)" xfId="9020"/>
    <cellStyle name="Total 29 6 3" xfId="11121"/>
    <cellStyle name="Total 29 6 3 2" xfId="23219"/>
    <cellStyle name="Total 29 6 3 2 2" xfId="44405"/>
    <cellStyle name="Total 29 6 3 3" xfId="33801"/>
    <cellStyle name="Total 29 6 4" xfId="18106"/>
    <cellStyle name="Total 29 6 4 2" xfId="39293"/>
    <cellStyle name="Total 29 6 5" xfId="28476"/>
    <cellStyle name="Total 29 6_Table 2A-1_EFT (Annual)" xfId="9019"/>
    <cellStyle name="Total 29 7" xfId="3803"/>
    <cellStyle name="Total 29 7 2" xfId="12171"/>
    <cellStyle name="Total 29 7 2 2" xfId="24201"/>
    <cellStyle name="Total 29 7 2 2 2" xfId="45387"/>
    <cellStyle name="Total 29 7 2 3" xfId="34783"/>
    <cellStyle name="Total 29 7 3" xfId="19088"/>
    <cellStyle name="Total 29 7 3 2" xfId="40275"/>
    <cellStyle name="Total 29 7 4" xfId="29512"/>
    <cellStyle name="Total 29 7_Table 2A-1_EFT (Annual)" xfId="9021"/>
    <cellStyle name="Total 29 8" xfId="9490"/>
    <cellStyle name="Total 29 8 2" xfId="21655"/>
    <cellStyle name="Total 29 8 2 2" xfId="42841"/>
    <cellStyle name="Total 29 8 3" xfId="32237"/>
    <cellStyle name="Total 29 9" xfId="16542"/>
    <cellStyle name="Total 29 9 2" xfId="37729"/>
    <cellStyle name="Total 29_Table 2A-1_EFT (Annual)" xfId="3571"/>
    <cellStyle name="Total 3" xfId="115"/>
    <cellStyle name="Total 3 10" xfId="21507"/>
    <cellStyle name="Total 3 10 2" xfId="42694"/>
    <cellStyle name="Total 3 11" xfId="26670"/>
    <cellStyle name="Total 3 2" xfId="508"/>
    <cellStyle name="Total 3 2 2" xfId="1485"/>
    <cellStyle name="Total 3 2 2 2" xfId="2755"/>
    <cellStyle name="Total 3 2 2 2 2" xfId="6316"/>
    <cellStyle name="Total 3 2 2 2 2 2" xfId="14510"/>
    <cellStyle name="Total 3 2 2 2 2 2 2" xfId="26482"/>
    <cellStyle name="Total 3 2 2 2 2 2 2 2" xfId="47668"/>
    <cellStyle name="Total 3 2 2 2 2 2 3" xfId="37064"/>
    <cellStyle name="Total 3 2 2 2 2 3" xfId="21369"/>
    <cellStyle name="Total 3 2 2 2 2 3 2" xfId="42556"/>
    <cellStyle name="Total 3 2 2 2 2 4" xfId="31972"/>
    <cellStyle name="Total 3 2 2 2 2_Table 2A-1_EFT (Annual)" xfId="9024"/>
    <cellStyle name="Total 3 2 2 2 3" xfId="11852"/>
    <cellStyle name="Total 3 2 2 2 3 2" xfId="23936"/>
    <cellStyle name="Total 3 2 2 2 3 2 2" xfId="45122"/>
    <cellStyle name="Total 3 2 2 2 3 3" xfId="34518"/>
    <cellStyle name="Total 3 2 2 2 4" xfId="18823"/>
    <cellStyle name="Total 3 2 2 2 4 2" xfId="40010"/>
    <cellStyle name="Total 3 2 2 2 5" xfId="29229"/>
    <cellStyle name="Total 3 2 2 2_Table 2A-1_EFT (Annual)" xfId="9023"/>
    <cellStyle name="Total 3 2 2 3" xfId="5046"/>
    <cellStyle name="Total 3 2 2 3 2" xfId="13306"/>
    <cellStyle name="Total 3 2 2 3 2 2" xfId="25312"/>
    <cellStyle name="Total 3 2 2 3 2 2 2" xfId="46498"/>
    <cellStyle name="Total 3 2 2 3 2 3" xfId="35894"/>
    <cellStyle name="Total 3 2 2 3 3" xfId="20199"/>
    <cellStyle name="Total 3 2 2 3 3 2" xfId="41386"/>
    <cellStyle name="Total 3 2 2 3 4" xfId="30703"/>
    <cellStyle name="Total 3 2 2 3_Table 2A-1_EFT (Annual)" xfId="9025"/>
    <cellStyle name="Total 3 2 2 4" xfId="10650"/>
    <cellStyle name="Total 3 2 2 4 2" xfId="22766"/>
    <cellStyle name="Total 3 2 2 4 2 2" xfId="43952"/>
    <cellStyle name="Total 3 2 2 4 3" xfId="33348"/>
    <cellStyle name="Total 3 2 2 5" xfId="17653"/>
    <cellStyle name="Total 3 2 2 5 2" xfId="38840"/>
    <cellStyle name="Total 3 2 2 6" xfId="27960"/>
    <cellStyle name="Total 3 2 2_Table 2A-1_EFT (Annual)" xfId="9022"/>
    <cellStyle name="Total 3 2 3" xfId="1020"/>
    <cellStyle name="Total 3 2 3 2" xfId="4581"/>
    <cellStyle name="Total 3 2 3 2 2" xfId="12841"/>
    <cellStyle name="Total 3 2 3 2 2 2" xfId="24847"/>
    <cellStyle name="Total 3 2 3 2 2 2 2" xfId="46033"/>
    <cellStyle name="Total 3 2 3 2 2 3" xfId="35429"/>
    <cellStyle name="Total 3 2 3 2 3" xfId="19734"/>
    <cellStyle name="Total 3 2 3 2 3 2" xfId="40921"/>
    <cellStyle name="Total 3 2 3 2 4" xfId="30238"/>
    <cellStyle name="Total 3 2 3 2_Table 2A-1_EFT (Annual)" xfId="9027"/>
    <cellStyle name="Total 3 2 3 3" xfId="10185"/>
    <cellStyle name="Total 3 2 3 3 2" xfId="22301"/>
    <cellStyle name="Total 3 2 3 3 2 2" xfId="43487"/>
    <cellStyle name="Total 3 2 3 3 3" xfId="32883"/>
    <cellStyle name="Total 3 2 3 4" xfId="17188"/>
    <cellStyle name="Total 3 2 3 4 2" xfId="38375"/>
    <cellStyle name="Total 3 2 3 5" xfId="27495"/>
    <cellStyle name="Total 3 2 3_Table 2A-1_EFT (Annual)" xfId="9026"/>
    <cellStyle name="Total 3 2 4" xfId="2224"/>
    <cellStyle name="Total 3 2 4 2" xfId="5785"/>
    <cellStyle name="Total 3 2 4 2 2" xfId="14000"/>
    <cellStyle name="Total 3 2 4 2 2 2" xfId="25988"/>
    <cellStyle name="Total 3 2 4 2 2 2 2" xfId="47174"/>
    <cellStyle name="Total 3 2 4 2 2 3" xfId="36570"/>
    <cellStyle name="Total 3 2 4 2 3" xfId="20875"/>
    <cellStyle name="Total 3 2 4 2 3 2" xfId="42062"/>
    <cellStyle name="Total 3 2 4 2 4" xfId="31442"/>
    <cellStyle name="Total 3 2 4 2_Table 2A-1_EFT (Annual)" xfId="9029"/>
    <cellStyle name="Total 3 2 4 3" xfId="11344"/>
    <cellStyle name="Total 3 2 4 3 2" xfId="23442"/>
    <cellStyle name="Total 3 2 4 3 2 2" xfId="44628"/>
    <cellStyle name="Total 3 2 4 3 3" xfId="34024"/>
    <cellStyle name="Total 3 2 4 4" xfId="18329"/>
    <cellStyle name="Total 3 2 4 4 2" xfId="39516"/>
    <cellStyle name="Total 3 2 4 5" xfId="28699"/>
    <cellStyle name="Total 3 2 4_Table 2A-1_EFT (Annual)" xfId="9028"/>
    <cellStyle name="Total 3 2 5" xfId="4078"/>
    <cellStyle name="Total 3 2 5 2" xfId="12402"/>
    <cellStyle name="Total 3 2 5 2 2" xfId="24424"/>
    <cellStyle name="Total 3 2 5 2 2 2" xfId="45610"/>
    <cellStyle name="Total 3 2 5 2 3" xfId="35006"/>
    <cellStyle name="Total 3 2 5 3" xfId="19311"/>
    <cellStyle name="Total 3 2 5 3 2" xfId="40498"/>
    <cellStyle name="Total 3 2 5 4" xfId="29766"/>
    <cellStyle name="Total 3 2 5_Table 2A-1_EFT (Annual)" xfId="9030"/>
    <cellStyle name="Total 3 2 6" xfId="9741"/>
    <cellStyle name="Total 3 2 6 2" xfId="21878"/>
    <cellStyle name="Total 3 2 6 2 2" xfId="43064"/>
    <cellStyle name="Total 3 2 6 3" xfId="32460"/>
    <cellStyle name="Total 3 2 7" xfId="16765"/>
    <cellStyle name="Total 3 2 7 2" xfId="37952"/>
    <cellStyle name="Total 3 2 8" xfId="27023"/>
    <cellStyle name="Total 3 2_Table 2A-1_EFT (Annual)" xfId="3575"/>
    <cellStyle name="Total 3 3" xfId="346"/>
    <cellStyle name="Total 3 3 2" xfId="1329"/>
    <cellStyle name="Total 3 3 2 2" xfId="2599"/>
    <cellStyle name="Total 3 3 2 2 2" xfId="6160"/>
    <cellStyle name="Total 3 3 2 2 2 2" xfId="14354"/>
    <cellStyle name="Total 3 3 2 2 2 2 2" xfId="26326"/>
    <cellStyle name="Total 3 3 2 2 2 2 2 2" xfId="47512"/>
    <cellStyle name="Total 3 3 2 2 2 2 3" xfId="36908"/>
    <cellStyle name="Total 3 3 2 2 2 3" xfId="21213"/>
    <cellStyle name="Total 3 3 2 2 2 3 2" xfId="42400"/>
    <cellStyle name="Total 3 3 2 2 2 4" xfId="31816"/>
    <cellStyle name="Total 3 3 2 2 2_Table 2A-1_EFT (Annual)" xfId="9033"/>
    <cellStyle name="Total 3 3 2 2 3" xfId="11696"/>
    <cellStyle name="Total 3 3 2 2 3 2" xfId="23780"/>
    <cellStyle name="Total 3 3 2 2 3 2 2" xfId="44966"/>
    <cellStyle name="Total 3 3 2 2 3 3" xfId="34362"/>
    <cellStyle name="Total 3 3 2 2 4" xfId="18667"/>
    <cellStyle name="Total 3 3 2 2 4 2" xfId="39854"/>
    <cellStyle name="Total 3 3 2 2 5" xfId="29073"/>
    <cellStyle name="Total 3 3 2 2_Table 2A-1_EFT (Annual)" xfId="9032"/>
    <cellStyle name="Total 3 3 2 3" xfId="4890"/>
    <cellStyle name="Total 3 3 2 3 2" xfId="13150"/>
    <cellStyle name="Total 3 3 2 3 2 2" xfId="25156"/>
    <cellStyle name="Total 3 3 2 3 2 2 2" xfId="46342"/>
    <cellStyle name="Total 3 3 2 3 2 3" xfId="35738"/>
    <cellStyle name="Total 3 3 2 3 3" xfId="20043"/>
    <cellStyle name="Total 3 3 2 3 3 2" xfId="41230"/>
    <cellStyle name="Total 3 3 2 3 4" xfId="30547"/>
    <cellStyle name="Total 3 3 2 3_Table 2A-1_EFT (Annual)" xfId="9034"/>
    <cellStyle name="Total 3 3 2 4" xfId="10494"/>
    <cellStyle name="Total 3 3 2 4 2" xfId="22610"/>
    <cellStyle name="Total 3 3 2 4 2 2" xfId="43796"/>
    <cellStyle name="Total 3 3 2 4 3" xfId="33192"/>
    <cellStyle name="Total 3 3 2 5" xfId="17497"/>
    <cellStyle name="Total 3 3 2 5 2" xfId="38684"/>
    <cellStyle name="Total 3 3 2 6" xfId="27804"/>
    <cellStyle name="Total 3 3 2_Table 2A-1_EFT (Annual)" xfId="9031"/>
    <cellStyle name="Total 3 3 3" xfId="888"/>
    <cellStyle name="Total 3 3 3 2" xfId="4449"/>
    <cellStyle name="Total 3 3 3 2 2" xfId="12711"/>
    <cellStyle name="Total 3 3 3 2 2 2" xfId="24721"/>
    <cellStyle name="Total 3 3 3 2 2 2 2" xfId="45907"/>
    <cellStyle name="Total 3 3 3 2 2 3" xfId="35303"/>
    <cellStyle name="Total 3 3 3 2 3" xfId="19608"/>
    <cellStyle name="Total 3 3 3 2 3 2" xfId="40795"/>
    <cellStyle name="Total 3 3 3 2 4" xfId="30106"/>
    <cellStyle name="Total 3 3 3 2_Table 2A-1_EFT (Annual)" xfId="9036"/>
    <cellStyle name="Total 3 3 3 3" xfId="10058"/>
    <cellStyle name="Total 3 3 3 3 2" xfId="22175"/>
    <cellStyle name="Total 3 3 3 3 2 2" xfId="43361"/>
    <cellStyle name="Total 3 3 3 3 3" xfId="32757"/>
    <cellStyle name="Total 3 3 3 4" xfId="17062"/>
    <cellStyle name="Total 3 3 3 4 2" xfId="38249"/>
    <cellStyle name="Total 3 3 3 5" xfId="27363"/>
    <cellStyle name="Total 3 3 3_Table 2A-1_EFT (Annual)" xfId="9035"/>
    <cellStyle name="Total 3 3 4" xfId="2068"/>
    <cellStyle name="Total 3 3 4 2" xfId="5629"/>
    <cellStyle name="Total 3 3 4 2 2" xfId="13844"/>
    <cellStyle name="Total 3 3 4 2 2 2" xfId="25832"/>
    <cellStyle name="Total 3 3 4 2 2 2 2" xfId="47018"/>
    <cellStyle name="Total 3 3 4 2 2 3" xfId="36414"/>
    <cellStyle name="Total 3 3 4 2 3" xfId="20719"/>
    <cellStyle name="Total 3 3 4 2 3 2" xfId="41906"/>
    <cellStyle name="Total 3 3 4 2 4" xfId="31286"/>
    <cellStyle name="Total 3 3 4 2_Table 2A-1_EFT (Annual)" xfId="9038"/>
    <cellStyle name="Total 3 3 4 3" xfId="11188"/>
    <cellStyle name="Total 3 3 4 3 2" xfId="23286"/>
    <cellStyle name="Total 3 3 4 3 2 2" xfId="44472"/>
    <cellStyle name="Total 3 3 4 3 3" xfId="33868"/>
    <cellStyle name="Total 3 3 4 4" xfId="18173"/>
    <cellStyle name="Total 3 3 4 4 2" xfId="39360"/>
    <cellStyle name="Total 3 3 4 5" xfId="28543"/>
    <cellStyle name="Total 3 3 4_Table 2A-1_EFT (Annual)" xfId="9037"/>
    <cellStyle name="Total 3 3 5" xfId="3916"/>
    <cellStyle name="Total 3 3 5 2" xfId="12244"/>
    <cellStyle name="Total 3 3 5 2 2" xfId="24268"/>
    <cellStyle name="Total 3 3 5 2 2 2" xfId="45454"/>
    <cellStyle name="Total 3 3 5 2 3" xfId="34850"/>
    <cellStyle name="Total 3 3 5 3" xfId="19155"/>
    <cellStyle name="Total 3 3 5 3 2" xfId="40342"/>
    <cellStyle name="Total 3 3 5 4" xfId="29604"/>
    <cellStyle name="Total 3 3 5_Table 2A-1_EFT (Annual)" xfId="9039"/>
    <cellStyle name="Total 3 3 6" xfId="9581"/>
    <cellStyle name="Total 3 3 6 2" xfId="21722"/>
    <cellStyle name="Total 3 3 6 2 2" xfId="42908"/>
    <cellStyle name="Total 3 3 6 3" xfId="32304"/>
    <cellStyle name="Total 3 3 7" xfId="16609"/>
    <cellStyle name="Total 3 3 7 2" xfId="37796"/>
    <cellStyle name="Total 3 3 8" xfId="26861"/>
    <cellStyle name="Total 3 3_Table 2A-1_EFT (Annual)" xfId="3576"/>
    <cellStyle name="Total 3 4" xfId="1163"/>
    <cellStyle name="Total 3 4 2" xfId="2433"/>
    <cellStyle name="Total 3 4 2 2" xfId="5994"/>
    <cellStyle name="Total 3 4 2 2 2" xfId="14188"/>
    <cellStyle name="Total 3 4 2 2 2 2" xfId="26160"/>
    <cellStyle name="Total 3 4 2 2 2 2 2" xfId="47346"/>
    <cellStyle name="Total 3 4 2 2 2 3" xfId="36742"/>
    <cellStyle name="Total 3 4 2 2 3" xfId="21047"/>
    <cellStyle name="Total 3 4 2 2 3 2" xfId="42234"/>
    <cellStyle name="Total 3 4 2 2 4" xfId="31650"/>
    <cellStyle name="Total 3 4 2 2_Table 2A-1_EFT (Annual)" xfId="9042"/>
    <cellStyle name="Total 3 4 2 3" xfId="11530"/>
    <cellStyle name="Total 3 4 2 3 2" xfId="23614"/>
    <cellStyle name="Total 3 4 2 3 2 2" xfId="44800"/>
    <cellStyle name="Total 3 4 2 3 3" xfId="34196"/>
    <cellStyle name="Total 3 4 2 4" xfId="18501"/>
    <cellStyle name="Total 3 4 2 4 2" xfId="39688"/>
    <cellStyle name="Total 3 4 2 5" xfId="28907"/>
    <cellStyle name="Total 3 4 2_Table 2A-1_EFT (Annual)" xfId="9041"/>
    <cellStyle name="Total 3 4 3" xfId="4724"/>
    <cellStyle name="Total 3 4 3 2" xfId="12984"/>
    <cellStyle name="Total 3 4 3 2 2" xfId="24990"/>
    <cellStyle name="Total 3 4 3 2 2 2" xfId="46176"/>
    <cellStyle name="Total 3 4 3 2 3" xfId="35572"/>
    <cellStyle name="Total 3 4 3 3" xfId="19877"/>
    <cellStyle name="Total 3 4 3 3 2" xfId="41064"/>
    <cellStyle name="Total 3 4 3 4" xfId="30381"/>
    <cellStyle name="Total 3 4 3_Table 2A-1_EFT (Annual)" xfId="9043"/>
    <cellStyle name="Total 3 4 4" xfId="10328"/>
    <cellStyle name="Total 3 4 4 2" xfId="22444"/>
    <cellStyle name="Total 3 4 4 2 2" xfId="43630"/>
    <cellStyle name="Total 3 4 4 3" xfId="33026"/>
    <cellStyle name="Total 3 4 5" xfId="17331"/>
    <cellStyle name="Total 3 4 5 2" xfId="38518"/>
    <cellStyle name="Total 3 4 6" xfId="27638"/>
    <cellStyle name="Total 3 4_Table 2A-1_EFT (Annual)" xfId="9040"/>
    <cellStyle name="Total 3 5" xfId="729"/>
    <cellStyle name="Total 3 5 2" xfId="4290"/>
    <cellStyle name="Total 3 5 2 2" xfId="12570"/>
    <cellStyle name="Total 3 5 2 2 2" xfId="24587"/>
    <cellStyle name="Total 3 5 2 2 2 2" xfId="45773"/>
    <cellStyle name="Total 3 5 2 2 3" xfId="35169"/>
    <cellStyle name="Total 3 5 2 3" xfId="19474"/>
    <cellStyle name="Total 3 5 2 3 2" xfId="40661"/>
    <cellStyle name="Total 3 5 2 4" xfId="29947"/>
    <cellStyle name="Total 3 5 2_Table 2A-1_EFT (Annual)" xfId="9045"/>
    <cellStyle name="Total 3 5 3" xfId="9918"/>
    <cellStyle name="Total 3 5 3 2" xfId="22041"/>
    <cellStyle name="Total 3 5 3 2 2" xfId="43227"/>
    <cellStyle name="Total 3 5 3 3" xfId="32623"/>
    <cellStyle name="Total 3 5 4" xfId="16928"/>
    <cellStyle name="Total 3 5 4 2" xfId="38115"/>
    <cellStyle name="Total 3 5 5" xfId="27204"/>
    <cellStyle name="Total 3 5_Table 2A-1_EFT (Annual)" xfId="9044"/>
    <cellStyle name="Total 3 6" xfId="1799"/>
    <cellStyle name="Total 3 6 2" xfId="5360"/>
    <cellStyle name="Total 3 6 2 2" xfId="13575"/>
    <cellStyle name="Total 3 6 2 2 2" xfId="25563"/>
    <cellStyle name="Total 3 6 2 2 2 2" xfId="46749"/>
    <cellStyle name="Total 3 6 2 2 3" xfId="36145"/>
    <cellStyle name="Total 3 6 2 3" xfId="20450"/>
    <cellStyle name="Total 3 6 2 3 2" xfId="41637"/>
    <cellStyle name="Total 3 6 2 4" xfId="31017"/>
    <cellStyle name="Total 3 6 2_Table 2A-1_EFT (Annual)" xfId="9047"/>
    <cellStyle name="Total 3 6 3" xfId="10919"/>
    <cellStyle name="Total 3 6 3 2" xfId="23017"/>
    <cellStyle name="Total 3 6 3 2 2" xfId="44203"/>
    <cellStyle name="Total 3 6 3 3" xfId="33599"/>
    <cellStyle name="Total 3 6 4" xfId="17904"/>
    <cellStyle name="Total 3 6 4 2" xfId="39091"/>
    <cellStyle name="Total 3 6 5" xfId="28274"/>
    <cellStyle name="Total 3 6_Table 2A-1_EFT (Annual)" xfId="9046"/>
    <cellStyle name="Total 3 7" xfId="3704"/>
    <cellStyle name="Total 3 7 2" xfId="12072"/>
    <cellStyle name="Total 3 7 2 2" xfId="24102"/>
    <cellStyle name="Total 3 7 2 2 2" xfId="45288"/>
    <cellStyle name="Total 3 7 2 3" xfId="34684"/>
    <cellStyle name="Total 3 7 3" xfId="18989"/>
    <cellStyle name="Total 3 7 3 2" xfId="40176"/>
    <cellStyle name="Total 3 7 4" xfId="29413"/>
    <cellStyle name="Total 3 7_Table 2A-1_EFT (Annual)" xfId="9048"/>
    <cellStyle name="Total 3 8" xfId="9391"/>
    <cellStyle name="Total 3 8 2" xfId="21556"/>
    <cellStyle name="Total 3 8 2 2" xfId="42742"/>
    <cellStyle name="Total 3 8 3" xfId="32138"/>
    <cellStyle name="Total 3 9" xfId="16443"/>
    <cellStyle name="Total 3 9 2" xfId="37630"/>
    <cellStyle name="Total 3_Table 2A-1_EFT (Annual)" xfId="3574"/>
    <cellStyle name="Total 30" xfId="192"/>
    <cellStyle name="Total 30 10" xfId="26747"/>
    <cellStyle name="Total 30 2" xfId="585"/>
    <cellStyle name="Total 30 2 2" xfId="1562"/>
    <cellStyle name="Total 30 2 2 2" xfId="2832"/>
    <cellStyle name="Total 30 2 2 2 2" xfId="6393"/>
    <cellStyle name="Total 30 2 2 2 2 2" xfId="14587"/>
    <cellStyle name="Total 30 2 2 2 2 2 2" xfId="26559"/>
    <cellStyle name="Total 30 2 2 2 2 2 2 2" xfId="47745"/>
    <cellStyle name="Total 30 2 2 2 2 2 3" xfId="37141"/>
    <cellStyle name="Total 30 2 2 2 2 3" xfId="21446"/>
    <cellStyle name="Total 30 2 2 2 2 3 2" xfId="42633"/>
    <cellStyle name="Total 30 2 2 2 2 4" xfId="32049"/>
    <cellStyle name="Total 30 2 2 2 2_Table 2A-1_EFT (Annual)" xfId="9051"/>
    <cellStyle name="Total 30 2 2 2 3" xfId="11929"/>
    <cellStyle name="Total 30 2 2 2 3 2" xfId="24013"/>
    <cellStyle name="Total 30 2 2 2 3 2 2" xfId="45199"/>
    <cellStyle name="Total 30 2 2 2 3 3" xfId="34595"/>
    <cellStyle name="Total 30 2 2 2 4" xfId="18900"/>
    <cellStyle name="Total 30 2 2 2 4 2" xfId="40087"/>
    <cellStyle name="Total 30 2 2 2 5" xfId="29306"/>
    <cellStyle name="Total 30 2 2 2_Table 2A-1_EFT (Annual)" xfId="9050"/>
    <cellStyle name="Total 30 2 2 3" xfId="5123"/>
    <cellStyle name="Total 30 2 2 3 2" xfId="13383"/>
    <cellStyle name="Total 30 2 2 3 2 2" xfId="25389"/>
    <cellStyle name="Total 30 2 2 3 2 2 2" xfId="46575"/>
    <cellStyle name="Total 30 2 2 3 2 3" xfId="35971"/>
    <cellStyle name="Total 30 2 2 3 3" xfId="20276"/>
    <cellStyle name="Total 30 2 2 3 3 2" xfId="41463"/>
    <cellStyle name="Total 30 2 2 3 4" xfId="30780"/>
    <cellStyle name="Total 30 2 2 3_Table 2A-1_EFT (Annual)" xfId="9052"/>
    <cellStyle name="Total 30 2 2 4" xfId="10727"/>
    <cellStyle name="Total 30 2 2 4 2" xfId="22843"/>
    <cellStyle name="Total 30 2 2 4 2 2" xfId="44029"/>
    <cellStyle name="Total 30 2 2 4 3" xfId="33425"/>
    <cellStyle name="Total 30 2 2 5" xfId="17730"/>
    <cellStyle name="Total 30 2 2 5 2" xfId="38917"/>
    <cellStyle name="Total 30 2 2 6" xfId="28037"/>
    <cellStyle name="Total 30 2 2_Table 2A-1_EFT (Annual)" xfId="9049"/>
    <cellStyle name="Total 30 2 3" xfId="1084"/>
    <cellStyle name="Total 30 2 3 2" xfId="4645"/>
    <cellStyle name="Total 30 2 3 2 2" xfId="12905"/>
    <cellStyle name="Total 30 2 3 2 2 2" xfId="24911"/>
    <cellStyle name="Total 30 2 3 2 2 2 2" xfId="46097"/>
    <cellStyle name="Total 30 2 3 2 2 3" xfId="35493"/>
    <cellStyle name="Total 30 2 3 2 3" xfId="19798"/>
    <cellStyle name="Total 30 2 3 2 3 2" xfId="40985"/>
    <cellStyle name="Total 30 2 3 2 4" xfId="30302"/>
    <cellStyle name="Total 30 2 3 2_Table 2A-1_EFT (Annual)" xfId="9054"/>
    <cellStyle name="Total 30 2 3 3" xfId="10249"/>
    <cellStyle name="Total 30 2 3 3 2" xfId="22365"/>
    <cellStyle name="Total 30 2 3 3 2 2" xfId="43551"/>
    <cellStyle name="Total 30 2 3 3 3" xfId="32947"/>
    <cellStyle name="Total 30 2 3 4" xfId="17252"/>
    <cellStyle name="Total 30 2 3 4 2" xfId="38439"/>
    <cellStyle name="Total 30 2 3 5" xfId="27559"/>
    <cellStyle name="Total 30 2 3_Table 2A-1_EFT (Annual)" xfId="9053"/>
    <cellStyle name="Total 30 2 4" xfId="2301"/>
    <cellStyle name="Total 30 2 4 2" xfId="5862"/>
    <cellStyle name="Total 30 2 4 2 2" xfId="14077"/>
    <cellStyle name="Total 30 2 4 2 2 2" xfId="26065"/>
    <cellStyle name="Total 30 2 4 2 2 2 2" xfId="47251"/>
    <cellStyle name="Total 30 2 4 2 2 3" xfId="36647"/>
    <cellStyle name="Total 30 2 4 2 3" xfId="20952"/>
    <cellStyle name="Total 30 2 4 2 3 2" xfId="42139"/>
    <cellStyle name="Total 30 2 4 2 4" xfId="31519"/>
    <cellStyle name="Total 30 2 4 2_Table 2A-1_EFT (Annual)" xfId="9056"/>
    <cellStyle name="Total 30 2 4 3" xfId="11421"/>
    <cellStyle name="Total 30 2 4 3 2" xfId="23519"/>
    <cellStyle name="Total 30 2 4 3 2 2" xfId="44705"/>
    <cellStyle name="Total 30 2 4 3 3" xfId="34101"/>
    <cellStyle name="Total 30 2 4 4" xfId="18406"/>
    <cellStyle name="Total 30 2 4 4 2" xfId="39593"/>
    <cellStyle name="Total 30 2 4 5" xfId="28776"/>
    <cellStyle name="Total 30 2 4_Table 2A-1_EFT (Annual)" xfId="9055"/>
    <cellStyle name="Total 30 2 5" xfId="4155"/>
    <cellStyle name="Total 30 2 5 2" xfId="12479"/>
    <cellStyle name="Total 30 2 5 2 2" xfId="24501"/>
    <cellStyle name="Total 30 2 5 2 2 2" xfId="45687"/>
    <cellStyle name="Total 30 2 5 2 3" xfId="35083"/>
    <cellStyle name="Total 30 2 5 3" xfId="19388"/>
    <cellStyle name="Total 30 2 5 3 2" xfId="40575"/>
    <cellStyle name="Total 30 2 5 4" xfId="29843"/>
    <cellStyle name="Total 30 2 5_Table 2A-1_EFT (Annual)" xfId="9057"/>
    <cellStyle name="Total 30 2 6" xfId="9818"/>
    <cellStyle name="Total 30 2 6 2" xfId="21955"/>
    <cellStyle name="Total 30 2 6 2 2" xfId="43141"/>
    <cellStyle name="Total 30 2 6 3" xfId="32537"/>
    <cellStyle name="Total 30 2 7" xfId="16842"/>
    <cellStyle name="Total 30 2 7 2" xfId="38029"/>
    <cellStyle name="Total 30 2 8" xfId="27100"/>
    <cellStyle name="Total 30 2_Table 2A-1_EFT (Annual)" xfId="3578"/>
    <cellStyle name="Total 30 3" xfId="422"/>
    <cellStyle name="Total 30 3 2" xfId="1405"/>
    <cellStyle name="Total 30 3 2 2" xfId="2675"/>
    <cellStyle name="Total 30 3 2 2 2" xfId="6236"/>
    <cellStyle name="Total 30 3 2 2 2 2" xfId="14430"/>
    <cellStyle name="Total 30 3 2 2 2 2 2" xfId="26402"/>
    <cellStyle name="Total 30 3 2 2 2 2 2 2" xfId="47588"/>
    <cellStyle name="Total 30 3 2 2 2 2 3" xfId="36984"/>
    <cellStyle name="Total 30 3 2 2 2 3" xfId="21289"/>
    <cellStyle name="Total 30 3 2 2 2 3 2" xfId="42476"/>
    <cellStyle name="Total 30 3 2 2 2 4" xfId="31892"/>
    <cellStyle name="Total 30 3 2 2 2_Table 2A-1_EFT (Annual)" xfId="9060"/>
    <cellStyle name="Total 30 3 2 2 3" xfId="11772"/>
    <cellStyle name="Total 30 3 2 2 3 2" xfId="23856"/>
    <cellStyle name="Total 30 3 2 2 3 2 2" xfId="45042"/>
    <cellStyle name="Total 30 3 2 2 3 3" xfId="34438"/>
    <cellStyle name="Total 30 3 2 2 4" xfId="18743"/>
    <cellStyle name="Total 30 3 2 2 4 2" xfId="39930"/>
    <cellStyle name="Total 30 3 2 2 5" xfId="29149"/>
    <cellStyle name="Total 30 3 2 2_Table 2A-1_EFT (Annual)" xfId="9059"/>
    <cellStyle name="Total 30 3 2 3" xfId="4966"/>
    <cellStyle name="Total 30 3 2 3 2" xfId="13226"/>
    <cellStyle name="Total 30 3 2 3 2 2" xfId="25232"/>
    <cellStyle name="Total 30 3 2 3 2 2 2" xfId="46418"/>
    <cellStyle name="Total 30 3 2 3 2 3" xfId="35814"/>
    <cellStyle name="Total 30 3 2 3 3" xfId="20119"/>
    <cellStyle name="Total 30 3 2 3 3 2" xfId="41306"/>
    <cellStyle name="Total 30 3 2 3 4" xfId="30623"/>
    <cellStyle name="Total 30 3 2 3_Table 2A-1_EFT (Annual)" xfId="9061"/>
    <cellStyle name="Total 30 3 2 4" xfId="10570"/>
    <cellStyle name="Total 30 3 2 4 2" xfId="22686"/>
    <cellStyle name="Total 30 3 2 4 2 2" xfId="43872"/>
    <cellStyle name="Total 30 3 2 4 3" xfId="33268"/>
    <cellStyle name="Total 30 3 2 5" xfId="17573"/>
    <cellStyle name="Total 30 3 2 5 2" xfId="38760"/>
    <cellStyle name="Total 30 3 2 6" xfId="27880"/>
    <cellStyle name="Total 30 3 2_Table 2A-1_EFT (Annual)" xfId="9058"/>
    <cellStyle name="Total 30 3 3" xfId="951"/>
    <cellStyle name="Total 30 3 3 2" xfId="4512"/>
    <cellStyle name="Total 30 3 3 2 2" xfId="12774"/>
    <cellStyle name="Total 30 3 3 2 2 2" xfId="24784"/>
    <cellStyle name="Total 30 3 3 2 2 2 2" xfId="45970"/>
    <cellStyle name="Total 30 3 3 2 2 3" xfId="35366"/>
    <cellStyle name="Total 30 3 3 2 3" xfId="19671"/>
    <cellStyle name="Total 30 3 3 2 3 2" xfId="40858"/>
    <cellStyle name="Total 30 3 3 2 4" xfId="30169"/>
    <cellStyle name="Total 30 3 3 2_Table 2A-1_EFT (Annual)" xfId="9063"/>
    <cellStyle name="Total 30 3 3 3" xfId="10121"/>
    <cellStyle name="Total 30 3 3 3 2" xfId="22238"/>
    <cellStyle name="Total 30 3 3 3 2 2" xfId="43424"/>
    <cellStyle name="Total 30 3 3 3 3" xfId="32820"/>
    <cellStyle name="Total 30 3 3 4" xfId="17125"/>
    <cellStyle name="Total 30 3 3 4 2" xfId="38312"/>
    <cellStyle name="Total 30 3 3 5" xfId="27426"/>
    <cellStyle name="Total 30 3 3_Table 2A-1_EFT (Annual)" xfId="9062"/>
    <cellStyle name="Total 30 3 4" xfId="2144"/>
    <cellStyle name="Total 30 3 4 2" xfId="5705"/>
    <cellStyle name="Total 30 3 4 2 2" xfId="13920"/>
    <cellStyle name="Total 30 3 4 2 2 2" xfId="25908"/>
    <cellStyle name="Total 30 3 4 2 2 2 2" xfId="47094"/>
    <cellStyle name="Total 30 3 4 2 2 3" xfId="36490"/>
    <cellStyle name="Total 30 3 4 2 3" xfId="20795"/>
    <cellStyle name="Total 30 3 4 2 3 2" xfId="41982"/>
    <cellStyle name="Total 30 3 4 2 4" xfId="31362"/>
    <cellStyle name="Total 30 3 4 2_Table 2A-1_EFT (Annual)" xfId="9065"/>
    <cellStyle name="Total 30 3 4 3" xfId="11264"/>
    <cellStyle name="Total 30 3 4 3 2" xfId="23362"/>
    <cellStyle name="Total 30 3 4 3 2 2" xfId="44548"/>
    <cellStyle name="Total 30 3 4 3 3" xfId="33944"/>
    <cellStyle name="Total 30 3 4 4" xfId="18249"/>
    <cellStyle name="Total 30 3 4 4 2" xfId="39436"/>
    <cellStyle name="Total 30 3 4 5" xfId="28619"/>
    <cellStyle name="Total 30 3 4_Table 2A-1_EFT (Annual)" xfId="9064"/>
    <cellStyle name="Total 30 3 5" xfId="3992"/>
    <cellStyle name="Total 30 3 5 2" xfId="12320"/>
    <cellStyle name="Total 30 3 5 2 2" xfId="24344"/>
    <cellStyle name="Total 30 3 5 2 2 2" xfId="45530"/>
    <cellStyle name="Total 30 3 5 2 3" xfId="34926"/>
    <cellStyle name="Total 30 3 5 3" xfId="19231"/>
    <cellStyle name="Total 30 3 5 3 2" xfId="40418"/>
    <cellStyle name="Total 30 3 5 4" xfId="29680"/>
    <cellStyle name="Total 30 3 5_Table 2A-1_EFT (Annual)" xfId="9066"/>
    <cellStyle name="Total 30 3 6" xfId="9657"/>
    <cellStyle name="Total 30 3 6 2" xfId="21798"/>
    <cellStyle name="Total 30 3 6 2 2" xfId="42984"/>
    <cellStyle name="Total 30 3 6 3" xfId="32380"/>
    <cellStyle name="Total 30 3 7" xfId="16685"/>
    <cellStyle name="Total 30 3 7 2" xfId="37872"/>
    <cellStyle name="Total 30 3 8" xfId="26937"/>
    <cellStyle name="Total 30 3_Table 2A-1_EFT (Annual)" xfId="3579"/>
    <cellStyle name="Total 30 4" xfId="1240"/>
    <cellStyle name="Total 30 4 2" xfId="2510"/>
    <cellStyle name="Total 30 4 2 2" xfId="6071"/>
    <cellStyle name="Total 30 4 2 2 2" xfId="14265"/>
    <cellStyle name="Total 30 4 2 2 2 2" xfId="26237"/>
    <cellStyle name="Total 30 4 2 2 2 2 2" xfId="47423"/>
    <cellStyle name="Total 30 4 2 2 2 3" xfId="36819"/>
    <cellStyle name="Total 30 4 2 2 3" xfId="21124"/>
    <cellStyle name="Total 30 4 2 2 3 2" xfId="42311"/>
    <cellStyle name="Total 30 4 2 2 4" xfId="31727"/>
    <cellStyle name="Total 30 4 2 2_Table 2A-1_EFT (Annual)" xfId="9069"/>
    <cellStyle name="Total 30 4 2 3" xfId="11607"/>
    <cellStyle name="Total 30 4 2 3 2" xfId="23691"/>
    <cellStyle name="Total 30 4 2 3 2 2" xfId="44877"/>
    <cellStyle name="Total 30 4 2 3 3" xfId="34273"/>
    <cellStyle name="Total 30 4 2 4" xfId="18578"/>
    <cellStyle name="Total 30 4 2 4 2" xfId="39765"/>
    <cellStyle name="Total 30 4 2 5" xfId="28984"/>
    <cellStyle name="Total 30 4 2_Table 2A-1_EFT (Annual)" xfId="9068"/>
    <cellStyle name="Total 30 4 3" xfId="4801"/>
    <cellStyle name="Total 30 4 3 2" xfId="13061"/>
    <cellStyle name="Total 30 4 3 2 2" xfId="25067"/>
    <cellStyle name="Total 30 4 3 2 2 2" xfId="46253"/>
    <cellStyle name="Total 30 4 3 2 3" xfId="35649"/>
    <cellStyle name="Total 30 4 3 3" xfId="19954"/>
    <cellStyle name="Total 30 4 3 3 2" xfId="41141"/>
    <cellStyle name="Total 30 4 3 4" xfId="30458"/>
    <cellStyle name="Total 30 4 3_Table 2A-1_EFT (Annual)" xfId="9070"/>
    <cellStyle name="Total 30 4 4" xfId="10405"/>
    <cellStyle name="Total 30 4 4 2" xfId="22521"/>
    <cellStyle name="Total 30 4 4 2 2" xfId="43707"/>
    <cellStyle name="Total 30 4 4 3" xfId="33103"/>
    <cellStyle name="Total 30 4 5" xfId="17408"/>
    <cellStyle name="Total 30 4 5 2" xfId="38595"/>
    <cellStyle name="Total 30 4 6" xfId="27715"/>
    <cellStyle name="Total 30 4_Table 2A-1_EFT (Annual)" xfId="9067"/>
    <cellStyle name="Total 30 5" xfId="793"/>
    <cellStyle name="Total 30 5 2" xfId="4354"/>
    <cellStyle name="Total 30 5 2 2" xfId="12634"/>
    <cellStyle name="Total 30 5 2 2 2" xfId="24651"/>
    <cellStyle name="Total 30 5 2 2 2 2" xfId="45837"/>
    <cellStyle name="Total 30 5 2 2 3" xfId="35233"/>
    <cellStyle name="Total 30 5 2 3" xfId="19538"/>
    <cellStyle name="Total 30 5 2 3 2" xfId="40725"/>
    <cellStyle name="Total 30 5 2 4" xfId="30011"/>
    <cellStyle name="Total 30 5 2_Table 2A-1_EFT (Annual)" xfId="9072"/>
    <cellStyle name="Total 30 5 3" xfId="9982"/>
    <cellStyle name="Total 30 5 3 2" xfId="22105"/>
    <cellStyle name="Total 30 5 3 2 2" xfId="43291"/>
    <cellStyle name="Total 30 5 3 3" xfId="32687"/>
    <cellStyle name="Total 30 5 4" xfId="16992"/>
    <cellStyle name="Total 30 5 4 2" xfId="38179"/>
    <cellStyle name="Total 30 5 5" xfId="27268"/>
    <cellStyle name="Total 30 5_Table 2A-1_EFT (Annual)" xfId="9071"/>
    <cellStyle name="Total 30 6" xfId="1979"/>
    <cellStyle name="Total 30 6 2" xfId="5540"/>
    <cellStyle name="Total 30 6 2 2" xfId="13755"/>
    <cellStyle name="Total 30 6 2 2 2" xfId="25743"/>
    <cellStyle name="Total 30 6 2 2 2 2" xfId="46929"/>
    <cellStyle name="Total 30 6 2 2 3" xfId="36325"/>
    <cellStyle name="Total 30 6 2 3" xfId="20630"/>
    <cellStyle name="Total 30 6 2 3 2" xfId="41817"/>
    <cellStyle name="Total 30 6 2 4" xfId="31197"/>
    <cellStyle name="Total 30 6 2_Table 2A-1_EFT (Annual)" xfId="9074"/>
    <cellStyle name="Total 30 6 3" xfId="11099"/>
    <cellStyle name="Total 30 6 3 2" xfId="23197"/>
    <cellStyle name="Total 30 6 3 2 2" xfId="44383"/>
    <cellStyle name="Total 30 6 3 3" xfId="33779"/>
    <cellStyle name="Total 30 6 4" xfId="18084"/>
    <cellStyle name="Total 30 6 4 2" xfId="39271"/>
    <cellStyle name="Total 30 6 5" xfId="28454"/>
    <cellStyle name="Total 30 6_Table 2A-1_EFT (Annual)" xfId="9073"/>
    <cellStyle name="Total 30 7" xfId="3781"/>
    <cellStyle name="Total 30 7 2" xfId="12149"/>
    <cellStyle name="Total 30 7 2 2" xfId="24179"/>
    <cellStyle name="Total 30 7 2 2 2" xfId="45365"/>
    <cellStyle name="Total 30 7 2 3" xfId="34761"/>
    <cellStyle name="Total 30 7 3" xfId="19066"/>
    <cellStyle name="Total 30 7 3 2" xfId="40253"/>
    <cellStyle name="Total 30 7 4" xfId="29490"/>
    <cellStyle name="Total 30 7_Table 2A-1_EFT (Annual)" xfId="9075"/>
    <cellStyle name="Total 30 8" xfId="9468"/>
    <cellStyle name="Total 30 8 2" xfId="21633"/>
    <cellStyle name="Total 30 8 2 2" xfId="42819"/>
    <cellStyle name="Total 30 8 3" xfId="32215"/>
    <cellStyle name="Total 30 9" xfId="16520"/>
    <cellStyle name="Total 30 9 2" xfId="37707"/>
    <cellStyle name="Total 30_Table 2A-1_EFT (Annual)" xfId="3577"/>
    <cellStyle name="Total 31" xfId="245"/>
    <cellStyle name="Total 31 10" xfId="26800"/>
    <cellStyle name="Total 31 2" xfId="632"/>
    <cellStyle name="Total 31 2 2" xfId="1609"/>
    <cellStyle name="Total 31 2 2 2" xfId="2879"/>
    <cellStyle name="Total 31 2 2 2 2" xfId="6440"/>
    <cellStyle name="Total 31 2 2 2 2 2" xfId="14634"/>
    <cellStyle name="Total 31 2 2 2 2 2 2" xfId="26606"/>
    <cellStyle name="Total 31 2 2 2 2 2 2 2" xfId="47792"/>
    <cellStyle name="Total 31 2 2 2 2 2 3" xfId="37188"/>
    <cellStyle name="Total 31 2 2 2 2 3" xfId="21493"/>
    <cellStyle name="Total 31 2 2 2 2 3 2" xfId="42680"/>
    <cellStyle name="Total 31 2 2 2 2 4" xfId="32096"/>
    <cellStyle name="Total 31 2 2 2 2_Table 2A-1_EFT (Annual)" xfId="9078"/>
    <cellStyle name="Total 31 2 2 2 3" xfId="11976"/>
    <cellStyle name="Total 31 2 2 2 3 2" xfId="24060"/>
    <cellStyle name="Total 31 2 2 2 3 2 2" xfId="45246"/>
    <cellStyle name="Total 31 2 2 2 3 3" xfId="34642"/>
    <cellStyle name="Total 31 2 2 2 4" xfId="18947"/>
    <cellStyle name="Total 31 2 2 2 4 2" xfId="40134"/>
    <cellStyle name="Total 31 2 2 2 5" xfId="29353"/>
    <cellStyle name="Total 31 2 2 2_Table 2A-1_EFT (Annual)" xfId="9077"/>
    <cellStyle name="Total 31 2 2 3" xfId="5170"/>
    <cellStyle name="Total 31 2 2 3 2" xfId="13430"/>
    <cellStyle name="Total 31 2 2 3 2 2" xfId="25436"/>
    <cellStyle name="Total 31 2 2 3 2 2 2" xfId="46622"/>
    <cellStyle name="Total 31 2 2 3 2 3" xfId="36018"/>
    <cellStyle name="Total 31 2 2 3 3" xfId="20323"/>
    <cellStyle name="Total 31 2 2 3 3 2" xfId="41510"/>
    <cellStyle name="Total 31 2 2 3 4" xfId="30827"/>
    <cellStyle name="Total 31 2 2 3_Table 2A-1_EFT (Annual)" xfId="9079"/>
    <cellStyle name="Total 31 2 2 4" xfId="10774"/>
    <cellStyle name="Total 31 2 2 4 2" xfId="22890"/>
    <cellStyle name="Total 31 2 2 4 2 2" xfId="44076"/>
    <cellStyle name="Total 31 2 2 4 3" xfId="33472"/>
    <cellStyle name="Total 31 2 2 5" xfId="17777"/>
    <cellStyle name="Total 31 2 2 5 2" xfId="38964"/>
    <cellStyle name="Total 31 2 2 6" xfId="28084"/>
    <cellStyle name="Total 31 2 2_Table 2A-1_EFT (Annual)" xfId="9076"/>
    <cellStyle name="Total 31 2 3" xfId="1122"/>
    <cellStyle name="Total 31 2 3 2" xfId="4683"/>
    <cellStyle name="Total 31 2 3 2 2" xfId="12943"/>
    <cellStyle name="Total 31 2 3 2 2 2" xfId="24949"/>
    <cellStyle name="Total 31 2 3 2 2 2 2" xfId="46135"/>
    <cellStyle name="Total 31 2 3 2 2 3" xfId="35531"/>
    <cellStyle name="Total 31 2 3 2 3" xfId="19836"/>
    <cellStyle name="Total 31 2 3 2 3 2" xfId="41023"/>
    <cellStyle name="Total 31 2 3 2 4" xfId="30340"/>
    <cellStyle name="Total 31 2 3 2_Table 2A-1_EFT (Annual)" xfId="9081"/>
    <cellStyle name="Total 31 2 3 3" xfId="10287"/>
    <cellStyle name="Total 31 2 3 3 2" xfId="22403"/>
    <cellStyle name="Total 31 2 3 3 2 2" xfId="43589"/>
    <cellStyle name="Total 31 2 3 3 3" xfId="32985"/>
    <cellStyle name="Total 31 2 3 4" xfId="17290"/>
    <cellStyle name="Total 31 2 3 4 2" xfId="38477"/>
    <cellStyle name="Total 31 2 3 5" xfId="27597"/>
    <cellStyle name="Total 31 2 3_Table 2A-1_EFT (Annual)" xfId="9080"/>
    <cellStyle name="Total 31 2 4" xfId="2348"/>
    <cellStyle name="Total 31 2 4 2" xfId="5909"/>
    <cellStyle name="Total 31 2 4 2 2" xfId="14124"/>
    <cellStyle name="Total 31 2 4 2 2 2" xfId="26112"/>
    <cellStyle name="Total 31 2 4 2 2 2 2" xfId="47298"/>
    <cellStyle name="Total 31 2 4 2 2 3" xfId="36694"/>
    <cellStyle name="Total 31 2 4 2 3" xfId="20999"/>
    <cellStyle name="Total 31 2 4 2 3 2" xfId="42186"/>
    <cellStyle name="Total 31 2 4 2 4" xfId="31566"/>
    <cellStyle name="Total 31 2 4 2_Table 2A-1_EFT (Annual)" xfId="9083"/>
    <cellStyle name="Total 31 2 4 3" xfId="11468"/>
    <cellStyle name="Total 31 2 4 3 2" xfId="23566"/>
    <cellStyle name="Total 31 2 4 3 2 2" xfId="44752"/>
    <cellStyle name="Total 31 2 4 3 3" xfId="34148"/>
    <cellStyle name="Total 31 2 4 4" xfId="18453"/>
    <cellStyle name="Total 31 2 4 4 2" xfId="39640"/>
    <cellStyle name="Total 31 2 4 5" xfId="28823"/>
    <cellStyle name="Total 31 2 4_Table 2A-1_EFT (Annual)" xfId="9082"/>
    <cellStyle name="Total 31 2 5" xfId="4202"/>
    <cellStyle name="Total 31 2 5 2" xfId="12526"/>
    <cellStyle name="Total 31 2 5 2 2" xfId="24548"/>
    <cellStyle name="Total 31 2 5 2 2 2" xfId="45734"/>
    <cellStyle name="Total 31 2 5 2 3" xfId="35130"/>
    <cellStyle name="Total 31 2 5 3" xfId="19435"/>
    <cellStyle name="Total 31 2 5 3 2" xfId="40622"/>
    <cellStyle name="Total 31 2 5 4" xfId="29890"/>
    <cellStyle name="Total 31 2 5_Table 2A-1_EFT (Annual)" xfId="9084"/>
    <cellStyle name="Total 31 2 6" xfId="9865"/>
    <cellStyle name="Total 31 2 6 2" xfId="22002"/>
    <cellStyle name="Total 31 2 6 2 2" xfId="43188"/>
    <cellStyle name="Total 31 2 6 3" xfId="32584"/>
    <cellStyle name="Total 31 2 7" xfId="16889"/>
    <cellStyle name="Total 31 2 7 2" xfId="38076"/>
    <cellStyle name="Total 31 2 8" xfId="27147"/>
    <cellStyle name="Total 31 2_Table 2A-1_EFT (Annual)" xfId="3581"/>
    <cellStyle name="Total 31 3" xfId="471"/>
    <cellStyle name="Total 31 3 2" xfId="1448"/>
    <cellStyle name="Total 31 3 2 2" xfId="2718"/>
    <cellStyle name="Total 31 3 2 2 2" xfId="6279"/>
    <cellStyle name="Total 31 3 2 2 2 2" xfId="14473"/>
    <cellStyle name="Total 31 3 2 2 2 2 2" xfId="26445"/>
    <cellStyle name="Total 31 3 2 2 2 2 2 2" xfId="47631"/>
    <cellStyle name="Total 31 3 2 2 2 2 3" xfId="37027"/>
    <cellStyle name="Total 31 3 2 2 2 3" xfId="21332"/>
    <cellStyle name="Total 31 3 2 2 2 3 2" xfId="42519"/>
    <cellStyle name="Total 31 3 2 2 2 4" xfId="31935"/>
    <cellStyle name="Total 31 3 2 2 2_Table 2A-1_EFT (Annual)" xfId="9087"/>
    <cellStyle name="Total 31 3 2 2 3" xfId="11815"/>
    <cellStyle name="Total 31 3 2 2 3 2" xfId="23899"/>
    <cellStyle name="Total 31 3 2 2 3 2 2" xfId="45085"/>
    <cellStyle name="Total 31 3 2 2 3 3" xfId="34481"/>
    <cellStyle name="Total 31 3 2 2 4" xfId="18786"/>
    <cellStyle name="Total 31 3 2 2 4 2" xfId="39973"/>
    <cellStyle name="Total 31 3 2 2 5" xfId="29192"/>
    <cellStyle name="Total 31 3 2 2_Table 2A-1_EFT (Annual)" xfId="9086"/>
    <cellStyle name="Total 31 3 2 3" xfId="5009"/>
    <cellStyle name="Total 31 3 2 3 2" xfId="13269"/>
    <cellStyle name="Total 31 3 2 3 2 2" xfId="25275"/>
    <cellStyle name="Total 31 3 2 3 2 2 2" xfId="46461"/>
    <cellStyle name="Total 31 3 2 3 2 3" xfId="35857"/>
    <cellStyle name="Total 31 3 2 3 3" xfId="20162"/>
    <cellStyle name="Total 31 3 2 3 3 2" xfId="41349"/>
    <cellStyle name="Total 31 3 2 3 4" xfId="30666"/>
    <cellStyle name="Total 31 3 2 3_Table 2A-1_EFT (Annual)" xfId="9088"/>
    <cellStyle name="Total 31 3 2 4" xfId="10613"/>
    <cellStyle name="Total 31 3 2 4 2" xfId="22729"/>
    <cellStyle name="Total 31 3 2 4 2 2" xfId="43915"/>
    <cellStyle name="Total 31 3 2 4 3" xfId="33311"/>
    <cellStyle name="Total 31 3 2 5" xfId="17616"/>
    <cellStyle name="Total 31 3 2 5 2" xfId="38803"/>
    <cellStyle name="Total 31 3 2 6" xfId="27923"/>
    <cellStyle name="Total 31 3 2_Table 2A-1_EFT (Annual)" xfId="9085"/>
    <cellStyle name="Total 31 3 3" xfId="992"/>
    <cellStyle name="Total 31 3 3 2" xfId="4553"/>
    <cellStyle name="Total 31 3 3 2 2" xfId="12813"/>
    <cellStyle name="Total 31 3 3 2 2 2" xfId="24819"/>
    <cellStyle name="Total 31 3 3 2 2 2 2" xfId="46005"/>
    <cellStyle name="Total 31 3 3 2 2 3" xfId="35401"/>
    <cellStyle name="Total 31 3 3 2 3" xfId="19706"/>
    <cellStyle name="Total 31 3 3 2 3 2" xfId="40893"/>
    <cellStyle name="Total 31 3 3 2 4" xfId="30210"/>
    <cellStyle name="Total 31 3 3 2_Table 2A-1_EFT (Annual)" xfId="9090"/>
    <cellStyle name="Total 31 3 3 3" xfId="10157"/>
    <cellStyle name="Total 31 3 3 3 2" xfId="22273"/>
    <cellStyle name="Total 31 3 3 3 2 2" xfId="43459"/>
    <cellStyle name="Total 31 3 3 3 3" xfId="32855"/>
    <cellStyle name="Total 31 3 3 4" xfId="17160"/>
    <cellStyle name="Total 31 3 3 4 2" xfId="38347"/>
    <cellStyle name="Total 31 3 3 5" xfId="27467"/>
    <cellStyle name="Total 31 3 3_Table 2A-1_EFT (Annual)" xfId="9089"/>
    <cellStyle name="Total 31 3 4" xfId="2187"/>
    <cellStyle name="Total 31 3 4 2" xfId="5748"/>
    <cellStyle name="Total 31 3 4 2 2" xfId="13963"/>
    <cellStyle name="Total 31 3 4 2 2 2" xfId="25951"/>
    <cellStyle name="Total 31 3 4 2 2 2 2" xfId="47137"/>
    <cellStyle name="Total 31 3 4 2 2 3" xfId="36533"/>
    <cellStyle name="Total 31 3 4 2 3" xfId="20838"/>
    <cellStyle name="Total 31 3 4 2 3 2" xfId="42025"/>
    <cellStyle name="Total 31 3 4 2 4" xfId="31405"/>
    <cellStyle name="Total 31 3 4 2_Table 2A-1_EFT (Annual)" xfId="9092"/>
    <cellStyle name="Total 31 3 4 3" xfId="11307"/>
    <cellStyle name="Total 31 3 4 3 2" xfId="23405"/>
    <cellStyle name="Total 31 3 4 3 2 2" xfId="44591"/>
    <cellStyle name="Total 31 3 4 3 3" xfId="33987"/>
    <cellStyle name="Total 31 3 4 4" xfId="18292"/>
    <cellStyle name="Total 31 3 4 4 2" xfId="39479"/>
    <cellStyle name="Total 31 3 4 5" xfId="28662"/>
    <cellStyle name="Total 31 3 4_Table 2A-1_EFT (Annual)" xfId="9091"/>
    <cellStyle name="Total 31 3 5" xfId="4041"/>
    <cellStyle name="Total 31 3 5 2" xfId="12365"/>
    <cellStyle name="Total 31 3 5 2 2" xfId="24387"/>
    <cellStyle name="Total 31 3 5 2 2 2" xfId="45573"/>
    <cellStyle name="Total 31 3 5 2 3" xfId="34969"/>
    <cellStyle name="Total 31 3 5 3" xfId="19274"/>
    <cellStyle name="Total 31 3 5 3 2" xfId="40461"/>
    <cellStyle name="Total 31 3 5 4" xfId="29729"/>
    <cellStyle name="Total 31 3 5_Table 2A-1_EFT (Annual)" xfId="9093"/>
    <cellStyle name="Total 31 3 6" xfId="9704"/>
    <cellStyle name="Total 31 3 6 2" xfId="21841"/>
    <cellStyle name="Total 31 3 6 2 2" xfId="43027"/>
    <cellStyle name="Total 31 3 6 3" xfId="32423"/>
    <cellStyle name="Total 31 3 7" xfId="16728"/>
    <cellStyle name="Total 31 3 7 2" xfId="37915"/>
    <cellStyle name="Total 31 3 8" xfId="26986"/>
    <cellStyle name="Total 31 3_Table 2A-1_EFT (Annual)" xfId="3582"/>
    <cellStyle name="Total 31 4" xfId="1287"/>
    <cellStyle name="Total 31 4 2" xfId="2557"/>
    <cellStyle name="Total 31 4 2 2" xfId="6118"/>
    <cellStyle name="Total 31 4 2 2 2" xfId="14312"/>
    <cellStyle name="Total 31 4 2 2 2 2" xfId="26284"/>
    <cellStyle name="Total 31 4 2 2 2 2 2" xfId="47470"/>
    <cellStyle name="Total 31 4 2 2 2 3" xfId="36866"/>
    <cellStyle name="Total 31 4 2 2 3" xfId="21171"/>
    <cellStyle name="Total 31 4 2 2 3 2" xfId="42358"/>
    <cellStyle name="Total 31 4 2 2 4" xfId="31774"/>
    <cellStyle name="Total 31 4 2 2_Table 2A-1_EFT (Annual)" xfId="9096"/>
    <cellStyle name="Total 31 4 2 3" xfId="11654"/>
    <cellStyle name="Total 31 4 2 3 2" xfId="23738"/>
    <cellStyle name="Total 31 4 2 3 2 2" xfId="44924"/>
    <cellStyle name="Total 31 4 2 3 3" xfId="34320"/>
    <cellStyle name="Total 31 4 2 4" xfId="18625"/>
    <cellStyle name="Total 31 4 2 4 2" xfId="39812"/>
    <cellStyle name="Total 31 4 2 5" xfId="29031"/>
    <cellStyle name="Total 31 4 2_Table 2A-1_EFT (Annual)" xfId="9095"/>
    <cellStyle name="Total 31 4 3" xfId="4848"/>
    <cellStyle name="Total 31 4 3 2" xfId="13108"/>
    <cellStyle name="Total 31 4 3 2 2" xfId="25114"/>
    <cellStyle name="Total 31 4 3 2 2 2" xfId="46300"/>
    <cellStyle name="Total 31 4 3 2 3" xfId="35696"/>
    <cellStyle name="Total 31 4 3 3" xfId="20001"/>
    <cellStyle name="Total 31 4 3 3 2" xfId="41188"/>
    <cellStyle name="Total 31 4 3 4" xfId="30505"/>
    <cellStyle name="Total 31 4 3_Table 2A-1_EFT (Annual)" xfId="9097"/>
    <cellStyle name="Total 31 4 4" xfId="10452"/>
    <cellStyle name="Total 31 4 4 2" xfId="22568"/>
    <cellStyle name="Total 31 4 4 2 2" xfId="43754"/>
    <cellStyle name="Total 31 4 4 3" xfId="33150"/>
    <cellStyle name="Total 31 4 5" xfId="17455"/>
    <cellStyle name="Total 31 4 5 2" xfId="38642"/>
    <cellStyle name="Total 31 4 6" xfId="27762"/>
    <cellStyle name="Total 31 4_Table 2A-1_EFT (Annual)" xfId="9094"/>
    <cellStyle name="Total 31 5" xfId="837"/>
    <cellStyle name="Total 31 5 2" xfId="4398"/>
    <cellStyle name="Total 31 5 2 2" xfId="12672"/>
    <cellStyle name="Total 31 5 2 2 2" xfId="24689"/>
    <cellStyle name="Total 31 5 2 2 2 2" xfId="45875"/>
    <cellStyle name="Total 31 5 2 2 3" xfId="35271"/>
    <cellStyle name="Total 31 5 2 3" xfId="19576"/>
    <cellStyle name="Total 31 5 2 3 2" xfId="40763"/>
    <cellStyle name="Total 31 5 2 4" xfId="30055"/>
    <cellStyle name="Total 31 5 2_Table 2A-1_EFT (Annual)" xfId="9099"/>
    <cellStyle name="Total 31 5 3" xfId="10021"/>
    <cellStyle name="Total 31 5 3 2" xfId="22143"/>
    <cellStyle name="Total 31 5 3 2 2" xfId="43329"/>
    <cellStyle name="Total 31 5 3 3" xfId="32725"/>
    <cellStyle name="Total 31 5 4" xfId="17030"/>
    <cellStyle name="Total 31 5 4 2" xfId="38217"/>
    <cellStyle name="Total 31 5 5" xfId="27312"/>
    <cellStyle name="Total 31 5_Table 2A-1_EFT (Annual)" xfId="9098"/>
    <cellStyle name="Total 31 6" xfId="2026"/>
    <cellStyle name="Total 31 6 2" xfId="5587"/>
    <cellStyle name="Total 31 6 2 2" xfId="13802"/>
    <cellStyle name="Total 31 6 2 2 2" xfId="25790"/>
    <cellStyle name="Total 31 6 2 2 2 2" xfId="46976"/>
    <cellStyle name="Total 31 6 2 2 3" xfId="36372"/>
    <cellStyle name="Total 31 6 2 3" xfId="20677"/>
    <cellStyle name="Total 31 6 2 3 2" xfId="41864"/>
    <cellStyle name="Total 31 6 2 4" xfId="31244"/>
    <cellStyle name="Total 31 6 2_Table 2A-1_EFT (Annual)" xfId="9101"/>
    <cellStyle name="Total 31 6 3" xfId="11146"/>
    <cellStyle name="Total 31 6 3 2" xfId="23244"/>
    <cellStyle name="Total 31 6 3 2 2" xfId="44430"/>
    <cellStyle name="Total 31 6 3 3" xfId="33826"/>
    <cellStyle name="Total 31 6 4" xfId="18131"/>
    <cellStyle name="Total 31 6 4 2" xfId="39318"/>
    <cellStyle name="Total 31 6 5" xfId="28501"/>
    <cellStyle name="Total 31 6_Table 2A-1_EFT (Annual)" xfId="9100"/>
    <cellStyle name="Total 31 7" xfId="3834"/>
    <cellStyle name="Total 31 7 2" xfId="12197"/>
    <cellStyle name="Total 31 7 2 2" xfId="24226"/>
    <cellStyle name="Total 31 7 2 2 2" xfId="45412"/>
    <cellStyle name="Total 31 7 2 3" xfId="34808"/>
    <cellStyle name="Total 31 7 3" xfId="19113"/>
    <cellStyle name="Total 31 7 3 2" xfId="40300"/>
    <cellStyle name="Total 31 7 4" xfId="29543"/>
    <cellStyle name="Total 31 7_Table 2A-1_EFT (Annual)" xfId="9102"/>
    <cellStyle name="Total 31 8" xfId="9516"/>
    <cellStyle name="Total 31 8 2" xfId="21680"/>
    <cellStyle name="Total 31 8 2 2" xfId="42866"/>
    <cellStyle name="Total 31 8 3" xfId="32262"/>
    <cellStyle name="Total 31 9" xfId="16567"/>
    <cellStyle name="Total 31 9 2" xfId="37754"/>
    <cellStyle name="Total 31_Table 2A-1_EFT (Annual)" xfId="3580"/>
    <cellStyle name="Total 32" xfId="251"/>
    <cellStyle name="Total 32 10" xfId="26806"/>
    <cellStyle name="Total 32 2" xfId="638"/>
    <cellStyle name="Total 32 2 2" xfId="1615"/>
    <cellStyle name="Total 32 2 2 2" xfId="2885"/>
    <cellStyle name="Total 32 2 2 2 2" xfId="6446"/>
    <cellStyle name="Total 32 2 2 2 2 2" xfId="14640"/>
    <cellStyle name="Total 32 2 2 2 2 2 2" xfId="26612"/>
    <cellStyle name="Total 32 2 2 2 2 2 2 2" xfId="47798"/>
    <cellStyle name="Total 32 2 2 2 2 2 3" xfId="37194"/>
    <cellStyle name="Total 32 2 2 2 2 3" xfId="21499"/>
    <cellStyle name="Total 32 2 2 2 2 3 2" xfId="42686"/>
    <cellStyle name="Total 32 2 2 2 2 4" xfId="32102"/>
    <cellStyle name="Total 32 2 2 2 2_Table 2A-1_EFT (Annual)" xfId="9105"/>
    <cellStyle name="Total 32 2 2 2 3" xfId="11982"/>
    <cellStyle name="Total 32 2 2 2 3 2" xfId="24066"/>
    <cellStyle name="Total 32 2 2 2 3 2 2" xfId="45252"/>
    <cellStyle name="Total 32 2 2 2 3 3" xfId="34648"/>
    <cellStyle name="Total 32 2 2 2 4" xfId="18953"/>
    <cellStyle name="Total 32 2 2 2 4 2" xfId="40140"/>
    <cellStyle name="Total 32 2 2 2 5" xfId="29359"/>
    <cellStyle name="Total 32 2 2 2_Table 2A-1_EFT (Annual)" xfId="9104"/>
    <cellStyle name="Total 32 2 2 3" xfId="5176"/>
    <cellStyle name="Total 32 2 2 3 2" xfId="13436"/>
    <cellStyle name="Total 32 2 2 3 2 2" xfId="25442"/>
    <cellStyle name="Total 32 2 2 3 2 2 2" xfId="46628"/>
    <cellStyle name="Total 32 2 2 3 2 3" xfId="36024"/>
    <cellStyle name="Total 32 2 2 3 3" xfId="20329"/>
    <cellStyle name="Total 32 2 2 3 3 2" xfId="41516"/>
    <cellStyle name="Total 32 2 2 3 4" xfId="30833"/>
    <cellStyle name="Total 32 2 2 3_Table 2A-1_EFT (Annual)" xfId="9106"/>
    <cellStyle name="Total 32 2 2 4" xfId="10780"/>
    <cellStyle name="Total 32 2 2 4 2" xfId="22896"/>
    <cellStyle name="Total 32 2 2 4 2 2" xfId="44082"/>
    <cellStyle name="Total 32 2 2 4 3" xfId="33478"/>
    <cellStyle name="Total 32 2 2 5" xfId="17783"/>
    <cellStyle name="Total 32 2 2 5 2" xfId="38970"/>
    <cellStyle name="Total 32 2 2 6" xfId="28090"/>
    <cellStyle name="Total 32 2 2_Table 2A-1_EFT (Annual)" xfId="9103"/>
    <cellStyle name="Total 32 2 3" xfId="1127"/>
    <cellStyle name="Total 32 2 3 2" xfId="4688"/>
    <cellStyle name="Total 32 2 3 2 2" xfId="12948"/>
    <cellStyle name="Total 32 2 3 2 2 2" xfId="24954"/>
    <cellStyle name="Total 32 2 3 2 2 2 2" xfId="46140"/>
    <cellStyle name="Total 32 2 3 2 2 3" xfId="35536"/>
    <cellStyle name="Total 32 2 3 2 3" xfId="19841"/>
    <cellStyle name="Total 32 2 3 2 3 2" xfId="41028"/>
    <cellStyle name="Total 32 2 3 2 4" xfId="30345"/>
    <cellStyle name="Total 32 2 3 2_Table 2A-1_EFT (Annual)" xfId="9108"/>
    <cellStyle name="Total 32 2 3 3" xfId="10292"/>
    <cellStyle name="Total 32 2 3 3 2" xfId="22408"/>
    <cellStyle name="Total 32 2 3 3 2 2" xfId="43594"/>
    <cellStyle name="Total 32 2 3 3 3" xfId="32990"/>
    <cellStyle name="Total 32 2 3 4" xfId="17295"/>
    <cellStyle name="Total 32 2 3 4 2" xfId="38482"/>
    <cellStyle name="Total 32 2 3 5" xfId="27602"/>
    <cellStyle name="Total 32 2 3_Table 2A-1_EFT (Annual)" xfId="9107"/>
    <cellStyle name="Total 32 2 4" xfId="2354"/>
    <cellStyle name="Total 32 2 4 2" xfId="5915"/>
    <cellStyle name="Total 32 2 4 2 2" xfId="14130"/>
    <cellStyle name="Total 32 2 4 2 2 2" xfId="26118"/>
    <cellStyle name="Total 32 2 4 2 2 2 2" xfId="47304"/>
    <cellStyle name="Total 32 2 4 2 2 3" xfId="36700"/>
    <cellStyle name="Total 32 2 4 2 3" xfId="21005"/>
    <cellStyle name="Total 32 2 4 2 3 2" xfId="42192"/>
    <cellStyle name="Total 32 2 4 2 4" xfId="31572"/>
    <cellStyle name="Total 32 2 4 2_Table 2A-1_EFT (Annual)" xfId="9110"/>
    <cellStyle name="Total 32 2 4 3" xfId="11474"/>
    <cellStyle name="Total 32 2 4 3 2" xfId="23572"/>
    <cellStyle name="Total 32 2 4 3 2 2" xfId="44758"/>
    <cellStyle name="Total 32 2 4 3 3" xfId="34154"/>
    <cellStyle name="Total 32 2 4 4" xfId="18459"/>
    <cellStyle name="Total 32 2 4 4 2" xfId="39646"/>
    <cellStyle name="Total 32 2 4 5" xfId="28829"/>
    <cellStyle name="Total 32 2 4_Table 2A-1_EFT (Annual)" xfId="9109"/>
    <cellStyle name="Total 32 2 5" xfId="4208"/>
    <cellStyle name="Total 32 2 5 2" xfId="12532"/>
    <cellStyle name="Total 32 2 5 2 2" xfId="24554"/>
    <cellStyle name="Total 32 2 5 2 2 2" xfId="45740"/>
    <cellStyle name="Total 32 2 5 2 3" xfId="35136"/>
    <cellStyle name="Total 32 2 5 3" xfId="19441"/>
    <cellStyle name="Total 32 2 5 3 2" xfId="40628"/>
    <cellStyle name="Total 32 2 5 4" xfId="29896"/>
    <cellStyle name="Total 32 2 5_Table 2A-1_EFT (Annual)" xfId="9111"/>
    <cellStyle name="Total 32 2 6" xfId="9871"/>
    <cellStyle name="Total 32 2 6 2" xfId="22008"/>
    <cellStyle name="Total 32 2 6 2 2" xfId="43194"/>
    <cellStyle name="Total 32 2 6 3" xfId="32590"/>
    <cellStyle name="Total 32 2 7" xfId="16895"/>
    <cellStyle name="Total 32 2 7 2" xfId="38082"/>
    <cellStyle name="Total 32 2 8" xfId="27153"/>
    <cellStyle name="Total 32 2_Table 2A-1_EFT (Annual)" xfId="3584"/>
    <cellStyle name="Total 32 3" xfId="477"/>
    <cellStyle name="Total 32 3 2" xfId="1454"/>
    <cellStyle name="Total 32 3 2 2" xfId="2724"/>
    <cellStyle name="Total 32 3 2 2 2" xfId="6285"/>
    <cellStyle name="Total 32 3 2 2 2 2" xfId="14479"/>
    <cellStyle name="Total 32 3 2 2 2 2 2" xfId="26451"/>
    <cellStyle name="Total 32 3 2 2 2 2 2 2" xfId="47637"/>
    <cellStyle name="Total 32 3 2 2 2 2 3" xfId="37033"/>
    <cellStyle name="Total 32 3 2 2 2 3" xfId="21338"/>
    <cellStyle name="Total 32 3 2 2 2 3 2" xfId="42525"/>
    <cellStyle name="Total 32 3 2 2 2 4" xfId="31941"/>
    <cellStyle name="Total 32 3 2 2 2_Table 2A-1_EFT (Annual)" xfId="9114"/>
    <cellStyle name="Total 32 3 2 2 3" xfId="11821"/>
    <cellStyle name="Total 32 3 2 2 3 2" xfId="23905"/>
    <cellStyle name="Total 32 3 2 2 3 2 2" xfId="45091"/>
    <cellStyle name="Total 32 3 2 2 3 3" xfId="34487"/>
    <cellStyle name="Total 32 3 2 2 4" xfId="18792"/>
    <cellStyle name="Total 32 3 2 2 4 2" xfId="39979"/>
    <cellStyle name="Total 32 3 2 2 5" xfId="29198"/>
    <cellStyle name="Total 32 3 2 2_Table 2A-1_EFT (Annual)" xfId="9113"/>
    <cellStyle name="Total 32 3 2 3" xfId="5015"/>
    <cellStyle name="Total 32 3 2 3 2" xfId="13275"/>
    <cellStyle name="Total 32 3 2 3 2 2" xfId="25281"/>
    <cellStyle name="Total 32 3 2 3 2 2 2" xfId="46467"/>
    <cellStyle name="Total 32 3 2 3 2 3" xfId="35863"/>
    <cellStyle name="Total 32 3 2 3 3" xfId="20168"/>
    <cellStyle name="Total 32 3 2 3 3 2" xfId="41355"/>
    <cellStyle name="Total 32 3 2 3 4" xfId="30672"/>
    <cellStyle name="Total 32 3 2 3_Table 2A-1_EFT (Annual)" xfId="9115"/>
    <cellStyle name="Total 32 3 2 4" xfId="10619"/>
    <cellStyle name="Total 32 3 2 4 2" xfId="22735"/>
    <cellStyle name="Total 32 3 2 4 2 2" xfId="43921"/>
    <cellStyle name="Total 32 3 2 4 3" xfId="33317"/>
    <cellStyle name="Total 32 3 2 5" xfId="17622"/>
    <cellStyle name="Total 32 3 2 5 2" xfId="38809"/>
    <cellStyle name="Total 32 3 2 6" xfId="27929"/>
    <cellStyle name="Total 32 3 2_Table 2A-1_EFT (Annual)" xfId="9112"/>
    <cellStyle name="Total 32 3 3" xfId="997"/>
    <cellStyle name="Total 32 3 3 2" xfId="4558"/>
    <cellStyle name="Total 32 3 3 2 2" xfId="12818"/>
    <cellStyle name="Total 32 3 3 2 2 2" xfId="24824"/>
    <cellStyle name="Total 32 3 3 2 2 2 2" xfId="46010"/>
    <cellStyle name="Total 32 3 3 2 2 3" xfId="35406"/>
    <cellStyle name="Total 32 3 3 2 3" xfId="19711"/>
    <cellStyle name="Total 32 3 3 2 3 2" xfId="40898"/>
    <cellStyle name="Total 32 3 3 2 4" xfId="30215"/>
    <cellStyle name="Total 32 3 3 2_Table 2A-1_EFT (Annual)" xfId="9117"/>
    <cellStyle name="Total 32 3 3 3" xfId="10162"/>
    <cellStyle name="Total 32 3 3 3 2" xfId="22278"/>
    <cellStyle name="Total 32 3 3 3 2 2" xfId="43464"/>
    <cellStyle name="Total 32 3 3 3 3" xfId="32860"/>
    <cellStyle name="Total 32 3 3 4" xfId="17165"/>
    <cellStyle name="Total 32 3 3 4 2" xfId="38352"/>
    <cellStyle name="Total 32 3 3 5" xfId="27472"/>
    <cellStyle name="Total 32 3 3_Table 2A-1_EFT (Annual)" xfId="9116"/>
    <cellStyle name="Total 32 3 4" xfId="2193"/>
    <cellStyle name="Total 32 3 4 2" xfId="5754"/>
    <cellStyle name="Total 32 3 4 2 2" xfId="13969"/>
    <cellStyle name="Total 32 3 4 2 2 2" xfId="25957"/>
    <cellStyle name="Total 32 3 4 2 2 2 2" xfId="47143"/>
    <cellStyle name="Total 32 3 4 2 2 3" xfId="36539"/>
    <cellStyle name="Total 32 3 4 2 3" xfId="20844"/>
    <cellStyle name="Total 32 3 4 2 3 2" xfId="42031"/>
    <cellStyle name="Total 32 3 4 2 4" xfId="31411"/>
    <cellStyle name="Total 32 3 4 2_Table 2A-1_EFT (Annual)" xfId="9119"/>
    <cellStyle name="Total 32 3 4 3" xfId="11313"/>
    <cellStyle name="Total 32 3 4 3 2" xfId="23411"/>
    <cellStyle name="Total 32 3 4 3 2 2" xfId="44597"/>
    <cellStyle name="Total 32 3 4 3 3" xfId="33993"/>
    <cellStyle name="Total 32 3 4 4" xfId="18298"/>
    <cellStyle name="Total 32 3 4 4 2" xfId="39485"/>
    <cellStyle name="Total 32 3 4 5" xfId="28668"/>
    <cellStyle name="Total 32 3 4_Table 2A-1_EFT (Annual)" xfId="9118"/>
    <cellStyle name="Total 32 3 5" xfId="4047"/>
    <cellStyle name="Total 32 3 5 2" xfId="12371"/>
    <cellStyle name="Total 32 3 5 2 2" xfId="24393"/>
    <cellStyle name="Total 32 3 5 2 2 2" xfId="45579"/>
    <cellStyle name="Total 32 3 5 2 3" xfId="34975"/>
    <cellStyle name="Total 32 3 5 3" xfId="19280"/>
    <cellStyle name="Total 32 3 5 3 2" xfId="40467"/>
    <cellStyle name="Total 32 3 5 4" xfId="29735"/>
    <cellStyle name="Total 32 3 5_Table 2A-1_EFT (Annual)" xfId="9120"/>
    <cellStyle name="Total 32 3 6" xfId="9710"/>
    <cellStyle name="Total 32 3 6 2" xfId="21847"/>
    <cellStyle name="Total 32 3 6 2 2" xfId="43033"/>
    <cellStyle name="Total 32 3 6 3" xfId="32429"/>
    <cellStyle name="Total 32 3 7" xfId="16734"/>
    <cellStyle name="Total 32 3 7 2" xfId="37921"/>
    <cellStyle name="Total 32 3 8" xfId="26992"/>
    <cellStyle name="Total 32 3_Table 2A-1_EFT (Annual)" xfId="3585"/>
    <cellStyle name="Total 32 4" xfId="1293"/>
    <cellStyle name="Total 32 4 2" xfId="2563"/>
    <cellStyle name="Total 32 4 2 2" xfId="6124"/>
    <cellStyle name="Total 32 4 2 2 2" xfId="14318"/>
    <cellStyle name="Total 32 4 2 2 2 2" xfId="26290"/>
    <cellStyle name="Total 32 4 2 2 2 2 2" xfId="47476"/>
    <cellStyle name="Total 32 4 2 2 2 3" xfId="36872"/>
    <cellStyle name="Total 32 4 2 2 3" xfId="21177"/>
    <cellStyle name="Total 32 4 2 2 3 2" xfId="42364"/>
    <cellStyle name="Total 32 4 2 2 4" xfId="31780"/>
    <cellStyle name="Total 32 4 2 2_Table 2A-1_EFT (Annual)" xfId="9123"/>
    <cellStyle name="Total 32 4 2 3" xfId="11660"/>
    <cellStyle name="Total 32 4 2 3 2" xfId="23744"/>
    <cellStyle name="Total 32 4 2 3 2 2" xfId="44930"/>
    <cellStyle name="Total 32 4 2 3 3" xfId="34326"/>
    <cellStyle name="Total 32 4 2 4" xfId="18631"/>
    <cellStyle name="Total 32 4 2 4 2" xfId="39818"/>
    <cellStyle name="Total 32 4 2 5" xfId="29037"/>
    <cellStyle name="Total 32 4 2_Table 2A-1_EFT (Annual)" xfId="9122"/>
    <cellStyle name="Total 32 4 3" xfId="4854"/>
    <cellStyle name="Total 32 4 3 2" xfId="13114"/>
    <cellStyle name="Total 32 4 3 2 2" xfId="25120"/>
    <cellStyle name="Total 32 4 3 2 2 2" xfId="46306"/>
    <cellStyle name="Total 32 4 3 2 3" xfId="35702"/>
    <cellStyle name="Total 32 4 3 3" xfId="20007"/>
    <cellStyle name="Total 32 4 3 3 2" xfId="41194"/>
    <cellStyle name="Total 32 4 3 4" xfId="30511"/>
    <cellStyle name="Total 32 4 3_Table 2A-1_EFT (Annual)" xfId="9124"/>
    <cellStyle name="Total 32 4 4" xfId="10458"/>
    <cellStyle name="Total 32 4 4 2" xfId="22574"/>
    <cellStyle name="Total 32 4 4 2 2" xfId="43760"/>
    <cellStyle name="Total 32 4 4 3" xfId="33156"/>
    <cellStyle name="Total 32 4 5" xfId="17461"/>
    <cellStyle name="Total 32 4 5 2" xfId="38648"/>
    <cellStyle name="Total 32 4 6" xfId="27768"/>
    <cellStyle name="Total 32 4_Table 2A-1_EFT (Annual)" xfId="9121"/>
    <cellStyle name="Total 32 5" xfId="842"/>
    <cellStyle name="Total 32 5 2" xfId="4403"/>
    <cellStyle name="Total 32 5 2 2" xfId="12677"/>
    <cellStyle name="Total 32 5 2 2 2" xfId="24694"/>
    <cellStyle name="Total 32 5 2 2 2 2" xfId="45880"/>
    <cellStyle name="Total 32 5 2 2 3" xfId="35276"/>
    <cellStyle name="Total 32 5 2 3" xfId="19581"/>
    <cellStyle name="Total 32 5 2 3 2" xfId="40768"/>
    <cellStyle name="Total 32 5 2 4" xfId="30060"/>
    <cellStyle name="Total 32 5 2_Table 2A-1_EFT (Annual)" xfId="9126"/>
    <cellStyle name="Total 32 5 3" xfId="10026"/>
    <cellStyle name="Total 32 5 3 2" xfId="22148"/>
    <cellStyle name="Total 32 5 3 2 2" xfId="43334"/>
    <cellStyle name="Total 32 5 3 3" xfId="32730"/>
    <cellStyle name="Total 32 5 4" xfId="17035"/>
    <cellStyle name="Total 32 5 4 2" xfId="38222"/>
    <cellStyle name="Total 32 5 5" xfId="27317"/>
    <cellStyle name="Total 32 5_Table 2A-1_EFT (Annual)" xfId="9125"/>
    <cellStyle name="Total 32 6" xfId="2032"/>
    <cellStyle name="Total 32 6 2" xfId="5593"/>
    <cellStyle name="Total 32 6 2 2" xfId="13808"/>
    <cellStyle name="Total 32 6 2 2 2" xfId="25796"/>
    <cellStyle name="Total 32 6 2 2 2 2" xfId="46982"/>
    <cellStyle name="Total 32 6 2 2 3" xfId="36378"/>
    <cellStyle name="Total 32 6 2 3" xfId="20683"/>
    <cellStyle name="Total 32 6 2 3 2" xfId="41870"/>
    <cellStyle name="Total 32 6 2 4" xfId="31250"/>
    <cellStyle name="Total 32 6 2_Table 2A-1_EFT (Annual)" xfId="9128"/>
    <cellStyle name="Total 32 6 3" xfId="11152"/>
    <cellStyle name="Total 32 6 3 2" xfId="23250"/>
    <cellStyle name="Total 32 6 3 2 2" xfId="44436"/>
    <cellStyle name="Total 32 6 3 3" xfId="33832"/>
    <cellStyle name="Total 32 6 4" xfId="18137"/>
    <cellStyle name="Total 32 6 4 2" xfId="39324"/>
    <cellStyle name="Total 32 6 5" xfId="28507"/>
    <cellStyle name="Total 32 6_Table 2A-1_EFT (Annual)" xfId="9127"/>
    <cellStyle name="Total 32 7" xfId="3840"/>
    <cellStyle name="Total 32 7 2" xfId="12203"/>
    <cellStyle name="Total 32 7 2 2" xfId="24232"/>
    <cellStyle name="Total 32 7 2 2 2" xfId="45418"/>
    <cellStyle name="Total 32 7 2 3" xfId="34814"/>
    <cellStyle name="Total 32 7 3" xfId="19119"/>
    <cellStyle name="Total 32 7 3 2" xfId="40306"/>
    <cellStyle name="Total 32 7 4" xfId="29549"/>
    <cellStyle name="Total 32 7_Table 2A-1_EFT (Annual)" xfId="9129"/>
    <cellStyle name="Total 32 8" xfId="9522"/>
    <cellStyle name="Total 32 8 2" xfId="21686"/>
    <cellStyle name="Total 32 8 2 2" xfId="42872"/>
    <cellStyle name="Total 32 8 3" xfId="32268"/>
    <cellStyle name="Total 32 9" xfId="16573"/>
    <cellStyle name="Total 32 9 2" xfId="37760"/>
    <cellStyle name="Total 32_Table 2A-1_EFT (Annual)" xfId="3583"/>
    <cellStyle name="Total 33" xfId="186"/>
    <cellStyle name="Total 33 2" xfId="579"/>
    <cellStyle name="Total 33 2 2" xfId="1556"/>
    <cellStyle name="Total 33 2 2 2" xfId="2826"/>
    <cellStyle name="Total 33 2 2 2 2" xfId="6387"/>
    <cellStyle name="Total 33 2 2 2 2 2" xfId="14581"/>
    <cellStyle name="Total 33 2 2 2 2 2 2" xfId="26553"/>
    <cellStyle name="Total 33 2 2 2 2 2 2 2" xfId="47739"/>
    <cellStyle name="Total 33 2 2 2 2 2 3" xfId="37135"/>
    <cellStyle name="Total 33 2 2 2 2 3" xfId="21440"/>
    <cellStyle name="Total 33 2 2 2 2 3 2" xfId="42627"/>
    <cellStyle name="Total 33 2 2 2 2 4" xfId="32043"/>
    <cellStyle name="Total 33 2 2 2 2_Table 2A-1_EFT (Annual)" xfId="9132"/>
    <cellStyle name="Total 33 2 2 2 3" xfId="11923"/>
    <cellStyle name="Total 33 2 2 2 3 2" xfId="24007"/>
    <cellStyle name="Total 33 2 2 2 3 2 2" xfId="45193"/>
    <cellStyle name="Total 33 2 2 2 3 3" xfId="34589"/>
    <cellStyle name="Total 33 2 2 2 4" xfId="18894"/>
    <cellStyle name="Total 33 2 2 2 4 2" xfId="40081"/>
    <cellStyle name="Total 33 2 2 2 5" xfId="29300"/>
    <cellStyle name="Total 33 2 2 2_Table 2A-1_EFT (Annual)" xfId="9131"/>
    <cellStyle name="Total 33 2 2 3" xfId="5117"/>
    <cellStyle name="Total 33 2 2 3 2" xfId="13377"/>
    <cellStyle name="Total 33 2 2 3 2 2" xfId="25383"/>
    <cellStyle name="Total 33 2 2 3 2 2 2" xfId="46569"/>
    <cellStyle name="Total 33 2 2 3 2 3" xfId="35965"/>
    <cellStyle name="Total 33 2 2 3 3" xfId="20270"/>
    <cellStyle name="Total 33 2 2 3 3 2" xfId="41457"/>
    <cellStyle name="Total 33 2 2 3 4" xfId="30774"/>
    <cellStyle name="Total 33 2 2 3_Table 2A-1_EFT (Annual)" xfId="9133"/>
    <cellStyle name="Total 33 2 2 4" xfId="10721"/>
    <cellStyle name="Total 33 2 2 4 2" xfId="22837"/>
    <cellStyle name="Total 33 2 2 4 2 2" xfId="44023"/>
    <cellStyle name="Total 33 2 2 4 3" xfId="33419"/>
    <cellStyle name="Total 33 2 2 5" xfId="17724"/>
    <cellStyle name="Total 33 2 2 5 2" xfId="38911"/>
    <cellStyle name="Total 33 2 2 6" xfId="28031"/>
    <cellStyle name="Total 33 2 2_Table 2A-1_EFT (Annual)" xfId="9130"/>
    <cellStyle name="Total 33 2 3" xfId="1079"/>
    <cellStyle name="Total 33 2 3 2" xfId="4640"/>
    <cellStyle name="Total 33 2 3 2 2" xfId="12900"/>
    <cellStyle name="Total 33 2 3 2 2 2" xfId="24906"/>
    <cellStyle name="Total 33 2 3 2 2 2 2" xfId="46092"/>
    <cellStyle name="Total 33 2 3 2 2 3" xfId="35488"/>
    <cellStyle name="Total 33 2 3 2 3" xfId="19793"/>
    <cellStyle name="Total 33 2 3 2 3 2" xfId="40980"/>
    <cellStyle name="Total 33 2 3 2 4" xfId="30297"/>
    <cellStyle name="Total 33 2 3 2_Table 2A-1_EFT (Annual)" xfId="9135"/>
    <cellStyle name="Total 33 2 3 3" xfId="10244"/>
    <cellStyle name="Total 33 2 3 3 2" xfId="22360"/>
    <cellStyle name="Total 33 2 3 3 2 2" xfId="43546"/>
    <cellStyle name="Total 33 2 3 3 3" xfId="32942"/>
    <cellStyle name="Total 33 2 3 4" xfId="17247"/>
    <cellStyle name="Total 33 2 3 4 2" xfId="38434"/>
    <cellStyle name="Total 33 2 3 5" xfId="27554"/>
    <cellStyle name="Total 33 2 3_Table 2A-1_EFT (Annual)" xfId="9134"/>
    <cellStyle name="Total 33 2 4" xfId="2295"/>
    <cellStyle name="Total 33 2 4 2" xfId="5856"/>
    <cellStyle name="Total 33 2 4 2 2" xfId="14071"/>
    <cellStyle name="Total 33 2 4 2 2 2" xfId="26059"/>
    <cellStyle name="Total 33 2 4 2 2 2 2" xfId="47245"/>
    <cellStyle name="Total 33 2 4 2 2 3" xfId="36641"/>
    <cellStyle name="Total 33 2 4 2 3" xfId="20946"/>
    <cellStyle name="Total 33 2 4 2 3 2" xfId="42133"/>
    <cellStyle name="Total 33 2 4 2 4" xfId="31513"/>
    <cellStyle name="Total 33 2 4 2_Table 2A-1_EFT (Annual)" xfId="9137"/>
    <cellStyle name="Total 33 2 4 3" xfId="11415"/>
    <cellStyle name="Total 33 2 4 3 2" xfId="23513"/>
    <cellStyle name="Total 33 2 4 3 2 2" xfId="44699"/>
    <cellStyle name="Total 33 2 4 3 3" xfId="34095"/>
    <cellStyle name="Total 33 2 4 4" xfId="18400"/>
    <cellStyle name="Total 33 2 4 4 2" xfId="39587"/>
    <cellStyle name="Total 33 2 4 5" xfId="28770"/>
    <cellStyle name="Total 33 2 4_Table 2A-1_EFT (Annual)" xfId="9136"/>
    <cellStyle name="Total 33 2 5" xfId="4149"/>
    <cellStyle name="Total 33 2 5 2" xfId="12473"/>
    <cellStyle name="Total 33 2 5 2 2" xfId="24495"/>
    <cellStyle name="Total 33 2 5 2 2 2" xfId="45681"/>
    <cellStyle name="Total 33 2 5 2 3" xfId="35077"/>
    <cellStyle name="Total 33 2 5 3" xfId="19382"/>
    <cellStyle name="Total 33 2 5 3 2" xfId="40569"/>
    <cellStyle name="Total 33 2 5 4" xfId="29837"/>
    <cellStyle name="Total 33 2 5_Table 2A-1_EFT (Annual)" xfId="9138"/>
    <cellStyle name="Total 33 2 6" xfId="9812"/>
    <cellStyle name="Total 33 2 6 2" xfId="21949"/>
    <cellStyle name="Total 33 2 6 2 2" xfId="43135"/>
    <cellStyle name="Total 33 2 6 3" xfId="32531"/>
    <cellStyle name="Total 33 2 7" xfId="16836"/>
    <cellStyle name="Total 33 2 7 2" xfId="38023"/>
    <cellStyle name="Total 33 2 8" xfId="27094"/>
    <cellStyle name="Total 33 2_Table 2A-1_EFT (Annual)" xfId="3587"/>
    <cellStyle name="Total 33 3" xfId="1234"/>
    <cellStyle name="Total 33 3 2" xfId="2504"/>
    <cellStyle name="Total 33 3 2 2" xfId="6065"/>
    <cellStyle name="Total 33 3 2 2 2" xfId="14259"/>
    <cellStyle name="Total 33 3 2 2 2 2" xfId="26231"/>
    <cellStyle name="Total 33 3 2 2 2 2 2" xfId="47417"/>
    <cellStyle name="Total 33 3 2 2 2 3" xfId="36813"/>
    <cellStyle name="Total 33 3 2 2 3" xfId="21118"/>
    <cellStyle name="Total 33 3 2 2 3 2" xfId="42305"/>
    <cellStyle name="Total 33 3 2 2 4" xfId="31721"/>
    <cellStyle name="Total 33 3 2 2_Table 2A-1_EFT (Annual)" xfId="9141"/>
    <cellStyle name="Total 33 3 2 3" xfId="11601"/>
    <cellStyle name="Total 33 3 2 3 2" xfId="23685"/>
    <cellStyle name="Total 33 3 2 3 2 2" xfId="44871"/>
    <cellStyle name="Total 33 3 2 3 3" xfId="34267"/>
    <cellStyle name="Total 33 3 2 4" xfId="18572"/>
    <cellStyle name="Total 33 3 2 4 2" xfId="39759"/>
    <cellStyle name="Total 33 3 2 5" xfId="28978"/>
    <cellStyle name="Total 33 3 2_Table 2A-1_EFT (Annual)" xfId="9140"/>
    <cellStyle name="Total 33 3 3" xfId="4795"/>
    <cellStyle name="Total 33 3 3 2" xfId="13055"/>
    <cellStyle name="Total 33 3 3 2 2" xfId="25061"/>
    <cellStyle name="Total 33 3 3 2 2 2" xfId="46247"/>
    <cellStyle name="Total 33 3 3 2 3" xfId="35643"/>
    <cellStyle name="Total 33 3 3 3" xfId="19948"/>
    <cellStyle name="Total 33 3 3 3 2" xfId="41135"/>
    <cellStyle name="Total 33 3 3 4" xfId="30452"/>
    <cellStyle name="Total 33 3 3_Table 2A-1_EFT (Annual)" xfId="9142"/>
    <cellStyle name="Total 33 3 4" xfId="10399"/>
    <cellStyle name="Total 33 3 4 2" xfId="22515"/>
    <cellStyle name="Total 33 3 4 2 2" xfId="43701"/>
    <cellStyle name="Total 33 3 4 3" xfId="33097"/>
    <cellStyle name="Total 33 3 5" xfId="17402"/>
    <cellStyle name="Total 33 3 5 2" xfId="38589"/>
    <cellStyle name="Total 33 3 6" xfId="27709"/>
    <cellStyle name="Total 33 3_Table 2A-1_EFT (Annual)" xfId="9139"/>
    <cellStyle name="Total 33 4" xfId="788"/>
    <cellStyle name="Total 33 4 2" xfId="4349"/>
    <cellStyle name="Total 33 4 2 2" xfId="12629"/>
    <cellStyle name="Total 33 4 2 2 2" xfId="24646"/>
    <cellStyle name="Total 33 4 2 2 2 2" xfId="45832"/>
    <cellStyle name="Total 33 4 2 2 3" xfId="35228"/>
    <cellStyle name="Total 33 4 2 3" xfId="19533"/>
    <cellStyle name="Total 33 4 2 3 2" xfId="40720"/>
    <cellStyle name="Total 33 4 2 4" xfId="30006"/>
    <cellStyle name="Total 33 4 2_Table 2A-1_EFT (Annual)" xfId="9144"/>
    <cellStyle name="Total 33 4 3" xfId="9977"/>
    <cellStyle name="Total 33 4 3 2" xfId="22100"/>
    <cellStyle name="Total 33 4 3 2 2" xfId="43286"/>
    <cellStyle name="Total 33 4 3 3" xfId="32682"/>
    <cellStyle name="Total 33 4 4" xfId="16987"/>
    <cellStyle name="Total 33 4 4 2" xfId="38174"/>
    <cellStyle name="Total 33 4 5" xfId="27263"/>
    <cellStyle name="Total 33 4_Table 2A-1_EFT (Annual)" xfId="9143"/>
    <cellStyle name="Total 33 5" xfId="1973"/>
    <cellStyle name="Total 33 5 2" xfId="5534"/>
    <cellStyle name="Total 33 5 2 2" xfId="13749"/>
    <cellStyle name="Total 33 5 2 2 2" xfId="25737"/>
    <cellStyle name="Total 33 5 2 2 2 2" xfId="46923"/>
    <cellStyle name="Total 33 5 2 2 3" xfId="36319"/>
    <cellStyle name="Total 33 5 2 3" xfId="20624"/>
    <cellStyle name="Total 33 5 2 3 2" xfId="41811"/>
    <cellStyle name="Total 33 5 2 4" xfId="31191"/>
    <cellStyle name="Total 33 5 2_Table 2A-1_EFT (Annual)" xfId="9146"/>
    <cellStyle name="Total 33 5 3" xfId="11093"/>
    <cellStyle name="Total 33 5 3 2" xfId="23191"/>
    <cellStyle name="Total 33 5 3 2 2" xfId="44377"/>
    <cellStyle name="Total 33 5 3 3" xfId="33773"/>
    <cellStyle name="Total 33 5 4" xfId="18078"/>
    <cellStyle name="Total 33 5 4 2" xfId="39265"/>
    <cellStyle name="Total 33 5 5" xfId="28448"/>
    <cellStyle name="Total 33 5_Table 2A-1_EFT (Annual)" xfId="9145"/>
    <cellStyle name="Total 33 6" xfId="3775"/>
    <cellStyle name="Total 33 6 2" xfId="12143"/>
    <cellStyle name="Total 33 6 2 2" xfId="24173"/>
    <cellStyle name="Total 33 6 2 2 2" xfId="45359"/>
    <cellStyle name="Total 33 6 2 3" xfId="34755"/>
    <cellStyle name="Total 33 6 3" xfId="19060"/>
    <cellStyle name="Total 33 6 3 2" xfId="40247"/>
    <cellStyle name="Total 33 6 4" xfId="29484"/>
    <cellStyle name="Total 33 6_Table 2A-1_EFT (Annual)" xfId="9147"/>
    <cellStyle name="Total 33 7" xfId="9462"/>
    <cellStyle name="Total 33 7 2" xfId="21627"/>
    <cellStyle name="Total 33 7 2 2" xfId="42813"/>
    <cellStyle name="Total 33 7 3" xfId="32209"/>
    <cellStyle name="Total 33 8" xfId="16514"/>
    <cellStyle name="Total 33 8 2" xfId="37701"/>
    <cellStyle name="Total 33 9" xfId="26741"/>
    <cellStyle name="Total 33_Table 2A-1_EFT (Annual)" xfId="3586"/>
    <cellStyle name="Total 34" xfId="296"/>
    <cellStyle name="Total 34 2" xfId="1298"/>
    <cellStyle name="Total 34 2 2" xfId="2568"/>
    <cellStyle name="Total 34 2 2 2" xfId="6129"/>
    <cellStyle name="Total 34 2 2 2 2" xfId="14323"/>
    <cellStyle name="Total 34 2 2 2 2 2" xfId="26295"/>
    <cellStyle name="Total 34 2 2 2 2 2 2" xfId="47481"/>
    <cellStyle name="Total 34 2 2 2 2 3" xfId="36877"/>
    <cellStyle name="Total 34 2 2 2 3" xfId="21182"/>
    <cellStyle name="Total 34 2 2 2 3 2" xfId="42369"/>
    <cellStyle name="Total 34 2 2 2 4" xfId="31785"/>
    <cellStyle name="Total 34 2 2 2_Table 2A-1_EFT (Annual)" xfId="9150"/>
    <cellStyle name="Total 34 2 2 3" xfId="11665"/>
    <cellStyle name="Total 34 2 2 3 2" xfId="23749"/>
    <cellStyle name="Total 34 2 2 3 2 2" xfId="44935"/>
    <cellStyle name="Total 34 2 2 3 3" xfId="34331"/>
    <cellStyle name="Total 34 2 2 4" xfId="18636"/>
    <cellStyle name="Total 34 2 2 4 2" xfId="39823"/>
    <cellStyle name="Total 34 2 2 5" xfId="29042"/>
    <cellStyle name="Total 34 2 2_Table 2A-1_EFT (Annual)" xfId="9149"/>
    <cellStyle name="Total 34 2 3" xfId="4859"/>
    <cellStyle name="Total 34 2 3 2" xfId="13119"/>
    <cellStyle name="Total 34 2 3 2 2" xfId="25125"/>
    <cellStyle name="Total 34 2 3 2 2 2" xfId="46311"/>
    <cellStyle name="Total 34 2 3 2 3" xfId="35707"/>
    <cellStyle name="Total 34 2 3 3" xfId="20012"/>
    <cellStyle name="Total 34 2 3 3 2" xfId="41199"/>
    <cellStyle name="Total 34 2 3 4" xfId="30516"/>
    <cellStyle name="Total 34 2 3_Table 2A-1_EFT (Annual)" xfId="9151"/>
    <cellStyle name="Total 34 2 4" xfId="10463"/>
    <cellStyle name="Total 34 2 4 2" xfId="22579"/>
    <cellStyle name="Total 34 2 4 2 2" xfId="43765"/>
    <cellStyle name="Total 34 2 4 3" xfId="33161"/>
    <cellStyle name="Total 34 2 5" xfId="17466"/>
    <cellStyle name="Total 34 2 5 2" xfId="38653"/>
    <cellStyle name="Total 34 2 6" xfId="27773"/>
    <cellStyle name="Total 34 2_Table 2A-1_EFT (Annual)" xfId="9148"/>
    <cellStyle name="Total 34 3" xfId="847"/>
    <cellStyle name="Total 34 3 2" xfId="4408"/>
    <cellStyle name="Total 34 3 2 2" xfId="12681"/>
    <cellStyle name="Total 34 3 2 2 2" xfId="24698"/>
    <cellStyle name="Total 34 3 2 2 2 2" xfId="45884"/>
    <cellStyle name="Total 34 3 2 2 3" xfId="35280"/>
    <cellStyle name="Total 34 3 2 3" xfId="19585"/>
    <cellStyle name="Total 34 3 2 3 2" xfId="40772"/>
    <cellStyle name="Total 34 3 2 4" xfId="30065"/>
    <cellStyle name="Total 34 3 2_Table 2A-1_EFT (Annual)" xfId="9153"/>
    <cellStyle name="Total 34 3 3" xfId="10030"/>
    <cellStyle name="Total 34 3 3 2" xfId="22152"/>
    <cellStyle name="Total 34 3 3 2 2" xfId="43338"/>
    <cellStyle name="Total 34 3 3 3" xfId="32734"/>
    <cellStyle name="Total 34 3 4" xfId="17039"/>
    <cellStyle name="Total 34 3 4 2" xfId="38226"/>
    <cellStyle name="Total 34 3 5" xfId="27322"/>
    <cellStyle name="Total 34 3_Table 2A-1_EFT (Annual)" xfId="9152"/>
    <cellStyle name="Total 34 4" xfId="2037"/>
    <cellStyle name="Total 34 4 2" xfId="5598"/>
    <cellStyle name="Total 34 4 2 2" xfId="13813"/>
    <cellStyle name="Total 34 4 2 2 2" xfId="25801"/>
    <cellStyle name="Total 34 4 2 2 2 2" xfId="46987"/>
    <cellStyle name="Total 34 4 2 2 3" xfId="36383"/>
    <cellStyle name="Total 34 4 2 3" xfId="20688"/>
    <cellStyle name="Total 34 4 2 3 2" xfId="41875"/>
    <cellStyle name="Total 34 4 2 4" xfId="31255"/>
    <cellStyle name="Total 34 4 2_Table 2A-1_EFT (Annual)" xfId="9155"/>
    <cellStyle name="Total 34 4 3" xfId="11157"/>
    <cellStyle name="Total 34 4 3 2" xfId="23255"/>
    <cellStyle name="Total 34 4 3 2 2" xfId="44441"/>
    <cellStyle name="Total 34 4 3 3" xfId="33837"/>
    <cellStyle name="Total 34 4 4" xfId="18142"/>
    <cellStyle name="Total 34 4 4 2" xfId="39329"/>
    <cellStyle name="Total 34 4 5" xfId="28512"/>
    <cellStyle name="Total 34 4_Table 2A-1_EFT (Annual)" xfId="9154"/>
    <cellStyle name="Total 34 5" xfId="3867"/>
    <cellStyle name="Total 34 5 2" xfId="12208"/>
    <cellStyle name="Total 34 5 2 2" xfId="24237"/>
    <cellStyle name="Total 34 5 2 2 2" xfId="45423"/>
    <cellStyle name="Total 34 5 2 3" xfId="34819"/>
    <cellStyle name="Total 34 5 3" xfId="19124"/>
    <cellStyle name="Total 34 5 3 2" xfId="40311"/>
    <cellStyle name="Total 34 5 4" xfId="29555"/>
    <cellStyle name="Total 34 5_Table 2A-1_EFT (Annual)" xfId="9156"/>
    <cellStyle name="Total 34 6" xfId="9543"/>
    <cellStyle name="Total 34 6 2" xfId="21691"/>
    <cellStyle name="Total 34 6 2 2" xfId="42877"/>
    <cellStyle name="Total 34 6 3" xfId="32273"/>
    <cellStyle name="Total 34 7" xfId="16578"/>
    <cellStyle name="Total 34 7 2" xfId="37765"/>
    <cellStyle name="Total 34 8" xfId="26812"/>
    <cellStyle name="Total 34_Table 2A-1_EFT (Annual)" xfId="3588"/>
    <cellStyle name="Total 35" xfId="639"/>
    <cellStyle name="Total 35 2" xfId="1616"/>
    <cellStyle name="Total 35 2 2" xfId="2886"/>
    <cellStyle name="Total 35 2 2 2" xfId="6447"/>
    <cellStyle name="Total 35 2 2 2 2" xfId="14641"/>
    <cellStyle name="Total 35 2 2 2 2 2" xfId="26613"/>
    <cellStyle name="Total 35 2 2 2 2 2 2" xfId="47799"/>
    <cellStyle name="Total 35 2 2 2 2 3" xfId="37195"/>
    <cellStyle name="Total 35 2 2 2 3" xfId="21500"/>
    <cellStyle name="Total 35 2 2 2 3 2" xfId="42687"/>
    <cellStyle name="Total 35 2 2 2 4" xfId="32103"/>
    <cellStyle name="Total 35 2 2 2_Table 2A-1_EFT (Annual)" xfId="9159"/>
    <cellStyle name="Total 35 2 2 3" xfId="11983"/>
    <cellStyle name="Total 35 2 2 3 2" xfId="24067"/>
    <cellStyle name="Total 35 2 2 3 2 2" xfId="45253"/>
    <cellStyle name="Total 35 2 2 3 3" xfId="34649"/>
    <cellStyle name="Total 35 2 2 4" xfId="18954"/>
    <cellStyle name="Total 35 2 2 4 2" xfId="40141"/>
    <cellStyle name="Total 35 2 2 5" xfId="29360"/>
    <cellStyle name="Total 35 2 2_Table 2A-1_EFT (Annual)" xfId="9158"/>
    <cellStyle name="Total 35 2 3" xfId="5177"/>
    <cellStyle name="Total 35 2 3 2" xfId="13437"/>
    <cellStyle name="Total 35 2 3 2 2" xfId="25443"/>
    <cellStyle name="Total 35 2 3 2 2 2" xfId="46629"/>
    <cellStyle name="Total 35 2 3 2 3" xfId="36025"/>
    <cellStyle name="Total 35 2 3 3" xfId="20330"/>
    <cellStyle name="Total 35 2 3 3 2" xfId="41517"/>
    <cellStyle name="Total 35 2 3 4" xfId="30834"/>
    <cellStyle name="Total 35 2 3_Table 2A-1_EFT (Annual)" xfId="9160"/>
    <cellStyle name="Total 35 2 4" xfId="10781"/>
    <cellStyle name="Total 35 2 4 2" xfId="22897"/>
    <cellStyle name="Total 35 2 4 2 2" xfId="44083"/>
    <cellStyle name="Total 35 2 4 3" xfId="33479"/>
    <cellStyle name="Total 35 2 5" xfId="17784"/>
    <cellStyle name="Total 35 2 5 2" xfId="38971"/>
    <cellStyle name="Total 35 2 6" xfId="28091"/>
    <cellStyle name="Total 35 2_Table 2A-1_EFT (Annual)" xfId="9157"/>
    <cellStyle name="Total 35 3" xfId="1128"/>
    <cellStyle name="Total 35 3 2" xfId="4689"/>
    <cellStyle name="Total 35 3 2 2" xfId="12949"/>
    <cellStyle name="Total 35 3 2 2 2" xfId="24955"/>
    <cellStyle name="Total 35 3 2 2 2 2" xfId="46141"/>
    <cellStyle name="Total 35 3 2 2 3" xfId="35537"/>
    <cellStyle name="Total 35 3 2 3" xfId="19842"/>
    <cellStyle name="Total 35 3 2 3 2" xfId="41029"/>
    <cellStyle name="Total 35 3 2 4" xfId="30346"/>
    <cellStyle name="Total 35 3 2_Table 2A-1_EFT (Annual)" xfId="9162"/>
    <cellStyle name="Total 35 3 3" xfId="10293"/>
    <cellStyle name="Total 35 3 3 2" xfId="22409"/>
    <cellStyle name="Total 35 3 3 2 2" xfId="43595"/>
    <cellStyle name="Total 35 3 3 3" xfId="32991"/>
    <cellStyle name="Total 35 3 4" xfId="17296"/>
    <cellStyle name="Total 35 3 4 2" xfId="38483"/>
    <cellStyle name="Total 35 3 5" xfId="27603"/>
    <cellStyle name="Total 35 3_Table 2A-1_EFT (Annual)" xfId="9161"/>
    <cellStyle name="Total 35 4" xfId="2355"/>
    <cellStyle name="Total 35 4 2" xfId="5916"/>
    <cellStyle name="Total 35 4 2 2" xfId="14131"/>
    <cellStyle name="Total 35 4 2 2 2" xfId="26119"/>
    <cellStyle name="Total 35 4 2 2 2 2" xfId="47305"/>
    <cellStyle name="Total 35 4 2 2 3" xfId="36701"/>
    <cellStyle name="Total 35 4 2 3" xfId="21006"/>
    <cellStyle name="Total 35 4 2 3 2" xfId="42193"/>
    <cellStyle name="Total 35 4 2 4" xfId="31573"/>
    <cellStyle name="Total 35 4 2_Table 2A-1_EFT (Annual)" xfId="9164"/>
    <cellStyle name="Total 35 4 3" xfId="11475"/>
    <cellStyle name="Total 35 4 3 2" xfId="23573"/>
    <cellStyle name="Total 35 4 3 2 2" xfId="44759"/>
    <cellStyle name="Total 35 4 3 3" xfId="34155"/>
    <cellStyle name="Total 35 4 4" xfId="18460"/>
    <cellStyle name="Total 35 4 4 2" xfId="39647"/>
    <cellStyle name="Total 35 4 5" xfId="28830"/>
    <cellStyle name="Total 35 4_Table 2A-1_EFT (Annual)" xfId="9163"/>
    <cellStyle name="Total 35 5" xfId="4209"/>
    <cellStyle name="Total 35 5 2" xfId="12533"/>
    <cellStyle name="Total 35 5 2 2" xfId="24555"/>
    <cellStyle name="Total 35 5 2 2 2" xfId="45741"/>
    <cellStyle name="Total 35 5 2 3" xfId="35137"/>
    <cellStyle name="Total 35 5 3" xfId="19442"/>
    <cellStyle name="Total 35 5 3 2" xfId="40629"/>
    <cellStyle name="Total 35 5 4" xfId="29897"/>
    <cellStyle name="Total 35 5_Table 2A-1_EFT (Annual)" xfId="9165"/>
    <cellStyle name="Total 35 6" xfId="9872"/>
    <cellStyle name="Total 35 6 2" xfId="22009"/>
    <cellStyle name="Total 35 6 2 2" xfId="43195"/>
    <cellStyle name="Total 35 6 3" xfId="32591"/>
    <cellStyle name="Total 35 7" xfId="16896"/>
    <cellStyle name="Total 35 7 2" xfId="38083"/>
    <cellStyle name="Total 35 8" xfId="27154"/>
    <cellStyle name="Total 35_Table 2A-1_EFT (Annual)" xfId="3589"/>
    <cellStyle name="Total 36" xfId="700"/>
    <cellStyle name="Total 36 2" xfId="2365"/>
    <cellStyle name="Total 36 2 2" xfId="5926"/>
    <cellStyle name="Total 36 2 2 2" xfId="14140"/>
    <cellStyle name="Total 36 2 2 2 2" xfId="26128"/>
    <cellStyle name="Total 36 2 2 2 2 2" xfId="47314"/>
    <cellStyle name="Total 36 2 2 2 3" xfId="36710"/>
    <cellStyle name="Total 36 2 2 3" xfId="21015"/>
    <cellStyle name="Total 36 2 2 3 2" xfId="42202"/>
    <cellStyle name="Total 36 2 2 4" xfId="31582"/>
    <cellStyle name="Total 36 2 2_Table 2A-1_EFT (Annual)" xfId="9168"/>
    <cellStyle name="Total 36 2 3" xfId="11485"/>
    <cellStyle name="Total 36 2 3 2" xfId="23582"/>
    <cellStyle name="Total 36 2 3 2 2" xfId="44768"/>
    <cellStyle name="Total 36 2 3 3" xfId="34164"/>
    <cellStyle name="Total 36 2 4" xfId="18469"/>
    <cellStyle name="Total 36 2 4 2" xfId="39656"/>
    <cellStyle name="Total 36 2 5" xfId="28839"/>
    <cellStyle name="Total 36 2_Table 2A-1_EFT (Annual)" xfId="9167"/>
    <cellStyle name="Total 36 3" xfId="4262"/>
    <cellStyle name="Total 36 3 2" xfId="12546"/>
    <cellStyle name="Total 36 3 2 2" xfId="24564"/>
    <cellStyle name="Total 36 3 2 2 2" xfId="45750"/>
    <cellStyle name="Total 36 3 2 3" xfId="35146"/>
    <cellStyle name="Total 36 3 3" xfId="19451"/>
    <cellStyle name="Total 36 3 3 2" xfId="40638"/>
    <cellStyle name="Total 36 3 4" xfId="29919"/>
    <cellStyle name="Total 36 3_Table 2A-1_EFT (Annual)" xfId="9169"/>
    <cellStyle name="Total 36 4" xfId="9893"/>
    <cellStyle name="Total 36 4 2" xfId="22018"/>
    <cellStyle name="Total 36 4 2 2" xfId="43204"/>
    <cellStyle name="Total 36 4 3" xfId="32600"/>
    <cellStyle name="Total 36 5" xfId="16905"/>
    <cellStyle name="Total 36 5 2" xfId="38092"/>
    <cellStyle name="Total 36 6" xfId="27176"/>
    <cellStyle name="Total 36_Table 2A-1_EFT (Annual)" xfId="9166"/>
    <cellStyle name="Total 37" xfId="16014"/>
    <cellStyle name="Total 37 2" xfId="37205"/>
    <cellStyle name="Total 38" xfId="47809"/>
    <cellStyle name="Total 4" xfId="94"/>
    <cellStyle name="Total 4 10" xfId="21518"/>
    <cellStyle name="Total 4 10 2" xfId="42705"/>
    <cellStyle name="Total 4 11" xfId="26650"/>
    <cellStyle name="Total 4 2" xfId="493"/>
    <cellStyle name="Total 4 2 2" xfId="1470"/>
    <cellStyle name="Total 4 2 2 2" xfId="2740"/>
    <cellStyle name="Total 4 2 2 2 2" xfId="6301"/>
    <cellStyle name="Total 4 2 2 2 2 2" xfId="14495"/>
    <cellStyle name="Total 4 2 2 2 2 2 2" xfId="26467"/>
    <cellStyle name="Total 4 2 2 2 2 2 2 2" xfId="47653"/>
    <cellStyle name="Total 4 2 2 2 2 2 3" xfId="37049"/>
    <cellStyle name="Total 4 2 2 2 2 3" xfId="21354"/>
    <cellStyle name="Total 4 2 2 2 2 3 2" xfId="42541"/>
    <cellStyle name="Total 4 2 2 2 2 4" xfId="31957"/>
    <cellStyle name="Total 4 2 2 2 2_Table 2A-1_EFT (Annual)" xfId="9172"/>
    <cellStyle name="Total 4 2 2 2 3" xfId="11837"/>
    <cellStyle name="Total 4 2 2 2 3 2" xfId="23921"/>
    <cellStyle name="Total 4 2 2 2 3 2 2" xfId="45107"/>
    <cellStyle name="Total 4 2 2 2 3 3" xfId="34503"/>
    <cellStyle name="Total 4 2 2 2 4" xfId="18808"/>
    <cellStyle name="Total 4 2 2 2 4 2" xfId="39995"/>
    <cellStyle name="Total 4 2 2 2 5" xfId="29214"/>
    <cellStyle name="Total 4 2 2 2_Table 2A-1_EFT (Annual)" xfId="9171"/>
    <cellStyle name="Total 4 2 2 3" xfId="5031"/>
    <cellStyle name="Total 4 2 2 3 2" xfId="13291"/>
    <cellStyle name="Total 4 2 2 3 2 2" xfId="25297"/>
    <cellStyle name="Total 4 2 2 3 2 2 2" xfId="46483"/>
    <cellStyle name="Total 4 2 2 3 2 3" xfId="35879"/>
    <cellStyle name="Total 4 2 2 3 3" xfId="20184"/>
    <cellStyle name="Total 4 2 2 3 3 2" xfId="41371"/>
    <cellStyle name="Total 4 2 2 3 4" xfId="30688"/>
    <cellStyle name="Total 4 2 2 3_Table 2A-1_EFT (Annual)" xfId="9173"/>
    <cellStyle name="Total 4 2 2 4" xfId="10635"/>
    <cellStyle name="Total 4 2 2 4 2" xfId="22751"/>
    <cellStyle name="Total 4 2 2 4 2 2" xfId="43937"/>
    <cellStyle name="Total 4 2 2 4 3" xfId="33333"/>
    <cellStyle name="Total 4 2 2 5" xfId="17638"/>
    <cellStyle name="Total 4 2 2 5 2" xfId="38825"/>
    <cellStyle name="Total 4 2 2 6" xfId="27945"/>
    <cellStyle name="Total 4 2 2_Table 2A-1_EFT (Annual)" xfId="9170"/>
    <cellStyle name="Total 4 2 3" xfId="1009"/>
    <cellStyle name="Total 4 2 3 2" xfId="4570"/>
    <cellStyle name="Total 4 2 3 2 2" xfId="12830"/>
    <cellStyle name="Total 4 2 3 2 2 2" xfId="24836"/>
    <cellStyle name="Total 4 2 3 2 2 2 2" xfId="46022"/>
    <cellStyle name="Total 4 2 3 2 2 3" xfId="35418"/>
    <cellStyle name="Total 4 2 3 2 3" xfId="19723"/>
    <cellStyle name="Total 4 2 3 2 3 2" xfId="40910"/>
    <cellStyle name="Total 4 2 3 2 4" xfId="30227"/>
    <cellStyle name="Total 4 2 3 2_Table 2A-1_EFT (Annual)" xfId="9175"/>
    <cellStyle name="Total 4 2 3 3" xfId="10174"/>
    <cellStyle name="Total 4 2 3 3 2" xfId="22290"/>
    <cellStyle name="Total 4 2 3 3 2 2" xfId="43476"/>
    <cellStyle name="Total 4 2 3 3 3" xfId="32872"/>
    <cellStyle name="Total 4 2 3 4" xfId="17177"/>
    <cellStyle name="Total 4 2 3 4 2" xfId="38364"/>
    <cellStyle name="Total 4 2 3 5" xfId="27484"/>
    <cellStyle name="Total 4 2 3_Table 2A-1_EFT (Annual)" xfId="9174"/>
    <cellStyle name="Total 4 2 4" xfId="2209"/>
    <cellStyle name="Total 4 2 4 2" xfId="5770"/>
    <cellStyle name="Total 4 2 4 2 2" xfId="13985"/>
    <cellStyle name="Total 4 2 4 2 2 2" xfId="25973"/>
    <cellStyle name="Total 4 2 4 2 2 2 2" xfId="47159"/>
    <cellStyle name="Total 4 2 4 2 2 3" xfId="36555"/>
    <cellStyle name="Total 4 2 4 2 3" xfId="20860"/>
    <cellStyle name="Total 4 2 4 2 3 2" xfId="42047"/>
    <cellStyle name="Total 4 2 4 2 4" xfId="31427"/>
    <cellStyle name="Total 4 2 4 2_Table 2A-1_EFT (Annual)" xfId="9177"/>
    <cellStyle name="Total 4 2 4 3" xfId="11329"/>
    <cellStyle name="Total 4 2 4 3 2" xfId="23427"/>
    <cellStyle name="Total 4 2 4 3 2 2" xfId="44613"/>
    <cellStyle name="Total 4 2 4 3 3" xfId="34009"/>
    <cellStyle name="Total 4 2 4 4" xfId="18314"/>
    <cellStyle name="Total 4 2 4 4 2" xfId="39501"/>
    <cellStyle name="Total 4 2 4 5" xfId="28684"/>
    <cellStyle name="Total 4 2 4_Table 2A-1_EFT (Annual)" xfId="9176"/>
    <cellStyle name="Total 4 2 5" xfId="4063"/>
    <cellStyle name="Total 4 2 5 2" xfId="12387"/>
    <cellStyle name="Total 4 2 5 2 2" xfId="24409"/>
    <cellStyle name="Total 4 2 5 2 2 2" xfId="45595"/>
    <cellStyle name="Total 4 2 5 2 3" xfId="34991"/>
    <cellStyle name="Total 4 2 5 3" xfId="19296"/>
    <cellStyle name="Total 4 2 5 3 2" xfId="40483"/>
    <cellStyle name="Total 4 2 5 4" xfId="29751"/>
    <cellStyle name="Total 4 2 5_Table 2A-1_EFT (Annual)" xfId="9178"/>
    <cellStyle name="Total 4 2 6" xfId="9726"/>
    <cellStyle name="Total 4 2 6 2" xfId="21863"/>
    <cellStyle name="Total 4 2 6 2 2" xfId="43049"/>
    <cellStyle name="Total 4 2 6 3" xfId="32445"/>
    <cellStyle name="Total 4 2 7" xfId="16750"/>
    <cellStyle name="Total 4 2 7 2" xfId="37937"/>
    <cellStyle name="Total 4 2 8" xfId="27008"/>
    <cellStyle name="Total 4 2_Table 2A-1_EFT (Annual)" xfId="3591"/>
    <cellStyle name="Total 4 3" xfId="326"/>
    <cellStyle name="Total 4 3 2" xfId="1314"/>
    <cellStyle name="Total 4 3 2 2" xfId="2584"/>
    <cellStyle name="Total 4 3 2 2 2" xfId="6145"/>
    <cellStyle name="Total 4 3 2 2 2 2" xfId="14339"/>
    <cellStyle name="Total 4 3 2 2 2 2 2" xfId="26311"/>
    <cellStyle name="Total 4 3 2 2 2 2 2 2" xfId="47497"/>
    <cellStyle name="Total 4 3 2 2 2 2 3" xfId="36893"/>
    <cellStyle name="Total 4 3 2 2 2 3" xfId="21198"/>
    <cellStyle name="Total 4 3 2 2 2 3 2" xfId="42385"/>
    <cellStyle name="Total 4 3 2 2 2 4" xfId="31801"/>
    <cellStyle name="Total 4 3 2 2 2_Table 2A-1_EFT (Annual)" xfId="9181"/>
    <cellStyle name="Total 4 3 2 2 3" xfId="11681"/>
    <cellStyle name="Total 4 3 2 2 3 2" xfId="23765"/>
    <cellStyle name="Total 4 3 2 2 3 2 2" xfId="44951"/>
    <cellStyle name="Total 4 3 2 2 3 3" xfId="34347"/>
    <cellStyle name="Total 4 3 2 2 4" xfId="18652"/>
    <cellStyle name="Total 4 3 2 2 4 2" xfId="39839"/>
    <cellStyle name="Total 4 3 2 2 5" xfId="29058"/>
    <cellStyle name="Total 4 3 2 2_Table 2A-1_EFT (Annual)" xfId="9180"/>
    <cellStyle name="Total 4 3 2 3" xfId="4875"/>
    <cellStyle name="Total 4 3 2 3 2" xfId="13135"/>
    <cellStyle name="Total 4 3 2 3 2 2" xfId="25141"/>
    <cellStyle name="Total 4 3 2 3 2 2 2" xfId="46327"/>
    <cellStyle name="Total 4 3 2 3 2 3" xfId="35723"/>
    <cellStyle name="Total 4 3 2 3 3" xfId="20028"/>
    <cellStyle name="Total 4 3 2 3 3 2" xfId="41215"/>
    <cellStyle name="Total 4 3 2 3 4" xfId="30532"/>
    <cellStyle name="Total 4 3 2 3_Table 2A-1_EFT (Annual)" xfId="9182"/>
    <cellStyle name="Total 4 3 2 4" xfId="10479"/>
    <cellStyle name="Total 4 3 2 4 2" xfId="22595"/>
    <cellStyle name="Total 4 3 2 4 2 2" xfId="43781"/>
    <cellStyle name="Total 4 3 2 4 3" xfId="33177"/>
    <cellStyle name="Total 4 3 2 5" xfId="17482"/>
    <cellStyle name="Total 4 3 2 5 2" xfId="38669"/>
    <cellStyle name="Total 4 3 2 6" xfId="27789"/>
    <cellStyle name="Total 4 3 2_Table 2A-1_EFT (Annual)" xfId="9179"/>
    <cellStyle name="Total 4 3 3" xfId="872"/>
    <cellStyle name="Total 4 3 3 2" xfId="4433"/>
    <cellStyle name="Total 4 3 3 2 2" xfId="12698"/>
    <cellStyle name="Total 4 3 3 2 2 2" xfId="24710"/>
    <cellStyle name="Total 4 3 3 2 2 2 2" xfId="45896"/>
    <cellStyle name="Total 4 3 3 2 2 3" xfId="35292"/>
    <cellStyle name="Total 4 3 3 2 3" xfId="19597"/>
    <cellStyle name="Total 4 3 3 2 3 2" xfId="40784"/>
    <cellStyle name="Total 4 3 3 2 4" xfId="30090"/>
    <cellStyle name="Total 4 3 3 2_Table 2A-1_EFT (Annual)" xfId="9184"/>
    <cellStyle name="Total 4 3 3 3" xfId="10045"/>
    <cellStyle name="Total 4 3 3 3 2" xfId="22164"/>
    <cellStyle name="Total 4 3 3 3 2 2" xfId="43350"/>
    <cellStyle name="Total 4 3 3 3 3" xfId="32746"/>
    <cellStyle name="Total 4 3 3 4" xfId="17051"/>
    <cellStyle name="Total 4 3 3 4 2" xfId="38238"/>
    <cellStyle name="Total 4 3 3 5" xfId="27347"/>
    <cellStyle name="Total 4 3 3_Table 2A-1_EFT (Annual)" xfId="9183"/>
    <cellStyle name="Total 4 3 4" xfId="2053"/>
    <cellStyle name="Total 4 3 4 2" xfId="5614"/>
    <cellStyle name="Total 4 3 4 2 2" xfId="13829"/>
    <cellStyle name="Total 4 3 4 2 2 2" xfId="25817"/>
    <cellStyle name="Total 4 3 4 2 2 2 2" xfId="47003"/>
    <cellStyle name="Total 4 3 4 2 2 3" xfId="36399"/>
    <cellStyle name="Total 4 3 4 2 3" xfId="20704"/>
    <cellStyle name="Total 4 3 4 2 3 2" xfId="41891"/>
    <cellStyle name="Total 4 3 4 2 4" xfId="31271"/>
    <cellStyle name="Total 4 3 4 2_Table 2A-1_EFT (Annual)" xfId="9186"/>
    <cellStyle name="Total 4 3 4 3" xfId="11173"/>
    <cellStyle name="Total 4 3 4 3 2" xfId="23271"/>
    <cellStyle name="Total 4 3 4 3 2 2" xfId="44457"/>
    <cellStyle name="Total 4 3 4 3 3" xfId="33853"/>
    <cellStyle name="Total 4 3 4 4" xfId="18158"/>
    <cellStyle name="Total 4 3 4 4 2" xfId="39345"/>
    <cellStyle name="Total 4 3 4 5" xfId="28528"/>
    <cellStyle name="Total 4 3 4_Table 2A-1_EFT (Annual)" xfId="9185"/>
    <cellStyle name="Total 4 3 5" xfId="3896"/>
    <cellStyle name="Total 4 3 5 2" xfId="12228"/>
    <cellStyle name="Total 4 3 5 2 2" xfId="24253"/>
    <cellStyle name="Total 4 3 5 2 2 2" xfId="45439"/>
    <cellStyle name="Total 4 3 5 2 3" xfId="34835"/>
    <cellStyle name="Total 4 3 5 3" xfId="19140"/>
    <cellStyle name="Total 4 3 5 3 2" xfId="40327"/>
    <cellStyle name="Total 4 3 5 4" xfId="29584"/>
    <cellStyle name="Total 4 3 5_Table 2A-1_EFT (Annual)" xfId="9187"/>
    <cellStyle name="Total 4 3 6" xfId="9565"/>
    <cellStyle name="Total 4 3 6 2" xfId="21707"/>
    <cellStyle name="Total 4 3 6 2 2" xfId="42893"/>
    <cellStyle name="Total 4 3 6 3" xfId="32289"/>
    <cellStyle name="Total 4 3 7" xfId="16594"/>
    <cellStyle name="Total 4 3 7 2" xfId="37781"/>
    <cellStyle name="Total 4 3 8" xfId="26841"/>
    <cellStyle name="Total 4 3_Table 2A-1_EFT (Annual)" xfId="3592"/>
    <cellStyle name="Total 4 4" xfId="1148"/>
    <cellStyle name="Total 4 4 2" xfId="2418"/>
    <cellStyle name="Total 4 4 2 2" xfId="5979"/>
    <cellStyle name="Total 4 4 2 2 2" xfId="14173"/>
    <cellStyle name="Total 4 4 2 2 2 2" xfId="26145"/>
    <cellStyle name="Total 4 4 2 2 2 2 2" xfId="47331"/>
    <cellStyle name="Total 4 4 2 2 2 3" xfId="36727"/>
    <cellStyle name="Total 4 4 2 2 3" xfId="21032"/>
    <cellStyle name="Total 4 4 2 2 3 2" xfId="42219"/>
    <cellStyle name="Total 4 4 2 2 4" xfId="31635"/>
    <cellStyle name="Total 4 4 2 2_Table 2A-1_EFT (Annual)" xfId="9190"/>
    <cellStyle name="Total 4 4 2 3" xfId="11515"/>
    <cellStyle name="Total 4 4 2 3 2" xfId="23599"/>
    <cellStyle name="Total 4 4 2 3 2 2" xfId="44785"/>
    <cellStyle name="Total 4 4 2 3 3" xfId="34181"/>
    <cellStyle name="Total 4 4 2 4" xfId="18486"/>
    <cellStyle name="Total 4 4 2 4 2" xfId="39673"/>
    <cellStyle name="Total 4 4 2 5" xfId="28892"/>
    <cellStyle name="Total 4 4 2_Table 2A-1_EFT (Annual)" xfId="9189"/>
    <cellStyle name="Total 4 4 3" xfId="4709"/>
    <cellStyle name="Total 4 4 3 2" xfId="12969"/>
    <cellStyle name="Total 4 4 3 2 2" xfId="24975"/>
    <cellStyle name="Total 4 4 3 2 2 2" xfId="46161"/>
    <cellStyle name="Total 4 4 3 2 3" xfId="35557"/>
    <cellStyle name="Total 4 4 3 3" xfId="19862"/>
    <cellStyle name="Total 4 4 3 3 2" xfId="41049"/>
    <cellStyle name="Total 4 4 3 4" xfId="30366"/>
    <cellStyle name="Total 4 4 3_Table 2A-1_EFT (Annual)" xfId="9191"/>
    <cellStyle name="Total 4 4 4" xfId="10313"/>
    <cellStyle name="Total 4 4 4 2" xfId="22429"/>
    <cellStyle name="Total 4 4 4 2 2" xfId="43615"/>
    <cellStyle name="Total 4 4 4 3" xfId="33011"/>
    <cellStyle name="Total 4 4 5" xfId="17316"/>
    <cellStyle name="Total 4 4 5 2" xfId="38503"/>
    <cellStyle name="Total 4 4 6" xfId="27623"/>
    <cellStyle name="Total 4 4_Table 2A-1_EFT (Annual)" xfId="9188"/>
    <cellStyle name="Total 4 5" xfId="713"/>
    <cellStyle name="Total 4 5 2" xfId="4274"/>
    <cellStyle name="Total 4 5 2 2" xfId="12558"/>
    <cellStyle name="Total 4 5 2 2 2" xfId="24576"/>
    <cellStyle name="Total 4 5 2 2 2 2" xfId="45762"/>
    <cellStyle name="Total 4 5 2 2 3" xfId="35158"/>
    <cellStyle name="Total 4 5 2 3" xfId="19463"/>
    <cellStyle name="Total 4 5 2 3 2" xfId="40650"/>
    <cellStyle name="Total 4 5 2 4" xfId="29931"/>
    <cellStyle name="Total 4 5 2_Table 2A-1_EFT (Annual)" xfId="9193"/>
    <cellStyle name="Total 4 5 3" xfId="9905"/>
    <cellStyle name="Total 4 5 3 2" xfId="22030"/>
    <cellStyle name="Total 4 5 3 2 2" xfId="43216"/>
    <cellStyle name="Total 4 5 3 3" xfId="32612"/>
    <cellStyle name="Total 4 5 4" xfId="16917"/>
    <cellStyle name="Total 4 5 4 2" xfId="38104"/>
    <cellStyle name="Total 4 5 5" xfId="27188"/>
    <cellStyle name="Total 4 5_Table 2A-1_EFT (Annual)" xfId="9192"/>
    <cellStyle name="Total 4 6" xfId="1876"/>
    <cellStyle name="Total 4 6 2" xfId="5437"/>
    <cellStyle name="Total 4 6 2 2" xfId="13652"/>
    <cellStyle name="Total 4 6 2 2 2" xfId="25640"/>
    <cellStyle name="Total 4 6 2 2 2 2" xfId="46826"/>
    <cellStyle name="Total 4 6 2 2 3" xfId="36222"/>
    <cellStyle name="Total 4 6 2 3" xfId="20527"/>
    <cellStyle name="Total 4 6 2 3 2" xfId="41714"/>
    <cellStyle name="Total 4 6 2 4" xfId="31094"/>
    <cellStyle name="Total 4 6 2_Table 2A-1_EFT (Annual)" xfId="9195"/>
    <cellStyle name="Total 4 6 3" xfId="10996"/>
    <cellStyle name="Total 4 6 3 2" xfId="23094"/>
    <cellStyle name="Total 4 6 3 2 2" xfId="44280"/>
    <cellStyle name="Total 4 6 3 3" xfId="33676"/>
    <cellStyle name="Total 4 6 4" xfId="17981"/>
    <cellStyle name="Total 4 6 4 2" xfId="39168"/>
    <cellStyle name="Total 4 6 5" xfId="28351"/>
    <cellStyle name="Total 4 6_Table 2A-1_EFT (Annual)" xfId="9194"/>
    <cellStyle name="Total 4 7" xfId="3683"/>
    <cellStyle name="Total 4 7 2" xfId="12056"/>
    <cellStyle name="Total 4 7 2 2" xfId="24087"/>
    <cellStyle name="Total 4 7 2 2 2" xfId="45273"/>
    <cellStyle name="Total 4 7 2 3" xfId="34669"/>
    <cellStyle name="Total 4 7 3" xfId="18974"/>
    <cellStyle name="Total 4 7 3 2" xfId="40161"/>
    <cellStyle name="Total 4 7 4" xfId="29393"/>
    <cellStyle name="Total 4 7_Table 2A-1_EFT (Annual)" xfId="9196"/>
    <cellStyle name="Total 4 8" xfId="9373"/>
    <cellStyle name="Total 4 8 2" xfId="21541"/>
    <cellStyle name="Total 4 8 2 2" xfId="42727"/>
    <cellStyle name="Total 4 8 3" xfId="32123"/>
    <cellStyle name="Total 4 9" xfId="16428"/>
    <cellStyle name="Total 4 9 2" xfId="37615"/>
    <cellStyle name="Total 4_Table 2A-1_EFT (Annual)" xfId="3590"/>
    <cellStyle name="Total 5" xfId="83"/>
    <cellStyle name="Total 5 10" xfId="21523"/>
    <cellStyle name="Total 5 10 2" xfId="42710"/>
    <cellStyle name="Total 5 11" xfId="26639"/>
    <cellStyle name="Total 5 2" xfId="482"/>
    <cellStyle name="Total 5 2 2" xfId="1459"/>
    <cellStyle name="Total 5 2 2 2" xfId="2729"/>
    <cellStyle name="Total 5 2 2 2 2" xfId="6290"/>
    <cellStyle name="Total 5 2 2 2 2 2" xfId="14484"/>
    <cellStyle name="Total 5 2 2 2 2 2 2" xfId="26456"/>
    <cellStyle name="Total 5 2 2 2 2 2 2 2" xfId="47642"/>
    <cellStyle name="Total 5 2 2 2 2 2 3" xfId="37038"/>
    <cellStyle name="Total 5 2 2 2 2 3" xfId="21343"/>
    <cellStyle name="Total 5 2 2 2 2 3 2" xfId="42530"/>
    <cellStyle name="Total 5 2 2 2 2 4" xfId="31946"/>
    <cellStyle name="Total 5 2 2 2 2_Table 2A-1_EFT (Annual)" xfId="9199"/>
    <cellStyle name="Total 5 2 2 2 3" xfId="11826"/>
    <cellStyle name="Total 5 2 2 2 3 2" xfId="23910"/>
    <cellStyle name="Total 5 2 2 2 3 2 2" xfId="45096"/>
    <cellStyle name="Total 5 2 2 2 3 3" xfId="34492"/>
    <cellStyle name="Total 5 2 2 2 4" xfId="18797"/>
    <cellStyle name="Total 5 2 2 2 4 2" xfId="39984"/>
    <cellStyle name="Total 5 2 2 2 5" xfId="29203"/>
    <cellStyle name="Total 5 2 2 2_Table 2A-1_EFT (Annual)" xfId="9198"/>
    <cellStyle name="Total 5 2 2 3" xfId="5020"/>
    <cellStyle name="Total 5 2 2 3 2" xfId="13280"/>
    <cellStyle name="Total 5 2 2 3 2 2" xfId="25286"/>
    <cellStyle name="Total 5 2 2 3 2 2 2" xfId="46472"/>
    <cellStyle name="Total 5 2 2 3 2 3" xfId="35868"/>
    <cellStyle name="Total 5 2 2 3 3" xfId="20173"/>
    <cellStyle name="Total 5 2 2 3 3 2" xfId="41360"/>
    <cellStyle name="Total 5 2 2 3 4" xfId="30677"/>
    <cellStyle name="Total 5 2 2 3_Table 2A-1_EFT (Annual)" xfId="9200"/>
    <cellStyle name="Total 5 2 2 4" xfId="10624"/>
    <cellStyle name="Total 5 2 2 4 2" xfId="22740"/>
    <cellStyle name="Total 5 2 2 4 2 2" xfId="43926"/>
    <cellStyle name="Total 5 2 2 4 3" xfId="33322"/>
    <cellStyle name="Total 5 2 2 5" xfId="17627"/>
    <cellStyle name="Total 5 2 2 5 2" xfId="38814"/>
    <cellStyle name="Total 5 2 2 6" xfId="27934"/>
    <cellStyle name="Total 5 2 2_Table 2A-1_EFT (Annual)" xfId="9197"/>
    <cellStyle name="Total 5 2 3" xfId="1002"/>
    <cellStyle name="Total 5 2 3 2" xfId="4563"/>
    <cellStyle name="Total 5 2 3 2 2" xfId="12823"/>
    <cellStyle name="Total 5 2 3 2 2 2" xfId="24829"/>
    <cellStyle name="Total 5 2 3 2 2 2 2" xfId="46015"/>
    <cellStyle name="Total 5 2 3 2 2 3" xfId="35411"/>
    <cellStyle name="Total 5 2 3 2 3" xfId="19716"/>
    <cellStyle name="Total 5 2 3 2 3 2" xfId="40903"/>
    <cellStyle name="Total 5 2 3 2 4" xfId="30220"/>
    <cellStyle name="Total 5 2 3 2_Table 2A-1_EFT (Annual)" xfId="9202"/>
    <cellStyle name="Total 5 2 3 3" xfId="10167"/>
    <cellStyle name="Total 5 2 3 3 2" xfId="22283"/>
    <cellStyle name="Total 5 2 3 3 2 2" xfId="43469"/>
    <cellStyle name="Total 5 2 3 3 3" xfId="32865"/>
    <cellStyle name="Total 5 2 3 4" xfId="17170"/>
    <cellStyle name="Total 5 2 3 4 2" xfId="38357"/>
    <cellStyle name="Total 5 2 3 5" xfId="27477"/>
    <cellStyle name="Total 5 2 3_Table 2A-1_EFT (Annual)" xfId="9201"/>
    <cellStyle name="Total 5 2 4" xfId="2198"/>
    <cellStyle name="Total 5 2 4 2" xfId="5759"/>
    <cellStyle name="Total 5 2 4 2 2" xfId="13974"/>
    <cellStyle name="Total 5 2 4 2 2 2" xfId="25962"/>
    <cellStyle name="Total 5 2 4 2 2 2 2" xfId="47148"/>
    <cellStyle name="Total 5 2 4 2 2 3" xfId="36544"/>
    <cellStyle name="Total 5 2 4 2 3" xfId="20849"/>
    <cellStyle name="Total 5 2 4 2 3 2" xfId="42036"/>
    <cellStyle name="Total 5 2 4 2 4" xfId="31416"/>
    <cellStyle name="Total 5 2 4 2_Table 2A-1_EFT (Annual)" xfId="9204"/>
    <cellStyle name="Total 5 2 4 3" xfId="11318"/>
    <cellStyle name="Total 5 2 4 3 2" xfId="23416"/>
    <cellStyle name="Total 5 2 4 3 2 2" xfId="44602"/>
    <cellStyle name="Total 5 2 4 3 3" xfId="33998"/>
    <cellStyle name="Total 5 2 4 4" xfId="18303"/>
    <cellStyle name="Total 5 2 4 4 2" xfId="39490"/>
    <cellStyle name="Total 5 2 4 5" xfId="28673"/>
    <cellStyle name="Total 5 2 4_Table 2A-1_EFT (Annual)" xfId="9203"/>
    <cellStyle name="Total 5 2 5" xfId="4052"/>
    <cellStyle name="Total 5 2 5 2" xfId="12376"/>
    <cellStyle name="Total 5 2 5 2 2" xfId="24398"/>
    <cellStyle name="Total 5 2 5 2 2 2" xfId="45584"/>
    <cellStyle name="Total 5 2 5 2 3" xfId="34980"/>
    <cellStyle name="Total 5 2 5 3" xfId="19285"/>
    <cellStyle name="Total 5 2 5 3 2" xfId="40472"/>
    <cellStyle name="Total 5 2 5 4" xfId="29740"/>
    <cellStyle name="Total 5 2 5_Table 2A-1_EFT (Annual)" xfId="9205"/>
    <cellStyle name="Total 5 2 6" xfId="9715"/>
    <cellStyle name="Total 5 2 6 2" xfId="21852"/>
    <cellStyle name="Total 5 2 6 2 2" xfId="43038"/>
    <cellStyle name="Total 5 2 6 3" xfId="32434"/>
    <cellStyle name="Total 5 2 7" xfId="16739"/>
    <cellStyle name="Total 5 2 7 2" xfId="37926"/>
    <cellStyle name="Total 5 2 8" xfId="26997"/>
    <cellStyle name="Total 5 2_Table 2A-1_EFT (Annual)" xfId="3594"/>
    <cellStyle name="Total 5 3" xfId="315"/>
    <cellStyle name="Total 5 3 2" xfId="1303"/>
    <cellStyle name="Total 5 3 2 2" xfId="2573"/>
    <cellStyle name="Total 5 3 2 2 2" xfId="6134"/>
    <cellStyle name="Total 5 3 2 2 2 2" xfId="14328"/>
    <cellStyle name="Total 5 3 2 2 2 2 2" xfId="26300"/>
    <cellStyle name="Total 5 3 2 2 2 2 2 2" xfId="47486"/>
    <cellStyle name="Total 5 3 2 2 2 2 3" xfId="36882"/>
    <cellStyle name="Total 5 3 2 2 2 3" xfId="21187"/>
    <cellStyle name="Total 5 3 2 2 2 3 2" xfId="42374"/>
    <cellStyle name="Total 5 3 2 2 2 4" xfId="31790"/>
    <cellStyle name="Total 5 3 2 2 2_Table 2A-1_EFT (Annual)" xfId="9208"/>
    <cellStyle name="Total 5 3 2 2 3" xfId="11670"/>
    <cellStyle name="Total 5 3 2 2 3 2" xfId="23754"/>
    <cellStyle name="Total 5 3 2 2 3 2 2" xfId="44940"/>
    <cellStyle name="Total 5 3 2 2 3 3" xfId="34336"/>
    <cellStyle name="Total 5 3 2 2 4" xfId="18641"/>
    <cellStyle name="Total 5 3 2 2 4 2" xfId="39828"/>
    <cellStyle name="Total 5 3 2 2 5" xfId="29047"/>
    <cellStyle name="Total 5 3 2 2_Table 2A-1_EFT (Annual)" xfId="9207"/>
    <cellStyle name="Total 5 3 2 3" xfId="4864"/>
    <cellStyle name="Total 5 3 2 3 2" xfId="13124"/>
    <cellStyle name="Total 5 3 2 3 2 2" xfId="25130"/>
    <cellStyle name="Total 5 3 2 3 2 2 2" xfId="46316"/>
    <cellStyle name="Total 5 3 2 3 2 3" xfId="35712"/>
    <cellStyle name="Total 5 3 2 3 3" xfId="20017"/>
    <cellStyle name="Total 5 3 2 3 3 2" xfId="41204"/>
    <cellStyle name="Total 5 3 2 3 4" xfId="30521"/>
    <cellStyle name="Total 5 3 2 3_Table 2A-1_EFT (Annual)" xfId="9209"/>
    <cellStyle name="Total 5 3 2 4" xfId="10468"/>
    <cellStyle name="Total 5 3 2 4 2" xfId="22584"/>
    <cellStyle name="Total 5 3 2 4 2 2" xfId="43770"/>
    <cellStyle name="Total 5 3 2 4 3" xfId="33166"/>
    <cellStyle name="Total 5 3 2 5" xfId="17471"/>
    <cellStyle name="Total 5 3 2 5 2" xfId="38658"/>
    <cellStyle name="Total 5 3 2 6" xfId="27778"/>
    <cellStyle name="Total 5 3 2_Table 2A-1_EFT (Annual)" xfId="9206"/>
    <cellStyle name="Total 5 3 3" xfId="865"/>
    <cellStyle name="Total 5 3 3 2" xfId="4426"/>
    <cellStyle name="Total 5 3 3 2 2" xfId="12691"/>
    <cellStyle name="Total 5 3 3 2 2 2" xfId="24703"/>
    <cellStyle name="Total 5 3 3 2 2 2 2" xfId="45889"/>
    <cellStyle name="Total 5 3 3 2 2 3" xfId="35285"/>
    <cellStyle name="Total 5 3 3 2 3" xfId="19590"/>
    <cellStyle name="Total 5 3 3 2 3 2" xfId="40777"/>
    <cellStyle name="Total 5 3 3 2 4" xfId="30083"/>
    <cellStyle name="Total 5 3 3 2_Table 2A-1_EFT (Annual)" xfId="9211"/>
    <cellStyle name="Total 5 3 3 3" xfId="10038"/>
    <cellStyle name="Total 5 3 3 3 2" xfId="22157"/>
    <cellStyle name="Total 5 3 3 3 2 2" xfId="43343"/>
    <cellStyle name="Total 5 3 3 3 3" xfId="32739"/>
    <cellStyle name="Total 5 3 3 4" xfId="17044"/>
    <cellStyle name="Total 5 3 3 4 2" xfId="38231"/>
    <cellStyle name="Total 5 3 3 5" xfId="27340"/>
    <cellStyle name="Total 5 3 3_Table 2A-1_EFT (Annual)" xfId="9210"/>
    <cellStyle name="Total 5 3 4" xfId="2042"/>
    <cellStyle name="Total 5 3 4 2" xfId="5603"/>
    <cellStyle name="Total 5 3 4 2 2" xfId="13818"/>
    <cellStyle name="Total 5 3 4 2 2 2" xfId="25806"/>
    <cellStyle name="Total 5 3 4 2 2 2 2" xfId="46992"/>
    <cellStyle name="Total 5 3 4 2 2 3" xfId="36388"/>
    <cellStyle name="Total 5 3 4 2 3" xfId="20693"/>
    <cellStyle name="Total 5 3 4 2 3 2" xfId="41880"/>
    <cellStyle name="Total 5 3 4 2 4" xfId="31260"/>
    <cellStyle name="Total 5 3 4 2_Table 2A-1_EFT (Annual)" xfId="9213"/>
    <cellStyle name="Total 5 3 4 3" xfId="11162"/>
    <cellStyle name="Total 5 3 4 3 2" xfId="23260"/>
    <cellStyle name="Total 5 3 4 3 2 2" xfId="44446"/>
    <cellStyle name="Total 5 3 4 3 3" xfId="33842"/>
    <cellStyle name="Total 5 3 4 4" xfId="18147"/>
    <cellStyle name="Total 5 3 4 4 2" xfId="39334"/>
    <cellStyle name="Total 5 3 4 5" xfId="28517"/>
    <cellStyle name="Total 5 3 4_Table 2A-1_EFT (Annual)" xfId="9212"/>
    <cellStyle name="Total 5 3 5" xfId="3885"/>
    <cellStyle name="Total 5 3 5 2" xfId="12217"/>
    <cellStyle name="Total 5 3 5 2 2" xfId="24242"/>
    <cellStyle name="Total 5 3 5 2 2 2" xfId="45428"/>
    <cellStyle name="Total 5 3 5 2 3" xfId="34824"/>
    <cellStyle name="Total 5 3 5 3" xfId="19129"/>
    <cellStyle name="Total 5 3 5 3 2" xfId="40316"/>
    <cellStyle name="Total 5 3 5 4" xfId="29573"/>
    <cellStyle name="Total 5 3 5_Table 2A-1_EFT (Annual)" xfId="9214"/>
    <cellStyle name="Total 5 3 6" xfId="9554"/>
    <cellStyle name="Total 5 3 6 2" xfId="21696"/>
    <cellStyle name="Total 5 3 6 2 2" xfId="42882"/>
    <cellStyle name="Total 5 3 6 3" xfId="32278"/>
    <cellStyle name="Total 5 3 7" xfId="16583"/>
    <cellStyle name="Total 5 3 7 2" xfId="37770"/>
    <cellStyle name="Total 5 3 8" xfId="26830"/>
    <cellStyle name="Total 5 3_Table 2A-1_EFT (Annual)" xfId="3595"/>
    <cellStyle name="Total 5 4" xfId="1137"/>
    <cellStyle name="Total 5 4 2" xfId="2407"/>
    <cellStyle name="Total 5 4 2 2" xfId="5968"/>
    <cellStyle name="Total 5 4 2 2 2" xfId="14162"/>
    <cellStyle name="Total 5 4 2 2 2 2" xfId="26134"/>
    <cellStyle name="Total 5 4 2 2 2 2 2" xfId="47320"/>
    <cellStyle name="Total 5 4 2 2 2 3" xfId="36716"/>
    <cellStyle name="Total 5 4 2 2 3" xfId="21021"/>
    <cellStyle name="Total 5 4 2 2 3 2" xfId="42208"/>
    <cellStyle name="Total 5 4 2 2 4" xfId="31624"/>
    <cellStyle name="Total 5 4 2 2_Table 2A-1_EFT (Annual)" xfId="9217"/>
    <cellStyle name="Total 5 4 2 3" xfId="11504"/>
    <cellStyle name="Total 5 4 2 3 2" xfId="23588"/>
    <cellStyle name="Total 5 4 2 3 2 2" xfId="44774"/>
    <cellStyle name="Total 5 4 2 3 3" xfId="34170"/>
    <cellStyle name="Total 5 4 2 4" xfId="18475"/>
    <cellStyle name="Total 5 4 2 4 2" xfId="39662"/>
    <cellStyle name="Total 5 4 2 5" xfId="28881"/>
    <cellStyle name="Total 5 4 2_Table 2A-1_EFT (Annual)" xfId="9216"/>
    <cellStyle name="Total 5 4 3" xfId="4698"/>
    <cellStyle name="Total 5 4 3 2" xfId="12958"/>
    <cellStyle name="Total 5 4 3 2 2" xfId="24964"/>
    <cellStyle name="Total 5 4 3 2 2 2" xfId="46150"/>
    <cellStyle name="Total 5 4 3 2 3" xfId="35546"/>
    <cellStyle name="Total 5 4 3 3" xfId="19851"/>
    <cellStyle name="Total 5 4 3 3 2" xfId="41038"/>
    <cellStyle name="Total 5 4 3 4" xfId="30355"/>
    <cellStyle name="Total 5 4 3_Table 2A-1_EFT (Annual)" xfId="9218"/>
    <cellStyle name="Total 5 4 4" xfId="10302"/>
    <cellStyle name="Total 5 4 4 2" xfId="22418"/>
    <cellStyle name="Total 5 4 4 2 2" xfId="43604"/>
    <cellStyle name="Total 5 4 4 3" xfId="33000"/>
    <cellStyle name="Total 5 4 5" xfId="17305"/>
    <cellStyle name="Total 5 4 5 2" xfId="38492"/>
    <cellStyle name="Total 5 4 6" xfId="27612"/>
    <cellStyle name="Total 5 4_Table 2A-1_EFT (Annual)" xfId="9215"/>
    <cellStyle name="Total 5 5" xfId="706"/>
    <cellStyle name="Total 5 5 2" xfId="4267"/>
    <cellStyle name="Total 5 5 2 2" xfId="12551"/>
    <cellStyle name="Total 5 5 2 2 2" xfId="24569"/>
    <cellStyle name="Total 5 5 2 2 2 2" xfId="45755"/>
    <cellStyle name="Total 5 5 2 2 3" xfId="35151"/>
    <cellStyle name="Total 5 5 2 3" xfId="19456"/>
    <cellStyle name="Total 5 5 2 3 2" xfId="40643"/>
    <cellStyle name="Total 5 5 2 4" xfId="29924"/>
    <cellStyle name="Total 5 5 2_Table 2A-1_EFT (Annual)" xfId="9220"/>
    <cellStyle name="Total 5 5 3" xfId="9898"/>
    <cellStyle name="Total 5 5 3 2" xfId="22023"/>
    <cellStyle name="Total 5 5 3 2 2" xfId="43209"/>
    <cellStyle name="Total 5 5 3 3" xfId="32605"/>
    <cellStyle name="Total 5 5 4" xfId="16910"/>
    <cellStyle name="Total 5 5 4 2" xfId="38097"/>
    <cellStyle name="Total 5 5 5" xfId="27181"/>
    <cellStyle name="Total 5 5_Table 2A-1_EFT (Annual)" xfId="9219"/>
    <cellStyle name="Total 5 6" xfId="1904"/>
    <cellStyle name="Total 5 6 2" xfId="5465"/>
    <cellStyle name="Total 5 6 2 2" xfId="13680"/>
    <cellStyle name="Total 5 6 2 2 2" xfId="25668"/>
    <cellStyle name="Total 5 6 2 2 2 2" xfId="46854"/>
    <cellStyle name="Total 5 6 2 2 3" xfId="36250"/>
    <cellStyle name="Total 5 6 2 3" xfId="20555"/>
    <cellStyle name="Total 5 6 2 3 2" xfId="41742"/>
    <cellStyle name="Total 5 6 2 4" xfId="31122"/>
    <cellStyle name="Total 5 6 2_Table 2A-1_EFT (Annual)" xfId="9222"/>
    <cellStyle name="Total 5 6 3" xfId="11024"/>
    <cellStyle name="Total 5 6 3 2" xfId="23122"/>
    <cellStyle name="Total 5 6 3 2 2" xfId="44308"/>
    <cellStyle name="Total 5 6 3 3" xfId="33704"/>
    <cellStyle name="Total 5 6 4" xfId="18009"/>
    <cellStyle name="Total 5 6 4 2" xfId="39196"/>
    <cellStyle name="Total 5 6 5" xfId="28379"/>
    <cellStyle name="Total 5 6_Table 2A-1_EFT (Annual)" xfId="9221"/>
    <cellStyle name="Total 5 7" xfId="3672"/>
    <cellStyle name="Total 5 7 2" xfId="12045"/>
    <cellStyle name="Total 5 7 2 2" xfId="24076"/>
    <cellStyle name="Total 5 7 2 2 2" xfId="45262"/>
    <cellStyle name="Total 5 7 2 3" xfId="34658"/>
    <cellStyle name="Total 5 7 3" xfId="18963"/>
    <cellStyle name="Total 5 7 3 2" xfId="40150"/>
    <cellStyle name="Total 5 7 4" xfId="29382"/>
    <cellStyle name="Total 5 7_Table 2A-1_EFT (Annual)" xfId="9223"/>
    <cellStyle name="Total 5 8" xfId="9362"/>
    <cellStyle name="Total 5 8 2" xfId="21530"/>
    <cellStyle name="Total 5 8 2 2" xfId="42716"/>
    <cellStyle name="Total 5 8 3" xfId="32112"/>
    <cellStyle name="Total 5 9" xfId="16417"/>
    <cellStyle name="Total 5 9 2" xfId="37604"/>
    <cellStyle name="Total 5_Table 2A-1_EFT (Annual)" xfId="3593"/>
    <cellStyle name="Total 6" xfId="96"/>
    <cellStyle name="Total 6 10" xfId="26652"/>
    <cellStyle name="Total 6 2" xfId="495"/>
    <cellStyle name="Total 6 2 2" xfId="1472"/>
    <cellStyle name="Total 6 2 2 2" xfId="2742"/>
    <cellStyle name="Total 6 2 2 2 2" xfId="6303"/>
    <cellStyle name="Total 6 2 2 2 2 2" xfId="14497"/>
    <cellStyle name="Total 6 2 2 2 2 2 2" xfId="26469"/>
    <cellStyle name="Total 6 2 2 2 2 2 2 2" xfId="47655"/>
    <cellStyle name="Total 6 2 2 2 2 2 3" xfId="37051"/>
    <cellStyle name="Total 6 2 2 2 2 3" xfId="21356"/>
    <cellStyle name="Total 6 2 2 2 2 3 2" xfId="42543"/>
    <cellStyle name="Total 6 2 2 2 2 4" xfId="31959"/>
    <cellStyle name="Total 6 2 2 2 2_Table 2A-1_EFT (Annual)" xfId="9226"/>
    <cellStyle name="Total 6 2 2 2 3" xfId="11839"/>
    <cellStyle name="Total 6 2 2 2 3 2" xfId="23923"/>
    <cellStyle name="Total 6 2 2 2 3 2 2" xfId="45109"/>
    <cellStyle name="Total 6 2 2 2 3 3" xfId="34505"/>
    <cellStyle name="Total 6 2 2 2 4" xfId="18810"/>
    <cellStyle name="Total 6 2 2 2 4 2" xfId="39997"/>
    <cellStyle name="Total 6 2 2 2 5" xfId="29216"/>
    <cellStyle name="Total 6 2 2 2_Table 2A-1_EFT (Annual)" xfId="9225"/>
    <cellStyle name="Total 6 2 2 3" xfId="5033"/>
    <cellStyle name="Total 6 2 2 3 2" xfId="13293"/>
    <cellStyle name="Total 6 2 2 3 2 2" xfId="25299"/>
    <cellStyle name="Total 6 2 2 3 2 2 2" xfId="46485"/>
    <cellStyle name="Total 6 2 2 3 2 3" xfId="35881"/>
    <cellStyle name="Total 6 2 2 3 3" xfId="20186"/>
    <cellStyle name="Total 6 2 2 3 3 2" xfId="41373"/>
    <cellStyle name="Total 6 2 2 3 4" xfId="30690"/>
    <cellStyle name="Total 6 2 2 3_Table 2A-1_EFT (Annual)" xfId="9227"/>
    <cellStyle name="Total 6 2 2 4" xfId="10637"/>
    <cellStyle name="Total 6 2 2 4 2" xfId="22753"/>
    <cellStyle name="Total 6 2 2 4 2 2" xfId="43939"/>
    <cellStyle name="Total 6 2 2 4 3" xfId="33335"/>
    <cellStyle name="Total 6 2 2 5" xfId="17640"/>
    <cellStyle name="Total 6 2 2 5 2" xfId="38827"/>
    <cellStyle name="Total 6 2 2 6" xfId="27947"/>
    <cellStyle name="Total 6 2 2_Table 2A-1_EFT (Annual)" xfId="9224"/>
    <cellStyle name="Total 6 2 3" xfId="1011"/>
    <cellStyle name="Total 6 2 3 2" xfId="4572"/>
    <cellStyle name="Total 6 2 3 2 2" xfId="12832"/>
    <cellStyle name="Total 6 2 3 2 2 2" xfId="24838"/>
    <cellStyle name="Total 6 2 3 2 2 2 2" xfId="46024"/>
    <cellStyle name="Total 6 2 3 2 2 3" xfId="35420"/>
    <cellStyle name="Total 6 2 3 2 3" xfId="19725"/>
    <cellStyle name="Total 6 2 3 2 3 2" xfId="40912"/>
    <cellStyle name="Total 6 2 3 2 4" xfId="30229"/>
    <cellStyle name="Total 6 2 3 2_Table 2A-1_EFT (Annual)" xfId="9229"/>
    <cellStyle name="Total 6 2 3 3" xfId="10176"/>
    <cellStyle name="Total 6 2 3 3 2" xfId="22292"/>
    <cellStyle name="Total 6 2 3 3 2 2" xfId="43478"/>
    <cellStyle name="Total 6 2 3 3 3" xfId="32874"/>
    <cellStyle name="Total 6 2 3 4" xfId="17179"/>
    <cellStyle name="Total 6 2 3 4 2" xfId="38366"/>
    <cellStyle name="Total 6 2 3 5" xfId="27486"/>
    <cellStyle name="Total 6 2 3_Table 2A-1_EFT (Annual)" xfId="9228"/>
    <cellStyle name="Total 6 2 4" xfId="2211"/>
    <cellStyle name="Total 6 2 4 2" xfId="5772"/>
    <cellStyle name="Total 6 2 4 2 2" xfId="13987"/>
    <cellStyle name="Total 6 2 4 2 2 2" xfId="25975"/>
    <cellStyle name="Total 6 2 4 2 2 2 2" xfId="47161"/>
    <cellStyle name="Total 6 2 4 2 2 3" xfId="36557"/>
    <cellStyle name="Total 6 2 4 2 3" xfId="20862"/>
    <cellStyle name="Total 6 2 4 2 3 2" xfId="42049"/>
    <cellStyle name="Total 6 2 4 2 4" xfId="31429"/>
    <cellStyle name="Total 6 2 4 2_Table 2A-1_EFT (Annual)" xfId="9231"/>
    <cellStyle name="Total 6 2 4 3" xfId="11331"/>
    <cellStyle name="Total 6 2 4 3 2" xfId="23429"/>
    <cellStyle name="Total 6 2 4 3 2 2" xfId="44615"/>
    <cellStyle name="Total 6 2 4 3 3" xfId="34011"/>
    <cellStyle name="Total 6 2 4 4" xfId="18316"/>
    <cellStyle name="Total 6 2 4 4 2" xfId="39503"/>
    <cellStyle name="Total 6 2 4 5" xfId="28686"/>
    <cellStyle name="Total 6 2 4_Table 2A-1_EFT (Annual)" xfId="9230"/>
    <cellStyle name="Total 6 2 5" xfId="4065"/>
    <cellStyle name="Total 6 2 5 2" xfId="12389"/>
    <cellStyle name="Total 6 2 5 2 2" xfId="24411"/>
    <cellStyle name="Total 6 2 5 2 2 2" xfId="45597"/>
    <cellStyle name="Total 6 2 5 2 3" xfId="34993"/>
    <cellStyle name="Total 6 2 5 3" xfId="19298"/>
    <cellStyle name="Total 6 2 5 3 2" xfId="40485"/>
    <cellStyle name="Total 6 2 5 4" xfId="29753"/>
    <cellStyle name="Total 6 2 5_Table 2A-1_EFT (Annual)" xfId="9232"/>
    <cellStyle name="Total 6 2 6" xfId="9728"/>
    <cellStyle name="Total 6 2 6 2" xfId="21865"/>
    <cellStyle name="Total 6 2 6 2 2" xfId="43051"/>
    <cellStyle name="Total 6 2 6 3" xfId="32447"/>
    <cellStyle name="Total 6 2 7" xfId="16752"/>
    <cellStyle name="Total 6 2 7 2" xfId="37939"/>
    <cellStyle name="Total 6 2 8" xfId="27010"/>
    <cellStyle name="Total 6 2_Table 2A-1_EFT (Annual)" xfId="3597"/>
    <cellStyle name="Total 6 3" xfId="328"/>
    <cellStyle name="Total 6 3 2" xfId="1316"/>
    <cellStyle name="Total 6 3 2 2" xfId="2586"/>
    <cellStyle name="Total 6 3 2 2 2" xfId="6147"/>
    <cellStyle name="Total 6 3 2 2 2 2" xfId="14341"/>
    <cellStyle name="Total 6 3 2 2 2 2 2" xfId="26313"/>
    <cellStyle name="Total 6 3 2 2 2 2 2 2" xfId="47499"/>
    <cellStyle name="Total 6 3 2 2 2 2 3" xfId="36895"/>
    <cellStyle name="Total 6 3 2 2 2 3" xfId="21200"/>
    <cellStyle name="Total 6 3 2 2 2 3 2" xfId="42387"/>
    <cellStyle name="Total 6 3 2 2 2 4" xfId="31803"/>
    <cellStyle name="Total 6 3 2 2 2_Table 2A-1_EFT (Annual)" xfId="9235"/>
    <cellStyle name="Total 6 3 2 2 3" xfId="11683"/>
    <cellStyle name="Total 6 3 2 2 3 2" xfId="23767"/>
    <cellStyle name="Total 6 3 2 2 3 2 2" xfId="44953"/>
    <cellStyle name="Total 6 3 2 2 3 3" xfId="34349"/>
    <cellStyle name="Total 6 3 2 2 4" xfId="18654"/>
    <cellStyle name="Total 6 3 2 2 4 2" xfId="39841"/>
    <cellStyle name="Total 6 3 2 2 5" xfId="29060"/>
    <cellStyle name="Total 6 3 2 2_Table 2A-1_EFT (Annual)" xfId="9234"/>
    <cellStyle name="Total 6 3 2 3" xfId="4877"/>
    <cellStyle name="Total 6 3 2 3 2" xfId="13137"/>
    <cellStyle name="Total 6 3 2 3 2 2" xfId="25143"/>
    <cellStyle name="Total 6 3 2 3 2 2 2" xfId="46329"/>
    <cellStyle name="Total 6 3 2 3 2 3" xfId="35725"/>
    <cellStyle name="Total 6 3 2 3 3" xfId="20030"/>
    <cellStyle name="Total 6 3 2 3 3 2" xfId="41217"/>
    <cellStyle name="Total 6 3 2 3 4" xfId="30534"/>
    <cellStyle name="Total 6 3 2 3_Table 2A-1_EFT (Annual)" xfId="9236"/>
    <cellStyle name="Total 6 3 2 4" xfId="10481"/>
    <cellStyle name="Total 6 3 2 4 2" xfId="22597"/>
    <cellStyle name="Total 6 3 2 4 2 2" xfId="43783"/>
    <cellStyle name="Total 6 3 2 4 3" xfId="33179"/>
    <cellStyle name="Total 6 3 2 5" xfId="17484"/>
    <cellStyle name="Total 6 3 2 5 2" xfId="38671"/>
    <cellStyle name="Total 6 3 2 6" xfId="27791"/>
    <cellStyle name="Total 6 3 2_Table 2A-1_EFT (Annual)" xfId="9233"/>
    <cellStyle name="Total 6 3 3" xfId="874"/>
    <cellStyle name="Total 6 3 3 2" xfId="4435"/>
    <cellStyle name="Total 6 3 3 2 2" xfId="12700"/>
    <cellStyle name="Total 6 3 3 2 2 2" xfId="24712"/>
    <cellStyle name="Total 6 3 3 2 2 2 2" xfId="45898"/>
    <cellStyle name="Total 6 3 3 2 2 3" xfId="35294"/>
    <cellStyle name="Total 6 3 3 2 3" xfId="19599"/>
    <cellStyle name="Total 6 3 3 2 3 2" xfId="40786"/>
    <cellStyle name="Total 6 3 3 2 4" xfId="30092"/>
    <cellStyle name="Total 6 3 3 2_Table 2A-1_EFT (Annual)" xfId="9238"/>
    <cellStyle name="Total 6 3 3 3" xfId="10047"/>
    <cellStyle name="Total 6 3 3 3 2" xfId="22166"/>
    <cellStyle name="Total 6 3 3 3 2 2" xfId="43352"/>
    <cellStyle name="Total 6 3 3 3 3" xfId="32748"/>
    <cellStyle name="Total 6 3 3 4" xfId="17053"/>
    <cellStyle name="Total 6 3 3 4 2" xfId="38240"/>
    <cellStyle name="Total 6 3 3 5" xfId="27349"/>
    <cellStyle name="Total 6 3 3_Table 2A-1_EFT (Annual)" xfId="9237"/>
    <cellStyle name="Total 6 3 4" xfId="2055"/>
    <cellStyle name="Total 6 3 4 2" xfId="5616"/>
    <cellStyle name="Total 6 3 4 2 2" xfId="13831"/>
    <cellStyle name="Total 6 3 4 2 2 2" xfId="25819"/>
    <cellStyle name="Total 6 3 4 2 2 2 2" xfId="47005"/>
    <cellStyle name="Total 6 3 4 2 2 3" xfId="36401"/>
    <cellStyle name="Total 6 3 4 2 3" xfId="20706"/>
    <cellStyle name="Total 6 3 4 2 3 2" xfId="41893"/>
    <cellStyle name="Total 6 3 4 2 4" xfId="31273"/>
    <cellStyle name="Total 6 3 4 2_Table 2A-1_EFT (Annual)" xfId="9240"/>
    <cellStyle name="Total 6 3 4 3" xfId="11175"/>
    <cellStyle name="Total 6 3 4 3 2" xfId="23273"/>
    <cellStyle name="Total 6 3 4 3 2 2" xfId="44459"/>
    <cellStyle name="Total 6 3 4 3 3" xfId="33855"/>
    <cellStyle name="Total 6 3 4 4" xfId="18160"/>
    <cellStyle name="Total 6 3 4 4 2" xfId="39347"/>
    <cellStyle name="Total 6 3 4 5" xfId="28530"/>
    <cellStyle name="Total 6 3 4_Table 2A-1_EFT (Annual)" xfId="9239"/>
    <cellStyle name="Total 6 3 5" xfId="3898"/>
    <cellStyle name="Total 6 3 5 2" xfId="12230"/>
    <cellStyle name="Total 6 3 5 2 2" xfId="24255"/>
    <cellStyle name="Total 6 3 5 2 2 2" xfId="45441"/>
    <cellStyle name="Total 6 3 5 2 3" xfId="34837"/>
    <cellStyle name="Total 6 3 5 3" xfId="19142"/>
    <cellStyle name="Total 6 3 5 3 2" xfId="40329"/>
    <cellStyle name="Total 6 3 5 4" xfId="29586"/>
    <cellStyle name="Total 6 3 5_Table 2A-1_EFT (Annual)" xfId="9241"/>
    <cellStyle name="Total 6 3 6" xfId="9567"/>
    <cellStyle name="Total 6 3 6 2" xfId="21709"/>
    <cellStyle name="Total 6 3 6 2 2" xfId="42895"/>
    <cellStyle name="Total 6 3 6 3" xfId="32291"/>
    <cellStyle name="Total 6 3 7" xfId="16596"/>
    <cellStyle name="Total 6 3 7 2" xfId="37783"/>
    <cellStyle name="Total 6 3 8" xfId="26843"/>
    <cellStyle name="Total 6 3_Table 2A-1_EFT (Annual)" xfId="3598"/>
    <cellStyle name="Total 6 4" xfId="1150"/>
    <cellStyle name="Total 6 4 2" xfId="2420"/>
    <cellStyle name="Total 6 4 2 2" xfId="5981"/>
    <cellStyle name="Total 6 4 2 2 2" xfId="14175"/>
    <cellStyle name="Total 6 4 2 2 2 2" xfId="26147"/>
    <cellStyle name="Total 6 4 2 2 2 2 2" xfId="47333"/>
    <cellStyle name="Total 6 4 2 2 2 3" xfId="36729"/>
    <cellStyle name="Total 6 4 2 2 3" xfId="21034"/>
    <cellStyle name="Total 6 4 2 2 3 2" xfId="42221"/>
    <cellStyle name="Total 6 4 2 2 4" xfId="31637"/>
    <cellStyle name="Total 6 4 2 2_Table 2A-1_EFT (Annual)" xfId="9244"/>
    <cellStyle name="Total 6 4 2 3" xfId="11517"/>
    <cellStyle name="Total 6 4 2 3 2" xfId="23601"/>
    <cellStyle name="Total 6 4 2 3 2 2" xfId="44787"/>
    <cellStyle name="Total 6 4 2 3 3" xfId="34183"/>
    <cellStyle name="Total 6 4 2 4" xfId="18488"/>
    <cellStyle name="Total 6 4 2 4 2" xfId="39675"/>
    <cellStyle name="Total 6 4 2 5" xfId="28894"/>
    <cellStyle name="Total 6 4 2_Table 2A-1_EFT (Annual)" xfId="9243"/>
    <cellStyle name="Total 6 4 3" xfId="4711"/>
    <cellStyle name="Total 6 4 3 2" xfId="12971"/>
    <cellStyle name="Total 6 4 3 2 2" xfId="24977"/>
    <cellStyle name="Total 6 4 3 2 2 2" xfId="46163"/>
    <cellStyle name="Total 6 4 3 2 3" xfId="35559"/>
    <cellStyle name="Total 6 4 3 3" xfId="19864"/>
    <cellStyle name="Total 6 4 3 3 2" xfId="41051"/>
    <cellStyle name="Total 6 4 3 4" xfId="30368"/>
    <cellStyle name="Total 6 4 3_Table 2A-1_EFT (Annual)" xfId="9245"/>
    <cellStyle name="Total 6 4 4" xfId="10315"/>
    <cellStyle name="Total 6 4 4 2" xfId="22431"/>
    <cellStyle name="Total 6 4 4 2 2" xfId="43617"/>
    <cellStyle name="Total 6 4 4 3" xfId="33013"/>
    <cellStyle name="Total 6 4 5" xfId="17318"/>
    <cellStyle name="Total 6 4 5 2" xfId="38505"/>
    <cellStyle name="Total 6 4 6" xfId="27625"/>
    <cellStyle name="Total 6 4_Table 2A-1_EFT (Annual)" xfId="9242"/>
    <cellStyle name="Total 6 5" xfId="715"/>
    <cellStyle name="Total 6 5 2" xfId="4276"/>
    <cellStyle name="Total 6 5 2 2" xfId="12560"/>
    <cellStyle name="Total 6 5 2 2 2" xfId="24578"/>
    <cellStyle name="Total 6 5 2 2 2 2" xfId="45764"/>
    <cellStyle name="Total 6 5 2 2 3" xfId="35160"/>
    <cellStyle name="Total 6 5 2 3" xfId="19465"/>
    <cellStyle name="Total 6 5 2 3 2" xfId="40652"/>
    <cellStyle name="Total 6 5 2 4" xfId="29933"/>
    <cellStyle name="Total 6 5 2_Table 2A-1_EFT (Annual)" xfId="9247"/>
    <cellStyle name="Total 6 5 3" xfId="9907"/>
    <cellStyle name="Total 6 5 3 2" xfId="22032"/>
    <cellStyle name="Total 6 5 3 2 2" xfId="43218"/>
    <cellStyle name="Total 6 5 3 3" xfId="32614"/>
    <cellStyle name="Total 6 5 4" xfId="16919"/>
    <cellStyle name="Total 6 5 4 2" xfId="38106"/>
    <cellStyle name="Total 6 5 5" xfId="27190"/>
    <cellStyle name="Total 6 5_Table 2A-1_EFT (Annual)" xfId="9246"/>
    <cellStyle name="Total 6 6" xfId="1808"/>
    <cellStyle name="Total 6 6 2" xfId="5369"/>
    <cellStyle name="Total 6 6 2 2" xfId="13584"/>
    <cellStyle name="Total 6 6 2 2 2" xfId="25572"/>
    <cellStyle name="Total 6 6 2 2 2 2" xfId="46758"/>
    <cellStyle name="Total 6 6 2 2 3" xfId="36154"/>
    <cellStyle name="Total 6 6 2 3" xfId="20459"/>
    <cellStyle name="Total 6 6 2 3 2" xfId="41646"/>
    <cellStyle name="Total 6 6 2 4" xfId="31026"/>
    <cellStyle name="Total 6 6 2_Table 2A-1_EFT (Annual)" xfId="9249"/>
    <cellStyle name="Total 6 6 3" xfId="10928"/>
    <cellStyle name="Total 6 6 3 2" xfId="23026"/>
    <cellStyle name="Total 6 6 3 2 2" xfId="44212"/>
    <cellStyle name="Total 6 6 3 3" xfId="33608"/>
    <cellStyle name="Total 6 6 4" xfId="17913"/>
    <cellStyle name="Total 6 6 4 2" xfId="39100"/>
    <cellStyle name="Total 6 6 5" xfId="28283"/>
    <cellStyle name="Total 6 6_Table 2A-1_EFT (Annual)" xfId="9248"/>
    <cellStyle name="Total 6 7" xfId="3685"/>
    <cellStyle name="Total 6 7 2" xfId="12058"/>
    <cellStyle name="Total 6 7 2 2" xfId="24089"/>
    <cellStyle name="Total 6 7 2 2 2" xfId="45275"/>
    <cellStyle name="Total 6 7 2 3" xfId="34671"/>
    <cellStyle name="Total 6 7 3" xfId="18976"/>
    <cellStyle name="Total 6 7 3 2" xfId="40163"/>
    <cellStyle name="Total 6 7 4" xfId="29395"/>
    <cellStyle name="Total 6 7_Table 2A-1_EFT (Annual)" xfId="9250"/>
    <cellStyle name="Total 6 8" xfId="9375"/>
    <cellStyle name="Total 6 8 2" xfId="21543"/>
    <cellStyle name="Total 6 8 2 2" xfId="42729"/>
    <cellStyle name="Total 6 8 3" xfId="32125"/>
    <cellStyle name="Total 6 9" xfId="16430"/>
    <cellStyle name="Total 6 9 2" xfId="37617"/>
    <cellStyle name="Total 6_Table 2A-1_EFT (Annual)" xfId="3596"/>
    <cellStyle name="Total 7" xfId="116"/>
    <cellStyle name="Total 7 10" xfId="26671"/>
    <cellStyle name="Total 7 2" xfId="509"/>
    <cellStyle name="Total 7 2 2" xfId="1486"/>
    <cellStyle name="Total 7 2 2 2" xfId="2756"/>
    <cellStyle name="Total 7 2 2 2 2" xfId="6317"/>
    <cellStyle name="Total 7 2 2 2 2 2" xfId="14511"/>
    <cellStyle name="Total 7 2 2 2 2 2 2" xfId="26483"/>
    <cellStyle name="Total 7 2 2 2 2 2 2 2" xfId="47669"/>
    <cellStyle name="Total 7 2 2 2 2 2 3" xfId="37065"/>
    <cellStyle name="Total 7 2 2 2 2 3" xfId="21370"/>
    <cellStyle name="Total 7 2 2 2 2 3 2" xfId="42557"/>
    <cellStyle name="Total 7 2 2 2 2 4" xfId="31973"/>
    <cellStyle name="Total 7 2 2 2 2_Table 2A-1_EFT (Annual)" xfId="9253"/>
    <cellStyle name="Total 7 2 2 2 3" xfId="11853"/>
    <cellStyle name="Total 7 2 2 2 3 2" xfId="23937"/>
    <cellStyle name="Total 7 2 2 2 3 2 2" xfId="45123"/>
    <cellStyle name="Total 7 2 2 2 3 3" xfId="34519"/>
    <cellStyle name="Total 7 2 2 2 4" xfId="18824"/>
    <cellStyle name="Total 7 2 2 2 4 2" xfId="40011"/>
    <cellStyle name="Total 7 2 2 2 5" xfId="29230"/>
    <cellStyle name="Total 7 2 2 2_Table 2A-1_EFT (Annual)" xfId="9252"/>
    <cellStyle name="Total 7 2 2 3" xfId="5047"/>
    <cellStyle name="Total 7 2 2 3 2" xfId="13307"/>
    <cellStyle name="Total 7 2 2 3 2 2" xfId="25313"/>
    <cellStyle name="Total 7 2 2 3 2 2 2" xfId="46499"/>
    <cellStyle name="Total 7 2 2 3 2 3" xfId="35895"/>
    <cellStyle name="Total 7 2 2 3 3" xfId="20200"/>
    <cellStyle name="Total 7 2 2 3 3 2" xfId="41387"/>
    <cellStyle name="Total 7 2 2 3 4" xfId="30704"/>
    <cellStyle name="Total 7 2 2 3_Table 2A-1_EFT (Annual)" xfId="9254"/>
    <cellStyle name="Total 7 2 2 4" xfId="10651"/>
    <cellStyle name="Total 7 2 2 4 2" xfId="22767"/>
    <cellStyle name="Total 7 2 2 4 2 2" xfId="43953"/>
    <cellStyle name="Total 7 2 2 4 3" xfId="33349"/>
    <cellStyle name="Total 7 2 2 5" xfId="17654"/>
    <cellStyle name="Total 7 2 2 5 2" xfId="38841"/>
    <cellStyle name="Total 7 2 2 6" xfId="27961"/>
    <cellStyle name="Total 7 2 2_Table 2A-1_EFT (Annual)" xfId="9251"/>
    <cellStyle name="Total 7 2 3" xfId="1021"/>
    <cellStyle name="Total 7 2 3 2" xfId="4582"/>
    <cellStyle name="Total 7 2 3 2 2" xfId="12842"/>
    <cellStyle name="Total 7 2 3 2 2 2" xfId="24848"/>
    <cellStyle name="Total 7 2 3 2 2 2 2" xfId="46034"/>
    <cellStyle name="Total 7 2 3 2 2 3" xfId="35430"/>
    <cellStyle name="Total 7 2 3 2 3" xfId="19735"/>
    <cellStyle name="Total 7 2 3 2 3 2" xfId="40922"/>
    <cellStyle name="Total 7 2 3 2 4" xfId="30239"/>
    <cellStyle name="Total 7 2 3 2_Table 2A-1_EFT (Annual)" xfId="9256"/>
    <cellStyle name="Total 7 2 3 3" xfId="10186"/>
    <cellStyle name="Total 7 2 3 3 2" xfId="22302"/>
    <cellStyle name="Total 7 2 3 3 2 2" xfId="43488"/>
    <cellStyle name="Total 7 2 3 3 3" xfId="32884"/>
    <cellStyle name="Total 7 2 3 4" xfId="17189"/>
    <cellStyle name="Total 7 2 3 4 2" xfId="38376"/>
    <cellStyle name="Total 7 2 3 5" xfId="27496"/>
    <cellStyle name="Total 7 2 3_Table 2A-1_EFT (Annual)" xfId="9255"/>
    <cellStyle name="Total 7 2 4" xfId="2225"/>
    <cellStyle name="Total 7 2 4 2" xfId="5786"/>
    <cellStyle name="Total 7 2 4 2 2" xfId="14001"/>
    <cellStyle name="Total 7 2 4 2 2 2" xfId="25989"/>
    <cellStyle name="Total 7 2 4 2 2 2 2" xfId="47175"/>
    <cellStyle name="Total 7 2 4 2 2 3" xfId="36571"/>
    <cellStyle name="Total 7 2 4 2 3" xfId="20876"/>
    <cellStyle name="Total 7 2 4 2 3 2" xfId="42063"/>
    <cellStyle name="Total 7 2 4 2 4" xfId="31443"/>
    <cellStyle name="Total 7 2 4 2_Table 2A-1_EFT (Annual)" xfId="9258"/>
    <cellStyle name="Total 7 2 4 3" xfId="11345"/>
    <cellStyle name="Total 7 2 4 3 2" xfId="23443"/>
    <cellStyle name="Total 7 2 4 3 2 2" xfId="44629"/>
    <cellStyle name="Total 7 2 4 3 3" xfId="34025"/>
    <cellStyle name="Total 7 2 4 4" xfId="18330"/>
    <cellStyle name="Total 7 2 4 4 2" xfId="39517"/>
    <cellStyle name="Total 7 2 4 5" xfId="28700"/>
    <cellStyle name="Total 7 2 4_Table 2A-1_EFT (Annual)" xfId="9257"/>
    <cellStyle name="Total 7 2 5" xfId="4079"/>
    <cellStyle name="Total 7 2 5 2" xfId="12403"/>
    <cellStyle name="Total 7 2 5 2 2" xfId="24425"/>
    <cellStyle name="Total 7 2 5 2 2 2" xfId="45611"/>
    <cellStyle name="Total 7 2 5 2 3" xfId="35007"/>
    <cellStyle name="Total 7 2 5 3" xfId="19312"/>
    <cellStyle name="Total 7 2 5 3 2" xfId="40499"/>
    <cellStyle name="Total 7 2 5 4" xfId="29767"/>
    <cellStyle name="Total 7 2 5_Table 2A-1_EFT (Annual)" xfId="9259"/>
    <cellStyle name="Total 7 2 6" xfId="9742"/>
    <cellStyle name="Total 7 2 6 2" xfId="21879"/>
    <cellStyle name="Total 7 2 6 2 2" xfId="43065"/>
    <cellStyle name="Total 7 2 6 3" xfId="32461"/>
    <cellStyle name="Total 7 2 7" xfId="16766"/>
    <cellStyle name="Total 7 2 7 2" xfId="37953"/>
    <cellStyle name="Total 7 2 8" xfId="27024"/>
    <cellStyle name="Total 7 2_Table 2A-1_EFT (Annual)" xfId="3600"/>
    <cellStyle name="Total 7 3" xfId="347"/>
    <cellStyle name="Total 7 3 2" xfId="1330"/>
    <cellStyle name="Total 7 3 2 2" xfId="2600"/>
    <cellStyle name="Total 7 3 2 2 2" xfId="6161"/>
    <cellStyle name="Total 7 3 2 2 2 2" xfId="14355"/>
    <cellStyle name="Total 7 3 2 2 2 2 2" xfId="26327"/>
    <cellStyle name="Total 7 3 2 2 2 2 2 2" xfId="47513"/>
    <cellStyle name="Total 7 3 2 2 2 2 3" xfId="36909"/>
    <cellStyle name="Total 7 3 2 2 2 3" xfId="21214"/>
    <cellStyle name="Total 7 3 2 2 2 3 2" xfId="42401"/>
    <cellStyle name="Total 7 3 2 2 2 4" xfId="31817"/>
    <cellStyle name="Total 7 3 2 2 2_Table 2A-1_EFT (Annual)" xfId="9262"/>
    <cellStyle name="Total 7 3 2 2 3" xfId="11697"/>
    <cellStyle name="Total 7 3 2 2 3 2" xfId="23781"/>
    <cellStyle name="Total 7 3 2 2 3 2 2" xfId="44967"/>
    <cellStyle name="Total 7 3 2 2 3 3" xfId="34363"/>
    <cellStyle name="Total 7 3 2 2 4" xfId="18668"/>
    <cellStyle name="Total 7 3 2 2 4 2" xfId="39855"/>
    <cellStyle name="Total 7 3 2 2 5" xfId="29074"/>
    <cellStyle name="Total 7 3 2 2_Table 2A-1_EFT (Annual)" xfId="9261"/>
    <cellStyle name="Total 7 3 2 3" xfId="4891"/>
    <cellStyle name="Total 7 3 2 3 2" xfId="13151"/>
    <cellStyle name="Total 7 3 2 3 2 2" xfId="25157"/>
    <cellStyle name="Total 7 3 2 3 2 2 2" xfId="46343"/>
    <cellStyle name="Total 7 3 2 3 2 3" xfId="35739"/>
    <cellStyle name="Total 7 3 2 3 3" xfId="20044"/>
    <cellStyle name="Total 7 3 2 3 3 2" xfId="41231"/>
    <cellStyle name="Total 7 3 2 3 4" xfId="30548"/>
    <cellStyle name="Total 7 3 2 3_Table 2A-1_EFT (Annual)" xfId="9263"/>
    <cellStyle name="Total 7 3 2 4" xfId="10495"/>
    <cellStyle name="Total 7 3 2 4 2" xfId="22611"/>
    <cellStyle name="Total 7 3 2 4 2 2" xfId="43797"/>
    <cellStyle name="Total 7 3 2 4 3" xfId="33193"/>
    <cellStyle name="Total 7 3 2 5" xfId="17498"/>
    <cellStyle name="Total 7 3 2 5 2" xfId="38685"/>
    <cellStyle name="Total 7 3 2 6" xfId="27805"/>
    <cellStyle name="Total 7 3 2_Table 2A-1_EFT (Annual)" xfId="9260"/>
    <cellStyle name="Total 7 3 3" xfId="889"/>
    <cellStyle name="Total 7 3 3 2" xfId="4450"/>
    <cellStyle name="Total 7 3 3 2 2" xfId="12712"/>
    <cellStyle name="Total 7 3 3 2 2 2" xfId="24722"/>
    <cellStyle name="Total 7 3 3 2 2 2 2" xfId="45908"/>
    <cellStyle name="Total 7 3 3 2 2 3" xfId="35304"/>
    <cellStyle name="Total 7 3 3 2 3" xfId="19609"/>
    <cellStyle name="Total 7 3 3 2 3 2" xfId="40796"/>
    <cellStyle name="Total 7 3 3 2 4" xfId="30107"/>
    <cellStyle name="Total 7 3 3 2_Table 2A-1_EFT (Annual)" xfId="9265"/>
    <cellStyle name="Total 7 3 3 3" xfId="10059"/>
    <cellStyle name="Total 7 3 3 3 2" xfId="22176"/>
    <cellStyle name="Total 7 3 3 3 2 2" xfId="43362"/>
    <cellStyle name="Total 7 3 3 3 3" xfId="32758"/>
    <cellStyle name="Total 7 3 3 4" xfId="17063"/>
    <cellStyle name="Total 7 3 3 4 2" xfId="38250"/>
    <cellStyle name="Total 7 3 3 5" xfId="27364"/>
    <cellStyle name="Total 7 3 3_Table 2A-1_EFT (Annual)" xfId="9264"/>
    <cellStyle name="Total 7 3 4" xfId="2069"/>
    <cellStyle name="Total 7 3 4 2" xfId="5630"/>
    <cellStyle name="Total 7 3 4 2 2" xfId="13845"/>
    <cellStyle name="Total 7 3 4 2 2 2" xfId="25833"/>
    <cellStyle name="Total 7 3 4 2 2 2 2" xfId="47019"/>
    <cellStyle name="Total 7 3 4 2 2 3" xfId="36415"/>
    <cellStyle name="Total 7 3 4 2 3" xfId="20720"/>
    <cellStyle name="Total 7 3 4 2 3 2" xfId="41907"/>
    <cellStyle name="Total 7 3 4 2 4" xfId="31287"/>
    <cellStyle name="Total 7 3 4 2_Table 2A-1_EFT (Annual)" xfId="9267"/>
    <cellStyle name="Total 7 3 4 3" xfId="11189"/>
    <cellStyle name="Total 7 3 4 3 2" xfId="23287"/>
    <cellStyle name="Total 7 3 4 3 2 2" xfId="44473"/>
    <cellStyle name="Total 7 3 4 3 3" xfId="33869"/>
    <cellStyle name="Total 7 3 4 4" xfId="18174"/>
    <cellStyle name="Total 7 3 4 4 2" xfId="39361"/>
    <cellStyle name="Total 7 3 4 5" xfId="28544"/>
    <cellStyle name="Total 7 3 4_Table 2A-1_EFT (Annual)" xfId="9266"/>
    <cellStyle name="Total 7 3 5" xfId="3917"/>
    <cellStyle name="Total 7 3 5 2" xfId="12245"/>
    <cellStyle name="Total 7 3 5 2 2" xfId="24269"/>
    <cellStyle name="Total 7 3 5 2 2 2" xfId="45455"/>
    <cellStyle name="Total 7 3 5 2 3" xfId="34851"/>
    <cellStyle name="Total 7 3 5 3" xfId="19156"/>
    <cellStyle name="Total 7 3 5 3 2" xfId="40343"/>
    <cellStyle name="Total 7 3 5 4" xfId="29605"/>
    <cellStyle name="Total 7 3 5_Table 2A-1_EFT (Annual)" xfId="9268"/>
    <cellStyle name="Total 7 3 6" xfId="9582"/>
    <cellStyle name="Total 7 3 6 2" xfId="21723"/>
    <cellStyle name="Total 7 3 6 2 2" xfId="42909"/>
    <cellStyle name="Total 7 3 6 3" xfId="32305"/>
    <cellStyle name="Total 7 3 7" xfId="16610"/>
    <cellStyle name="Total 7 3 7 2" xfId="37797"/>
    <cellStyle name="Total 7 3 8" xfId="26862"/>
    <cellStyle name="Total 7 3_Table 2A-1_EFT (Annual)" xfId="3601"/>
    <cellStyle name="Total 7 4" xfId="1164"/>
    <cellStyle name="Total 7 4 2" xfId="2434"/>
    <cellStyle name="Total 7 4 2 2" xfId="5995"/>
    <cellStyle name="Total 7 4 2 2 2" xfId="14189"/>
    <cellStyle name="Total 7 4 2 2 2 2" xfId="26161"/>
    <cellStyle name="Total 7 4 2 2 2 2 2" xfId="47347"/>
    <cellStyle name="Total 7 4 2 2 2 3" xfId="36743"/>
    <cellStyle name="Total 7 4 2 2 3" xfId="21048"/>
    <cellStyle name="Total 7 4 2 2 3 2" xfId="42235"/>
    <cellStyle name="Total 7 4 2 2 4" xfId="31651"/>
    <cellStyle name="Total 7 4 2 2_Table 2A-1_EFT (Annual)" xfId="9271"/>
    <cellStyle name="Total 7 4 2 3" xfId="11531"/>
    <cellStyle name="Total 7 4 2 3 2" xfId="23615"/>
    <cellStyle name="Total 7 4 2 3 2 2" xfId="44801"/>
    <cellStyle name="Total 7 4 2 3 3" xfId="34197"/>
    <cellStyle name="Total 7 4 2 4" xfId="18502"/>
    <cellStyle name="Total 7 4 2 4 2" xfId="39689"/>
    <cellStyle name="Total 7 4 2 5" xfId="28908"/>
    <cellStyle name="Total 7 4 2_Table 2A-1_EFT (Annual)" xfId="9270"/>
    <cellStyle name="Total 7 4 3" xfId="4725"/>
    <cellStyle name="Total 7 4 3 2" xfId="12985"/>
    <cellStyle name="Total 7 4 3 2 2" xfId="24991"/>
    <cellStyle name="Total 7 4 3 2 2 2" xfId="46177"/>
    <cellStyle name="Total 7 4 3 2 3" xfId="35573"/>
    <cellStyle name="Total 7 4 3 3" xfId="19878"/>
    <cellStyle name="Total 7 4 3 3 2" xfId="41065"/>
    <cellStyle name="Total 7 4 3 4" xfId="30382"/>
    <cellStyle name="Total 7 4 3_Table 2A-1_EFT (Annual)" xfId="9272"/>
    <cellStyle name="Total 7 4 4" xfId="10329"/>
    <cellStyle name="Total 7 4 4 2" xfId="22445"/>
    <cellStyle name="Total 7 4 4 2 2" xfId="43631"/>
    <cellStyle name="Total 7 4 4 3" xfId="33027"/>
    <cellStyle name="Total 7 4 5" xfId="17332"/>
    <cellStyle name="Total 7 4 5 2" xfId="38519"/>
    <cellStyle name="Total 7 4 6" xfId="27639"/>
    <cellStyle name="Total 7 4_Table 2A-1_EFT (Annual)" xfId="9269"/>
    <cellStyle name="Total 7 5" xfId="730"/>
    <cellStyle name="Total 7 5 2" xfId="4291"/>
    <cellStyle name="Total 7 5 2 2" xfId="12571"/>
    <cellStyle name="Total 7 5 2 2 2" xfId="24588"/>
    <cellStyle name="Total 7 5 2 2 2 2" xfId="45774"/>
    <cellStyle name="Total 7 5 2 2 3" xfId="35170"/>
    <cellStyle name="Total 7 5 2 3" xfId="19475"/>
    <cellStyle name="Total 7 5 2 3 2" xfId="40662"/>
    <cellStyle name="Total 7 5 2 4" xfId="29948"/>
    <cellStyle name="Total 7 5 2_Table 2A-1_EFT (Annual)" xfId="9274"/>
    <cellStyle name="Total 7 5 3" xfId="9919"/>
    <cellStyle name="Total 7 5 3 2" xfId="22042"/>
    <cellStyle name="Total 7 5 3 2 2" xfId="43228"/>
    <cellStyle name="Total 7 5 3 3" xfId="32624"/>
    <cellStyle name="Total 7 5 4" xfId="16929"/>
    <cellStyle name="Total 7 5 4 2" xfId="38116"/>
    <cellStyle name="Total 7 5 5" xfId="27205"/>
    <cellStyle name="Total 7 5_Table 2A-1_EFT (Annual)" xfId="9273"/>
    <cellStyle name="Total 7 6" xfId="1866"/>
    <cellStyle name="Total 7 6 2" xfId="5427"/>
    <cellStyle name="Total 7 6 2 2" xfId="13642"/>
    <cellStyle name="Total 7 6 2 2 2" xfId="25630"/>
    <cellStyle name="Total 7 6 2 2 2 2" xfId="46816"/>
    <cellStyle name="Total 7 6 2 2 3" xfId="36212"/>
    <cellStyle name="Total 7 6 2 3" xfId="20517"/>
    <cellStyle name="Total 7 6 2 3 2" xfId="41704"/>
    <cellStyle name="Total 7 6 2 4" xfId="31084"/>
    <cellStyle name="Total 7 6 2_Table 2A-1_EFT (Annual)" xfId="9276"/>
    <cellStyle name="Total 7 6 3" xfId="10986"/>
    <cellStyle name="Total 7 6 3 2" xfId="23084"/>
    <cellStyle name="Total 7 6 3 2 2" xfId="44270"/>
    <cellStyle name="Total 7 6 3 3" xfId="33666"/>
    <cellStyle name="Total 7 6 4" xfId="17971"/>
    <cellStyle name="Total 7 6 4 2" xfId="39158"/>
    <cellStyle name="Total 7 6 5" xfId="28341"/>
    <cellStyle name="Total 7 6_Table 2A-1_EFT (Annual)" xfId="9275"/>
    <cellStyle name="Total 7 7" xfId="3705"/>
    <cellStyle name="Total 7 7 2" xfId="12073"/>
    <cellStyle name="Total 7 7 2 2" xfId="24103"/>
    <cellStyle name="Total 7 7 2 2 2" xfId="45289"/>
    <cellStyle name="Total 7 7 2 3" xfId="34685"/>
    <cellStyle name="Total 7 7 3" xfId="18990"/>
    <cellStyle name="Total 7 7 3 2" xfId="40177"/>
    <cellStyle name="Total 7 7 4" xfId="29414"/>
    <cellStyle name="Total 7 7_Table 2A-1_EFT (Annual)" xfId="9277"/>
    <cellStyle name="Total 7 8" xfId="9392"/>
    <cellStyle name="Total 7 8 2" xfId="21557"/>
    <cellStyle name="Total 7 8 2 2" xfId="42743"/>
    <cellStyle name="Total 7 8 3" xfId="32139"/>
    <cellStyle name="Total 7 9" xfId="16444"/>
    <cellStyle name="Total 7 9 2" xfId="37631"/>
    <cellStyle name="Total 7_Table 2A-1_EFT (Annual)" xfId="3599"/>
    <cellStyle name="Total 8" xfId="131"/>
    <cellStyle name="Total 8 10" xfId="26686"/>
    <cellStyle name="Total 8 2" xfId="524"/>
    <cellStyle name="Total 8 2 2" xfId="1501"/>
    <cellStyle name="Total 8 2 2 2" xfId="2771"/>
    <cellStyle name="Total 8 2 2 2 2" xfId="6332"/>
    <cellStyle name="Total 8 2 2 2 2 2" xfId="14526"/>
    <cellStyle name="Total 8 2 2 2 2 2 2" xfId="26498"/>
    <cellStyle name="Total 8 2 2 2 2 2 2 2" xfId="47684"/>
    <cellStyle name="Total 8 2 2 2 2 2 3" xfId="37080"/>
    <cellStyle name="Total 8 2 2 2 2 3" xfId="21385"/>
    <cellStyle name="Total 8 2 2 2 2 3 2" xfId="42572"/>
    <cellStyle name="Total 8 2 2 2 2 4" xfId="31988"/>
    <cellStyle name="Total 8 2 2 2 2_Table 2A-1_EFT (Annual)" xfId="9280"/>
    <cellStyle name="Total 8 2 2 2 3" xfId="11868"/>
    <cellStyle name="Total 8 2 2 2 3 2" xfId="23952"/>
    <cellStyle name="Total 8 2 2 2 3 2 2" xfId="45138"/>
    <cellStyle name="Total 8 2 2 2 3 3" xfId="34534"/>
    <cellStyle name="Total 8 2 2 2 4" xfId="18839"/>
    <cellStyle name="Total 8 2 2 2 4 2" xfId="40026"/>
    <cellStyle name="Total 8 2 2 2 5" xfId="29245"/>
    <cellStyle name="Total 8 2 2 2_Table 2A-1_EFT (Annual)" xfId="9279"/>
    <cellStyle name="Total 8 2 2 3" xfId="5062"/>
    <cellStyle name="Total 8 2 2 3 2" xfId="13322"/>
    <cellStyle name="Total 8 2 2 3 2 2" xfId="25328"/>
    <cellStyle name="Total 8 2 2 3 2 2 2" xfId="46514"/>
    <cellStyle name="Total 8 2 2 3 2 3" xfId="35910"/>
    <cellStyle name="Total 8 2 2 3 3" xfId="20215"/>
    <cellStyle name="Total 8 2 2 3 3 2" xfId="41402"/>
    <cellStyle name="Total 8 2 2 3 4" xfId="30719"/>
    <cellStyle name="Total 8 2 2 3_Table 2A-1_EFT (Annual)" xfId="9281"/>
    <cellStyle name="Total 8 2 2 4" xfId="10666"/>
    <cellStyle name="Total 8 2 2 4 2" xfId="22782"/>
    <cellStyle name="Total 8 2 2 4 2 2" xfId="43968"/>
    <cellStyle name="Total 8 2 2 4 3" xfId="33364"/>
    <cellStyle name="Total 8 2 2 5" xfId="17669"/>
    <cellStyle name="Total 8 2 2 5 2" xfId="38856"/>
    <cellStyle name="Total 8 2 2 6" xfId="27976"/>
    <cellStyle name="Total 8 2 2_Table 2A-1_EFT (Annual)" xfId="9278"/>
    <cellStyle name="Total 8 2 3" xfId="1034"/>
    <cellStyle name="Total 8 2 3 2" xfId="4595"/>
    <cellStyle name="Total 8 2 3 2 2" xfId="12855"/>
    <cellStyle name="Total 8 2 3 2 2 2" xfId="24861"/>
    <cellStyle name="Total 8 2 3 2 2 2 2" xfId="46047"/>
    <cellStyle name="Total 8 2 3 2 2 3" xfId="35443"/>
    <cellStyle name="Total 8 2 3 2 3" xfId="19748"/>
    <cellStyle name="Total 8 2 3 2 3 2" xfId="40935"/>
    <cellStyle name="Total 8 2 3 2 4" xfId="30252"/>
    <cellStyle name="Total 8 2 3 2_Table 2A-1_EFT (Annual)" xfId="9283"/>
    <cellStyle name="Total 8 2 3 3" xfId="10199"/>
    <cellStyle name="Total 8 2 3 3 2" xfId="22315"/>
    <cellStyle name="Total 8 2 3 3 2 2" xfId="43501"/>
    <cellStyle name="Total 8 2 3 3 3" xfId="32897"/>
    <cellStyle name="Total 8 2 3 4" xfId="17202"/>
    <cellStyle name="Total 8 2 3 4 2" xfId="38389"/>
    <cellStyle name="Total 8 2 3 5" xfId="27509"/>
    <cellStyle name="Total 8 2 3_Table 2A-1_EFT (Annual)" xfId="9282"/>
    <cellStyle name="Total 8 2 4" xfId="2240"/>
    <cellStyle name="Total 8 2 4 2" xfId="5801"/>
    <cellStyle name="Total 8 2 4 2 2" xfId="14016"/>
    <cellStyle name="Total 8 2 4 2 2 2" xfId="26004"/>
    <cellStyle name="Total 8 2 4 2 2 2 2" xfId="47190"/>
    <cellStyle name="Total 8 2 4 2 2 3" xfId="36586"/>
    <cellStyle name="Total 8 2 4 2 3" xfId="20891"/>
    <cellStyle name="Total 8 2 4 2 3 2" xfId="42078"/>
    <cellStyle name="Total 8 2 4 2 4" xfId="31458"/>
    <cellStyle name="Total 8 2 4 2_Table 2A-1_EFT (Annual)" xfId="9285"/>
    <cellStyle name="Total 8 2 4 3" xfId="11360"/>
    <cellStyle name="Total 8 2 4 3 2" xfId="23458"/>
    <cellStyle name="Total 8 2 4 3 2 2" xfId="44644"/>
    <cellStyle name="Total 8 2 4 3 3" xfId="34040"/>
    <cellStyle name="Total 8 2 4 4" xfId="18345"/>
    <cellStyle name="Total 8 2 4 4 2" xfId="39532"/>
    <cellStyle name="Total 8 2 4 5" xfId="28715"/>
    <cellStyle name="Total 8 2 4_Table 2A-1_EFT (Annual)" xfId="9284"/>
    <cellStyle name="Total 8 2 5" xfId="4094"/>
    <cellStyle name="Total 8 2 5 2" xfId="12418"/>
    <cellStyle name="Total 8 2 5 2 2" xfId="24440"/>
    <cellStyle name="Total 8 2 5 2 2 2" xfId="45626"/>
    <cellStyle name="Total 8 2 5 2 3" xfId="35022"/>
    <cellStyle name="Total 8 2 5 3" xfId="19327"/>
    <cellStyle name="Total 8 2 5 3 2" xfId="40514"/>
    <cellStyle name="Total 8 2 5 4" xfId="29782"/>
    <cellStyle name="Total 8 2 5_Table 2A-1_EFT (Annual)" xfId="9286"/>
    <cellStyle name="Total 8 2 6" xfId="9757"/>
    <cellStyle name="Total 8 2 6 2" xfId="21894"/>
    <cellStyle name="Total 8 2 6 2 2" xfId="43080"/>
    <cellStyle name="Total 8 2 6 3" xfId="32476"/>
    <cellStyle name="Total 8 2 7" xfId="16781"/>
    <cellStyle name="Total 8 2 7 2" xfId="37968"/>
    <cellStyle name="Total 8 2 8" xfId="27039"/>
    <cellStyle name="Total 8 2_Table 2A-1_EFT (Annual)" xfId="3603"/>
    <cellStyle name="Total 8 3" xfId="362"/>
    <cellStyle name="Total 8 3 2" xfId="1345"/>
    <cellStyle name="Total 8 3 2 2" xfId="2615"/>
    <cellStyle name="Total 8 3 2 2 2" xfId="6176"/>
    <cellStyle name="Total 8 3 2 2 2 2" xfId="14370"/>
    <cellStyle name="Total 8 3 2 2 2 2 2" xfId="26342"/>
    <cellStyle name="Total 8 3 2 2 2 2 2 2" xfId="47528"/>
    <cellStyle name="Total 8 3 2 2 2 2 3" xfId="36924"/>
    <cellStyle name="Total 8 3 2 2 2 3" xfId="21229"/>
    <cellStyle name="Total 8 3 2 2 2 3 2" xfId="42416"/>
    <cellStyle name="Total 8 3 2 2 2 4" xfId="31832"/>
    <cellStyle name="Total 8 3 2 2 2_Table 2A-1_EFT (Annual)" xfId="9289"/>
    <cellStyle name="Total 8 3 2 2 3" xfId="11712"/>
    <cellStyle name="Total 8 3 2 2 3 2" xfId="23796"/>
    <cellStyle name="Total 8 3 2 2 3 2 2" xfId="44982"/>
    <cellStyle name="Total 8 3 2 2 3 3" xfId="34378"/>
    <cellStyle name="Total 8 3 2 2 4" xfId="18683"/>
    <cellStyle name="Total 8 3 2 2 4 2" xfId="39870"/>
    <cellStyle name="Total 8 3 2 2 5" xfId="29089"/>
    <cellStyle name="Total 8 3 2 2_Table 2A-1_EFT (Annual)" xfId="9288"/>
    <cellStyle name="Total 8 3 2 3" xfId="4906"/>
    <cellStyle name="Total 8 3 2 3 2" xfId="13166"/>
    <cellStyle name="Total 8 3 2 3 2 2" xfId="25172"/>
    <cellStyle name="Total 8 3 2 3 2 2 2" xfId="46358"/>
    <cellStyle name="Total 8 3 2 3 2 3" xfId="35754"/>
    <cellStyle name="Total 8 3 2 3 3" xfId="20059"/>
    <cellStyle name="Total 8 3 2 3 3 2" xfId="41246"/>
    <cellStyle name="Total 8 3 2 3 4" xfId="30563"/>
    <cellStyle name="Total 8 3 2 3_Table 2A-1_EFT (Annual)" xfId="9290"/>
    <cellStyle name="Total 8 3 2 4" xfId="10510"/>
    <cellStyle name="Total 8 3 2 4 2" xfId="22626"/>
    <cellStyle name="Total 8 3 2 4 2 2" xfId="43812"/>
    <cellStyle name="Total 8 3 2 4 3" xfId="33208"/>
    <cellStyle name="Total 8 3 2 5" xfId="17513"/>
    <cellStyle name="Total 8 3 2 5 2" xfId="38700"/>
    <cellStyle name="Total 8 3 2 6" xfId="27820"/>
    <cellStyle name="Total 8 3 2_Table 2A-1_EFT (Annual)" xfId="9287"/>
    <cellStyle name="Total 8 3 3" xfId="902"/>
    <cellStyle name="Total 8 3 3 2" xfId="4463"/>
    <cellStyle name="Total 8 3 3 2 2" xfId="12725"/>
    <cellStyle name="Total 8 3 3 2 2 2" xfId="24735"/>
    <cellStyle name="Total 8 3 3 2 2 2 2" xfId="45921"/>
    <cellStyle name="Total 8 3 3 2 2 3" xfId="35317"/>
    <cellStyle name="Total 8 3 3 2 3" xfId="19622"/>
    <cellStyle name="Total 8 3 3 2 3 2" xfId="40809"/>
    <cellStyle name="Total 8 3 3 2 4" xfId="30120"/>
    <cellStyle name="Total 8 3 3 2_Table 2A-1_EFT (Annual)" xfId="9292"/>
    <cellStyle name="Total 8 3 3 3" xfId="10072"/>
    <cellStyle name="Total 8 3 3 3 2" xfId="22189"/>
    <cellStyle name="Total 8 3 3 3 2 2" xfId="43375"/>
    <cellStyle name="Total 8 3 3 3 3" xfId="32771"/>
    <cellStyle name="Total 8 3 3 4" xfId="17076"/>
    <cellStyle name="Total 8 3 3 4 2" xfId="38263"/>
    <cellStyle name="Total 8 3 3 5" xfId="27377"/>
    <cellStyle name="Total 8 3 3_Table 2A-1_EFT (Annual)" xfId="9291"/>
    <cellStyle name="Total 8 3 4" xfId="2084"/>
    <cellStyle name="Total 8 3 4 2" xfId="5645"/>
    <cellStyle name="Total 8 3 4 2 2" xfId="13860"/>
    <cellStyle name="Total 8 3 4 2 2 2" xfId="25848"/>
    <cellStyle name="Total 8 3 4 2 2 2 2" xfId="47034"/>
    <cellStyle name="Total 8 3 4 2 2 3" xfId="36430"/>
    <cellStyle name="Total 8 3 4 2 3" xfId="20735"/>
    <cellStyle name="Total 8 3 4 2 3 2" xfId="41922"/>
    <cellStyle name="Total 8 3 4 2 4" xfId="31302"/>
    <cellStyle name="Total 8 3 4 2_Table 2A-1_EFT (Annual)" xfId="9294"/>
    <cellStyle name="Total 8 3 4 3" xfId="11204"/>
    <cellStyle name="Total 8 3 4 3 2" xfId="23302"/>
    <cellStyle name="Total 8 3 4 3 2 2" xfId="44488"/>
    <cellStyle name="Total 8 3 4 3 3" xfId="33884"/>
    <cellStyle name="Total 8 3 4 4" xfId="18189"/>
    <cellStyle name="Total 8 3 4 4 2" xfId="39376"/>
    <cellStyle name="Total 8 3 4 5" xfId="28559"/>
    <cellStyle name="Total 8 3 4_Table 2A-1_EFT (Annual)" xfId="9293"/>
    <cellStyle name="Total 8 3 5" xfId="3932"/>
    <cellStyle name="Total 8 3 5 2" xfId="12260"/>
    <cellStyle name="Total 8 3 5 2 2" xfId="24284"/>
    <cellStyle name="Total 8 3 5 2 2 2" xfId="45470"/>
    <cellStyle name="Total 8 3 5 2 3" xfId="34866"/>
    <cellStyle name="Total 8 3 5 3" xfId="19171"/>
    <cellStyle name="Total 8 3 5 3 2" xfId="40358"/>
    <cellStyle name="Total 8 3 5 4" xfId="29620"/>
    <cellStyle name="Total 8 3 5_Table 2A-1_EFT (Annual)" xfId="9295"/>
    <cellStyle name="Total 8 3 6" xfId="9597"/>
    <cellStyle name="Total 8 3 6 2" xfId="21738"/>
    <cellStyle name="Total 8 3 6 2 2" xfId="42924"/>
    <cellStyle name="Total 8 3 6 3" xfId="32320"/>
    <cellStyle name="Total 8 3 7" xfId="16625"/>
    <cellStyle name="Total 8 3 7 2" xfId="37812"/>
    <cellStyle name="Total 8 3 8" xfId="26877"/>
    <cellStyle name="Total 8 3_Table 2A-1_EFT (Annual)" xfId="3604"/>
    <cellStyle name="Total 8 4" xfId="1179"/>
    <cellStyle name="Total 8 4 2" xfId="2449"/>
    <cellStyle name="Total 8 4 2 2" xfId="6010"/>
    <cellStyle name="Total 8 4 2 2 2" xfId="14204"/>
    <cellStyle name="Total 8 4 2 2 2 2" xfId="26176"/>
    <cellStyle name="Total 8 4 2 2 2 2 2" xfId="47362"/>
    <cellStyle name="Total 8 4 2 2 2 3" xfId="36758"/>
    <cellStyle name="Total 8 4 2 2 3" xfId="21063"/>
    <cellStyle name="Total 8 4 2 2 3 2" xfId="42250"/>
    <cellStyle name="Total 8 4 2 2 4" xfId="31666"/>
    <cellStyle name="Total 8 4 2 2_Table 2A-1_EFT (Annual)" xfId="9298"/>
    <cellStyle name="Total 8 4 2 3" xfId="11546"/>
    <cellStyle name="Total 8 4 2 3 2" xfId="23630"/>
    <cellStyle name="Total 8 4 2 3 2 2" xfId="44816"/>
    <cellStyle name="Total 8 4 2 3 3" xfId="34212"/>
    <cellStyle name="Total 8 4 2 4" xfId="18517"/>
    <cellStyle name="Total 8 4 2 4 2" xfId="39704"/>
    <cellStyle name="Total 8 4 2 5" xfId="28923"/>
    <cellStyle name="Total 8 4 2_Table 2A-1_EFT (Annual)" xfId="9297"/>
    <cellStyle name="Total 8 4 3" xfId="4740"/>
    <cellStyle name="Total 8 4 3 2" xfId="13000"/>
    <cellStyle name="Total 8 4 3 2 2" xfId="25006"/>
    <cellStyle name="Total 8 4 3 2 2 2" xfId="46192"/>
    <cellStyle name="Total 8 4 3 2 3" xfId="35588"/>
    <cellStyle name="Total 8 4 3 3" xfId="19893"/>
    <cellStyle name="Total 8 4 3 3 2" xfId="41080"/>
    <cellStyle name="Total 8 4 3 4" xfId="30397"/>
    <cellStyle name="Total 8 4 3_Table 2A-1_EFT (Annual)" xfId="9299"/>
    <cellStyle name="Total 8 4 4" xfId="10344"/>
    <cellStyle name="Total 8 4 4 2" xfId="22460"/>
    <cellStyle name="Total 8 4 4 2 2" xfId="43646"/>
    <cellStyle name="Total 8 4 4 3" xfId="33042"/>
    <cellStyle name="Total 8 4 5" xfId="17347"/>
    <cellStyle name="Total 8 4 5 2" xfId="38534"/>
    <cellStyle name="Total 8 4 6" xfId="27654"/>
    <cellStyle name="Total 8 4_Table 2A-1_EFT (Annual)" xfId="9296"/>
    <cellStyle name="Total 8 5" xfId="743"/>
    <cellStyle name="Total 8 5 2" xfId="4304"/>
    <cellStyle name="Total 8 5 2 2" xfId="12584"/>
    <cellStyle name="Total 8 5 2 2 2" xfId="24601"/>
    <cellStyle name="Total 8 5 2 2 2 2" xfId="45787"/>
    <cellStyle name="Total 8 5 2 2 3" xfId="35183"/>
    <cellStyle name="Total 8 5 2 3" xfId="19488"/>
    <cellStyle name="Total 8 5 2 3 2" xfId="40675"/>
    <cellStyle name="Total 8 5 2 4" xfId="29961"/>
    <cellStyle name="Total 8 5 2_Table 2A-1_EFT (Annual)" xfId="9301"/>
    <cellStyle name="Total 8 5 3" xfId="9932"/>
    <cellStyle name="Total 8 5 3 2" xfId="22055"/>
    <cellStyle name="Total 8 5 3 2 2" xfId="43241"/>
    <cellStyle name="Total 8 5 3 3" xfId="32637"/>
    <cellStyle name="Total 8 5 4" xfId="16942"/>
    <cellStyle name="Total 8 5 4 2" xfId="38129"/>
    <cellStyle name="Total 8 5 5" xfId="27218"/>
    <cellStyle name="Total 8 5_Table 2A-1_EFT (Annual)" xfId="9300"/>
    <cellStyle name="Total 8 6" xfId="1791"/>
    <cellStyle name="Total 8 6 2" xfId="5352"/>
    <cellStyle name="Total 8 6 2 2" xfId="13567"/>
    <cellStyle name="Total 8 6 2 2 2" xfId="25555"/>
    <cellStyle name="Total 8 6 2 2 2 2" xfId="46741"/>
    <cellStyle name="Total 8 6 2 2 3" xfId="36137"/>
    <cellStyle name="Total 8 6 2 3" xfId="20442"/>
    <cellStyle name="Total 8 6 2 3 2" xfId="41629"/>
    <cellStyle name="Total 8 6 2 4" xfId="31009"/>
    <cellStyle name="Total 8 6 2_Table 2A-1_EFT (Annual)" xfId="9303"/>
    <cellStyle name="Total 8 6 3" xfId="10911"/>
    <cellStyle name="Total 8 6 3 2" xfId="23009"/>
    <cellStyle name="Total 8 6 3 2 2" xfId="44195"/>
    <cellStyle name="Total 8 6 3 3" xfId="33591"/>
    <cellStyle name="Total 8 6 4" xfId="17896"/>
    <cellStyle name="Total 8 6 4 2" xfId="39083"/>
    <cellStyle name="Total 8 6 5" xfId="28266"/>
    <cellStyle name="Total 8 6_Table 2A-1_EFT (Annual)" xfId="9302"/>
    <cellStyle name="Total 8 7" xfId="3720"/>
    <cellStyle name="Total 8 7 2" xfId="12088"/>
    <cellStyle name="Total 8 7 2 2" xfId="24118"/>
    <cellStyle name="Total 8 7 2 2 2" xfId="45304"/>
    <cellStyle name="Total 8 7 2 3" xfId="34700"/>
    <cellStyle name="Total 8 7 3" xfId="19005"/>
    <cellStyle name="Total 8 7 3 2" xfId="40192"/>
    <cellStyle name="Total 8 7 4" xfId="29429"/>
    <cellStyle name="Total 8 7_Table 2A-1_EFT (Annual)" xfId="9304"/>
    <cellStyle name="Total 8 8" xfId="9407"/>
    <cellStyle name="Total 8 8 2" xfId="21572"/>
    <cellStyle name="Total 8 8 2 2" xfId="42758"/>
    <cellStyle name="Total 8 8 3" xfId="32154"/>
    <cellStyle name="Total 8 9" xfId="16459"/>
    <cellStyle name="Total 8 9 2" xfId="37646"/>
    <cellStyle name="Total 8_Table 2A-1_EFT (Annual)" xfId="3602"/>
    <cellStyle name="Total 9" xfId="120"/>
    <cellStyle name="Total 9 10" xfId="26675"/>
    <cellStyle name="Total 9 2" xfId="513"/>
    <cellStyle name="Total 9 2 2" xfId="1490"/>
    <cellStyle name="Total 9 2 2 2" xfId="2760"/>
    <cellStyle name="Total 9 2 2 2 2" xfId="6321"/>
    <cellStyle name="Total 9 2 2 2 2 2" xfId="14515"/>
    <cellStyle name="Total 9 2 2 2 2 2 2" xfId="26487"/>
    <cellStyle name="Total 9 2 2 2 2 2 2 2" xfId="47673"/>
    <cellStyle name="Total 9 2 2 2 2 2 3" xfId="37069"/>
    <cellStyle name="Total 9 2 2 2 2 3" xfId="21374"/>
    <cellStyle name="Total 9 2 2 2 2 3 2" xfId="42561"/>
    <cellStyle name="Total 9 2 2 2 2 4" xfId="31977"/>
    <cellStyle name="Total 9 2 2 2 2_Table 2A-1_EFT (Annual)" xfId="9307"/>
    <cellStyle name="Total 9 2 2 2 3" xfId="11857"/>
    <cellStyle name="Total 9 2 2 2 3 2" xfId="23941"/>
    <cellStyle name="Total 9 2 2 2 3 2 2" xfId="45127"/>
    <cellStyle name="Total 9 2 2 2 3 3" xfId="34523"/>
    <cellStyle name="Total 9 2 2 2 4" xfId="18828"/>
    <cellStyle name="Total 9 2 2 2 4 2" xfId="40015"/>
    <cellStyle name="Total 9 2 2 2 5" xfId="29234"/>
    <cellStyle name="Total 9 2 2 2_Table 2A-1_EFT (Annual)" xfId="9306"/>
    <cellStyle name="Total 9 2 2 3" xfId="5051"/>
    <cellStyle name="Total 9 2 2 3 2" xfId="13311"/>
    <cellStyle name="Total 9 2 2 3 2 2" xfId="25317"/>
    <cellStyle name="Total 9 2 2 3 2 2 2" xfId="46503"/>
    <cellStyle name="Total 9 2 2 3 2 3" xfId="35899"/>
    <cellStyle name="Total 9 2 2 3 3" xfId="20204"/>
    <cellStyle name="Total 9 2 2 3 3 2" xfId="41391"/>
    <cellStyle name="Total 9 2 2 3 4" xfId="30708"/>
    <cellStyle name="Total 9 2 2 3_Table 2A-1_EFT (Annual)" xfId="9308"/>
    <cellStyle name="Total 9 2 2 4" xfId="10655"/>
    <cellStyle name="Total 9 2 2 4 2" xfId="22771"/>
    <cellStyle name="Total 9 2 2 4 2 2" xfId="43957"/>
    <cellStyle name="Total 9 2 2 4 3" xfId="33353"/>
    <cellStyle name="Total 9 2 2 5" xfId="17658"/>
    <cellStyle name="Total 9 2 2 5 2" xfId="38845"/>
    <cellStyle name="Total 9 2 2 6" xfId="27965"/>
    <cellStyle name="Total 9 2 2_Table 2A-1_EFT (Annual)" xfId="9305"/>
    <cellStyle name="Total 9 2 3" xfId="1024"/>
    <cellStyle name="Total 9 2 3 2" xfId="4585"/>
    <cellStyle name="Total 9 2 3 2 2" xfId="12845"/>
    <cellStyle name="Total 9 2 3 2 2 2" xfId="24851"/>
    <cellStyle name="Total 9 2 3 2 2 2 2" xfId="46037"/>
    <cellStyle name="Total 9 2 3 2 2 3" xfId="35433"/>
    <cellStyle name="Total 9 2 3 2 3" xfId="19738"/>
    <cellStyle name="Total 9 2 3 2 3 2" xfId="40925"/>
    <cellStyle name="Total 9 2 3 2 4" xfId="30242"/>
    <cellStyle name="Total 9 2 3 2_Table 2A-1_EFT (Annual)" xfId="9310"/>
    <cellStyle name="Total 9 2 3 3" xfId="10189"/>
    <cellStyle name="Total 9 2 3 3 2" xfId="22305"/>
    <cellStyle name="Total 9 2 3 3 2 2" xfId="43491"/>
    <cellStyle name="Total 9 2 3 3 3" xfId="32887"/>
    <cellStyle name="Total 9 2 3 4" xfId="17192"/>
    <cellStyle name="Total 9 2 3 4 2" xfId="38379"/>
    <cellStyle name="Total 9 2 3 5" xfId="27499"/>
    <cellStyle name="Total 9 2 3_Table 2A-1_EFT (Annual)" xfId="9309"/>
    <cellStyle name="Total 9 2 4" xfId="2229"/>
    <cellStyle name="Total 9 2 4 2" xfId="5790"/>
    <cellStyle name="Total 9 2 4 2 2" xfId="14005"/>
    <cellStyle name="Total 9 2 4 2 2 2" xfId="25993"/>
    <cellStyle name="Total 9 2 4 2 2 2 2" xfId="47179"/>
    <cellStyle name="Total 9 2 4 2 2 3" xfId="36575"/>
    <cellStyle name="Total 9 2 4 2 3" xfId="20880"/>
    <cellStyle name="Total 9 2 4 2 3 2" xfId="42067"/>
    <cellStyle name="Total 9 2 4 2 4" xfId="31447"/>
    <cellStyle name="Total 9 2 4 2_Table 2A-1_EFT (Annual)" xfId="9312"/>
    <cellStyle name="Total 9 2 4 3" xfId="11349"/>
    <cellStyle name="Total 9 2 4 3 2" xfId="23447"/>
    <cellStyle name="Total 9 2 4 3 2 2" xfId="44633"/>
    <cellStyle name="Total 9 2 4 3 3" xfId="34029"/>
    <cellStyle name="Total 9 2 4 4" xfId="18334"/>
    <cellStyle name="Total 9 2 4 4 2" xfId="39521"/>
    <cellStyle name="Total 9 2 4 5" xfId="28704"/>
    <cellStyle name="Total 9 2 4_Table 2A-1_EFT (Annual)" xfId="9311"/>
    <cellStyle name="Total 9 2 5" xfId="4083"/>
    <cellStyle name="Total 9 2 5 2" xfId="12407"/>
    <cellStyle name="Total 9 2 5 2 2" xfId="24429"/>
    <cellStyle name="Total 9 2 5 2 2 2" xfId="45615"/>
    <cellStyle name="Total 9 2 5 2 3" xfId="35011"/>
    <cellStyle name="Total 9 2 5 3" xfId="19316"/>
    <cellStyle name="Total 9 2 5 3 2" xfId="40503"/>
    <cellStyle name="Total 9 2 5 4" xfId="29771"/>
    <cellStyle name="Total 9 2 5_Table 2A-1_EFT (Annual)" xfId="9313"/>
    <cellStyle name="Total 9 2 6" xfId="9746"/>
    <cellStyle name="Total 9 2 6 2" xfId="21883"/>
    <cellStyle name="Total 9 2 6 2 2" xfId="43069"/>
    <cellStyle name="Total 9 2 6 3" xfId="32465"/>
    <cellStyle name="Total 9 2 7" xfId="16770"/>
    <cellStyle name="Total 9 2 7 2" xfId="37957"/>
    <cellStyle name="Total 9 2 8" xfId="27028"/>
    <cellStyle name="Total 9 2_Table 2A-1_EFT (Annual)" xfId="3606"/>
    <cellStyle name="Total 9 3" xfId="351"/>
    <cellStyle name="Total 9 3 2" xfId="1334"/>
    <cellStyle name="Total 9 3 2 2" xfId="2604"/>
    <cellStyle name="Total 9 3 2 2 2" xfId="6165"/>
    <cellStyle name="Total 9 3 2 2 2 2" xfId="14359"/>
    <cellStyle name="Total 9 3 2 2 2 2 2" xfId="26331"/>
    <cellStyle name="Total 9 3 2 2 2 2 2 2" xfId="47517"/>
    <cellStyle name="Total 9 3 2 2 2 2 3" xfId="36913"/>
    <cellStyle name="Total 9 3 2 2 2 3" xfId="21218"/>
    <cellStyle name="Total 9 3 2 2 2 3 2" xfId="42405"/>
    <cellStyle name="Total 9 3 2 2 2 4" xfId="31821"/>
    <cellStyle name="Total 9 3 2 2 2_Table 2A-1_EFT (Annual)" xfId="9316"/>
    <cellStyle name="Total 9 3 2 2 3" xfId="11701"/>
    <cellStyle name="Total 9 3 2 2 3 2" xfId="23785"/>
    <cellStyle name="Total 9 3 2 2 3 2 2" xfId="44971"/>
    <cellStyle name="Total 9 3 2 2 3 3" xfId="34367"/>
    <cellStyle name="Total 9 3 2 2 4" xfId="18672"/>
    <cellStyle name="Total 9 3 2 2 4 2" xfId="39859"/>
    <cellStyle name="Total 9 3 2 2 5" xfId="29078"/>
    <cellStyle name="Total 9 3 2 2_Table 2A-1_EFT (Annual)" xfId="9315"/>
    <cellStyle name="Total 9 3 2 3" xfId="4895"/>
    <cellStyle name="Total 9 3 2 3 2" xfId="13155"/>
    <cellStyle name="Total 9 3 2 3 2 2" xfId="25161"/>
    <cellStyle name="Total 9 3 2 3 2 2 2" xfId="46347"/>
    <cellStyle name="Total 9 3 2 3 2 3" xfId="35743"/>
    <cellStyle name="Total 9 3 2 3 3" xfId="20048"/>
    <cellStyle name="Total 9 3 2 3 3 2" xfId="41235"/>
    <cellStyle name="Total 9 3 2 3 4" xfId="30552"/>
    <cellStyle name="Total 9 3 2 3_Table 2A-1_EFT (Annual)" xfId="9317"/>
    <cellStyle name="Total 9 3 2 4" xfId="10499"/>
    <cellStyle name="Total 9 3 2 4 2" xfId="22615"/>
    <cellStyle name="Total 9 3 2 4 2 2" xfId="43801"/>
    <cellStyle name="Total 9 3 2 4 3" xfId="33197"/>
    <cellStyle name="Total 9 3 2 5" xfId="17502"/>
    <cellStyle name="Total 9 3 2 5 2" xfId="38689"/>
    <cellStyle name="Total 9 3 2 6" xfId="27809"/>
    <cellStyle name="Total 9 3 2_Table 2A-1_EFT (Annual)" xfId="9314"/>
    <cellStyle name="Total 9 3 3" xfId="892"/>
    <cellStyle name="Total 9 3 3 2" xfId="4453"/>
    <cellStyle name="Total 9 3 3 2 2" xfId="12715"/>
    <cellStyle name="Total 9 3 3 2 2 2" xfId="24725"/>
    <cellStyle name="Total 9 3 3 2 2 2 2" xfId="45911"/>
    <cellStyle name="Total 9 3 3 2 2 3" xfId="35307"/>
    <cellStyle name="Total 9 3 3 2 3" xfId="19612"/>
    <cellStyle name="Total 9 3 3 2 3 2" xfId="40799"/>
    <cellStyle name="Total 9 3 3 2 4" xfId="30110"/>
    <cellStyle name="Total 9 3 3 2_Table 2A-1_EFT (Annual)" xfId="9319"/>
    <cellStyle name="Total 9 3 3 3" xfId="10062"/>
    <cellStyle name="Total 9 3 3 3 2" xfId="22179"/>
    <cellStyle name="Total 9 3 3 3 2 2" xfId="43365"/>
    <cellStyle name="Total 9 3 3 3 3" xfId="32761"/>
    <cellStyle name="Total 9 3 3 4" xfId="17066"/>
    <cellStyle name="Total 9 3 3 4 2" xfId="38253"/>
    <cellStyle name="Total 9 3 3 5" xfId="27367"/>
    <cellStyle name="Total 9 3 3_Table 2A-1_EFT (Annual)" xfId="9318"/>
    <cellStyle name="Total 9 3 4" xfId="2073"/>
    <cellStyle name="Total 9 3 4 2" xfId="5634"/>
    <cellStyle name="Total 9 3 4 2 2" xfId="13849"/>
    <cellStyle name="Total 9 3 4 2 2 2" xfId="25837"/>
    <cellStyle name="Total 9 3 4 2 2 2 2" xfId="47023"/>
    <cellStyle name="Total 9 3 4 2 2 3" xfId="36419"/>
    <cellStyle name="Total 9 3 4 2 3" xfId="20724"/>
    <cellStyle name="Total 9 3 4 2 3 2" xfId="41911"/>
    <cellStyle name="Total 9 3 4 2 4" xfId="31291"/>
    <cellStyle name="Total 9 3 4 2_Table 2A-1_EFT (Annual)" xfId="9321"/>
    <cellStyle name="Total 9 3 4 3" xfId="11193"/>
    <cellStyle name="Total 9 3 4 3 2" xfId="23291"/>
    <cellStyle name="Total 9 3 4 3 2 2" xfId="44477"/>
    <cellStyle name="Total 9 3 4 3 3" xfId="33873"/>
    <cellStyle name="Total 9 3 4 4" xfId="18178"/>
    <cellStyle name="Total 9 3 4 4 2" xfId="39365"/>
    <cellStyle name="Total 9 3 4 5" xfId="28548"/>
    <cellStyle name="Total 9 3 4_Table 2A-1_EFT (Annual)" xfId="9320"/>
    <cellStyle name="Total 9 3 5" xfId="3921"/>
    <cellStyle name="Total 9 3 5 2" xfId="12249"/>
    <cellStyle name="Total 9 3 5 2 2" xfId="24273"/>
    <cellStyle name="Total 9 3 5 2 2 2" xfId="45459"/>
    <cellStyle name="Total 9 3 5 2 3" xfId="34855"/>
    <cellStyle name="Total 9 3 5 3" xfId="19160"/>
    <cellStyle name="Total 9 3 5 3 2" xfId="40347"/>
    <cellStyle name="Total 9 3 5 4" xfId="29609"/>
    <cellStyle name="Total 9 3 5_Table 2A-1_EFT (Annual)" xfId="9322"/>
    <cellStyle name="Total 9 3 6" xfId="9586"/>
    <cellStyle name="Total 9 3 6 2" xfId="21727"/>
    <cellStyle name="Total 9 3 6 2 2" xfId="42913"/>
    <cellStyle name="Total 9 3 6 3" xfId="32309"/>
    <cellStyle name="Total 9 3 7" xfId="16614"/>
    <cellStyle name="Total 9 3 7 2" xfId="37801"/>
    <cellStyle name="Total 9 3 8" xfId="26866"/>
    <cellStyle name="Total 9 3_Table 2A-1_EFT (Annual)" xfId="3607"/>
    <cellStyle name="Total 9 4" xfId="1168"/>
    <cellStyle name="Total 9 4 2" xfId="2438"/>
    <cellStyle name="Total 9 4 2 2" xfId="5999"/>
    <cellStyle name="Total 9 4 2 2 2" xfId="14193"/>
    <cellStyle name="Total 9 4 2 2 2 2" xfId="26165"/>
    <cellStyle name="Total 9 4 2 2 2 2 2" xfId="47351"/>
    <cellStyle name="Total 9 4 2 2 2 3" xfId="36747"/>
    <cellStyle name="Total 9 4 2 2 3" xfId="21052"/>
    <cellStyle name="Total 9 4 2 2 3 2" xfId="42239"/>
    <cellStyle name="Total 9 4 2 2 4" xfId="31655"/>
    <cellStyle name="Total 9 4 2 2_Table 2A-1_EFT (Annual)" xfId="9325"/>
    <cellStyle name="Total 9 4 2 3" xfId="11535"/>
    <cellStyle name="Total 9 4 2 3 2" xfId="23619"/>
    <cellStyle name="Total 9 4 2 3 2 2" xfId="44805"/>
    <cellStyle name="Total 9 4 2 3 3" xfId="34201"/>
    <cellStyle name="Total 9 4 2 4" xfId="18506"/>
    <cellStyle name="Total 9 4 2 4 2" xfId="39693"/>
    <cellStyle name="Total 9 4 2 5" xfId="28912"/>
    <cellStyle name="Total 9 4 2_Table 2A-1_EFT (Annual)" xfId="9324"/>
    <cellStyle name="Total 9 4 3" xfId="4729"/>
    <cellStyle name="Total 9 4 3 2" xfId="12989"/>
    <cellStyle name="Total 9 4 3 2 2" xfId="24995"/>
    <cellStyle name="Total 9 4 3 2 2 2" xfId="46181"/>
    <cellStyle name="Total 9 4 3 2 3" xfId="35577"/>
    <cellStyle name="Total 9 4 3 3" xfId="19882"/>
    <cellStyle name="Total 9 4 3 3 2" xfId="41069"/>
    <cellStyle name="Total 9 4 3 4" xfId="30386"/>
    <cellStyle name="Total 9 4 3_Table 2A-1_EFT (Annual)" xfId="9326"/>
    <cellStyle name="Total 9 4 4" xfId="10333"/>
    <cellStyle name="Total 9 4 4 2" xfId="22449"/>
    <cellStyle name="Total 9 4 4 2 2" xfId="43635"/>
    <cellStyle name="Total 9 4 4 3" xfId="33031"/>
    <cellStyle name="Total 9 4 5" xfId="17336"/>
    <cellStyle name="Total 9 4 5 2" xfId="38523"/>
    <cellStyle name="Total 9 4 6" xfId="27643"/>
    <cellStyle name="Total 9 4_Table 2A-1_EFT (Annual)" xfId="9323"/>
    <cellStyle name="Total 9 5" xfId="733"/>
    <cellStyle name="Total 9 5 2" xfId="4294"/>
    <cellStyle name="Total 9 5 2 2" xfId="12574"/>
    <cellStyle name="Total 9 5 2 2 2" xfId="24591"/>
    <cellStyle name="Total 9 5 2 2 2 2" xfId="45777"/>
    <cellStyle name="Total 9 5 2 2 3" xfId="35173"/>
    <cellStyle name="Total 9 5 2 3" xfId="19478"/>
    <cellStyle name="Total 9 5 2 3 2" xfId="40665"/>
    <cellStyle name="Total 9 5 2 4" xfId="29951"/>
    <cellStyle name="Total 9 5 2_Table 2A-1_EFT (Annual)" xfId="9328"/>
    <cellStyle name="Total 9 5 3" xfId="9922"/>
    <cellStyle name="Total 9 5 3 2" xfId="22045"/>
    <cellStyle name="Total 9 5 3 2 2" xfId="43231"/>
    <cellStyle name="Total 9 5 3 3" xfId="32627"/>
    <cellStyle name="Total 9 5 4" xfId="16932"/>
    <cellStyle name="Total 9 5 4 2" xfId="38119"/>
    <cellStyle name="Total 9 5 5" xfId="27208"/>
    <cellStyle name="Total 9 5_Table 2A-1_EFT (Annual)" xfId="9327"/>
    <cellStyle name="Total 9 6" xfId="1864"/>
    <cellStyle name="Total 9 6 2" xfId="5425"/>
    <cellStyle name="Total 9 6 2 2" xfId="13640"/>
    <cellStyle name="Total 9 6 2 2 2" xfId="25628"/>
    <cellStyle name="Total 9 6 2 2 2 2" xfId="46814"/>
    <cellStyle name="Total 9 6 2 2 3" xfId="36210"/>
    <cellStyle name="Total 9 6 2 3" xfId="20515"/>
    <cellStyle name="Total 9 6 2 3 2" xfId="41702"/>
    <cellStyle name="Total 9 6 2 4" xfId="31082"/>
    <cellStyle name="Total 9 6 2_Table 2A-1_EFT (Annual)" xfId="9330"/>
    <cellStyle name="Total 9 6 3" xfId="10984"/>
    <cellStyle name="Total 9 6 3 2" xfId="23082"/>
    <cellStyle name="Total 9 6 3 2 2" xfId="44268"/>
    <cellStyle name="Total 9 6 3 3" xfId="33664"/>
    <cellStyle name="Total 9 6 4" xfId="17969"/>
    <cellStyle name="Total 9 6 4 2" xfId="39156"/>
    <cellStyle name="Total 9 6 5" xfId="28339"/>
    <cellStyle name="Total 9 6_Table 2A-1_EFT (Annual)" xfId="9329"/>
    <cellStyle name="Total 9 7" xfId="3709"/>
    <cellStyle name="Total 9 7 2" xfId="12077"/>
    <cellStyle name="Total 9 7 2 2" xfId="24107"/>
    <cellStyle name="Total 9 7 2 2 2" xfId="45293"/>
    <cellStyle name="Total 9 7 2 3" xfId="34689"/>
    <cellStyle name="Total 9 7 3" xfId="18994"/>
    <cellStyle name="Total 9 7 3 2" xfId="40181"/>
    <cellStyle name="Total 9 7 4" xfId="29418"/>
    <cellStyle name="Total 9 7_Table 2A-1_EFT (Annual)" xfId="9331"/>
    <cellStyle name="Total 9 8" xfId="9396"/>
    <cellStyle name="Total 9 8 2" xfId="21561"/>
    <cellStyle name="Total 9 8 2 2" xfId="42747"/>
    <cellStyle name="Total 9 8 3" xfId="32143"/>
    <cellStyle name="Total 9 9" xfId="16448"/>
    <cellStyle name="Total 9 9 2" xfId="37635"/>
    <cellStyle name="Total 9_Table 2A-1_EFT (Annual)" xfId="3605"/>
    <cellStyle name="Warning Text" xfId="52" builtinId="11" customBuiltin="1"/>
    <cellStyle name="Warning Text 2" xfId="297"/>
    <cellStyle name="Warning Text 3" xfId="701"/>
    <cellStyle name="Warning Text 4" xfId="16015"/>
  </cellStyles>
  <dxfs count="58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6" tint="0.39994506668294322"/>
        </patternFill>
      </fill>
    </dxf>
    <dxf>
      <font>
        <color rgb="FFFF0000"/>
      </font>
      <fill>
        <patternFill>
          <bgColor theme="6" tint="0.39994506668294322"/>
        </patternFill>
      </fill>
    </dxf>
  </dxfs>
  <tableStyles count="0" defaultTableStyle="TableStyleMedium9" defaultPivotStyle="PivotStyleLight16"/>
  <colors>
    <mruColors>
      <color rgb="FFFFFFCC"/>
      <color rgb="FFFFFF66"/>
      <color rgb="FFFFCC99"/>
      <color rgb="FF000080"/>
      <color rgb="FFCCFFCC"/>
      <color rgb="FF9999FF"/>
      <color rgb="FFFFFF99"/>
      <color rgb="FFCCFFFF"/>
      <color rgb="FFB7DEE8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externalLink" Target="externalLinks/externalLink9.xml"/><Relationship Id="rId55" Type="http://schemas.openxmlformats.org/officeDocument/2006/relationships/externalLink" Target="externalLinks/externalLink14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3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3" Type="http://schemas.openxmlformats.org/officeDocument/2006/relationships/externalLink" Target="externalLinks/externalLink12.xml"/><Relationship Id="rId58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8.xml"/><Relationship Id="rId57" Type="http://schemas.openxmlformats.org/officeDocument/2006/relationships/externalLink" Target="externalLinks/externalLink16.xml"/><Relationship Id="rId61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19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56" Type="http://schemas.openxmlformats.org/officeDocument/2006/relationships/externalLink" Target="externalLinks/externalLink15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59" Type="http://schemas.openxmlformats.org/officeDocument/2006/relationships/externalLink" Target="externalLinks/externalLink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Budget%20Letters/Midyear%20Adjustment_October%20and%20February/FY2014-15%20Midyear%20Adjustments_March%20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Level%204%20Funding/High%20Cost%20Services/FINAL_High%20Cost%20Services%209-18-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Student%20Data/SIS%20Data/February%202014/2013%20PP3%20Multistats%20-%202-1-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Student%20Data/SIS%20Data/October%202014/Oct%202014%20Multistats%20Internal_%20MER%20Grades%209-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EDFIN_AC/Charters/2014-15/Per%20Pupil%20Calculations%20FY14-15/Final/FY2014-15%20Final%20Charter%20Per%20Pupil_FINA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Budget%20Letters/August%202014_Forward%20Funding%20and%20Stipend%20Pmts/FY2014-15%20MFP%20Budget%20Letter_Aug%2020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Student%20Data/OJJ%20ADM/2013-14%20ADM%20OJJ%20FINA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Budget%20Letters/September%202014_Forward%20Funding/2-1-14%20SIS%20per%20Table%208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RSD%20Orleans_Allocation%20and%20Differentiated%20Funding/March%202015/March%202015_RSD%20Orleans%20Allocation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Student%20Data/SIS%20Data/February%202014/2a)%20RSD_NO_by_Site_Feb_1_2014_MFP_Membership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Student%20Data/SIS%20Data/October%202014/2014Oct_MFP_Crescent%20Leadership%20361001_Count%20by%20Gra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Budget%20Letters/July%202014/FY2014-15%20MFP%20Budget%20Letter_July%20201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Budget%20Letters/September%202014_Forward%20Funding/FY2014-15%20MFP%20Budget%20Letter_Sept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Budget%20Letters/November%202014_Forward%20Funding_10.1.14%20counts/FY2014-15%20MFP%20Budget%20Letter_November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Budget%20Letters/January%202015_Significant%20Decreases/FY2014-15%20MFP%20Budget%20Letter_January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Student%20Data/SIS%20Data/February%202014/4)%20MFP_At_Risk_Funded_Membership_Feb_1_2014_Other_Funded_At_Risk_Membership_by_School_Location_or_Student_Residence_Adjusted_0306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Student%20Data/CTE%20Data/MS6687_2013%20CTE%20Units%20(Total_Fundamental_Technical)corrected5-2-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Student%20Data/SER%20Data/SpEd%20MFP%202_1_1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Task%20Force/2013-2014/SIMULATIONS/To%20BESE%20March%202014/MFP%20Based%20on%20projected%202-1-14%20counts/mf/EFS/MFPAdm/MFP%20Budget%20Letter/2013-2014/Budget%20Letter/July%202013/FY2013-14%20MFP%20Budget%20Letter-%20July%20201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4-2015/Level%204%20Funding/Career%20Development_CDF_6%25%20of%20$3961%20with%20minimum/CDF%20Final%20Data%20and%20ALLOCATION%20for%2014-15_February%202015/MS%206940%202015%20Feb%20CD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% Change for Internal Only"/>
      <sheetName val="Midyear Adjustment Summary"/>
      <sheetName val="October midyear adj"/>
      <sheetName val="Oct Update OJJ"/>
      <sheetName val="Oct midyear LSMSA"/>
      <sheetName val="Oct midyear NOCCA"/>
      <sheetName val="Oct midyear Madison Prep"/>
      <sheetName val="Oct midyear DArbonne"/>
      <sheetName val="Oct midyear Intl_VIBE"/>
      <sheetName val="Oct midyear NOMMA"/>
      <sheetName val="Oct midyear LFNO"/>
      <sheetName val="Oct midyear Lake Charles Chtr"/>
      <sheetName val="Oct midyear JS Clark"/>
      <sheetName val="Oct midyear Southwest"/>
      <sheetName val="Oct midyear LA Key"/>
      <sheetName val="Oct midyear Jefferson Cham"/>
      <sheetName val="Oct midyear Tallulah"/>
      <sheetName val="Oct midyear Northshore"/>
      <sheetName val="Oct midyear B.R. Charter"/>
      <sheetName val="Oct midyear Delta"/>
      <sheetName val="Oct midyear Impact"/>
      <sheetName val="Oct midyear Vision"/>
      <sheetName val="Oct midyear Advantage"/>
      <sheetName val="Oct midyear Iberville"/>
      <sheetName val="Oct midyear L.C. Coll Prep"/>
      <sheetName val="Oct midyear Northeast"/>
      <sheetName val="Oct midyear Acadiana Ren"/>
      <sheetName val="Oct midyear Laf Ren"/>
      <sheetName val="Oct midyear Willow"/>
      <sheetName val="Oct midyear LAVCA"/>
      <sheetName val="Oct midyear LA Conn"/>
      <sheetName val="Oct midyear SSD"/>
      <sheetName val="Oct midyear LSDVI"/>
      <sheetName val="% Change_Feb_Internal"/>
      <sheetName val="February midyear adj"/>
      <sheetName val="Feb midyear LSMSA"/>
      <sheetName val="Feb midyear NOCCA"/>
      <sheetName val="Feb midyear Madison Prep"/>
      <sheetName val="Feb midyear DArbonne"/>
      <sheetName val="Feb midyear Intl_VIBE"/>
      <sheetName val="Feb midyear NOMMA"/>
      <sheetName val="Feb midyear LFNO"/>
      <sheetName val="Feb midyear Lake Charles Chtr"/>
      <sheetName val="Feb midyear JS Clark"/>
      <sheetName val="Feb midyear Southwest"/>
      <sheetName val="Feb midyear LA Key"/>
      <sheetName val="Feb midyear Jefferson Cham"/>
      <sheetName val="Feb midyear Tallulah"/>
      <sheetName val="Feb midyear Northshore"/>
      <sheetName val="Feb midyear B.R. Charter"/>
      <sheetName val="Feb midyear Delta"/>
      <sheetName val="Feb midyear Impact"/>
      <sheetName val="Feb midyear Vision"/>
      <sheetName val="Feb midyear Advantage"/>
      <sheetName val="Feb midyear Iberville"/>
      <sheetName val="Feb midyear L.C. Coll Prep"/>
      <sheetName val="Feb midyear Northeast"/>
      <sheetName val="Feb midyear Acadiana Ren"/>
      <sheetName val="Feb midyear Laf Ren"/>
      <sheetName val="Feb midyear Willow"/>
      <sheetName val="Feb midyear LAVCA"/>
      <sheetName val="Feb midyear LA Conn"/>
      <sheetName val="10.1.14_SIS"/>
      <sheetName val="10.1.14_Type 5_ALL"/>
      <sheetName val="10.1.14_ISL"/>
      <sheetName val="2013-14 ADM OJJ"/>
      <sheetName val="Feb midyear SSD"/>
      <sheetName val="Feb midyear LSDVI"/>
      <sheetName val="2.1.15_SIS"/>
      <sheetName val="2.1.15_Type 5_ALL"/>
      <sheetName val="2.1.15_ISL"/>
    </sheetNames>
    <sheetDataSet>
      <sheetData sheetId="0" refreshError="1"/>
      <sheetData sheetId="1" refreshError="1"/>
      <sheetData sheetId="2">
        <row r="4">
          <cell r="D4">
            <v>9739</v>
          </cell>
          <cell r="K4">
            <v>415750.38310012373</v>
          </cell>
        </row>
        <row r="5">
          <cell r="K5">
            <v>236245.23917737592</v>
          </cell>
        </row>
        <row r="6">
          <cell r="K6">
            <v>1929322.6383123109</v>
          </cell>
        </row>
        <row r="7">
          <cell r="K7">
            <v>-931969.72211161209</v>
          </cell>
        </row>
        <row r="8">
          <cell r="K8">
            <v>326191.63169655501</v>
          </cell>
        </row>
        <row r="9">
          <cell r="K9">
            <v>-77011.851962442626</v>
          </cell>
        </row>
        <row r="10">
          <cell r="K10">
            <v>-47998.771141552512</v>
          </cell>
        </row>
        <row r="11">
          <cell r="K11">
            <v>1537735.3009742734</v>
          </cell>
        </row>
        <row r="12">
          <cell r="K12">
            <v>0</v>
          </cell>
        </row>
        <row r="13">
          <cell r="K13">
            <v>-404385.59344739624</v>
          </cell>
        </row>
        <row r="14">
          <cell r="K14">
            <v>327813.66339268407</v>
          </cell>
        </row>
        <row r="15">
          <cell r="K15">
            <v>65517.938360655739</v>
          </cell>
        </row>
        <row r="16">
          <cell r="K16">
            <v>7183.0597758332215</v>
          </cell>
        </row>
        <row r="17">
          <cell r="K17">
            <v>-55304.378471249998</v>
          </cell>
        </row>
        <row r="18">
          <cell r="K18">
            <v>126072.57042811991</v>
          </cell>
        </row>
        <row r="19">
          <cell r="K19">
            <v>42671.67096694724</v>
          </cell>
        </row>
        <row r="20">
          <cell r="K20">
            <v>920481.72107956745</v>
          </cell>
        </row>
        <row r="21">
          <cell r="K21">
            <v>-50403.523450333014</v>
          </cell>
        </row>
        <row r="22">
          <cell r="K22">
            <v>0</v>
          </cell>
        </row>
        <row r="23">
          <cell r="K23">
            <v>363610.78970648447</v>
          </cell>
        </row>
        <row r="24">
          <cell r="K24">
            <v>-274398.82341305783</v>
          </cell>
        </row>
        <row r="25">
          <cell r="K25">
            <v>338711.02906016033</v>
          </cell>
        </row>
        <row r="26">
          <cell r="K26">
            <v>376173.70075546246</v>
          </cell>
        </row>
        <row r="27">
          <cell r="K27">
            <v>-651593.71879764763</v>
          </cell>
        </row>
        <row r="28">
          <cell r="K28">
            <v>-82055.634467407697</v>
          </cell>
        </row>
        <row r="29">
          <cell r="K29">
            <v>5680439.5310770925</v>
          </cell>
        </row>
        <row r="30">
          <cell r="K30">
            <v>-441861.37411184364</v>
          </cell>
        </row>
        <row r="31">
          <cell r="K31">
            <v>-3057789.0759561919</v>
          </cell>
        </row>
        <row r="32">
          <cell r="K32">
            <v>1212806.0527485863</v>
          </cell>
        </row>
        <row r="33">
          <cell r="K33">
            <v>176355.97363979125</v>
          </cell>
        </row>
        <row r="34">
          <cell r="K34">
            <v>226223.69755422152</v>
          </cell>
        </row>
        <row r="35">
          <cell r="K35">
            <v>2050154.432390172</v>
          </cell>
        </row>
        <row r="36">
          <cell r="K36">
            <v>-378915.1982601285</v>
          </cell>
        </row>
        <row r="37">
          <cell r="K37">
            <v>-471662.12253096525</v>
          </cell>
        </row>
        <row r="38">
          <cell r="K38">
            <v>-713026.02575597004</v>
          </cell>
        </row>
        <row r="39">
          <cell r="K39">
            <v>3520235.3459712183</v>
          </cell>
        </row>
        <row r="40">
          <cell r="K40">
            <v>1118461.9249076231</v>
          </cell>
        </row>
        <row r="41">
          <cell r="K41">
            <v>251010.07095508519</v>
          </cell>
        </row>
        <row r="42">
          <cell r="K42">
            <v>17746.245645429328</v>
          </cell>
        </row>
        <row r="43">
          <cell r="K43">
            <v>-1752446.3895995221</v>
          </cell>
        </row>
        <row r="44">
          <cell r="K44">
            <v>-125322.44572414942</v>
          </cell>
        </row>
        <row r="45">
          <cell r="K45">
            <v>-581732.44083909737</v>
          </cell>
        </row>
        <row r="46">
          <cell r="K46">
            <v>-63633.538720594697</v>
          </cell>
        </row>
        <row r="47">
          <cell r="K47">
            <v>1962946.8027592585</v>
          </cell>
        </row>
        <row r="48">
          <cell r="K48">
            <v>137592.35524739861</v>
          </cell>
        </row>
        <row r="49">
          <cell r="K49">
            <v>189819.68451064749</v>
          </cell>
        </row>
        <row r="50">
          <cell r="K50">
            <v>68698.170515293474</v>
          </cell>
        </row>
        <row r="51">
          <cell r="K51">
            <v>-320392.26469668478</v>
          </cell>
        </row>
        <row r="52">
          <cell r="K52">
            <v>-891250.48505054694</v>
          </cell>
        </row>
        <row r="53">
          <cell r="K53">
            <v>587027.07649928692</v>
          </cell>
        </row>
        <row r="54">
          <cell r="K54">
            <v>437476.75741961098</v>
          </cell>
        </row>
        <row r="55">
          <cell r="K55">
            <v>1041157.3143831528</v>
          </cell>
        </row>
        <row r="56">
          <cell r="K56">
            <v>298994.32260903652</v>
          </cell>
        </row>
        <row r="57">
          <cell r="K57">
            <v>-34092.649185258357</v>
          </cell>
        </row>
        <row r="58">
          <cell r="K58">
            <v>-288531.86530040135</v>
          </cell>
        </row>
        <row r="59">
          <cell r="K59">
            <v>-355518.50927221618</v>
          </cell>
        </row>
        <row r="60">
          <cell r="K60">
            <v>253353.60800238425</v>
          </cell>
        </row>
        <row r="61">
          <cell r="K61">
            <v>-1210329.0631197602</v>
          </cell>
        </row>
        <row r="62">
          <cell r="K62">
            <v>51180.264054652929</v>
          </cell>
        </row>
        <row r="63">
          <cell r="K63">
            <v>-448040.07084485091</v>
          </cell>
        </row>
        <row r="64">
          <cell r="K64">
            <v>140138.96635420292</v>
          </cell>
        </row>
        <row r="65">
          <cell r="K65">
            <v>-500538.05400424864</v>
          </cell>
        </row>
        <row r="66">
          <cell r="K66">
            <v>-195246.85392739237</v>
          </cell>
        </row>
        <row r="67">
          <cell r="K67">
            <v>41222.944519666955</v>
          </cell>
        </row>
        <row r="68">
          <cell r="K68">
            <v>-919102.0109206757</v>
          </cell>
        </row>
        <row r="69">
          <cell r="K69">
            <v>-1663047.6278931489</v>
          </cell>
        </row>
        <row r="70">
          <cell r="K70">
            <v>-258514.05481260351</v>
          </cell>
        </row>
        <row r="71">
          <cell r="K71">
            <v>-1423395.1552106999</v>
          </cell>
        </row>
        <row r="72">
          <cell r="K72">
            <v>1034934.5315326295</v>
          </cell>
        </row>
        <row r="75">
          <cell r="K75">
            <v>101718.02142867651</v>
          </cell>
        </row>
        <row r="76">
          <cell r="K76">
            <v>2258404.8080110135</v>
          </cell>
        </row>
        <row r="83">
          <cell r="K83">
            <v>224835.57760187762</v>
          </cell>
        </row>
        <row r="84">
          <cell r="K84">
            <v>129704.35092472918</v>
          </cell>
        </row>
        <row r="85">
          <cell r="K85">
            <v>337680.91273484495</v>
          </cell>
        </row>
        <row r="86">
          <cell r="K86">
            <v>508898.58005978208</v>
          </cell>
        </row>
        <row r="87">
          <cell r="K87">
            <v>846579.49279462709</v>
          </cell>
        </row>
        <row r="88">
          <cell r="K88">
            <v>38640.323507266163</v>
          </cell>
        </row>
        <row r="89">
          <cell r="K89">
            <v>-642949.82366876653</v>
          </cell>
        </row>
        <row r="90">
          <cell r="K90">
            <v>-41813.112526349993</v>
          </cell>
        </row>
        <row r="91">
          <cell r="K91">
            <v>801752.16120507277</v>
          </cell>
        </row>
        <row r="92">
          <cell r="K92">
            <v>0</v>
          </cell>
        </row>
        <row r="122">
          <cell r="A122">
            <v>300001</v>
          </cell>
          <cell r="B122" t="str">
            <v>Pierre A. Capdau Learning Acdmy (New Beg.)</v>
          </cell>
          <cell r="C122">
            <v>376</v>
          </cell>
          <cell r="D122">
            <v>405</v>
          </cell>
          <cell r="E122">
            <v>29</v>
          </cell>
          <cell r="F122">
            <v>29</v>
          </cell>
          <cell r="G122">
            <v>0</v>
          </cell>
          <cell r="H122">
            <v>3602.7009974327857</v>
          </cell>
          <cell r="I122">
            <v>767.72184717013943</v>
          </cell>
          <cell r="J122">
            <v>4370.4228446029247</v>
          </cell>
          <cell r="K122">
            <v>126742.26249348481</v>
          </cell>
        </row>
        <row r="123">
          <cell r="A123">
            <v>300002</v>
          </cell>
          <cell r="B123" t="str">
            <v>Medard H. Nelson Elem (New Beg.)</v>
          </cell>
          <cell r="C123">
            <v>492</v>
          </cell>
          <cell r="D123">
            <v>480</v>
          </cell>
          <cell r="E123">
            <v>-12</v>
          </cell>
          <cell r="F123">
            <v>0</v>
          </cell>
          <cell r="G123">
            <v>-12</v>
          </cell>
          <cell r="H123">
            <v>3602.7009974327857</v>
          </cell>
          <cell r="I123">
            <v>730.66950653120466</v>
          </cell>
          <cell r="J123">
            <v>4333.3705039639899</v>
          </cell>
          <cell r="K123">
            <v>-52000.446047567879</v>
          </cell>
        </row>
        <row r="124">
          <cell r="A124">
            <v>300003</v>
          </cell>
          <cell r="B124" t="str">
            <v>Lake Area New Tech Early College (New Beg.)</v>
          </cell>
          <cell r="C124">
            <v>660</v>
          </cell>
          <cell r="D124">
            <v>698</v>
          </cell>
          <cell r="E124">
            <v>38</v>
          </cell>
          <cell r="F124">
            <v>38</v>
          </cell>
          <cell r="G124">
            <v>0</v>
          </cell>
          <cell r="H124">
            <v>3602.7009974327857</v>
          </cell>
          <cell r="I124">
            <v>767.72184717013943</v>
          </cell>
          <cell r="J124">
            <v>4370.4228446029247</v>
          </cell>
          <cell r="K124">
            <v>166076.06809491114</v>
          </cell>
        </row>
        <row r="125">
          <cell r="A125">
            <v>300004</v>
          </cell>
          <cell r="B125" t="str">
            <v>Gentilly Terrace Elem (New Beg.)</v>
          </cell>
          <cell r="C125">
            <v>447</v>
          </cell>
          <cell r="D125">
            <v>465</v>
          </cell>
          <cell r="E125">
            <v>18</v>
          </cell>
          <cell r="F125">
            <v>18</v>
          </cell>
          <cell r="G125">
            <v>0</v>
          </cell>
          <cell r="H125">
            <v>3602.7009974327857</v>
          </cell>
          <cell r="I125">
            <v>746.0335616438357</v>
          </cell>
          <cell r="J125">
            <v>4348.7345590766217</v>
          </cell>
          <cell r="K125">
            <v>78277.222063379188</v>
          </cell>
        </row>
        <row r="126">
          <cell r="A126">
            <v>360001</v>
          </cell>
          <cell r="B126" t="str">
            <v>The NET Charter School (Educators for Qual Alt)</v>
          </cell>
          <cell r="C126">
            <v>145</v>
          </cell>
          <cell r="D126">
            <v>164</v>
          </cell>
          <cell r="E126">
            <v>19</v>
          </cell>
          <cell r="F126">
            <v>19</v>
          </cell>
          <cell r="G126">
            <v>0</v>
          </cell>
          <cell r="H126">
            <v>3602.7009974327857</v>
          </cell>
          <cell r="I126">
            <v>746.0335616438357</v>
          </cell>
          <cell r="J126">
            <v>4348.7345590766217</v>
          </cell>
          <cell r="K126">
            <v>82625.956622455808</v>
          </cell>
        </row>
        <row r="127">
          <cell r="A127">
            <v>361001</v>
          </cell>
          <cell r="B127" t="str">
            <v>Crescent Leadership Acdmy (Crescent Ldrsp Acdmy.)</v>
          </cell>
          <cell r="C127">
            <v>234</v>
          </cell>
          <cell r="D127">
            <v>162</v>
          </cell>
          <cell r="E127">
            <v>-72</v>
          </cell>
          <cell r="F127">
            <v>0</v>
          </cell>
          <cell r="G127">
            <v>-72</v>
          </cell>
          <cell r="H127">
            <v>3602.7009974327857</v>
          </cell>
          <cell r="I127">
            <v>746.0335616438357</v>
          </cell>
          <cell r="J127">
            <v>4348.7345590766217</v>
          </cell>
          <cell r="K127">
            <v>-313108.88825351675</v>
          </cell>
        </row>
        <row r="128">
          <cell r="A128">
            <v>363001</v>
          </cell>
          <cell r="B128" t="str">
            <v>Harriet Tubman Charter School (Crescent City Schools)</v>
          </cell>
          <cell r="C128">
            <v>521</v>
          </cell>
          <cell r="D128">
            <v>543</v>
          </cell>
          <cell r="E128">
            <v>22</v>
          </cell>
          <cell r="F128">
            <v>22</v>
          </cell>
          <cell r="G128">
            <v>0</v>
          </cell>
          <cell r="H128">
            <v>3602.7009974327857</v>
          </cell>
          <cell r="I128">
            <v>746.0335616438357</v>
          </cell>
          <cell r="J128">
            <v>4348.7345590766217</v>
          </cell>
          <cell r="K128">
            <v>95672.160299685682</v>
          </cell>
        </row>
        <row r="129">
          <cell r="A129">
            <v>363002</v>
          </cell>
          <cell r="B129" t="str">
            <v>Paul Habans Elem (Crescent City Schools)</v>
          </cell>
          <cell r="C129">
            <v>369</v>
          </cell>
          <cell r="D129">
            <v>414</v>
          </cell>
          <cell r="E129">
            <v>45</v>
          </cell>
          <cell r="F129">
            <v>45</v>
          </cell>
          <cell r="G129">
            <v>0</v>
          </cell>
          <cell r="H129">
            <v>3602.7009974327857</v>
          </cell>
          <cell r="I129">
            <v>746.0335616438357</v>
          </cell>
          <cell r="J129">
            <v>4348.7345590766217</v>
          </cell>
          <cell r="K129">
            <v>195693.05515844797</v>
          </cell>
        </row>
        <row r="130">
          <cell r="A130">
            <v>364001</v>
          </cell>
          <cell r="B130" t="str">
            <v>Fannie C. Williams Charter School (CLASS)</v>
          </cell>
          <cell r="C130">
            <v>548</v>
          </cell>
          <cell r="D130">
            <v>558</v>
          </cell>
          <cell r="E130">
            <v>10</v>
          </cell>
          <cell r="F130">
            <v>10</v>
          </cell>
          <cell r="G130">
            <v>0</v>
          </cell>
          <cell r="H130">
            <v>3602.7009974327857</v>
          </cell>
          <cell r="I130">
            <v>746.0335616438357</v>
          </cell>
          <cell r="J130">
            <v>4348.7345590766217</v>
          </cell>
          <cell r="K130">
            <v>43487.345590766214</v>
          </cell>
        </row>
        <row r="131">
          <cell r="A131">
            <v>366001</v>
          </cell>
          <cell r="B131" t="str">
            <v>Lagniappe Academies of N.O. (Lagniappe Academies)</v>
          </cell>
          <cell r="C131">
            <v>164</v>
          </cell>
          <cell r="D131">
            <v>180</v>
          </cell>
          <cell r="E131">
            <v>16</v>
          </cell>
          <cell r="F131">
            <v>16</v>
          </cell>
          <cell r="G131">
            <v>0</v>
          </cell>
          <cell r="H131">
            <v>3602.7009974327857</v>
          </cell>
          <cell r="I131">
            <v>746.0335616438357</v>
          </cell>
          <cell r="J131">
            <v>4348.7345590766217</v>
          </cell>
          <cell r="K131">
            <v>69579.752945225948</v>
          </cell>
        </row>
        <row r="132">
          <cell r="A132">
            <v>367001</v>
          </cell>
          <cell r="B132" t="str">
            <v>Edgar P. Harney Spirit of Excellence Acdmy (Spirit of Excel)</v>
          </cell>
          <cell r="C132">
            <v>371</v>
          </cell>
          <cell r="D132">
            <v>387</v>
          </cell>
          <cell r="E132">
            <v>16</v>
          </cell>
          <cell r="F132">
            <v>16</v>
          </cell>
          <cell r="G132">
            <v>0</v>
          </cell>
          <cell r="H132">
            <v>3602.7009974327857</v>
          </cell>
          <cell r="I132">
            <v>746.0335616438357</v>
          </cell>
          <cell r="J132">
            <v>4348.7345590766217</v>
          </cell>
          <cell r="K132">
            <v>69579.752945225948</v>
          </cell>
        </row>
        <row r="133">
          <cell r="A133">
            <v>368001</v>
          </cell>
          <cell r="B133" t="str">
            <v>Morris Jeff Community School (Morris Jeff Comm. School)</v>
          </cell>
          <cell r="C133">
            <v>369</v>
          </cell>
          <cell r="D133">
            <v>467</v>
          </cell>
          <cell r="E133">
            <v>98</v>
          </cell>
          <cell r="F133">
            <v>98</v>
          </cell>
          <cell r="G133">
            <v>0</v>
          </cell>
          <cell r="H133">
            <v>3602.7009974327857</v>
          </cell>
          <cell r="I133">
            <v>746.03356164383604</v>
          </cell>
          <cell r="J133">
            <v>4348.7345590766217</v>
          </cell>
          <cell r="K133">
            <v>426175.98678950896</v>
          </cell>
        </row>
        <row r="134">
          <cell r="A134">
            <v>369001</v>
          </cell>
          <cell r="B134" t="str">
            <v>ReNEW Cultural Arts Acdmy. (ReNEW)</v>
          </cell>
          <cell r="C134">
            <v>611</v>
          </cell>
          <cell r="D134">
            <v>643</v>
          </cell>
          <cell r="E134">
            <v>32</v>
          </cell>
          <cell r="F134">
            <v>32</v>
          </cell>
          <cell r="G134">
            <v>0</v>
          </cell>
          <cell r="H134">
            <v>3602.7009974327857</v>
          </cell>
          <cell r="I134">
            <v>746.0335616438357</v>
          </cell>
          <cell r="J134">
            <v>4348.7345590766217</v>
          </cell>
          <cell r="K134">
            <v>139159.5058904519</v>
          </cell>
        </row>
        <row r="135">
          <cell r="A135">
            <v>369002</v>
          </cell>
          <cell r="B135" t="str">
            <v>ReNEW SciTech Acdmy. (ReNEW)</v>
          </cell>
          <cell r="C135">
            <v>692</v>
          </cell>
          <cell r="D135">
            <v>688</v>
          </cell>
          <cell r="E135">
            <v>-4</v>
          </cell>
          <cell r="F135">
            <v>0</v>
          </cell>
          <cell r="G135">
            <v>-4</v>
          </cell>
          <cell r="H135">
            <v>3602.7009974327857</v>
          </cell>
          <cell r="I135">
            <v>746.0335616438357</v>
          </cell>
          <cell r="J135">
            <v>4348.7345590766217</v>
          </cell>
          <cell r="K135">
            <v>-17394.938236306487</v>
          </cell>
        </row>
        <row r="136">
          <cell r="A136">
            <v>369003</v>
          </cell>
          <cell r="B136" t="str">
            <v>ReNEW Delores T. Aaron Elem (ReNEW)</v>
          </cell>
          <cell r="C136">
            <v>708</v>
          </cell>
          <cell r="D136">
            <v>735</v>
          </cell>
          <cell r="E136">
            <v>27</v>
          </cell>
          <cell r="F136">
            <v>27</v>
          </cell>
          <cell r="G136">
            <v>0</v>
          </cell>
          <cell r="H136">
            <v>3602.7009974327857</v>
          </cell>
          <cell r="I136">
            <v>746.0335616438357</v>
          </cell>
          <cell r="J136">
            <v>4348.7345590766217</v>
          </cell>
          <cell r="K136">
            <v>117415.83309506878</v>
          </cell>
        </row>
        <row r="137">
          <cell r="A137">
            <v>369004</v>
          </cell>
          <cell r="B137" t="str">
            <v>ReNEW Accelerated High, City Park (ReNEW)</v>
          </cell>
          <cell r="C137">
            <v>174</v>
          </cell>
          <cell r="D137">
            <v>178</v>
          </cell>
          <cell r="E137">
            <v>4</v>
          </cell>
          <cell r="F137">
            <v>4</v>
          </cell>
          <cell r="G137">
            <v>0</v>
          </cell>
          <cell r="H137">
            <v>3602.7009974327857</v>
          </cell>
          <cell r="I137">
            <v>746.0335616438357</v>
          </cell>
          <cell r="J137">
            <v>4348.7345590766217</v>
          </cell>
          <cell r="K137">
            <v>17394.938236306487</v>
          </cell>
        </row>
        <row r="138">
          <cell r="A138">
            <v>369005</v>
          </cell>
          <cell r="B138" t="str">
            <v>ReNEW Accelerated High, West Bank (ReNEW)</v>
          </cell>
          <cell r="C138">
            <v>177</v>
          </cell>
          <cell r="D138">
            <v>163</v>
          </cell>
          <cell r="E138">
            <v>-14</v>
          </cell>
          <cell r="F138">
            <v>0</v>
          </cell>
          <cell r="G138">
            <v>-14</v>
          </cell>
          <cell r="H138">
            <v>3602.7009974327857</v>
          </cell>
          <cell r="I138">
            <v>746.0335616438357</v>
          </cell>
          <cell r="J138">
            <v>4348.7345590766217</v>
          </cell>
          <cell r="K138">
            <v>-60882.283827072708</v>
          </cell>
        </row>
        <row r="139">
          <cell r="A139">
            <v>369006</v>
          </cell>
          <cell r="B139" t="str">
            <v>ReNEW Schaumburg Elem (ReNEW)</v>
          </cell>
          <cell r="C139">
            <v>777</v>
          </cell>
          <cell r="D139">
            <v>783</v>
          </cell>
          <cell r="E139">
            <v>6</v>
          </cell>
          <cell r="F139">
            <v>6</v>
          </cell>
          <cell r="G139">
            <v>0</v>
          </cell>
          <cell r="H139">
            <v>3602.7009974327857</v>
          </cell>
          <cell r="I139">
            <v>746.0335616438357</v>
          </cell>
          <cell r="J139">
            <v>4348.7345590766217</v>
          </cell>
          <cell r="K139">
            <v>26092.40735445973</v>
          </cell>
        </row>
        <row r="140">
          <cell r="A140">
            <v>373001</v>
          </cell>
          <cell r="B140" t="str">
            <v>Arise Academy (Arise Academy)</v>
          </cell>
          <cell r="C140">
            <v>450</v>
          </cell>
          <cell r="D140">
            <v>425</v>
          </cell>
          <cell r="E140">
            <v>-25</v>
          </cell>
          <cell r="F140">
            <v>0</v>
          </cell>
          <cell r="G140">
            <v>-25</v>
          </cell>
          <cell r="H140">
            <v>3602.7009974327857</v>
          </cell>
          <cell r="I140">
            <v>746.0335616438357</v>
          </cell>
          <cell r="J140">
            <v>4348.7345590766217</v>
          </cell>
          <cell r="K140">
            <v>-108718.36397691554</v>
          </cell>
        </row>
        <row r="141">
          <cell r="A141">
            <v>373002</v>
          </cell>
          <cell r="B141" t="str">
            <v>Mildred Osborne Elem (Arise Academy)</v>
          </cell>
          <cell r="C141">
            <v>379</v>
          </cell>
          <cell r="D141">
            <v>423</v>
          </cell>
          <cell r="E141">
            <v>44</v>
          </cell>
          <cell r="F141">
            <v>44</v>
          </cell>
          <cell r="G141">
            <v>0</v>
          </cell>
          <cell r="H141">
            <v>3602.7009974327857</v>
          </cell>
          <cell r="I141">
            <v>746.0335616438357</v>
          </cell>
          <cell r="J141">
            <v>4348.7345590766217</v>
          </cell>
          <cell r="K141">
            <v>191344.32059937136</v>
          </cell>
        </row>
        <row r="142">
          <cell r="A142">
            <v>374001</v>
          </cell>
          <cell r="B142" t="str">
            <v>Success Preparatory Academy (Success Prep)</v>
          </cell>
          <cell r="C142">
            <v>467</v>
          </cell>
          <cell r="D142">
            <v>506</v>
          </cell>
          <cell r="E142">
            <v>39</v>
          </cell>
          <cell r="F142">
            <v>39</v>
          </cell>
          <cell r="G142">
            <v>0</v>
          </cell>
          <cell r="H142">
            <v>3602.7009974327857</v>
          </cell>
          <cell r="I142">
            <v>746.0335616438357</v>
          </cell>
          <cell r="J142">
            <v>4348.7345590766217</v>
          </cell>
          <cell r="K142">
            <v>169600.64780398825</v>
          </cell>
        </row>
        <row r="143">
          <cell r="A143">
            <v>381001</v>
          </cell>
          <cell r="B143" t="str">
            <v>Akili Academy of N.O. (Crescent City Schools)</v>
          </cell>
          <cell r="C143">
            <v>482</v>
          </cell>
          <cell r="D143">
            <v>487</v>
          </cell>
          <cell r="E143">
            <v>5</v>
          </cell>
          <cell r="F143">
            <v>5</v>
          </cell>
          <cell r="G143">
            <v>0</v>
          </cell>
          <cell r="H143">
            <v>3602.7009974327857</v>
          </cell>
          <cell r="I143">
            <v>743.65689655172423</v>
          </cell>
          <cell r="J143">
            <v>4346.3578939845102</v>
          </cell>
          <cell r="K143">
            <v>21731.789469922551</v>
          </cell>
        </row>
        <row r="144">
          <cell r="A144">
            <v>382001</v>
          </cell>
          <cell r="B144" t="str">
            <v>Sci Academy (Collegiate Academies)</v>
          </cell>
          <cell r="C144">
            <v>433</v>
          </cell>
          <cell r="D144">
            <v>460</v>
          </cell>
          <cell r="E144">
            <v>27</v>
          </cell>
          <cell r="F144">
            <v>27</v>
          </cell>
          <cell r="G144">
            <v>0</v>
          </cell>
          <cell r="H144">
            <v>3602.7009974327857</v>
          </cell>
          <cell r="I144">
            <v>783.54939759036142</v>
          </cell>
          <cell r="J144">
            <v>4386.2503950231476</v>
          </cell>
          <cell r="K144">
            <v>118428.76066562498</v>
          </cell>
        </row>
        <row r="145">
          <cell r="A145">
            <v>382002</v>
          </cell>
          <cell r="B145" t="str">
            <v>G.W. Carver Collegiate Acdmy (Collegiate Academies)</v>
          </cell>
          <cell r="C145">
            <v>202</v>
          </cell>
          <cell r="D145">
            <v>305</v>
          </cell>
          <cell r="E145">
            <v>103</v>
          </cell>
          <cell r="F145">
            <v>103</v>
          </cell>
          <cell r="G145">
            <v>0</v>
          </cell>
          <cell r="H145">
            <v>3602.7009974327857</v>
          </cell>
          <cell r="I145">
            <v>746.0335616438357</v>
          </cell>
          <cell r="J145">
            <v>4348.7345590766217</v>
          </cell>
          <cell r="K145">
            <v>447919.65958489204</v>
          </cell>
        </row>
        <row r="146">
          <cell r="A146">
            <v>382003</v>
          </cell>
          <cell r="B146" t="str">
            <v>G.W. Carver Prep Acdmy (Collegiate Academies)</v>
          </cell>
          <cell r="C146">
            <v>186</v>
          </cell>
          <cell r="D146">
            <v>287</v>
          </cell>
          <cell r="E146">
            <v>101</v>
          </cell>
          <cell r="F146">
            <v>101</v>
          </cell>
          <cell r="G146">
            <v>0</v>
          </cell>
          <cell r="H146">
            <v>3602.7009974327857</v>
          </cell>
          <cell r="I146">
            <v>746.0335616438357</v>
          </cell>
          <cell r="J146">
            <v>4348.7345590766217</v>
          </cell>
          <cell r="K146">
            <v>439222.19046673877</v>
          </cell>
        </row>
        <row r="147">
          <cell r="A147">
            <v>384001</v>
          </cell>
          <cell r="B147" t="str">
            <v>Miller McCoy Academy (Miller McCoy Academy)</v>
          </cell>
          <cell r="C147">
            <v>326</v>
          </cell>
          <cell r="D147">
            <v>365</v>
          </cell>
          <cell r="E147">
            <v>39</v>
          </cell>
          <cell r="F147">
            <v>39</v>
          </cell>
          <cell r="G147">
            <v>0</v>
          </cell>
          <cell r="H147">
            <v>3602.7009974327857</v>
          </cell>
          <cell r="I147">
            <v>735.82244897959185</v>
          </cell>
          <cell r="J147">
            <v>4338.5234464123778</v>
          </cell>
          <cell r="K147">
            <v>169202.41441008274</v>
          </cell>
        </row>
        <row r="148">
          <cell r="A148">
            <v>385001</v>
          </cell>
          <cell r="B148" t="str">
            <v>Sylvanie Williams College Prep (N.O. College Prep)</v>
          </cell>
          <cell r="C148">
            <v>322</v>
          </cell>
          <cell r="D148">
            <v>341</v>
          </cell>
          <cell r="E148">
            <v>19</v>
          </cell>
          <cell r="F148">
            <v>19</v>
          </cell>
          <cell r="G148">
            <v>0</v>
          </cell>
          <cell r="H148">
            <v>3602.7009974327857</v>
          </cell>
          <cell r="I148">
            <v>618.75651162790689</v>
          </cell>
          <cell r="J148">
            <v>4221.4575090606922</v>
          </cell>
          <cell r="K148">
            <v>80207.692672153149</v>
          </cell>
        </row>
        <row r="149">
          <cell r="A149">
            <v>385002</v>
          </cell>
          <cell r="B149" t="str">
            <v>Cohen College Prep (N.O. College Prep)</v>
          </cell>
          <cell r="C149">
            <v>493</v>
          </cell>
          <cell r="D149">
            <v>464</v>
          </cell>
          <cell r="E149">
            <v>-29</v>
          </cell>
          <cell r="F149">
            <v>0</v>
          </cell>
          <cell r="G149">
            <v>-29</v>
          </cell>
          <cell r="H149">
            <v>3602.7009974327857</v>
          </cell>
          <cell r="I149">
            <v>746.0335616438357</v>
          </cell>
          <cell r="J149">
            <v>4348.7345590766217</v>
          </cell>
          <cell r="K149">
            <v>-126113.30221322204</v>
          </cell>
        </row>
        <row r="150">
          <cell r="A150">
            <v>385003</v>
          </cell>
          <cell r="B150" t="str">
            <v>Crocker College Prep (N.O. College Prep)</v>
          </cell>
          <cell r="C150">
            <v>278</v>
          </cell>
          <cell r="D150">
            <v>389</v>
          </cell>
          <cell r="E150">
            <v>111</v>
          </cell>
          <cell r="F150">
            <v>111</v>
          </cell>
          <cell r="G150">
            <v>0</v>
          </cell>
          <cell r="H150">
            <v>3602.7009974327857</v>
          </cell>
          <cell r="I150">
            <v>746.0335616438357</v>
          </cell>
          <cell r="J150">
            <v>4348.7345590766217</v>
          </cell>
          <cell r="K150">
            <v>482709.536057505</v>
          </cell>
        </row>
        <row r="151">
          <cell r="A151">
            <v>388001</v>
          </cell>
          <cell r="B151" t="str">
            <v>Andrew H. Wilson Charter (Broadmoor)</v>
          </cell>
          <cell r="C151">
            <v>599</v>
          </cell>
          <cell r="D151">
            <v>608</v>
          </cell>
          <cell r="E151">
            <v>9</v>
          </cell>
          <cell r="F151">
            <v>9</v>
          </cell>
          <cell r="G151">
            <v>0</v>
          </cell>
          <cell r="H151">
            <v>3602.7009974327857</v>
          </cell>
          <cell r="I151">
            <v>708.2132751810401</v>
          </cell>
          <cell r="J151">
            <v>4310.9142726138261</v>
          </cell>
          <cell r="K151">
            <v>38798.228453524433</v>
          </cell>
        </row>
        <row r="152">
          <cell r="A152">
            <v>390001</v>
          </cell>
          <cell r="B152" t="str">
            <v>James M. Singleton Charter (Dryades YMCA)</v>
          </cell>
          <cell r="C152">
            <v>511</v>
          </cell>
          <cell r="D152">
            <v>476</v>
          </cell>
          <cell r="E152">
            <v>-35</v>
          </cell>
          <cell r="F152">
            <v>0</v>
          </cell>
          <cell r="G152">
            <v>-35</v>
          </cell>
          <cell r="H152">
            <v>3602.7009974327857</v>
          </cell>
          <cell r="I152">
            <v>650.55234865477053</v>
          </cell>
          <cell r="J152">
            <v>4253.2533460875566</v>
          </cell>
          <cell r="K152">
            <v>-148863.86711306448</v>
          </cell>
        </row>
        <row r="153">
          <cell r="A153">
            <v>391001</v>
          </cell>
          <cell r="B153" t="str">
            <v>Dr. MLK, Jr Charter for Sci &amp; Tech (Friends of King)</v>
          </cell>
          <cell r="C153">
            <v>738</v>
          </cell>
          <cell r="D153">
            <v>726</v>
          </cell>
          <cell r="E153">
            <v>-12</v>
          </cell>
          <cell r="F153">
            <v>0</v>
          </cell>
          <cell r="G153">
            <v>-12</v>
          </cell>
          <cell r="H153">
            <v>3602.7009974327857</v>
          </cell>
          <cell r="I153">
            <v>721.28337970262919</v>
          </cell>
          <cell r="J153">
            <v>4323.9843771354153</v>
          </cell>
          <cell r="K153">
            <v>-51887.812525624984</v>
          </cell>
        </row>
        <row r="154">
          <cell r="A154">
            <v>391002</v>
          </cell>
          <cell r="B154" t="str">
            <v>Joseph A. Craig (Friends of King)</v>
          </cell>
          <cell r="C154">
            <v>377</v>
          </cell>
          <cell r="D154">
            <v>390</v>
          </cell>
          <cell r="E154">
            <v>13</v>
          </cell>
          <cell r="F154">
            <v>13</v>
          </cell>
          <cell r="G154">
            <v>0</v>
          </cell>
          <cell r="H154">
            <v>3602.7009974327857</v>
          </cell>
          <cell r="I154">
            <v>746.0335616438357</v>
          </cell>
          <cell r="J154">
            <v>4348.7345590766217</v>
          </cell>
          <cell r="K154">
            <v>56533.549267996081</v>
          </cell>
        </row>
        <row r="155">
          <cell r="A155">
            <v>392001</v>
          </cell>
          <cell r="B155" t="str">
            <v>McDonogh #28 City Park Acdmy (N.O. Charter Schls Fndtn)</v>
          </cell>
          <cell r="C155">
            <v>449</v>
          </cell>
          <cell r="D155">
            <v>448</v>
          </cell>
          <cell r="E155">
            <v>-1</v>
          </cell>
          <cell r="F155">
            <v>0</v>
          </cell>
          <cell r="G155">
            <v>-1</v>
          </cell>
          <cell r="H155">
            <v>3602.7009974327857</v>
          </cell>
          <cell r="I155">
            <v>600.21655982905986</v>
          </cell>
          <cell r="J155">
            <v>4202.917557261846</v>
          </cell>
          <cell r="K155">
            <v>-4202.917557261846</v>
          </cell>
        </row>
        <row r="156">
          <cell r="A156">
            <v>393001</v>
          </cell>
          <cell r="B156" t="str">
            <v>Lafayette Academy (Choice Foundation)</v>
          </cell>
          <cell r="C156">
            <v>880</v>
          </cell>
          <cell r="D156">
            <v>916</v>
          </cell>
          <cell r="E156">
            <v>36</v>
          </cell>
          <cell r="F156">
            <v>36</v>
          </cell>
          <cell r="G156">
            <v>0</v>
          </cell>
          <cell r="H156">
            <v>3602.7009974327857</v>
          </cell>
          <cell r="I156">
            <v>776.90344307346322</v>
          </cell>
          <cell r="J156">
            <v>4379.6044405062494</v>
          </cell>
          <cell r="K156">
            <v>157665.75985822498</v>
          </cell>
        </row>
        <row r="157">
          <cell r="A157">
            <v>393002</v>
          </cell>
          <cell r="B157" t="str">
            <v>Esperanza Charter (Choice Foundation)</v>
          </cell>
          <cell r="C157">
            <v>484</v>
          </cell>
          <cell r="D157">
            <v>453</v>
          </cell>
          <cell r="E157">
            <v>-31</v>
          </cell>
          <cell r="F157">
            <v>0</v>
          </cell>
          <cell r="G157">
            <v>-31</v>
          </cell>
          <cell r="H157">
            <v>3602.7009974327857</v>
          </cell>
          <cell r="I157">
            <v>642.89065513553726</v>
          </cell>
          <cell r="J157">
            <v>4245.5916525683233</v>
          </cell>
          <cell r="K157">
            <v>-131613.34122961803</v>
          </cell>
        </row>
        <row r="158">
          <cell r="A158">
            <v>393003</v>
          </cell>
          <cell r="B158" t="str">
            <v>McDonogh #42 Elem Charter (Choice Foundation)</v>
          </cell>
          <cell r="C158">
            <v>439</v>
          </cell>
          <cell r="D158">
            <v>415</v>
          </cell>
          <cell r="E158">
            <v>-24</v>
          </cell>
          <cell r="F158">
            <v>0</v>
          </cell>
          <cell r="G158">
            <v>-24</v>
          </cell>
          <cell r="H158">
            <v>3602.7009974327857</v>
          </cell>
          <cell r="I158">
            <v>746.0335616438357</v>
          </cell>
          <cell r="J158">
            <v>4348.7345590766217</v>
          </cell>
          <cell r="K158">
            <v>-104369.62941783892</v>
          </cell>
        </row>
        <row r="159">
          <cell r="A159">
            <v>395001</v>
          </cell>
          <cell r="B159" t="str">
            <v>Martin Behrman (ACSA)</v>
          </cell>
          <cell r="C159">
            <v>686</v>
          </cell>
          <cell r="D159">
            <v>683</v>
          </cell>
          <cell r="E159">
            <v>-3</v>
          </cell>
          <cell r="F159">
            <v>0</v>
          </cell>
          <cell r="G159">
            <v>-3</v>
          </cell>
          <cell r="H159">
            <v>3602.7009974327857</v>
          </cell>
          <cell r="I159">
            <v>678.38194087511556</v>
          </cell>
          <cell r="J159">
            <v>4281.0829383079017</v>
          </cell>
          <cell r="K159">
            <v>-12843.248814923705</v>
          </cell>
        </row>
        <row r="160">
          <cell r="A160">
            <v>395002</v>
          </cell>
          <cell r="B160" t="str">
            <v>Dwight D. Eisenhower (ACSA )</v>
          </cell>
          <cell r="C160">
            <v>778</v>
          </cell>
          <cell r="D160">
            <v>775</v>
          </cell>
          <cell r="E160">
            <v>-3</v>
          </cell>
          <cell r="F160">
            <v>0</v>
          </cell>
          <cell r="G160">
            <v>-3</v>
          </cell>
          <cell r="H160">
            <v>3602.7009974327857</v>
          </cell>
          <cell r="I160">
            <v>686.92241021135874</v>
          </cell>
          <cell r="J160">
            <v>4289.6234076441442</v>
          </cell>
          <cell r="K160">
            <v>-12868.870222932434</v>
          </cell>
        </row>
        <row r="161">
          <cell r="A161">
            <v>395003</v>
          </cell>
          <cell r="B161" t="str">
            <v>William J. Fischer (ACSA )</v>
          </cell>
          <cell r="C161">
            <v>616</v>
          </cell>
          <cell r="D161">
            <v>613</v>
          </cell>
          <cell r="E161">
            <v>-3</v>
          </cell>
          <cell r="F161">
            <v>0</v>
          </cell>
          <cell r="G161">
            <v>-3</v>
          </cell>
          <cell r="H161">
            <v>3602.7009974327857</v>
          </cell>
          <cell r="I161">
            <v>761.3587570202327</v>
          </cell>
          <cell r="J161">
            <v>4364.0597544530183</v>
          </cell>
          <cell r="K161">
            <v>-13092.179263359056</v>
          </cell>
        </row>
        <row r="162">
          <cell r="A162">
            <v>395004</v>
          </cell>
          <cell r="B162" t="str">
            <v>McDonogh #32 Elem (ACSA)</v>
          </cell>
          <cell r="C162">
            <v>564</v>
          </cell>
          <cell r="D162">
            <v>632</v>
          </cell>
          <cell r="E162">
            <v>68</v>
          </cell>
          <cell r="F162">
            <v>68</v>
          </cell>
          <cell r="G162">
            <v>0</v>
          </cell>
          <cell r="H162">
            <v>3602.7009974327857</v>
          </cell>
          <cell r="I162">
            <v>1003.4698393033485</v>
          </cell>
          <cell r="J162">
            <v>4606.1708367361343</v>
          </cell>
          <cell r="K162">
            <v>313219.61689805711</v>
          </cell>
        </row>
        <row r="163">
          <cell r="A163">
            <v>395005</v>
          </cell>
          <cell r="B163" t="str">
            <v>LB Landry-OP Walker College &amp; Career Prep (ACSA)</v>
          </cell>
          <cell r="C163">
            <v>1170</v>
          </cell>
          <cell r="D163">
            <v>1316</v>
          </cell>
          <cell r="E163">
            <v>146</v>
          </cell>
          <cell r="F163">
            <v>146</v>
          </cell>
          <cell r="G163">
            <v>0</v>
          </cell>
          <cell r="H163">
            <v>3602.7009974327857</v>
          </cell>
          <cell r="I163">
            <v>592.05529010815155</v>
          </cell>
          <cell r="J163">
            <v>4194.7562875409376</v>
          </cell>
          <cell r="K163">
            <v>612434.41798097687</v>
          </cell>
        </row>
        <row r="164">
          <cell r="A164">
            <v>395007</v>
          </cell>
          <cell r="B164" t="str">
            <v>Algiers Technology Acdmy (ACSA)</v>
          </cell>
          <cell r="C164">
            <v>234</v>
          </cell>
          <cell r="D164">
            <v>299</v>
          </cell>
          <cell r="E164">
            <v>65</v>
          </cell>
          <cell r="F164">
            <v>65</v>
          </cell>
          <cell r="G164">
            <v>0</v>
          </cell>
          <cell r="H164">
            <v>3602.7009974327857</v>
          </cell>
          <cell r="I164">
            <v>907.69666061705993</v>
          </cell>
          <cell r="J164">
            <v>4510.3976580498456</v>
          </cell>
          <cell r="K164">
            <v>293175.84777323995</v>
          </cell>
        </row>
        <row r="165">
          <cell r="A165">
            <v>397001</v>
          </cell>
          <cell r="B165" t="str">
            <v>Sophie B. Wright Learning Acdmy (Inst. of Academic Excel.)</v>
          </cell>
          <cell r="C165">
            <v>447</v>
          </cell>
          <cell r="D165">
            <v>399</v>
          </cell>
          <cell r="E165">
            <v>-48</v>
          </cell>
          <cell r="F165">
            <v>0</v>
          </cell>
          <cell r="G165">
            <v>-48</v>
          </cell>
          <cell r="H165">
            <v>3602.7009974327857</v>
          </cell>
          <cell r="I165">
            <v>741.72363820787723</v>
          </cell>
          <cell r="J165">
            <v>4344.4246356406629</v>
          </cell>
          <cell r="K165">
            <v>-208532.38251075184</v>
          </cell>
        </row>
        <row r="166">
          <cell r="A166">
            <v>398001</v>
          </cell>
          <cell r="B166" t="str">
            <v>KIPP Believe College Prep (KIPP N.O.)</v>
          </cell>
          <cell r="C166">
            <v>714</v>
          </cell>
          <cell r="D166">
            <v>797</v>
          </cell>
          <cell r="E166">
            <v>83</v>
          </cell>
          <cell r="F166">
            <v>83</v>
          </cell>
          <cell r="G166">
            <v>0</v>
          </cell>
          <cell r="H166">
            <v>3602.7009974327857</v>
          </cell>
          <cell r="I166">
            <v>643.94778836855926</v>
          </cell>
          <cell r="J166">
            <v>4246.6487858013452</v>
          </cell>
          <cell r="K166">
            <v>352471.84922151163</v>
          </cell>
        </row>
        <row r="167">
          <cell r="A167">
            <v>398002</v>
          </cell>
          <cell r="B167" t="str">
            <v>KIPP McDonogh 15 Sch. for the Creative Arts (KIPP N.O.)</v>
          </cell>
          <cell r="C167">
            <v>878</v>
          </cell>
          <cell r="D167">
            <v>918</v>
          </cell>
          <cell r="E167">
            <v>40</v>
          </cell>
          <cell r="F167">
            <v>40</v>
          </cell>
          <cell r="G167">
            <v>0</v>
          </cell>
          <cell r="H167">
            <v>3602.7009974327857</v>
          </cell>
          <cell r="I167">
            <v>724.79250196607131</v>
          </cell>
          <cell r="J167">
            <v>4327.4934993988572</v>
          </cell>
          <cell r="K167">
            <v>173099.73997595429</v>
          </cell>
        </row>
        <row r="168">
          <cell r="A168">
            <v>398003</v>
          </cell>
          <cell r="B168" t="str">
            <v>KIPP Central City Acdmy (KIPP N.O.)</v>
          </cell>
          <cell r="C168">
            <v>430</v>
          </cell>
          <cell r="D168">
            <v>418</v>
          </cell>
          <cell r="E168">
            <v>-12</v>
          </cell>
          <cell r="F168">
            <v>0</v>
          </cell>
          <cell r="G168">
            <v>-12</v>
          </cell>
          <cell r="H168">
            <v>3602.7009974327857</v>
          </cell>
          <cell r="I168">
            <v>592.5310423197493</v>
          </cell>
          <cell r="J168">
            <v>4195.2320397525345</v>
          </cell>
          <cell r="K168">
            <v>-50342.784477030415</v>
          </cell>
        </row>
        <row r="169">
          <cell r="A169">
            <v>398004</v>
          </cell>
          <cell r="B169" t="str">
            <v>KIPP Central City Primary (KIPP N.O.)</v>
          </cell>
          <cell r="C169">
            <v>524</v>
          </cell>
          <cell r="D169">
            <v>516</v>
          </cell>
          <cell r="E169">
            <v>-8</v>
          </cell>
          <cell r="F169">
            <v>0</v>
          </cell>
          <cell r="G169">
            <v>-8</v>
          </cell>
          <cell r="H169">
            <v>3602.7009974327857</v>
          </cell>
          <cell r="I169">
            <v>741.31578947368428</v>
          </cell>
          <cell r="J169">
            <v>4344.0167869064699</v>
          </cell>
          <cell r="K169">
            <v>-34752.134295251759</v>
          </cell>
        </row>
        <row r="170">
          <cell r="A170">
            <v>398005</v>
          </cell>
          <cell r="B170" t="str">
            <v>KIPP Renaissance High (KIPP N.O.)</v>
          </cell>
          <cell r="C170">
            <v>418</v>
          </cell>
          <cell r="D170">
            <v>445</v>
          </cell>
          <cell r="E170">
            <v>27</v>
          </cell>
          <cell r="F170">
            <v>27</v>
          </cell>
          <cell r="G170">
            <v>0</v>
          </cell>
          <cell r="H170">
            <v>3602.7009974327857</v>
          </cell>
          <cell r="I170">
            <v>746.0335616438357</v>
          </cell>
          <cell r="J170">
            <v>4348.7345590766217</v>
          </cell>
          <cell r="K170">
            <v>117415.83309506878</v>
          </cell>
        </row>
        <row r="171">
          <cell r="A171">
            <v>398006</v>
          </cell>
          <cell r="B171" t="str">
            <v>KIPP N.O. Leadership Acdmy (KIPP N.O.)</v>
          </cell>
          <cell r="C171">
            <v>770</v>
          </cell>
          <cell r="D171">
            <v>834</v>
          </cell>
          <cell r="E171">
            <v>64</v>
          </cell>
          <cell r="F171">
            <v>64</v>
          </cell>
          <cell r="G171">
            <v>0</v>
          </cell>
          <cell r="H171">
            <v>3602.7009974327857</v>
          </cell>
          <cell r="I171">
            <v>746.0335616438357</v>
          </cell>
          <cell r="J171">
            <v>4348.7345590766217</v>
          </cell>
          <cell r="K171">
            <v>278319.01178090379</v>
          </cell>
        </row>
        <row r="172">
          <cell r="A172">
            <v>398007</v>
          </cell>
          <cell r="B172" t="str">
            <v>KIPP East (KIPP)</v>
          </cell>
          <cell r="C172">
            <v>100</v>
          </cell>
          <cell r="D172">
            <v>94</v>
          </cell>
          <cell r="E172">
            <v>-6</v>
          </cell>
          <cell r="F172">
            <v>0</v>
          </cell>
          <cell r="G172">
            <v>-6</v>
          </cell>
          <cell r="H172">
            <v>3602.7009974327857</v>
          </cell>
          <cell r="I172">
            <v>746.0335616438357</v>
          </cell>
          <cell r="J172">
            <v>4348.7345590766217</v>
          </cell>
          <cell r="K172">
            <v>-26092.40735445973</v>
          </cell>
        </row>
        <row r="173">
          <cell r="A173">
            <v>399001</v>
          </cell>
          <cell r="B173" t="str">
            <v>S.J. Green Charter (Firstline Schools)</v>
          </cell>
          <cell r="C173">
            <v>482</v>
          </cell>
          <cell r="D173">
            <v>522</v>
          </cell>
          <cell r="E173">
            <v>40</v>
          </cell>
          <cell r="F173">
            <v>40</v>
          </cell>
          <cell r="G173">
            <v>0</v>
          </cell>
          <cell r="H173">
            <v>3602.7009974327857</v>
          </cell>
          <cell r="I173">
            <v>752.85062142702634</v>
          </cell>
          <cell r="J173">
            <v>4355.5516188598122</v>
          </cell>
          <cell r="K173">
            <v>174222.06475439249</v>
          </cell>
        </row>
        <row r="174">
          <cell r="A174">
            <v>399002</v>
          </cell>
          <cell r="B174" t="str">
            <v>Arthur Ashe Charter (Firstline Schools)</v>
          </cell>
          <cell r="C174">
            <v>583</v>
          </cell>
          <cell r="D174">
            <v>694</v>
          </cell>
          <cell r="E174">
            <v>111</v>
          </cell>
          <cell r="F174">
            <v>111</v>
          </cell>
          <cell r="G174">
            <v>0</v>
          </cell>
          <cell r="H174">
            <v>3602.7009974327857</v>
          </cell>
          <cell r="I174">
            <v>803.97152919927748</v>
          </cell>
          <cell r="J174">
            <v>4406.6725266320627</v>
          </cell>
          <cell r="K174">
            <v>489140.65045615897</v>
          </cell>
        </row>
        <row r="175">
          <cell r="A175">
            <v>399003</v>
          </cell>
          <cell r="B175" t="str">
            <v>Joseph Clark High (Firstline Schools)</v>
          </cell>
          <cell r="C175">
            <v>379</v>
          </cell>
          <cell r="D175">
            <v>427</v>
          </cell>
          <cell r="E175">
            <v>48</v>
          </cell>
          <cell r="F175">
            <v>48</v>
          </cell>
          <cell r="G175">
            <v>0</v>
          </cell>
          <cell r="H175">
            <v>3602.7009974327857</v>
          </cell>
          <cell r="I175">
            <v>746.0335616438357</v>
          </cell>
          <cell r="J175">
            <v>4348.7345590766217</v>
          </cell>
          <cell r="K175">
            <v>208739.25883567784</v>
          </cell>
        </row>
        <row r="176">
          <cell r="A176">
            <v>399004</v>
          </cell>
          <cell r="B176" t="str">
            <v>John Dibert Community (Firstline Schools)</v>
          </cell>
          <cell r="C176">
            <v>496</v>
          </cell>
          <cell r="D176">
            <v>590</v>
          </cell>
          <cell r="E176">
            <v>94</v>
          </cell>
          <cell r="F176">
            <v>94</v>
          </cell>
          <cell r="G176">
            <v>0</v>
          </cell>
          <cell r="H176">
            <v>3602.7009974327857</v>
          </cell>
          <cell r="I176">
            <v>746.0335616438357</v>
          </cell>
          <cell r="J176">
            <v>4348.7345590766217</v>
          </cell>
          <cell r="K176">
            <v>408781.04855320242</v>
          </cell>
        </row>
        <row r="177">
          <cell r="A177">
            <v>399005</v>
          </cell>
          <cell r="B177" t="str">
            <v>Langston Hughes Acdmy (Firstline Schools)</v>
          </cell>
          <cell r="C177">
            <v>777</v>
          </cell>
          <cell r="D177">
            <v>807</v>
          </cell>
          <cell r="E177">
            <v>30</v>
          </cell>
          <cell r="F177">
            <v>30</v>
          </cell>
          <cell r="G177">
            <v>0</v>
          </cell>
          <cell r="H177">
            <v>3602.7009974327857</v>
          </cell>
          <cell r="I177">
            <v>746.0335616438357</v>
          </cell>
          <cell r="J177">
            <v>4348.7345590766217</v>
          </cell>
          <cell r="K177">
            <v>130462.03677229866</v>
          </cell>
        </row>
        <row r="178">
          <cell r="A178" t="str">
            <v>3A5001</v>
          </cell>
          <cell r="B178" t="str">
            <v>Mary D. Coghill Accelerated (Better Choice Foundation)</v>
          </cell>
          <cell r="C178">
            <v>587</v>
          </cell>
          <cell r="D178">
            <v>637</v>
          </cell>
          <cell r="E178">
            <v>50</v>
          </cell>
          <cell r="F178">
            <v>50</v>
          </cell>
          <cell r="G178">
            <v>0</v>
          </cell>
          <cell r="H178">
            <v>3602.7009974327857</v>
          </cell>
          <cell r="I178">
            <v>746.0335616438357</v>
          </cell>
          <cell r="J178">
            <v>4348.7345590766217</v>
          </cell>
          <cell r="K178">
            <v>217436.72795383108</v>
          </cell>
        </row>
        <row r="179">
          <cell r="K179">
            <v>6318575.1036039563</v>
          </cell>
        </row>
        <row r="181">
          <cell r="K181">
            <v>-4399753.4422960822</v>
          </cell>
        </row>
        <row r="182">
          <cell r="E182">
            <v>-59</v>
          </cell>
          <cell r="K182">
            <v>-259585.45309546887</v>
          </cell>
        </row>
        <row r="183">
          <cell r="K183">
            <v>-4659338.8953915508</v>
          </cell>
        </row>
        <row r="185">
          <cell r="E185">
            <v>34</v>
          </cell>
          <cell r="K185">
            <v>141612.57247377961</v>
          </cell>
        </row>
        <row r="186">
          <cell r="E186">
            <v>22</v>
          </cell>
          <cell r="K186">
            <v>91631.66454185739</v>
          </cell>
        </row>
        <row r="187">
          <cell r="E187">
            <v>-82</v>
          </cell>
          <cell r="K187">
            <v>-341536.20420146844</v>
          </cell>
        </row>
        <row r="188">
          <cell r="E188">
            <v>52</v>
          </cell>
          <cell r="K188">
            <v>216583.93437166294</v>
          </cell>
        </row>
        <row r="189">
          <cell r="E189">
            <v>3</v>
          </cell>
          <cell r="K189">
            <v>12495.226982980554</v>
          </cell>
        </row>
        <row r="190">
          <cell r="E190">
            <v>-11</v>
          </cell>
          <cell r="K190">
            <v>-45815.832270928695</v>
          </cell>
        </row>
        <row r="191">
          <cell r="E191">
            <v>25</v>
          </cell>
          <cell r="K191">
            <v>134430.53768011252</v>
          </cell>
        </row>
        <row r="192">
          <cell r="K192">
            <v>209401.89957799588</v>
          </cell>
        </row>
      </sheetData>
      <sheetData sheetId="3" refreshError="1"/>
      <sheetData sheetId="4"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</row>
        <row r="8">
          <cell r="K8">
            <v>7884.1805660099108</v>
          </cell>
        </row>
        <row r="9">
          <cell r="K9">
            <v>-27730.615837486763</v>
          </cell>
        </row>
        <row r="10">
          <cell r="K10">
            <v>8740.9431963470324</v>
          </cell>
        </row>
        <row r="11">
          <cell r="K11">
            <v>43961.112297794272</v>
          </cell>
        </row>
        <row r="12">
          <cell r="K12">
            <v>17693.123014409</v>
          </cell>
        </row>
        <row r="13">
          <cell r="K13">
            <v>71419.237871347781</v>
          </cell>
        </row>
        <row r="14">
          <cell r="K14">
            <v>-11211.847223635334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10712.100941249999</v>
          </cell>
        </row>
        <row r="18">
          <cell r="K18">
            <v>-9180.2385214059941</v>
          </cell>
        </row>
        <row r="19">
          <cell r="K19">
            <v>8379.6294354342026</v>
          </cell>
        </row>
        <row r="20">
          <cell r="K20">
            <v>8883.8656609935169</v>
          </cell>
        </row>
        <row r="21">
          <cell r="K21">
            <v>0</v>
          </cell>
        </row>
        <row r="22">
          <cell r="K22">
            <v>8821.2521869460452</v>
          </cell>
        </row>
        <row r="23">
          <cell r="K23">
            <v>17139.0403131124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-9098.6115265979151</v>
          </cell>
        </row>
        <row r="27">
          <cell r="K27">
            <v>-17903.788072315401</v>
          </cell>
        </row>
        <row r="28">
          <cell r="K28">
            <v>0</v>
          </cell>
        </row>
        <row r="29">
          <cell r="K29">
            <v>36189.139988228337</v>
          </cell>
        </row>
        <row r="30">
          <cell r="K30">
            <v>9648.6313839976992</v>
          </cell>
        </row>
        <row r="31">
          <cell r="K31">
            <v>-24452.207653970647</v>
          </cell>
        </row>
        <row r="32">
          <cell r="K32">
            <v>16600.124642034745</v>
          </cell>
        </row>
        <row r="33">
          <cell r="K33">
            <v>9683.8727273996756</v>
          </cell>
        </row>
        <row r="34">
          <cell r="K34">
            <v>-8981.0176716868536</v>
          </cell>
        </row>
        <row r="35">
          <cell r="K35">
            <v>74569.942701550142</v>
          </cell>
        </row>
        <row r="36">
          <cell r="K36">
            <v>0</v>
          </cell>
        </row>
        <row r="37">
          <cell r="K37">
            <v>9819.7376842789017</v>
          </cell>
        </row>
        <row r="38">
          <cell r="K38">
            <v>36003.832824191035</v>
          </cell>
        </row>
        <row r="39">
          <cell r="K39">
            <v>8872.0045590766222</v>
          </cell>
        </row>
        <row r="40">
          <cell r="K40">
            <v>-9275.7639260317701</v>
          </cell>
        </row>
        <row r="41">
          <cell r="K41">
            <v>9244.5017552916888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9299.4148574716473</v>
          </cell>
        </row>
        <row r="45">
          <cell r="K45">
            <v>9319.5577751368692</v>
          </cell>
        </row>
        <row r="46">
          <cell r="K46">
            <v>-19453.007744118942</v>
          </cell>
        </row>
        <row r="47">
          <cell r="K47">
            <v>-18247.891630364073</v>
          </cell>
        </row>
        <row r="48">
          <cell r="K48">
            <v>-8290.8372499469115</v>
          </cell>
        </row>
        <row r="49">
          <cell r="K49">
            <v>0</v>
          </cell>
        </row>
        <row r="50">
          <cell r="K50">
            <v>-9406.9185257646732</v>
          </cell>
        </row>
        <row r="51">
          <cell r="K51">
            <v>9450.9582529800718</v>
          </cell>
        </row>
        <row r="52">
          <cell r="K52">
            <v>0</v>
          </cell>
        </row>
        <row r="53">
          <cell r="K53">
            <v>27073.7978168105</v>
          </cell>
        </row>
        <row r="54">
          <cell r="K54">
            <v>-18239.545720435799</v>
          </cell>
        </row>
        <row r="55">
          <cell r="K55">
            <v>65342.44209165973</v>
          </cell>
        </row>
        <row r="56">
          <cell r="K56">
            <v>-31524.843277618194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-34457.411855152852</v>
          </cell>
        </row>
        <row r="62">
          <cell r="K62">
            <v>9098.736293521848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-19936.542696369623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</sheetData>
      <sheetData sheetId="5"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189992.98493819876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221800.11397691554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18247.891630364073</v>
          </cell>
        </row>
        <row r="48">
          <cell r="K48">
            <v>16581.674499893823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158688.78793688791</v>
          </cell>
        </row>
        <row r="56">
          <cell r="K56">
            <v>7881.2108194045486</v>
          </cell>
        </row>
        <row r="57">
          <cell r="K57">
            <v>0</v>
          </cell>
        </row>
        <row r="58">
          <cell r="K58">
            <v>-8444.5325491298481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</sheetData>
      <sheetData sheetId="6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69</v>
          </cell>
          <cell r="K20">
            <v>287390.22060855274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1</v>
          </cell>
          <cell r="K64">
            <v>3687.8675356369185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2</v>
          </cell>
          <cell r="K71">
            <v>14377.72884051212</v>
          </cell>
        </row>
        <row r="72">
          <cell r="E72">
            <v>-1</v>
          </cell>
          <cell r="K72">
            <v>-6428.1647921281337</v>
          </cell>
        </row>
      </sheetData>
      <sheetData sheetId="7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1</v>
          </cell>
          <cell r="K17">
            <v>6144.9309412499997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8</v>
          </cell>
          <cell r="K34">
            <v>41131.581373494824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9</v>
          </cell>
          <cell r="K40">
            <v>56870.94533428592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85</v>
          </cell>
          <cell r="K59">
            <v>479667.82997045043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-2</v>
          </cell>
          <cell r="K68">
            <v>-11208.561108788728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K73">
            <v>0</v>
          </cell>
        </row>
      </sheetData>
      <sheetData sheetId="8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22</v>
          </cell>
          <cell r="K29">
            <v>93750.689935255839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62</v>
          </cell>
          <cell r="K39">
            <v>269621.54266275052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2</v>
          </cell>
          <cell r="K47">
            <v>11121.511630364072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-2</v>
          </cell>
          <cell r="K51">
            <v>-9708.8565059601442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1</v>
          </cell>
          <cell r="K55">
            <v>5720.6445845228172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9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98</v>
          </cell>
          <cell r="K29">
            <v>417616.70971159422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75</v>
          </cell>
          <cell r="K39">
            <v>326155.09193074662</v>
          </cell>
        </row>
        <row r="40">
          <cell r="E40">
            <v>0</v>
          </cell>
          <cell r="K40">
            <v>0</v>
          </cell>
        </row>
        <row r="41">
          <cell r="E41">
            <v>10</v>
          </cell>
          <cell r="K41">
            <v>29187.217552916882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10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28</v>
          </cell>
          <cell r="K29">
            <v>119319.05991759835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-1</v>
          </cell>
          <cell r="K32">
            <v>-4593.9623210173722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90</v>
          </cell>
          <cell r="K39">
            <v>391386.11031689594</v>
          </cell>
        </row>
        <row r="40">
          <cell r="E40">
            <v>0</v>
          </cell>
          <cell r="K40">
            <v>0</v>
          </cell>
        </row>
        <row r="41">
          <cell r="E41">
            <v>1</v>
          </cell>
          <cell r="K41">
            <v>2918.7217552916882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2</v>
          </cell>
          <cell r="K48">
            <v>5616.0144998938204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1</v>
          </cell>
          <cell r="K51">
            <v>4854.4282529800721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11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-5</v>
          </cell>
          <cell r="K13">
            <v>-24962.073669592359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12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1</v>
          </cell>
          <cell r="K31">
            <v>3831.8158846568822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23</v>
          </cell>
          <cell r="K52">
            <v>128117.25722601613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13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193</v>
          </cell>
          <cell r="K13">
            <v>963536.04364626505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14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4</v>
          </cell>
          <cell r="K6">
            <v>19008.104810958728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34</v>
          </cell>
          <cell r="K20">
            <v>141612.57247377961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3</v>
          </cell>
          <cell r="K27">
            <v>10397.7721084731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4</v>
          </cell>
          <cell r="K35">
            <v>24850.35675624451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1</v>
          </cell>
          <cell r="K42">
            <v>4436.561411357332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4</v>
          </cell>
          <cell r="K64">
            <v>14751.470142547674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1</v>
          </cell>
          <cell r="K72">
            <v>6428.1647921281337</v>
          </cell>
        </row>
      </sheetData>
      <sheetData sheetId="15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7</v>
          </cell>
          <cell r="K29">
            <v>29829.764979399588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3</v>
          </cell>
          <cell r="K39">
            <v>13046.203677229865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16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39</v>
          </cell>
          <cell r="K36">
            <v>238349.88277653244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17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1</v>
          </cell>
          <cell r="K55">
            <v>5720.6445845228172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4</v>
          </cell>
          <cell r="K62">
            <v>29245.86517408739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232</v>
          </cell>
          <cell r="K69">
            <v>1692223.902066713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18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181</v>
          </cell>
          <cell r="K20">
            <v>753878.69463982678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-1</v>
          </cell>
          <cell r="K27">
            <v>-3465.9240361576999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1</v>
          </cell>
          <cell r="K31">
            <v>3831.8158846568822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-1</v>
          </cell>
          <cell r="K35">
            <v>-6212.5891890611274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19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14</v>
          </cell>
          <cell r="K16">
            <v>100562.8368616651</v>
          </cell>
        </row>
        <row r="17">
          <cell r="E17">
            <v>0</v>
          </cell>
          <cell r="K17">
            <v>0</v>
          </cell>
        </row>
        <row r="18">
          <cell r="E18">
            <v>35</v>
          </cell>
          <cell r="K18">
            <v>220626.99824920984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-1</v>
          </cell>
          <cell r="K40">
            <v>-6318.9939260317688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20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54</v>
          </cell>
          <cell r="K20">
            <v>224914.08569364998</v>
          </cell>
        </row>
        <row r="21">
          <cell r="E21">
            <v>0</v>
          </cell>
          <cell r="K21">
            <v>0</v>
          </cell>
        </row>
        <row r="22">
          <cell r="E22">
            <v>1</v>
          </cell>
          <cell r="K22">
            <v>6219.8221869460449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5</v>
          </cell>
          <cell r="K70">
            <v>28723.783868067057</v>
          </cell>
        </row>
        <row r="71">
          <cell r="E71">
            <v>89</v>
          </cell>
          <cell r="K71">
            <v>639808.93340278929</v>
          </cell>
        </row>
        <row r="72">
          <cell r="E72">
            <v>0</v>
          </cell>
          <cell r="K72">
            <v>0</v>
          </cell>
        </row>
      </sheetData>
      <sheetData sheetId="21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1</v>
          </cell>
          <cell r="K24">
            <v>6692.6542295867766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199</v>
          </cell>
          <cell r="K40">
            <v>1257479.791280322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22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131</v>
          </cell>
          <cell r="K20">
            <v>545624.91159015079</v>
          </cell>
        </row>
        <row r="21">
          <cell r="E21">
            <v>0</v>
          </cell>
          <cell r="K21">
            <v>0</v>
          </cell>
        </row>
        <row r="22">
          <cell r="E22">
            <v>8</v>
          </cell>
          <cell r="K22">
            <v>49758.577495568359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3</v>
          </cell>
          <cell r="K64">
            <v>11063.602606910756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6</v>
          </cell>
          <cell r="K70">
            <v>34468.540641680469</v>
          </cell>
        </row>
        <row r="71">
          <cell r="E71">
            <v>209</v>
          </cell>
          <cell r="K71">
            <v>1502472.6638335164</v>
          </cell>
        </row>
        <row r="72">
          <cell r="E72">
            <v>3</v>
          </cell>
          <cell r="K72">
            <v>19284.494376384402</v>
          </cell>
        </row>
      </sheetData>
      <sheetData sheetId="23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3</v>
          </cell>
          <cell r="K6">
            <v>14256.078608219046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2</v>
          </cell>
          <cell r="K20">
            <v>8330.1513219870358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256</v>
          </cell>
          <cell r="K27">
            <v>887276.55325637117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13</v>
          </cell>
          <cell r="K64">
            <v>47942.277963279943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24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103</v>
          </cell>
          <cell r="K13">
            <v>514218.7175936026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25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82</v>
          </cell>
          <cell r="K17">
            <v>503884.33718249999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62</v>
          </cell>
          <cell r="K59">
            <v>349875.35833138734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26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19</v>
          </cell>
          <cell r="K26">
            <v>108292.42900536041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635</v>
          </cell>
          <cell r="K31">
            <v>2433203.0867571202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6</v>
          </cell>
          <cell r="K53">
            <v>34872.89563362101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15</v>
          </cell>
          <cell r="K60">
            <v>80857.534468846032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27">
        <row r="4">
          <cell r="E4">
            <v>6</v>
          </cell>
          <cell r="K4">
            <v>33260.030648009895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5</v>
          </cell>
          <cell r="K13">
            <v>24962.073669592359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1</v>
          </cell>
          <cell r="K26">
            <v>5699.6015265979158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1</v>
          </cell>
          <cell r="K30">
            <v>6497.961383997701</v>
          </cell>
        </row>
        <row r="31">
          <cell r="E31">
            <v>458</v>
          </cell>
          <cell r="K31">
            <v>1754971.6751728521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53</v>
          </cell>
          <cell r="K52">
            <v>295226.72317299369</v>
          </cell>
        </row>
        <row r="53">
          <cell r="E53">
            <v>5</v>
          </cell>
          <cell r="K53">
            <v>29060.746361350837</v>
          </cell>
        </row>
        <row r="54">
          <cell r="E54">
            <v>3</v>
          </cell>
          <cell r="K54">
            <v>14582.558580653698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2</v>
          </cell>
          <cell r="K60">
            <v>10781.004595846138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28">
        <row r="4">
          <cell r="E4">
            <v>6</v>
          </cell>
          <cell r="K4">
            <v>33260.030648009895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1</v>
          </cell>
          <cell r="K20">
            <v>4165.0756609935179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4</v>
          </cell>
          <cell r="K26">
            <v>22798.406106391663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411</v>
          </cell>
          <cell r="K31">
            <v>1574876.3285939787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25</v>
          </cell>
          <cell r="K52">
            <v>139257.88828914796</v>
          </cell>
        </row>
        <row r="53">
          <cell r="E53">
            <v>28</v>
          </cell>
          <cell r="K53">
            <v>162740.17962356471</v>
          </cell>
        </row>
        <row r="54">
          <cell r="E54">
            <v>1</v>
          </cell>
          <cell r="K54">
            <v>4860.8528602178994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7</v>
          </cell>
          <cell r="K60">
            <v>37733.516085461481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29">
        <row r="4">
          <cell r="E4">
            <v>8</v>
          </cell>
          <cell r="K4">
            <v>39912.03677761188</v>
          </cell>
        </row>
        <row r="5">
          <cell r="E5">
            <v>8</v>
          </cell>
          <cell r="K5">
            <v>51544.415820518378</v>
          </cell>
        </row>
        <row r="6">
          <cell r="E6">
            <v>-16</v>
          </cell>
          <cell r="K6">
            <v>-68429.177319451424</v>
          </cell>
        </row>
        <row r="7">
          <cell r="E7">
            <v>8</v>
          </cell>
          <cell r="K7">
            <v>48274.690641752575</v>
          </cell>
        </row>
        <row r="8">
          <cell r="E8">
            <v>-8</v>
          </cell>
          <cell r="K8">
            <v>-41938.924075271367</v>
          </cell>
        </row>
        <row r="9">
          <cell r="E9">
            <v>2</v>
          </cell>
          <cell r="K9">
            <v>10663.179502492056</v>
          </cell>
        </row>
        <row r="10">
          <cell r="E10">
            <v>5</v>
          </cell>
          <cell r="K10">
            <v>13499.654383561643</v>
          </cell>
        </row>
        <row r="11">
          <cell r="E11">
            <v>8</v>
          </cell>
          <cell r="K11">
            <v>38848.049708823753</v>
          </cell>
        </row>
        <row r="12">
          <cell r="E12">
            <v>-15</v>
          </cell>
          <cell r="K12">
            <v>-72592.490347260755</v>
          </cell>
        </row>
        <row r="13">
          <cell r="E13">
            <v>-15</v>
          </cell>
          <cell r="K13">
            <v>-67397.598907899373</v>
          </cell>
        </row>
        <row r="14">
          <cell r="E14">
            <v>-1</v>
          </cell>
          <cell r="K14">
            <v>-7024.5785012718025</v>
          </cell>
        </row>
        <row r="15">
          <cell r="E15">
            <v>0</v>
          </cell>
          <cell r="K15">
            <v>0</v>
          </cell>
        </row>
        <row r="16">
          <cell r="E16">
            <v>-3</v>
          </cell>
          <cell r="K16">
            <v>-19394.261394749698</v>
          </cell>
        </row>
        <row r="17">
          <cell r="E17">
            <v>1</v>
          </cell>
          <cell r="K17">
            <v>5530.4378471250002</v>
          </cell>
        </row>
        <row r="18">
          <cell r="E18">
            <v>-3</v>
          </cell>
          <cell r="K18">
            <v>-17019.797007796187</v>
          </cell>
        </row>
        <row r="19">
          <cell r="E19">
            <v>-3</v>
          </cell>
          <cell r="K19">
            <v>-7200.8444756723475</v>
          </cell>
        </row>
        <row r="20">
          <cell r="E20">
            <v>-5</v>
          </cell>
          <cell r="K20">
            <v>-18742.840474470831</v>
          </cell>
        </row>
        <row r="21">
          <cell r="E21">
            <v>1</v>
          </cell>
          <cell r="K21">
            <v>6480.4530150428154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5</v>
          </cell>
          <cell r="K24">
            <v>30116.944033140499</v>
          </cell>
        </row>
        <row r="25">
          <cell r="E25">
            <v>1</v>
          </cell>
          <cell r="K25">
            <v>6221.2229827376395</v>
          </cell>
        </row>
        <row r="26">
          <cell r="E26">
            <v>-3</v>
          </cell>
          <cell r="K26">
            <v>-15388.924121814372</v>
          </cell>
        </row>
        <row r="27">
          <cell r="E27">
            <v>-3</v>
          </cell>
          <cell r="K27">
            <v>-9357.9948976257892</v>
          </cell>
        </row>
        <row r="28">
          <cell r="E28">
            <v>0</v>
          </cell>
          <cell r="K28">
            <v>0</v>
          </cell>
        </row>
        <row r="29">
          <cell r="E29">
            <v>1</v>
          </cell>
          <cell r="K29">
            <v>3835.2554973513752</v>
          </cell>
        </row>
        <row r="30">
          <cell r="E30">
            <v>0</v>
          </cell>
          <cell r="K30">
            <v>0</v>
          </cell>
        </row>
        <row r="31">
          <cell r="E31">
            <v>-17</v>
          </cell>
          <cell r="K31">
            <v>-58626.783035250301</v>
          </cell>
        </row>
        <row r="32">
          <cell r="E32">
            <v>12</v>
          </cell>
          <cell r="K32">
            <v>49614.793066987622</v>
          </cell>
        </row>
        <row r="33">
          <cell r="E33">
            <v>0</v>
          </cell>
          <cell r="K33">
            <v>0</v>
          </cell>
        </row>
        <row r="34">
          <cell r="E34">
            <v>-4</v>
          </cell>
          <cell r="K34">
            <v>-18509.211618072673</v>
          </cell>
        </row>
        <row r="35">
          <cell r="E35">
            <v>30</v>
          </cell>
          <cell r="K35">
            <v>167739.90810465041</v>
          </cell>
        </row>
        <row r="36">
          <cell r="E36">
            <v>0</v>
          </cell>
          <cell r="K36">
            <v>0</v>
          </cell>
        </row>
        <row r="37">
          <cell r="E37">
            <v>6</v>
          </cell>
          <cell r="K37">
            <v>37455.52149510607</v>
          </cell>
        </row>
        <row r="38">
          <cell r="E38">
            <v>4</v>
          </cell>
          <cell r="K38">
            <v>20535.149541771938</v>
          </cell>
        </row>
        <row r="39">
          <cell r="E39">
            <v>9</v>
          </cell>
          <cell r="K39">
            <v>35224.749928520636</v>
          </cell>
        </row>
        <row r="40">
          <cell r="E40">
            <v>-5</v>
          </cell>
          <cell r="K40">
            <v>-28435.472667142963</v>
          </cell>
        </row>
        <row r="41">
          <cell r="E41">
            <v>1</v>
          </cell>
          <cell r="K41">
            <v>2626.8495797625192</v>
          </cell>
        </row>
        <row r="42">
          <cell r="E42">
            <v>-2</v>
          </cell>
          <cell r="K42">
            <v>-7985.8105404431972</v>
          </cell>
        </row>
        <row r="43">
          <cell r="E43">
            <v>-2</v>
          </cell>
          <cell r="K43">
            <v>-10479.745851425714</v>
          </cell>
        </row>
        <row r="44">
          <cell r="E44">
            <v>8</v>
          </cell>
          <cell r="K44">
            <v>30077.386973795863</v>
          </cell>
        </row>
        <row r="45">
          <cell r="E45">
            <v>-1</v>
          </cell>
          <cell r="K45">
            <v>-5083.0989976231813</v>
          </cell>
        </row>
        <row r="46">
          <cell r="E46">
            <v>0</v>
          </cell>
          <cell r="K46">
            <v>0</v>
          </cell>
        </row>
        <row r="47">
          <cell r="E47">
            <v>7</v>
          </cell>
          <cell r="K47">
            <v>35032.761635646828</v>
          </cell>
        </row>
        <row r="48">
          <cell r="E48">
            <v>-2</v>
          </cell>
          <cell r="K48">
            <v>-5054.4130499044386</v>
          </cell>
        </row>
        <row r="49">
          <cell r="E49">
            <v>0</v>
          </cell>
          <cell r="K49">
            <v>0</v>
          </cell>
        </row>
        <row r="50">
          <cell r="E50">
            <v>-1</v>
          </cell>
          <cell r="K50">
            <v>-3091.4176731882062</v>
          </cell>
        </row>
        <row r="51">
          <cell r="E51">
            <v>1</v>
          </cell>
          <cell r="K51">
            <v>4368.9854276820652</v>
          </cell>
        </row>
        <row r="52">
          <cell r="E52">
            <v>32</v>
          </cell>
          <cell r="K52">
            <v>160425.08730909848</v>
          </cell>
        </row>
        <row r="53">
          <cell r="E53">
            <v>-5</v>
          </cell>
          <cell r="K53">
            <v>-26154.671725215758</v>
          </cell>
        </row>
        <row r="54">
          <cell r="E54">
            <v>-1</v>
          </cell>
          <cell r="K54">
            <v>-4374.7675741961093</v>
          </cell>
        </row>
        <row r="55">
          <cell r="E55">
            <v>27</v>
          </cell>
          <cell r="K55">
            <v>139011.66340390447</v>
          </cell>
        </row>
        <row r="56">
          <cell r="E56">
            <v>-2</v>
          </cell>
          <cell r="K56">
            <v>-10349.803474928187</v>
          </cell>
        </row>
        <row r="57">
          <cell r="E57">
            <v>1</v>
          </cell>
          <cell r="K57">
            <v>6136.6768533465047</v>
          </cell>
        </row>
        <row r="58">
          <cell r="E58">
            <v>7</v>
          </cell>
          <cell r="K58">
            <v>31890.364059518044</v>
          </cell>
        </row>
        <row r="59">
          <cell r="E59">
            <v>5</v>
          </cell>
          <cell r="K59">
            <v>25394.179233729734</v>
          </cell>
        </row>
        <row r="60">
          <cell r="E60">
            <v>7</v>
          </cell>
          <cell r="K60">
            <v>33960.164476915335</v>
          </cell>
        </row>
        <row r="61">
          <cell r="E61">
            <v>-10</v>
          </cell>
          <cell r="K61">
            <v>-57331.376674093917</v>
          </cell>
        </row>
        <row r="62">
          <cell r="E62">
            <v>-2</v>
          </cell>
          <cell r="K62">
            <v>-13160.639328339326</v>
          </cell>
        </row>
        <row r="63">
          <cell r="E63">
            <v>-4</v>
          </cell>
          <cell r="K63">
            <v>-21222.950724229784</v>
          </cell>
        </row>
        <row r="64">
          <cell r="E64">
            <v>1</v>
          </cell>
          <cell r="K64">
            <v>3319.0807820732266</v>
          </cell>
        </row>
        <row r="65">
          <cell r="E65">
            <v>-5</v>
          </cell>
          <cell r="K65">
            <v>-28877.195423322039</v>
          </cell>
        </row>
        <row r="66">
          <cell r="E66">
            <v>4</v>
          </cell>
          <cell r="K66">
            <v>17572.216853465314</v>
          </cell>
        </row>
        <row r="67">
          <cell r="E67">
            <v>2</v>
          </cell>
          <cell r="K67">
            <v>12366.883355900087</v>
          </cell>
        </row>
        <row r="68">
          <cell r="E68">
            <v>8</v>
          </cell>
          <cell r="K68">
            <v>40350.819991639422</v>
          </cell>
        </row>
        <row r="69">
          <cell r="E69">
            <v>-10</v>
          </cell>
          <cell r="K69">
            <v>-65646.616890519042</v>
          </cell>
        </row>
        <row r="70">
          <cell r="E70">
            <v>2</v>
          </cell>
          <cell r="K70">
            <v>10340.562192504141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30">
        <row r="4">
          <cell r="E4">
            <v>15</v>
          </cell>
          <cell r="K4">
            <v>74835.068958022282</v>
          </cell>
        </row>
        <row r="5">
          <cell r="E5">
            <v>2</v>
          </cell>
          <cell r="K5">
            <v>12886.103955129594</v>
          </cell>
        </row>
        <row r="6">
          <cell r="E6">
            <v>11</v>
          </cell>
          <cell r="K6">
            <v>47045.059407122855</v>
          </cell>
        </row>
        <row r="7">
          <cell r="E7">
            <v>0</v>
          </cell>
          <cell r="K7">
            <v>0</v>
          </cell>
        </row>
        <row r="8">
          <cell r="E8">
            <v>11</v>
          </cell>
          <cell r="K8">
            <v>57666.020603498131</v>
          </cell>
        </row>
        <row r="9">
          <cell r="E9">
            <v>3</v>
          </cell>
          <cell r="K9">
            <v>15994.769253738083</v>
          </cell>
        </row>
        <row r="10">
          <cell r="E10">
            <v>-1</v>
          </cell>
          <cell r="K10">
            <v>-2699.9308767123284</v>
          </cell>
        </row>
        <row r="11">
          <cell r="E11">
            <v>13</v>
          </cell>
          <cell r="K11">
            <v>63128.0807768386</v>
          </cell>
        </row>
        <row r="12">
          <cell r="E12">
            <v>44</v>
          </cell>
          <cell r="K12">
            <v>212937.97168529822</v>
          </cell>
        </row>
        <row r="13">
          <cell r="E13">
            <v>18</v>
          </cell>
          <cell r="K13">
            <v>80877.118689479248</v>
          </cell>
        </row>
        <row r="14">
          <cell r="E14">
            <v>1</v>
          </cell>
          <cell r="K14">
            <v>7024.5785012718025</v>
          </cell>
        </row>
        <row r="15">
          <cell r="E15">
            <v>0</v>
          </cell>
          <cell r="K15">
            <v>0</v>
          </cell>
        </row>
        <row r="16">
          <cell r="E16">
            <v>-4</v>
          </cell>
          <cell r="K16">
            <v>-25859.015192999595</v>
          </cell>
        </row>
        <row r="17">
          <cell r="E17">
            <v>5</v>
          </cell>
          <cell r="K17">
            <v>27652.189235625003</v>
          </cell>
        </row>
        <row r="18">
          <cell r="E18">
            <v>0</v>
          </cell>
          <cell r="K18">
            <v>0</v>
          </cell>
        </row>
        <row r="19">
          <cell r="E19">
            <v>3</v>
          </cell>
          <cell r="K19">
            <v>7200.8444756723475</v>
          </cell>
        </row>
        <row r="20">
          <cell r="E20">
            <v>58</v>
          </cell>
          <cell r="K20">
            <v>217416.94950386166</v>
          </cell>
        </row>
        <row r="21">
          <cell r="E21">
            <v>3</v>
          </cell>
          <cell r="K21">
            <v>19441.359045128447</v>
          </cell>
        </row>
        <row r="22">
          <cell r="E22">
            <v>5</v>
          </cell>
          <cell r="K22">
            <v>27989.199841257199</v>
          </cell>
        </row>
        <row r="23">
          <cell r="E23">
            <v>0</v>
          </cell>
          <cell r="K23">
            <v>0</v>
          </cell>
        </row>
        <row r="24">
          <cell r="E24">
            <v>2</v>
          </cell>
          <cell r="K24">
            <v>12046.777613256199</v>
          </cell>
        </row>
        <row r="25">
          <cell r="E25">
            <v>7</v>
          </cell>
          <cell r="K25">
            <v>43548.560879163473</v>
          </cell>
        </row>
        <row r="26">
          <cell r="E26">
            <v>3</v>
          </cell>
          <cell r="K26">
            <v>15388.924121814372</v>
          </cell>
        </row>
        <row r="27">
          <cell r="E27">
            <v>0</v>
          </cell>
          <cell r="K27">
            <v>0</v>
          </cell>
        </row>
        <row r="28">
          <cell r="E28">
            <v>3</v>
          </cell>
          <cell r="K28">
            <v>13032.365474235339</v>
          </cell>
        </row>
        <row r="29">
          <cell r="E29">
            <v>35</v>
          </cell>
          <cell r="K29">
            <v>134233.94240729813</v>
          </cell>
        </row>
        <row r="30">
          <cell r="E30">
            <v>-2</v>
          </cell>
          <cell r="K30">
            <v>-11696.33049119586</v>
          </cell>
        </row>
        <row r="31">
          <cell r="E31">
            <v>21</v>
          </cell>
          <cell r="K31">
            <v>72421.32022001507</v>
          </cell>
        </row>
        <row r="32">
          <cell r="E32">
            <v>5</v>
          </cell>
          <cell r="K32">
            <v>20672.830444578176</v>
          </cell>
        </row>
        <row r="33">
          <cell r="E33">
            <v>9</v>
          </cell>
          <cell r="K33">
            <v>52906.792091937386</v>
          </cell>
        </row>
        <row r="34">
          <cell r="E34">
            <v>2</v>
          </cell>
          <cell r="K34">
            <v>9254.6058090363367</v>
          </cell>
        </row>
        <row r="35">
          <cell r="E35">
            <v>38</v>
          </cell>
          <cell r="K35">
            <v>212470.55026589052</v>
          </cell>
        </row>
        <row r="36">
          <cell r="E36">
            <v>2</v>
          </cell>
          <cell r="K36">
            <v>11000.763820455342</v>
          </cell>
        </row>
        <row r="37">
          <cell r="E37">
            <v>13</v>
          </cell>
          <cell r="K37">
            <v>81153.629906063143</v>
          </cell>
        </row>
        <row r="38">
          <cell r="E38">
            <v>0</v>
          </cell>
          <cell r="K38">
            <v>0</v>
          </cell>
        </row>
        <row r="39">
          <cell r="E39">
            <v>24</v>
          </cell>
          <cell r="K39">
            <v>93932.666476055019</v>
          </cell>
        </row>
        <row r="40">
          <cell r="E40">
            <v>-2</v>
          </cell>
          <cell r="K40">
            <v>-11374.189066857185</v>
          </cell>
        </row>
        <row r="41">
          <cell r="E41">
            <v>3</v>
          </cell>
          <cell r="K41">
            <v>7880.5487392875575</v>
          </cell>
        </row>
        <row r="42">
          <cell r="E42">
            <v>18</v>
          </cell>
          <cell r="K42">
            <v>71872.294863988776</v>
          </cell>
        </row>
        <row r="43">
          <cell r="E43">
            <v>28</v>
          </cell>
          <cell r="K43">
            <v>146716.44191995999</v>
          </cell>
        </row>
        <row r="44">
          <cell r="E44">
            <v>2</v>
          </cell>
          <cell r="K44">
            <v>7519.3467434489658</v>
          </cell>
        </row>
        <row r="45">
          <cell r="E45">
            <v>2</v>
          </cell>
          <cell r="K45">
            <v>10166.197995246363</v>
          </cell>
        </row>
        <row r="46">
          <cell r="E46">
            <v>2</v>
          </cell>
          <cell r="K46">
            <v>11454.036969707046</v>
          </cell>
        </row>
        <row r="47">
          <cell r="E47">
            <v>6</v>
          </cell>
          <cell r="K47">
            <v>30028.081401983</v>
          </cell>
        </row>
        <row r="48">
          <cell r="E48">
            <v>6</v>
          </cell>
          <cell r="K48">
            <v>15163.239149713316</v>
          </cell>
        </row>
        <row r="49">
          <cell r="E49">
            <v>4</v>
          </cell>
          <cell r="K49">
            <v>24405.388008511818</v>
          </cell>
        </row>
        <row r="50">
          <cell r="E50">
            <v>1</v>
          </cell>
          <cell r="K50">
            <v>3091.4176731882062</v>
          </cell>
        </row>
        <row r="51">
          <cell r="E51">
            <v>-1</v>
          </cell>
          <cell r="K51">
            <v>-4368.9854276820652</v>
          </cell>
        </row>
        <row r="52">
          <cell r="E52">
            <v>9</v>
          </cell>
          <cell r="K52">
            <v>45119.555805683951</v>
          </cell>
        </row>
        <row r="53">
          <cell r="E53">
            <v>7</v>
          </cell>
          <cell r="K53">
            <v>36616.540415302065</v>
          </cell>
        </row>
        <row r="54">
          <cell r="E54">
            <v>10</v>
          </cell>
          <cell r="K54">
            <v>43747.675741961095</v>
          </cell>
        </row>
        <row r="55">
          <cell r="E55">
            <v>23</v>
          </cell>
          <cell r="K55">
            <v>118417.34289962232</v>
          </cell>
        </row>
        <row r="56">
          <cell r="E56">
            <v>10</v>
          </cell>
          <cell r="K56">
            <v>51749.017374640935</v>
          </cell>
        </row>
        <row r="57">
          <cell r="E57">
            <v>4</v>
          </cell>
          <cell r="K57">
            <v>24546.707413386019</v>
          </cell>
        </row>
        <row r="58">
          <cell r="E58">
            <v>18</v>
          </cell>
          <cell r="K58">
            <v>82003.793295903539</v>
          </cell>
        </row>
        <row r="59">
          <cell r="E59">
            <v>1</v>
          </cell>
          <cell r="K59">
            <v>5078.8358467459466</v>
          </cell>
        </row>
        <row r="60">
          <cell r="E60">
            <v>1</v>
          </cell>
          <cell r="K60">
            <v>4851.4520681307622</v>
          </cell>
        </row>
        <row r="61">
          <cell r="E61">
            <v>4</v>
          </cell>
          <cell r="K61">
            <v>22932.550669637567</v>
          </cell>
        </row>
        <row r="62">
          <cell r="E62">
            <v>14</v>
          </cell>
          <cell r="K62">
            <v>92124.475298375284</v>
          </cell>
        </row>
        <row r="63">
          <cell r="E63">
            <v>0</v>
          </cell>
          <cell r="K63">
            <v>0</v>
          </cell>
        </row>
        <row r="64">
          <cell r="E64">
            <v>3</v>
          </cell>
          <cell r="K64">
            <v>9957.2423462196803</v>
          </cell>
        </row>
        <row r="65">
          <cell r="E65">
            <v>1</v>
          </cell>
          <cell r="K65">
            <v>5775.4390846644073</v>
          </cell>
        </row>
        <row r="66">
          <cell r="E66">
            <v>2</v>
          </cell>
          <cell r="K66">
            <v>8786.1084267326569</v>
          </cell>
        </row>
        <row r="67">
          <cell r="E67">
            <v>3</v>
          </cell>
          <cell r="K67">
            <v>18550.325033850131</v>
          </cell>
        </row>
        <row r="68">
          <cell r="E68">
            <v>0</v>
          </cell>
          <cell r="K68">
            <v>0</v>
          </cell>
        </row>
        <row r="69">
          <cell r="E69">
            <v>-5</v>
          </cell>
          <cell r="K69">
            <v>-32823.308445259521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31" refreshError="1"/>
      <sheetData sheetId="32" refreshError="1"/>
      <sheetData sheetId="33" refreshError="1"/>
      <sheetData sheetId="34">
        <row r="4">
          <cell r="K4">
            <v>-260536.90674274421</v>
          </cell>
        </row>
        <row r="5">
          <cell r="K5">
            <v>-157496.82611825061</v>
          </cell>
        </row>
        <row r="6">
          <cell r="K6">
            <v>-213841.17912328569</v>
          </cell>
        </row>
        <row r="7">
          <cell r="K7">
            <v>-13409.636289375714</v>
          </cell>
        </row>
        <row r="8">
          <cell r="K8">
            <v>-407739.53962069377</v>
          </cell>
        </row>
        <row r="9">
          <cell r="K9">
            <v>-124403.76086240732</v>
          </cell>
        </row>
        <row r="10">
          <cell r="K10">
            <v>34499.116757990865</v>
          </cell>
        </row>
        <row r="11">
          <cell r="K11">
            <v>-374991.59093934036</v>
          </cell>
        </row>
        <row r="12">
          <cell r="K12">
            <v>-860355.44115272013</v>
          </cell>
        </row>
        <row r="13">
          <cell r="K13">
            <v>-22465.866302633123</v>
          </cell>
        </row>
        <row r="14">
          <cell r="K14">
            <v>-117076.30835453003</v>
          </cell>
        </row>
        <row r="15">
          <cell r="K15">
            <v>-2729.9140983606558</v>
          </cell>
        </row>
        <row r="16">
          <cell r="K16">
            <v>-35915.298879166105</v>
          </cell>
        </row>
        <row r="17">
          <cell r="K17">
            <v>27652.189235624999</v>
          </cell>
        </row>
        <row r="18">
          <cell r="K18">
            <v>-189108.85564217987</v>
          </cell>
        </row>
        <row r="19">
          <cell r="K19">
            <v>30670.263507493328</v>
          </cell>
        </row>
        <row r="20">
          <cell r="K20">
            <v>68723.748406393046</v>
          </cell>
        </row>
        <row r="21">
          <cell r="K21">
            <v>-28802.013400190292</v>
          </cell>
        </row>
        <row r="22">
          <cell r="K22">
            <v>15549.555467365113</v>
          </cell>
        </row>
        <row r="23">
          <cell r="K23">
            <v>-87970.352348343018</v>
          </cell>
        </row>
        <row r="24">
          <cell r="K24">
            <v>-73619.19652545455</v>
          </cell>
        </row>
        <row r="25">
          <cell r="K25">
            <v>-245392.68431909577</v>
          </cell>
        </row>
        <row r="26">
          <cell r="K26">
            <v>-339126.29083257599</v>
          </cell>
        </row>
        <row r="27">
          <cell r="K27">
            <v>51988.860542365495</v>
          </cell>
        </row>
        <row r="28">
          <cell r="K28">
            <v>-77228.832439913123</v>
          </cell>
        </row>
        <row r="29">
          <cell r="K29">
            <v>-232246.02733961106</v>
          </cell>
        </row>
        <row r="30">
          <cell r="K30">
            <v>38987.768303986202</v>
          </cell>
        </row>
        <row r="31">
          <cell r="K31">
            <v>-109206.75271272114</v>
          </cell>
        </row>
        <row r="32">
          <cell r="K32">
            <v>-273340.75810053363</v>
          </cell>
        </row>
        <row r="33">
          <cell r="K33">
            <v>35924.365000698221</v>
          </cell>
        </row>
        <row r="34">
          <cell r="K34">
            <v>-71980.267403615944</v>
          </cell>
        </row>
        <row r="35">
          <cell r="K35">
            <v>-335479.81620930089</v>
          </cell>
        </row>
        <row r="36">
          <cell r="K36">
            <v>6111.5354558085237</v>
          </cell>
        </row>
        <row r="37">
          <cell r="K37">
            <v>-17340.519210697254</v>
          </cell>
        </row>
        <row r="38">
          <cell r="K38">
            <v>0</v>
          </cell>
        </row>
        <row r="39">
          <cell r="K39">
            <v>-153712.61350796832</v>
          </cell>
        </row>
        <row r="40">
          <cell r="K40">
            <v>-543433.47763873206</v>
          </cell>
        </row>
        <row r="41">
          <cell r="K41">
            <v>-36484.0219411461</v>
          </cell>
        </row>
        <row r="42">
          <cell r="K42">
            <v>-33274.210585179986</v>
          </cell>
        </row>
        <row r="43">
          <cell r="K43">
            <v>-311481.3350284865</v>
          </cell>
        </row>
        <row r="44">
          <cell r="K44">
            <v>-18798.366858622412</v>
          </cell>
        </row>
        <row r="45">
          <cell r="K45">
            <v>-25415.494988115908</v>
          </cell>
        </row>
        <row r="46">
          <cell r="K46">
            <v>-12726.707744118939</v>
          </cell>
        </row>
        <row r="47">
          <cell r="K47">
            <v>-69509.44768977545</v>
          </cell>
        </row>
        <row r="48">
          <cell r="K48">
            <v>-49140.126874070927</v>
          </cell>
        </row>
        <row r="49">
          <cell r="K49">
            <v>30506.735010639772</v>
          </cell>
        </row>
        <row r="50">
          <cell r="K50">
            <v>-6869.8170515293477</v>
          </cell>
        </row>
        <row r="51">
          <cell r="K51">
            <v>106797.42156556158</v>
          </cell>
        </row>
        <row r="52">
          <cell r="K52">
            <v>-389922.08720961428</v>
          </cell>
        </row>
        <row r="53">
          <cell r="K53">
            <v>-168552.32889583486</v>
          </cell>
        </row>
        <row r="54">
          <cell r="K54">
            <v>-116660.46864522959</v>
          </cell>
        </row>
        <row r="55">
          <cell r="K55">
            <v>-165898.69295116171</v>
          </cell>
        </row>
        <row r="56">
          <cell r="K56">
            <v>-365118.06703218882</v>
          </cell>
        </row>
        <row r="57">
          <cell r="K57">
            <v>-27274.119348206685</v>
          </cell>
        </row>
        <row r="58">
          <cell r="K58">
            <v>-359399.34098821925</v>
          </cell>
        </row>
        <row r="59">
          <cell r="K59">
            <v>107219.86787574775</v>
          </cell>
        </row>
        <row r="60">
          <cell r="K60">
            <v>-121286.30170326905</v>
          </cell>
        </row>
        <row r="61">
          <cell r="K61">
            <v>-480946.54876601003</v>
          </cell>
        </row>
        <row r="62">
          <cell r="K62">
            <v>3655.7331467609238</v>
          </cell>
        </row>
        <row r="63">
          <cell r="K63">
            <v>-53057.376810574453</v>
          </cell>
        </row>
        <row r="64">
          <cell r="K64">
            <v>-79289.152016193751</v>
          </cell>
        </row>
        <row r="65">
          <cell r="K65">
            <v>19251.463615548026</v>
          </cell>
        </row>
        <row r="66">
          <cell r="K66">
            <v>-75658.15589686454</v>
          </cell>
        </row>
        <row r="67">
          <cell r="K67">
            <v>-109927.8520524452</v>
          </cell>
        </row>
        <row r="68">
          <cell r="K68">
            <v>249390.48467054919</v>
          </cell>
        </row>
        <row r="69">
          <cell r="K69">
            <v>51058.479803737027</v>
          </cell>
        </row>
        <row r="70">
          <cell r="K70">
            <v>-57447.567736134115</v>
          </cell>
        </row>
        <row r="71">
          <cell r="K71">
            <v>57510.915362048479</v>
          </cell>
        </row>
        <row r="72">
          <cell r="K72">
            <v>-64281.647921281336</v>
          </cell>
        </row>
        <row r="75">
          <cell r="K75">
            <v>0</v>
          </cell>
        </row>
        <row r="76">
          <cell r="K76">
            <v>-248631.72198286391</v>
          </cell>
        </row>
        <row r="83">
          <cell r="K83">
            <v>-107064.56076279886</v>
          </cell>
        </row>
        <row r="84">
          <cell r="K84">
            <v>-27793.78948387054</v>
          </cell>
        </row>
        <row r="85">
          <cell r="K85">
            <v>-4563.2555774979046</v>
          </cell>
        </row>
        <row r="86">
          <cell r="K86">
            <v>-34252.789042485332</v>
          </cell>
        </row>
        <row r="87">
          <cell r="K87">
            <v>-38816.044619983237</v>
          </cell>
        </row>
        <row r="88">
          <cell r="K88">
            <v>-42504.355857992785</v>
          </cell>
        </row>
        <row r="89">
          <cell r="K89">
            <v>-18111.262638556804</v>
          </cell>
        </row>
        <row r="90">
          <cell r="K90">
            <v>0</v>
          </cell>
        </row>
        <row r="91">
          <cell r="K91">
            <v>-190660.5749207185</v>
          </cell>
        </row>
        <row r="92">
          <cell r="K92">
            <v>-4772.1120655011728</v>
          </cell>
        </row>
        <row r="122">
          <cell r="A122">
            <v>300001</v>
          </cell>
          <cell r="B122" t="str">
            <v>Pierre A. Capdau Learning Acdmy (New Beg.)</v>
          </cell>
          <cell r="C122">
            <v>405</v>
          </cell>
          <cell r="D122">
            <v>404</v>
          </cell>
          <cell r="E122">
            <v>-1</v>
          </cell>
          <cell r="F122">
            <v>0</v>
          </cell>
          <cell r="G122">
            <v>-1</v>
          </cell>
          <cell r="H122">
            <v>3602.7009974327857</v>
          </cell>
          <cell r="I122">
            <v>767.72184717013943</v>
          </cell>
          <cell r="J122">
            <v>2185.2114223014623</v>
          </cell>
          <cell r="K122">
            <v>-2185.2114223014623</v>
          </cell>
        </row>
        <row r="123">
          <cell r="A123">
            <v>300002</v>
          </cell>
          <cell r="B123" t="str">
            <v>Medard H. Nelson Elem (New Beg.)</v>
          </cell>
          <cell r="C123">
            <v>480</v>
          </cell>
          <cell r="D123">
            <v>488</v>
          </cell>
          <cell r="E123">
            <v>8</v>
          </cell>
          <cell r="F123">
            <v>8</v>
          </cell>
          <cell r="G123">
            <v>0</v>
          </cell>
          <cell r="H123">
            <v>3602.7009974327857</v>
          </cell>
          <cell r="I123">
            <v>730.66950653120466</v>
          </cell>
          <cell r="J123">
            <v>2166.685251981995</v>
          </cell>
          <cell r="K123">
            <v>17333.48201585596</v>
          </cell>
        </row>
        <row r="124">
          <cell r="A124">
            <v>300003</v>
          </cell>
          <cell r="B124" t="str">
            <v>Lake Area New Tech Early College (New Beg.)</v>
          </cell>
          <cell r="C124">
            <v>698</v>
          </cell>
          <cell r="D124">
            <v>687</v>
          </cell>
          <cell r="E124">
            <v>-11</v>
          </cell>
          <cell r="F124">
            <v>0</v>
          </cell>
          <cell r="G124">
            <v>-11</v>
          </cell>
          <cell r="H124">
            <v>3602.7009974327857</v>
          </cell>
          <cell r="I124">
            <v>767.72184717013943</v>
          </cell>
          <cell r="J124">
            <v>2185.2114223014623</v>
          </cell>
          <cell r="K124">
            <v>-24037.325645316087</v>
          </cell>
        </row>
        <row r="125">
          <cell r="A125">
            <v>300004</v>
          </cell>
          <cell r="B125" t="str">
            <v>Gentilly Terrace Elem (New Beg.)</v>
          </cell>
          <cell r="C125">
            <v>465</v>
          </cell>
          <cell r="D125">
            <v>464</v>
          </cell>
          <cell r="E125">
            <v>-1</v>
          </cell>
          <cell r="F125">
            <v>0</v>
          </cell>
          <cell r="G125">
            <v>-1</v>
          </cell>
          <cell r="H125">
            <v>3602.7009974327857</v>
          </cell>
          <cell r="I125">
            <v>746.0335616438357</v>
          </cell>
          <cell r="J125">
            <v>2174.3672795383109</v>
          </cell>
          <cell r="K125">
            <v>-2174.3672795383109</v>
          </cell>
        </row>
        <row r="126">
          <cell r="A126">
            <v>360001</v>
          </cell>
          <cell r="B126" t="str">
            <v>The NET Charter School (Educators for Qual Alt)</v>
          </cell>
          <cell r="C126">
            <v>164</v>
          </cell>
          <cell r="D126">
            <v>163</v>
          </cell>
          <cell r="E126">
            <v>-1</v>
          </cell>
          <cell r="F126">
            <v>0</v>
          </cell>
          <cell r="G126">
            <v>-1</v>
          </cell>
          <cell r="H126">
            <v>3602.7009974327857</v>
          </cell>
          <cell r="I126">
            <v>746.0335616438357</v>
          </cell>
          <cell r="J126">
            <v>2174.3672795383109</v>
          </cell>
          <cell r="K126">
            <v>-2174.3672795383109</v>
          </cell>
        </row>
        <row r="127">
          <cell r="A127">
            <v>361001</v>
          </cell>
          <cell r="B127" t="str">
            <v>Crescent Leadership Acdmy (Crescent Ldrsp Acdmy.)</v>
          </cell>
          <cell r="C127">
            <v>162</v>
          </cell>
          <cell r="D127">
            <v>167</v>
          </cell>
          <cell r="E127">
            <v>5</v>
          </cell>
          <cell r="F127">
            <v>5</v>
          </cell>
          <cell r="G127">
            <v>0</v>
          </cell>
          <cell r="H127">
            <v>3602.7009974327857</v>
          </cell>
          <cell r="I127">
            <v>746.0335616438357</v>
          </cell>
          <cell r="J127">
            <v>2174.3672795383109</v>
          </cell>
          <cell r="K127">
            <v>10871.836397691553</v>
          </cell>
        </row>
        <row r="128">
          <cell r="A128">
            <v>363001</v>
          </cell>
          <cell r="B128" t="str">
            <v>Harriet Tubman Charter School (Crescent City Schools)</v>
          </cell>
          <cell r="C128">
            <v>543</v>
          </cell>
          <cell r="D128">
            <v>523</v>
          </cell>
          <cell r="E128">
            <v>-20</v>
          </cell>
          <cell r="F128">
            <v>0</v>
          </cell>
          <cell r="G128">
            <v>-20</v>
          </cell>
          <cell r="H128">
            <v>3602.7009974327857</v>
          </cell>
          <cell r="I128">
            <v>746.0335616438357</v>
          </cell>
          <cell r="J128">
            <v>2174.3672795383109</v>
          </cell>
          <cell r="K128">
            <v>-43487.345590766214</v>
          </cell>
        </row>
        <row r="129">
          <cell r="A129">
            <v>363002</v>
          </cell>
          <cell r="B129" t="str">
            <v>Paul Habans Elem (Crescent City Schools)</v>
          </cell>
          <cell r="C129">
            <v>414</v>
          </cell>
          <cell r="D129">
            <v>417</v>
          </cell>
          <cell r="E129">
            <v>3</v>
          </cell>
          <cell r="F129">
            <v>3</v>
          </cell>
          <cell r="G129">
            <v>0</v>
          </cell>
          <cell r="H129">
            <v>3602.7009974327857</v>
          </cell>
          <cell r="I129">
            <v>746.0335616438357</v>
          </cell>
          <cell r="J129">
            <v>2174.3672795383109</v>
          </cell>
          <cell r="K129">
            <v>6523.1018386149326</v>
          </cell>
        </row>
        <row r="130">
          <cell r="A130">
            <v>364001</v>
          </cell>
          <cell r="B130" t="str">
            <v>Fannie C. Williams Charter School (CLASS)</v>
          </cell>
          <cell r="C130">
            <v>558</v>
          </cell>
          <cell r="D130">
            <v>564</v>
          </cell>
          <cell r="E130">
            <v>6</v>
          </cell>
          <cell r="F130">
            <v>6</v>
          </cell>
          <cell r="G130">
            <v>0</v>
          </cell>
          <cell r="H130">
            <v>3602.7009974327857</v>
          </cell>
          <cell r="I130">
            <v>746.0335616438357</v>
          </cell>
          <cell r="J130">
            <v>2174.3672795383109</v>
          </cell>
          <cell r="K130">
            <v>13046.203677229865</v>
          </cell>
        </row>
        <row r="131">
          <cell r="A131">
            <v>366001</v>
          </cell>
          <cell r="B131" t="str">
            <v>Lagniappe Academies of N.O. (Lagniappe Academies)</v>
          </cell>
          <cell r="C131">
            <v>180</v>
          </cell>
          <cell r="D131">
            <v>177</v>
          </cell>
          <cell r="E131">
            <v>-3</v>
          </cell>
          <cell r="F131">
            <v>0</v>
          </cell>
          <cell r="G131">
            <v>-3</v>
          </cell>
          <cell r="H131">
            <v>3602.7009974327857</v>
          </cell>
          <cell r="I131">
            <v>746.0335616438357</v>
          </cell>
          <cell r="J131">
            <v>2174.3672795383109</v>
          </cell>
          <cell r="K131">
            <v>-6523.1018386149326</v>
          </cell>
        </row>
        <row r="132">
          <cell r="A132">
            <v>367001</v>
          </cell>
          <cell r="B132" t="str">
            <v>Edgar P. Harney Spirit of Excellence Acdmy (Spirit of Excel)</v>
          </cell>
          <cell r="C132">
            <v>387</v>
          </cell>
          <cell r="D132">
            <v>382</v>
          </cell>
          <cell r="E132">
            <v>-5</v>
          </cell>
          <cell r="F132">
            <v>0</v>
          </cell>
          <cell r="G132">
            <v>-5</v>
          </cell>
          <cell r="H132">
            <v>3602.7009974327857</v>
          </cell>
          <cell r="I132">
            <v>746.0335616438357</v>
          </cell>
          <cell r="J132">
            <v>2174.3672795383109</v>
          </cell>
          <cell r="K132">
            <v>-10871.836397691553</v>
          </cell>
        </row>
        <row r="133">
          <cell r="A133">
            <v>368001</v>
          </cell>
          <cell r="B133" t="str">
            <v>Morris Jeff Community School (Morris Jeff Comm. School)</v>
          </cell>
          <cell r="C133">
            <v>467</v>
          </cell>
          <cell r="D133">
            <v>464</v>
          </cell>
          <cell r="E133">
            <v>-3</v>
          </cell>
          <cell r="F133">
            <v>0</v>
          </cell>
          <cell r="G133">
            <v>-3</v>
          </cell>
          <cell r="H133">
            <v>3602.7009974327857</v>
          </cell>
          <cell r="I133">
            <v>746.03356164383604</v>
          </cell>
          <cell r="J133">
            <v>2174.3672795383109</v>
          </cell>
          <cell r="K133">
            <v>-6523.1018386149326</v>
          </cell>
        </row>
        <row r="134">
          <cell r="A134">
            <v>369001</v>
          </cell>
          <cell r="B134" t="str">
            <v>ReNEW Cultural Arts Acdmy. (ReNEW)</v>
          </cell>
          <cell r="C134">
            <v>643</v>
          </cell>
          <cell r="D134">
            <v>638</v>
          </cell>
          <cell r="E134">
            <v>-5</v>
          </cell>
          <cell r="F134">
            <v>0</v>
          </cell>
          <cell r="G134">
            <v>-5</v>
          </cell>
          <cell r="H134">
            <v>3602.7009974327857</v>
          </cell>
          <cell r="I134">
            <v>746.0335616438357</v>
          </cell>
          <cell r="J134">
            <v>2174.3672795383109</v>
          </cell>
          <cell r="K134">
            <v>-10871.836397691553</v>
          </cell>
        </row>
        <row r="135">
          <cell r="A135">
            <v>369002</v>
          </cell>
          <cell r="B135" t="str">
            <v>ReNEW SciTech Acdmy. (ReNEW)</v>
          </cell>
          <cell r="C135">
            <v>688</v>
          </cell>
          <cell r="D135">
            <v>675</v>
          </cell>
          <cell r="E135">
            <v>-13</v>
          </cell>
          <cell r="F135">
            <v>0</v>
          </cell>
          <cell r="G135">
            <v>-13</v>
          </cell>
          <cell r="H135">
            <v>3602.7009974327857</v>
          </cell>
          <cell r="I135">
            <v>746.0335616438357</v>
          </cell>
          <cell r="J135">
            <v>2174.3672795383109</v>
          </cell>
          <cell r="K135">
            <v>-28266.77463399804</v>
          </cell>
        </row>
        <row r="136">
          <cell r="A136">
            <v>369003</v>
          </cell>
          <cell r="B136" t="str">
            <v>ReNEW Delores T. Aaron Elem (ReNEW)</v>
          </cell>
          <cell r="C136">
            <v>735</v>
          </cell>
          <cell r="D136">
            <v>731</v>
          </cell>
          <cell r="E136">
            <v>-4</v>
          </cell>
          <cell r="F136">
            <v>0</v>
          </cell>
          <cell r="G136">
            <v>-4</v>
          </cell>
          <cell r="H136">
            <v>3602.7009974327857</v>
          </cell>
          <cell r="I136">
            <v>746.0335616438357</v>
          </cell>
          <cell r="J136">
            <v>2174.3672795383109</v>
          </cell>
          <cell r="K136">
            <v>-8697.4691181532435</v>
          </cell>
        </row>
        <row r="137">
          <cell r="A137">
            <v>369004</v>
          </cell>
          <cell r="B137" t="str">
            <v>ReNEW Accelerated High, City Park (ReNEW)</v>
          </cell>
          <cell r="C137">
            <v>178</v>
          </cell>
          <cell r="D137">
            <v>157</v>
          </cell>
          <cell r="E137">
            <v>-21</v>
          </cell>
          <cell r="F137">
            <v>0</v>
          </cell>
          <cell r="G137">
            <v>-21</v>
          </cell>
          <cell r="H137">
            <v>3602.7009974327857</v>
          </cell>
          <cell r="I137">
            <v>746.0335616438357</v>
          </cell>
          <cell r="J137">
            <v>2174.3672795383109</v>
          </cell>
          <cell r="K137">
            <v>-45661.712870304531</v>
          </cell>
        </row>
        <row r="138">
          <cell r="A138">
            <v>369005</v>
          </cell>
          <cell r="B138" t="str">
            <v>ReNEW Accelerated High, West Bank (ReNEW)</v>
          </cell>
          <cell r="C138">
            <v>163</v>
          </cell>
          <cell r="D138">
            <v>179</v>
          </cell>
          <cell r="E138">
            <v>16</v>
          </cell>
          <cell r="F138">
            <v>16</v>
          </cell>
          <cell r="G138">
            <v>0</v>
          </cell>
          <cell r="H138">
            <v>3602.7009974327857</v>
          </cell>
          <cell r="I138">
            <v>746.0335616438357</v>
          </cell>
          <cell r="J138">
            <v>2174.3672795383109</v>
          </cell>
          <cell r="K138">
            <v>34789.876472612974</v>
          </cell>
        </row>
        <row r="139">
          <cell r="A139">
            <v>369006</v>
          </cell>
          <cell r="B139" t="str">
            <v>ReNEW Schaumburg Elem (ReNEW)</v>
          </cell>
          <cell r="C139">
            <v>783</v>
          </cell>
          <cell r="D139">
            <v>782</v>
          </cell>
          <cell r="E139">
            <v>-1</v>
          </cell>
          <cell r="F139">
            <v>0</v>
          </cell>
          <cell r="G139">
            <v>-1</v>
          </cell>
          <cell r="H139">
            <v>3602.7009974327857</v>
          </cell>
          <cell r="I139">
            <v>746.0335616438357</v>
          </cell>
          <cell r="J139">
            <v>2174.3672795383109</v>
          </cell>
          <cell r="K139">
            <v>-2174.3672795383109</v>
          </cell>
        </row>
        <row r="140">
          <cell r="A140">
            <v>373001</v>
          </cell>
          <cell r="B140" t="str">
            <v>Arise Academy (Arise Academy)</v>
          </cell>
          <cell r="C140">
            <v>425</v>
          </cell>
          <cell r="D140">
            <v>434</v>
          </cell>
          <cell r="E140">
            <v>9</v>
          </cell>
          <cell r="F140">
            <v>9</v>
          </cell>
          <cell r="G140">
            <v>0</v>
          </cell>
          <cell r="H140">
            <v>3602.7009974327857</v>
          </cell>
          <cell r="I140">
            <v>746.0335616438357</v>
          </cell>
          <cell r="J140">
            <v>2174.3672795383109</v>
          </cell>
          <cell r="K140">
            <v>19569.305515844797</v>
          </cell>
        </row>
        <row r="141">
          <cell r="A141">
            <v>373002</v>
          </cell>
          <cell r="B141" t="str">
            <v>Mildred Osborne Elem (Arise Academy)</v>
          </cell>
          <cell r="C141">
            <v>423</v>
          </cell>
          <cell r="D141">
            <v>437</v>
          </cell>
          <cell r="E141">
            <v>14</v>
          </cell>
          <cell r="F141">
            <v>14</v>
          </cell>
          <cell r="G141">
            <v>0</v>
          </cell>
          <cell r="H141">
            <v>3602.7009974327857</v>
          </cell>
          <cell r="I141">
            <v>746.0335616438357</v>
          </cell>
          <cell r="J141">
            <v>2174.3672795383109</v>
          </cell>
          <cell r="K141">
            <v>30441.141913536354</v>
          </cell>
        </row>
        <row r="142">
          <cell r="A142">
            <v>374001</v>
          </cell>
          <cell r="B142" t="str">
            <v>Success Preparatory Academy (Success Prep)</v>
          </cell>
          <cell r="C142">
            <v>506</v>
          </cell>
          <cell r="D142">
            <v>530</v>
          </cell>
          <cell r="E142">
            <v>24</v>
          </cell>
          <cell r="F142">
            <v>24</v>
          </cell>
          <cell r="G142">
            <v>0</v>
          </cell>
          <cell r="H142">
            <v>3602.7009974327857</v>
          </cell>
          <cell r="I142">
            <v>746.0335616438357</v>
          </cell>
          <cell r="J142">
            <v>2174.3672795383109</v>
          </cell>
          <cell r="K142">
            <v>52184.814708919461</v>
          </cell>
        </row>
        <row r="143">
          <cell r="A143">
            <v>381001</v>
          </cell>
          <cell r="B143" t="str">
            <v>Akili Academy of N.O. (Crescent City Schools)</v>
          </cell>
          <cell r="C143">
            <v>487</v>
          </cell>
          <cell r="D143">
            <v>505</v>
          </cell>
          <cell r="E143">
            <v>18</v>
          </cell>
          <cell r="F143">
            <v>18</v>
          </cell>
          <cell r="G143">
            <v>0</v>
          </cell>
          <cell r="H143">
            <v>3602.7009974327857</v>
          </cell>
          <cell r="I143">
            <v>743.65689655172423</v>
          </cell>
          <cell r="J143">
            <v>2173.1789469922551</v>
          </cell>
          <cell r="K143">
            <v>39117.221045860591</v>
          </cell>
        </row>
        <row r="144">
          <cell r="A144">
            <v>382001</v>
          </cell>
          <cell r="B144" t="str">
            <v>Sci Academy (Collegiate Academies)</v>
          </cell>
          <cell r="C144">
            <v>460</v>
          </cell>
          <cell r="D144">
            <v>454</v>
          </cell>
          <cell r="E144">
            <v>-6</v>
          </cell>
          <cell r="F144">
            <v>0</v>
          </cell>
          <cell r="G144">
            <v>-6</v>
          </cell>
          <cell r="H144">
            <v>3602.7009974327857</v>
          </cell>
          <cell r="I144">
            <v>783.54939759036142</v>
          </cell>
          <cell r="J144">
            <v>2193.1251975115738</v>
          </cell>
          <cell r="K144">
            <v>-13158.751185069443</v>
          </cell>
        </row>
        <row r="145">
          <cell r="A145">
            <v>382002</v>
          </cell>
          <cell r="B145" t="str">
            <v>G.W. Carver Collegiate Acdmy (Collegiate Academies)</v>
          </cell>
          <cell r="C145">
            <v>305</v>
          </cell>
          <cell r="D145">
            <v>293</v>
          </cell>
          <cell r="E145">
            <v>-12</v>
          </cell>
          <cell r="F145">
            <v>0</v>
          </cell>
          <cell r="G145">
            <v>-12</v>
          </cell>
          <cell r="H145">
            <v>3602.7009974327857</v>
          </cell>
          <cell r="I145">
            <v>746.0335616438357</v>
          </cell>
          <cell r="J145">
            <v>2174.3672795383109</v>
          </cell>
          <cell r="K145">
            <v>-26092.40735445973</v>
          </cell>
        </row>
        <row r="146">
          <cell r="A146">
            <v>382003</v>
          </cell>
          <cell r="B146" t="str">
            <v>G.W. Carver Prep Acdmy (Collegiate Academies)</v>
          </cell>
          <cell r="C146">
            <v>287</v>
          </cell>
          <cell r="D146">
            <v>281</v>
          </cell>
          <cell r="E146">
            <v>-6</v>
          </cell>
          <cell r="F146">
            <v>0</v>
          </cell>
          <cell r="G146">
            <v>-6</v>
          </cell>
          <cell r="H146">
            <v>3602.7009974327857</v>
          </cell>
          <cell r="I146">
            <v>746.0335616438357</v>
          </cell>
          <cell r="J146">
            <v>2174.3672795383109</v>
          </cell>
          <cell r="K146">
            <v>-13046.203677229865</v>
          </cell>
        </row>
        <row r="147">
          <cell r="A147">
            <v>384001</v>
          </cell>
          <cell r="B147" t="str">
            <v>Miller McCoy Academy (Miller McCoy Academy)</v>
          </cell>
          <cell r="C147">
            <v>365</v>
          </cell>
          <cell r="D147">
            <v>330</v>
          </cell>
          <cell r="E147">
            <v>-35</v>
          </cell>
          <cell r="F147">
            <v>0</v>
          </cell>
          <cell r="G147">
            <v>-35</v>
          </cell>
          <cell r="H147">
            <v>3602.7009974327857</v>
          </cell>
          <cell r="I147">
            <v>735.82244897959185</v>
          </cell>
          <cell r="J147">
            <v>2169.2617232061889</v>
          </cell>
          <cell r="K147">
            <v>-75924.160312216613</v>
          </cell>
        </row>
        <row r="148">
          <cell r="A148">
            <v>385001</v>
          </cell>
          <cell r="B148" t="str">
            <v>Sylvanie Williams College Prep (N.O. College Prep)</v>
          </cell>
          <cell r="C148">
            <v>341</v>
          </cell>
          <cell r="D148">
            <v>356</v>
          </cell>
          <cell r="E148">
            <v>15</v>
          </cell>
          <cell r="F148">
            <v>15</v>
          </cell>
          <cell r="G148">
            <v>0</v>
          </cell>
          <cell r="H148">
            <v>3602.7009974327857</v>
          </cell>
          <cell r="I148">
            <v>618.75651162790689</v>
          </cell>
          <cell r="J148">
            <v>2110.7287545303461</v>
          </cell>
          <cell r="K148">
            <v>31660.93131795519</v>
          </cell>
        </row>
        <row r="149">
          <cell r="A149">
            <v>385002</v>
          </cell>
          <cell r="B149" t="str">
            <v>Cohen College Prep (N.O. College Prep)</v>
          </cell>
          <cell r="C149">
            <v>464</v>
          </cell>
          <cell r="D149">
            <v>464</v>
          </cell>
          <cell r="E149">
            <v>0</v>
          </cell>
          <cell r="F149">
            <v>0</v>
          </cell>
          <cell r="G149">
            <v>0</v>
          </cell>
          <cell r="H149">
            <v>3602.7009974327857</v>
          </cell>
          <cell r="I149">
            <v>746.0335616438357</v>
          </cell>
          <cell r="J149">
            <v>2174.3672795383109</v>
          </cell>
          <cell r="K149">
            <v>0</v>
          </cell>
        </row>
        <row r="150">
          <cell r="A150">
            <v>385003</v>
          </cell>
          <cell r="B150" t="str">
            <v>Crocker College Prep (N.O. College Prep)</v>
          </cell>
          <cell r="C150">
            <v>389</v>
          </cell>
          <cell r="D150">
            <v>392</v>
          </cell>
          <cell r="E150">
            <v>3</v>
          </cell>
          <cell r="F150">
            <v>3</v>
          </cell>
          <cell r="G150">
            <v>0</v>
          </cell>
          <cell r="H150">
            <v>3602.7009974327857</v>
          </cell>
          <cell r="I150">
            <v>746.0335616438357</v>
          </cell>
          <cell r="J150">
            <v>2174.3672795383109</v>
          </cell>
          <cell r="K150">
            <v>6523.1018386149326</v>
          </cell>
        </row>
        <row r="151">
          <cell r="A151">
            <v>388001</v>
          </cell>
          <cell r="B151" t="str">
            <v>Andrew H. Wilson Charter (Broadmoor)</v>
          </cell>
          <cell r="C151">
            <v>608</v>
          </cell>
          <cell r="D151">
            <v>610</v>
          </cell>
          <cell r="E151">
            <v>2</v>
          </cell>
          <cell r="F151">
            <v>2</v>
          </cell>
          <cell r="G151">
            <v>0</v>
          </cell>
          <cell r="H151">
            <v>3602.7009974327857</v>
          </cell>
          <cell r="I151">
            <v>708.2132751810401</v>
          </cell>
          <cell r="J151">
            <v>2155.4571363069131</v>
          </cell>
          <cell r="K151">
            <v>4310.9142726138261</v>
          </cell>
        </row>
        <row r="152">
          <cell r="A152">
            <v>390001</v>
          </cell>
          <cell r="B152" t="str">
            <v>James M. Singleton Charter (Dryades YMCA)</v>
          </cell>
          <cell r="C152">
            <v>476</v>
          </cell>
          <cell r="D152">
            <v>481</v>
          </cell>
          <cell r="E152">
            <v>5</v>
          </cell>
          <cell r="F152">
            <v>5</v>
          </cell>
          <cell r="G152">
            <v>0</v>
          </cell>
          <cell r="H152">
            <v>3602.7009974327857</v>
          </cell>
          <cell r="I152">
            <v>650.55234865477053</v>
          </cell>
          <cell r="J152">
            <v>2126.6266730437783</v>
          </cell>
          <cell r="K152">
            <v>10633.133365218891</v>
          </cell>
        </row>
        <row r="153">
          <cell r="A153">
            <v>391001</v>
          </cell>
          <cell r="B153" t="str">
            <v>Dr. MLK, Jr Charter for Sci &amp; Tech (Friends of King)</v>
          </cell>
          <cell r="C153">
            <v>726</v>
          </cell>
          <cell r="D153">
            <v>721</v>
          </cell>
          <cell r="E153">
            <v>-5</v>
          </cell>
          <cell r="F153">
            <v>0</v>
          </cell>
          <cell r="G153">
            <v>-5</v>
          </cell>
          <cell r="H153">
            <v>3602.7009974327857</v>
          </cell>
          <cell r="I153">
            <v>721.28337970262919</v>
          </cell>
          <cell r="J153">
            <v>2161.9921885677077</v>
          </cell>
          <cell r="K153">
            <v>-10809.960942838537</v>
          </cell>
        </row>
        <row r="154">
          <cell r="A154">
            <v>391002</v>
          </cell>
          <cell r="B154" t="str">
            <v>Joseph A. Craig (Friends of King)</v>
          </cell>
          <cell r="C154">
            <v>390</v>
          </cell>
          <cell r="D154">
            <v>361</v>
          </cell>
          <cell r="E154">
            <v>-29</v>
          </cell>
          <cell r="F154">
            <v>0</v>
          </cell>
          <cell r="G154">
            <v>-29</v>
          </cell>
          <cell r="H154">
            <v>3602.7009974327857</v>
          </cell>
          <cell r="I154">
            <v>746.0335616438357</v>
          </cell>
          <cell r="J154">
            <v>2174.3672795383109</v>
          </cell>
          <cell r="K154">
            <v>-63056.651106611018</v>
          </cell>
        </row>
        <row r="155">
          <cell r="A155">
            <v>392001</v>
          </cell>
          <cell r="B155" t="str">
            <v>McDonogh #28 City Park Acdmy (N.O. Charter Schls Fndtn)</v>
          </cell>
          <cell r="C155">
            <v>448</v>
          </cell>
          <cell r="D155">
            <v>454</v>
          </cell>
          <cell r="E155">
            <v>6</v>
          </cell>
          <cell r="F155">
            <v>6</v>
          </cell>
          <cell r="G155">
            <v>0</v>
          </cell>
          <cell r="H155">
            <v>3602.7009974327857</v>
          </cell>
          <cell r="I155">
            <v>600.21655982905986</v>
          </cell>
          <cell r="J155">
            <v>2101.458778630923</v>
          </cell>
          <cell r="K155">
            <v>12608.752671785538</v>
          </cell>
        </row>
        <row r="156">
          <cell r="A156">
            <v>393001</v>
          </cell>
          <cell r="B156" t="str">
            <v>Lafayette Academy (Choice Foundation)</v>
          </cell>
          <cell r="C156">
            <v>916</v>
          </cell>
          <cell r="D156">
            <v>904</v>
          </cell>
          <cell r="E156">
            <v>-12</v>
          </cell>
          <cell r="F156">
            <v>0</v>
          </cell>
          <cell r="G156">
            <v>-12</v>
          </cell>
          <cell r="H156">
            <v>3602.7009974327857</v>
          </cell>
          <cell r="I156">
            <v>776.90344307346322</v>
          </cell>
          <cell r="J156">
            <v>2189.8022202531247</v>
          </cell>
          <cell r="K156">
            <v>-26277.626643037496</v>
          </cell>
        </row>
        <row r="157">
          <cell r="A157">
            <v>393002</v>
          </cell>
          <cell r="B157" t="str">
            <v>Esperanza Charter (Choice Foundation)</v>
          </cell>
          <cell r="C157">
            <v>453</v>
          </cell>
          <cell r="D157">
            <v>486</v>
          </cell>
          <cell r="E157">
            <v>33</v>
          </cell>
          <cell r="F157">
            <v>33</v>
          </cell>
          <cell r="G157">
            <v>0</v>
          </cell>
          <cell r="H157">
            <v>3602.7009974327857</v>
          </cell>
          <cell r="I157">
            <v>642.89065513553726</v>
          </cell>
          <cell r="J157">
            <v>2122.7958262841616</v>
          </cell>
          <cell r="K157">
            <v>70052.262267377329</v>
          </cell>
        </row>
        <row r="158">
          <cell r="A158">
            <v>393003</v>
          </cell>
          <cell r="B158" t="str">
            <v>McDonogh #42 Elem Charter (Choice Foundation)</v>
          </cell>
          <cell r="C158">
            <v>415</v>
          </cell>
          <cell r="D158">
            <v>441</v>
          </cell>
          <cell r="E158">
            <v>26</v>
          </cell>
          <cell r="F158">
            <v>26</v>
          </cell>
          <cell r="G158">
            <v>0</v>
          </cell>
          <cell r="H158">
            <v>3602.7009974327857</v>
          </cell>
          <cell r="I158">
            <v>746.0335616438357</v>
          </cell>
          <cell r="J158">
            <v>2174.3672795383109</v>
          </cell>
          <cell r="K158">
            <v>56533.549267996081</v>
          </cell>
        </row>
        <row r="159">
          <cell r="A159">
            <v>395001</v>
          </cell>
          <cell r="B159" t="str">
            <v>Martin Behrman (ACSA)</v>
          </cell>
          <cell r="C159">
            <v>683</v>
          </cell>
          <cell r="D159">
            <v>692</v>
          </cell>
          <cell r="E159">
            <v>9</v>
          </cell>
          <cell r="F159">
            <v>9</v>
          </cell>
          <cell r="G159">
            <v>0</v>
          </cell>
          <cell r="H159">
            <v>3602.7009974327857</v>
          </cell>
          <cell r="I159">
            <v>678.38194087511556</v>
          </cell>
          <cell r="J159">
            <v>2140.5414691539509</v>
          </cell>
          <cell r="K159">
            <v>19264.873222385559</v>
          </cell>
        </row>
        <row r="160">
          <cell r="A160">
            <v>395002</v>
          </cell>
          <cell r="B160" t="str">
            <v>Dwight D. Eisenhower (ACSA )</v>
          </cell>
          <cell r="C160">
            <v>775</v>
          </cell>
          <cell r="D160">
            <v>777</v>
          </cell>
          <cell r="E160">
            <v>2</v>
          </cell>
          <cell r="F160">
            <v>2</v>
          </cell>
          <cell r="G160">
            <v>0</v>
          </cell>
          <cell r="H160">
            <v>3602.7009974327857</v>
          </cell>
          <cell r="I160">
            <v>686.92241021135874</v>
          </cell>
          <cell r="J160">
            <v>2144.8117038220721</v>
          </cell>
          <cell r="K160">
            <v>4289.6234076441442</v>
          </cell>
        </row>
        <row r="161">
          <cell r="A161">
            <v>395003</v>
          </cell>
          <cell r="B161" t="str">
            <v>William J. Fischer (ACSA )</v>
          </cell>
          <cell r="C161">
            <v>613</v>
          </cell>
          <cell r="D161">
            <v>624</v>
          </cell>
          <cell r="E161">
            <v>11</v>
          </cell>
          <cell r="F161">
            <v>11</v>
          </cell>
          <cell r="G161">
            <v>0</v>
          </cell>
          <cell r="H161">
            <v>3602.7009974327857</v>
          </cell>
          <cell r="I161">
            <v>761.3587570202327</v>
          </cell>
          <cell r="J161">
            <v>2182.0298772265091</v>
          </cell>
          <cell r="K161">
            <v>24002.328649491599</v>
          </cell>
        </row>
        <row r="162">
          <cell r="A162">
            <v>395004</v>
          </cell>
          <cell r="B162" t="str">
            <v>McDonogh #32 Elem (ACSA)</v>
          </cell>
          <cell r="C162">
            <v>632</v>
          </cell>
          <cell r="D162">
            <v>632</v>
          </cell>
          <cell r="E162">
            <v>0</v>
          </cell>
          <cell r="F162">
            <v>0</v>
          </cell>
          <cell r="G162">
            <v>0</v>
          </cell>
          <cell r="H162">
            <v>3602.7009974327857</v>
          </cell>
          <cell r="I162">
            <v>1003.4698393033485</v>
          </cell>
          <cell r="J162">
            <v>2303.0854183680672</v>
          </cell>
          <cell r="K162">
            <v>0</v>
          </cell>
        </row>
        <row r="163">
          <cell r="A163">
            <v>395005</v>
          </cell>
          <cell r="B163" t="str">
            <v>LB Landry-OP Walker College &amp; Career Prep (ACSA)</v>
          </cell>
          <cell r="C163">
            <v>1316</v>
          </cell>
          <cell r="D163">
            <v>1308</v>
          </cell>
          <cell r="E163">
            <v>-8</v>
          </cell>
          <cell r="F163">
            <v>0</v>
          </cell>
          <cell r="G163">
            <v>-8</v>
          </cell>
          <cell r="H163">
            <v>3602.7009974327857</v>
          </cell>
          <cell r="I163">
            <v>592.05529010815155</v>
          </cell>
          <cell r="J163">
            <v>2097.3781437704688</v>
          </cell>
          <cell r="K163">
            <v>-16779.02515016375</v>
          </cell>
        </row>
        <row r="164">
          <cell r="A164">
            <v>395007</v>
          </cell>
          <cell r="B164" t="str">
            <v>Algiers Technology Acdmy (ACSA)</v>
          </cell>
          <cell r="C164">
            <v>299</v>
          </cell>
          <cell r="D164">
            <v>323</v>
          </cell>
          <cell r="E164">
            <v>24</v>
          </cell>
          <cell r="F164">
            <v>24</v>
          </cell>
          <cell r="G164">
            <v>0</v>
          </cell>
          <cell r="H164">
            <v>3602.7009974327857</v>
          </cell>
          <cell r="I164">
            <v>907.69666061705993</v>
          </cell>
          <cell r="J164">
            <v>2255.1988290249228</v>
          </cell>
          <cell r="K164">
            <v>54124.771896598148</v>
          </cell>
        </row>
        <row r="165">
          <cell r="A165">
            <v>397001</v>
          </cell>
          <cell r="B165" t="str">
            <v>Sophie B. Wright Learning Acdmy (Inst. of Academic Excel.)</v>
          </cell>
          <cell r="C165">
            <v>399</v>
          </cell>
          <cell r="D165">
            <v>400</v>
          </cell>
          <cell r="E165">
            <v>1</v>
          </cell>
          <cell r="F165">
            <v>1</v>
          </cell>
          <cell r="G165">
            <v>0</v>
          </cell>
          <cell r="H165">
            <v>3602.7009974327857</v>
          </cell>
          <cell r="I165">
            <v>741.72363820787723</v>
          </cell>
          <cell r="J165">
            <v>2172.2123178203315</v>
          </cell>
          <cell r="K165">
            <v>2172.2123178203315</v>
          </cell>
        </row>
        <row r="166">
          <cell r="A166">
            <v>398001</v>
          </cell>
          <cell r="B166" t="str">
            <v>KIPP Believe College Prep (KIPP N.O.)</v>
          </cell>
          <cell r="C166">
            <v>797</v>
          </cell>
          <cell r="D166">
            <v>804</v>
          </cell>
          <cell r="E166">
            <v>7</v>
          </cell>
          <cell r="F166">
            <v>7</v>
          </cell>
          <cell r="G166">
            <v>0</v>
          </cell>
          <cell r="H166">
            <v>3602.7009974327857</v>
          </cell>
          <cell r="I166">
            <v>643.94778836855926</v>
          </cell>
          <cell r="J166">
            <v>2123.3243929006726</v>
          </cell>
          <cell r="K166">
            <v>14863.270750304708</v>
          </cell>
        </row>
        <row r="167">
          <cell r="A167">
            <v>398002</v>
          </cell>
          <cell r="B167" t="str">
            <v>KIPP McDonogh 15 Sch. for the Creative Arts (KIPP N.O.)</v>
          </cell>
          <cell r="C167">
            <v>918</v>
          </cell>
          <cell r="D167">
            <v>937</v>
          </cell>
          <cell r="E167">
            <v>19</v>
          </cell>
          <cell r="F167">
            <v>19</v>
          </cell>
          <cell r="G167">
            <v>0</v>
          </cell>
          <cell r="H167">
            <v>3602.7009974327857</v>
          </cell>
          <cell r="I167">
            <v>724.79250196607131</v>
          </cell>
          <cell r="J167">
            <v>2163.7467496994286</v>
          </cell>
          <cell r="K167">
            <v>41111.188244289144</v>
          </cell>
        </row>
        <row r="168">
          <cell r="A168">
            <v>398003</v>
          </cell>
          <cell r="B168" t="str">
            <v>KIPP Central City Acdmy (KIPP N.O.)</v>
          </cell>
          <cell r="C168">
            <v>418</v>
          </cell>
          <cell r="D168">
            <v>421</v>
          </cell>
          <cell r="E168">
            <v>3</v>
          </cell>
          <cell r="F168">
            <v>3</v>
          </cell>
          <cell r="G168">
            <v>0</v>
          </cell>
          <cell r="H168">
            <v>3602.7009974327857</v>
          </cell>
          <cell r="I168">
            <v>592.5310423197493</v>
          </cell>
          <cell r="J168">
            <v>2097.6160198762673</v>
          </cell>
          <cell r="K168">
            <v>6292.8480596288018</v>
          </cell>
        </row>
        <row r="169">
          <cell r="A169">
            <v>398004</v>
          </cell>
          <cell r="B169" t="str">
            <v>KIPP Central City Primary (KIPP N.O.)</v>
          </cell>
          <cell r="C169">
            <v>516</v>
          </cell>
          <cell r="D169">
            <v>522</v>
          </cell>
          <cell r="E169">
            <v>6</v>
          </cell>
          <cell r="F169">
            <v>6</v>
          </cell>
          <cell r="G169">
            <v>0</v>
          </cell>
          <cell r="H169">
            <v>3602.7009974327857</v>
          </cell>
          <cell r="I169">
            <v>741.31578947368428</v>
          </cell>
          <cell r="J169">
            <v>2172.0083934532349</v>
          </cell>
          <cell r="K169">
            <v>13032.05036071941</v>
          </cell>
        </row>
        <row r="170">
          <cell r="A170">
            <v>398005</v>
          </cell>
          <cell r="B170" t="str">
            <v>KIPP Renaissance High (KIPP N.O.)</v>
          </cell>
          <cell r="C170">
            <v>445</v>
          </cell>
          <cell r="D170">
            <v>444</v>
          </cell>
          <cell r="E170">
            <v>-1</v>
          </cell>
          <cell r="F170">
            <v>0</v>
          </cell>
          <cell r="G170">
            <v>-1</v>
          </cell>
          <cell r="H170">
            <v>3602.7009974327857</v>
          </cell>
          <cell r="I170">
            <v>746.0335616438357</v>
          </cell>
          <cell r="J170">
            <v>2174.3672795383109</v>
          </cell>
          <cell r="K170">
            <v>-2174.3672795383109</v>
          </cell>
        </row>
        <row r="171">
          <cell r="A171">
            <v>398006</v>
          </cell>
          <cell r="B171" t="str">
            <v>KIPP N.O. Leadership Acdmy (KIPP N.O.)</v>
          </cell>
          <cell r="C171">
            <v>834</v>
          </cell>
          <cell r="D171">
            <v>833</v>
          </cell>
          <cell r="E171">
            <v>-1</v>
          </cell>
          <cell r="F171">
            <v>0</v>
          </cell>
          <cell r="G171">
            <v>-1</v>
          </cell>
          <cell r="H171">
            <v>3602.7009974327857</v>
          </cell>
          <cell r="I171">
            <v>746.0335616438357</v>
          </cell>
          <cell r="J171">
            <v>2174.3672795383109</v>
          </cell>
          <cell r="K171">
            <v>-2174.3672795383109</v>
          </cell>
        </row>
        <row r="172">
          <cell r="A172">
            <v>398007</v>
          </cell>
          <cell r="B172" t="str">
            <v>KIPP East (KIPP)</v>
          </cell>
          <cell r="C172">
            <v>94</v>
          </cell>
          <cell r="D172">
            <v>102</v>
          </cell>
          <cell r="E172">
            <v>8</v>
          </cell>
          <cell r="F172">
            <v>8</v>
          </cell>
          <cell r="G172">
            <v>0</v>
          </cell>
          <cell r="H172">
            <v>3602.7009974327857</v>
          </cell>
          <cell r="I172">
            <v>746.0335616438357</v>
          </cell>
          <cell r="J172">
            <v>2174.3672795383109</v>
          </cell>
          <cell r="K172">
            <v>17394.938236306487</v>
          </cell>
        </row>
        <row r="173">
          <cell r="A173">
            <v>399001</v>
          </cell>
          <cell r="B173" t="str">
            <v>S.J. Green Charter (Firstline Schools)</v>
          </cell>
          <cell r="C173">
            <v>522</v>
          </cell>
          <cell r="D173">
            <v>525</v>
          </cell>
          <cell r="E173">
            <v>3</v>
          </cell>
          <cell r="F173">
            <v>3</v>
          </cell>
          <cell r="G173">
            <v>0</v>
          </cell>
          <cell r="H173">
            <v>3602.7009974327857</v>
          </cell>
          <cell r="I173">
            <v>752.85062142702634</v>
          </cell>
          <cell r="J173">
            <v>2177.7758094299061</v>
          </cell>
          <cell r="K173">
            <v>6533.3274282897182</v>
          </cell>
        </row>
        <row r="174">
          <cell r="A174">
            <v>399002</v>
          </cell>
          <cell r="B174" t="str">
            <v>Arthur Ashe Charter (Firstline Schools)</v>
          </cell>
          <cell r="C174">
            <v>694</v>
          </cell>
          <cell r="D174">
            <v>681</v>
          </cell>
          <cell r="E174">
            <v>-13</v>
          </cell>
          <cell r="F174">
            <v>0</v>
          </cell>
          <cell r="G174">
            <v>-13</v>
          </cell>
          <cell r="H174">
            <v>3602.7009974327857</v>
          </cell>
          <cell r="I174">
            <v>803.97152919927748</v>
          </cell>
          <cell r="J174">
            <v>2203.3362633160314</v>
          </cell>
          <cell r="K174">
            <v>-28643.371423108409</v>
          </cell>
        </row>
        <row r="175">
          <cell r="A175">
            <v>399003</v>
          </cell>
          <cell r="B175" t="str">
            <v>Joseph Clark High (Firstline Schools)</v>
          </cell>
          <cell r="C175">
            <v>427</v>
          </cell>
          <cell r="D175">
            <v>422</v>
          </cell>
          <cell r="E175">
            <v>-5</v>
          </cell>
          <cell r="F175">
            <v>0</v>
          </cell>
          <cell r="G175">
            <v>-5</v>
          </cell>
          <cell r="H175">
            <v>3602.7009974327857</v>
          </cell>
          <cell r="I175">
            <v>746.0335616438357</v>
          </cell>
          <cell r="J175">
            <v>2174.3672795383109</v>
          </cell>
          <cell r="K175">
            <v>-10871.836397691553</v>
          </cell>
        </row>
        <row r="176">
          <cell r="A176">
            <v>399004</v>
          </cell>
          <cell r="B176" t="str">
            <v>John Dibert Community (Firstline Schools)</v>
          </cell>
          <cell r="C176">
            <v>590</v>
          </cell>
          <cell r="D176">
            <v>586</v>
          </cell>
          <cell r="E176">
            <v>-4</v>
          </cell>
          <cell r="F176">
            <v>0</v>
          </cell>
          <cell r="G176">
            <v>-4</v>
          </cell>
          <cell r="H176">
            <v>3602.7009974327857</v>
          </cell>
          <cell r="I176">
            <v>746.0335616438357</v>
          </cell>
          <cell r="J176">
            <v>2174.3672795383109</v>
          </cell>
          <cell r="K176">
            <v>-8697.4691181532435</v>
          </cell>
        </row>
        <row r="177">
          <cell r="A177">
            <v>399005</v>
          </cell>
          <cell r="B177" t="str">
            <v>Langston Hughes Acdmy (Firstline Schools)</v>
          </cell>
          <cell r="C177">
            <v>807</v>
          </cell>
          <cell r="D177">
            <v>813</v>
          </cell>
          <cell r="E177">
            <v>6</v>
          </cell>
          <cell r="F177">
            <v>6</v>
          </cell>
          <cell r="G177">
            <v>0</v>
          </cell>
          <cell r="H177">
            <v>3602.7009974327857</v>
          </cell>
          <cell r="I177">
            <v>746.0335616438357</v>
          </cell>
          <cell r="J177">
            <v>2174.3672795383109</v>
          </cell>
          <cell r="K177">
            <v>13046.203677229865</v>
          </cell>
        </row>
        <row r="178">
          <cell r="A178" t="str">
            <v>3A5001</v>
          </cell>
          <cell r="B178" t="str">
            <v>Mary D. Coghill Accelerated (Better Choice Foundation)</v>
          </cell>
          <cell r="C178">
            <v>637</v>
          </cell>
          <cell r="D178">
            <v>630</v>
          </cell>
          <cell r="E178">
            <v>-7</v>
          </cell>
          <cell r="F178">
            <v>0</v>
          </cell>
          <cell r="G178">
            <v>-7</v>
          </cell>
          <cell r="H178">
            <v>3602.7009974327857</v>
          </cell>
          <cell r="I178">
            <v>746.0335616438357</v>
          </cell>
          <cell r="J178">
            <v>2174.3672795383109</v>
          </cell>
          <cell r="K178">
            <v>-15220.570956768177</v>
          </cell>
        </row>
        <row r="179">
          <cell r="K179">
            <v>125751.67841994425</v>
          </cell>
        </row>
        <row r="181">
          <cell r="K181">
            <v>0</v>
          </cell>
        </row>
        <row r="182">
          <cell r="E182">
            <v>52</v>
          </cell>
          <cell r="K182">
            <v>114393.58949969815</v>
          </cell>
        </row>
        <row r="183">
          <cell r="K183">
            <v>114393.58949969815</v>
          </cell>
        </row>
        <row r="185">
          <cell r="E185">
            <v>-36</v>
          </cell>
          <cell r="K185">
            <v>-74971.361897883326</v>
          </cell>
        </row>
        <row r="186">
          <cell r="E186">
            <v>-22</v>
          </cell>
          <cell r="K186">
            <v>-45815.832270928695</v>
          </cell>
        </row>
        <row r="187">
          <cell r="E187">
            <v>-39</v>
          </cell>
          <cell r="K187">
            <v>-81218.975389373605</v>
          </cell>
        </row>
        <row r="188">
          <cell r="E188">
            <v>-18</v>
          </cell>
          <cell r="K188">
            <v>-37485.680948941663</v>
          </cell>
        </row>
        <row r="189">
          <cell r="E189">
            <v>-5</v>
          </cell>
          <cell r="K189">
            <v>-10412.689152483796</v>
          </cell>
        </row>
        <row r="190">
          <cell r="E190">
            <v>-33</v>
          </cell>
          <cell r="K190">
            <v>-68723.748406393046</v>
          </cell>
        </row>
        <row r="191">
          <cell r="E191">
            <v>-26</v>
          </cell>
          <cell r="K191">
            <v>-69903.879593658508</v>
          </cell>
        </row>
        <row r="192">
          <cell r="K192">
            <v>-388532.16765966266</v>
          </cell>
        </row>
      </sheetData>
      <sheetData sheetId="35">
        <row r="4">
          <cell r="K4">
            <v>-3880.229220667492</v>
          </cell>
        </row>
        <row r="5">
          <cell r="K5">
            <v>0</v>
          </cell>
        </row>
        <row r="6">
          <cell r="K6">
            <v>-8375.3262027396813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-8792.2224595588541</v>
          </cell>
        </row>
        <row r="12">
          <cell r="K12">
            <v>0</v>
          </cell>
        </row>
        <row r="13">
          <cell r="K13">
            <v>-4463.7023669592363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-4441.9328304967585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-8285.5491890611265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-8918.2310285698404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-4014.9277657829593</v>
          </cell>
        </row>
        <row r="53">
          <cell r="K53">
            <v>-9024.5992722701667</v>
          </cell>
        </row>
        <row r="54">
          <cell r="K54">
            <v>0</v>
          </cell>
        </row>
        <row r="55">
          <cell r="K55">
            <v>-4667.3172922614094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-4222.2662745649241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-4549.368146760924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</sheetData>
      <sheetData sheetId="36"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-4436.0022795383111</v>
          </cell>
        </row>
        <row r="40">
          <cell r="K40">
            <v>0</v>
          </cell>
        </row>
        <row r="41">
          <cell r="K41">
            <v>-4622.2508776458444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-4667.3172922614094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</sheetData>
      <sheetData sheetId="37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-6</v>
          </cell>
          <cell r="K20">
            <v>-12495.226982980554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-1</v>
          </cell>
          <cell r="K71">
            <v>-3594.43221012803</v>
          </cell>
        </row>
        <row r="72">
          <cell r="E72">
            <v>0</v>
          </cell>
          <cell r="K72">
            <v>0</v>
          </cell>
        </row>
      </sheetData>
      <sheetData sheetId="38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3</v>
          </cell>
          <cell r="K40">
            <v>9478.4908890476527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-30</v>
          </cell>
          <cell r="K59">
            <v>-84647.264112432429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-1</v>
          </cell>
          <cell r="K68">
            <v>-2802.1402771971821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K73">
            <v>-2821.5754704144142</v>
          </cell>
        </row>
      </sheetData>
      <sheetData sheetId="39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-7</v>
          </cell>
          <cell r="K29">
            <v>-14914.882489699794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-6</v>
          </cell>
          <cell r="K39">
            <v>-13046.203677229865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-1</v>
          </cell>
          <cell r="K47">
            <v>-2780.3779075910179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-1</v>
          </cell>
          <cell r="K55">
            <v>-2860.3222922614086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0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-10</v>
          </cell>
          <cell r="K29">
            <v>-21306.974985285418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-2</v>
          </cell>
          <cell r="K39">
            <v>-4348.7345590766217</v>
          </cell>
        </row>
        <row r="40">
          <cell r="E40">
            <v>0</v>
          </cell>
          <cell r="K40">
            <v>0</v>
          </cell>
        </row>
        <row r="41">
          <cell r="E41">
            <v>-1</v>
          </cell>
          <cell r="K41">
            <v>-1459.3608776458441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1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1</v>
          </cell>
          <cell r="K29">
            <v>2130.6974985285419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2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-1</v>
          </cell>
          <cell r="K13">
            <v>-2496.207366959236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3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-2</v>
          </cell>
          <cell r="K31">
            <v>-3831.8158846568822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-11</v>
          </cell>
          <cell r="K52">
            <v>-30636.735423612554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4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17</v>
          </cell>
          <cell r="K13">
            <v>42435.525238307011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1</v>
          </cell>
          <cell r="K31">
            <v>1915.9079423284411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5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-1</v>
          </cell>
          <cell r="K20">
            <v>-2082.5378304967589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1</v>
          </cell>
          <cell r="K27">
            <v>1732.96201807885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6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1</v>
          </cell>
          <cell r="K29">
            <v>2130.6974985285419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-1</v>
          </cell>
          <cell r="K39">
            <v>-2174.3672795383109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2</v>
          </cell>
          <cell r="K51">
            <v>4854.4282529800721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1</v>
          </cell>
          <cell r="K62">
            <v>3655.7331467609238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7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5</v>
          </cell>
          <cell r="K36">
            <v>15278.838639521309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1</v>
          </cell>
          <cell r="K57">
            <v>3409.2649185258356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8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-1</v>
          </cell>
          <cell r="K62">
            <v>-3655.7331467609238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18</v>
          </cell>
          <cell r="K69">
            <v>65646.616890519042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49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-35</v>
          </cell>
          <cell r="K20">
            <v>-72888.824067386566</v>
          </cell>
        </row>
        <row r="21">
          <cell r="E21">
            <v>0</v>
          </cell>
          <cell r="K21">
            <v>0</v>
          </cell>
        </row>
        <row r="22">
          <cell r="E22">
            <v>-2</v>
          </cell>
          <cell r="K22">
            <v>-6219.8221869460449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-1</v>
          </cell>
          <cell r="K27">
            <v>-1732.96201807885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2</v>
          </cell>
          <cell r="K64">
            <v>3687.8675356369185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50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4</v>
          </cell>
          <cell r="K16">
            <v>14366.119551666443</v>
          </cell>
        </row>
        <row r="17">
          <cell r="E17">
            <v>0</v>
          </cell>
          <cell r="K17">
            <v>0</v>
          </cell>
        </row>
        <row r="18">
          <cell r="E18">
            <v>-4</v>
          </cell>
          <cell r="K18">
            <v>-12607.257042811991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51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24</v>
          </cell>
          <cell r="K20">
            <v>49980.907931922215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-4</v>
          </cell>
          <cell r="K71">
            <v>-14377.72884051212</v>
          </cell>
        </row>
        <row r="72">
          <cell r="E72">
            <v>0</v>
          </cell>
          <cell r="K72">
            <v>0</v>
          </cell>
        </row>
      </sheetData>
      <sheetData sheetId="52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-1</v>
          </cell>
          <cell r="K24">
            <v>-3346.3271147933883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-23</v>
          </cell>
          <cell r="K40">
            <v>-72668.430149365347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53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1</v>
          </cell>
          <cell r="K22">
            <v>3109.9110934730224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-2</v>
          </cell>
          <cell r="K70">
            <v>-5744.7567736134115</v>
          </cell>
        </row>
        <row r="71">
          <cell r="E71">
            <v>-11</v>
          </cell>
          <cell r="K71">
            <v>-39538.754311408331</v>
          </cell>
        </row>
        <row r="72">
          <cell r="E72">
            <v>0</v>
          </cell>
          <cell r="K72">
            <v>0</v>
          </cell>
        </row>
      </sheetData>
      <sheetData sheetId="54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-1</v>
          </cell>
          <cell r="K6">
            <v>-2376.013101369841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-2</v>
          </cell>
          <cell r="K20">
            <v>-4165.0756609935179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-1</v>
          </cell>
          <cell r="K27">
            <v>-1732.96201807885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1</v>
          </cell>
          <cell r="K64">
            <v>1843.9337678184593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55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-2</v>
          </cell>
          <cell r="K13">
            <v>-4992.4147339184719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56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-3</v>
          </cell>
          <cell r="K17">
            <v>-9217.3964118749991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2</v>
          </cell>
          <cell r="K59">
            <v>5643.1509408288284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57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2</v>
          </cell>
          <cell r="K26">
            <v>5699.6015265979158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-11</v>
          </cell>
          <cell r="K31">
            <v>-21074.987365612851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1</v>
          </cell>
          <cell r="K52">
            <v>2785.1577657829594</v>
          </cell>
        </row>
        <row r="53">
          <cell r="E53">
            <v>1</v>
          </cell>
          <cell r="K53">
            <v>2906.0746361350839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2</v>
          </cell>
          <cell r="K60">
            <v>5390.5022979230689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58">
        <row r="4">
          <cell r="E4">
            <v>0</v>
          </cell>
          <cell r="K4">
            <v>0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-23</v>
          </cell>
          <cell r="K31">
            <v>-44065.882673554144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3</v>
          </cell>
          <cell r="K53">
            <v>8718.2239084052526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59">
        <row r="4">
          <cell r="E4">
            <v>4</v>
          </cell>
          <cell r="K4">
            <v>11086.676882669966</v>
          </cell>
        </row>
        <row r="5">
          <cell r="E5">
            <v>0</v>
          </cell>
          <cell r="K5">
            <v>0</v>
          </cell>
        </row>
        <row r="6">
          <cell r="E6">
            <v>0</v>
          </cell>
          <cell r="K6">
            <v>0</v>
          </cell>
        </row>
        <row r="7">
          <cell r="E7">
            <v>0</v>
          </cell>
          <cell r="K7">
            <v>0</v>
          </cell>
        </row>
        <row r="8">
          <cell r="E8">
            <v>1</v>
          </cell>
          <cell r="K8">
            <v>2912.4252830049554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-21</v>
          </cell>
          <cell r="K31">
            <v>-40234.06678889726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-4</v>
          </cell>
          <cell r="K52">
            <v>-11140.631063131837</v>
          </cell>
        </row>
        <row r="53">
          <cell r="E53">
            <v>-3</v>
          </cell>
          <cell r="K53">
            <v>-8718.2239084052526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-4</v>
          </cell>
          <cell r="K60">
            <v>-10781.004595846138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60">
        <row r="4">
          <cell r="E4">
            <v>8</v>
          </cell>
          <cell r="K4">
            <v>19956.01838880594</v>
          </cell>
        </row>
        <row r="5">
          <cell r="E5">
            <v>1</v>
          </cell>
          <cell r="K5">
            <v>3221.5259887823986</v>
          </cell>
        </row>
        <row r="6">
          <cell r="E6">
            <v>5</v>
          </cell>
          <cell r="K6">
            <v>10692.058956164285</v>
          </cell>
        </row>
        <row r="7">
          <cell r="E7">
            <v>-3</v>
          </cell>
          <cell r="K7">
            <v>-9051.5044953286088</v>
          </cell>
        </row>
        <row r="8">
          <cell r="E8">
            <v>0</v>
          </cell>
          <cell r="K8">
            <v>0</v>
          </cell>
        </row>
        <row r="9">
          <cell r="E9">
            <v>3</v>
          </cell>
          <cell r="K9">
            <v>7997.3846268690413</v>
          </cell>
        </row>
        <row r="10">
          <cell r="E10">
            <v>-1</v>
          </cell>
          <cell r="K10">
            <v>-1349.9654383561642</v>
          </cell>
        </row>
        <row r="11">
          <cell r="E11">
            <v>5</v>
          </cell>
          <cell r="K11">
            <v>12140.015534007423</v>
          </cell>
        </row>
        <row r="12">
          <cell r="E12">
            <v>4</v>
          </cell>
          <cell r="K12">
            <v>9678.9987129681012</v>
          </cell>
        </row>
        <row r="13">
          <cell r="E13">
            <v>-1</v>
          </cell>
          <cell r="K13">
            <v>-2246.5866302633126</v>
          </cell>
        </row>
        <row r="14">
          <cell r="E14">
            <v>-1</v>
          </cell>
          <cell r="K14">
            <v>-3512.2892506359012</v>
          </cell>
        </row>
        <row r="15">
          <cell r="E15">
            <v>-1</v>
          </cell>
          <cell r="K15">
            <v>-1228.4613442622951</v>
          </cell>
        </row>
        <row r="16">
          <cell r="E16">
            <v>1</v>
          </cell>
          <cell r="K16">
            <v>3232.3768991249494</v>
          </cell>
        </row>
        <row r="17">
          <cell r="E17">
            <v>1</v>
          </cell>
          <cell r="K17">
            <v>2765.2189235625001</v>
          </cell>
        </row>
        <row r="18">
          <cell r="E18">
            <v>4</v>
          </cell>
          <cell r="K18">
            <v>11346.531338530791</v>
          </cell>
        </row>
        <row r="19">
          <cell r="E19">
            <v>-2</v>
          </cell>
          <cell r="K19">
            <v>-2400.2814918907825</v>
          </cell>
        </row>
        <row r="20">
          <cell r="E20">
            <v>3</v>
          </cell>
          <cell r="K20">
            <v>5622.8521423412494</v>
          </cell>
        </row>
        <row r="21">
          <cell r="E21">
            <v>2</v>
          </cell>
          <cell r="K21">
            <v>6480.4530150428154</v>
          </cell>
        </row>
        <row r="22">
          <cell r="E22">
            <v>0</v>
          </cell>
          <cell r="K22">
            <v>0</v>
          </cell>
        </row>
        <row r="23">
          <cell r="E23">
            <v>1</v>
          </cell>
          <cell r="K23">
            <v>2639.1105704502907</v>
          </cell>
        </row>
        <row r="24">
          <cell r="E24">
            <v>2</v>
          </cell>
          <cell r="K24">
            <v>6023.3888066280997</v>
          </cell>
        </row>
        <row r="25">
          <cell r="E25">
            <v>4</v>
          </cell>
          <cell r="K25">
            <v>12442.445965475279</v>
          </cell>
        </row>
        <row r="26">
          <cell r="E26">
            <v>3</v>
          </cell>
          <cell r="K26">
            <v>7694.4620609071862</v>
          </cell>
        </row>
        <row r="27">
          <cell r="E27">
            <v>-4</v>
          </cell>
          <cell r="K27">
            <v>-6238.6632650838592</v>
          </cell>
        </row>
        <row r="28">
          <cell r="E28">
            <v>3</v>
          </cell>
          <cell r="K28">
            <v>6516.1827371176696</v>
          </cell>
        </row>
        <row r="29">
          <cell r="E29">
            <v>2</v>
          </cell>
          <cell r="K29">
            <v>3835.2554973513752</v>
          </cell>
        </row>
        <row r="30">
          <cell r="E30">
            <v>0</v>
          </cell>
          <cell r="K30">
            <v>0</v>
          </cell>
        </row>
        <row r="31">
          <cell r="E31">
            <v>15</v>
          </cell>
          <cell r="K31">
            <v>25864.757221433956</v>
          </cell>
        </row>
        <row r="32">
          <cell r="E32">
            <v>1</v>
          </cell>
          <cell r="K32">
            <v>2067.2830444578176</v>
          </cell>
        </row>
        <row r="33">
          <cell r="E33">
            <v>-3</v>
          </cell>
          <cell r="K33">
            <v>-8817.7986819895632</v>
          </cell>
        </row>
        <row r="34">
          <cell r="E34">
            <v>2</v>
          </cell>
          <cell r="K34">
            <v>4627.3029045181684</v>
          </cell>
        </row>
        <row r="35">
          <cell r="E35">
            <v>-14</v>
          </cell>
          <cell r="K35">
            <v>-39139.311891085097</v>
          </cell>
        </row>
        <row r="36">
          <cell r="E36">
            <v>-1</v>
          </cell>
          <cell r="K36">
            <v>-2750.1909551138356</v>
          </cell>
        </row>
        <row r="37">
          <cell r="E37">
            <v>2</v>
          </cell>
          <cell r="K37">
            <v>6242.5869158510113</v>
          </cell>
        </row>
        <row r="38">
          <cell r="E38">
            <v>2</v>
          </cell>
          <cell r="K38">
            <v>5133.7873854429845</v>
          </cell>
        </row>
        <row r="39">
          <cell r="E39">
            <v>13</v>
          </cell>
          <cell r="K39">
            <v>25440.097170598234</v>
          </cell>
        </row>
        <row r="40">
          <cell r="E40">
            <v>7</v>
          </cell>
          <cell r="K40">
            <v>19904.830867000073</v>
          </cell>
        </row>
        <row r="41">
          <cell r="E41">
            <v>-2</v>
          </cell>
          <cell r="K41">
            <v>-2626.8495797625192</v>
          </cell>
        </row>
        <row r="42">
          <cell r="E42">
            <v>2</v>
          </cell>
          <cell r="K42">
            <v>3992.9052702215986</v>
          </cell>
        </row>
        <row r="43">
          <cell r="E43">
            <v>-5</v>
          </cell>
          <cell r="K43">
            <v>-13099.682314282143</v>
          </cell>
        </row>
        <row r="44">
          <cell r="E44">
            <v>0</v>
          </cell>
          <cell r="K44">
            <v>0</v>
          </cell>
        </row>
        <row r="45">
          <cell r="E45">
            <v>-1</v>
          </cell>
          <cell r="K45">
            <v>-2541.5494988115906</v>
          </cell>
        </row>
        <row r="46">
          <cell r="E46">
            <v>5</v>
          </cell>
          <cell r="K46">
            <v>14317.546212133806</v>
          </cell>
        </row>
        <row r="47">
          <cell r="E47">
            <v>-4</v>
          </cell>
          <cell r="K47">
            <v>-10009.360467327666</v>
          </cell>
        </row>
        <row r="48">
          <cell r="E48">
            <v>3</v>
          </cell>
          <cell r="K48">
            <v>3790.8097874283289</v>
          </cell>
        </row>
        <row r="49">
          <cell r="E49">
            <v>-1</v>
          </cell>
          <cell r="K49">
            <v>-3050.6735010639773</v>
          </cell>
        </row>
        <row r="50">
          <cell r="E50">
            <v>2</v>
          </cell>
          <cell r="K50">
            <v>3091.4176731882062</v>
          </cell>
        </row>
        <row r="51">
          <cell r="E51">
            <v>-5</v>
          </cell>
          <cell r="K51">
            <v>-10922.463569205163</v>
          </cell>
        </row>
        <row r="52">
          <cell r="E52">
            <v>-16</v>
          </cell>
          <cell r="K52">
            <v>-40106.271827274621</v>
          </cell>
        </row>
        <row r="53">
          <cell r="E53">
            <v>0</v>
          </cell>
          <cell r="K53">
            <v>0</v>
          </cell>
        </row>
        <row r="54">
          <cell r="E54">
            <v>-5</v>
          </cell>
          <cell r="K54">
            <v>-10936.918935490274</v>
          </cell>
        </row>
        <row r="55">
          <cell r="E55">
            <v>-11</v>
          </cell>
          <cell r="K55">
            <v>-28317.190693387947</v>
          </cell>
        </row>
        <row r="56">
          <cell r="E56">
            <v>-5</v>
          </cell>
          <cell r="K56">
            <v>-12937.254343660234</v>
          </cell>
        </row>
        <row r="57">
          <cell r="E57">
            <v>-1</v>
          </cell>
          <cell r="K57">
            <v>-3068.3384266732523</v>
          </cell>
        </row>
        <row r="58">
          <cell r="E58">
            <v>-3</v>
          </cell>
          <cell r="K58">
            <v>-6833.6494413252949</v>
          </cell>
        </row>
        <row r="59">
          <cell r="E59">
            <v>0</v>
          </cell>
          <cell r="K59">
            <v>0</v>
          </cell>
        </row>
        <row r="60">
          <cell r="E60">
            <v>-3</v>
          </cell>
          <cell r="K60">
            <v>-7277.1781021961433</v>
          </cell>
        </row>
        <row r="61">
          <cell r="E61">
            <v>8</v>
          </cell>
          <cell r="K61">
            <v>22932.550669637567</v>
          </cell>
        </row>
        <row r="62">
          <cell r="E62">
            <v>-2</v>
          </cell>
          <cell r="K62">
            <v>-6580.3196641696632</v>
          </cell>
        </row>
        <row r="63">
          <cell r="E63">
            <v>0</v>
          </cell>
          <cell r="K63">
            <v>0</v>
          </cell>
        </row>
        <row r="64">
          <cell r="E64">
            <v>2</v>
          </cell>
          <cell r="K64">
            <v>3319.0807820732266</v>
          </cell>
        </row>
        <row r="65">
          <cell r="E65">
            <v>-3</v>
          </cell>
          <cell r="K65">
            <v>-8663.1586269966101</v>
          </cell>
        </row>
        <row r="66">
          <cell r="E66">
            <v>2</v>
          </cell>
          <cell r="K66">
            <v>4393.0542133663284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-2</v>
          </cell>
          <cell r="K69">
            <v>-6564.6616890519035</v>
          </cell>
        </row>
        <row r="70">
          <cell r="E70">
            <v>2</v>
          </cell>
          <cell r="K70">
            <v>5170.2810962520707</v>
          </cell>
        </row>
        <row r="71">
          <cell r="E71">
            <v>-1</v>
          </cell>
          <cell r="K71">
            <v>-3234.988989115227</v>
          </cell>
        </row>
        <row r="72">
          <cell r="E72">
            <v>-4</v>
          </cell>
          <cell r="K72">
            <v>-11570.69662583064</v>
          </cell>
        </row>
      </sheetData>
      <sheetData sheetId="61">
        <row r="4">
          <cell r="E4">
            <v>-1</v>
          </cell>
          <cell r="K4">
            <v>-2494.5022986007425</v>
          </cell>
        </row>
        <row r="5">
          <cell r="E5">
            <v>-4</v>
          </cell>
          <cell r="K5">
            <v>-12886.103955129594</v>
          </cell>
        </row>
        <row r="6">
          <cell r="E6">
            <v>-4</v>
          </cell>
          <cell r="K6">
            <v>-8553.6471649314281</v>
          </cell>
        </row>
        <row r="7">
          <cell r="E7">
            <v>-1</v>
          </cell>
          <cell r="K7">
            <v>-3017.1681651095359</v>
          </cell>
        </row>
        <row r="8">
          <cell r="E8">
            <v>1</v>
          </cell>
          <cell r="K8">
            <v>2621.1827547044604</v>
          </cell>
        </row>
        <row r="9">
          <cell r="E9">
            <v>2</v>
          </cell>
          <cell r="K9">
            <v>5331.5897512460278</v>
          </cell>
        </row>
        <row r="10">
          <cell r="E10">
            <v>1</v>
          </cell>
          <cell r="K10">
            <v>1349.9654383561642</v>
          </cell>
        </row>
        <row r="11">
          <cell r="E11">
            <v>-3</v>
          </cell>
          <cell r="K11">
            <v>-7284.0093204044533</v>
          </cell>
        </row>
        <row r="12">
          <cell r="E12">
            <v>-1</v>
          </cell>
          <cell r="K12">
            <v>-2419.7496782420253</v>
          </cell>
        </row>
        <row r="13">
          <cell r="E13">
            <v>6</v>
          </cell>
          <cell r="K13">
            <v>13479.519781579875</v>
          </cell>
        </row>
        <row r="14">
          <cell r="E14">
            <v>0</v>
          </cell>
          <cell r="K14">
            <v>0</v>
          </cell>
        </row>
        <row r="15">
          <cell r="E15">
            <v>1</v>
          </cell>
          <cell r="K15">
            <v>1228.4613442622951</v>
          </cell>
        </row>
        <row r="16">
          <cell r="E16">
            <v>-2</v>
          </cell>
          <cell r="K16">
            <v>-6464.7537982498989</v>
          </cell>
        </row>
        <row r="17">
          <cell r="E17">
            <v>1</v>
          </cell>
          <cell r="K17">
            <v>2765.2189235625001</v>
          </cell>
        </row>
        <row r="18">
          <cell r="E18">
            <v>1</v>
          </cell>
          <cell r="K18">
            <v>2836.6328346326977</v>
          </cell>
        </row>
        <row r="19">
          <cell r="E19">
            <v>-1</v>
          </cell>
          <cell r="K19">
            <v>-1200.1407459453912</v>
          </cell>
        </row>
        <row r="20">
          <cell r="E20">
            <v>9</v>
          </cell>
          <cell r="K20">
            <v>16868.556427023748</v>
          </cell>
        </row>
        <row r="21">
          <cell r="E21">
            <v>0</v>
          </cell>
          <cell r="K21">
            <v>0</v>
          </cell>
        </row>
        <row r="22">
          <cell r="E22">
            <v>-3</v>
          </cell>
          <cell r="K22">
            <v>-8396.7599523771605</v>
          </cell>
        </row>
        <row r="23">
          <cell r="E23">
            <v>2</v>
          </cell>
          <cell r="K23">
            <v>5278.2211409005813</v>
          </cell>
        </row>
        <row r="24">
          <cell r="E24">
            <v>-1</v>
          </cell>
          <cell r="K24">
            <v>-3011.6944033140499</v>
          </cell>
        </row>
        <row r="25">
          <cell r="E25">
            <v>0</v>
          </cell>
          <cell r="K25">
            <v>0</v>
          </cell>
        </row>
        <row r="26">
          <cell r="E26">
            <v>-3</v>
          </cell>
          <cell r="K26">
            <v>-7694.4620609071862</v>
          </cell>
        </row>
        <row r="27">
          <cell r="E27">
            <v>2</v>
          </cell>
          <cell r="K27">
            <v>3119.3316325419296</v>
          </cell>
        </row>
        <row r="28">
          <cell r="E28">
            <v>-2</v>
          </cell>
          <cell r="K28">
            <v>-4344.1218247451134</v>
          </cell>
        </row>
        <row r="29">
          <cell r="E29">
            <v>5</v>
          </cell>
          <cell r="K29">
            <v>9588.1387433784384</v>
          </cell>
        </row>
        <row r="30">
          <cell r="E30">
            <v>0</v>
          </cell>
          <cell r="K30">
            <v>0</v>
          </cell>
        </row>
        <row r="31">
          <cell r="E31">
            <v>9</v>
          </cell>
          <cell r="K31">
            <v>15518.854332860374</v>
          </cell>
        </row>
        <row r="32">
          <cell r="E32">
            <v>6</v>
          </cell>
          <cell r="K32">
            <v>12403.698266746906</v>
          </cell>
        </row>
        <row r="33">
          <cell r="E33">
            <v>2</v>
          </cell>
          <cell r="K33">
            <v>5878.5324546597094</v>
          </cell>
        </row>
        <row r="34">
          <cell r="E34">
            <v>-1</v>
          </cell>
          <cell r="K34">
            <v>-2313.6514522590842</v>
          </cell>
        </row>
        <row r="35">
          <cell r="E35">
            <v>13</v>
          </cell>
          <cell r="K35">
            <v>36343.646756007591</v>
          </cell>
        </row>
        <row r="36">
          <cell r="E36">
            <v>0</v>
          </cell>
          <cell r="K36">
            <v>0</v>
          </cell>
        </row>
        <row r="37">
          <cell r="E37">
            <v>-2</v>
          </cell>
          <cell r="K37">
            <v>-6242.5869158510113</v>
          </cell>
        </row>
        <row r="38">
          <cell r="E38">
            <v>2</v>
          </cell>
          <cell r="K38">
            <v>5133.7873854429845</v>
          </cell>
        </row>
        <row r="39">
          <cell r="E39">
            <v>3</v>
          </cell>
          <cell r="K39">
            <v>5870.7916547534387</v>
          </cell>
        </row>
        <row r="40">
          <cell r="E40">
            <v>7</v>
          </cell>
          <cell r="K40">
            <v>19904.830867000073</v>
          </cell>
        </row>
        <row r="41">
          <cell r="E41">
            <v>2</v>
          </cell>
          <cell r="K41">
            <v>2626.8495797625192</v>
          </cell>
        </row>
        <row r="42">
          <cell r="E42">
            <v>-5</v>
          </cell>
          <cell r="K42">
            <v>-9982.2631755539969</v>
          </cell>
        </row>
        <row r="43">
          <cell r="E43">
            <v>-5</v>
          </cell>
          <cell r="K43">
            <v>-13099.682314282143</v>
          </cell>
        </row>
        <row r="44">
          <cell r="E44">
            <v>1</v>
          </cell>
          <cell r="K44">
            <v>1879.8366858622414</v>
          </cell>
        </row>
        <row r="45">
          <cell r="E45">
            <v>2</v>
          </cell>
          <cell r="K45">
            <v>5083.0989976231813</v>
          </cell>
        </row>
        <row r="46">
          <cell r="E46">
            <v>-2</v>
          </cell>
          <cell r="K46">
            <v>-5727.0184848535228</v>
          </cell>
        </row>
        <row r="47">
          <cell r="E47">
            <v>-1</v>
          </cell>
          <cell r="K47">
            <v>-2502.3401168319165</v>
          </cell>
        </row>
        <row r="48">
          <cell r="E48">
            <v>3</v>
          </cell>
          <cell r="K48">
            <v>3790.8097874283289</v>
          </cell>
        </row>
        <row r="49">
          <cell r="E49">
            <v>2</v>
          </cell>
          <cell r="K49">
            <v>6101.3470021279545</v>
          </cell>
        </row>
        <row r="50">
          <cell r="E50">
            <v>0</v>
          </cell>
          <cell r="K50">
            <v>0</v>
          </cell>
        </row>
        <row r="51">
          <cell r="E51">
            <v>-3</v>
          </cell>
          <cell r="K51">
            <v>-6553.4781415230973</v>
          </cell>
        </row>
        <row r="52">
          <cell r="E52">
            <v>3</v>
          </cell>
          <cell r="K52">
            <v>7519.9259676139918</v>
          </cell>
        </row>
        <row r="53">
          <cell r="E53">
            <v>-1</v>
          </cell>
          <cell r="K53">
            <v>-2615.4671725215758</v>
          </cell>
        </row>
        <row r="54">
          <cell r="E54">
            <v>1</v>
          </cell>
          <cell r="K54">
            <v>2187.3837870980547</v>
          </cell>
        </row>
        <row r="55">
          <cell r="E55">
            <v>12</v>
          </cell>
          <cell r="K55">
            <v>30891.480756423214</v>
          </cell>
        </row>
        <row r="56">
          <cell r="E56">
            <v>-2</v>
          </cell>
          <cell r="K56">
            <v>-5174.9017374640935</v>
          </cell>
        </row>
        <row r="57">
          <cell r="E57">
            <v>0</v>
          </cell>
          <cell r="K57">
            <v>0</v>
          </cell>
        </row>
        <row r="58">
          <cell r="E58">
            <v>6</v>
          </cell>
          <cell r="K58">
            <v>13667.29888265059</v>
          </cell>
        </row>
        <row r="59">
          <cell r="E59">
            <v>1</v>
          </cell>
          <cell r="K59">
            <v>2539.4179233729733</v>
          </cell>
        </row>
        <row r="60">
          <cell r="E60">
            <v>5</v>
          </cell>
          <cell r="K60">
            <v>12128.630170326905</v>
          </cell>
        </row>
        <row r="61">
          <cell r="E61">
            <v>0</v>
          </cell>
          <cell r="K61">
            <v>0</v>
          </cell>
        </row>
        <row r="62">
          <cell r="E62">
            <v>-1</v>
          </cell>
          <cell r="K62">
            <v>-3290.1598320848316</v>
          </cell>
        </row>
        <row r="63">
          <cell r="E63">
            <v>8</v>
          </cell>
          <cell r="K63">
            <v>21222.950724229784</v>
          </cell>
        </row>
        <row r="64">
          <cell r="E64">
            <v>2</v>
          </cell>
          <cell r="K64">
            <v>3319.0807820732266</v>
          </cell>
        </row>
        <row r="65">
          <cell r="E65">
            <v>0</v>
          </cell>
          <cell r="K65">
            <v>0</v>
          </cell>
        </row>
        <row r="66">
          <cell r="E66">
            <v>5</v>
          </cell>
          <cell r="K66">
            <v>10982.635533415822</v>
          </cell>
        </row>
        <row r="67">
          <cell r="E67">
            <v>-2</v>
          </cell>
          <cell r="K67">
            <v>-6183.4416779500434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FINAL"/>
      <sheetName val="Student Allocation"/>
      <sheetName val="Allocation_BESE"/>
      <sheetName val="Allocation_eGMS"/>
      <sheetName val="Student Allocation_eGMS"/>
      <sheetName val="Allocation by %"/>
      <sheetName val="Summary"/>
      <sheetName val="Total Students &amp; Amts"/>
    </sheetNames>
    <sheetDataSet>
      <sheetData sheetId="0" refreshError="1"/>
      <sheetData sheetId="1" refreshError="1"/>
      <sheetData sheetId="2" refreshError="1"/>
      <sheetData sheetId="3">
        <row r="8">
          <cell r="A8">
            <v>3</v>
          </cell>
          <cell r="B8">
            <v>3</v>
          </cell>
          <cell r="C8" t="str">
            <v>Ascension Parish School Board</v>
          </cell>
          <cell r="E8">
            <v>225478</v>
          </cell>
        </row>
        <row r="9">
          <cell r="A9">
            <v>4</v>
          </cell>
          <cell r="B9">
            <v>4</v>
          </cell>
          <cell r="C9" t="str">
            <v>Assumption Parish School Board</v>
          </cell>
          <cell r="E9">
            <v>158307</v>
          </cell>
        </row>
        <row r="10">
          <cell r="A10">
            <v>5</v>
          </cell>
          <cell r="B10">
            <v>5</v>
          </cell>
          <cell r="C10" t="str">
            <v>Avoyelles Parish School Board</v>
          </cell>
          <cell r="E10">
            <v>5001</v>
          </cell>
        </row>
        <row r="11">
          <cell r="A11">
            <v>6</v>
          </cell>
          <cell r="B11">
            <v>6</v>
          </cell>
          <cell r="C11" t="str">
            <v>Beauregard Parish School Board</v>
          </cell>
          <cell r="E11">
            <v>14231</v>
          </cell>
        </row>
        <row r="12">
          <cell r="A12">
            <v>7</v>
          </cell>
          <cell r="B12">
            <v>7</v>
          </cell>
          <cell r="C12" t="str">
            <v>Bienville Parish School Board</v>
          </cell>
          <cell r="E12">
            <v>11141</v>
          </cell>
        </row>
        <row r="13">
          <cell r="A13">
            <v>10</v>
          </cell>
          <cell r="B13">
            <v>10</v>
          </cell>
          <cell r="C13" t="str">
            <v>Calcasieu Parish School Board</v>
          </cell>
          <cell r="E13">
            <v>38340</v>
          </cell>
        </row>
        <row r="14">
          <cell r="A14">
            <v>11</v>
          </cell>
          <cell r="B14">
            <v>11</v>
          </cell>
          <cell r="C14" t="str">
            <v>Caldwell Parish School Board</v>
          </cell>
          <cell r="E14">
            <v>4332</v>
          </cell>
        </row>
        <row r="15">
          <cell r="A15">
            <v>13</v>
          </cell>
          <cell r="B15">
            <v>13</v>
          </cell>
          <cell r="C15" t="str">
            <v>Catahoula Parish School Board</v>
          </cell>
          <cell r="E15">
            <v>4617</v>
          </cell>
        </row>
        <row r="16">
          <cell r="A16">
            <v>16</v>
          </cell>
          <cell r="B16">
            <v>16</v>
          </cell>
          <cell r="C16" t="str">
            <v>DeSoto Parish School Board</v>
          </cell>
          <cell r="E16">
            <v>53856</v>
          </cell>
        </row>
        <row r="17">
          <cell r="A17">
            <v>17</v>
          </cell>
          <cell r="B17">
            <v>17</v>
          </cell>
          <cell r="C17" t="str">
            <v>East Baton Rouge Parish School Board</v>
          </cell>
          <cell r="E17">
            <v>52763</v>
          </cell>
        </row>
        <row r="18">
          <cell r="A18">
            <v>19</v>
          </cell>
          <cell r="B18">
            <v>19</v>
          </cell>
          <cell r="C18" t="str">
            <v>East Feliciana Parish School Board</v>
          </cell>
          <cell r="E18">
            <v>37028</v>
          </cell>
        </row>
        <row r="19">
          <cell r="A19">
            <v>20</v>
          </cell>
          <cell r="B19">
            <v>20</v>
          </cell>
          <cell r="C19" t="str">
            <v>Evangeline Parish School Board</v>
          </cell>
          <cell r="E19">
            <v>18047</v>
          </cell>
        </row>
        <row r="20">
          <cell r="A20">
            <v>22</v>
          </cell>
          <cell r="B20">
            <v>22</v>
          </cell>
          <cell r="C20" t="str">
            <v>Grant Parish School Board</v>
          </cell>
          <cell r="E20">
            <v>38361</v>
          </cell>
        </row>
        <row r="21">
          <cell r="A21">
            <v>23</v>
          </cell>
          <cell r="B21">
            <v>23</v>
          </cell>
          <cell r="C21" t="str">
            <v>Iberia Parish School Board</v>
          </cell>
          <cell r="E21">
            <v>55005</v>
          </cell>
        </row>
        <row r="22">
          <cell r="A22">
            <v>25</v>
          </cell>
          <cell r="B22">
            <v>25</v>
          </cell>
          <cell r="C22" t="str">
            <v>Jackson Parish School Board</v>
          </cell>
          <cell r="E22">
            <v>16369</v>
          </cell>
        </row>
        <row r="23">
          <cell r="A23">
            <v>26</v>
          </cell>
          <cell r="B23">
            <v>26</v>
          </cell>
          <cell r="C23" t="str">
            <v>Jefferson Parish School Board</v>
          </cell>
          <cell r="E23">
            <v>187457</v>
          </cell>
        </row>
        <row r="24">
          <cell r="A24">
            <v>30</v>
          </cell>
          <cell r="B24">
            <v>30</v>
          </cell>
          <cell r="C24" t="str">
            <v>LaSalle Parish School Board</v>
          </cell>
          <cell r="E24">
            <v>30584</v>
          </cell>
        </row>
        <row r="25">
          <cell r="A25">
            <v>31</v>
          </cell>
          <cell r="B25">
            <v>31</v>
          </cell>
          <cell r="C25" t="str">
            <v>Lincoln Parish School Board</v>
          </cell>
          <cell r="E25">
            <v>19541</v>
          </cell>
        </row>
        <row r="26">
          <cell r="A26">
            <v>32</v>
          </cell>
          <cell r="B26">
            <v>32</v>
          </cell>
          <cell r="C26" t="str">
            <v>Livingston Parish School Board</v>
          </cell>
          <cell r="E26">
            <v>6333</v>
          </cell>
        </row>
        <row r="27">
          <cell r="A27">
            <v>36</v>
          </cell>
          <cell r="B27">
            <v>36</v>
          </cell>
          <cell r="C27" t="str">
            <v>Orleans Parish School Board</v>
          </cell>
          <cell r="E27">
            <v>142140</v>
          </cell>
        </row>
        <row r="28">
          <cell r="A28">
            <v>39</v>
          </cell>
          <cell r="B28">
            <v>39</v>
          </cell>
          <cell r="C28" t="str">
            <v>Pointe Coupee Parish School Board</v>
          </cell>
          <cell r="E28">
            <v>9256</v>
          </cell>
        </row>
        <row r="29">
          <cell r="A29">
            <v>40</v>
          </cell>
          <cell r="B29">
            <v>40</v>
          </cell>
          <cell r="C29" t="str">
            <v>Rapides Parish School Board</v>
          </cell>
          <cell r="E29">
            <v>260731</v>
          </cell>
        </row>
        <row r="30">
          <cell r="A30">
            <v>42</v>
          </cell>
          <cell r="B30">
            <v>42</v>
          </cell>
          <cell r="C30" t="str">
            <v>Richland Parish School Board</v>
          </cell>
          <cell r="E30">
            <v>29161</v>
          </cell>
        </row>
        <row r="31">
          <cell r="A31">
            <v>43</v>
          </cell>
          <cell r="B31">
            <v>43</v>
          </cell>
          <cell r="C31" t="str">
            <v>Sabine Parish School Board</v>
          </cell>
          <cell r="E31">
            <v>32691</v>
          </cell>
        </row>
        <row r="32">
          <cell r="A32">
            <v>44</v>
          </cell>
          <cell r="B32">
            <v>44</v>
          </cell>
          <cell r="C32" t="str">
            <v>St. Bernard Parish School Board</v>
          </cell>
          <cell r="E32">
            <v>137341</v>
          </cell>
        </row>
        <row r="33">
          <cell r="A33">
            <v>45</v>
          </cell>
          <cell r="B33">
            <v>45</v>
          </cell>
          <cell r="C33" t="str">
            <v>St. Charles Parish School Board</v>
          </cell>
          <cell r="E33">
            <v>271362</v>
          </cell>
        </row>
        <row r="34">
          <cell r="A34">
            <v>47</v>
          </cell>
          <cell r="B34">
            <v>47</v>
          </cell>
          <cell r="C34" t="str">
            <v>St. James Parish School Board</v>
          </cell>
          <cell r="E34">
            <v>72154</v>
          </cell>
        </row>
        <row r="35">
          <cell r="A35">
            <v>48</v>
          </cell>
          <cell r="B35">
            <v>48</v>
          </cell>
          <cell r="C35" t="str">
            <v>St. John Parish School Board</v>
          </cell>
          <cell r="E35">
            <v>85097</v>
          </cell>
        </row>
        <row r="36">
          <cell r="A36">
            <v>50</v>
          </cell>
          <cell r="B36">
            <v>50</v>
          </cell>
          <cell r="C36" t="str">
            <v>St. Martin Parish School Board</v>
          </cell>
          <cell r="E36">
            <v>11857</v>
          </cell>
        </row>
        <row r="37">
          <cell r="A37">
            <v>51</v>
          </cell>
          <cell r="B37">
            <v>51</v>
          </cell>
          <cell r="C37" t="str">
            <v>St. Mary Parish School Board</v>
          </cell>
          <cell r="E37">
            <v>24324</v>
          </cell>
        </row>
        <row r="38">
          <cell r="A38">
            <v>52</v>
          </cell>
          <cell r="B38">
            <v>52</v>
          </cell>
          <cell r="C38" t="str">
            <v>St. Tammany Parish School Board</v>
          </cell>
          <cell r="E38">
            <v>148080</v>
          </cell>
        </row>
        <row r="39">
          <cell r="A39">
            <v>53</v>
          </cell>
          <cell r="B39">
            <v>53</v>
          </cell>
          <cell r="C39" t="str">
            <v>Tangipahoa Parish School Board</v>
          </cell>
          <cell r="E39">
            <v>92353</v>
          </cell>
        </row>
        <row r="40">
          <cell r="A40">
            <v>54</v>
          </cell>
          <cell r="B40">
            <v>54</v>
          </cell>
          <cell r="C40" t="str">
            <v>Tensas Parish School Board</v>
          </cell>
          <cell r="E40">
            <v>4464</v>
          </cell>
        </row>
        <row r="41">
          <cell r="A41">
            <v>55</v>
          </cell>
          <cell r="B41">
            <v>55</v>
          </cell>
          <cell r="C41" t="str">
            <v>Terrebonne Parish School Board</v>
          </cell>
          <cell r="E41">
            <v>261322</v>
          </cell>
        </row>
        <row r="42">
          <cell r="A42">
            <v>56</v>
          </cell>
          <cell r="B42">
            <v>56</v>
          </cell>
          <cell r="C42" t="str">
            <v>Union Parish School Board</v>
          </cell>
          <cell r="E42">
            <v>18200</v>
          </cell>
        </row>
        <row r="43">
          <cell r="A43">
            <v>57</v>
          </cell>
          <cell r="B43">
            <v>57</v>
          </cell>
          <cell r="C43" t="str">
            <v>Vermilion Parish School Board</v>
          </cell>
          <cell r="E43">
            <v>38133</v>
          </cell>
        </row>
        <row r="44">
          <cell r="A44">
            <v>59</v>
          </cell>
          <cell r="B44">
            <v>59</v>
          </cell>
          <cell r="C44" t="str">
            <v>Washington Parish School Board</v>
          </cell>
          <cell r="E44">
            <v>35013</v>
          </cell>
        </row>
        <row r="45">
          <cell r="A45">
            <v>61</v>
          </cell>
          <cell r="B45">
            <v>61</v>
          </cell>
          <cell r="C45" t="str">
            <v>West Baton Rouge Parish School Board</v>
          </cell>
          <cell r="E45">
            <v>126725</v>
          </cell>
        </row>
        <row r="46">
          <cell r="A46">
            <v>63</v>
          </cell>
          <cell r="B46">
            <v>63</v>
          </cell>
          <cell r="C46" t="str">
            <v>West Feliciana Parish School Board</v>
          </cell>
          <cell r="E46">
            <v>11004</v>
          </cell>
        </row>
        <row r="47">
          <cell r="A47">
            <v>65</v>
          </cell>
          <cell r="B47">
            <v>65</v>
          </cell>
          <cell r="C47" t="str">
            <v>City of Monroe School Board</v>
          </cell>
          <cell r="E47">
            <v>30093</v>
          </cell>
        </row>
        <row r="48">
          <cell r="A48">
            <v>66</v>
          </cell>
          <cell r="B48">
            <v>66</v>
          </cell>
          <cell r="C48" t="str">
            <v>City of Bogalusa School Board</v>
          </cell>
          <cell r="E48">
            <v>5474</v>
          </cell>
        </row>
        <row r="49">
          <cell r="A49">
            <v>69</v>
          </cell>
          <cell r="B49">
            <v>69</v>
          </cell>
          <cell r="C49" t="str">
            <v>Central Community School Board</v>
          </cell>
          <cell r="E49">
            <v>6616</v>
          </cell>
        </row>
        <row r="50">
          <cell r="A50">
            <v>396</v>
          </cell>
          <cell r="B50">
            <v>396</v>
          </cell>
          <cell r="C50" t="str">
            <v>Recovery School District (RSD OPERATED)</v>
          </cell>
          <cell r="E50">
            <v>44068</v>
          </cell>
        </row>
        <row r="51">
          <cell r="E51">
            <v>2874450</v>
          </cell>
        </row>
        <row r="52">
          <cell r="C52" t="str">
            <v>Other Public Schools</v>
          </cell>
        </row>
        <row r="53">
          <cell r="A53">
            <v>300001</v>
          </cell>
          <cell r="B53" t="str">
            <v>W12</v>
          </cell>
          <cell r="C53" t="str">
            <v>Pierre A Capdau Learning Academy (New Beginnings)</v>
          </cell>
          <cell r="E53">
            <v>8141</v>
          </cell>
        </row>
        <row r="54">
          <cell r="A54">
            <v>300002</v>
          </cell>
          <cell r="B54" t="str">
            <v>W11</v>
          </cell>
          <cell r="C54" t="str">
            <v>Medard Nelson (New Beginnings)</v>
          </cell>
          <cell r="E54">
            <v>31844</v>
          </cell>
        </row>
        <row r="55">
          <cell r="A55">
            <v>300003</v>
          </cell>
          <cell r="B55" t="str">
            <v>W13</v>
          </cell>
          <cell r="C55" t="str">
            <v>Lake Area New Tech High School (New Beginnings)</v>
          </cell>
          <cell r="E55">
            <v>141588</v>
          </cell>
        </row>
        <row r="56">
          <cell r="A56">
            <v>300004</v>
          </cell>
          <cell r="B56" t="str">
            <v>W14</v>
          </cell>
          <cell r="C56" t="str">
            <v>Gentilly Terrace School (New Beginnings)</v>
          </cell>
          <cell r="E56">
            <v>22279</v>
          </cell>
        </row>
        <row r="57">
          <cell r="A57">
            <v>344001</v>
          </cell>
          <cell r="B57">
            <v>344</v>
          </cell>
          <cell r="C57" t="str">
            <v>International High School of N.O. (VIBE)</v>
          </cell>
          <cell r="E57">
            <v>11333</v>
          </cell>
        </row>
        <row r="58">
          <cell r="A58">
            <v>363001</v>
          </cell>
          <cell r="B58" t="str">
            <v>WAF</v>
          </cell>
          <cell r="C58" t="str">
            <v>Harriet Tubman Charter School</v>
          </cell>
          <cell r="E58">
            <v>10204</v>
          </cell>
        </row>
        <row r="59">
          <cell r="A59">
            <v>363002</v>
          </cell>
          <cell r="B59" t="str">
            <v>WAM</v>
          </cell>
          <cell r="C59" t="str">
            <v>Paul Habans Charter School</v>
          </cell>
          <cell r="E59">
            <v>24681</v>
          </cell>
        </row>
        <row r="60">
          <cell r="A60">
            <v>364001</v>
          </cell>
          <cell r="B60" t="str">
            <v>WAE</v>
          </cell>
          <cell r="C60" t="str">
            <v xml:space="preserve">Fannie C Williams </v>
          </cell>
          <cell r="E60">
            <v>37971</v>
          </cell>
        </row>
        <row r="61">
          <cell r="A61">
            <v>368001</v>
          </cell>
          <cell r="B61" t="str">
            <v>WAA</v>
          </cell>
          <cell r="C61" t="str">
            <v>Morris Jeff Community School</v>
          </cell>
          <cell r="E61">
            <v>29266</v>
          </cell>
        </row>
        <row r="62">
          <cell r="A62">
            <v>369001</v>
          </cell>
          <cell r="B62" t="str">
            <v>WZ1</v>
          </cell>
          <cell r="C62" t="str">
            <v>Batiste Cultural Arts Academy at Live Oak Elementary School</v>
          </cell>
          <cell r="E62">
            <v>15840</v>
          </cell>
        </row>
        <row r="63">
          <cell r="A63">
            <v>369002</v>
          </cell>
          <cell r="B63" t="str">
            <v>WZ2</v>
          </cell>
          <cell r="C63" t="str">
            <v>SciTech Academy at Laurel Elementary School</v>
          </cell>
          <cell r="E63">
            <v>91436</v>
          </cell>
        </row>
        <row r="64">
          <cell r="A64">
            <v>369006</v>
          </cell>
          <cell r="B64" t="str">
            <v>WZ6</v>
          </cell>
          <cell r="C64" t="str">
            <v>ReNew Schaumburg Elementary</v>
          </cell>
          <cell r="E64">
            <v>31948</v>
          </cell>
        </row>
        <row r="65">
          <cell r="A65">
            <v>381001</v>
          </cell>
          <cell r="B65" t="str">
            <v>WI1</v>
          </cell>
          <cell r="C65" t="str">
            <v>Akili Academy of New Orleans</v>
          </cell>
          <cell r="E65">
            <v>27295</v>
          </cell>
        </row>
        <row r="66">
          <cell r="A66">
            <v>382001</v>
          </cell>
          <cell r="B66" t="str">
            <v>WJ1</v>
          </cell>
          <cell r="C66" t="str">
            <v>Sci Academy</v>
          </cell>
          <cell r="E66">
            <v>24819</v>
          </cell>
        </row>
        <row r="67">
          <cell r="A67">
            <v>382002</v>
          </cell>
          <cell r="B67" t="str">
            <v>WJ2</v>
          </cell>
          <cell r="C67" t="str">
            <v>George W. Carver Collegiate Academy</v>
          </cell>
          <cell r="E67">
            <v>99206</v>
          </cell>
        </row>
        <row r="68">
          <cell r="A68">
            <v>382003</v>
          </cell>
          <cell r="B68" t="str">
            <v>WJ3</v>
          </cell>
          <cell r="C68" t="str">
            <v>George W. Carver Preparatory Academy</v>
          </cell>
          <cell r="E68">
            <v>37914</v>
          </cell>
        </row>
        <row r="69">
          <cell r="A69">
            <v>384001</v>
          </cell>
          <cell r="B69" t="str">
            <v>WM1</v>
          </cell>
          <cell r="C69" t="str">
            <v xml:space="preserve">Miller-McCoy Academy </v>
          </cell>
          <cell r="E69">
            <v>13353</v>
          </cell>
        </row>
        <row r="70">
          <cell r="A70">
            <v>385001</v>
          </cell>
          <cell r="B70" t="str">
            <v>WE1</v>
          </cell>
          <cell r="C70" t="str">
            <v>Sylvanie Williams College Prep</v>
          </cell>
          <cell r="E70">
            <v>26900</v>
          </cell>
        </row>
        <row r="71">
          <cell r="A71">
            <v>385002</v>
          </cell>
          <cell r="B71" t="str">
            <v>WE2</v>
          </cell>
          <cell r="C71" t="str">
            <v>Cohen College Prep</v>
          </cell>
          <cell r="E71">
            <v>35644</v>
          </cell>
        </row>
        <row r="72">
          <cell r="A72">
            <v>385003</v>
          </cell>
          <cell r="B72" t="str">
            <v>WE3</v>
          </cell>
          <cell r="C72" t="str">
            <v>Crocker College Prep</v>
          </cell>
          <cell r="E72">
            <v>12057</v>
          </cell>
        </row>
        <row r="73">
          <cell r="A73">
            <v>388001</v>
          </cell>
          <cell r="B73" t="str">
            <v>WD1</v>
          </cell>
          <cell r="C73" t="str">
            <v>Andrew H. Wilson (Mc #7) (Broadmoor)</v>
          </cell>
          <cell r="E73">
            <v>61536</v>
          </cell>
        </row>
        <row r="74">
          <cell r="A74">
            <v>391002</v>
          </cell>
          <cell r="B74" t="str">
            <v>W32</v>
          </cell>
          <cell r="C74" t="str">
            <v>Joseph A. Craig Charter School (FRIENDS OF KING)</v>
          </cell>
          <cell r="E74">
            <v>29395</v>
          </cell>
        </row>
        <row r="75">
          <cell r="A75">
            <v>393001</v>
          </cell>
          <cell r="B75" t="str">
            <v>W51</v>
          </cell>
          <cell r="C75" t="str">
            <v>Lafayette Academy (CHOICE)</v>
          </cell>
          <cell r="E75">
            <v>17598</v>
          </cell>
        </row>
        <row r="76">
          <cell r="A76">
            <v>393002</v>
          </cell>
          <cell r="B76" t="str">
            <v>W52</v>
          </cell>
          <cell r="C76" t="str">
            <v>Esperanza Charter School (CHOICE)</v>
          </cell>
          <cell r="E76">
            <v>15666</v>
          </cell>
        </row>
        <row r="77">
          <cell r="A77">
            <v>393003</v>
          </cell>
          <cell r="B77" t="str">
            <v>W53</v>
          </cell>
          <cell r="C77" t="str">
            <v>McDonogh #42 Charter School (CHOICE)</v>
          </cell>
          <cell r="E77">
            <v>5542</v>
          </cell>
        </row>
        <row r="78">
          <cell r="A78">
            <v>395001</v>
          </cell>
          <cell r="B78" t="str">
            <v>W66</v>
          </cell>
          <cell r="C78" t="str">
            <v>Martin Behrman (ALGIERS)</v>
          </cell>
          <cell r="E78">
            <v>5561</v>
          </cell>
        </row>
        <row r="79">
          <cell r="A79">
            <v>395002</v>
          </cell>
          <cell r="B79" t="str">
            <v>W65</v>
          </cell>
          <cell r="C79" t="str">
            <v>Dwight D. Eisenhower (ALGIERS)</v>
          </cell>
          <cell r="E79">
            <v>5478</v>
          </cell>
        </row>
        <row r="80">
          <cell r="A80">
            <v>395003</v>
          </cell>
          <cell r="B80" t="str">
            <v>W64</v>
          </cell>
          <cell r="C80" t="str">
            <v>William J. Fischer (ALGIERS)</v>
          </cell>
          <cell r="E80">
            <v>5748</v>
          </cell>
        </row>
        <row r="81">
          <cell r="A81">
            <v>395004</v>
          </cell>
          <cell r="B81" t="str">
            <v>W63</v>
          </cell>
          <cell r="C81" t="str">
            <v>McDonogh #32 (ALGIERS)</v>
          </cell>
          <cell r="E81">
            <v>5408</v>
          </cell>
        </row>
        <row r="82">
          <cell r="A82">
            <v>395005</v>
          </cell>
          <cell r="B82" t="str">
            <v>W62</v>
          </cell>
          <cell r="C82" t="str">
            <v>L.B. Landry - O. P. Walker Sr. High (ALGIERS)</v>
          </cell>
          <cell r="E82">
            <v>5405</v>
          </cell>
        </row>
        <row r="83">
          <cell r="A83">
            <v>395007</v>
          </cell>
          <cell r="B83" t="str">
            <v>W67</v>
          </cell>
          <cell r="C83" t="str">
            <v>Algiers Technology Academy (ALGIERS)</v>
          </cell>
          <cell r="E83">
            <v>5718</v>
          </cell>
        </row>
        <row r="84">
          <cell r="A84">
            <v>398002</v>
          </cell>
          <cell r="B84" t="str">
            <v>W81</v>
          </cell>
          <cell r="C84" t="str">
            <v>McDonogh #15 (KIPP)</v>
          </cell>
          <cell r="E84">
            <v>52292</v>
          </cell>
        </row>
        <row r="85">
          <cell r="A85">
            <v>398003</v>
          </cell>
          <cell r="B85" t="str">
            <v>W83</v>
          </cell>
          <cell r="C85" t="str">
            <v xml:space="preserve">KIPP Central City Academy </v>
          </cell>
          <cell r="E85">
            <v>8587</v>
          </cell>
        </row>
        <row r="86">
          <cell r="A86">
            <v>398004</v>
          </cell>
          <cell r="B86" t="str">
            <v>WL1</v>
          </cell>
          <cell r="C86" t="str">
            <v xml:space="preserve">KIPP Central City Primary </v>
          </cell>
          <cell r="E86">
            <v>6230</v>
          </cell>
        </row>
        <row r="87">
          <cell r="A87">
            <v>398006</v>
          </cell>
          <cell r="B87" t="str">
            <v>W85</v>
          </cell>
          <cell r="C87" t="str">
            <v>KIPP New Orleans Leadership Academy</v>
          </cell>
          <cell r="E87">
            <v>19001</v>
          </cell>
        </row>
        <row r="88">
          <cell r="A88">
            <v>399002</v>
          </cell>
          <cell r="B88" t="str">
            <v>W92</v>
          </cell>
          <cell r="C88" t="str">
            <v>Arthur Ashe Charter School (FirstLine)</v>
          </cell>
          <cell r="E88">
            <v>22817</v>
          </cell>
        </row>
        <row r="89">
          <cell r="A89">
            <v>399003</v>
          </cell>
          <cell r="B89" t="str">
            <v>W93</v>
          </cell>
          <cell r="C89" t="str">
            <v>Joseph Clark High School (FirstLine)</v>
          </cell>
          <cell r="E89">
            <v>45468</v>
          </cell>
        </row>
        <row r="90">
          <cell r="A90">
            <v>399004</v>
          </cell>
          <cell r="B90" t="str">
            <v>W94</v>
          </cell>
          <cell r="C90" t="str">
            <v>John Dibert Community School (FirstLine)</v>
          </cell>
          <cell r="E90">
            <v>35202</v>
          </cell>
        </row>
        <row r="91">
          <cell r="A91">
            <v>399005</v>
          </cell>
          <cell r="B91" t="str">
            <v>W95</v>
          </cell>
          <cell r="C91" t="str">
            <v>Langston Hughes Charter School (FirstLine)</v>
          </cell>
          <cell r="E91">
            <v>26334</v>
          </cell>
        </row>
        <row r="92">
          <cell r="A92" t="str">
            <v>3A2001</v>
          </cell>
          <cell r="B92" t="str">
            <v>W2A</v>
          </cell>
          <cell r="C92" t="str">
            <v>Tallulah Charter School</v>
          </cell>
          <cell r="E92">
            <v>6127</v>
          </cell>
        </row>
        <row r="93">
          <cell r="A93" t="str">
            <v>3A4001</v>
          </cell>
          <cell r="B93" t="str">
            <v>W4A</v>
          </cell>
          <cell r="C93" t="str">
            <v>Delta Charter School</v>
          </cell>
          <cell r="E93">
            <v>6718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1 MFP by LEA"/>
      <sheetName val="Feb 1 MFP by Site"/>
      <sheetName val="7-12 by LEA"/>
      <sheetName val="7-12 by Site"/>
      <sheetName val="9-12 by LEA"/>
      <sheetName val="9-12 by Site"/>
    </sheetNames>
    <sheetDataSet>
      <sheetData sheetId="0" refreshError="1"/>
      <sheetData sheetId="1" refreshError="1"/>
      <sheetData sheetId="2">
        <row r="7">
          <cell r="K7">
            <v>3940</v>
          </cell>
        </row>
        <row r="8">
          <cell r="K8">
            <v>1706</v>
          </cell>
        </row>
        <row r="9">
          <cell r="K9">
            <v>9290</v>
          </cell>
        </row>
        <row r="10">
          <cell r="K10">
            <v>1614</v>
          </cell>
        </row>
        <row r="11">
          <cell r="K11">
            <v>2452</v>
          </cell>
        </row>
        <row r="12">
          <cell r="K12">
            <v>2712</v>
          </cell>
        </row>
        <row r="13">
          <cell r="K13">
            <v>921</v>
          </cell>
        </row>
        <row r="14">
          <cell r="K14">
            <v>8993</v>
          </cell>
        </row>
        <row r="15">
          <cell r="K15">
            <v>16655</v>
          </cell>
        </row>
        <row r="16">
          <cell r="K16">
            <v>13418</v>
          </cell>
        </row>
        <row r="17">
          <cell r="K17">
            <v>653</v>
          </cell>
        </row>
        <row r="18">
          <cell r="K18">
            <v>564</v>
          </cell>
        </row>
        <row r="19">
          <cell r="K19">
            <v>576</v>
          </cell>
        </row>
        <row r="20">
          <cell r="K20">
            <v>732</v>
          </cell>
        </row>
        <row r="21">
          <cell r="K21">
            <v>1422</v>
          </cell>
        </row>
        <row r="22">
          <cell r="K22">
            <v>2120</v>
          </cell>
        </row>
        <row r="23">
          <cell r="K23">
            <v>16633</v>
          </cell>
        </row>
        <row r="24">
          <cell r="K24">
            <v>429</v>
          </cell>
        </row>
        <row r="25">
          <cell r="K25">
            <v>765</v>
          </cell>
        </row>
        <row r="26">
          <cell r="K26">
            <v>2418</v>
          </cell>
        </row>
        <row r="27">
          <cell r="K27">
            <v>1165</v>
          </cell>
        </row>
        <row r="28">
          <cell r="K28">
            <v>1380</v>
          </cell>
        </row>
        <row r="29">
          <cell r="K29">
            <v>5797</v>
          </cell>
        </row>
        <row r="30">
          <cell r="K30">
            <v>1876</v>
          </cell>
        </row>
        <row r="31">
          <cell r="K31">
            <v>909</v>
          </cell>
        </row>
        <row r="32">
          <cell r="K32">
            <v>17824</v>
          </cell>
        </row>
        <row r="33">
          <cell r="K33">
            <v>2507</v>
          </cell>
        </row>
        <row r="34">
          <cell r="K34">
            <v>12906</v>
          </cell>
        </row>
        <row r="35">
          <cell r="K35">
            <v>5859</v>
          </cell>
        </row>
        <row r="36">
          <cell r="K36">
            <v>1074</v>
          </cell>
        </row>
        <row r="37">
          <cell r="K37">
            <v>2805</v>
          </cell>
        </row>
        <row r="38">
          <cell r="K38">
            <v>10744</v>
          </cell>
        </row>
        <row r="39">
          <cell r="K39">
            <v>743</v>
          </cell>
        </row>
        <row r="40">
          <cell r="K40">
            <v>1767</v>
          </cell>
        </row>
        <row r="41">
          <cell r="K41">
            <v>2677</v>
          </cell>
        </row>
        <row r="42">
          <cell r="K42">
            <v>6556</v>
          </cell>
        </row>
        <row r="43">
          <cell r="K43">
            <v>8497</v>
          </cell>
        </row>
        <row r="44">
          <cell r="K44">
            <v>1704</v>
          </cell>
        </row>
        <row r="45">
          <cell r="K45">
            <v>1008</v>
          </cell>
        </row>
        <row r="46">
          <cell r="K46">
            <v>10039</v>
          </cell>
        </row>
        <row r="47">
          <cell r="K47">
            <v>622</v>
          </cell>
        </row>
        <row r="48">
          <cell r="K48">
            <v>1428</v>
          </cell>
        </row>
        <row r="49">
          <cell r="K49">
            <v>1715</v>
          </cell>
        </row>
        <row r="50">
          <cell r="K50">
            <v>2620</v>
          </cell>
        </row>
        <row r="51">
          <cell r="K51">
            <v>4366</v>
          </cell>
        </row>
        <row r="52">
          <cell r="K52">
            <v>282</v>
          </cell>
        </row>
        <row r="53">
          <cell r="K53">
            <v>1624</v>
          </cell>
        </row>
        <row r="54">
          <cell r="K54">
            <v>2365</v>
          </cell>
        </row>
        <row r="55">
          <cell r="K55">
            <v>5684</v>
          </cell>
        </row>
        <row r="56">
          <cell r="K56">
            <v>3425</v>
          </cell>
        </row>
        <row r="57">
          <cell r="K57">
            <v>3918</v>
          </cell>
        </row>
        <row r="58">
          <cell r="K58">
            <v>16357</v>
          </cell>
        </row>
        <row r="59">
          <cell r="K59">
            <v>8376</v>
          </cell>
        </row>
        <row r="60">
          <cell r="K60">
            <v>277</v>
          </cell>
        </row>
        <row r="61">
          <cell r="K61">
            <v>7380</v>
          </cell>
        </row>
        <row r="62">
          <cell r="K62">
            <v>1021</v>
          </cell>
        </row>
        <row r="63">
          <cell r="K63">
            <v>3750</v>
          </cell>
        </row>
        <row r="64">
          <cell r="K64">
            <v>3622</v>
          </cell>
        </row>
        <row r="65">
          <cell r="K65">
            <v>2309</v>
          </cell>
        </row>
        <row r="66">
          <cell r="K66">
            <v>2805</v>
          </cell>
        </row>
        <row r="67">
          <cell r="K67">
            <v>1545</v>
          </cell>
        </row>
        <row r="68">
          <cell r="K68">
            <v>879</v>
          </cell>
        </row>
        <row r="69">
          <cell r="K69">
            <v>946</v>
          </cell>
        </row>
        <row r="70">
          <cell r="K70">
            <v>1034</v>
          </cell>
        </row>
        <row r="71">
          <cell r="K71">
            <v>3263</v>
          </cell>
        </row>
        <row r="72">
          <cell r="K72">
            <v>770</v>
          </cell>
        </row>
        <row r="73">
          <cell r="K73">
            <v>2397</v>
          </cell>
        </row>
        <row r="74">
          <cell r="K74">
            <v>710</v>
          </cell>
        </row>
        <row r="75">
          <cell r="K75">
            <v>1869</v>
          </cell>
        </row>
      </sheetData>
      <sheetData sheetId="3">
        <row r="6">
          <cell r="A6">
            <v>101</v>
          </cell>
          <cell r="B6" t="str">
            <v>SSD (Does not include: 4_101018, 4_101021, 4_101022</v>
          </cell>
          <cell r="C6">
            <v>20</v>
          </cell>
          <cell r="D6">
            <v>36</v>
          </cell>
          <cell r="E6">
            <v>51</v>
          </cell>
          <cell r="F6">
            <v>29</v>
          </cell>
          <cell r="G6">
            <v>16</v>
          </cell>
          <cell r="H6">
            <v>71</v>
          </cell>
          <cell r="I6">
            <v>223</v>
          </cell>
        </row>
        <row r="7">
          <cell r="A7">
            <v>300001</v>
          </cell>
          <cell r="B7" t="str">
            <v>Pierre A. Capdau Learning Academy</v>
          </cell>
          <cell r="C7">
            <v>46</v>
          </cell>
          <cell r="D7">
            <v>50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96</v>
          </cell>
        </row>
        <row r="8">
          <cell r="A8">
            <v>300002</v>
          </cell>
          <cell r="B8" t="str">
            <v>Nelson Elementary School</v>
          </cell>
          <cell r="C8">
            <v>53</v>
          </cell>
          <cell r="D8">
            <v>55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108</v>
          </cell>
        </row>
        <row r="9">
          <cell r="A9">
            <v>300003</v>
          </cell>
          <cell r="B9" t="str">
            <v>Lake Area New Tech Early College High School</v>
          </cell>
          <cell r="C9">
            <v>0</v>
          </cell>
          <cell r="D9">
            <v>0</v>
          </cell>
          <cell r="E9">
            <v>196</v>
          </cell>
          <cell r="F9">
            <v>193</v>
          </cell>
          <cell r="G9">
            <v>135</v>
          </cell>
          <cell r="H9">
            <v>136</v>
          </cell>
          <cell r="I9">
            <v>660</v>
          </cell>
        </row>
        <row r="10">
          <cell r="A10">
            <v>300004</v>
          </cell>
          <cell r="B10" t="str">
            <v>Gentilly Terrace Elementary School</v>
          </cell>
          <cell r="C10">
            <v>54</v>
          </cell>
          <cell r="D10">
            <v>56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110</v>
          </cell>
        </row>
        <row r="11">
          <cell r="A11">
            <v>302006</v>
          </cell>
          <cell r="B11" t="str">
            <v>Louisiana School for Math Science &amp; the Arts</v>
          </cell>
          <cell r="C11">
            <v>0</v>
          </cell>
          <cell r="D11">
            <v>0</v>
          </cell>
          <cell r="E11">
            <v>0</v>
          </cell>
          <cell r="F11">
            <v>82</v>
          </cell>
          <cell r="G11">
            <v>101</v>
          </cell>
          <cell r="H11">
            <v>95</v>
          </cell>
          <cell r="I11">
            <v>278</v>
          </cell>
        </row>
        <row r="12">
          <cell r="A12">
            <v>304</v>
          </cell>
          <cell r="B12" t="str">
            <v>LSDVI</v>
          </cell>
          <cell r="C12">
            <v>24</v>
          </cell>
          <cell r="D12">
            <v>19</v>
          </cell>
          <cell r="E12">
            <v>13</v>
          </cell>
          <cell r="F12">
            <v>19</v>
          </cell>
          <cell r="G12">
            <v>19</v>
          </cell>
          <cell r="H12">
            <v>24</v>
          </cell>
          <cell r="I12">
            <v>118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>
            <v>318001</v>
          </cell>
          <cell r="B14" t="str">
            <v>LSU Laboratory School</v>
          </cell>
          <cell r="C14">
            <v>110</v>
          </cell>
          <cell r="D14">
            <v>113</v>
          </cell>
          <cell r="E14">
            <v>112</v>
          </cell>
          <cell r="F14">
            <v>109</v>
          </cell>
          <cell r="G14">
            <v>109</v>
          </cell>
          <cell r="H14">
            <v>105</v>
          </cell>
          <cell r="I14">
            <v>658</v>
          </cell>
        </row>
        <row r="15">
          <cell r="A15">
            <v>319001</v>
          </cell>
          <cell r="B15" t="str">
            <v>Southern University Lab School</v>
          </cell>
          <cell r="C15">
            <v>67</v>
          </cell>
          <cell r="D15">
            <v>64</v>
          </cell>
          <cell r="E15">
            <v>64</v>
          </cell>
          <cell r="F15">
            <v>67</v>
          </cell>
          <cell r="G15">
            <v>36</v>
          </cell>
          <cell r="H15">
            <v>43</v>
          </cell>
          <cell r="I15">
            <v>341</v>
          </cell>
        </row>
        <row r="16">
          <cell r="A16">
            <v>321001</v>
          </cell>
          <cell r="B16" t="str">
            <v>New Vision Learning Academy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>
            <v>328001</v>
          </cell>
          <cell r="B17" t="str">
            <v>Southwest Louisiana Charter School</v>
          </cell>
          <cell r="C17">
            <v>74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74</v>
          </cell>
        </row>
        <row r="18">
          <cell r="A18">
            <v>329001</v>
          </cell>
          <cell r="B18" t="str">
            <v>V. B. Glencoe Charter School</v>
          </cell>
          <cell r="C18">
            <v>42</v>
          </cell>
          <cell r="D18">
            <v>33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75</v>
          </cell>
        </row>
        <row r="19">
          <cell r="A19">
            <v>331001</v>
          </cell>
          <cell r="B19" t="str">
            <v>International School of Louisiana</v>
          </cell>
          <cell r="C19">
            <v>47</v>
          </cell>
          <cell r="D19">
            <v>27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74</v>
          </cell>
        </row>
        <row r="20">
          <cell r="A20">
            <v>333001</v>
          </cell>
          <cell r="B20" t="str">
            <v>Avoyelles Public Charter School</v>
          </cell>
          <cell r="C20">
            <v>56</v>
          </cell>
          <cell r="D20">
            <v>54</v>
          </cell>
          <cell r="E20">
            <v>64</v>
          </cell>
          <cell r="F20">
            <v>55</v>
          </cell>
          <cell r="G20">
            <v>54</v>
          </cell>
          <cell r="H20">
            <v>50</v>
          </cell>
          <cell r="I20">
            <v>333</v>
          </cell>
        </row>
        <row r="21">
          <cell r="A21">
            <v>334001</v>
          </cell>
          <cell r="B21" t="str">
            <v>New Orleans Center for Creative Arts</v>
          </cell>
          <cell r="C21">
            <v>0</v>
          </cell>
          <cell r="D21">
            <v>0</v>
          </cell>
          <cell r="E21">
            <v>67</v>
          </cell>
          <cell r="F21">
            <v>62</v>
          </cell>
          <cell r="G21">
            <v>46</v>
          </cell>
          <cell r="H21">
            <v>0</v>
          </cell>
          <cell r="I21">
            <v>175</v>
          </cell>
        </row>
        <row r="22">
          <cell r="A22">
            <v>336001</v>
          </cell>
          <cell r="B22" t="str">
            <v>Delhi Charter School</v>
          </cell>
          <cell r="C22">
            <v>80</v>
          </cell>
          <cell r="D22">
            <v>83</v>
          </cell>
          <cell r="E22">
            <v>61</v>
          </cell>
          <cell r="F22">
            <v>64</v>
          </cell>
          <cell r="G22">
            <v>65</v>
          </cell>
          <cell r="H22">
            <v>57</v>
          </cell>
          <cell r="I22">
            <v>410</v>
          </cell>
        </row>
        <row r="23">
          <cell r="A23">
            <v>337001</v>
          </cell>
          <cell r="B23" t="str">
            <v>Belle Chasse Academy</v>
          </cell>
          <cell r="C23">
            <v>105</v>
          </cell>
          <cell r="D23">
            <v>109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214</v>
          </cell>
        </row>
        <row r="24">
          <cell r="A24">
            <v>339001</v>
          </cell>
          <cell r="B24" t="str">
            <v>Milestone SABIS Academy of New Orleans</v>
          </cell>
          <cell r="C24">
            <v>34</v>
          </cell>
          <cell r="D24">
            <v>34</v>
          </cell>
          <cell r="E24">
            <v>11</v>
          </cell>
          <cell r="F24">
            <v>5</v>
          </cell>
          <cell r="G24">
            <v>0</v>
          </cell>
          <cell r="H24">
            <v>0</v>
          </cell>
          <cell r="I24">
            <v>84</v>
          </cell>
        </row>
        <row r="25">
          <cell r="A25">
            <v>340001</v>
          </cell>
          <cell r="B25" t="str">
            <v>Max Charter Alternative Education</v>
          </cell>
          <cell r="C25">
            <v>16</v>
          </cell>
          <cell r="D25">
            <v>13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29</v>
          </cell>
        </row>
        <row r="26">
          <cell r="A26">
            <v>341001</v>
          </cell>
          <cell r="B26" t="str">
            <v>D'Arbonne Woods Charter School</v>
          </cell>
          <cell r="C26">
            <v>52</v>
          </cell>
          <cell r="D26">
            <v>57</v>
          </cell>
          <cell r="E26">
            <v>44</v>
          </cell>
          <cell r="F26">
            <v>39</v>
          </cell>
          <cell r="G26">
            <v>0</v>
          </cell>
          <cell r="H26">
            <v>0</v>
          </cell>
          <cell r="I26">
            <v>192</v>
          </cell>
        </row>
        <row r="27">
          <cell r="A27">
            <v>343001</v>
          </cell>
          <cell r="B27" t="str">
            <v>Madison Preparatory Academy</v>
          </cell>
          <cell r="C27">
            <v>0</v>
          </cell>
          <cell r="D27">
            <v>0</v>
          </cell>
          <cell r="E27">
            <v>97</v>
          </cell>
          <cell r="F27">
            <v>69</v>
          </cell>
          <cell r="G27">
            <v>68</v>
          </cell>
          <cell r="H27">
            <v>41</v>
          </cell>
          <cell r="I27">
            <v>275</v>
          </cell>
        </row>
        <row r="28">
          <cell r="A28">
            <v>343002</v>
          </cell>
          <cell r="B28" t="str">
            <v>Louisiana Virtual Charter Academy</v>
          </cell>
          <cell r="C28">
            <v>219</v>
          </cell>
          <cell r="D28">
            <v>199</v>
          </cell>
          <cell r="E28">
            <v>213</v>
          </cell>
          <cell r="F28">
            <v>161</v>
          </cell>
          <cell r="G28">
            <v>99</v>
          </cell>
          <cell r="H28">
            <v>20</v>
          </cell>
          <cell r="I28">
            <v>911</v>
          </cell>
        </row>
        <row r="29">
          <cell r="A29">
            <v>344001</v>
          </cell>
          <cell r="B29" t="str">
            <v>International High School of New Orleans</v>
          </cell>
          <cell r="C29">
            <v>0</v>
          </cell>
          <cell r="D29">
            <v>0</v>
          </cell>
          <cell r="E29">
            <v>148</v>
          </cell>
          <cell r="F29">
            <v>125</v>
          </cell>
          <cell r="G29">
            <v>103</v>
          </cell>
          <cell r="H29">
            <v>85</v>
          </cell>
          <cell r="I29">
            <v>461</v>
          </cell>
        </row>
        <row r="30">
          <cell r="A30">
            <v>345001</v>
          </cell>
          <cell r="B30" t="str">
            <v>Louisiana Connections Academy</v>
          </cell>
          <cell r="C30">
            <v>127</v>
          </cell>
          <cell r="D30">
            <v>144</v>
          </cell>
          <cell r="E30">
            <v>130</v>
          </cell>
          <cell r="F30">
            <v>136</v>
          </cell>
          <cell r="G30">
            <v>117</v>
          </cell>
          <cell r="H30">
            <v>116</v>
          </cell>
          <cell r="I30">
            <v>770</v>
          </cell>
        </row>
        <row r="31">
          <cell r="A31">
            <v>346001</v>
          </cell>
          <cell r="B31" t="str">
            <v>Lake Charles Charter Academy</v>
          </cell>
          <cell r="C31">
            <v>100</v>
          </cell>
          <cell r="D31">
            <v>100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200</v>
          </cell>
        </row>
        <row r="32">
          <cell r="A32">
            <v>347001</v>
          </cell>
          <cell r="B32" t="str">
            <v>Lycee Francais de la Nouvelle-Orleans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>
            <v>348001</v>
          </cell>
          <cell r="B33" t="str">
            <v>New Orleans Military/Maritime Academy</v>
          </cell>
          <cell r="C33">
            <v>0</v>
          </cell>
          <cell r="D33">
            <v>0</v>
          </cell>
          <cell r="E33">
            <v>153</v>
          </cell>
          <cell r="F33">
            <v>112</v>
          </cell>
          <cell r="G33">
            <v>90</v>
          </cell>
          <cell r="H33">
            <v>2</v>
          </cell>
          <cell r="I33">
            <v>357</v>
          </cell>
        </row>
        <row r="34">
          <cell r="A34">
            <v>349001</v>
          </cell>
          <cell r="B34" t="str">
            <v>JS Clark Leadership Academy</v>
          </cell>
          <cell r="C34">
            <v>67</v>
          </cell>
          <cell r="D34">
            <v>54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121</v>
          </cell>
        </row>
        <row r="35">
          <cell r="A35">
            <v>360001</v>
          </cell>
          <cell r="B35" t="str">
            <v>The NET Charter High School</v>
          </cell>
          <cell r="C35">
            <v>0</v>
          </cell>
          <cell r="D35">
            <v>0</v>
          </cell>
          <cell r="E35">
            <v>46</v>
          </cell>
          <cell r="F35">
            <v>33</v>
          </cell>
          <cell r="G35">
            <v>40</v>
          </cell>
          <cell r="H35">
            <v>26</v>
          </cell>
          <cell r="I35">
            <v>145</v>
          </cell>
        </row>
        <row r="36">
          <cell r="A36">
            <v>361001</v>
          </cell>
          <cell r="B36" t="str">
            <v>Crescent Leadership Academy</v>
          </cell>
          <cell r="C36">
            <v>14</v>
          </cell>
          <cell r="D36">
            <v>56</v>
          </cell>
          <cell r="E36">
            <v>58</v>
          </cell>
          <cell r="F36">
            <v>49</v>
          </cell>
          <cell r="G36">
            <v>31</v>
          </cell>
          <cell r="H36">
            <v>26</v>
          </cell>
          <cell r="I36">
            <v>234</v>
          </cell>
        </row>
        <row r="37">
          <cell r="A37">
            <v>362001</v>
          </cell>
          <cell r="B37" t="str">
            <v>John McDonogh High School</v>
          </cell>
          <cell r="C37">
            <v>0</v>
          </cell>
          <cell r="D37">
            <v>0</v>
          </cell>
          <cell r="E37">
            <v>65</v>
          </cell>
          <cell r="F37">
            <v>86</v>
          </cell>
          <cell r="G37">
            <v>53</v>
          </cell>
          <cell r="H37">
            <v>98</v>
          </cell>
          <cell r="I37">
            <v>302</v>
          </cell>
        </row>
        <row r="38">
          <cell r="A38">
            <v>363001</v>
          </cell>
          <cell r="B38" t="str">
            <v>Harriet Tubman Charter School</v>
          </cell>
          <cell r="C38">
            <v>59</v>
          </cell>
          <cell r="D38">
            <v>59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118</v>
          </cell>
        </row>
        <row r="39">
          <cell r="A39">
            <v>363002</v>
          </cell>
          <cell r="B39" t="str">
            <v>Paul Habans Charter School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>
            <v>364001</v>
          </cell>
          <cell r="B40" t="str">
            <v>Fannie C. Williams Charter School</v>
          </cell>
          <cell r="C40">
            <v>56</v>
          </cell>
          <cell r="D40">
            <v>47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103</v>
          </cell>
        </row>
        <row r="41">
          <cell r="A41">
            <v>366001</v>
          </cell>
          <cell r="B41" t="str">
            <v>Lagniappe Academy of New Orleans</v>
          </cell>
          <cell r="C41">
            <v>6</v>
          </cell>
          <cell r="D41">
            <v>15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21</v>
          </cell>
        </row>
        <row r="42">
          <cell r="A42">
            <v>367001</v>
          </cell>
          <cell r="B42" t="str">
            <v>Edgar P. Harney Spirit of Excellence Academy</v>
          </cell>
          <cell r="C42">
            <v>45</v>
          </cell>
          <cell r="D42">
            <v>21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66</v>
          </cell>
        </row>
        <row r="43">
          <cell r="A43">
            <v>368001</v>
          </cell>
          <cell r="B43" t="str">
            <v>Morris Jeff Community School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>
            <v>369001</v>
          </cell>
          <cell r="B44" t="str">
            <v>ReNew Cultural Arts Academy at Live Oak</v>
          </cell>
          <cell r="C44">
            <v>70</v>
          </cell>
          <cell r="D44">
            <v>68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138</v>
          </cell>
        </row>
        <row r="45">
          <cell r="A45">
            <v>369002</v>
          </cell>
          <cell r="B45" t="str">
            <v>ReNew SciTech Academy at Laurel</v>
          </cell>
          <cell r="C45">
            <v>51</v>
          </cell>
          <cell r="D45">
            <v>81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132</v>
          </cell>
        </row>
        <row r="46">
          <cell r="A46">
            <v>369003</v>
          </cell>
          <cell r="B46" t="str">
            <v>ReNew Dolores T. Aaron Elementary</v>
          </cell>
          <cell r="C46">
            <v>62</v>
          </cell>
          <cell r="D46">
            <v>62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124</v>
          </cell>
        </row>
        <row r="47">
          <cell r="A47">
            <v>369004</v>
          </cell>
          <cell r="B47" t="str">
            <v>ReNEW Accelerated High School #1</v>
          </cell>
          <cell r="C47">
            <v>0</v>
          </cell>
          <cell r="D47">
            <v>0</v>
          </cell>
          <cell r="E47">
            <v>35</v>
          </cell>
          <cell r="F47">
            <v>51</v>
          </cell>
          <cell r="G47">
            <v>42</v>
          </cell>
          <cell r="H47">
            <v>46</v>
          </cell>
          <cell r="I47">
            <v>174</v>
          </cell>
        </row>
        <row r="48">
          <cell r="A48">
            <v>369005</v>
          </cell>
          <cell r="B48" t="str">
            <v>ReNEW Accelerated High School #2</v>
          </cell>
          <cell r="C48">
            <v>0</v>
          </cell>
          <cell r="D48">
            <v>0</v>
          </cell>
          <cell r="E48">
            <v>28</v>
          </cell>
          <cell r="F48">
            <v>59</v>
          </cell>
          <cell r="G48">
            <v>54</v>
          </cell>
          <cell r="H48">
            <v>36</v>
          </cell>
          <cell r="I48">
            <v>177</v>
          </cell>
        </row>
        <row r="49">
          <cell r="A49">
            <v>369006</v>
          </cell>
          <cell r="B49" t="str">
            <v>ReNew Schaumburg Elementary</v>
          </cell>
          <cell r="C49">
            <v>91</v>
          </cell>
          <cell r="D49">
            <v>76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167</v>
          </cell>
        </row>
        <row r="50">
          <cell r="A50">
            <v>369700</v>
          </cell>
          <cell r="B50" t="str">
            <v>RSD-ReNEW-Reinventing Education, Inc. Central Ofc.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371001</v>
          </cell>
          <cell r="B51" t="str">
            <v>Linwood Public Charter School</v>
          </cell>
          <cell r="C51">
            <v>185</v>
          </cell>
          <cell r="D51">
            <v>171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356</v>
          </cell>
        </row>
        <row r="52">
          <cell r="A52">
            <v>373001</v>
          </cell>
          <cell r="B52" t="str">
            <v>Arise Academy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373002</v>
          </cell>
          <cell r="B53" t="str">
            <v>Mildred Osborne Charter School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374001</v>
          </cell>
          <cell r="B54" t="str">
            <v>Success Preparatory Academy</v>
          </cell>
          <cell r="C54">
            <v>66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66</v>
          </cell>
        </row>
        <row r="55">
          <cell r="A55">
            <v>381001</v>
          </cell>
          <cell r="B55" t="str">
            <v>Akili Academy of New Orleans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382001</v>
          </cell>
          <cell r="B56" t="str">
            <v>Sci Academy</v>
          </cell>
          <cell r="C56">
            <v>0</v>
          </cell>
          <cell r="D56">
            <v>0</v>
          </cell>
          <cell r="E56">
            <v>134</v>
          </cell>
          <cell r="F56">
            <v>111</v>
          </cell>
          <cell r="G56">
            <v>101</v>
          </cell>
          <cell r="H56">
            <v>87</v>
          </cell>
          <cell r="I56">
            <v>433</v>
          </cell>
        </row>
        <row r="57">
          <cell r="A57">
            <v>382002</v>
          </cell>
          <cell r="B57" t="str">
            <v>G. W. Carver Collegiate Academy</v>
          </cell>
          <cell r="C57">
            <v>0</v>
          </cell>
          <cell r="D57">
            <v>0</v>
          </cell>
          <cell r="E57">
            <v>111</v>
          </cell>
          <cell r="F57">
            <v>91</v>
          </cell>
          <cell r="G57">
            <v>0</v>
          </cell>
          <cell r="H57">
            <v>0</v>
          </cell>
          <cell r="I57">
            <v>202</v>
          </cell>
        </row>
        <row r="58">
          <cell r="A58">
            <v>382003</v>
          </cell>
          <cell r="B58" t="str">
            <v>G. W. Carver Preparatory Academy</v>
          </cell>
          <cell r="C58">
            <v>0</v>
          </cell>
          <cell r="D58">
            <v>0</v>
          </cell>
          <cell r="E58">
            <v>103</v>
          </cell>
          <cell r="F58">
            <v>83</v>
          </cell>
          <cell r="G58">
            <v>0</v>
          </cell>
          <cell r="H58">
            <v>0</v>
          </cell>
          <cell r="I58">
            <v>186</v>
          </cell>
        </row>
        <row r="59">
          <cell r="A59">
            <v>384001</v>
          </cell>
          <cell r="B59" t="str">
            <v>Miller-McCoy Academy for Mathematics and Business</v>
          </cell>
          <cell r="C59">
            <v>61</v>
          </cell>
          <cell r="D59">
            <v>58</v>
          </cell>
          <cell r="E59">
            <v>53</v>
          </cell>
          <cell r="F59">
            <v>47</v>
          </cell>
          <cell r="G59">
            <v>37</v>
          </cell>
          <cell r="H59">
            <v>26</v>
          </cell>
          <cell r="I59">
            <v>282</v>
          </cell>
        </row>
        <row r="60">
          <cell r="A60">
            <v>385001</v>
          </cell>
          <cell r="B60" t="str">
            <v>Sylvanie Williams College Prep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385002</v>
          </cell>
          <cell r="B61" t="str">
            <v>Cohen College Prep</v>
          </cell>
          <cell r="C61">
            <v>44</v>
          </cell>
          <cell r="D61">
            <v>74</v>
          </cell>
          <cell r="E61">
            <v>122</v>
          </cell>
          <cell r="F61">
            <v>72</v>
          </cell>
          <cell r="G61">
            <v>76</v>
          </cell>
          <cell r="H61">
            <v>55</v>
          </cell>
          <cell r="I61">
            <v>443</v>
          </cell>
        </row>
        <row r="62">
          <cell r="A62">
            <v>385003</v>
          </cell>
          <cell r="B62" t="str">
            <v>Lawrence D. Crocker College Prep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A63">
            <v>388001</v>
          </cell>
          <cell r="B63" t="str">
            <v>Andrew H. Wilson Charter School</v>
          </cell>
          <cell r="C63">
            <v>70</v>
          </cell>
          <cell r="D63">
            <v>70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140</v>
          </cell>
        </row>
        <row r="64">
          <cell r="A64">
            <v>389002</v>
          </cell>
          <cell r="B64" t="str">
            <v>Kenilworth Science and Technology Charter School</v>
          </cell>
          <cell r="C64">
            <v>202</v>
          </cell>
          <cell r="D64">
            <v>163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365</v>
          </cell>
        </row>
        <row r="65">
          <cell r="A65">
            <v>390001</v>
          </cell>
          <cell r="B65" t="str">
            <v>James M. Singleton Charter School</v>
          </cell>
          <cell r="C65">
            <v>46</v>
          </cell>
          <cell r="D65">
            <v>51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97</v>
          </cell>
        </row>
        <row r="66">
          <cell r="A66">
            <v>391001</v>
          </cell>
          <cell r="B66" t="str">
            <v>Dr. Martin Luther King Charter School for Sci/Tech</v>
          </cell>
          <cell r="C66">
            <v>57</v>
          </cell>
          <cell r="D66">
            <v>46</v>
          </cell>
          <cell r="E66">
            <v>49</v>
          </cell>
          <cell r="F66">
            <v>44</v>
          </cell>
          <cell r="G66">
            <v>32</v>
          </cell>
          <cell r="H66">
            <v>39</v>
          </cell>
          <cell r="I66">
            <v>267</v>
          </cell>
        </row>
        <row r="67">
          <cell r="A67">
            <v>391002</v>
          </cell>
          <cell r="B67" t="str">
            <v>Joseph A. Craig Charter School</v>
          </cell>
          <cell r="C67">
            <v>45</v>
          </cell>
          <cell r="D67">
            <v>34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79</v>
          </cell>
        </row>
        <row r="68">
          <cell r="A68">
            <v>392001</v>
          </cell>
          <cell r="B68" t="str">
            <v>McDonogh City Park Academy</v>
          </cell>
          <cell r="C68">
            <v>51</v>
          </cell>
          <cell r="D68">
            <v>52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103</v>
          </cell>
        </row>
        <row r="69">
          <cell r="A69">
            <v>393001</v>
          </cell>
          <cell r="B69" t="str">
            <v>Lafayette Academy</v>
          </cell>
          <cell r="C69">
            <v>97</v>
          </cell>
          <cell r="D69">
            <v>100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197</v>
          </cell>
        </row>
        <row r="70">
          <cell r="A70">
            <v>393002</v>
          </cell>
          <cell r="B70" t="str">
            <v>Esperanza Charter School</v>
          </cell>
          <cell r="C70">
            <v>56</v>
          </cell>
          <cell r="D70">
            <v>54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110</v>
          </cell>
        </row>
        <row r="71">
          <cell r="A71">
            <v>393003</v>
          </cell>
          <cell r="B71" t="str">
            <v>McDonogh 42 Charter School</v>
          </cell>
          <cell r="C71">
            <v>51</v>
          </cell>
          <cell r="D71">
            <v>40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91</v>
          </cell>
        </row>
        <row r="72">
          <cell r="A72">
            <v>395001</v>
          </cell>
          <cell r="B72" t="str">
            <v>Martin Behrman Elementary School</v>
          </cell>
          <cell r="C72">
            <v>73</v>
          </cell>
          <cell r="D72">
            <v>72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145</v>
          </cell>
        </row>
        <row r="73">
          <cell r="A73">
            <v>395002</v>
          </cell>
          <cell r="B73" t="str">
            <v>Dwight D. Eisenhower Elementary School</v>
          </cell>
          <cell r="C73">
            <v>89</v>
          </cell>
          <cell r="D73">
            <v>101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190</v>
          </cell>
        </row>
        <row r="74">
          <cell r="A74">
            <v>395003</v>
          </cell>
          <cell r="B74" t="str">
            <v>William J. Fischer Elementary School</v>
          </cell>
          <cell r="C74">
            <v>56</v>
          </cell>
          <cell r="D74">
            <v>66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122</v>
          </cell>
        </row>
        <row r="75">
          <cell r="A75">
            <v>395004</v>
          </cell>
          <cell r="B75" t="str">
            <v>McDonogh #32 Elementary School</v>
          </cell>
          <cell r="C75">
            <v>62</v>
          </cell>
          <cell r="D75">
            <v>65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127</v>
          </cell>
        </row>
        <row r="76">
          <cell r="A76">
            <v>395005</v>
          </cell>
          <cell r="B76" t="str">
            <v>Lord Beaconsfield Landry-Oliver Perry Walker High</v>
          </cell>
          <cell r="C76">
            <v>0</v>
          </cell>
          <cell r="D76">
            <v>0</v>
          </cell>
          <cell r="E76">
            <v>292</v>
          </cell>
          <cell r="F76">
            <v>289</v>
          </cell>
          <cell r="G76">
            <v>245</v>
          </cell>
          <cell r="H76">
            <v>344</v>
          </cell>
          <cell r="I76">
            <v>1170</v>
          </cell>
        </row>
        <row r="77">
          <cell r="A77">
            <v>395007</v>
          </cell>
          <cell r="B77" t="str">
            <v>Algiers Technology Academy</v>
          </cell>
          <cell r="C77">
            <v>0</v>
          </cell>
          <cell r="D77">
            <v>0</v>
          </cell>
          <cell r="E77">
            <v>69</v>
          </cell>
          <cell r="F77">
            <v>55</v>
          </cell>
          <cell r="G77">
            <v>54</v>
          </cell>
          <cell r="H77">
            <v>56</v>
          </cell>
          <cell r="I77">
            <v>234</v>
          </cell>
        </row>
        <row r="78">
          <cell r="A78">
            <v>396</v>
          </cell>
          <cell r="B78" t="str">
            <v>RSD-Orleans</v>
          </cell>
          <cell r="C78">
            <v>29</v>
          </cell>
          <cell r="D78">
            <v>35</v>
          </cell>
          <cell r="E78">
            <v>0</v>
          </cell>
          <cell r="F78">
            <v>4</v>
          </cell>
          <cell r="G78">
            <v>83</v>
          </cell>
          <cell r="H78">
            <v>187</v>
          </cell>
          <cell r="I78">
            <v>338</v>
          </cell>
        </row>
        <row r="79">
          <cell r="A79">
            <v>396200</v>
          </cell>
          <cell r="B79" t="str">
            <v>St. Helena Central Middle School</v>
          </cell>
          <cell r="C79">
            <v>69</v>
          </cell>
          <cell r="D79">
            <v>75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144</v>
          </cell>
        </row>
        <row r="80">
          <cell r="A80">
            <v>396201</v>
          </cell>
          <cell r="B80" t="str">
            <v>Linear Leadership Academy</v>
          </cell>
          <cell r="C80">
            <v>51</v>
          </cell>
          <cell r="D80">
            <v>55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106</v>
          </cell>
        </row>
        <row r="81">
          <cell r="A81">
            <v>396202</v>
          </cell>
          <cell r="B81" t="str">
            <v>Capitol High School</v>
          </cell>
          <cell r="C81">
            <v>0</v>
          </cell>
          <cell r="D81">
            <v>0</v>
          </cell>
          <cell r="E81">
            <v>53</v>
          </cell>
          <cell r="F81">
            <v>61</v>
          </cell>
          <cell r="G81">
            <v>58</v>
          </cell>
          <cell r="H81">
            <v>57</v>
          </cell>
          <cell r="I81">
            <v>229</v>
          </cell>
        </row>
        <row r="82">
          <cell r="A82">
            <v>396204</v>
          </cell>
          <cell r="B82" t="str">
            <v>Istrouma Senior High School</v>
          </cell>
          <cell r="C82">
            <v>0</v>
          </cell>
          <cell r="D82">
            <v>0</v>
          </cell>
          <cell r="E82">
            <v>65</v>
          </cell>
          <cell r="F82">
            <v>55</v>
          </cell>
          <cell r="G82">
            <v>43</v>
          </cell>
          <cell r="H82">
            <v>73</v>
          </cell>
          <cell r="I82">
            <v>236</v>
          </cell>
        </row>
        <row r="83">
          <cell r="A83">
            <v>396205</v>
          </cell>
          <cell r="B83" t="str">
            <v>Glen Oaks Middle School</v>
          </cell>
          <cell r="C83">
            <v>60</v>
          </cell>
          <cell r="D83">
            <v>60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120</v>
          </cell>
        </row>
        <row r="84">
          <cell r="A84">
            <v>396206</v>
          </cell>
          <cell r="B84" t="str">
            <v>Prescott Middle School</v>
          </cell>
          <cell r="C84">
            <v>45</v>
          </cell>
          <cell r="D84">
            <v>61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106</v>
          </cell>
        </row>
        <row r="85">
          <cell r="A85">
            <v>396207</v>
          </cell>
          <cell r="B85" t="str">
            <v>Pointe Coupee Central High School</v>
          </cell>
          <cell r="C85">
            <v>0</v>
          </cell>
          <cell r="D85">
            <v>31</v>
          </cell>
          <cell r="E85">
            <v>48</v>
          </cell>
          <cell r="F85">
            <v>30</v>
          </cell>
          <cell r="G85">
            <v>33</v>
          </cell>
          <cell r="H85">
            <v>40</v>
          </cell>
          <cell r="I85">
            <v>182</v>
          </cell>
        </row>
        <row r="86">
          <cell r="A86">
            <v>396208</v>
          </cell>
          <cell r="B86" t="str">
            <v>Dalton Elementary School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>
            <v>396209</v>
          </cell>
          <cell r="B87" t="str">
            <v>Lanier Elementary School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>
            <v>396210</v>
          </cell>
          <cell r="B88" t="str">
            <v>Crestworth Middle School</v>
          </cell>
          <cell r="C88">
            <v>49</v>
          </cell>
          <cell r="D88">
            <v>68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117</v>
          </cell>
        </row>
        <row r="89">
          <cell r="A89">
            <v>397001</v>
          </cell>
          <cell r="B89" t="str">
            <v>Sophie B. Wright Learning Academy</v>
          </cell>
          <cell r="C89">
            <v>57</v>
          </cell>
          <cell r="D89">
            <v>78</v>
          </cell>
          <cell r="E89">
            <v>73</v>
          </cell>
          <cell r="F89">
            <v>68</v>
          </cell>
          <cell r="G89">
            <v>71</v>
          </cell>
          <cell r="H89">
            <v>76</v>
          </cell>
          <cell r="I89">
            <v>423</v>
          </cell>
        </row>
        <row r="90">
          <cell r="A90">
            <v>398001</v>
          </cell>
          <cell r="B90" t="str">
            <v>KIPP Believe College Prep (Phillips)</v>
          </cell>
          <cell r="C90">
            <v>105</v>
          </cell>
          <cell r="D90">
            <v>98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203</v>
          </cell>
        </row>
        <row r="91">
          <cell r="A91">
            <v>398002</v>
          </cell>
          <cell r="B91" t="str">
            <v>KIPP McDonogh 15 School for the Creative Arts</v>
          </cell>
          <cell r="C91">
            <v>103</v>
          </cell>
          <cell r="D91">
            <v>110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213</v>
          </cell>
        </row>
        <row r="92">
          <cell r="A92">
            <v>398003</v>
          </cell>
          <cell r="B92" t="str">
            <v>KIPP Central City Academy</v>
          </cell>
          <cell r="C92">
            <v>99</v>
          </cell>
          <cell r="D92">
            <v>114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213</v>
          </cell>
        </row>
        <row r="93">
          <cell r="A93">
            <v>398004</v>
          </cell>
          <cell r="B93" t="str">
            <v>KIPP Central City Primary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398005</v>
          </cell>
          <cell r="B94" t="str">
            <v>KIPP Renaissance High School</v>
          </cell>
          <cell r="C94">
            <v>0</v>
          </cell>
          <cell r="D94">
            <v>0</v>
          </cell>
          <cell r="E94">
            <v>118</v>
          </cell>
          <cell r="F94">
            <v>102</v>
          </cell>
          <cell r="G94">
            <v>99</v>
          </cell>
          <cell r="H94">
            <v>99</v>
          </cell>
          <cell r="I94">
            <v>418</v>
          </cell>
        </row>
        <row r="95">
          <cell r="A95">
            <v>398006</v>
          </cell>
          <cell r="B95" t="str">
            <v>KIPP New Orleans Leadership Academy</v>
          </cell>
          <cell r="C95">
            <v>109</v>
          </cell>
          <cell r="D95">
            <v>99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208</v>
          </cell>
        </row>
        <row r="96">
          <cell r="A96">
            <v>399001</v>
          </cell>
          <cell r="B96" t="str">
            <v>Samuel J. Green Charter School</v>
          </cell>
          <cell r="C96">
            <v>51</v>
          </cell>
          <cell r="D96">
            <v>58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109</v>
          </cell>
        </row>
        <row r="97">
          <cell r="A97">
            <v>399002</v>
          </cell>
          <cell r="B97" t="str">
            <v>Arthur Ashe Charter School</v>
          </cell>
          <cell r="C97">
            <v>61</v>
          </cell>
          <cell r="D97">
            <v>32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93</v>
          </cell>
        </row>
        <row r="98">
          <cell r="A98">
            <v>399003</v>
          </cell>
          <cell r="B98" t="str">
            <v>Joseph S. Clark Preparatory High School</v>
          </cell>
          <cell r="C98">
            <v>0</v>
          </cell>
          <cell r="D98">
            <v>0</v>
          </cell>
          <cell r="E98">
            <v>130</v>
          </cell>
          <cell r="F98">
            <v>94</v>
          </cell>
          <cell r="G98">
            <v>86</v>
          </cell>
          <cell r="H98">
            <v>69</v>
          </cell>
          <cell r="I98">
            <v>379</v>
          </cell>
        </row>
        <row r="99">
          <cell r="A99">
            <v>399004</v>
          </cell>
          <cell r="B99" t="str">
            <v>John Dibert Community School</v>
          </cell>
          <cell r="C99">
            <v>60</v>
          </cell>
          <cell r="D99">
            <v>58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118</v>
          </cell>
        </row>
        <row r="100">
          <cell r="A100">
            <v>399005</v>
          </cell>
          <cell r="B100" t="str">
            <v>Langston Hughes Charter Academy</v>
          </cell>
          <cell r="C100">
            <v>88</v>
          </cell>
          <cell r="D100">
            <v>72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160</v>
          </cell>
        </row>
        <row r="101">
          <cell r="A101" t="str">
            <v>3A1001</v>
          </cell>
          <cell r="B101" t="str">
            <v>JCFA-East</v>
          </cell>
          <cell r="C101">
            <v>0</v>
          </cell>
          <cell r="D101">
            <v>6</v>
          </cell>
          <cell r="E101">
            <v>34</v>
          </cell>
          <cell r="F101">
            <v>17</v>
          </cell>
          <cell r="G101">
            <v>19</v>
          </cell>
          <cell r="H101">
            <v>19</v>
          </cell>
          <cell r="I101">
            <v>95</v>
          </cell>
        </row>
        <row r="102">
          <cell r="A102" t="str">
            <v>3A2001</v>
          </cell>
          <cell r="B102" t="str">
            <v>Tallulah Charter School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>3A3001</v>
          </cell>
          <cell r="B103" t="str">
            <v>East Baton Rouge Charter Academy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>3A4001</v>
          </cell>
          <cell r="B104" t="str">
            <v>Delta Charter School, MST</v>
          </cell>
          <cell r="C104">
            <v>31</v>
          </cell>
          <cell r="D104">
            <v>37</v>
          </cell>
          <cell r="E104">
            <v>26</v>
          </cell>
          <cell r="F104">
            <v>0</v>
          </cell>
          <cell r="G104">
            <v>0</v>
          </cell>
          <cell r="H104">
            <v>0</v>
          </cell>
          <cell r="I104">
            <v>94</v>
          </cell>
        </row>
        <row r="105">
          <cell r="A105" t="str">
            <v>3A5001</v>
          </cell>
          <cell r="B105" t="str">
            <v>Mary D. Coghill Charter School</v>
          </cell>
          <cell r="C105">
            <v>61</v>
          </cell>
          <cell r="D105">
            <v>63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124</v>
          </cell>
        </row>
        <row r="106">
          <cell r="A106" t="str">
            <v>3A6001</v>
          </cell>
          <cell r="B106" t="str">
            <v>Northshore Charter School</v>
          </cell>
          <cell r="C106">
            <v>0</v>
          </cell>
          <cell r="D106">
            <v>0</v>
          </cell>
          <cell r="E106">
            <v>27</v>
          </cell>
          <cell r="F106">
            <v>0</v>
          </cell>
          <cell r="G106">
            <v>0</v>
          </cell>
          <cell r="H106">
            <v>0</v>
          </cell>
          <cell r="I106">
            <v>27</v>
          </cell>
        </row>
        <row r="107">
          <cell r="A107" t="str">
            <v>3A7001</v>
          </cell>
          <cell r="B107" t="str">
            <v>Louisiana Key Academy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A108" t="str">
            <v>A02</v>
          </cell>
          <cell r="B108" t="str">
            <v>OJJ</v>
          </cell>
          <cell r="C108">
            <v>23</v>
          </cell>
          <cell r="D108">
            <v>96</v>
          </cell>
          <cell r="E108">
            <v>147</v>
          </cell>
          <cell r="F108">
            <v>47</v>
          </cell>
          <cell r="G108">
            <v>18</v>
          </cell>
          <cell r="H108">
            <v>10</v>
          </cell>
          <cell r="I108">
            <v>341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101005</v>
          </cell>
          <cell r="B110" t="str">
            <v>Eastern LA Mental System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11</v>
          </cell>
          <cell r="I110">
            <v>11</v>
          </cell>
        </row>
        <row r="111">
          <cell r="A111">
            <v>101010</v>
          </cell>
          <cell r="B111" t="str">
            <v>Pinecrest Supports &amp; Services Center</v>
          </cell>
          <cell r="C111">
            <v>4</v>
          </cell>
          <cell r="D111">
            <v>7</v>
          </cell>
          <cell r="E111">
            <v>8</v>
          </cell>
          <cell r="F111">
            <v>10</v>
          </cell>
          <cell r="G111">
            <v>7</v>
          </cell>
          <cell r="H111">
            <v>13</v>
          </cell>
          <cell r="I111">
            <v>49</v>
          </cell>
        </row>
        <row r="112">
          <cell r="A112">
            <v>101017</v>
          </cell>
          <cell r="B112" t="str">
            <v>David Wade Correctional Center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5</v>
          </cell>
          <cell r="I112">
            <v>5</v>
          </cell>
        </row>
        <row r="113">
          <cell r="A113">
            <v>101019</v>
          </cell>
          <cell r="B113" t="str">
            <v>Elayn Hunt Correctional Center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5</v>
          </cell>
          <cell r="I113">
            <v>5</v>
          </cell>
        </row>
        <row r="114">
          <cell r="A114">
            <v>101020</v>
          </cell>
          <cell r="B114" t="str">
            <v>Louisiana Correctional Institute for Women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</row>
        <row r="115">
          <cell r="A115">
            <v>101023</v>
          </cell>
          <cell r="B115" t="str">
            <v>Louisiana State Penitentiary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</v>
          </cell>
          <cell r="I115">
            <v>2</v>
          </cell>
        </row>
        <row r="116">
          <cell r="A116">
            <v>101025</v>
          </cell>
          <cell r="B116" t="str">
            <v>Dixon Correctional Institute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7</v>
          </cell>
          <cell r="I116">
            <v>7</v>
          </cell>
        </row>
        <row r="117">
          <cell r="A117">
            <v>101026</v>
          </cell>
          <cell r="B117" t="str">
            <v>Rayburn Correctional Institute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7</v>
          </cell>
          <cell r="I117">
            <v>7</v>
          </cell>
        </row>
        <row r="118">
          <cell r="A118">
            <v>101027</v>
          </cell>
          <cell r="B118" t="str">
            <v>Avoyelles Correctional Center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8</v>
          </cell>
          <cell r="I118">
            <v>8</v>
          </cell>
        </row>
        <row r="119">
          <cell r="A119">
            <v>101031</v>
          </cell>
          <cell r="B119" t="str">
            <v>Renaissance Home for Youth</v>
          </cell>
          <cell r="C119">
            <v>5</v>
          </cell>
          <cell r="D119">
            <v>8</v>
          </cell>
          <cell r="E119">
            <v>15</v>
          </cell>
          <cell r="F119">
            <v>2</v>
          </cell>
          <cell r="G119">
            <v>3</v>
          </cell>
          <cell r="H119">
            <v>0</v>
          </cell>
          <cell r="I119">
            <v>33</v>
          </cell>
        </row>
        <row r="120">
          <cell r="A120">
            <v>101032</v>
          </cell>
          <cell r="B120" t="str">
            <v>Allen Correctional Center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8</v>
          </cell>
          <cell r="I120">
            <v>8</v>
          </cell>
        </row>
        <row r="121">
          <cell r="A121">
            <v>101033</v>
          </cell>
          <cell r="B121" t="str">
            <v>Winn Correctional Center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4</v>
          </cell>
          <cell r="I121">
            <v>4</v>
          </cell>
        </row>
        <row r="122">
          <cell r="A122">
            <v>101034</v>
          </cell>
          <cell r="B122" t="str">
            <v>Brentwood Hospital</v>
          </cell>
          <cell r="C122">
            <v>4</v>
          </cell>
          <cell r="D122">
            <v>5</v>
          </cell>
          <cell r="E122">
            <v>7</v>
          </cell>
          <cell r="F122">
            <v>8</v>
          </cell>
          <cell r="G122">
            <v>2</v>
          </cell>
          <cell r="H122">
            <v>0</v>
          </cell>
          <cell r="I122">
            <v>26</v>
          </cell>
        </row>
        <row r="123">
          <cell r="A123">
            <v>101035</v>
          </cell>
          <cell r="B123" t="str">
            <v>Gateways Adolescent Treatment Center</v>
          </cell>
          <cell r="C123">
            <v>1</v>
          </cell>
          <cell r="D123">
            <v>2</v>
          </cell>
          <cell r="E123">
            <v>6</v>
          </cell>
          <cell r="F123">
            <v>4</v>
          </cell>
          <cell r="G123">
            <v>0</v>
          </cell>
          <cell r="H123">
            <v>0</v>
          </cell>
          <cell r="I123">
            <v>13</v>
          </cell>
        </row>
        <row r="124">
          <cell r="A124">
            <v>101036</v>
          </cell>
          <cell r="B124" t="str">
            <v>Methodist Home for Children of Greater New Orleans</v>
          </cell>
          <cell r="C124">
            <v>1</v>
          </cell>
          <cell r="D124">
            <v>2</v>
          </cell>
          <cell r="E124">
            <v>2</v>
          </cell>
          <cell r="F124">
            <v>1</v>
          </cell>
          <cell r="G124">
            <v>0</v>
          </cell>
          <cell r="H124">
            <v>0</v>
          </cell>
          <cell r="I124">
            <v>6</v>
          </cell>
        </row>
        <row r="125">
          <cell r="A125">
            <v>101037</v>
          </cell>
          <cell r="B125" t="str">
            <v>River Oaks Hospital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A126">
            <v>101038</v>
          </cell>
          <cell r="B126" t="str">
            <v>Northlake Behavioral Health System</v>
          </cell>
          <cell r="C126">
            <v>5</v>
          </cell>
          <cell r="D126">
            <v>8</v>
          </cell>
          <cell r="E126">
            <v>6</v>
          </cell>
          <cell r="F126">
            <v>3</v>
          </cell>
          <cell r="G126">
            <v>4</v>
          </cell>
          <cell r="H126">
            <v>0</v>
          </cell>
          <cell r="I126">
            <v>26</v>
          </cell>
        </row>
        <row r="127">
          <cell r="A127">
            <v>101039</v>
          </cell>
          <cell r="B127" t="str">
            <v>Pinehill Alternative High School</v>
          </cell>
          <cell r="C127">
            <v>0</v>
          </cell>
          <cell r="D127">
            <v>4</v>
          </cell>
          <cell r="E127">
            <v>7</v>
          </cell>
          <cell r="F127">
            <v>1</v>
          </cell>
          <cell r="G127">
            <v>0</v>
          </cell>
          <cell r="H127">
            <v>0</v>
          </cell>
          <cell r="I127">
            <v>12</v>
          </cell>
        </row>
        <row r="128">
          <cell r="A128">
            <v>0</v>
          </cell>
          <cell r="B128">
            <v>0</v>
          </cell>
          <cell r="C128">
            <v>20</v>
          </cell>
          <cell r="D128">
            <v>36</v>
          </cell>
          <cell r="E128">
            <v>51</v>
          </cell>
          <cell r="F128">
            <v>29</v>
          </cell>
          <cell r="G128">
            <v>16</v>
          </cell>
          <cell r="H128">
            <v>71</v>
          </cell>
          <cell r="I128">
            <v>223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 t="str">
            <v>A02002</v>
          </cell>
          <cell r="B130" t="str">
            <v>Riverside Alternative High School</v>
          </cell>
          <cell r="C130">
            <v>9</v>
          </cell>
          <cell r="D130">
            <v>21</v>
          </cell>
          <cell r="E130">
            <v>39</v>
          </cell>
          <cell r="F130">
            <v>25</v>
          </cell>
          <cell r="G130">
            <v>11</v>
          </cell>
          <cell r="H130">
            <v>2</v>
          </cell>
          <cell r="I130">
            <v>107</v>
          </cell>
        </row>
        <row r="131">
          <cell r="A131" t="str">
            <v>A02003</v>
          </cell>
          <cell r="B131" t="str">
            <v>Southside Alternative High School</v>
          </cell>
          <cell r="C131">
            <v>7</v>
          </cell>
          <cell r="D131">
            <v>52</v>
          </cell>
          <cell r="E131">
            <v>67</v>
          </cell>
          <cell r="F131">
            <v>13</v>
          </cell>
          <cell r="G131">
            <v>5</v>
          </cell>
          <cell r="H131">
            <v>4</v>
          </cell>
          <cell r="I131">
            <v>148</v>
          </cell>
        </row>
        <row r="132">
          <cell r="A132">
            <v>101018</v>
          </cell>
          <cell r="B132" t="str">
            <v>Scenic Alternative High School</v>
          </cell>
          <cell r="C132">
            <v>0</v>
          </cell>
          <cell r="D132">
            <v>1</v>
          </cell>
          <cell r="E132">
            <v>2</v>
          </cell>
          <cell r="F132">
            <v>0</v>
          </cell>
          <cell r="G132">
            <v>0</v>
          </cell>
          <cell r="H132">
            <v>0</v>
          </cell>
          <cell r="I132">
            <v>3</v>
          </cell>
        </row>
        <row r="133">
          <cell r="A133">
            <v>101021</v>
          </cell>
          <cell r="B133" t="str">
            <v>Riverside Alternative High School</v>
          </cell>
          <cell r="C133">
            <v>6</v>
          </cell>
          <cell r="D133">
            <v>10</v>
          </cell>
          <cell r="E133">
            <v>17</v>
          </cell>
          <cell r="F133">
            <v>6</v>
          </cell>
          <cell r="G133">
            <v>1</v>
          </cell>
          <cell r="H133">
            <v>2</v>
          </cell>
          <cell r="I133">
            <v>42</v>
          </cell>
        </row>
        <row r="134">
          <cell r="A134">
            <v>101022</v>
          </cell>
          <cell r="B134" t="str">
            <v>Southside Alternative High School</v>
          </cell>
          <cell r="C134">
            <v>1</v>
          </cell>
          <cell r="D134">
            <v>12</v>
          </cell>
          <cell r="E134">
            <v>22</v>
          </cell>
          <cell r="F134">
            <v>3</v>
          </cell>
          <cell r="G134">
            <v>1</v>
          </cell>
          <cell r="H134">
            <v>2</v>
          </cell>
          <cell r="I134">
            <v>41</v>
          </cell>
        </row>
        <row r="135">
          <cell r="A135">
            <v>0</v>
          </cell>
          <cell r="B135">
            <v>0</v>
          </cell>
          <cell r="C135">
            <v>23</v>
          </cell>
          <cell r="D135">
            <v>96</v>
          </cell>
          <cell r="E135">
            <v>147</v>
          </cell>
          <cell r="F135">
            <v>47</v>
          </cell>
          <cell r="G135">
            <v>18</v>
          </cell>
          <cell r="H135">
            <v>10</v>
          </cell>
          <cell r="I135">
            <v>341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A137">
            <v>304001</v>
          </cell>
          <cell r="B137" t="str">
            <v>Louisiana School for the Deaf</v>
          </cell>
          <cell r="C137">
            <v>21</v>
          </cell>
          <cell r="D137">
            <v>8</v>
          </cell>
          <cell r="E137">
            <v>8</v>
          </cell>
          <cell r="F137">
            <v>12</v>
          </cell>
          <cell r="G137">
            <v>15</v>
          </cell>
          <cell r="H137">
            <v>19</v>
          </cell>
          <cell r="I137">
            <v>83</v>
          </cell>
        </row>
        <row r="138">
          <cell r="A138">
            <v>304002</v>
          </cell>
          <cell r="B138" t="str">
            <v>Louisiana School for the Visually Impaired</v>
          </cell>
          <cell r="C138">
            <v>3</v>
          </cell>
          <cell r="D138">
            <v>11</v>
          </cell>
          <cell r="E138">
            <v>5</v>
          </cell>
          <cell r="F138">
            <v>7</v>
          </cell>
          <cell r="G138">
            <v>4</v>
          </cell>
          <cell r="H138">
            <v>5</v>
          </cell>
          <cell r="I138">
            <v>35</v>
          </cell>
        </row>
        <row r="139">
          <cell r="A139">
            <v>0</v>
          </cell>
          <cell r="B139">
            <v>0</v>
          </cell>
          <cell r="C139">
            <v>24</v>
          </cell>
          <cell r="D139">
            <v>19</v>
          </cell>
          <cell r="E139">
            <v>13</v>
          </cell>
          <cell r="F139">
            <v>19</v>
          </cell>
          <cell r="G139">
            <v>19</v>
          </cell>
          <cell r="H139">
            <v>24</v>
          </cell>
          <cell r="I139">
            <v>118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>
            <v>396003</v>
          </cell>
          <cell r="B141" t="str">
            <v>Benjamin Banneker Elementary School</v>
          </cell>
          <cell r="C141">
            <v>29</v>
          </cell>
          <cell r="D141">
            <v>35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64</v>
          </cell>
        </row>
        <row r="142">
          <cell r="A142">
            <v>396004</v>
          </cell>
          <cell r="B142" t="str">
            <v>Walter L. Cohen High School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43</v>
          </cell>
          <cell r="I142">
            <v>43</v>
          </cell>
        </row>
        <row r="143">
          <cell r="A143">
            <v>396017</v>
          </cell>
          <cell r="B143" t="str">
            <v>Sarah Towles Reed Senior High School</v>
          </cell>
          <cell r="C143">
            <v>0</v>
          </cell>
          <cell r="D143">
            <v>0</v>
          </cell>
          <cell r="E143">
            <v>0</v>
          </cell>
          <cell r="F143">
            <v>4</v>
          </cell>
          <cell r="G143">
            <v>47</v>
          </cell>
          <cell r="H143">
            <v>97</v>
          </cell>
          <cell r="I143">
            <v>148</v>
          </cell>
        </row>
        <row r="144">
          <cell r="A144">
            <v>396019</v>
          </cell>
          <cell r="B144" t="str">
            <v>A.P. Tureaud Elementary School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A145">
            <v>396026</v>
          </cell>
          <cell r="B145" t="str">
            <v>G.W. Carver High School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36</v>
          </cell>
          <cell r="H145">
            <v>47</v>
          </cell>
          <cell r="I145">
            <v>83</v>
          </cell>
        </row>
        <row r="146">
          <cell r="A146">
            <v>396029</v>
          </cell>
          <cell r="B146" t="str">
            <v>F.W. Gregory Elementary School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A147">
            <v>396700</v>
          </cell>
          <cell r="B147" t="str">
            <v>Recovery School District-LDE Central Office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A148">
            <v>0</v>
          </cell>
          <cell r="B148">
            <v>0</v>
          </cell>
          <cell r="C148">
            <v>29</v>
          </cell>
          <cell r="D148">
            <v>35</v>
          </cell>
          <cell r="E148">
            <v>0</v>
          </cell>
          <cell r="F148">
            <v>4</v>
          </cell>
          <cell r="G148">
            <v>83</v>
          </cell>
          <cell r="H148">
            <v>187</v>
          </cell>
          <cell r="I148">
            <v>338</v>
          </cell>
        </row>
      </sheetData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 1 MFP by LEA"/>
      <sheetName val="Oct 1 MFP by Site"/>
      <sheetName val="Oct 1 MFP LEA MER"/>
      <sheetName val="Oct 1 MFP Site MER"/>
    </sheetNames>
    <sheetDataSet>
      <sheetData sheetId="0"/>
      <sheetData sheetId="1"/>
      <sheetData sheetId="2">
        <row r="6">
          <cell r="B6">
            <v>1</v>
          </cell>
          <cell r="C6" t="str">
            <v>Acadia Parish</v>
          </cell>
          <cell r="D6">
            <v>825</v>
          </cell>
          <cell r="E6">
            <v>685</v>
          </cell>
          <cell r="F6">
            <v>1510</v>
          </cell>
          <cell r="H6">
            <v>840</v>
          </cell>
          <cell r="I6">
            <v>34</v>
          </cell>
          <cell r="J6">
            <v>622</v>
          </cell>
          <cell r="K6">
            <v>575</v>
          </cell>
          <cell r="L6">
            <v>551</v>
          </cell>
          <cell r="M6">
            <v>2622</v>
          </cell>
        </row>
        <row r="7">
          <cell r="B7">
            <v>2</v>
          </cell>
          <cell r="C7" t="str">
            <v>Allen Parish</v>
          </cell>
          <cell r="D7">
            <v>328</v>
          </cell>
          <cell r="E7">
            <v>281</v>
          </cell>
          <cell r="F7">
            <v>609</v>
          </cell>
          <cell r="H7">
            <v>345</v>
          </cell>
          <cell r="I7">
            <v>29</v>
          </cell>
          <cell r="J7">
            <v>299</v>
          </cell>
          <cell r="K7">
            <v>248</v>
          </cell>
          <cell r="L7">
            <v>233</v>
          </cell>
          <cell r="M7">
            <v>1154</v>
          </cell>
        </row>
        <row r="8">
          <cell r="B8">
            <v>3</v>
          </cell>
          <cell r="C8" t="str">
            <v>Ascension Parish</v>
          </cell>
          <cell r="D8">
            <v>1593</v>
          </cell>
          <cell r="E8">
            <v>1643</v>
          </cell>
          <cell r="F8">
            <v>3236</v>
          </cell>
          <cell r="H8">
            <v>1815</v>
          </cell>
          <cell r="I8">
            <v>55</v>
          </cell>
          <cell r="J8">
            <v>1618</v>
          </cell>
          <cell r="K8">
            <v>1459</v>
          </cell>
          <cell r="L8">
            <v>1373</v>
          </cell>
          <cell r="M8">
            <v>6320</v>
          </cell>
        </row>
        <row r="9">
          <cell r="B9">
            <v>4</v>
          </cell>
          <cell r="C9" t="str">
            <v>Assumption Parish</v>
          </cell>
          <cell r="D9">
            <v>270</v>
          </cell>
          <cell r="E9">
            <v>260</v>
          </cell>
          <cell r="F9">
            <v>530</v>
          </cell>
          <cell r="H9">
            <v>280</v>
          </cell>
          <cell r="I9">
            <v>45</v>
          </cell>
          <cell r="J9">
            <v>269</v>
          </cell>
          <cell r="K9">
            <v>240</v>
          </cell>
          <cell r="L9">
            <v>199</v>
          </cell>
          <cell r="M9">
            <v>1033</v>
          </cell>
        </row>
        <row r="10">
          <cell r="B10">
            <v>5</v>
          </cell>
          <cell r="C10" t="str">
            <v>Avoyelles Parish</v>
          </cell>
          <cell r="D10">
            <v>440</v>
          </cell>
          <cell r="E10">
            <v>472</v>
          </cell>
          <cell r="F10">
            <v>912</v>
          </cell>
          <cell r="H10">
            <v>421</v>
          </cell>
          <cell r="I10">
            <v>142</v>
          </cell>
          <cell r="J10">
            <v>395</v>
          </cell>
          <cell r="K10">
            <v>312</v>
          </cell>
          <cell r="L10">
            <v>326</v>
          </cell>
          <cell r="M10">
            <v>1596</v>
          </cell>
        </row>
        <row r="11">
          <cell r="B11">
            <v>6</v>
          </cell>
          <cell r="C11" t="str">
            <v>Beauregard Parish</v>
          </cell>
          <cell r="D11">
            <v>410</v>
          </cell>
          <cell r="E11">
            <v>504</v>
          </cell>
          <cell r="F11">
            <v>914</v>
          </cell>
          <cell r="H11">
            <v>497</v>
          </cell>
          <cell r="I11">
            <v>34</v>
          </cell>
          <cell r="J11">
            <v>442</v>
          </cell>
          <cell r="K11">
            <v>403</v>
          </cell>
          <cell r="L11">
            <v>378</v>
          </cell>
          <cell r="M11">
            <v>1754</v>
          </cell>
        </row>
        <row r="12">
          <cell r="B12">
            <v>7</v>
          </cell>
          <cell r="C12" t="str">
            <v>Bienville Parish</v>
          </cell>
          <cell r="D12">
            <v>186</v>
          </cell>
          <cell r="E12">
            <v>168</v>
          </cell>
          <cell r="F12">
            <v>354</v>
          </cell>
          <cell r="H12">
            <v>156</v>
          </cell>
          <cell r="I12">
            <v>8</v>
          </cell>
          <cell r="J12">
            <v>146</v>
          </cell>
          <cell r="K12">
            <v>152</v>
          </cell>
          <cell r="L12">
            <v>131</v>
          </cell>
          <cell r="M12">
            <v>593</v>
          </cell>
        </row>
        <row r="13">
          <cell r="B13">
            <v>8</v>
          </cell>
          <cell r="C13" t="str">
            <v>Bossier Parish</v>
          </cell>
          <cell r="D13">
            <v>1742</v>
          </cell>
          <cell r="E13">
            <v>1653</v>
          </cell>
          <cell r="F13">
            <v>3395</v>
          </cell>
          <cell r="H13">
            <v>1814</v>
          </cell>
          <cell r="I13">
            <v>73</v>
          </cell>
          <cell r="J13">
            <v>1556</v>
          </cell>
          <cell r="K13">
            <v>1284</v>
          </cell>
          <cell r="L13">
            <v>1310</v>
          </cell>
          <cell r="M13">
            <v>6037</v>
          </cell>
        </row>
        <row r="14">
          <cell r="B14">
            <v>9</v>
          </cell>
          <cell r="C14" t="str">
            <v>Caddo Parish</v>
          </cell>
          <cell r="D14">
            <v>3037</v>
          </cell>
          <cell r="E14">
            <v>2858</v>
          </cell>
          <cell r="F14">
            <v>5895</v>
          </cell>
          <cell r="H14">
            <v>3044</v>
          </cell>
          <cell r="I14">
            <v>547</v>
          </cell>
          <cell r="J14">
            <v>2787</v>
          </cell>
          <cell r="K14">
            <v>2491</v>
          </cell>
          <cell r="L14">
            <v>2303</v>
          </cell>
          <cell r="M14">
            <v>11172</v>
          </cell>
        </row>
        <row r="15">
          <cell r="B15">
            <v>10</v>
          </cell>
          <cell r="C15" t="str">
            <v>Calcasieu Parish</v>
          </cell>
          <cell r="D15">
            <v>2190</v>
          </cell>
          <cell r="E15">
            <v>2278</v>
          </cell>
          <cell r="F15">
            <v>4468</v>
          </cell>
          <cell r="H15">
            <v>2806</v>
          </cell>
          <cell r="I15">
            <v>131</v>
          </cell>
          <cell r="J15">
            <v>2266</v>
          </cell>
          <cell r="K15">
            <v>1989</v>
          </cell>
          <cell r="L15">
            <v>1821</v>
          </cell>
          <cell r="M15">
            <v>9013</v>
          </cell>
        </row>
        <row r="16">
          <cell r="B16">
            <v>11</v>
          </cell>
          <cell r="C16" t="str">
            <v>Caldwell Parish</v>
          </cell>
          <cell r="D16">
            <v>121</v>
          </cell>
          <cell r="E16">
            <v>130</v>
          </cell>
          <cell r="F16">
            <v>251</v>
          </cell>
          <cell r="H16">
            <v>131</v>
          </cell>
          <cell r="I16">
            <v>11</v>
          </cell>
          <cell r="J16">
            <v>88</v>
          </cell>
          <cell r="K16">
            <v>91</v>
          </cell>
          <cell r="L16">
            <v>115</v>
          </cell>
          <cell r="M16">
            <v>436</v>
          </cell>
        </row>
        <row r="17">
          <cell r="B17">
            <v>12</v>
          </cell>
          <cell r="C17" t="str">
            <v>Cameron Parish</v>
          </cell>
          <cell r="D17">
            <v>95</v>
          </cell>
          <cell r="E17">
            <v>117</v>
          </cell>
          <cell r="F17">
            <v>212</v>
          </cell>
          <cell r="H17">
            <v>92</v>
          </cell>
          <cell r="I17">
            <v>5</v>
          </cell>
          <cell r="J17">
            <v>106</v>
          </cell>
          <cell r="K17">
            <v>100</v>
          </cell>
          <cell r="L17">
            <v>81</v>
          </cell>
          <cell r="M17">
            <v>384</v>
          </cell>
        </row>
        <row r="18">
          <cell r="B18">
            <v>13</v>
          </cell>
          <cell r="C18" t="str">
            <v>Catahoula Parish</v>
          </cell>
          <cell r="D18">
            <v>120</v>
          </cell>
          <cell r="E18">
            <v>115</v>
          </cell>
          <cell r="F18">
            <v>235</v>
          </cell>
          <cell r="H18">
            <v>99</v>
          </cell>
          <cell r="I18">
            <v>6</v>
          </cell>
          <cell r="J18">
            <v>98</v>
          </cell>
          <cell r="K18">
            <v>101</v>
          </cell>
          <cell r="L18">
            <v>60</v>
          </cell>
          <cell r="M18">
            <v>364</v>
          </cell>
        </row>
        <row r="19">
          <cell r="B19">
            <v>14</v>
          </cell>
          <cell r="C19" t="str">
            <v>Claiborne Parish</v>
          </cell>
          <cell r="D19">
            <v>122</v>
          </cell>
          <cell r="E19">
            <v>123</v>
          </cell>
          <cell r="F19">
            <v>245</v>
          </cell>
          <cell r="H19">
            <v>112</v>
          </cell>
          <cell r="I19">
            <v>17</v>
          </cell>
          <cell r="J19">
            <v>131</v>
          </cell>
          <cell r="K19">
            <v>107</v>
          </cell>
          <cell r="L19">
            <v>98</v>
          </cell>
          <cell r="M19">
            <v>465</v>
          </cell>
        </row>
        <row r="20">
          <cell r="B20">
            <v>15</v>
          </cell>
          <cell r="C20" t="str">
            <v>Concordia Parish</v>
          </cell>
          <cell r="D20">
            <v>267</v>
          </cell>
          <cell r="E20">
            <v>251</v>
          </cell>
          <cell r="F20">
            <v>518</v>
          </cell>
          <cell r="H20">
            <v>276</v>
          </cell>
          <cell r="I20">
            <v>27</v>
          </cell>
          <cell r="J20">
            <v>228</v>
          </cell>
          <cell r="K20">
            <v>201</v>
          </cell>
          <cell r="L20">
            <v>205</v>
          </cell>
          <cell r="M20">
            <v>937</v>
          </cell>
        </row>
        <row r="21">
          <cell r="B21">
            <v>16</v>
          </cell>
          <cell r="C21" t="str">
            <v>DeSoto Parish</v>
          </cell>
          <cell r="D21">
            <v>348</v>
          </cell>
          <cell r="E21">
            <v>392</v>
          </cell>
          <cell r="F21">
            <v>740</v>
          </cell>
          <cell r="H21">
            <v>378</v>
          </cell>
          <cell r="I21">
            <v>42</v>
          </cell>
          <cell r="J21">
            <v>359</v>
          </cell>
          <cell r="K21">
            <v>326</v>
          </cell>
          <cell r="L21">
            <v>294</v>
          </cell>
          <cell r="M21">
            <v>1399</v>
          </cell>
        </row>
        <row r="22">
          <cell r="B22">
            <v>17</v>
          </cell>
          <cell r="C22" t="str">
            <v>East Baton Rouge Parish</v>
          </cell>
          <cell r="D22">
            <v>3068</v>
          </cell>
          <cell r="E22">
            <v>2932</v>
          </cell>
          <cell r="F22">
            <v>6000</v>
          </cell>
          <cell r="H22">
            <v>3208</v>
          </cell>
          <cell r="I22">
            <v>402</v>
          </cell>
          <cell r="J22">
            <v>2792</v>
          </cell>
          <cell r="K22">
            <v>2522</v>
          </cell>
          <cell r="L22">
            <v>2329</v>
          </cell>
          <cell r="M22">
            <v>11253</v>
          </cell>
        </row>
        <row r="23">
          <cell r="B23">
            <v>18</v>
          </cell>
          <cell r="C23" t="str">
            <v>East Carroll Parish</v>
          </cell>
          <cell r="D23">
            <v>77</v>
          </cell>
          <cell r="E23">
            <v>81</v>
          </cell>
          <cell r="F23">
            <v>158</v>
          </cell>
          <cell r="H23">
            <v>69</v>
          </cell>
          <cell r="I23">
            <v>6</v>
          </cell>
          <cell r="J23">
            <v>73</v>
          </cell>
          <cell r="K23">
            <v>63</v>
          </cell>
          <cell r="L23">
            <v>60</v>
          </cell>
          <cell r="M23">
            <v>271</v>
          </cell>
        </row>
        <row r="24">
          <cell r="B24">
            <v>19</v>
          </cell>
          <cell r="C24" t="str">
            <v>East Feliciana Parish</v>
          </cell>
          <cell r="D24">
            <v>153</v>
          </cell>
          <cell r="E24">
            <v>155</v>
          </cell>
          <cell r="F24">
            <v>308</v>
          </cell>
          <cell r="H24">
            <v>160</v>
          </cell>
          <cell r="I24">
            <v>0</v>
          </cell>
          <cell r="J24">
            <v>152</v>
          </cell>
          <cell r="K24">
            <v>121</v>
          </cell>
          <cell r="L24">
            <v>85</v>
          </cell>
          <cell r="M24">
            <v>518</v>
          </cell>
        </row>
        <row r="25">
          <cell r="B25">
            <v>20</v>
          </cell>
          <cell r="C25" t="str">
            <v>Evangeline Parish</v>
          </cell>
          <cell r="D25">
            <v>443</v>
          </cell>
          <cell r="E25">
            <v>450</v>
          </cell>
          <cell r="F25">
            <v>893</v>
          </cell>
          <cell r="H25">
            <v>445</v>
          </cell>
          <cell r="I25">
            <v>23</v>
          </cell>
          <cell r="J25">
            <v>398</v>
          </cell>
          <cell r="K25">
            <v>371</v>
          </cell>
          <cell r="L25">
            <v>311</v>
          </cell>
          <cell r="M25">
            <v>1548</v>
          </cell>
        </row>
        <row r="26">
          <cell r="B26">
            <v>21</v>
          </cell>
          <cell r="C26" t="str">
            <v>Franklin Parish</v>
          </cell>
          <cell r="D26">
            <v>244</v>
          </cell>
          <cell r="E26">
            <v>216</v>
          </cell>
          <cell r="F26">
            <v>460</v>
          </cell>
          <cell r="H26">
            <v>193</v>
          </cell>
          <cell r="I26">
            <v>14</v>
          </cell>
          <cell r="J26">
            <v>215</v>
          </cell>
          <cell r="K26">
            <v>148</v>
          </cell>
          <cell r="L26">
            <v>147</v>
          </cell>
          <cell r="M26">
            <v>717</v>
          </cell>
        </row>
        <row r="27">
          <cell r="B27">
            <v>22</v>
          </cell>
          <cell r="C27" t="str">
            <v>Grant Parish</v>
          </cell>
          <cell r="D27">
            <v>257</v>
          </cell>
          <cell r="E27">
            <v>265</v>
          </cell>
          <cell r="F27">
            <v>522</v>
          </cell>
          <cell r="H27">
            <v>279</v>
          </cell>
          <cell r="I27">
            <v>20</v>
          </cell>
          <cell r="J27">
            <v>238</v>
          </cell>
          <cell r="K27">
            <v>218</v>
          </cell>
          <cell r="L27">
            <v>176</v>
          </cell>
          <cell r="M27">
            <v>931</v>
          </cell>
        </row>
        <row r="28">
          <cell r="B28">
            <v>23</v>
          </cell>
          <cell r="C28" t="str">
            <v>Iberia Parish</v>
          </cell>
          <cell r="D28">
            <v>1117</v>
          </cell>
          <cell r="E28">
            <v>1026</v>
          </cell>
          <cell r="F28">
            <v>2143</v>
          </cell>
          <cell r="H28">
            <v>1200</v>
          </cell>
          <cell r="I28">
            <v>67</v>
          </cell>
          <cell r="J28">
            <v>947</v>
          </cell>
          <cell r="K28">
            <v>824</v>
          </cell>
          <cell r="L28">
            <v>763</v>
          </cell>
          <cell r="M28">
            <v>3801</v>
          </cell>
        </row>
        <row r="29">
          <cell r="B29">
            <v>24</v>
          </cell>
          <cell r="C29" t="str">
            <v>Iberville Parish</v>
          </cell>
          <cell r="D29">
            <v>368</v>
          </cell>
          <cell r="E29">
            <v>444</v>
          </cell>
          <cell r="F29">
            <v>812</v>
          </cell>
          <cell r="H29">
            <v>294</v>
          </cell>
          <cell r="I29">
            <v>71</v>
          </cell>
          <cell r="J29">
            <v>272</v>
          </cell>
          <cell r="K29">
            <v>257</v>
          </cell>
          <cell r="L29">
            <v>235</v>
          </cell>
          <cell r="M29">
            <v>1129</v>
          </cell>
        </row>
        <row r="30">
          <cell r="B30">
            <v>25</v>
          </cell>
          <cell r="C30" t="str">
            <v>Jackson Parish</v>
          </cell>
          <cell r="D30">
            <v>192</v>
          </cell>
          <cell r="E30">
            <v>175</v>
          </cell>
          <cell r="F30">
            <v>367</v>
          </cell>
          <cell r="H30">
            <v>139</v>
          </cell>
          <cell r="I30">
            <v>14</v>
          </cell>
          <cell r="J30">
            <v>140</v>
          </cell>
          <cell r="K30">
            <v>155</v>
          </cell>
          <cell r="L30">
            <v>129</v>
          </cell>
          <cell r="M30">
            <v>577</v>
          </cell>
        </row>
        <row r="31">
          <cell r="B31">
            <v>26</v>
          </cell>
          <cell r="C31" t="str">
            <v>Jefferson Parish</v>
          </cell>
          <cell r="D31">
            <v>3532</v>
          </cell>
          <cell r="E31">
            <v>3302</v>
          </cell>
          <cell r="F31">
            <v>6834</v>
          </cell>
          <cell r="H31">
            <v>3398</v>
          </cell>
          <cell r="I31">
            <v>534</v>
          </cell>
          <cell r="J31">
            <v>3010</v>
          </cell>
          <cell r="K31">
            <v>2590</v>
          </cell>
          <cell r="L31">
            <v>2552</v>
          </cell>
          <cell r="M31">
            <v>12084</v>
          </cell>
        </row>
        <row r="32">
          <cell r="B32">
            <v>27</v>
          </cell>
          <cell r="C32" t="str">
            <v>Jefferson Davis Parish</v>
          </cell>
          <cell r="D32">
            <v>399</v>
          </cell>
          <cell r="E32">
            <v>456</v>
          </cell>
          <cell r="F32">
            <v>855</v>
          </cell>
          <cell r="H32">
            <v>454</v>
          </cell>
          <cell r="I32">
            <v>24</v>
          </cell>
          <cell r="J32">
            <v>392</v>
          </cell>
          <cell r="K32">
            <v>406</v>
          </cell>
          <cell r="L32">
            <v>358</v>
          </cell>
          <cell r="M32">
            <v>1634</v>
          </cell>
        </row>
        <row r="33">
          <cell r="B33">
            <v>28</v>
          </cell>
          <cell r="C33" t="str">
            <v>Lafayette Parish</v>
          </cell>
          <cell r="D33">
            <v>2274</v>
          </cell>
          <cell r="E33">
            <v>2239</v>
          </cell>
          <cell r="F33">
            <v>4513</v>
          </cell>
          <cell r="H33">
            <v>2657</v>
          </cell>
          <cell r="I33">
            <v>144</v>
          </cell>
          <cell r="J33">
            <v>2207</v>
          </cell>
          <cell r="K33">
            <v>2024</v>
          </cell>
          <cell r="L33">
            <v>1661</v>
          </cell>
          <cell r="M33">
            <v>8693</v>
          </cell>
        </row>
        <row r="34">
          <cell r="B34">
            <v>29</v>
          </cell>
          <cell r="C34" t="str">
            <v>Lafourche Parish</v>
          </cell>
          <cell r="D34">
            <v>1062</v>
          </cell>
          <cell r="E34">
            <v>956</v>
          </cell>
          <cell r="F34">
            <v>2018</v>
          </cell>
          <cell r="H34">
            <v>1207</v>
          </cell>
          <cell r="I34">
            <v>106</v>
          </cell>
          <cell r="J34">
            <v>1006</v>
          </cell>
          <cell r="K34">
            <v>891</v>
          </cell>
          <cell r="L34">
            <v>786</v>
          </cell>
          <cell r="M34">
            <v>3996</v>
          </cell>
        </row>
        <row r="35">
          <cell r="B35">
            <v>30</v>
          </cell>
          <cell r="C35" t="str">
            <v>LaSalle Parish</v>
          </cell>
          <cell r="D35">
            <v>196</v>
          </cell>
          <cell r="E35">
            <v>180</v>
          </cell>
          <cell r="F35">
            <v>376</v>
          </cell>
          <cell r="H35">
            <v>237</v>
          </cell>
          <cell r="I35">
            <v>0</v>
          </cell>
          <cell r="J35">
            <v>163</v>
          </cell>
          <cell r="K35">
            <v>195</v>
          </cell>
          <cell r="L35">
            <v>155</v>
          </cell>
          <cell r="M35">
            <v>750</v>
          </cell>
        </row>
        <row r="36">
          <cell r="B36">
            <v>31</v>
          </cell>
          <cell r="C36" t="str">
            <v>Lincoln Parish</v>
          </cell>
          <cell r="D36">
            <v>474</v>
          </cell>
          <cell r="E36">
            <v>496</v>
          </cell>
          <cell r="F36">
            <v>970</v>
          </cell>
          <cell r="H36">
            <v>553</v>
          </cell>
          <cell r="I36">
            <v>19</v>
          </cell>
          <cell r="J36">
            <v>456</v>
          </cell>
          <cell r="K36">
            <v>421</v>
          </cell>
          <cell r="L36">
            <v>399</v>
          </cell>
          <cell r="M36">
            <v>1848</v>
          </cell>
        </row>
        <row r="37">
          <cell r="B37">
            <v>32</v>
          </cell>
          <cell r="C37" t="str">
            <v>Livingston Parish</v>
          </cell>
          <cell r="D37">
            <v>1880</v>
          </cell>
          <cell r="E37">
            <v>2076</v>
          </cell>
          <cell r="F37">
            <v>3956</v>
          </cell>
          <cell r="H37">
            <v>1921</v>
          </cell>
          <cell r="I37">
            <v>104</v>
          </cell>
          <cell r="J37">
            <v>1918</v>
          </cell>
          <cell r="K37">
            <v>1549</v>
          </cell>
          <cell r="L37">
            <v>1483</v>
          </cell>
          <cell r="M37">
            <v>6975</v>
          </cell>
        </row>
        <row r="38">
          <cell r="B38">
            <v>33</v>
          </cell>
          <cell r="C38" t="str">
            <v>Madison Parish</v>
          </cell>
          <cell r="D38">
            <v>118</v>
          </cell>
          <cell r="E38">
            <v>139</v>
          </cell>
          <cell r="F38">
            <v>257</v>
          </cell>
          <cell r="H38">
            <v>139</v>
          </cell>
          <cell r="I38">
            <v>25</v>
          </cell>
          <cell r="J38">
            <v>117</v>
          </cell>
          <cell r="K38">
            <v>108</v>
          </cell>
          <cell r="L38">
            <v>115</v>
          </cell>
          <cell r="M38">
            <v>504</v>
          </cell>
        </row>
        <row r="39">
          <cell r="B39">
            <v>34</v>
          </cell>
          <cell r="C39" t="str">
            <v>Morehouse Parish</v>
          </cell>
          <cell r="D39">
            <v>375</v>
          </cell>
          <cell r="E39">
            <v>302</v>
          </cell>
          <cell r="F39">
            <v>677</v>
          </cell>
          <cell r="H39">
            <v>293</v>
          </cell>
          <cell r="I39">
            <v>32</v>
          </cell>
          <cell r="J39">
            <v>283</v>
          </cell>
          <cell r="K39">
            <v>265</v>
          </cell>
          <cell r="L39">
            <v>227</v>
          </cell>
          <cell r="M39">
            <v>1100</v>
          </cell>
        </row>
        <row r="40">
          <cell r="B40">
            <v>35</v>
          </cell>
          <cell r="C40" t="str">
            <v>Natchitoches Parish</v>
          </cell>
          <cell r="D40">
            <v>505</v>
          </cell>
          <cell r="E40">
            <v>476</v>
          </cell>
          <cell r="F40">
            <v>981</v>
          </cell>
          <cell r="H40">
            <v>451</v>
          </cell>
          <cell r="I40">
            <v>72</v>
          </cell>
          <cell r="J40">
            <v>413</v>
          </cell>
          <cell r="K40">
            <v>418</v>
          </cell>
          <cell r="L40">
            <v>385</v>
          </cell>
          <cell r="M40">
            <v>1739</v>
          </cell>
        </row>
        <row r="41">
          <cell r="B41">
            <v>36</v>
          </cell>
          <cell r="C41" t="str">
            <v>Orleans Parish</v>
          </cell>
          <cell r="D41">
            <v>776</v>
          </cell>
          <cell r="E41">
            <v>869</v>
          </cell>
          <cell r="F41">
            <v>1645</v>
          </cell>
          <cell r="H41">
            <v>1438</v>
          </cell>
          <cell r="I41">
            <v>65</v>
          </cell>
          <cell r="J41">
            <v>1395</v>
          </cell>
          <cell r="K41">
            <v>1343</v>
          </cell>
          <cell r="L41">
            <v>1138</v>
          </cell>
          <cell r="M41">
            <v>5379</v>
          </cell>
        </row>
        <row r="42">
          <cell r="B42">
            <v>37</v>
          </cell>
          <cell r="C42" t="str">
            <v>Ouachita Parish</v>
          </cell>
          <cell r="D42">
            <v>1542</v>
          </cell>
          <cell r="E42">
            <v>1594</v>
          </cell>
          <cell r="F42">
            <v>3136</v>
          </cell>
          <cell r="H42">
            <v>1514</v>
          </cell>
          <cell r="I42">
            <v>56</v>
          </cell>
          <cell r="J42">
            <v>1481</v>
          </cell>
          <cell r="K42">
            <v>1334</v>
          </cell>
          <cell r="L42">
            <v>1210</v>
          </cell>
          <cell r="M42">
            <v>5595</v>
          </cell>
        </row>
        <row r="43">
          <cell r="B43">
            <v>38</v>
          </cell>
          <cell r="C43" t="str">
            <v>Plaquemines Parish</v>
          </cell>
          <cell r="D43">
            <v>306</v>
          </cell>
          <cell r="E43">
            <v>289</v>
          </cell>
          <cell r="F43">
            <v>595</v>
          </cell>
          <cell r="H43">
            <v>321</v>
          </cell>
          <cell r="I43">
            <v>18</v>
          </cell>
          <cell r="J43">
            <v>313</v>
          </cell>
          <cell r="K43">
            <v>283</v>
          </cell>
          <cell r="L43">
            <v>260</v>
          </cell>
          <cell r="M43">
            <v>1195</v>
          </cell>
        </row>
        <row r="44">
          <cell r="B44">
            <v>39</v>
          </cell>
          <cell r="C44" t="str">
            <v>Pointe Coupee Parish</v>
          </cell>
          <cell r="D44">
            <v>216</v>
          </cell>
          <cell r="E44">
            <v>196</v>
          </cell>
          <cell r="F44">
            <v>412</v>
          </cell>
          <cell r="H44">
            <v>234</v>
          </cell>
          <cell r="I44">
            <v>24</v>
          </cell>
          <cell r="J44">
            <v>202</v>
          </cell>
          <cell r="K44">
            <v>149</v>
          </cell>
          <cell r="L44">
            <v>150</v>
          </cell>
          <cell r="M44">
            <v>759</v>
          </cell>
        </row>
        <row r="45">
          <cell r="B45">
            <v>40</v>
          </cell>
          <cell r="C45" t="str">
            <v>Rapides Parish</v>
          </cell>
          <cell r="D45">
            <v>1726</v>
          </cell>
          <cell r="E45">
            <v>1870</v>
          </cell>
          <cell r="F45">
            <v>3596</v>
          </cell>
          <cell r="H45">
            <v>1705</v>
          </cell>
          <cell r="I45">
            <v>365</v>
          </cell>
          <cell r="J45">
            <v>1622</v>
          </cell>
          <cell r="K45">
            <v>1390</v>
          </cell>
          <cell r="L45">
            <v>1293</v>
          </cell>
          <cell r="M45">
            <v>6375</v>
          </cell>
        </row>
        <row r="46">
          <cell r="B46">
            <v>41</v>
          </cell>
          <cell r="C46" t="str">
            <v>Red River Parish</v>
          </cell>
          <cell r="D46">
            <v>102</v>
          </cell>
          <cell r="E46">
            <v>128</v>
          </cell>
          <cell r="F46">
            <v>230</v>
          </cell>
          <cell r="H46">
            <v>118</v>
          </cell>
          <cell r="I46">
            <v>26</v>
          </cell>
          <cell r="J46">
            <v>76</v>
          </cell>
          <cell r="K46">
            <v>69</v>
          </cell>
          <cell r="L46">
            <v>82</v>
          </cell>
          <cell r="M46">
            <v>371</v>
          </cell>
        </row>
        <row r="47">
          <cell r="B47">
            <v>42</v>
          </cell>
          <cell r="C47" t="str">
            <v>Richland Parish</v>
          </cell>
          <cell r="D47">
            <v>212</v>
          </cell>
          <cell r="E47">
            <v>289</v>
          </cell>
          <cell r="F47">
            <v>501</v>
          </cell>
          <cell r="H47">
            <v>249</v>
          </cell>
          <cell r="I47">
            <v>23</v>
          </cell>
          <cell r="J47">
            <v>230</v>
          </cell>
          <cell r="K47">
            <v>198</v>
          </cell>
          <cell r="L47">
            <v>193</v>
          </cell>
          <cell r="M47">
            <v>893</v>
          </cell>
        </row>
        <row r="48">
          <cell r="B48">
            <v>43</v>
          </cell>
          <cell r="C48" t="str">
            <v>Sabine Parish</v>
          </cell>
          <cell r="D48">
            <v>303</v>
          </cell>
          <cell r="E48">
            <v>300</v>
          </cell>
          <cell r="F48">
            <v>603</v>
          </cell>
          <cell r="H48">
            <v>315</v>
          </cell>
          <cell r="I48">
            <v>3</v>
          </cell>
          <cell r="J48">
            <v>297</v>
          </cell>
          <cell r="K48">
            <v>271</v>
          </cell>
          <cell r="L48">
            <v>227</v>
          </cell>
          <cell r="M48">
            <v>1113</v>
          </cell>
        </row>
        <row r="49">
          <cell r="B49">
            <v>44</v>
          </cell>
          <cell r="C49" t="str">
            <v>St. Bernard Parish</v>
          </cell>
          <cell r="D49">
            <v>553</v>
          </cell>
          <cell r="E49">
            <v>468</v>
          </cell>
          <cell r="F49">
            <v>1021</v>
          </cell>
          <cell r="H49">
            <v>485</v>
          </cell>
          <cell r="I49">
            <v>41</v>
          </cell>
          <cell r="J49">
            <v>455</v>
          </cell>
          <cell r="K49">
            <v>428</v>
          </cell>
          <cell r="L49">
            <v>385</v>
          </cell>
          <cell r="M49">
            <v>1794</v>
          </cell>
        </row>
        <row r="50">
          <cell r="B50">
            <v>45</v>
          </cell>
          <cell r="C50" t="str">
            <v>St. Charles Parish</v>
          </cell>
          <cell r="D50">
            <v>676</v>
          </cell>
          <cell r="E50">
            <v>765</v>
          </cell>
          <cell r="F50">
            <v>1441</v>
          </cell>
          <cell r="H50">
            <v>819</v>
          </cell>
          <cell r="I50">
            <v>20</v>
          </cell>
          <cell r="J50">
            <v>692</v>
          </cell>
          <cell r="K50">
            <v>722</v>
          </cell>
          <cell r="L50">
            <v>689</v>
          </cell>
          <cell r="M50">
            <v>2942</v>
          </cell>
        </row>
        <row r="51">
          <cell r="B51">
            <v>46</v>
          </cell>
          <cell r="C51" t="str">
            <v>St. Helena Parish</v>
          </cell>
          <cell r="D51">
            <v>66</v>
          </cell>
          <cell r="E51">
            <v>65</v>
          </cell>
          <cell r="F51">
            <v>131</v>
          </cell>
          <cell r="H51">
            <v>77</v>
          </cell>
          <cell r="I51">
            <v>0</v>
          </cell>
          <cell r="J51">
            <v>86</v>
          </cell>
          <cell r="K51">
            <v>68</v>
          </cell>
          <cell r="L51">
            <v>71</v>
          </cell>
          <cell r="M51">
            <v>302</v>
          </cell>
        </row>
        <row r="52">
          <cell r="B52">
            <v>47</v>
          </cell>
          <cell r="C52" t="str">
            <v>St. James Parish</v>
          </cell>
          <cell r="D52">
            <v>282</v>
          </cell>
          <cell r="E52">
            <v>285</v>
          </cell>
          <cell r="F52">
            <v>567</v>
          </cell>
          <cell r="H52">
            <v>292</v>
          </cell>
          <cell r="I52">
            <v>30</v>
          </cell>
          <cell r="J52">
            <v>257</v>
          </cell>
          <cell r="K52">
            <v>256</v>
          </cell>
          <cell r="L52">
            <v>231</v>
          </cell>
          <cell r="M52">
            <v>1066</v>
          </cell>
        </row>
        <row r="53">
          <cell r="B53">
            <v>48</v>
          </cell>
          <cell r="C53" t="str">
            <v>St. John the Baptist Parish</v>
          </cell>
          <cell r="D53">
            <v>469</v>
          </cell>
          <cell r="E53">
            <v>418</v>
          </cell>
          <cell r="F53">
            <v>887</v>
          </cell>
          <cell r="H53">
            <v>427</v>
          </cell>
          <cell r="I53">
            <v>31</v>
          </cell>
          <cell r="J53">
            <v>410</v>
          </cell>
          <cell r="K53">
            <v>345</v>
          </cell>
          <cell r="L53">
            <v>317</v>
          </cell>
          <cell r="M53">
            <v>1530</v>
          </cell>
        </row>
        <row r="54">
          <cell r="B54">
            <v>49</v>
          </cell>
          <cell r="C54" t="str">
            <v>St. Landry Parish</v>
          </cell>
          <cell r="D54">
            <v>1057</v>
          </cell>
          <cell r="E54">
            <v>982</v>
          </cell>
          <cell r="F54">
            <v>2039</v>
          </cell>
          <cell r="H54">
            <v>1220</v>
          </cell>
          <cell r="I54">
            <v>47</v>
          </cell>
          <cell r="J54">
            <v>958</v>
          </cell>
          <cell r="K54">
            <v>776</v>
          </cell>
          <cell r="L54">
            <v>700</v>
          </cell>
          <cell r="M54">
            <v>3701</v>
          </cell>
        </row>
        <row r="55">
          <cell r="B55">
            <v>50</v>
          </cell>
          <cell r="C55" t="str">
            <v>St. Martin Parish</v>
          </cell>
          <cell r="D55">
            <v>575</v>
          </cell>
          <cell r="E55">
            <v>588</v>
          </cell>
          <cell r="F55">
            <v>1163</v>
          </cell>
          <cell r="H55">
            <v>708</v>
          </cell>
          <cell r="I55">
            <v>23</v>
          </cell>
          <cell r="J55">
            <v>544</v>
          </cell>
          <cell r="K55">
            <v>563</v>
          </cell>
          <cell r="L55">
            <v>485</v>
          </cell>
          <cell r="M55">
            <v>2323</v>
          </cell>
        </row>
        <row r="56">
          <cell r="B56">
            <v>51</v>
          </cell>
          <cell r="C56" t="str">
            <v>St. Mary Parish</v>
          </cell>
          <cell r="D56">
            <v>679</v>
          </cell>
          <cell r="E56">
            <v>658</v>
          </cell>
          <cell r="F56">
            <v>1337</v>
          </cell>
          <cell r="H56">
            <v>776</v>
          </cell>
          <cell r="I56">
            <v>48</v>
          </cell>
          <cell r="J56">
            <v>680</v>
          </cell>
          <cell r="K56">
            <v>683</v>
          </cell>
          <cell r="L56">
            <v>590</v>
          </cell>
          <cell r="M56">
            <v>2777</v>
          </cell>
        </row>
        <row r="57">
          <cell r="B57">
            <v>52</v>
          </cell>
          <cell r="C57" t="str">
            <v>St. Tammany Parish</v>
          </cell>
          <cell r="D57">
            <v>2979</v>
          </cell>
          <cell r="E57">
            <v>2873</v>
          </cell>
          <cell r="F57">
            <v>5852</v>
          </cell>
          <cell r="H57">
            <v>3024</v>
          </cell>
          <cell r="I57">
            <v>98</v>
          </cell>
          <cell r="J57">
            <v>2776</v>
          </cell>
          <cell r="K57">
            <v>2616</v>
          </cell>
          <cell r="L57">
            <v>2416</v>
          </cell>
          <cell r="M57">
            <v>10930</v>
          </cell>
        </row>
        <row r="58">
          <cell r="B58">
            <v>53</v>
          </cell>
          <cell r="C58" t="str">
            <v>Tangipahoa Parish</v>
          </cell>
          <cell r="D58">
            <v>1459</v>
          </cell>
          <cell r="E58">
            <v>1461</v>
          </cell>
          <cell r="F58">
            <v>2920</v>
          </cell>
          <cell r="H58">
            <v>1612</v>
          </cell>
          <cell r="I58">
            <v>154</v>
          </cell>
          <cell r="J58">
            <v>1446</v>
          </cell>
          <cell r="K58">
            <v>1262</v>
          </cell>
          <cell r="L58">
            <v>1155</v>
          </cell>
          <cell r="M58">
            <v>5629</v>
          </cell>
        </row>
        <row r="59">
          <cell r="B59">
            <v>54</v>
          </cell>
          <cell r="C59" t="str">
            <v>Tensas Parish</v>
          </cell>
          <cell r="D59">
            <v>61</v>
          </cell>
          <cell r="E59">
            <v>57</v>
          </cell>
          <cell r="F59">
            <v>118</v>
          </cell>
          <cell r="H59">
            <v>47</v>
          </cell>
          <cell r="I59">
            <v>8</v>
          </cell>
          <cell r="J59">
            <v>49</v>
          </cell>
          <cell r="K59">
            <v>35</v>
          </cell>
          <cell r="L59">
            <v>31</v>
          </cell>
          <cell r="M59">
            <v>170</v>
          </cell>
        </row>
        <row r="60">
          <cell r="B60">
            <v>55</v>
          </cell>
          <cell r="C60" t="str">
            <v>Terrebonne Parish</v>
          </cell>
          <cell r="D60">
            <v>1312</v>
          </cell>
          <cell r="E60">
            <v>1345</v>
          </cell>
          <cell r="F60">
            <v>2657</v>
          </cell>
          <cell r="H60">
            <v>1484</v>
          </cell>
          <cell r="I60">
            <v>50</v>
          </cell>
          <cell r="J60">
            <v>1149</v>
          </cell>
          <cell r="K60">
            <v>1095</v>
          </cell>
          <cell r="L60">
            <v>995</v>
          </cell>
          <cell r="M60">
            <v>4773</v>
          </cell>
        </row>
        <row r="61">
          <cell r="B61">
            <v>56</v>
          </cell>
          <cell r="C61" t="str">
            <v>Union Parish</v>
          </cell>
          <cell r="D61">
            <v>176</v>
          </cell>
          <cell r="E61">
            <v>186</v>
          </cell>
          <cell r="F61">
            <v>362</v>
          </cell>
          <cell r="H61">
            <v>180</v>
          </cell>
          <cell r="I61">
            <v>22</v>
          </cell>
          <cell r="J61">
            <v>176</v>
          </cell>
          <cell r="K61">
            <v>138</v>
          </cell>
          <cell r="L61">
            <v>149</v>
          </cell>
          <cell r="M61">
            <v>665</v>
          </cell>
        </row>
        <row r="62">
          <cell r="B62">
            <v>57</v>
          </cell>
          <cell r="C62" t="str">
            <v>Vermilion Parish</v>
          </cell>
          <cell r="D62">
            <v>698</v>
          </cell>
          <cell r="E62">
            <v>697</v>
          </cell>
          <cell r="F62">
            <v>1395</v>
          </cell>
          <cell r="H62">
            <v>740</v>
          </cell>
          <cell r="I62">
            <v>17</v>
          </cell>
          <cell r="J62">
            <v>667</v>
          </cell>
          <cell r="K62">
            <v>573</v>
          </cell>
          <cell r="L62">
            <v>495</v>
          </cell>
          <cell r="M62">
            <v>2492</v>
          </cell>
        </row>
        <row r="63">
          <cell r="B63">
            <v>58</v>
          </cell>
          <cell r="C63" t="str">
            <v>Vernon Parish</v>
          </cell>
          <cell r="D63">
            <v>649</v>
          </cell>
          <cell r="E63">
            <v>680</v>
          </cell>
          <cell r="F63">
            <v>1329</v>
          </cell>
          <cell r="H63">
            <v>581</v>
          </cell>
          <cell r="I63">
            <v>11</v>
          </cell>
          <cell r="J63">
            <v>618</v>
          </cell>
          <cell r="K63">
            <v>527</v>
          </cell>
          <cell r="L63">
            <v>518</v>
          </cell>
          <cell r="M63">
            <v>2255</v>
          </cell>
        </row>
        <row r="64">
          <cell r="B64">
            <v>59</v>
          </cell>
          <cell r="C64" t="str">
            <v>Washington Parish</v>
          </cell>
          <cell r="D64">
            <v>407</v>
          </cell>
          <cell r="E64">
            <v>416</v>
          </cell>
          <cell r="F64">
            <v>823</v>
          </cell>
          <cell r="H64">
            <v>394</v>
          </cell>
          <cell r="I64">
            <v>52</v>
          </cell>
          <cell r="J64">
            <v>386</v>
          </cell>
          <cell r="K64">
            <v>363</v>
          </cell>
          <cell r="L64">
            <v>313</v>
          </cell>
          <cell r="M64">
            <v>1508</v>
          </cell>
        </row>
        <row r="65">
          <cell r="B65">
            <v>60</v>
          </cell>
          <cell r="C65" t="str">
            <v>Webster Parish</v>
          </cell>
          <cell r="D65">
            <v>508</v>
          </cell>
          <cell r="E65">
            <v>541</v>
          </cell>
          <cell r="F65">
            <v>1049</v>
          </cell>
          <cell r="H65">
            <v>483</v>
          </cell>
          <cell r="I65">
            <v>30</v>
          </cell>
          <cell r="J65">
            <v>467</v>
          </cell>
          <cell r="K65">
            <v>406</v>
          </cell>
          <cell r="L65">
            <v>404</v>
          </cell>
          <cell r="M65">
            <v>1790</v>
          </cell>
        </row>
        <row r="66">
          <cell r="B66">
            <v>61</v>
          </cell>
          <cell r="C66" t="str">
            <v>West Baton Rouge Parish</v>
          </cell>
          <cell r="D66">
            <v>239</v>
          </cell>
          <cell r="E66">
            <v>256</v>
          </cell>
          <cell r="F66">
            <v>495</v>
          </cell>
          <cell r="H66">
            <v>286</v>
          </cell>
          <cell r="I66">
            <v>25</v>
          </cell>
          <cell r="J66">
            <v>270</v>
          </cell>
          <cell r="K66">
            <v>249</v>
          </cell>
          <cell r="L66">
            <v>207</v>
          </cell>
          <cell r="M66">
            <v>1037</v>
          </cell>
        </row>
        <row r="67">
          <cell r="B67">
            <v>62</v>
          </cell>
          <cell r="C67" t="str">
            <v>West Carroll Parish</v>
          </cell>
          <cell r="D67">
            <v>174</v>
          </cell>
          <cell r="E67">
            <v>160</v>
          </cell>
          <cell r="F67">
            <v>334</v>
          </cell>
          <cell r="H67">
            <v>144</v>
          </cell>
          <cell r="I67">
            <v>12</v>
          </cell>
          <cell r="J67">
            <v>139</v>
          </cell>
          <cell r="K67">
            <v>117</v>
          </cell>
          <cell r="L67">
            <v>122</v>
          </cell>
          <cell r="M67">
            <v>534</v>
          </cell>
        </row>
        <row r="68">
          <cell r="B68">
            <v>63</v>
          </cell>
          <cell r="C68" t="str">
            <v>West Feliciana Parish</v>
          </cell>
          <cell r="D68">
            <v>149</v>
          </cell>
          <cell r="E68">
            <v>158</v>
          </cell>
          <cell r="F68">
            <v>307</v>
          </cell>
          <cell r="H68">
            <v>176</v>
          </cell>
          <cell r="I68">
            <v>12</v>
          </cell>
          <cell r="J68">
            <v>155</v>
          </cell>
          <cell r="K68">
            <v>132</v>
          </cell>
          <cell r="L68">
            <v>129</v>
          </cell>
          <cell r="M68">
            <v>604</v>
          </cell>
        </row>
        <row r="69">
          <cell r="B69">
            <v>64</v>
          </cell>
          <cell r="C69" t="str">
            <v>Winn Parish</v>
          </cell>
          <cell r="D69">
            <v>185</v>
          </cell>
          <cell r="E69">
            <v>165</v>
          </cell>
          <cell r="F69">
            <v>350</v>
          </cell>
          <cell r="H69">
            <v>176</v>
          </cell>
          <cell r="I69">
            <v>28</v>
          </cell>
          <cell r="J69">
            <v>193</v>
          </cell>
          <cell r="K69">
            <v>160</v>
          </cell>
          <cell r="L69">
            <v>140</v>
          </cell>
          <cell r="M69">
            <v>697</v>
          </cell>
        </row>
        <row r="70">
          <cell r="B70">
            <v>65</v>
          </cell>
          <cell r="C70" t="str">
            <v>City of Monroe School District</v>
          </cell>
          <cell r="D70">
            <v>583</v>
          </cell>
          <cell r="E70">
            <v>582</v>
          </cell>
          <cell r="F70">
            <v>1165</v>
          </cell>
          <cell r="H70">
            <v>591</v>
          </cell>
          <cell r="I70">
            <v>130</v>
          </cell>
          <cell r="J70">
            <v>483</v>
          </cell>
          <cell r="K70">
            <v>414</v>
          </cell>
          <cell r="L70">
            <v>441</v>
          </cell>
          <cell r="M70">
            <v>2059</v>
          </cell>
        </row>
        <row r="71">
          <cell r="B71">
            <v>66</v>
          </cell>
          <cell r="C71" t="str">
            <v>City of Bogalusa School District</v>
          </cell>
          <cell r="D71">
            <v>155</v>
          </cell>
          <cell r="E71">
            <v>166</v>
          </cell>
          <cell r="F71">
            <v>321</v>
          </cell>
          <cell r="H71">
            <v>137</v>
          </cell>
          <cell r="I71">
            <v>4</v>
          </cell>
          <cell r="J71">
            <v>93</v>
          </cell>
          <cell r="K71">
            <v>122</v>
          </cell>
          <cell r="L71">
            <v>98</v>
          </cell>
          <cell r="M71">
            <v>454</v>
          </cell>
        </row>
        <row r="72">
          <cell r="B72">
            <v>67</v>
          </cell>
          <cell r="C72" t="str">
            <v>Zachary Community School District</v>
          </cell>
          <cell r="D72">
            <v>411</v>
          </cell>
          <cell r="E72">
            <v>415</v>
          </cell>
          <cell r="F72">
            <v>826</v>
          </cell>
          <cell r="H72">
            <v>428</v>
          </cell>
          <cell r="I72">
            <v>23</v>
          </cell>
          <cell r="J72">
            <v>406</v>
          </cell>
          <cell r="K72">
            <v>374</v>
          </cell>
          <cell r="L72">
            <v>346</v>
          </cell>
          <cell r="M72">
            <v>1577</v>
          </cell>
        </row>
        <row r="73">
          <cell r="B73">
            <v>68</v>
          </cell>
          <cell r="C73" t="str">
            <v>City of Baker School District</v>
          </cell>
          <cell r="D73">
            <v>116</v>
          </cell>
          <cell r="E73">
            <v>127</v>
          </cell>
          <cell r="F73">
            <v>243</v>
          </cell>
          <cell r="H73">
            <v>136</v>
          </cell>
          <cell r="I73">
            <v>10</v>
          </cell>
          <cell r="J73">
            <v>121</v>
          </cell>
          <cell r="K73">
            <v>123</v>
          </cell>
          <cell r="L73">
            <v>92</v>
          </cell>
          <cell r="M73">
            <v>482</v>
          </cell>
        </row>
        <row r="74">
          <cell r="B74">
            <v>69</v>
          </cell>
          <cell r="C74" t="str">
            <v>Central Community School District</v>
          </cell>
          <cell r="D74">
            <v>318</v>
          </cell>
          <cell r="E74">
            <v>316</v>
          </cell>
          <cell r="F74">
            <v>634</v>
          </cell>
          <cell r="H74">
            <v>360</v>
          </cell>
          <cell r="I74">
            <v>8</v>
          </cell>
          <cell r="J74">
            <v>363</v>
          </cell>
          <cell r="K74">
            <v>301</v>
          </cell>
          <cell r="L74">
            <v>278</v>
          </cell>
          <cell r="M74">
            <v>1310</v>
          </cell>
        </row>
      </sheetData>
      <sheetData sheetId="3">
        <row r="6">
          <cell r="B6">
            <v>300001</v>
          </cell>
          <cell r="C6" t="str">
            <v>Pierre A. Capdau Learning Academy</v>
          </cell>
          <cell r="D6">
            <v>39</v>
          </cell>
          <cell r="E6">
            <v>50</v>
          </cell>
          <cell r="F6">
            <v>89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B7">
            <v>300002</v>
          </cell>
          <cell r="C7" t="str">
            <v>Nelson Elementary School</v>
          </cell>
          <cell r="D7">
            <v>48</v>
          </cell>
          <cell r="E7">
            <v>49</v>
          </cell>
          <cell r="F7">
            <v>97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>
            <v>300003</v>
          </cell>
          <cell r="C8" t="str">
            <v>Lake Area New Tech Early College High School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206</v>
          </cell>
          <cell r="I8">
            <v>0</v>
          </cell>
          <cell r="J8">
            <v>201</v>
          </cell>
          <cell r="K8">
            <v>149</v>
          </cell>
          <cell r="L8">
            <v>142</v>
          </cell>
          <cell r="M8">
            <v>698</v>
          </cell>
        </row>
        <row r="9">
          <cell r="B9">
            <v>300004</v>
          </cell>
          <cell r="C9" t="str">
            <v>Gentilly Terrace Elementary School</v>
          </cell>
          <cell r="D9">
            <v>47</v>
          </cell>
          <cell r="E9">
            <v>52</v>
          </cell>
          <cell r="F9">
            <v>99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302006</v>
          </cell>
          <cell r="C10" t="str">
            <v>Louisiana School for Math Science &amp; the Arts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78</v>
          </cell>
          <cell r="K10">
            <v>124</v>
          </cell>
          <cell r="L10">
            <v>106</v>
          </cell>
          <cell r="M10">
            <v>308</v>
          </cell>
        </row>
        <row r="11">
          <cell r="B11">
            <v>318001</v>
          </cell>
          <cell r="C11" t="str">
            <v>LSU Laboratory School</v>
          </cell>
          <cell r="D11">
            <v>112</v>
          </cell>
          <cell r="E11">
            <v>113</v>
          </cell>
          <cell r="F11">
            <v>225</v>
          </cell>
          <cell r="G11">
            <v>0</v>
          </cell>
          <cell r="H11">
            <v>114</v>
          </cell>
          <cell r="I11">
            <v>0</v>
          </cell>
          <cell r="J11">
            <v>114</v>
          </cell>
          <cell r="K11">
            <v>111</v>
          </cell>
          <cell r="L11">
            <v>109</v>
          </cell>
          <cell r="M11">
            <v>448</v>
          </cell>
        </row>
        <row r="12">
          <cell r="B12">
            <v>319001</v>
          </cell>
          <cell r="C12" t="str">
            <v>Southern University Lab School</v>
          </cell>
          <cell r="D12">
            <v>47</v>
          </cell>
          <cell r="E12">
            <v>62</v>
          </cell>
          <cell r="F12">
            <v>109</v>
          </cell>
          <cell r="G12">
            <v>0</v>
          </cell>
          <cell r="H12">
            <v>107</v>
          </cell>
          <cell r="I12">
            <v>0</v>
          </cell>
          <cell r="J12">
            <v>122</v>
          </cell>
          <cell r="K12">
            <v>113</v>
          </cell>
          <cell r="L12">
            <v>54</v>
          </cell>
          <cell r="M12">
            <v>396</v>
          </cell>
        </row>
        <row r="13">
          <cell r="B13">
            <v>321001</v>
          </cell>
          <cell r="C13" t="str">
            <v>New Vision Learning Academy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328001</v>
          </cell>
          <cell r="C14" t="str">
            <v>Southwest Louisiana Charter School</v>
          </cell>
          <cell r="D14">
            <v>86</v>
          </cell>
          <cell r="E14">
            <v>81</v>
          </cell>
          <cell r="F14">
            <v>167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328002</v>
          </cell>
          <cell r="C15" t="str">
            <v>Lake Charles College Prep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96</v>
          </cell>
          <cell r="I15">
            <v>7</v>
          </cell>
          <cell r="J15">
            <v>0</v>
          </cell>
          <cell r="K15">
            <v>0</v>
          </cell>
          <cell r="L15">
            <v>0</v>
          </cell>
          <cell r="M15">
            <v>103</v>
          </cell>
        </row>
        <row r="16">
          <cell r="B16">
            <v>329001</v>
          </cell>
          <cell r="C16" t="str">
            <v>V. B. Glencoe Charter School</v>
          </cell>
          <cell r="D16">
            <v>44</v>
          </cell>
          <cell r="E16">
            <v>43</v>
          </cell>
          <cell r="F16">
            <v>87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>
            <v>331001</v>
          </cell>
          <cell r="C17" t="str">
            <v>International School of Louisiana</v>
          </cell>
          <cell r="D17">
            <v>63</v>
          </cell>
          <cell r="E17">
            <v>38</v>
          </cell>
          <cell r="F17">
            <v>101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>
            <v>333001</v>
          </cell>
          <cell r="C18" t="str">
            <v>Avoyelles Public Charter School</v>
          </cell>
          <cell r="D18">
            <v>55</v>
          </cell>
          <cell r="E18">
            <v>50</v>
          </cell>
          <cell r="F18">
            <v>105</v>
          </cell>
          <cell r="H18">
            <v>61</v>
          </cell>
          <cell r="I18">
            <v>0</v>
          </cell>
          <cell r="J18">
            <v>59</v>
          </cell>
          <cell r="K18">
            <v>57</v>
          </cell>
          <cell r="L18">
            <v>49</v>
          </cell>
          <cell r="M18">
            <v>226</v>
          </cell>
        </row>
        <row r="19">
          <cell r="B19">
            <v>334001</v>
          </cell>
          <cell r="C19" t="str">
            <v>New Orleans Center for Creative Arts</v>
          </cell>
          <cell r="D19">
            <v>0</v>
          </cell>
          <cell r="E19">
            <v>0</v>
          </cell>
          <cell r="F19">
            <v>0</v>
          </cell>
          <cell r="H19">
            <v>72</v>
          </cell>
          <cell r="I19">
            <v>0</v>
          </cell>
          <cell r="J19">
            <v>64</v>
          </cell>
          <cell r="K19">
            <v>61</v>
          </cell>
          <cell r="L19">
            <v>45</v>
          </cell>
          <cell r="M19">
            <v>242</v>
          </cell>
        </row>
        <row r="20">
          <cell r="B20">
            <v>336001</v>
          </cell>
          <cell r="C20" t="str">
            <v>Delhi Charter School</v>
          </cell>
          <cell r="D20">
            <v>74</v>
          </cell>
          <cell r="E20">
            <v>64</v>
          </cell>
          <cell r="F20">
            <v>138</v>
          </cell>
          <cell r="H20">
            <v>65</v>
          </cell>
          <cell r="I20">
            <v>4</v>
          </cell>
          <cell r="J20">
            <v>56</v>
          </cell>
          <cell r="K20">
            <v>52</v>
          </cell>
          <cell r="L20">
            <v>53</v>
          </cell>
          <cell r="M20">
            <v>230</v>
          </cell>
        </row>
        <row r="21">
          <cell r="B21">
            <v>337001</v>
          </cell>
          <cell r="C21" t="str">
            <v>Belle Chasse Academy</v>
          </cell>
          <cell r="D21">
            <v>98</v>
          </cell>
          <cell r="E21">
            <v>87</v>
          </cell>
          <cell r="F21">
            <v>185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339001</v>
          </cell>
          <cell r="C22" t="str">
            <v>Milestone Academy</v>
          </cell>
          <cell r="D22">
            <v>52</v>
          </cell>
          <cell r="E22">
            <v>44</v>
          </cell>
          <cell r="F22">
            <v>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340001</v>
          </cell>
          <cell r="C23" t="str">
            <v>Max Charter Alternative Education</v>
          </cell>
          <cell r="D23">
            <v>16</v>
          </cell>
          <cell r="E23">
            <v>15</v>
          </cell>
          <cell r="F23">
            <v>31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341001</v>
          </cell>
          <cell r="C24" t="str">
            <v>D'Arbonne Woods Charter School</v>
          </cell>
          <cell r="D24">
            <v>76</v>
          </cell>
          <cell r="E24">
            <v>55</v>
          </cell>
          <cell r="F24">
            <v>131</v>
          </cell>
          <cell r="H24">
            <v>53</v>
          </cell>
          <cell r="I24">
            <v>3</v>
          </cell>
          <cell r="J24">
            <v>43</v>
          </cell>
          <cell r="K24">
            <v>38</v>
          </cell>
          <cell r="L24">
            <v>0</v>
          </cell>
          <cell r="M24">
            <v>137</v>
          </cell>
        </row>
        <row r="25">
          <cell r="B25">
            <v>343001</v>
          </cell>
          <cell r="C25" t="str">
            <v>Madison Preparatory Academy</v>
          </cell>
          <cell r="D25">
            <v>0</v>
          </cell>
          <cell r="E25">
            <v>0</v>
          </cell>
          <cell r="F25">
            <v>0</v>
          </cell>
          <cell r="H25">
            <v>92</v>
          </cell>
          <cell r="I25">
            <v>15</v>
          </cell>
          <cell r="J25">
            <v>93</v>
          </cell>
          <cell r="K25">
            <v>75</v>
          </cell>
          <cell r="L25">
            <v>71</v>
          </cell>
          <cell r="M25">
            <v>346</v>
          </cell>
        </row>
        <row r="26">
          <cell r="B26">
            <v>343002</v>
          </cell>
          <cell r="C26" t="str">
            <v>Louisiana Virtual Charter Academy</v>
          </cell>
          <cell r="D26">
            <v>237</v>
          </cell>
          <cell r="E26">
            <v>224</v>
          </cell>
          <cell r="F26">
            <v>461</v>
          </cell>
          <cell r="H26">
            <v>184</v>
          </cell>
          <cell r="I26">
            <v>16</v>
          </cell>
          <cell r="J26">
            <v>173</v>
          </cell>
          <cell r="K26">
            <v>118</v>
          </cell>
          <cell r="L26">
            <v>65</v>
          </cell>
          <cell r="M26">
            <v>556</v>
          </cell>
        </row>
        <row r="27">
          <cell r="B27">
            <v>344001</v>
          </cell>
          <cell r="C27" t="str">
            <v>International High School of New Orleans</v>
          </cell>
          <cell r="D27">
            <v>0</v>
          </cell>
          <cell r="E27">
            <v>0</v>
          </cell>
          <cell r="F27">
            <v>0</v>
          </cell>
          <cell r="H27">
            <v>191</v>
          </cell>
          <cell r="I27">
            <v>0</v>
          </cell>
          <cell r="J27">
            <v>144</v>
          </cell>
          <cell r="K27">
            <v>114</v>
          </cell>
          <cell r="L27">
            <v>97</v>
          </cell>
          <cell r="M27">
            <v>546</v>
          </cell>
        </row>
        <row r="28">
          <cell r="B28">
            <v>345001</v>
          </cell>
          <cell r="C28" t="str">
            <v>Louisiana Connections Academy</v>
          </cell>
          <cell r="D28">
            <v>160</v>
          </cell>
          <cell r="E28">
            <v>179</v>
          </cell>
          <cell r="F28">
            <v>339</v>
          </cell>
          <cell r="H28">
            <v>213</v>
          </cell>
          <cell r="I28">
            <v>24</v>
          </cell>
          <cell r="J28">
            <v>223</v>
          </cell>
          <cell r="K28">
            <v>182</v>
          </cell>
          <cell r="L28">
            <v>172</v>
          </cell>
          <cell r="M28">
            <v>814</v>
          </cell>
        </row>
        <row r="29">
          <cell r="B29">
            <v>346001</v>
          </cell>
          <cell r="C29" t="str">
            <v>Lake Charles Charter Academy</v>
          </cell>
          <cell r="D29">
            <v>103</v>
          </cell>
          <cell r="E29">
            <v>98</v>
          </cell>
          <cell r="F29">
            <v>201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347001</v>
          </cell>
          <cell r="C30" t="str">
            <v>Lycee Francais de la Nouvelle-Orleans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348001</v>
          </cell>
          <cell r="C31" t="str">
            <v>New Orleans Military/Maritime Academy</v>
          </cell>
          <cell r="D31">
            <v>0</v>
          </cell>
          <cell r="E31">
            <v>0</v>
          </cell>
          <cell r="F31">
            <v>0</v>
          </cell>
          <cell r="H31">
            <v>187</v>
          </cell>
          <cell r="I31">
            <v>0</v>
          </cell>
          <cell r="J31">
            <v>165</v>
          </cell>
          <cell r="K31">
            <v>117</v>
          </cell>
          <cell r="L31">
            <v>71</v>
          </cell>
          <cell r="M31">
            <v>540</v>
          </cell>
        </row>
        <row r="32">
          <cell r="B32">
            <v>349001</v>
          </cell>
          <cell r="C32" t="str">
            <v>JS Clark Leadership Academy</v>
          </cell>
          <cell r="D32">
            <v>59</v>
          </cell>
          <cell r="E32">
            <v>61</v>
          </cell>
          <cell r="F32">
            <v>120</v>
          </cell>
          <cell r="H32">
            <v>42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42</v>
          </cell>
        </row>
        <row r="33">
          <cell r="B33">
            <v>360001</v>
          </cell>
          <cell r="C33" t="str">
            <v>The NET Charter High School</v>
          </cell>
          <cell r="D33">
            <v>0</v>
          </cell>
          <cell r="E33">
            <v>0</v>
          </cell>
          <cell r="F33">
            <v>0</v>
          </cell>
          <cell r="H33">
            <v>43</v>
          </cell>
          <cell r="I33">
            <v>4</v>
          </cell>
          <cell r="J33">
            <v>37</v>
          </cell>
          <cell r="K33">
            <v>40</v>
          </cell>
          <cell r="L33">
            <v>40</v>
          </cell>
          <cell r="M33">
            <v>164</v>
          </cell>
        </row>
        <row r="34">
          <cell r="B34">
            <v>361001</v>
          </cell>
          <cell r="C34" t="str">
            <v>Crescent Leadership Academy</v>
          </cell>
          <cell r="D34">
            <v>4</v>
          </cell>
          <cell r="E34">
            <v>20</v>
          </cell>
          <cell r="F34">
            <v>24</v>
          </cell>
          <cell r="H34">
            <v>33</v>
          </cell>
          <cell r="I34">
            <v>0</v>
          </cell>
          <cell r="J34">
            <v>41</v>
          </cell>
          <cell r="K34">
            <v>35</v>
          </cell>
          <cell r="L34">
            <v>29</v>
          </cell>
          <cell r="M34">
            <v>138</v>
          </cell>
        </row>
        <row r="35">
          <cell r="B35">
            <v>363001</v>
          </cell>
          <cell r="C35" t="str">
            <v>Harriet Tubman Charter School</v>
          </cell>
          <cell r="D35">
            <v>59</v>
          </cell>
          <cell r="E35">
            <v>64</v>
          </cell>
          <cell r="F35">
            <v>123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363002</v>
          </cell>
          <cell r="C36" t="str">
            <v>Paul Habans Charter School</v>
          </cell>
          <cell r="D36">
            <v>31</v>
          </cell>
          <cell r="E36">
            <v>0</v>
          </cell>
          <cell r="F36">
            <v>31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364001</v>
          </cell>
          <cell r="C37" t="str">
            <v>Fannie C. Williams Charter School</v>
          </cell>
          <cell r="D37">
            <v>49</v>
          </cell>
          <cell r="E37">
            <v>48</v>
          </cell>
          <cell r="F37">
            <v>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366001</v>
          </cell>
          <cell r="C38" t="str">
            <v>Lagniappe Academy of New Orleans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367001</v>
          </cell>
          <cell r="C39" t="str">
            <v>Edgar P. Harney Spirit of Excellence Academy</v>
          </cell>
          <cell r="D39">
            <v>32</v>
          </cell>
          <cell r="E39">
            <v>33</v>
          </cell>
          <cell r="F39">
            <v>65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>
            <v>368001</v>
          </cell>
          <cell r="C40" t="str">
            <v>Morris Jeff Community School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>
            <v>369001</v>
          </cell>
          <cell r="C41" t="str">
            <v>ReNEW Cultural Arts Academy at Live Oak Elementary</v>
          </cell>
          <cell r="D41">
            <v>90</v>
          </cell>
          <cell r="E41">
            <v>66</v>
          </cell>
          <cell r="F41">
            <v>156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>
            <v>369002</v>
          </cell>
          <cell r="C42" t="str">
            <v>ReNEW SciTech Academy at Laurel</v>
          </cell>
          <cell r="D42">
            <v>59</v>
          </cell>
          <cell r="E42">
            <v>49</v>
          </cell>
          <cell r="F42">
            <v>108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B43">
            <v>369003</v>
          </cell>
          <cell r="C43" t="str">
            <v>ReNEW Dolores T. Aaron Elementary</v>
          </cell>
          <cell r="D43">
            <v>87</v>
          </cell>
          <cell r="E43">
            <v>60</v>
          </cell>
          <cell r="F43">
            <v>147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>
            <v>369004</v>
          </cell>
          <cell r="C44" t="str">
            <v>ReNEW Accelerated High School City Park Campus</v>
          </cell>
          <cell r="D44">
            <v>0</v>
          </cell>
          <cell r="E44">
            <v>0</v>
          </cell>
          <cell r="F44">
            <v>0</v>
          </cell>
          <cell r="H44">
            <v>31</v>
          </cell>
          <cell r="I44">
            <v>0</v>
          </cell>
          <cell r="J44">
            <v>52</v>
          </cell>
          <cell r="K44">
            <v>40</v>
          </cell>
          <cell r="L44">
            <v>55</v>
          </cell>
          <cell r="M44">
            <v>178</v>
          </cell>
        </row>
        <row r="45">
          <cell r="B45">
            <v>369005</v>
          </cell>
          <cell r="C45" t="str">
            <v>ReNEW Accelerated High School West Bank Campus</v>
          </cell>
          <cell r="D45">
            <v>0</v>
          </cell>
          <cell r="E45">
            <v>0</v>
          </cell>
          <cell r="F45">
            <v>0</v>
          </cell>
          <cell r="H45">
            <v>18</v>
          </cell>
          <cell r="I45">
            <v>0</v>
          </cell>
          <cell r="J45">
            <v>32</v>
          </cell>
          <cell r="K45">
            <v>57</v>
          </cell>
          <cell r="L45">
            <v>56</v>
          </cell>
          <cell r="M45">
            <v>163</v>
          </cell>
        </row>
        <row r="46">
          <cell r="B46">
            <v>369006</v>
          </cell>
          <cell r="C46" t="str">
            <v>ReNEWSchaumburg Elementary</v>
          </cell>
          <cell r="D46">
            <v>81</v>
          </cell>
          <cell r="E46">
            <v>97</v>
          </cell>
          <cell r="F46">
            <v>178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>
            <v>369700</v>
          </cell>
          <cell r="C47" t="str">
            <v>RSD-ReNEW-Reinventing Education, Inc. Central Ofc.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371001</v>
          </cell>
          <cell r="C48" t="str">
            <v>Linwood Public Charter School</v>
          </cell>
          <cell r="D48">
            <v>151</v>
          </cell>
          <cell r="E48">
            <v>167</v>
          </cell>
          <cell r="F48">
            <v>318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>
            <v>373001</v>
          </cell>
          <cell r="C49" t="str">
            <v>Arise Academy</v>
          </cell>
          <cell r="D49">
            <v>48</v>
          </cell>
          <cell r="E49">
            <v>0</v>
          </cell>
          <cell r="F49">
            <v>48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>
            <v>373002</v>
          </cell>
          <cell r="C50" t="str">
            <v>Mildred Osborne Charter School</v>
          </cell>
          <cell r="D50">
            <v>54</v>
          </cell>
          <cell r="E50">
            <v>0</v>
          </cell>
          <cell r="F50">
            <v>54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>
            <v>374001</v>
          </cell>
          <cell r="C51" t="str">
            <v>Success Preparatory Academy</v>
          </cell>
          <cell r="D51">
            <v>47</v>
          </cell>
          <cell r="E51">
            <v>59</v>
          </cell>
          <cell r="F51">
            <v>106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>
            <v>381001</v>
          </cell>
          <cell r="C52" t="str">
            <v>Akili Academy of New Orleans</v>
          </cell>
          <cell r="D52">
            <v>49</v>
          </cell>
          <cell r="E52">
            <v>0</v>
          </cell>
          <cell r="F52">
            <v>49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>
            <v>382001</v>
          </cell>
          <cell r="C53" t="str">
            <v>Sci Academy</v>
          </cell>
          <cell r="D53">
            <v>0</v>
          </cell>
          <cell r="E53">
            <v>0</v>
          </cell>
          <cell r="F53">
            <v>0</v>
          </cell>
          <cell r="H53">
            <v>150</v>
          </cell>
          <cell r="I53">
            <v>0</v>
          </cell>
          <cell r="J53">
            <v>117</v>
          </cell>
          <cell r="K53">
            <v>90</v>
          </cell>
          <cell r="L53">
            <v>103</v>
          </cell>
          <cell r="M53">
            <v>460</v>
          </cell>
        </row>
        <row r="54">
          <cell r="B54">
            <v>382002</v>
          </cell>
          <cell r="C54" t="str">
            <v>G. W. Carver Collegiate Academy</v>
          </cell>
          <cell r="D54">
            <v>0</v>
          </cell>
          <cell r="E54">
            <v>0</v>
          </cell>
          <cell r="F54">
            <v>0</v>
          </cell>
          <cell r="H54">
            <v>137</v>
          </cell>
          <cell r="I54">
            <v>19</v>
          </cell>
          <cell r="J54">
            <v>69</v>
          </cell>
          <cell r="K54">
            <v>80</v>
          </cell>
          <cell r="L54">
            <v>0</v>
          </cell>
          <cell r="M54">
            <v>305</v>
          </cell>
        </row>
        <row r="55">
          <cell r="B55">
            <v>382003</v>
          </cell>
          <cell r="C55" t="str">
            <v>G. W. Carver Preparatory Academy</v>
          </cell>
          <cell r="D55">
            <v>0</v>
          </cell>
          <cell r="E55">
            <v>0</v>
          </cell>
          <cell r="F55">
            <v>0</v>
          </cell>
          <cell r="H55">
            <v>116</v>
          </cell>
          <cell r="I55">
            <v>24</v>
          </cell>
          <cell r="J55">
            <v>76</v>
          </cell>
          <cell r="K55">
            <v>71</v>
          </cell>
          <cell r="L55">
            <v>0</v>
          </cell>
          <cell r="M55">
            <v>287</v>
          </cell>
        </row>
        <row r="56">
          <cell r="B56">
            <v>384001</v>
          </cell>
          <cell r="C56" t="str">
            <v>Miller-McCoy Academy for Mathematics and Business</v>
          </cell>
          <cell r="D56">
            <v>50</v>
          </cell>
          <cell r="E56">
            <v>59</v>
          </cell>
          <cell r="F56">
            <v>109</v>
          </cell>
          <cell r="H56">
            <v>86</v>
          </cell>
          <cell r="I56">
            <v>0</v>
          </cell>
          <cell r="J56">
            <v>45</v>
          </cell>
          <cell r="K56">
            <v>37</v>
          </cell>
          <cell r="L56">
            <v>34</v>
          </cell>
          <cell r="M56">
            <v>202</v>
          </cell>
        </row>
        <row r="57">
          <cell r="B57">
            <v>385001</v>
          </cell>
          <cell r="C57" t="str">
            <v>Sylvanie Williams College Prep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B58">
            <v>385002</v>
          </cell>
          <cell r="C58" t="str">
            <v>Cohen College Prep</v>
          </cell>
          <cell r="D58">
            <v>51</v>
          </cell>
          <cell r="E58">
            <v>45</v>
          </cell>
          <cell r="F58">
            <v>96</v>
          </cell>
          <cell r="H58">
            <v>120</v>
          </cell>
          <cell r="I58">
            <v>3</v>
          </cell>
          <cell r="J58">
            <v>95</v>
          </cell>
          <cell r="K58">
            <v>63</v>
          </cell>
          <cell r="L58">
            <v>87</v>
          </cell>
          <cell r="M58">
            <v>368</v>
          </cell>
        </row>
        <row r="59">
          <cell r="B59">
            <v>385003</v>
          </cell>
          <cell r="C59" t="str">
            <v>Lawrence D. Crocker College Prep</v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B60">
            <v>388001</v>
          </cell>
          <cell r="C60" t="str">
            <v>Andrew H. Wilson Charter School</v>
          </cell>
          <cell r="D60">
            <v>61</v>
          </cell>
          <cell r="E60">
            <v>70</v>
          </cell>
          <cell r="F60">
            <v>131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>
            <v>389002</v>
          </cell>
          <cell r="C61" t="str">
            <v>Kenilworth Science and Technology Charter School</v>
          </cell>
          <cell r="D61">
            <v>184</v>
          </cell>
          <cell r="E61">
            <v>201</v>
          </cell>
          <cell r="F61">
            <v>385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>
            <v>390001</v>
          </cell>
          <cell r="C62" t="str">
            <v>James M. Singleton Charter School</v>
          </cell>
          <cell r="D62">
            <v>43</v>
          </cell>
          <cell r="E62">
            <v>43</v>
          </cell>
          <cell r="F62">
            <v>86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>
            <v>391001</v>
          </cell>
          <cell r="C63" t="str">
            <v>Dr. Martin Luther King Charter School for Sci/Tech</v>
          </cell>
          <cell r="D63">
            <v>50</v>
          </cell>
          <cell r="E63">
            <v>53</v>
          </cell>
          <cell r="F63">
            <v>103</v>
          </cell>
          <cell r="H63">
            <v>37</v>
          </cell>
          <cell r="I63">
            <v>0</v>
          </cell>
          <cell r="J63">
            <v>50</v>
          </cell>
          <cell r="K63">
            <v>40</v>
          </cell>
          <cell r="L63">
            <v>31</v>
          </cell>
          <cell r="M63">
            <v>158</v>
          </cell>
        </row>
        <row r="64">
          <cell r="B64">
            <v>391002</v>
          </cell>
          <cell r="C64" t="str">
            <v>Joseph A. Craig Charter School</v>
          </cell>
          <cell r="D64">
            <v>43</v>
          </cell>
          <cell r="E64">
            <v>38</v>
          </cell>
          <cell r="F64">
            <v>81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>
            <v>392001</v>
          </cell>
          <cell r="C65" t="str">
            <v>McDonogh #28 City Park Academy</v>
          </cell>
          <cell r="D65">
            <v>54</v>
          </cell>
          <cell r="E65">
            <v>53</v>
          </cell>
          <cell r="F65">
            <v>107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>
            <v>393001</v>
          </cell>
          <cell r="C66" t="str">
            <v>Lafayette Academy</v>
          </cell>
          <cell r="D66">
            <v>100</v>
          </cell>
          <cell r="E66">
            <v>105</v>
          </cell>
          <cell r="F66">
            <v>205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>
            <v>393002</v>
          </cell>
          <cell r="C67" t="str">
            <v>Esperanza Charter School</v>
          </cell>
          <cell r="D67">
            <v>48</v>
          </cell>
          <cell r="E67">
            <v>54</v>
          </cell>
          <cell r="F67">
            <v>102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>
            <v>393003</v>
          </cell>
          <cell r="C68" t="str">
            <v>McDonogh 42 Charter School</v>
          </cell>
          <cell r="D68">
            <v>44</v>
          </cell>
          <cell r="E68">
            <v>42</v>
          </cell>
          <cell r="F68">
            <v>86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>
            <v>395001</v>
          </cell>
          <cell r="C69" t="str">
            <v>Martin Behrman Elementary School</v>
          </cell>
          <cell r="D69">
            <v>74</v>
          </cell>
          <cell r="E69">
            <v>76</v>
          </cell>
          <cell r="F69">
            <v>150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395002</v>
          </cell>
          <cell r="C70" t="str">
            <v>Dwight D. Eisenhower Elementary School</v>
          </cell>
          <cell r="D70">
            <v>90</v>
          </cell>
          <cell r="E70">
            <v>94</v>
          </cell>
          <cell r="F70">
            <v>184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>
            <v>395003</v>
          </cell>
          <cell r="C71" t="str">
            <v>William J. Fischer Elementary School</v>
          </cell>
          <cell r="D71">
            <v>59</v>
          </cell>
          <cell r="E71">
            <v>57</v>
          </cell>
          <cell r="F71">
            <v>116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>
            <v>395004</v>
          </cell>
          <cell r="C72" t="str">
            <v>McDonogh #32 Elementary School</v>
          </cell>
          <cell r="D72">
            <v>57</v>
          </cell>
          <cell r="E72">
            <v>61</v>
          </cell>
          <cell r="F72">
            <v>118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B73">
            <v>395005</v>
          </cell>
          <cell r="C73" t="str">
            <v>Lord Beaconsfield Landry-Oliver Perry Walker High</v>
          </cell>
          <cell r="D73">
            <v>0</v>
          </cell>
          <cell r="E73">
            <v>0</v>
          </cell>
          <cell r="F73">
            <v>0</v>
          </cell>
          <cell r="H73">
            <v>341</v>
          </cell>
          <cell r="I73">
            <v>0</v>
          </cell>
          <cell r="J73">
            <v>333</v>
          </cell>
          <cell r="K73">
            <v>341</v>
          </cell>
          <cell r="L73">
            <v>301</v>
          </cell>
          <cell r="M73">
            <v>1316</v>
          </cell>
        </row>
        <row r="74">
          <cell r="B74">
            <v>395007</v>
          </cell>
          <cell r="C74" t="str">
            <v>Algiers Technology Academy</v>
          </cell>
          <cell r="D74">
            <v>0</v>
          </cell>
          <cell r="E74">
            <v>0</v>
          </cell>
          <cell r="F74">
            <v>0</v>
          </cell>
          <cell r="H74">
            <v>131</v>
          </cell>
          <cell r="I74">
            <v>0</v>
          </cell>
          <cell r="J74">
            <v>63</v>
          </cell>
          <cell r="K74">
            <v>51</v>
          </cell>
          <cell r="L74">
            <v>54</v>
          </cell>
          <cell r="M74">
            <v>299</v>
          </cell>
        </row>
        <row r="75">
          <cell r="B75">
            <v>396029</v>
          </cell>
          <cell r="C75" t="str">
            <v>F.W. Gregory Elementary School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>
            <v>396700</v>
          </cell>
          <cell r="C76" t="str">
            <v>Recovery School District-LDE Central Office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>
            <v>397001</v>
          </cell>
          <cell r="C77" t="str">
            <v>Sophie B. Wright Institute of Academic Excellence</v>
          </cell>
          <cell r="D77">
            <v>53</v>
          </cell>
          <cell r="E77">
            <v>55</v>
          </cell>
          <cell r="F77">
            <v>108</v>
          </cell>
          <cell r="H77">
            <v>96</v>
          </cell>
          <cell r="I77">
            <v>0</v>
          </cell>
          <cell r="J77">
            <v>77</v>
          </cell>
          <cell r="K77">
            <v>62</v>
          </cell>
          <cell r="L77">
            <v>56</v>
          </cell>
          <cell r="M77">
            <v>291</v>
          </cell>
        </row>
        <row r="78">
          <cell r="B78">
            <v>398001</v>
          </cell>
          <cell r="C78" t="str">
            <v>KIPP Believe College Prep (Phillips)</v>
          </cell>
          <cell r="D78">
            <v>105</v>
          </cell>
          <cell r="E78">
            <v>101</v>
          </cell>
          <cell r="F78">
            <v>206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B79">
            <v>398002</v>
          </cell>
          <cell r="C79" t="str">
            <v>KIPP McDonogh 15 School for the Creative Arts</v>
          </cell>
          <cell r="D79">
            <v>111</v>
          </cell>
          <cell r="E79">
            <v>104</v>
          </cell>
          <cell r="F79">
            <v>215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>
            <v>398003</v>
          </cell>
          <cell r="C80" t="str">
            <v>KIPP Central City Academy</v>
          </cell>
          <cell r="D80">
            <v>106</v>
          </cell>
          <cell r="E80">
            <v>96</v>
          </cell>
          <cell r="F80">
            <v>202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>
            <v>398004</v>
          </cell>
          <cell r="C81" t="str">
            <v>KIPP Central City Primary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>
            <v>398005</v>
          </cell>
          <cell r="C82" t="str">
            <v>KIPP Renaissance High School</v>
          </cell>
          <cell r="D82">
            <v>0</v>
          </cell>
          <cell r="E82">
            <v>0</v>
          </cell>
          <cell r="F82">
            <v>0</v>
          </cell>
          <cell r="H82">
            <v>151</v>
          </cell>
          <cell r="I82">
            <v>0</v>
          </cell>
          <cell r="J82">
            <v>110</v>
          </cell>
          <cell r="K82">
            <v>86</v>
          </cell>
          <cell r="L82">
            <v>98</v>
          </cell>
          <cell r="M82">
            <v>445</v>
          </cell>
        </row>
        <row r="83">
          <cell r="B83">
            <v>398006</v>
          </cell>
          <cell r="C83" t="str">
            <v>KIPP New Orleans Leadership Academy</v>
          </cell>
          <cell r="D83">
            <v>97</v>
          </cell>
          <cell r="E83">
            <v>101</v>
          </cell>
          <cell r="F83">
            <v>198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>
            <v>398007</v>
          </cell>
          <cell r="C84" t="str">
            <v>KIPP East Community Primary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>
            <v>399001</v>
          </cell>
          <cell r="C85" t="str">
            <v>Samuel J. Green Charter School</v>
          </cell>
          <cell r="D85">
            <v>52</v>
          </cell>
          <cell r="E85">
            <v>56</v>
          </cell>
          <cell r="F85">
            <v>108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>
            <v>399002</v>
          </cell>
          <cell r="C86" t="str">
            <v>Arthur Ashe Charter School</v>
          </cell>
          <cell r="D86">
            <v>64</v>
          </cell>
          <cell r="E86">
            <v>62</v>
          </cell>
          <cell r="F86">
            <v>126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>
            <v>399003</v>
          </cell>
          <cell r="C87" t="str">
            <v>Joseph S. Clark Preparatory High School</v>
          </cell>
          <cell r="D87">
            <v>0</v>
          </cell>
          <cell r="E87">
            <v>0</v>
          </cell>
          <cell r="F87">
            <v>0</v>
          </cell>
          <cell r="H87">
            <v>78</v>
          </cell>
          <cell r="I87">
            <v>0</v>
          </cell>
          <cell r="J87">
            <v>124</v>
          </cell>
          <cell r="K87">
            <v>109</v>
          </cell>
          <cell r="L87">
            <v>116</v>
          </cell>
          <cell r="M87">
            <v>427</v>
          </cell>
        </row>
        <row r="88">
          <cell r="B88">
            <v>399004</v>
          </cell>
          <cell r="C88" t="str">
            <v>John Dibert Community School</v>
          </cell>
          <cell r="D88">
            <v>60</v>
          </cell>
          <cell r="E88">
            <v>60</v>
          </cell>
          <cell r="F88">
            <v>120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B89">
            <v>399005</v>
          </cell>
          <cell r="C89" t="str">
            <v>Langston Hughes Charter Academy</v>
          </cell>
          <cell r="D89">
            <v>91</v>
          </cell>
          <cell r="E89">
            <v>90</v>
          </cell>
          <cell r="F89">
            <v>181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B90" t="str">
            <v>3A1001</v>
          </cell>
          <cell r="C90" t="str">
            <v>JCFA-East</v>
          </cell>
          <cell r="D90">
            <v>0</v>
          </cell>
          <cell r="E90">
            <v>3</v>
          </cell>
          <cell r="F90">
            <v>3</v>
          </cell>
          <cell r="H90">
            <v>25</v>
          </cell>
          <cell r="I90">
            <v>0</v>
          </cell>
          <cell r="J90">
            <v>17</v>
          </cell>
          <cell r="K90">
            <v>23</v>
          </cell>
          <cell r="L90">
            <v>37</v>
          </cell>
          <cell r="M90">
            <v>102</v>
          </cell>
        </row>
        <row r="91">
          <cell r="B91" t="str">
            <v>3A2001</v>
          </cell>
          <cell r="C91" t="str">
            <v>Tallulah Charter School</v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3A3001</v>
          </cell>
          <cell r="C92" t="str">
            <v>Baton Rouge Charter Academy at Mid-City</v>
          </cell>
          <cell r="D92">
            <v>74</v>
          </cell>
          <cell r="E92">
            <v>0</v>
          </cell>
          <cell r="F92">
            <v>74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3A3002</v>
          </cell>
          <cell r="C93" t="str">
            <v>Iberville Charter Academy</v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B94" t="str">
            <v>3A4001</v>
          </cell>
          <cell r="C94" t="str">
            <v>Delta Charter School, MST</v>
          </cell>
          <cell r="D94">
            <v>35</v>
          </cell>
          <cell r="E94">
            <v>34</v>
          </cell>
          <cell r="F94">
            <v>69</v>
          </cell>
          <cell r="H94">
            <v>43</v>
          </cell>
          <cell r="I94">
            <v>0</v>
          </cell>
          <cell r="J94">
            <v>36</v>
          </cell>
          <cell r="K94">
            <v>0</v>
          </cell>
          <cell r="L94">
            <v>0</v>
          </cell>
          <cell r="M94">
            <v>79</v>
          </cell>
        </row>
        <row r="95">
          <cell r="B95" t="str">
            <v>3A5001</v>
          </cell>
          <cell r="C95" t="str">
            <v>Mary D. Coghill Charter School</v>
          </cell>
          <cell r="D95">
            <v>70</v>
          </cell>
          <cell r="E95">
            <v>69</v>
          </cell>
          <cell r="F95">
            <v>139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3A6001</v>
          </cell>
          <cell r="C96" t="str">
            <v>Northshore Charter School</v>
          </cell>
          <cell r="D96">
            <v>0</v>
          </cell>
          <cell r="E96">
            <v>0</v>
          </cell>
          <cell r="F96">
            <v>0</v>
          </cell>
          <cell r="H96">
            <v>22</v>
          </cell>
          <cell r="I96">
            <v>0</v>
          </cell>
          <cell r="J96">
            <v>29</v>
          </cell>
          <cell r="K96">
            <v>0</v>
          </cell>
          <cell r="L96">
            <v>0</v>
          </cell>
          <cell r="M96">
            <v>51</v>
          </cell>
        </row>
        <row r="97">
          <cell r="B97" t="str">
            <v>3A7001</v>
          </cell>
          <cell r="C97" t="str">
            <v>Louisiana Key Academy</v>
          </cell>
          <cell r="D97">
            <v>0</v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3A8001</v>
          </cell>
          <cell r="C98" t="str">
            <v>Impact Charter Elementary</v>
          </cell>
          <cell r="D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>3A9001</v>
          </cell>
          <cell r="C99" t="str">
            <v>Vision Academy</v>
          </cell>
          <cell r="D99">
            <v>0</v>
          </cell>
          <cell r="E99">
            <v>0</v>
          </cell>
          <cell r="F99">
            <v>0</v>
          </cell>
          <cell r="H99">
            <v>69</v>
          </cell>
          <cell r="I99">
            <v>18</v>
          </cell>
          <cell r="J99">
            <v>66</v>
          </cell>
          <cell r="K99">
            <v>34</v>
          </cell>
          <cell r="L99">
            <v>13</v>
          </cell>
          <cell r="M99">
            <v>200</v>
          </cell>
        </row>
        <row r="100">
          <cell r="B100" t="str">
            <v>3AP001</v>
          </cell>
          <cell r="C100" t="str">
            <v>Celerity Lanier Charter School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3AP002</v>
          </cell>
          <cell r="C101" t="str">
            <v>Celerity Crestworth Charter School</v>
          </cell>
          <cell r="D101">
            <v>51</v>
          </cell>
          <cell r="E101">
            <v>70</v>
          </cell>
          <cell r="F101">
            <v>121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3AP003</v>
          </cell>
          <cell r="C102" t="str">
            <v>Celerity Dalton Charter School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B103" t="str">
            <v>3AQ001</v>
          </cell>
          <cell r="C103" t="str">
            <v>Baton Rouge University Preparatory Elementary</v>
          </cell>
          <cell r="D103">
            <v>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B104" t="str">
            <v>3B1001</v>
          </cell>
          <cell r="C104" t="str">
            <v>Advantage Charter Academy</v>
          </cell>
          <cell r="D104">
            <v>0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>3B1002</v>
          </cell>
          <cell r="C105" t="str">
            <v>Willow Charter Academy</v>
          </cell>
          <cell r="D105">
            <v>0</v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3B5001</v>
          </cell>
          <cell r="C106" t="str">
            <v>Northeast Claiborne Charter</v>
          </cell>
          <cell r="D106">
            <v>11</v>
          </cell>
          <cell r="E106">
            <v>10</v>
          </cell>
          <cell r="F106">
            <v>21</v>
          </cell>
          <cell r="H106">
            <v>15</v>
          </cell>
          <cell r="I106">
            <v>0</v>
          </cell>
          <cell r="J106">
            <v>11</v>
          </cell>
          <cell r="K106">
            <v>12</v>
          </cell>
          <cell r="L106">
            <v>11</v>
          </cell>
          <cell r="M106">
            <v>49</v>
          </cell>
        </row>
        <row r="107">
          <cell r="B107" t="str">
            <v>3B6001</v>
          </cell>
          <cell r="C107" t="str">
            <v>Acadiana Renaissance Charter Academy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3B6002</v>
          </cell>
          <cell r="C108" t="str">
            <v>Lafayette Renaissance Charter Academy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B109" t="str">
            <v>3B9001</v>
          </cell>
          <cell r="C109" t="str">
            <v>Capitol High School</v>
          </cell>
          <cell r="D109">
            <v>0</v>
          </cell>
          <cell r="E109">
            <v>0</v>
          </cell>
          <cell r="F109">
            <v>0</v>
          </cell>
          <cell r="H109">
            <v>83</v>
          </cell>
          <cell r="I109">
            <v>33</v>
          </cell>
          <cell r="J109">
            <v>87</v>
          </cell>
          <cell r="K109">
            <v>85</v>
          </cell>
          <cell r="L109">
            <v>77</v>
          </cell>
          <cell r="M109">
            <v>365</v>
          </cell>
        </row>
        <row r="110">
          <cell r="B110" t="str">
            <v>A02</v>
          </cell>
          <cell r="C110" t="str">
            <v>OJJ</v>
          </cell>
          <cell r="D110">
            <v>3</v>
          </cell>
          <cell r="E110">
            <v>20</v>
          </cell>
          <cell r="F110">
            <v>23</v>
          </cell>
          <cell r="G110">
            <v>0</v>
          </cell>
          <cell r="H110">
            <v>159</v>
          </cell>
          <cell r="I110">
            <v>0</v>
          </cell>
          <cell r="J110">
            <v>41</v>
          </cell>
          <cell r="K110">
            <v>21</v>
          </cell>
          <cell r="L110">
            <v>14</v>
          </cell>
          <cell r="M110">
            <v>235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 to Final"/>
      <sheetName val="Projected &amp; Final Comparison"/>
      <sheetName val="Procedures"/>
      <sheetName val="FY2014-15 Final"/>
      <sheetName val="Detail Calculation exclude debt"/>
      <sheetName val="Detail Calculation for debt"/>
      <sheetName val="Detail"/>
      <sheetName val="2.1.14 SIS"/>
      <sheetName val="10.1.14 SIS"/>
      <sheetName val="AFR Revenues"/>
      <sheetName val="AFR Expenditures"/>
    </sheetNames>
    <sheetDataSet>
      <sheetData sheetId="0" refreshError="1"/>
      <sheetData sheetId="1" refreshError="1"/>
      <sheetData sheetId="2" refreshError="1"/>
      <sheetData sheetId="3">
        <row r="4">
          <cell r="L4">
            <v>2424</v>
          </cell>
        </row>
        <row r="5">
          <cell r="L5">
            <v>2786</v>
          </cell>
        </row>
        <row r="6">
          <cell r="L6">
            <v>5927</v>
          </cell>
        </row>
        <row r="7">
          <cell r="L7">
            <v>4203</v>
          </cell>
        </row>
        <row r="8">
          <cell r="L8">
            <v>1923</v>
          </cell>
        </row>
        <row r="9">
          <cell r="L9">
            <v>4057</v>
          </cell>
        </row>
        <row r="10">
          <cell r="L10">
            <v>12112</v>
          </cell>
        </row>
        <row r="11">
          <cell r="L11">
            <v>4124</v>
          </cell>
        </row>
        <row r="12">
          <cell r="E12">
            <v>4185</v>
          </cell>
          <cell r="L12">
            <v>4901</v>
          </cell>
        </row>
        <row r="13">
          <cell r="L13">
            <v>4619</v>
          </cell>
        </row>
        <row r="14">
          <cell r="L14">
            <v>3580</v>
          </cell>
        </row>
        <row r="15">
          <cell r="L15">
            <v>8094</v>
          </cell>
        </row>
        <row r="16">
          <cell r="L16">
            <v>2762</v>
          </cell>
        </row>
        <row r="17">
          <cell r="L17">
            <v>4171</v>
          </cell>
        </row>
        <row r="18">
          <cell r="L18">
            <v>2880</v>
          </cell>
        </row>
        <row r="19">
          <cell r="L19">
            <v>13021</v>
          </cell>
        </row>
        <row r="20">
          <cell r="E20">
            <v>6067</v>
          </cell>
          <cell r="L20">
            <v>6954</v>
          </cell>
        </row>
        <row r="21">
          <cell r="L21">
            <v>2442</v>
          </cell>
        </row>
        <row r="22">
          <cell r="L22">
            <v>3051</v>
          </cell>
        </row>
        <row r="23">
          <cell r="L23">
            <v>2484</v>
          </cell>
        </row>
        <row r="24">
          <cell r="L24">
            <v>2487</v>
          </cell>
        </row>
        <row r="25">
          <cell r="L25">
            <v>1584</v>
          </cell>
        </row>
        <row r="26">
          <cell r="L26">
            <v>3500</v>
          </cell>
        </row>
        <row r="27">
          <cell r="L27">
            <v>11051</v>
          </cell>
        </row>
        <row r="28">
          <cell r="L28">
            <v>5156</v>
          </cell>
        </row>
        <row r="29">
          <cell r="L29">
            <v>5153</v>
          </cell>
        </row>
        <row r="30">
          <cell r="L30">
            <v>3225</v>
          </cell>
        </row>
        <row r="31">
          <cell r="L31">
            <v>5816</v>
          </cell>
        </row>
        <row r="32">
          <cell r="L32">
            <v>5046</v>
          </cell>
        </row>
        <row r="33">
          <cell r="L33">
            <v>3999</v>
          </cell>
        </row>
        <row r="34">
          <cell r="L34">
            <v>5028</v>
          </cell>
        </row>
        <row r="35">
          <cell r="L35">
            <v>2139</v>
          </cell>
        </row>
        <row r="36">
          <cell r="L36">
            <v>3784</v>
          </cell>
        </row>
        <row r="37">
          <cell r="L37">
            <v>2911</v>
          </cell>
        </row>
        <row r="38">
          <cell r="L38">
            <v>3337</v>
          </cell>
        </row>
        <row r="39">
          <cell r="E39">
            <v>4809</v>
          </cell>
          <cell r="L39">
            <v>5469</v>
          </cell>
        </row>
        <row r="40">
          <cell r="L40">
            <v>3424</v>
          </cell>
        </row>
        <row r="41">
          <cell r="L41">
            <v>11060</v>
          </cell>
        </row>
        <row r="42">
          <cell r="L42">
            <v>4922</v>
          </cell>
        </row>
        <row r="43">
          <cell r="L43">
            <v>3152</v>
          </cell>
        </row>
        <row r="44">
          <cell r="L44">
            <v>9422</v>
          </cell>
        </row>
        <row r="45">
          <cell r="L45">
            <v>3415</v>
          </cell>
        </row>
        <row r="46">
          <cell r="L46">
            <v>3334</v>
          </cell>
        </row>
        <row r="47">
          <cell r="L47">
            <v>3587</v>
          </cell>
        </row>
        <row r="48">
          <cell r="L48">
            <v>12134</v>
          </cell>
        </row>
        <row r="49">
          <cell r="L49">
            <v>2554</v>
          </cell>
        </row>
        <row r="50">
          <cell r="L50">
            <v>11506</v>
          </cell>
        </row>
        <row r="51">
          <cell r="L51">
            <v>6827</v>
          </cell>
        </row>
        <row r="52">
          <cell r="L52">
            <v>2399</v>
          </cell>
        </row>
        <row r="53">
          <cell r="L53">
            <v>3413</v>
          </cell>
        </row>
        <row r="54">
          <cell r="L54">
            <v>4512</v>
          </cell>
        </row>
        <row r="55">
          <cell r="L55">
            <v>5289</v>
          </cell>
        </row>
        <row r="56">
          <cell r="L56">
            <v>2101</v>
          </cell>
        </row>
        <row r="57">
          <cell r="L57">
            <v>4150</v>
          </cell>
        </row>
        <row r="58">
          <cell r="L58">
            <v>3637</v>
          </cell>
        </row>
        <row r="59">
          <cell r="L59">
            <v>2857</v>
          </cell>
        </row>
        <row r="60">
          <cell r="L60">
            <v>3465</v>
          </cell>
        </row>
        <row r="61">
          <cell r="L61">
            <v>2167</v>
          </cell>
        </row>
        <row r="62">
          <cell r="L62">
            <v>1521</v>
          </cell>
        </row>
        <row r="63">
          <cell r="L63">
            <v>4024</v>
          </cell>
        </row>
        <row r="64">
          <cell r="L64">
            <v>6739</v>
          </cell>
        </row>
        <row r="65">
          <cell r="L65">
            <v>2089</v>
          </cell>
        </row>
        <row r="66">
          <cell r="L66">
            <v>7403</v>
          </cell>
        </row>
        <row r="67">
          <cell r="L67">
            <v>2802</v>
          </cell>
        </row>
        <row r="68">
          <cell r="L68">
            <v>5215</v>
          </cell>
        </row>
        <row r="69">
          <cell r="L69">
            <v>3609</v>
          </cell>
        </row>
        <row r="70">
          <cell r="L70">
            <v>5069</v>
          </cell>
        </row>
        <row r="71">
          <cell r="L71">
            <v>2880</v>
          </cell>
        </row>
        <row r="72">
          <cell r="L72">
            <v>3330</v>
          </cell>
        </row>
        <row r="73">
          <cell r="L73">
            <v>4703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FY14-15"/>
      <sheetName val="Table 2_State Distrib and Adjs"/>
      <sheetName val="Table 2A-1_EFT (Annual)"/>
      <sheetName val="Table 2A-2 EFT (Monthly)"/>
      <sheetName val="Table 3 Levels 1&amp;2"/>
      <sheetName val="Table 3A Level 3"/>
      <sheetName val="Table 4 Level 4"/>
      <sheetName val="Table 5A1_Labs"/>
      <sheetName val="Table 5A2- Legacy Type 2"/>
      <sheetName val="Table 5A3_OJJ"/>
      <sheetName val="Table 5A4_NOCCA"/>
      <sheetName val="Table 5A5_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1O-Impact"/>
      <sheetName val="Table 5C1P-Vision"/>
      <sheetName val="Table 5C1Q-Advantage"/>
      <sheetName val="Table 5C1R-Iberville"/>
      <sheetName val="Table 5C1S-L.C. Coll Prep"/>
      <sheetName val="Table 5C1T-Northeast"/>
      <sheetName val="Table 5C1U-Acadiana Ren"/>
      <sheetName val="Table 5C1V-Laf Ren"/>
      <sheetName val="Table 5C1W-Willow"/>
      <sheetName val="Table 5C2 - LA Virtual Admy"/>
      <sheetName val="Table 5C3 - LA Connections EBR"/>
      <sheetName val="Table 6 (Local Deduct Calc.)"/>
      <sheetName val="Table 7 Local Revenue"/>
      <sheetName val="Table 8 Membership 2.1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V5">
            <v>286405</v>
          </cell>
        </row>
        <row r="6">
          <cell r="V6">
            <v>282281</v>
          </cell>
        </row>
        <row r="9">
          <cell r="V9">
            <v>658458</v>
          </cell>
        </row>
        <row r="10">
          <cell r="V10">
            <v>460557</v>
          </cell>
        </row>
        <row r="11">
          <cell r="V11">
            <v>631831</v>
          </cell>
        </row>
        <row r="12">
          <cell r="V12">
            <v>1109706</v>
          </cell>
        </row>
        <row r="13">
          <cell r="V13">
            <v>280416</v>
          </cell>
        </row>
        <row r="14">
          <cell r="V14">
            <v>87543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117023</v>
          </cell>
          <cell r="AI23">
            <v>198931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288</v>
          </cell>
          <cell r="AI30">
            <v>836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307</v>
          </cell>
          <cell r="AI67">
            <v>561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912</v>
          </cell>
          <cell r="AI73">
            <v>796</v>
          </cell>
        </row>
        <row r="74">
          <cell r="S74">
            <v>5487</v>
          </cell>
          <cell r="AI74">
            <v>2037</v>
          </cell>
        </row>
        <row r="75">
          <cell r="S75">
            <v>-49</v>
          </cell>
          <cell r="AI75">
            <v>-26</v>
          </cell>
        </row>
        <row r="77">
          <cell r="S77">
            <v>0</v>
          </cell>
        </row>
        <row r="81">
          <cell r="S81">
            <v>596</v>
          </cell>
        </row>
      </sheetData>
      <sheetData sheetId="16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1022</v>
          </cell>
          <cell r="AI20">
            <v>699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7926</v>
          </cell>
          <cell r="AI37">
            <v>7774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6160</v>
          </cell>
          <cell r="AI43">
            <v>3431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381240</v>
          </cell>
          <cell r="AI62">
            <v>193554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1398</v>
          </cell>
          <cell r="AI71">
            <v>1274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6">
          <cell r="S76">
            <v>469</v>
          </cell>
        </row>
        <row r="78">
          <cell r="S78">
            <v>0</v>
          </cell>
        </row>
        <row r="82">
          <cell r="S82">
            <v>416</v>
          </cell>
        </row>
      </sheetData>
      <sheetData sheetId="17" refreshError="1"/>
      <sheetData sheetId="18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107846</v>
          </cell>
          <cell r="AI32">
            <v>133119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82354</v>
          </cell>
          <cell r="AI42">
            <v>102925</v>
          </cell>
        </row>
        <row r="43">
          <cell r="S43">
            <v>0</v>
          </cell>
          <cell r="AI43">
            <v>0</v>
          </cell>
        </row>
        <row r="44">
          <cell r="S44">
            <v>3816</v>
          </cell>
          <cell r="AI44">
            <v>14876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1471</v>
          </cell>
          <cell r="AI50">
            <v>984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773</v>
          </cell>
        </row>
      </sheetData>
      <sheetData sheetId="19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35197</v>
          </cell>
          <cell r="AI32">
            <v>43445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382</v>
          </cell>
          <cell r="AI35">
            <v>421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115643</v>
          </cell>
          <cell r="AI42">
            <v>144530</v>
          </cell>
        </row>
        <row r="43">
          <cell r="S43">
            <v>0</v>
          </cell>
          <cell r="AI43">
            <v>0</v>
          </cell>
        </row>
        <row r="44">
          <cell r="S44">
            <v>971</v>
          </cell>
          <cell r="AI44">
            <v>3783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1849</v>
          </cell>
          <cell r="AI50">
            <v>1237</v>
          </cell>
        </row>
        <row r="51">
          <cell r="S51">
            <v>976</v>
          </cell>
          <cell r="AI51">
            <v>4230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440</v>
          </cell>
          <cell r="AI54">
            <v>665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994</v>
          </cell>
          <cell r="AI58">
            <v>906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38500</v>
          </cell>
        </row>
        <row r="81">
          <cell r="S81">
            <v>0</v>
          </cell>
        </row>
      </sheetData>
      <sheetData sheetId="20" refreshError="1"/>
      <sheetData sheetId="21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-29</v>
          </cell>
          <cell r="AI34">
            <v>-44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130657</v>
          </cell>
          <cell r="AI55">
            <v>55247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262</v>
          </cell>
        </row>
      </sheetData>
      <sheetData sheetId="22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362215</v>
          </cell>
          <cell r="AI16">
            <v>331205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1768</v>
          </cell>
          <cell r="AI33">
            <v>862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508</v>
          </cell>
          <cell r="AI71">
            <v>463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160</v>
          </cell>
        </row>
      </sheetData>
      <sheetData sheetId="23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3160</v>
          </cell>
          <cell r="AI9">
            <v>3837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37392</v>
          </cell>
          <cell r="AI23">
            <v>63291</v>
          </cell>
        </row>
        <row r="24">
          <cell r="S24">
            <v>0</v>
          </cell>
          <cell r="AI24">
            <v>0</v>
          </cell>
        </row>
        <row r="25">
          <cell r="S25">
            <v>1034</v>
          </cell>
          <cell r="AI25">
            <v>483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1152</v>
          </cell>
          <cell r="AI30">
            <v>3343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2582</v>
          </cell>
          <cell r="AI38">
            <v>881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369</v>
          </cell>
          <cell r="AI45">
            <v>412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307</v>
          </cell>
          <cell r="AI67">
            <v>561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534</v>
          </cell>
          <cell r="AI75">
            <v>282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24" refreshError="1"/>
      <sheetData sheetId="25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177069</v>
          </cell>
          <cell r="AI39">
            <v>104766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26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5304</v>
          </cell>
          <cell r="AI65">
            <v>1144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216842</v>
          </cell>
          <cell r="AI72">
            <v>100155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58</v>
          </cell>
        </row>
      </sheetData>
      <sheetData sheetId="27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-36</v>
          </cell>
          <cell r="AI9">
            <v>-44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236438</v>
          </cell>
          <cell r="AI23">
            <v>400206</v>
          </cell>
        </row>
        <row r="24">
          <cell r="S24">
            <v>0</v>
          </cell>
          <cell r="AI24">
            <v>0</v>
          </cell>
        </row>
        <row r="25">
          <cell r="S25">
            <v>1551</v>
          </cell>
          <cell r="AI25">
            <v>725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524</v>
          </cell>
          <cell r="AI30">
            <v>1519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-47</v>
          </cell>
          <cell r="AI38">
            <v>-16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13038</v>
          </cell>
          <cell r="AI74">
            <v>4841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7">
          <cell r="S7">
            <v>1005</v>
          </cell>
          <cell r="AI7">
            <v>437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8786</v>
          </cell>
          <cell r="AI29">
            <v>5354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194847</v>
          </cell>
          <cell r="AI34">
            <v>294421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1010</v>
          </cell>
          <cell r="AI55">
            <v>427</v>
          </cell>
        </row>
        <row r="56">
          <cell r="S56">
            <v>7379</v>
          </cell>
          <cell r="AI56">
            <v>4456</v>
          </cell>
        </row>
        <row r="57">
          <cell r="S57">
            <v>441</v>
          </cell>
          <cell r="AI57">
            <v>417</v>
          </cell>
        </row>
        <row r="58">
          <cell r="S58">
            <v>1038</v>
          </cell>
          <cell r="AI58">
            <v>945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918</v>
          </cell>
          <cell r="AI61">
            <v>641</v>
          </cell>
        </row>
        <row r="62">
          <cell r="S62">
            <v>0</v>
          </cell>
          <cell r="AI62">
            <v>0</v>
          </cell>
        </row>
        <row r="63">
          <cell r="S63">
            <v>9288</v>
          </cell>
          <cell r="AI63">
            <v>5849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6" refreshError="1"/>
      <sheetData sheetId="37" refreshError="1"/>
      <sheetData sheetId="38" refreshError="1"/>
      <sheetData sheetId="39">
        <row r="6">
          <cell r="T6">
            <v>13045</v>
          </cell>
          <cell r="AJ6">
            <v>5669</v>
          </cell>
        </row>
        <row r="7">
          <cell r="T7">
            <v>5989</v>
          </cell>
          <cell r="AJ7">
            <v>2367</v>
          </cell>
        </row>
        <row r="8">
          <cell r="T8">
            <v>19941</v>
          </cell>
          <cell r="AJ8">
            <v>24213</v>
          </cell>
        </row>
        <row r="9">
          <cell r="T9">
            <v>3146</v>
          </cell>
          <cell r="AJ9">
            <v>1542</v>
          </cell>
        </row>
        <row r="10">
          <cell r="T10">
            <v>9032</v>
          </cell>
          <cell r="AJ10">
            <v>2979</v>
          </cell>
        </row>
        <row r="11">
          <cell r="T11">
            <v>7333</v>
          </cell>
          <cell r="AJ11">
            <v>4712</v>
          </cell>
        </row>
        <row r="12">
          <cell r="T12">
            <v>1347</v>
          </cell>
          <cell r="AJ12">
            <v>5336</v>
          </cell>
        </row>
        <row r="13">
          <cell r="T13">
            <v>24109</v>
          </cell>
          <cell r="AJ13">
            <v>17981</v>
          </cell>
        </row>
        <row r="14">
          <cell r="T14">
            <v>47213</v>
          </cell>
          <cell r="AJ14">
            <v>42391</v>
          </cell>
        </row>
        <row r="15">
          <cell r="T15">
            <v>24073</v>
          </cell>
          <cell r="AJ15">
            <v>22012</v>
          </cell>
        </row>
        <row r="16">
          <cell r="T16">
            <v>1858</v>
          </cell>
          <cell r="AJ16">
            <v>854</v>
          </cell>
        </row>
        <row r="17">
          <cell r="T17">
            <v>204</v>
          </cell>
          <cell r="AJ17">
            <v>605</v>
          </cell>
        </row>
        <row r="18">
          <cell r="T18">
            <v>6009</v>
          </cell>
          <cell r="AJ18">
            <v>2377</v>
          </cell>
        </row>
        <row r="19">
          <cell r="T19">
            <v>6812</v>
          </cell>
          <cell r="AJ19">
            <v>4662</v>
          </cell>
        </row>
        <row r="20">
          <cell r="T20">
            <v>2358</v>
          </cell>
          <cell r="AJ20">
            <v>948</v>
          </cell>
        </row>
        <row r="21">
          <cell r="T21">
            <v>1233</v>
          </cell>
          <cell r="AJ21">
            <v>5905</v>
          </cell>
        </row>
        <row r="22">
          <cell r="T22">
            <v>39561</v>
          </cell>
          <cell r="AJ22">
            <v>66943</v>
          </cell>
        </row>
        <row r="23">
          <cell r="T23">
            <v>0</v>
          </cell>
          <cell r="AJ23">
            <v>0</v>
          </cell>
        </row>
        <row r="24">
          <cell r="T24">
            <v>6345</v>
          </cell>
          <cell r="AJ24">
            <v>2967</v>
          </cell>
        </row>
        <row r="25">
          <cell r="T25">
            <v>4068</v>
          </cell>
          <cell r="AJ25">
            <v>1687</v>
          </cell>
        </row>
        <row r="26">
          <cell r="T26">
            <v>5735</v>
          </cell>
          <cell r="AJ26">
            <v>2108</v>
          </cell>
        </row>
        <row r="27">
          <cell r="T27">
            <v>9167</v>
          </cell>
          <cell r="AJ27">
            <v>2139</v>
          </cell>
        </row>
        <row r="28">
          <cell r="T28">
            <v>8373</v>
          </cell>
          <cell r="AJ28">
            <v>5102</v>
          </cell>
        </row>
        <row r="29">
          <cell r="T29">
            <v>1367</v>
          </cell>
          <cell r="AJ29">
            <v>3966</v>
          </cell>
        </row>
        <row r="30">
          <cell r="T30">
            <v>5088</v>
          </cell>
          <cell r="AJ30">
            <v>5348</v>
          </cell>
        </row>
        <row r="31">
          <cell r="T31">
            <v>38778</v>
          </cell>
          <cell r="AJ31">
            <v>47866</v>
          </cell>
        </row>
        <row r="32">
          <cell r="T32">
            <v>2961</v>
          </cell>
          <cell r="AJ32">
            <v>1444</v>
          </cell>
        </row>
        <row r="33">
          <cell r="T33">
            <v>20510</v>
          </cell>
          <cell r="AJ33">
            <v>30991</v>
          </cell>
        </row>
        <row r="34">
          <cell r="T34">
            <v>4031</v>
          </cell>
          <cell r="AJ34">
            <v>4447</v>
          </cell>
        </row>
        <row r="35">
          <cell r="T35">
            <v>5731</v>
          </cell>
          <cell r="AJ35">
            <v>3166</v>
          </cell>
        </row>
        <row r="36">
          <cell r="T36">
            <v>1993</v>
          </cell>
          <cell r="AJ36">
            <v>1955</v>
          </cell>
        </row>
        <row r="37">
          <cell r="T37">
            <v>54717</v>
          </cell>
          <cell r="AJ37">
            <v>18681</v>
          </cell>
        </row>
        <row r="38">
          <cell r="T38">
            <v>1496</v>
          </cell>
          <cell r="AJ38">
            <v>885</v>
          </cell>
        </row>
        <row r="39">
          <cell r="T39">
            <v>9435</v>
          </cell>
          <cell r="AJ39">
            <v>3701</v>
          </cell>
        </row>
        <row r="40">
          <cell r="T40">
            <v>8574</v>
          </cell>
          <cell r="AJ40">
            <v>4892</v>
          </cell>
        </row>
        <row r="41">
          <cell r="T41">
            <v>22153</v>
          </cell>
          <cell r="AJ41">
            <v>27686</v>
          </cell>
        </row>
        <row r="42">
          <cell r="T42">
            <v>20887</v>
          </cell>
          <cell r="AJ42">
            <v>11635</v>
          </cell>
        </row>
        <row r="43">
          <cell r="T43">
            <v>2739</v>
          </cell>
          <cell r="AJ43">
            <v>10680</v>
          </cell>
        </row>
        <row r="44">
          <cell r="T44">
            <v>8418</v>
          </cell>
          <cell r="AJ44">
            <v>9402</v>
          </cell>
        </row>
        <row r="45">
          <cell r="T45">
            <v>32351</v>
          </cell>
          <cell r="AJ45">
            <v>17053</v>
          </cell>
        </row>
        <row r="46">
          <cell r="T46">
            <v>0</v>
          </cell>
          <cell r="AJ46">
            <v>0</v>
          </cell>
        </row>
        <row r="47">
          <cell r="T47">
            <v>2113</v>
          </cell>
          <cell r="AJ47">
            <v>1338</v>
          </cell>
        </row>
        <row r="48">
          <cell r="T48">
            <v>4414</v>
          </cell>
          <cell r="AJ48">
            <v>2223</v>
          </cell>
        </row>
        <row r="49">
          <cell r="T49">
            <v>6127</v>
          </cell>
          <cell r="AJ49">
            <v>4098</v>
          </cell>
        </row>
        <row r="50">
          <cell r="T50">
            <v>4335</v>
          </cell>
          <cell r="AJ50">
            <v>18787</v>
          </cell>
        </row>
        <row r="51">
          <cell r="T51">
            <v>3596</v>
          </cell>
          <cell r="AJ51">
            <v>1439</v>
          </cell>
        </row>
        <row r="52">
          <cell r="T52">
            <v>537</v>
          </cell>
          <cell r="AJ52">
            <v>1830</v>
          </cell>
        </row>
        <row r="53">
          <cell r="T53">
            <v>8584</v>
          </cell>
          <cell r="AJ53">
            <v>12976</v>
          </cell>
        </row>
        <row r="54">
          <cell r="T54">
            <v>17313</v>
          </cell>
          <cell r="AJ54">
            <v>7313</v>
          </cell>
        </row>
        <row r="55">
          <cell r="T55">
            <v>4032</v>
          </cell>
          <cell r="AJ55">
            <v>2435</v>
          </cell>
        </row>
        <row r="56">
          <cell r="T56">
            <v>5025</v>
          </cell>
          <cell r="AJ56">
            <v>4752</v>
          </cell>
        </row>
        <row r="57">
          <cell r="T57">
            <v>57271</v>
          </cell>
          <cell r="AJ57">
            <v>52179</v>
          </cell>
        </row>
        <row r="58">
          <cell r="T58">
            <v>41961</v>
          </cell>
          <cell r="AJ58">
            <v>14989</v>
          </cell>
        </row>
        <row r="59">
          <cell r="T59">
            <v>3617</v>
          </cell>
          <cell r="AJ59">
            <v>2183</v>
          </cell>
        </row>
        <row r="60">
          <cell r="T60">
            <v>25786</v>
          </cell>
          <cell r="AJ60">
            <v>17992</v>
          </cell>
        </row>
        <row r="61">
          <cell r="T61">
            <v>3070</v>
          </cell>
          <cell r="AJ61">
            <v>1559</v>
          </cell>
        </row>
        <row r="62">
          <cell r="T62">
            <v>4583</v>
          </cell>
          <cell r="AJ62">
            <v>2886</v>
          </cell>
        </row>
        <row r="63">
          <cell r="T63">
            <v>14904</v>
          </cell>
          <cell r="AJ63">
            <v>4876</v>
          </cell>
        </row>
        <row r="64">
          <cell r="T64">
            <v>10280</v>
          </cell>
          <cell r="AJ64">
            <v>2005</v>
          </cell>
        </row>
        <row r="65">
          <cell r="T65">
            <v>7417</v>
          </cell>
          <cell r="AJ65">
            <v>4935</v>
          </cell>
        </row>
        <row r="66">
          <cell r="T66">
            <v>5167</v>
          </cell>
          <cell r="AJ66">
            <v>9450</v>
          </cell>
        </row>
        <row r="67">
          <cell r="T67">
            <v>1004</v>
          </cell>
          <cell r="AJ67">
            <v>298</v>
          </cell>
        </row>
        <row r="68">
          <cell r="T68">
            <v>398</v>
          </cell>
          <cell r="AJ68">
            <v>595</v>
          </cell>
        </row>
        <row r="69">
          <cell r="T69">
            <v>3785</v>
          </cell>
          <cell r="AJ69">
            <v>1499</v>
          </cell>
        </row>
        <row r="70">
          <cell r="T70">
            <v>1372</v>
          </cell>
          <cell r="AJ70">
            <v>1251</v>
          </cell>
        </row>
        <row r="71">
          <cell r="T71">
            <v>3087</v>
          </cell>
          <cell r="AJ71">
            <v>2054</v>
          </cell>
        </row>
        <row r="72">
          <cell r="T72">
            <v>1407</v>
          </cell>
          <cell r="AJ72">
            <v>1228</v>
          </cell>
        </row>
        <row r="73">
          <cell r="T73">
            <v>2347</v>
          </cell>
          <cell r="AJ73">
            <v>871</v>
          </cell>
        </row>
        <row r="74">
          <cell r="T74">
            <v>4197</v>
          </cell>
          <cell r="AJ74">
            <v>2216</v>
          </cell>
        </row>
        <row r="76">
          <cell r="T76">
            <v>0</v>
          </cell>
        </row>
        <row r="80">
          <cell r="T80">
            <v>1668</v>
          </cell>
        </row>
      </sheetData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_summary for MFP Use"/>
      <sheetName val="ADM_summary"/>
      <sheetName val="ADM_Detail"/>
    </sheetNames>
    <sheetDataSet>
      <sheetData sheetId="0">
        <row r="7">
          <cell r="E7">
            <v>0.79679100000000003</v>
          </cell>
        </row>
        <row r="8">
          <cell r="E8">
            <v>0</v>
          </cell>
        </row>
        <row r="9">
          <cell r="E9">
            <v>1</v>
          </cell>
        </row>
        <row r="10">
          <cell r="E10">
            <v>0.83422499999999999</v>
          </cell>
        </row>
        <row r="11">
          <cell r="E11">
            <v>1.1016049999999999</v>
          </cell>
        </row>
        <row r="12">
          <cell r="E12">
            <v>2.8074870000000001</v>
          </cell>
        </row>
        <row r="13">
          <cell r="E13">
            <v>0.459893</v>
          </cell>
        </row>
        <row r="14">
          <cell r="E14">
            <v>7.8869030000000002</v>
          </cell>
        </row>
        <row r="15">
          <cell r="E15">
            <v>39.742063999999999</v>
          </cell>
        </row>
        <row r="16">
          <cell r="E16">
            <v>9.2508210000000002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1</v>
          </cell>
        </row>
        <row r="21">
          <cell r="E21">
            <v>0</v>
          </cell>
        </row>
        <row r="22">
          <cell r="E22">
            <v>1.7860959999999999</v>
          </cell>
        </row>
        <row r="23">
          <cell r="E23">
            <v>27.538188000000002</v>
          </cell>
        </row>
        <row r="24">
          <cell r="E24">
            <v>0.64705900000000005</v>
          </cell>
        </row>
        <row r="25">
          <cell r="E25">
            <v>1</v>
          </cell>
        </row>
        <row r="26">
          <cell r="E26">
            <v>3.8051590000000002</v>
          </cell>
        </row>
        <row r="27">
          <cell r="E27">
            <v>2.009531</v>
          </cell>
        </row>
        <row r="28">
          <cell r="E28">
            <v>0.75401099999999999</v>
          </cell>
        </row>
        <row r="29">
          <cell r="E29">
            <v>6.3753650000000004</v>
          </cell>
        </row>
        <row r="30">
          <cell r="E30">
            <v>2.1925129999999999</v>
          </cell>
        </row>
        <row r="31">
          <cell r="E31">
            <v>6.8547999999999998E-2</v>
          </cell>
        </row>
        <row r="32">
          <cell r="E32">
            <v>16.513327</v>
          </cell>
        </row>
        <row r="33">
          <cell r="E33">
            <v>2.572193</v>
          </cell>
        </row>
        <row r="34">
          <cell r="E34">
            <v>4.9349230000000004</v>
          </cell>
        </row>
        <row r="35">
          <cell r="E35">
            <v>8.8813200000000005</v>
          </cell>
        </row>
        <row r="36">
          <cell r="E36">
            <v>0.540107</v>
          </cell>
        </row>
        <row r="37">
          <cell r="E37">
            <v>1.4171119999999999</v>
          </cell>
        </row>
        <row r="38">
          <cell r="E38">
            <v>4.0227930000000001</v>
          </cell>
        </row>
        <row r="39">
          <cell r="E39">
            <v>0.101604</v>
          </cell>
        </row>
        <row r="40">
          <cell r="E40">
            <v>0.90374399999999999</v>
          </cell>
        </row>
        <row r="41">
          <cell r="E41">
            <v>3.030662</v>
          </cell>
        </row>
        <row r="42">
          <cell r="E42">
            <v>33.825468999999998</v>
          </cell>
        </row>
        <row r="43">
          <cell r="E43">
            <v>6.4545459999999997</v>
          </cell>
        </row>
        <row r="44">
          <cell r="E44">
            <v>0.86693500000000001</v>
          </cell>
        </row>
        <row r="45">
          <cell r="E45">
            <v>0.68026500000000001</v>
          </cell>
        </row>
        <row r="46">
          <cell r="E46">
            <v>12.879527</v>
          </cell>
        </row>
        <row r="47">
          <cell r="E47">
            <v>1</v>
          </cell>
        </row>
        <row r="48">
          <cell r="E48">
            <v>3.0481280000000002</v>
          </cell>
        </row>
        <row r="49">
          <cell r="E49">
            <v>1.8990849999999999</v>
          </cell>
        </row>
        <row r="50">
          <cell r="E50">
            <v>0.47142899999999999</v>
          </cell>
        </row>
        <row r="51">
          <cell r="E51">
            <v>1.1665080000000001</v>
          </cell>
        </row>
        <row r="52">
          <cell r="E52">
            <v>0</v>
          </cell>
        </row>
        <row r="53">
          <cell r="E53">
            <v>0.137097</v>
          </cell>
        </row>
        <row r="54">
          <cell r="E54">
            <v>1.994653</v>
          </cell>
        </row>
        <row r="55">
          <cell r="E55">
            <v>7.9069779999999996</v>
          </cell>
        </row>
        <row r="56">
          <cell r="E56">
            <v>2.181171</v>
          </cell>
        </row>
        <row r="57">
          <cell r="E57">
            <v>2.6410659999999999</v>
          </cell>
        </row>
        <row r="58">
          <cell r="E58">
            <v>13.554399999999999</v>
          </cell>
        </row>
        <row r="59">
          <cell r="E59">
            <v>10.065575000000001</v>
          </cell>
        </row>
        <row r="60">
          <cell r="E60">
            <v>1</v>
          </cell>
        </row>
        <row r="61">
          <cell r="E61">
            <v>19.126833000000001</v>
          </cell>
        </row>
        <row r="62">
          <cell r="E62">
            <v>0</v>
          </cell>
        </row>
        <row r="63">
          <cell r="E63">
            <v>2.990815</v>
          </cell>
        </row>
        <row r="64">
          <cell r="E64">
            <v>0</v>
          </cell>
        </row>
        <row r="65">
          <cell r="E65">
            <v>1.0362910000000001</v>
          </cell>
        </row>
        <row r="66">
          <cell r="E66">
            <v>3.6110069999999999</v>
          </cell>
        </row>
        <row r="67">
          <cell r="E67">
            <v>0.83892500000000003</v>
          </cell>
        </row>
        <row r="68">
          <cell r="E68">
            <v>0.97860899999999995</v>
          </cell>
        </row>
        <row r="69">
          <cell r="E69">
            <v>0.51336899999999996</v>
          </cell>
        </row>
        <row r="70">
          <cell r="E70">
            <v>0.59358200000000005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0.235294</v>
          </cell>
        </row>
        <row r="75">
          <cell r="E75">
            <v>0</v>
          </cell>
        </row>
      </sheetData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8 Membership 2.1.14"/>
    </sheetNames>
    <sheetDataSet>
      <sheetData sheetId="0">
        <row r="3">
          <cell r="W3">
            <v>7</v>
          </cell>
        </row>
        <row r="4">
          <cell r="W4">
            <v>1</v>
          </cell>
        </row>
        <row r="5">
          <cell r="W5">
            <v>14</v>
          </cell>
          <cell r="X5">
            <v>1</v>
          </cell>
        </row>
        <row r="7">
          <cell r="W7">
            <v>3</v>
          </cell>
        </row>
        <row r="8">
          <cell r="W8">
            <v>4</v>
          </cell>
        </row>
        <row r="10">
          <cell r="W10">
            <v>12</v>
          </cell>
        </row>
        <row r="11">
          <cell r="W11">
            <v>2</v>
          </cell>
        </row>
        <row r="12">
          <cell r="W12">
            <v>9</v>
          </cell>
        </row>
        <row r="13">
          <cell r="W13">
            <v>1</v>
          </cell>
        </row>
        <row r="17">
          <cell r="W17">
            <v>1</v>
          </cell>
        </row>
        <row r="18">
          <cell r="W18">
            <v>2</v>
          </cell>
        </row>
        <row r="19">
          <cell r="W19">
            <v>25</v>
          </cell>
        </row>
        <row r="22">
          <cell r="W22">
            <v>2</v>
          </cell>
        </row>
        <row r="23">
          <cell r="W23">
            <v>2</v>
          </cell>
        </row>
        <row r="25">
          <cell r="W25">
            <v>6</v>
          </cell>
        </row>
        <row r="26">
          <cell r="W26">
            <v>3</v>
          </cell>
        </row>
        <row r="28">
          <cell r="W28">
            <v>6</v>
          </cell>
          <cell r="X28">
            <v>48</v>
          </cell>
        </row>
        <row r="30">
          <cell r="W30">
            <v>12</v>
          </cell>
        </row>
        <row r="31">
          <cell r="W31">
            <v>3</v>
          </cell>
          <cell r="X31">
            <v>1</v>
          </cell>
        </row>
        <row r="33">
          <cell r="W33">
            <v>3</v>
          </cell>
        </row>
        <row r="34">
          <cell r="W34">
            <v>17</v>
          </cell>
          <cell r="X34">
            <v>1</v>
          </cell>
        </row>
        <row r="36">
          <cell r="W36">
            <v>1</v>
          </cell>
        </row>
        <row r="37">
          <cell r="W37">
            <v>17</v>
          </cell>
        </row>
        <row r="38">
          <cell r="W38">
            <v>2</v>
          </cell>
          <cell r="X38">
            <v>76</v>
          </cell>
        </row>
        <row r="39">
          <cell r="W39">
            <v>7</v>
          </cell>
        </row>
        <row r="40">
          <cell r="W40">
            <v>1</v>
          </cell>
          <cell r="X40">
            <v>2</v>
          </cell>
        </row>
        <row r="41">
          <cell r="W41">
            <v>6</v>
          </cell>
        </row>
        <row r="42">
          <cell r="W42">
            <v>16</v>
          </cell>
        </row>
        <row r="43">
          <cell r="W43">
            <v>1</v>
          </cell>
        </row>
        <row r="45">
          <cell r="W45">
            <v>3</v>
          </cell>
        </row>
        <row r="46">
          <cell r="W46">
            <v>2</v>
          </cell>
          <cell r="X46">
            <v>6</v>
          </cell>
        </row>
        <row r="47">
          <cell r="W47">
            <v>3</v>
          </cell>
          <cell r="X47">
            <v>9</v>
          </cell>
        </row>
        <row r="49">
          <cell r="W49">
            <v>5</v>
          </cell>
        </row>
        <row r="50">
          <cell r="W50">
            <v>1</v>
          </cell>
          <cell r="X50">
            <v>1</v>
          </cell>
        </row>
        <row r="51">
          <cell r="W51">
            <v>7</v>
          </cell>
        </row>
        <row r="52">
          <cell r="W52">
            <v>7</v>
          </cell>
        </row>
        <row r="53">
          <cell r="W53">
            <v>5</v>
          </cell>
        </row>
        <row r="54">
          <cell r="W54">
            <v>10</v>
          </cell>
          <cell r="X54">
            <v>26</v>
          </cell>
        </row>
        <row r="55">
          <cell r="W55">
            <v>6</v>
          </cell>
          <cell r="X55">
            <v>3</v>
          </cell>
        </row>
        <row r="57">
          <cell r="W57">
            <v>18</v>
          </cell>
          <cell r="X57">
            <v>1</v>
          </cell>
        </row>
        <row r="59">
          <cell r="W59">
            <v>1</v>
          </cell>
        </row>
        <row r="60">
          <cell r="W60">
            <v>14</v>
          </cell>
        </row>
        <row r="62">
          <cell r="W62">
            <v>4</v>
          </cell>
        </row>
        <row r="64">
          <cell r="W64">
            <v>1</v>
          </cell>
        </row>
        <row r="65">
          <cell r="W65">
            <v>4</v>
          </cell>
        </row>
        <row r="66">
          <cell r="W66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SD Orleans Allocation"/>
    </sheetNames>
    <sheetDataSet>
      <sheetData sheetId="0" refreshError="1"/>
      <sheetData sheetId="1">
        <row r="7">
          <cell r="BF7">
            <v>2141386</v>
          </cell>
        </row>
        <row r="10">
          <cell r="BF10">
            <v>1145802</v>
          </cell>
        </row>
        <row r="11">
          <cell r="BF11">
            <v>1501126</v>
          </cell>
        </row>
        <row r="12">
          <cell r="BF12">
            <v>2015104</v>
          </cell>
        </row>
        <row r="13">
          <cell r="BF13">
            <v>1366624</v>
          </cell>
        </row>
        <row r="14">
          <cell r="BF14">
            <v>511254</v>
          </cell>
        </row>
        <row r="17">
          <cell r="BF17">
            <v>567036</v>
          </cell>
        </row>
        <row r="18">
          <cell r="BF18">
            <v>1592402</v>
          </cell>
        </row>
        <row r="19">
          <cell r="BF19">
            <v>1351927</v>
          </cell>
        </row>
        <row r="20">
          <cell r="BF20">
            <v>1671984</v>
          </cell>
        </row>
        <row r="21">
          <cell r="BF21">
            <v>661419</v>
          </cell>
        </row>
        <row r="22">
          <cell r="BF22">
            <v>1131944</v>
          </cell>
        </row>
        <row r="25">
          <cell r="BF25">
            <v>1526326</v>
          </cell>
        </row>
        <row r="26">
          <cell r="BF26">
            <v>1864200</v>
          </cell>
        </row>
        <row r="27">
          <cell r="BF27">
            <v>2111338</v>
          </cell>
        </row>
        <row r="28">
          <cell r="BF28">
            <v>2160154</v>
          </cell>
        </row>
        <row r="29">
          <cell r="BF29">
            <v>528088</v>
          </cell>
        </row>
        <row r="30">
          <cell r="BF30">
            <v>535842</v>
          </cell>
        </row>
        <row r="31">
          <cell r="BF31">
            <v>2370680</v>
          </cell>
        </row>
        <row r="32">
          <cell r="BF32">
            <v>1372981</v>
          </cell>
        </row>
        <row r="33">
          <cell r="BF33">
            <v>1156354</v>
          </cell>
        </row>
        <row r="34">
          <cell r="BF34">
            <v>1424848</v>
          </cell>
        </row>
        <row r="35">
          <cell r="BF35">
            <v>1455302</v>
          </cell>
        </row>
        <row r="36">
          <cell r="BF36">
            <v>1403272</v>
          </cell>
        </row>
        <row r="37">
          <cell r="BF37">
            <v>954683</v>
          </cell>
        </row>
        <row r="38">
          <cell r="BF38">
            <v>889290</v>
          </cell>
        </row>
        <row r="39">
          <cell r="BF39">
            <v>997446</v>
          </cell>
        </row>
        <row r="40">
          <cell r="BF40">
            <v>982444</v>
          </cell>
        </row>
        <row r="41">
          <cell r="BF41">
            <v>1504176</v>
          </cell>
        </row>
        <row r="42">
          <cell r="BF42">
            <v>848196</v>
          </cell>
        </row>
        <row r="43">
          <cell r="BF43">
            <v>1827590</v>
          </cell>
        </row>
        <row r="44">
          <cell r="BF44">
            <v>1814494</v>
          </cell>
        </row>
        <row r="45">
          <cell r="BF45">
            <v>2251688</v>
          </cell>
        </row>
        <row r="46">
          <cell r="BF46">
            <v>1150253</v>
          </cell>
        </row>
        <row r="47">
          <cell r="BF47">
            <v>1369928</v>
          </cell>
        </row>
        <row r="48">
          <cell r="BF48">
            <v>2684938</v>
          </cell>
        </row>
        <row r="49">
          <cell r="BF49">
            <v>1476717</v>
          </cell>
        </row>
        <row r="50">
          <cell r="BF50">
            <v>1339418</v>
          </cell>
        </row>
        <row r="51">
          <cell r="BF51">
            <v>2091632</v>
          </cell>
        </row>
        <row r="52">
          <cell r="BF52">
            <v>2373728</v>
          </cell>
        </row>
        <row r="53">
          <cell r="BF53">
            <v>1896240</v>
          </cell>
        </row>
        <row r="54">
          <cell r="BF54">
            <v>1730592</v>
          </cell>
        </row>
        <row r="55">
          <cell r="BF55">
            <v>3551984</v>
          </cell>
        </row>
        <row r="56">
          <cell r="BF56">
            <v>712237</v>
          </cell>
        </row>
        <row r="57">
          <cell r="BF57">
            <v>1290600</v>
          </cell>
        </row>
        <row r="58">
          <cell r="BF58">
            <v>2178462</v>
          </cell>
        </row>
        <row r="59">
          <cell r="BF59">
            <v>2678836</v>
          </cell>
        </row>
        <row r="60">
          <cell r="BF60">
            <v>1311960</v>
          </cell>
        </row>
        <row r="61">
          <cell r="BF61">
            <v>1598760</v>
          </cell>
        </row>
        <row r="62">
          <cell r="BF62">
            <v>1275344</v>
          </cell>
        </row>
        <row r="63">
          <cell r="BF63">
            <v>2349320</v>
          </cell>
        </row>
        <row r="64">
          <cell r="BF64">
            <v>305106</v>
          </cell>
        </row>
        <row r="65">
          <cell r="BF65">
            <v>1470616</v>
          </cell>
        </row>
        <row r="66">
          <cell r="BF66">
            <v>1778771</v>
          </cell>
        </row>
        <row r="67">
          <cell r="BF67">
            <v>1154956</v>
          </cell>
        </row>
        <row r="68">
          <cell r="BF68">
            <v>1761230</v>
          </cell>
        </row>
        <row r="69">
          <cell r="BF69">
            <v>2370680</v>
          </cell>
        </row>
        <row r="70">
          <cell r="BF70">
            <v>1790976</v>
          </cell>
        </row>
        <row r="71">
          <cell r="AC71">
            <v>-315850.78923747677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D-NO by Site"/>
      <sheetName val="Feb 1 2013"/>
    </sheetNames>
    <sheetDataSet>
      <sheetData sheetId="0">
        <row r="5">
          <cell r="B5">
            <v>300001</v>
          </cell>
          <cell r="C5" t="str">
            <v>Pierre A. Capdau Learning Academy</v>
          </cell>
          <cell r="D5">
            <v>376</v>
          </cell>
        </row>
        <row r="6">
          <cell r="B6">
            <v>300002</v>
          </cell>
          <cell r="C6" t="str">
            <v>Nelson Elementary School</v>
          </cell>
          <cell r="D6">
            <v>492</v>
          </cell>
        </row>
        <row r="7">
          <cell r="B7">
            <v>300003</v>
          </cell>
          <cell r="C7" t="str">
            <v>Lake Area New Tech Early College High School</v>
          </cell>
          <cell r="D7">
            <v>660</v>
          </cell>
        </row>
        <row r="8">
          <cell r="B8">
            <v>300004</v>
          </cell>
          <cell r="C8" t="str">
            <v>Gentilly Terrace Elementary School</v>
          </cell>
          <cell r="D8">
            <v>447</v>
          </cell>
        </row>
        <row r="9">
          <cell r="B9">
            <v>360001</v>
          </cell>
          <cell r="C9" t="str">
            <v>The NET Charter High School</v>
          </cell>
          <cell r="D9">
            <v>145</v>
          </cell>
        </row>
        <row r="10">
          <cell r="B10">
            <v>361001</v>
          </cell>
          <cell r="C10" t="str">
            <v>Crescent Leadership Academy</v>
          </cell>
          <cell r="D10">
            <v>234</v>
          </cell>
        </row>
        <row r="11">
          <cell r="B11">
            <v>362001</v>
          </cell>
          <cell r="C11" t="str">
            <v>John McDonogh High School</v>
          </cell>
          <cell r="D11">
            <v>302</v>
          </cell>
        </row>
        <row r="12">
          <cell r="B12">
            <v>363001</v>
          </cell>
          <cell r="C12" t="str">
            <v>Harriet Tubman Charter School</v>
          </cell>
          <cell r="D12">
            <v>521</v>
          </cell>
        </row>
        <row r="13">
          <cell r="B13">
            <v>363002</v>
          </cell>
          <cell r="C13" t="str">
            <v>Paul Habans Charter School</v>
          </cell>
          <cell r="D13">
            <v>369</v>
          </cell>
        </row>
        <row r="14">
          <cell r="B14">
            <v>364001</v>
          </cell>
          <cell r="C14" t="str">
            <v>Fannie C. Williams Charter School</v>
          </cell>
          <cell r="D14">
            <v>548</v>
          </cell>
        </row>
        <row r="15">
          <cell r="B15">
            <v>366001</v>
          </cell>
          <cell r="C15" t="str">
            <v>Lagniappe Academy of New Orleans</v>
          </cell>
          <cell r="D15">
            <v>164</v>
          </cell>
        </row>
        <row r="16">
          <cell r="B16">
            <v>367001</v>
          </cell>
          <cell r="C16" t="str">
            <v>Edgar P. Harney Spirit of Excellence Academy</v>
          </cell>
          <cell r="D16">
            <v>371</v>
          </cell>
        </row>
        <row r="17">
          <cell r="B17">
            <v>368001</v>
          </cell>
          <cell r="C17" t="str">
            <v>Morris Jeff Community School</v>
          </cell>
          <cell r="D17">
            <v>369</v>
          </cell>
        </row>
        <row r="18">
          <cell r="B18">
            <v>369001</v>
          </cell>
          <cell r="C18" t="str">
            <v>ReNew Cultural Arts Academy at Live Oak</v>
          </cell>
          <cell r="D18">
            <v>611</v>
          </cell>
        </row>
        <row r="19">
          <cell r="B19">
            <v>369002</v>
          </cell>
          <cell r="C19" t="str">
            <v>ReNew SciTech Academy at Laurel</v>
          </cell>
          <cell r="D19">
            <v>692</v>
          </cell>
        </row>
        <row r="20">
          <cell r="B20">
            <v>369003</v>
          </cell>
          <cell r="C20" t="str">
            <v>ReNew Dolores T. Aaron Elementary</v>
          </cell>
          <cell r="D20">
            <v>708</v>
          </cell>
        </row>
        <row r="21">
          <cell r="B21">
            <v>369004</v>
          </cell>
          <cell r="C21" t="str">
            <v>ReNEW Accelerated High School #1</v>
          </cell>
          <cell r="D21">
            <v>174</v>
          </cell>
        </row>
        <row r="22">
          <cell r="B22">
            <v>369005</v>
          </cell>
          <cell r="C22" t="str">
            <v>ReNEW Accelerated High School #2</v>
          </cell>
          <cell r="D22">
            <v>177</v>
          </cell>
        </row>
        <row r="23">
          <cell r="B23">
            <v>369006</v>
          </cell>
          <cell r="C23" t="str">
            <v>ReNew Schaumburg Elementary</v>
          </cell>
          <cell r="D23">
            <v>777</v>
          </cell>
        </row>
        <row r="24">
          <cell r="B24">
            <v>369700</v>
          </cell>
          <cell r="C24" t="str">
            <v>RSD-ReNEW-Reinventing Education, Inc. Central Ofc.</v>
          </cell>
          <cell r="D24">
            <v>0</v>
          </cell>
        </row>
        <row r="25">
          <cell r="B25">
            <v>373001</v>
          </cell>
          <cell r="C25" t="str">
            <v>Arise Academy</v>
          </cell>
          <cell r="D25">
            <v>450</v>
          </cell>
        </row>
        <row r="26">
          <cell r="B26">
            <v>373002</v>
          </cell>
          <cell r="C26" t="str">
            <v>Mildred Osborne Charter School</v>
          </cell>
          <cell r="D26">
            <v>379</v>
          </cell>
        </row>
        <row r="27">
          <cell r="B27">
            <v>374001</v>
          </cell>
          <cell r="C27" t="str">
            <v>Success Preparatory Academy</v>
          </cell>
          <cell r="D27">
            <v>467</v>
          </cell>
        </row>
        <row r="28">
          <cell r="B28">
            <v>381001</v>
          </cell>
          <cell r="C28" t="str">
            <v>Akili Academy of New Orleans</v>
          </cell>
          <cell r="D28">
            <v>482</v>
          </cell>
        </row>
        <row r="29">
          <cell r="B29">
            <v>382001</v>
          </cell>
          <cell r="C29" t="str">
            <v>Sci Academy</v>
          </cell>
          <cell r="D29">
            <v>433</v>
          </cell>
        </row>
        <row r="30">
          <cell r="B30">
            <v>382002</v>
          </cell>
          <cell r="C30" t="str">
            <v>G. W. Carver Collegiate Academy</v>
          </cell>
          <cell r="D30">
            <v>202</v>
          </cell>
        </row>
        <row r="31">
          <cell r="B31">
            <v>382003</v>
          </cell>
          <cell r="C31" t="str">
            <v>G. W. Carver Preparatory Academy</v>
          </cell>
          <cell r="D31">
            <v>186</v>
          </cell>
        </row>
        <row r="32">
          <cell r="B32">
            <v>384001</v>
          </cell>
          <cell r="C32" t="str">
            <v>Miller-McCoy Academy for Mathematics and Business</v>
          </cell>
          <cell r="D32">
            <v>326</v>
          </cell>
        </row>
        <row r="33">
          <cell r="B33">
            <v>385001</v>
          </cell>
          <cell r="C33" t="str">
            <v>Sylvanie Williams College Prep</v>
          </cell>
          <cell r="D33">
            <v>322</v>
          </cell>
        </row>
        <row r="34">
          <cell r="B34">
            <v>385002</v>
          </cell>
          <cell r="C34" t="str">
            <v>Cohen College Prep</v>
          </cell>
          <cell r="D34">
            <v>493</v>
          </cell>
        </row>
        <row r="35">
          <cell r="B35">
            <v>385003</v>
          </cell>
          <cell r="C35" t="str">
            <v>Lawrence D. Crocker College Prep</v>
          </cell>
          <cell r="D35">
            <v>278</v>
          </cell>
        </row>
        <row r="36">
          <cell r="B36">
            <v>388001</v>
          </cell>
          <cell r="C36" t="str">
            <v>Andrew H. Wilson Charter School</v>
          </cell>
          <cell r="D36">
            <v>599</v>
          </cell>
        </row>
        <row r="37">
          <cell r="B37">
            <v>390001</v>
          </cell>
          <cell r="C37" t="str">
            <v>James M. Singleton Charter School</v>
          </cell>
          <cell r="D37">
            <v>511</v>
          </cell>
        </row>
        <row r="38">
          <cell r="B38">
            <v>391001</v>
          </cell>
          <cell r="C38" t="str">
            <v>Dr. Martin Luther King Charter School for Sci/Tech</v>
          </cell>
          <cell r="D38">
            <v>738</v>
          </cell>
        </row>
        <row r="39">
          <cell r="B39">
            <v>391002</v>
          </cell>
          <cell r="C39" t="str">
            <v>Joseph A. Craig Charter School</v>
          </cell>
          <cell r="D39">
            <v>377</v>
          </cell>
        </row>
        <row r="40">
          <cell r="B40">
            <v>392001</v>
          </cell>
          <cell r="C40" t="str">
            <v>McDonogh City Park Academy</v>
          </cell>
          <cell r="D40">
            <v>449</v>
          </cell>
        </row>
        <row r="41">
          <cell r="B41">
            <v>393001</v>
          </cell>
          <cell r="C41" t="str">
            <v>Lafayette Academy</v>
          </cell>
          <cell r="D41">
            <v>880</v>
          </cell>
        </row>
        <row r="42">
          <cell r="B42">
            <v>393002</v>
          </cell>
          <cell r="C42" t="str">
            <v>Esperanza Charter School</v>
          </cell>
          <cell r="D42">
            <v>484</v>
          </cell>
        </row>
        <row r="43">
          <cell r="B43">
            <v>393003</v>
          </cell>
          <cell r="C43" t="str">
            <v>McDonogh 42 Charter School</v>
          </cell>
          <cell r="D43">
            <v>439</v>
          </cell>
        </row>
        <row r="44">
          <cell r="B44">
            <v>395001</v>
          </cell>
          <cell r="C44" t="str">
            <v>Martin Behrman Elementary School</v>
          </cell>
          <cell r="D44">
            <v>686</v>
          </cell>
        </row>
        <row r="45">
          <cell r="B45">
            <v>395002</v>
          </cell>
          <cell r="C45" t="str">
            <v>Dwight D. Eisenhower Elementary School</v>
          </cell>
          <cell r="D45">
            <v>778</v>
          </cell>
        </row>
        <row r="46">
          <cell r="B46">
            <v>395003</v>
          </cell>
          <cell r="C46" t="str">
            <v>William J. Fischer Elementary School</v>
          </cell>
          <cell r="D46">
            <v>616</v>
          </cell>
        </row>
        <row r="47">
          <cell r="B47">
            <v>395004</v>
          </cell>
          <cell r="C47" t="str">
            <v>McDonogh #32 Elementary School</v>
          </cell>
          <cell r="D47">
            <v>564</v>
          </cell>
        </row>
        <row r="48">
          <cell r="B48">
            <v>395005</v>
          </cell>
          <cell r="C48" t="str">
            <v>Lord Beaconsfield Landry-Oliver Perry Walker High</v>
          </cell>
          <cell r="D48">
            <v>1170</v>
          </cell>
        </row>
        <row r="49">
          <cell r="B49">
            <v>395007</v>
          </cell>
          <cell r="C49" t="str">
            <v>Algiers Technology Academy</v>
          </cell>
          <cell r="D49">
            <v>234</v>
          </cell>
        </row>
        <row r="50">
          <cell r="B50">
            <v>397001</v>
          </cell>
          <cell r="C50" t="str">
            <v>Sophie B. Wright Learning Academy</v>
          </cell>
          <cell r="D50">
            <v>447</v>
          </cell>
        </row>
        <row r="51">
          <cell r="B51">
            <v>398001</v>
          </cell>
          <cell r="C51" t="str">
            <v>KIPP Believe College Prep (Phillips)</v>
          </cell>
          <cell r="D51">
            <v>714</v>
          </cell>
        </row>
        <row r="52">
          <cell r="B52">
            <v>398002</v>
          </cell>
          <cell r="C52" t="str">
            <v>KIPP McDonogh 15 School for the Creative Arts</v>
          </cell>
          <cell r="D52">
            <v>878</v>
          </cell>
        </row>
        <row r="53">
          <cell r="B53">
            <v>398003</v>
          </cell>
          <cell r="C53" t="str">
            <v>KIPP Central City Academy</v>
          </cell>
          <cell r="D53">
            <v>430</v>
          </cell>
        </row>
        <row r="54">
          <cell r="B54">
            <v>398004</v>
          </cell>
          <cell r="C54" t="str">
            <v>KIPP Central City Primary</v>
          </cell>
          <cell r="D54">
            <v>524</v>
          </cell>
        </row>
        <row r="55">
          <cell r="B55">
            <v>398005</v>
          </cell>
          <cell r="C55" t="str">
            <v>KIPP Renaissance High School</v>
          </cell>
          <cell r="D55">
            <v>418</v>
          </cell>
        </row>
        <row r="56">
          <cell r="B56">
            <v>398006</v>
          </cell>
          <cell r="C56" t="str">
            <v>KIPP New Orleans Leadership Academy</v>
          </cell>
          <cell r="D56">
            <v>770</v>
          </cell>
        </row>
        <row r="57">
          <cell r="B57">
            <v>399001</v>
          </cell>
          <cell r="C57" t="str">
            <v>Samuel J. Green Charter School</v>
          </cell>
          <cell r="D57">
            <v>482</v>
          </cell>
        </row>
        <row r="58">
          <cell r="B58">
            <v>399002</v>
          </cell>
          <cell r="C58" t="str">
            <v>Arthur Ashe Charter School</v>
          </cell>
          <cell r="D58">
            <v>583</v>
          </cell>
        </row>
        <row r="59">
          <cell r="B59">
            <v>399003</v>
          </cell>
          <cell r="C59" t="str">
            <v>Joseph S. Clark Preparatory High School</v>
          </cell>
          <cell r="D59">
            <v>379</v>
          </cell>
        </row>
        <row r="60">
          <cell r="B60">
            <v>399004</v>
          </cell>
          <cell r="C60" t="str">
            <v>John Dibert Community School</v>
          </cell>
          <cell r="D60">
            <v>496</v>
          </cell>
        </row>
        <row r="61">
          <cell r="B61">
            <v>399005</v>
          </cell>
          <cell r="C61" t="str">
            <v>Langston Hughes Charter Academy</v>
          </cell>
          <cell r="D61">
            <v>777</v>
          </cell>
        </row>
        <row r="62">
          <cell r="B62" t="str">
            <v>3A5001</v>
          </cell>
          <cell r="C62" t="str">
            <v>Mary D. Coghill Charter School</v>
          </cell>
          <cell r="D62">
            <v>587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scent Leadership"/>
      <sheetName val="MER_Crescent Leadership"/>
    </sheetNames>
    <sheetDataSet>
      <sheetData sheetId="0"/>
      <sheetData sheetId="1">
        <row r="6">
          <cell r="E6">
            <v>-71</v>
          </cell>
        </row>
        <row r="9">
          <cell r="E9">
            <v>-1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FY14-15"/>
      <sheetName val="Table 2_State Distrib and Adjs"/>
      <sheetName val="Table 2A-1_EFT (Annual)"/>
      <sheetName val="Table 2A-2 EFT (Monthly)"/>
      <sheetName val="Table 3 Levels 1&amp;2"/>
      <sheetName val="Table 3A Level 3"/>
      <sheetName val="Table 4 Level 4"/>
      <sheetName val="Table 5A1_Labs"/>
      <sheetName val="Table 5A2- Legacy Type 2"/>
      <sheetName val="Table 5A3_OJJ"/>
      <sheetName val="Table 5A4_NOCCA"/>
      <sheetName val="Table 5A5_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1O-Impact"/>
      <sheetName val="Table 5C1P-Vision"/>
      <sheetName val="Table 5C1Q-Advantage"/>
      <sheetName val="Table 5C1R-Iberville"/>
      <sheetName val="Table 5C1S-L.C. Coll Prep"/>
      <sheetName val="Table 5C1T-Northeast"/>
      <sheetName val="Table 5C1U-Acadiana Ren"/>
      <sheetName val="Table 5C1V-Laf Ren"/>
      <sheetName val="Table 5C1W-Willow"/>
      <sheetName val="Table 5C2 - LA Virtual Admy"/>
      <sheetName val="Table 5C3 - LA Connections EBR"/>
      <sheetName val="Table 6 (Local Deduct Calc.)"/>
      <sheetName val="Table 7 Local Revenue"/>
      <sheetName val="Table 8 Membership 2.1.14"/>
      <sheetName val="Type 2 Totals w-o Level 4"/>
      <sheetName val="Type 2 Totals with Level 4"/>
      <sheetName val="Comparison FY13-14"/>
      <sheetName val="Comparison Other"/>
      <sheetName val="Comparison City-Parish"/>
      <sheetName val="Type 2 Totals"/>
      <sheetName val="Sheet1"/>
      <sheetName val="T1 V2"/>
      <sheetName val="T1-Original"/>
      <sheetName val="Comparison March to May"/>
      <sheetName val="Table 1 State Summary"/>
    </sheetNames>
    <sheetDataSet>
      <sheetData sheetId="0"/>
      <sheetData sheetId="1">
        <row r="59">
          <cell r="F59">
            <v>3613369918.7460122</v>
          </cell>
        </row>
      </sheetData>
      <sheetData sheetId="2">
        <row r="7">
          <cell r="AL7">
            <v>4472772</v>
          </cell>
        </row>
        <row r="8">
          <cell r="AL8">
            <v>2431772</v>
          </cell>
        </row>
        <row r="9">
          <cell r="AL9">
            <v>8277962</v>
          </cell>
        </row>
        <row r="10">
          <cell r="AL10">
            <v>2002387</v>
          </cell>
        </row>
        <row r="11">
          <cell r="AL11">
            <v>2728430</v>
          </cell>
        </row>
        <row r="12">
          <cell r="AL12">
            <v>2899251</v>
          </cell>
        </row>
        <row r="13">
          <cell r="AL13">
            <v>546482</v>
          </cell>
        </row>
        <row r="14">
          <cell r="AL14">
            <v>9671551</v>
          </cell>
        </row>
        <row r="15">
          <cell r="AL15">
            <v>17937517</v>
          </cell>
        </row>
        <row r="16">
          <cell r="AL16">
            <v>12853919</v>
          </cell>
        </row>
        <row r="17">
          <cell r="AL17">
            <v>1019744</v>
          </cell>
        </row>
        <row r="18">
          <cell r="AL18">
            <v>281581</v>
          </cell>
        </row>
        <row r="19">
          <cell r="AL19">
            <v>857229</v>
          </cell>
        </row>
        <row r="20">
          <cell r="AL20">
            <v>852147</v>
          </cell>
        </row>
        <row r="21">
          <cell r="AL21">
            <v>1778951</v>
          </cell>
        </row>
        <row r="22">
          <cell r="AL22">
            <v>1083803</v>
          </cell>
        </row>
        <row r="23">
          <cell r="AL23">
            <v>14025609</v>
          </cell>
        </row>
        <row r="24">
          <cell r="AL24">
            <v>630509</v>
          </cell>
        </row>
        <row r="25">
          <cell r="AL25">
            <v>981480</v>
          </cell>
        </row>
        <row r="26">
          <cell r="AL26">
            <v>2859388</v>
          </cell>
        </row>
        <row r="27">
          <cell r="AL27">
            <v>1614266</v>
          </cell>
        </row>
        <row r="28">
          <cell r="AL28">
            <v>1803688</v>
          </cell>
        </row>
        <row r="29">
          <cell r="AL29">
            <v>6437512</v>
          </cell>
        </row>
        <row r="30">
          <cell r="AL30">
            <v>1322849</v>
          </cell>
        </row>
        <row r="31">
          <cell r="AL31">
            <v>921073</v>
          </cell>
        </row>
        <row r="32">
          <cell r="AL32">
            <v>15922140</v>
          </cell>
        </row>
        <row r="33">
          <cell r="AL33">
            <v>3048644</v>
          </cell>
        </row>
        <row r="34">
          <cell r="AL34">
            <v>9692321</v>
          </cell>
        </row>
        <row r="35">
          <cell r="AL35">
            <v>5349744</v>
          </cell>
        </row>
        <row r="36">
          <cell r="AL36">
            <v>1341326</v>
          </cell>
        </row>
        <row r="37">
          <cell r="AL37">
            <v>2728674</v>
          </cell>
        </row>
        <row r="38">
          <cell r="AL38">
            <v>12976009</v>
          </cell>
        </row>
        <row r="39">
          <cell r="AL39">
            <v>717943</v>
          </cell>
        </row>
        <row r="40">
          <cell r="AL40">
            <v>2532654</v>
          </cell>
        </row>
        <row r="41">
          <cell r="AL41">
            <v>3033784</v>
          </cell>
        </row>
        <row r="42">
          <cell r="AL42">
            <v>4416743</v>
          </cell>
        </row>
        <row r="43">
          <cell r="AL43">
            <v>10219838</v>
          </cell>
        </row>
        <row r="44">
          <cell r="AL44">
            <v>943558</v>
          </cell>
        </row>
        <row r="45">
          <cell r="AL45">
            <v>1032477</v>
          </cell>
        </row>
        <row r="46">
          <cell r="AL46">
            <v>11136019</v>
          </cell>
        </row>
        <row r="47">
          <cell r="AL47">
            <v>506467</v>
          </cell>
        </row>
        <row r="48">
          <cell r="AL48">
            <v>1525200</v>
          </cell>
        </row>
        <row r="49">
          <cell r="AL49">
            <v>2174007</v>
          </cell>
        </row>
        <row r="50">
          <cell r="AL50">
            <v>3087925</v>
          </cell>
        </row>
        <row r="51">
          <cell r="AL51">
            <v>2206959</v>
          </cell>
        </row>
        <row r="52">
          <cell r="AL52">
            <v>580642</v>
          </cell>
        </row>
        <row r="53">
          <cell r="AL53">
            <v>1041434</v>
          </cell>
        </row>
        <row r="54">
          <cell r="AL54">
            <v>2326540</v>
          </cell>
        </row>
        <row r="55">
          <cell r="AL55">
            <v>6610152</v>
          </cell>
        </row>
        <row r="56">
          <cell r="AL56">
            <v>3845143</v>
          </cell>
        </row>
        <row r="57">
          <cell r="AL57">
            <v>3600900</v>
          </cell>
        </row>
        <row r="58">
          <cell r="AL58">
            <v>17681470</v>
          </cell>
        </row>
        <row r="59">
          <cell r="AL59">
            <v>9256952</v>
          </cell>
        </row>
        <row r="60">
          <cell r="AL60">
            <v>366528</v>
          </cell>
        </row>
        <row r="61">
          <cell r="AL61">
            <v>7492277</v>
          </cell>
        </row>
        <row r="62">
          <cell r="AL62">
            <v>1032558</v>
          </cell>
        </row>
        <row r="63">
          <cell r="AL63">
            <v>4093677</v>
          </cell>
        </row>
        <row r="64">
          <cell r="AL64">
            <v>4747772</v>
          </cell>
        </row>
        <row r="65">
          <cell r="AL65">
            <v>3114813</v>
          </cell>
        </row>
        <row r="66">
          <cell r="AL66">
            <v>3154149</v>
          </cell>
        </row>
        <row r="67">
          <cell r="AL67">
            <v>1110630</v>
          </cell>
        </row>
        <row r="68">
          <cell r="AL68">
            <v>1131859</v>
          </cell>
        </row>
        <row r="69">
          <cell r="AL69">
            <v>829815</v>
          </cell>
        </row>
        <row r="70">
          <cell r="AL70">
            <v>1345421</v>
          </cell>
        </row>
        <row r="71">
          <cell r="AL71">
            <v>3824052</v>
          </cell>
        </row>
        <row r="72">
          <cell r="AL72">
            <v>1122216</v>
          </cell>
        </row>
        <row r="73">
          <cell r="AL73">
            <v>2519996</v>
          </cell>
        </row>
        <row r="74">
          <cell r="AL74">
            <v>958256</v>
          </cell>
        </row>
        <row r="75">
          <cell r="AL75">
            <v>2306940</v>
          </cell>
        </row>
      </sheetData>
      <sheetData sheetId="3"/>
      <sheetData sheetId="4"/>
      <sheetData sheetId="5">
        <row r="4">
          <cell r="C4">
            <v>9696</v>
          </cell>
        </row>
      </sheetData>
      <sheetData sheetId="6">
        <row r="6">
          <cell r="C6">
            <v>777.48</v>
          </cell>
        </row>
      </sheetData>
      <sheetData sheetId="7"/>
      <sheetData sheetId="8">
        <row r="5">
          <cell r="C5">
            <v>1394</v>
          </cell>
          <cell r="T5">
            <v>592246</v>
          </cell>
        </row>
        <row r="6">
          <cell r="T6">
            <v>254554</v>
          </cell>
        </row>
      </sheetData>
      <sheetData sheetId="9">
        <row r="5">
          <cell r="C5">
            <v>325</v>
          </cell>
          <cell r="V5">
            <v>286405</v>
          </cell>
        </row>
        <row r="6">
          <cell r="V6">
            <v>282281</v>
          </cell>
        </row>
        <row r="9">
          <cell r="V9">
            <v>658458</v>
          </cell>
        </row>
        <row r="10">
          <cell r="V10">
            <v>460558</v>
          </cell>
        </row>
        <row r="11">
          <cell r="V11">
            <v>692856</v>
          </cell>
        </row>
        <row r="12">
          <cell r="V12">
            <v>1109707</v>
          </cell>
        </row>
        <row r="13">
          <cell r="V13">
            <v>280416</v>
          </cell>
        </row>
        <row r="14">
          <cell r="V14">
            <v>87543</v>
          </cell>
        </row>
      </sheetData>
      <sheetData sheetId="10">
        <row r="6">
          <cell r="C6">
            <v>0.79679100000000003</v>
          </cell>
          <cell r="L6">
            <v>582</v>
          </cell>
          <cell r="W6">
            <v>147</v>
          </cell>
        </row>
        <row r="7">
          <cell r="L7">
            <v>0</v>
          </cell>
          <cell r="W7">
            <v>0</v>
          </cell>
        </row>
        <row r="8">
          <cell r="L8">
            <v>644</v>
          </cell>
          <cell r="W8">
            <v>302</v>
          </cell>
        </row>
        <row r="9">
          <cell r="L9">
            <v>711</v>
          </cell>
          <cell r="W9">
            <v>223</v>
          </cell>
        </row>
        <row r="10">
          <cell r="L10">
            <v>826</v>
          </cell>
          <cell r="W10">
            <v>186</v>
          </cell>
        </row>
        <row r="11">
          <cell r="L11">
            <v>1731</v>
          </cell>
          <cell r="W11">
            <v>620</v>
          </cell>
        </row>
        <row r="12">
          <cell r="L12">
            <v>208</v>
          </cell>
          <cell r="W12">
            <v>220</v>
          </cell>
        </row>
        <row r="13">
          <cell r="L13">
            <v>5470</v>
          </cell>
          <cell r="W13">
            <v>2167</v>
          </cell>
        </row>
        <row r="14">
          <cell r="L14">
            <v>28249</v>
          </cell>
          <cell r="W14">
            <v>11453</v>
          </cell>
        </row>
        <row r="15">
          <cell r="L15">
            <v>6189</v>
          </cell>
          <cell r="W15">
            <v>3027</v>
          </cell>
        </row>
        <row r="16">
          <cell r="L16">
            <v>0</v>
          </cell>
          <cell r="W16">
            <v>0</v>
          </cell>
        </row>
        <row r="17">
          <cell r="L17">
            <v>0</v>
          </cell>
          <cell r="W17">
            <v>0</v>
          </cell>
        </row>
        <row r="18">
          <cell r="L18">
            <v>0</v>
          </cell>
          <cell r="W18">
            <v>0</v>
          </cell>
        </row>
        <row r="19">
          <cell r="L19">
            <v>797</v>
          </cell>
          <cell r="W19">
            <v>380</v>
          </cell>
        </row>
        <row r="20">
          <cell r="L20">
            <v>0</v>
          </cell>
          <cell r="W20">
            <v>0</v>
          </cell>
        </row>
        <row r="21">
          <cell r="L21">
            <v>741</v>
          </cell>
          <cell r="W21">
            <v>850</v>
          </cell>
        </row>
        <row r="22">
          <cell r="L22">
            <v>15093</v>
          </cell>
          <cell r="W22">
            <v>10237</v>
          </cell>
        </row>
        <row r="23">
          <cell r="L23">
            <v>590</v>
          </cell>
          <cell r="W23">
            <v>177</v>
          </cell>
        </row>
        <row r="24">
          <cell r="L24">
            <v>805</v>
          </cell>
          <cell r="W24">
            <v>217</v>
          </cell>
        </row>
        <row r="25">
          <cell r="L25">
            <v>2914</v>
          </cell>
          <cell r="W25">
            <v>857</v>
          </cell>
        </row>
        <row r="26">
          <cell r="L26">
            <v>1735</v>
          </cell>
          <cell r="W26">
            <v>422</v>
          </cell>
        </row>
        <row r="27">
          <cell r="L27">
            <v>664</v>
          </cell>
          <cell r="W27">
            <v>110</v>
          </cell>
        </row>
        <row r="28">
          <cell r="L28">
            <v>4767</v>
          </cell>
          <cell r="W28">
            <v>1805</v>
          </cell>
        </row>
        <row r="29">
          <cell r="L29">
            <v>839</v>
          </cell>
          <cell r="W29">
            <v>762</v>
          </cell>
        </row>
        <row r="30">
          <cell r="L30">
            <v>45</v>
          </cell>
          <cell r="W30">
            <v>25</v>
          </cell>
        </row>
        <row r="31">
          <cell r="L31">
            <v>9687</v>
          </cell>
          <cell r="W31">
            <v>6546</v>
          </cell>
        </row>
        <row r="32">
          <cell r="L32">
            <v>2149</v>
          </cell>
          <cell r="W32">
            <v>675</v>
          </cell>
        </row>
        <row r="33">
          <cell r="L33">
            <v>2679</v>
          </cell>
          <cell r="W33">
            <v>1776</v>
          </cell>
        </row>
        <row r="34">
          <cell r="L34">
            <v>4937</v>
          </cell>
          <cell r="W34">
            <v>2433</v>
          </cell>
        </row>
        <row r="35">
          <cell r="L35">
            <v>453</v>
          </cell>
          <cell r="W35">
            <v>142</v>
          </cell>
        </row>
        <row r="36">
          <cell r="L36">
            <v>973</v>
          </cell>
          <cell r="W36">
            <v>453</v>
          </cell>
        </row>
        <row r="37">
          <cell r="L37">
            <v>3149</v>
          </cell>
          <cell r="W37">
            <v>677</v>
          </cell>
        </row>
        <row r="38">
          <cell r="L38">
            <v>81</v>
          </cell>
          <cell r="W38">
            <v>30</v>
          </cell>
        </row>
        <row r="39">
          <cell r="L39">
            <v>798</v>
          </cell>
          <cell r="W39">
            <v>217</v>
          </cell>
        </row>
        <row r="40">
          <cell r="L40">
            <v>2268</v>
          </cell>
          <cell r="W40">
            <v>832</v>
          </cell>
        </row>
        <row r="41">
          <cell r="L41">
            <v>19847</v>
          </cell>
          <cell r="W41">
            <v>12498</v>
          </cell>
        </row>
        <row r="42">
          <cell r="L42">
            <v>5265</v>
          </cell>
          <cell r="W42">
            <v>1590</v>
          </cell>
        </row>
        <row r="43">
          <cell r="L43">
            <v>384</v>
          </cell>
          <cell r="W43">
            <v>457</v>
          </cell>
        </row>
        <row r="44">
          <cell r="L44">
            <v>414</v>
          </cell>
          <cell r="W44">
            <v>260</v>
          </cell>
        </row>
        <row r="45">
          <cell r="L45">
            <v>9804</v>
          </cell>
          <cell r="W45">
            <v>3321</v>
          </cell>
        </row>
        <row r="46">
          <cell r="L46">
            <v>581</v>
          </cell>
          <cell r="W46">
            <v>427</v>
          </cell>
        </row>
        <row r="47">
          <cell r="L47">
            <v>2262</v>
          </cell>
          <cell r="W47">
            <v>932</v>
          </cell>
        </row>
        <row r="48">
          <cell r="L48">
            <v>1558</v>
          </cell>
          <cell r="W48">
            <v>532</v>
          </cell>
        </row>
        <row r="49">
          <cell r="L49">
            <v>345</v>
          </cell>
          <cell r="W49">
            <v>140</v>
          </cell>
        </row>
        <row r="50">
          <cell r="L50">
            <v>523</v>
          </cell>
          <cell r="W50">
            <v>555</v>
          </cell>
        </row>
        <row r="51">
          <cell r="L51">
            <v>0</v>
          </cell>
          <cell r="W51">
            <v>0</v>
          </cell>
        </row>
        <row r="52">
          <cell r="L52">
            <v>68</v>
          </cell>
          <cell r="W52">
            <v>68</v>
          </cell>
        </row>
        <row r="53">
          <cell r="L53">
            <v>1307</v>
          </cell>
          <cell r="W53">
            <v>764</v>
          </cell>
        </row>
        <row r="54">
          <cell r="L54">
            <v>5702</v>
          </cell>
          <cell r="W54">
            <v>1592</v>
          </cell>
        </row>
        <row r="55">
          <cell r="L55">
            <v>1597</v>
          </cell>
          <cell r="W55">
            <v>562</v>
          </cell>
        </row>
        <row r="56">
          <cell r="L56">
            <v>1769</v>
          </cell>
          <cell r="W56">
            <v>957</v>
          </cell>
        </row>
        <row r="57">
          <cell r="L57">
            <v>9489</v>
          </cell>
          <cell r="W57">
            <v>3809</v>
          </cell>
        </row>
        <row r="58">
          <cell r="L58">
            <v>7582</v>
          </cell>
          <cell r="W58">
            <v>1787</v>
          </cell>
        </row>
        <row r="59">
          <cell r="L59">
            <v>871</v>
          </cell>
          <cell r="W59">
            <v>329</v>
          </cell>
        </row>
        <row r="60">
          <cell r="L60">
            <v>12591</v>
          </cell>
          <cell r="W60">
            <v>5231</v>
          </cell>
        </row>
        <row r="61">
          <cell r="L61">
            <v>0</v>
          </cell>
          <cell r="W61">
            <v>0</v>
          </cell>
        </row>
        <row r="62">
          <cell r="L62">
            <v>1700</v>
          </cell>
          <cell r="W62">
            <v>605</v>
          </cell>
        </row>
        <row r="63">
          <cell r="L63">
            <v>0</v>
          </cell>
          <cell r="W63">
            <v>0</v>
          </cell>
        </row>
        <row r="64">
          <cell r="L64">
            <v>958</v>
          </cell>
          <cell r="W64">
            <v>154</v>
          </cell>
        </row>
        <row r="65">
          <cell r="L65">
            <v>2778</v>
          </cell>
          <cell r="W65">
            <v>1009</v>
          </cell>
        </row>
        <row r="66">
          <cell r="L66">
            <v>442</v>
          </cell>
          <cell r="W66">
            <v>358</v>
          </cell>
        </row>
        <row r="67">
          <cell r="L67">
            <v>809</v>
          </cell>
          <cell r="W67">
            <v>166</v>
          </cell>
        </row>
        <row r="68">
          <cell r="L68">
            <v>338</v>
          </cell>
          <cell r="W68">
            <v>218</v>
          </cell>
        </row>
        <row r="69">
          <cell r="L69">
            <v>520</v>
          </cell>
          <cell r="W69">
            <v>155</v>
          </cell>
        </row>
        <row r="70">
          <cell r="L70">
            <v>0</v>
          </cell>
          <cell r="W70">
            <v>0</v>
          </cell>
        </row>
        <row r="71">
          <cell r="L71">
            <v>0</v>
          </cell>
          <cell r="W71">
            <v>0</v>
          </cell>
        </row>
        <row r="72">
          <cell r="L72">
            <v>0</v>
          </cell>
          <cell r="W72">
            <v>0</v>
          </cell>
        </row>
        <row r="73">
          <cell r="L73">
            <v>214</v>
          </cell>
          <cell r="W73">
            <v>59</v>
          </cell>
        </row>
        <row r="74">
          <cell r="L74">
            <v>0</v>
          </cell>
          <cell r="W74">
            <v>0</v>
          </cell>
        </row>
        <row r="76">
          <cell r="L76">
            <v>0</v>
          </cell>
        </row>
        <row r="80">
          <cell r="L80">
            <v>605</v>
          </cell>
        </row>
      </sheetData>
      <sheetData sheetId="11">
        <row r="7">
          <cell r="C7">
            <v>0</v>
          </cell>
          <cell r="Q7">
            <v>0</v>
          </cell>
        </row>
        <row r="8">
          <cell r="Q8">
            <v>0</v>
          </cell>
        </row>
        <row r="9">
          <cell r="Q9">
            <v>698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0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36189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692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690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56189</v>
          </cell>
        </row>
        <row r="43">
          <cell r="Q43">
            <v>0</v>
          </cell>
        </row>
        <row r="44">
          <cell r="Q44">
            <v>1541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4562</v>
          </cell>
        </row>
        <row r="51">
          <cell r="Q51">
            <v>6218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788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20225</v>
          </cell>
        </row>
        <row r="59">
          <cell r="Q59">
            <v>1970</v>
          </cell>
        </row>
        <row r="60">
          <cell r="Q60">
            <v>0</v>
          </cell>
        </row>
        <row r="61">
          <cell r="Q61">
            <v>704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7">
          <cell r="Q77">
            <v>0</v>
          </cell>
        </row>
        <row r="81">
          <cell r="Q81">
            <v>379</v>
          </cell>
        </row>
      </sheetData>
      <sheetData sheetId="12">
        <row r="7">
          <cell r="C7">
            <v>7</v>
          </cell>
          <cell r="Q7">
            <v>4527</v>
          </cell>
        </row>
        <row r="8">
          <cell r="Q8">
            <v>826</v>
          </cell>
        </row>
        <row r="9">
          <cell r="Q9">
            <v>9771</v>
          </cell>
        </row>
        <row r="10">
          <cell r="Q10">
            <v>0</v>
          </cell>
        </row>
        <row r="11">
          <cell r="Q11">
            <v>1971</v>
          </cell>
        </row>
        <row r="12">
          <cell r="Q12">
            <v>3081</v>
          </cell>
        </row>
        <row r="13">
          <cell r="Q13">
            <v>0</v>
          </cell>
        </row>
        <row r="14">
          <cell r="Q14">
            <v>8792</v>
          </cell>
        </row>
        <row r="15">
          <cell r="Q15">
            <v>1474</v>
          </cell>
        </row>
        <row r="16">
          <cell r="Q16">
            <v>6696</v>
          </cell>
        </row>
        <row r="17">
          <cell r="Q17">
            <v>934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765</v>
          </cell>
        </row>
        <row r="22">
          <cell r="Q22">
            <v>1397</v>
          </cell>
        </row>
        <row r="23">
          <cell r="Q23">
            <v>18508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1428</v>
          </cell>
        </row>
        <row r="27">
          <cell r="Q27">
            <v>1532</v>
          </cell>
        </row>
        <row r="28">
          <cell r="Q28">
            <v>0</v>
          </cell>
        </row>
        <row r="29">
          <cell r="Q29">
            <v>4549</v>
          </cell>
        </row>
        <row r="30">
          <cell r="Q30">
            <v>2238</v>
          </cell>
        </row>
        <row r="31">
          <cell r="Q31">
            <v>0</v>
          </cell>
        </row>
        <row r="32">
          <cell r="Q32">
            <v>4524</v>
          </cell>
        </row>
        <row r="33">
          <cell r="Q33">
            <v>0</v>
          </cell>
        </row>
        <row r="34">
          <cell r="Q34">
            <v>8151</v>
          </cell>
        </row>
        <row r="35">
          <cell r="Q35">
            <v>2075</v>
          </cell>
        </row>
        <row r="36">
          <cell r="Q36">
            <v>0</v>
          </cell>
        </row>
        <row r="37">
          <cell r="Q37">
            <v>2245</v>
          </cell>
        </row>
        <row r="38">
          <cell r="Q38">
            <v>11738</v>
          </cell>
        </row>
        <row r="39">
          <cell r="Q39">
            <v>0</v>
          </cell>
        </row>
        <row r="40">
          <cell r="Q40">
            <v>818</v>
          </cell>
        </row>
        <row r="41">
          <cell r="Q41">
            <v>12751</v>
          </cell>
        </row>
        <row r="42">
          <cell r="Q42">
            <v>1479</v>
          </cell>
        </row>
        <row r="43">
          <cell r="Q43">
            <v>5411</v>
          </cell>
        </row>
        <row r="44">
          <cell r="Q44">
            <v>770</v>
          </cell>
        </row>
        <row r="45">
          <cell r="Q45">
            <v>4509</v>
          </cell>
        </row>
        <row r="46">
          <cell r="Q46">
            <v>11891</v>
          </cell>
        </row>
        <row r="47">
          <cell r="Q47">
            <v>775</v>
          </cell>
        </row>
        <row r="48">
          <cell r="Q48">
            <v>0</v>
          </cell>
        </row>
        <row r="49">
          <cell r="Q49">
            <v>2432</v>
          </cell>
        </row>
        <row r="50">
          <cell r="Q50">
            <v>1521</v>
          </cell>
        </row>
        <row r="51">
          <cell r="Q51">
            <v>2073</v>
          </cell>
        </row>
        <row r="52">
          <cell r="Q52">
            <v>0</v>
          </cell>
        </row>
        <row r="53">
          <cell r="Q53">
            <v>3920</v>
          </cell>
        </row>
        <row r="54">
          <cell r="Q54">
            <v>788</v>
          </cell>
        </row>
        <row r="55">
          <cell r="Q55">
            <v>4684</v>
          </cell>
        </row>
        <row r="56">
          <cell r="Q56">
            <v>5264</v>
          </cell>
        </row>
        <row r="57">
          <cell r="Q57">
            <v>3800</v>
          </cell>
        </row>
        <row r="58">
          <cell r="Q58">
            <v>7779</v>
          </cell>
        </row>
        <row r="59">
          <cell r="Q59">
            <v>3941</v>
          </cell>
        </row>
        <row r="60">
          <cell r="Q60">
            <v>0</v>
          </cell>
        </row>
        <row r="61">
          <cell r="Q61">
            <v>12667</v>
          </cell>
        </row>
        <row r="62">
          <cell r="Q62">
            <v>0</v>
          </cell>
        </row>
        <row r="63">
          <cell r="Q63">
            <v>703</v>
          </cell>
        </row>
        <row r="64">
          <cell r="Q64">
            <v>10050</v>
          </cell>
        </row>
        <row r="65">
          <cell r="Q65">
            <v>0</v>
          </cell>
        </row>
        <row r="66">
          <cell r="Q66">
            <v>3083</v>
          </cell>
        </row>
        <row r="67">
          <cell r="Q67">
            <v>0</v>
          </cell>
        </row>
        <row r="68">
          <cell r="Q68">
            <v>704</v>
          </cell>
        </row>
        <row r="69">
          <cell r="Q69">
            <v>3323</v>
          </cell>
        </row>
        <row r="70">
          <cell r="Q70">
            <v>834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7">
          <cell r="Q77">
            <v>0</v>
          </cell>
        </row>
        <row r="81">
          <cell r="Q81">
            <v>602</v>
          </cell>
        </row>
      </sheetData>
      <sheetData sheetId="13">
        <row r="4">
          <cell r="D4">
            <v>3602.7009974327857</v>
          </cell>
        </row>
      </sheetData>
      <sheetData sheetId="14">
        <row r="6">
          <cell r="A6">
            <v>389002</v>
          </cell>
          <cell r="X6">
            <v>181069</v>
          </cell>
          <cell r="AS6">
            <v>266236</v>
          </cell>
        </row>
        <row r="7">
          <cell r="X7">
            <v>133338</v>
          </cell>
          <cell r="AS7">
            <v>196914</v>
          </cell>
        </row>
        <row r="8">
          <cell r="X8">
            <v>138490</v>
          </cell>
          <cell r="AS8">
            <v>203947</v>
          </cell>
        </row>
        <row r="9">
          <cell r="X9">
            <v>113609</v>
          </cell>
          <cell r="AS9">
            <v>167779</v>
          </cell>
        </row>
        <row r="10">
          <cell r="X10">
            <v>28913</v>
          </cell>
          <cell r="AS10">
            <v>42698</v>
          </cell>
        </row>
        <row r="11">
          <cell r="X11">
            <v>128762</v>
          </cell>
          <cell r="AS11">
            <v>188877</v>
          </cell>
        </row>
        <row r="14">
          <cell r="X14">
            <v>223854</v>
          </cell>
          <cell r="AS14">
            <v>170759</v>
          </cell>
        </row>
      </sheetData>
      <sheetData sheetId="15">
        <row r="7">
          <cell r="D7">
            <v>4765.8584413349836</v>
          </cell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90207</v>
          </cell>
          <cell r="AI23">
            <v>153540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288</v>
          </cell>
          <cell r="AI30">
            <v>836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307</v>
          </cell>
          <cell r="AI67">
            <v>561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1433</v>
          </cell>
          <cell r="AI73">
            <v>1251</v>
          </cell>
        </row>
        <row r="74">
          <cell r="S74">
            <v>4183</v>
          </cell>
          <cell r="AI74">
            <v>1553</v>
          </cell>
        </row>
        <row r="75">
          <cell r="S75">
            <v>534</v>
          </cell>
          <cell r="AI75">
            <v>282</v>
          </cell>
        </row>
        <row r="77">
          <cell r="S77">
            <v>0</v>
          </cell>
        </row>
        <row r="81">
          <cell r="S81">
            <v>596</v>
          </cell>
        </row>
      </sheetData>
      <sheetData sheetId="16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1022</v>
          </cell>
          <cell r="AI20">
            <v>699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5129</v>
          </cell>
          <cell r="AI37">
            <v>5030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1576</v>
          </cell>
          <cell r="AI43">
            <v>878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320855</v>
          </cell>
          <cell r="AI62">
            <v>162897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1398</v>
          </cell>
          <cell r="AI71">
            <v>1274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6">
          <cell r="S76">
            <v>469</v>
          </cell>
        </row>
        <row r="78">
          <cell r="S78">
            <v>0</v>
          </cell>
        </row>
        <row r="82">
          <cell r="S82">
            <v>416</v>
          </cell>
        </row>
      </sheetData>
      <sheetData sheetId="17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20545</v>
          </cell>
          <cell r="AI32">
            <v>25360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144234</v>
          </cell>
          <cell r="AI42">
            <v>154889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924</v>
          </cell>
          <cell r="AI50">
            <v>618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807</v>
          </cell>
          <cell r="AI54">
            <v>1220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999</v>
          </cell>
        </row>
      </sheetData>
      <sheetData sheetId="18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67658</v>
          </cell>
          <cell r="AI32">
            <v>83512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57115</v>
          </cell>
          <cell r="AI42">
            <v>71382</v>
          </cell>
        </row>
        <row r="43">
          <cell r="S43">
            <v>0</v>
          </cell>
          <cell r="AI43">
            <v>0</v>
          </cell>
        </row>
        <row r="44">
          <cell r="S44">
            <v>1698</v>
          </cell>
          <cell r="AI44">
            <v>6621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462</v>
          </cell>
          <cell r="AI50">
            <v>309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774</v>
          </cell>
        </row>
      </sheetData>
      <sheetData sheetId="19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25150</v>
          </cell>
          <cell r="AI32">
            <v>31044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382</v>
          </cell>
          <cell r="AI35">
            <v>421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81335</v>
          </cell>
          <cell r="AI42">
            <v>101651</v>
          </cell>
        </row>
        <row r="43">
          <cell r="S43">
            <v>0</v>
          </cell>
          <cell r="AI43">
            <v>0</v>
          </cell>
        </row>
        <row r="44">
          <cell r="S44">
            <v>970</v>
          </cell>
          <cell r="AI44">
            <v>3784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1849</v>
          </cell>
          <cell r="AI50">
            <v>1237</v>
          </cell>
        </row>
        <row r="51">
          <cell r="S51">
            <v>467</v>
          </cell>
          <cell r="AI51">
            <v>2023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476</v>
          </cell>
          <cell r="AI58">
            <v>433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38500</v>
          </cell>
        </row>
        <row r="81">
          <cell r="S81">
            <v>0</v>
          </cell>
        </row>
      </sheetData>
      <sheetData sheetId="20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358970</v>
          </cell>
          <cell r="AI16">
            <v>328238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433</v>
          </cell>
        </row>
      </sheetData>
      <sheetData sheetId="21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319</v>
          </cell>
          <cell r="AI34">
            <v>481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92772</v>
          </cell>
          <cell r="AI55">
            <v>39244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262</v>
          </cell>
        </row>
      </sheetData>
      <sheetData sheetId="22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278461</v>
          </cell>
          <cell r="AI16">
            <v>254621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160</v>
          </cell>
        </row>
      </sheetData>
      <sheetData sheetId="23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3160</v>
          </cell>
          <cell r="AI9">
            <v>3837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37392</v>
          </cell>
          <cell r="AI23">
            <v>63291</v>
          </cell>
        </row>
        <row r="24">
          <cell r="S24">
            <v>0</v>
          </cell>
          <cell r="AI24">
            <v>0</v>
          </cell>
        </row>
        <row r="25">
          <cell r="S25">
            <v>1034</v>
          </cell>
          <cell r="AI25">
            <v>483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1152</v>
          </cell>
          <cell r="AI30">
            <v>3343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2582</v>
          </cell>
          <cell r="AI38">
            <v>882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369</v>
          </cell>
          <cell r="AI45">
            <v>412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307</v>
          </cell>
          <cell r="AI67">
            <v>561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534</v>
          </cell>
          <cell r="AI75">
            <v>282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24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32235</v>
          </cell>
          <cell r="AI32">
            <v>39789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723</v>
          </cell>
          <cell r="AI42">
            <v>904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233</v>
          </cell>
          <cell r="AI51">
            <v>1012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404</v>
          </cell>
          <cell r="AI54">
            <v>610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206</v>
          </cell>
        </row>
      </sheetData>
      <sheetData sheetId="25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149358</v>
          </cell>
          <cell r="AI39">
            <v>88371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26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7293</v>
          </cell>
          <cell r="AI65">
            <v>1573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95798</v>
          </cell>
          <cell r="AI72">
            <v>44248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59</v>
          </cell>
        </row>
      </sheetData>
      <sheetData sheetId="27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395</v>
          </cell>
          <cell r="AI9">
            <v>480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149568</v>
          </cell>
          <cell r="AI23">
            <v>253166</v>
          </cell>
        </row>
        <row r="24">
          <cell r="S24">
            <v>0</v>
          </cell>
          <cell r="AI24">
            <v>0</v>
          </cell>
        </row>
        <row r="25">
          <cell r="S25">
            <v>1551</v>
          </cell>
          <cell r="AI25">
            <v>725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1152</v>
          </cell>
          <cell r="AI30">
            <v>3343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516</v>
          </cell>
          <cell r="AI38">
            <v>176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28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24481</v>
          </cell>
          <cell r="AI19">
            <v>9686</v>
          </cell>
        </row>
        <row r="20">
          <cell r="S20">
            <v>0</v>
          </cell>
          <cell r="AI20">
            <v>0</v>
          </cell>
        </row>
        <row r="21">
          <cell r="S21">
            <v>140953</v>
          </cell>
          <cell r="AI21">
            <v>56684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1113</v>
          </cell>
          <cell r="AI27">
            <v>409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474</v>
          </cell>
          <cell r="AI41">
            <v>271</v>
          </cell>
        </row>
        <row r="42">
          <cell r="S42">
            <v>0</v>
          </cell>
          <cell r="AI42">
            <v>0</v>
          </cell>
        </row>
        <row r="43">
          <cell r="S43">
            <v>1051</v>
          </cell>
          <cell r="AI43">
            <v>585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4534</v>
          </cell>
          <cell r="AI60">
            <v>2737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204</v>
          </cell>
        </row>
      </sheetData>
      <sheetData sheetId="29">
        <row r="7">
          <cell r="C7">
            <v>0</v>
          </cell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12464</v>
          </cell>
          <cell r="AI23">
            <v>21097</v>
          </cell>
        </row>
        <row r="24">
          <cell r="S24">
            <v>0</v>
          </cell>
          <cell r="AI24">
            <v>0</v>
          </cell>
        </row>
        <row r="25">
          <cell r="S25">
            <v>6204</v>
          </cell>
          <cell r="AI25">
            <v>2901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114734</v>
          </cell>
          <cell r="AI74">
            <v>42597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0">
        <row r="7">
          <cell r="C7">
            <v>0</v>
          </cell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11531</v>
          </cell>
          <cell r="AI40">
            <v>4524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10505</v>
          </cell>
          <cell r="AI43">
            <v>5852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4695</v>
          </cell>
          <cell r="AI48">
            <v>2974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69878</v>
          </cell>
          <cell r="AI71">
            <v>63715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433</v>
          </cell>
        </row>
      </sheetData>
      <sheetData sheetId="31">
        <row r="7">
          <cell r="C7">
            <v>0</v>
          </cell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46048</v>
          </cell>
          <cell r="AI23">
            <v>77942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147601</v>
          </cell>
          <cell r="AI74">
            <v>54800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2">
        <row r="7">
          <cell r="C7">
            <v>0</v>
          </cell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3160</v>
          </cell>
          <cell r="AI9">
            <v>3837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2770</v>
          </cell>
          <cell r="AI23">
            <v>4688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108327</v>
          </cell>
          <cell r="AI30">
            <v>314207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2452</v>
          </cell>
          <cell r="AI67">
            <v>4485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3">
        <row r="7">
          <cell r="C7">
            <v>0</v>
          </cell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45649</v>
          </cell>
          <cell r="AI16">
            <v>41741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238</v>
          </cell>
        </row>
      </sheetData>
      <sheetData sheetId="34">
        <row r="7">
          <cell r="C7">
            <v>0</v>
          </cell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40864</v>
          </cell>
          <cell r="AI20">
            <v>27963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18763</v>
          </cell>
          <cell r="AI62">
            <v>9526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139</v>
          </cell>
        </row>
      </sheetData>
      <sheetData sheetId="35">
        <row r="7">
          <cell r="C7">
            <v>12</v>
          </cell>
          <cell r="S7">
            <v>5529</v>
          </cell>
          <cell r="AI7">
            <v>2403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5685</v>
          </cell>
          <cell r="AI29">
            <v>3464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176778</v>
          </cell>
          <cell r="AI34">
            <v>267118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5377</v>
          </cell>
          <cell r="AI63">
            <v>3387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6">
        <row r="7">
          <cell r="C7">
            <v>12</v>
          </cell>
          <cell r="S7">
            <v>5529</v>
          </cell>
          <cell r="AI7">
            <v>2403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8054</v>
          </cell>
          <cell r="AI29">
            <v>4908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168497</v>
          </cell>
          <cell r="AI34">
            <v>254604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10306</v>
          </cell>
          <cell r="AI63">
            <v>6491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7">
        <row r="7">
          <cell r="C7">
            <v>0</v>
          </cell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152889</v>
          </cell>
          <cell r="AI34">
            <v>231021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8">
        <row r="6">
          <cell r="T6">
            <v>6708</v>
          </cell>
          <cell r="AJ6">
            <v>3244</v>
          </cell>
        </row>
        <row r="7">
          <cell r="T7">
            <v>4285</v>
          </cell>
          <cell r="AJ7">
            <v>1693</v>
          </cell>
        </row>
        <row r="8">
          <cell r="T8">
            <v>18145</v>
          </cell>
          <cell r="AJ8">
            <v>22878</v>
          </cell>
        </row>
        <row r="9">
          <cell r="T9">
            <v>502</v>
          </cell>
          <cell r="AJ9">
            <v>246</v>
          </cell>
        </row>
        <row r="10">
          <cell r="T10">
            <v>12202</v>
          </cell>
          <cell r="AJ10">
            <v>4024</v>
          </cell>
        </row>
        <row r="11">
          <cell r="T11">
            <v>9307</v>
          </cell>
          <cell r="AJ11">
            <v>5981</v>
          </cell>
        </row>
        <row r="12">
          <cell r="T12">
            <v>1347</v>
          </cell>
          <cell r="AJ12">
            <v>5336</v>
          </cell>
        </row>
        <row r="13">
          <cell r="T13">
            <v>27449</v>
          </cell>
          <cell r="AJ13">
            <v>20471</v>
          </cell>
        </row>
        <row r="14">
          <cell r="T14">
            <v>40631</v>
          </cell>
          <cell r="AJ14">
            <v>36481</v>
          </cell>
        </row>
        <row r="15">
          <cell r="T15">
            <v>29133</v>
          </cell>
          <cell r="AJ15">
            <v>26638</v>
          </cell>
        </row>
        <row r="16">
          <cell r="T16">
            <v>2336</v>
          </cell>
          <cell r="AJ16">
            <v>1073</v>
          </cell>
        </row>
        <row r="17">
          <cell r="T17">
            <v>408</v>
          </cell>
          <cell r="AJ17">
            <v>1211</v>
          </cell>
        </row>
        <row r="18">
          <cell r="T18">
            <v>3762</v>
          </cell>
          <cell r="AJ18">
            <v>1488</v>
          </cell>
        </row>
        <row r="19">
          <cell r="T19">
            <v>0</v>
          </cell>
          <cell r="AJ19">
            <v>0</v>
          </cell>
        </row>
        <row r="20">
          <cell r="T20">
            <v>10375</v>
          </cell>
          <cell r="AJ20">
            <v>4172</v>
          </cell>
        </row>
        <row r="21">
          <cell r="T21">
            <v>3791</v>
          </cell>
          <cell r="AJ21">
            <v>18149</v>
          </cell>
        </row>
        <row r="22">
          <cell r="T22">
            <v>32406</v>
          </cell>
          <cell r="AJ22">
            <v>54853</v>
          </cell>
        </row>
        <row r="23">
          <cell r="T23">
            <v>1616</v>
          </cell>
          <cell r="AJ23">
            <v>567</v>
          </cell>
        </row>
        <row r="24">
          <cell r="T24">
            <v>6514</v>
          </cell>
          <cell r="AJ24">
            <v>3046</v>
          </cell>
        </row>
        <row r="25">
          <cell r="T25">
            <v>3510</v>
          </cell>
          <cell r="AJ25">
            <v>1456</v>
          </cell>
        </row>
        <row r="26">
          <cell r="T26">
            <v>3004</v>
          </cell>
          <cell r="AJ26">
            <v>1104</v>
          </cell>
        </row>
        <row r="27">
          <cell r="T27">
            <v>4137</v>
          </cell>
          <cell r="AJ27">
            <v>965</v>
          </cell>
        </row>
        <row r="28">
          <cell r="T28">
            <v>8102</v>
          </cell>
          <cell r="AJ28">
            <v>4937</v>
          </cell>
        </row>
        <row r="29">
          <cell r="T29">
            <v>3454</v>
          </cell>
          <cell r="AJ29">
            <v>10529</v>
          </cell>
        </row>
        <row r="30">
          <cell r="T30">
            <v>361</v>
          </cell>
          <cell r="AJ30">
            <v>380</v>
          </cell>
        </row>
        <row r="31">
          <cell r="T31">
            <v>53063</v>
          </cell>
          <cell r="AJ31">
            <v>65717</v>
          </cell>
        </row>
        <row r="32">
          <cell r="T32">
            <v>5834</v>
          </cell>
          <cell r="AJ32">
            <v>2845</v>
          </cell>
        </row>
        <row r="33">
          <cell r="T33">
            <v>24690</v>
          </cell>
          <cell r="AJ33">
            <v>37685</v>
          </cell>
        </row>
        <row r="34">
          <cell r="T34">
            <v>8248</v>
          </cell>
          <cell r="AJ34">
            <v>9101</v>
          </cell>
        </row>
        <row r="35">
          <cell r="T35">
            <v>2443</v>
          </cell>
          <cell r="AJ35">
            <v>1350</v>
          </cell>
        </row>
        <row r="36">
          <cell r="T36">
            <v>1923</v>
          </cell>
          <cell r="AJ36">
            <v>1886</v>
          </cell>
        </row>
        <row r="37">
          <cell r="T37">
            <v>36718</v>
          </cell>
          <cell r="AJ37">
            <v>12536</v>
          </cell>
        </row>
        <row r="38">
          <cell r="T38">
            <v>914</v>
          </cell>
          <cell r="AJ38">
            <v>541</v>
          </cell>
        </row>
        <row r="39">
          <cell r="T39">
            <v>12454</v>
          </cell>
          <cell r="AJ39">
            <v>4886</v>
          </cell>
        </row>
        <row r="40">
          <cell r="T40">
            <v>7255</v>
          </cell>
          <cell r="AJ40">
            <v>4140</v>
          </cell>
        </row>
        <row r="41">
          <cell r="T41">
            <v>21147</v>
          </cell>
          <cell r="AJ41">
            <v>26429</v>
          </cell>
        </row>
        <row r="42">
          <cell r="T42">
            <v>25528</v>
          </cell>
          <cell r="AJ42">
            <v>14220</v>
          </cell>
        </row>
        <row r="43">
          <cell r="T43">
            <v>1310</v>
          </cell>
          <cell r="AJ43">
            <v>5108</v>
          </cell>
        </row>
        <row r="44">
          <cell r="T44">
            <v>1420</v>
          </cell>
          <cell r="AJ44">
            <v>1853</v>
          </cell>
        </row>
        <row r="45">
          <cell r="T45">
            <v>25698</v>
          </cell>
          <cell r="AJ45">
            <v>13546</v>
          </cell>
        </row>
        <row r="46">
          <cell r="T46">
            <v>0</v>
          </cell>
          <cell r="AJ46">
            <v>0</v>
          </cell>
        </row>
        <row r="47">
          <cell r="T47">
            <v>2113</v>
          </cell>
          <cell r="AJ47">
            <v>1338</v>
          </cell>
        </row>
        <row r="48">
          <cell r="T48">
            <v>4761</v>
          </cell>
          <cell r="AJ48">
            <v>2398</v>
          </cell>
        </row>
        <row r="49">
          <cell r="T49">
            <v>6656</v>
          </cell>
          <cell r="AJ49">
            <v>4452</v>
          </cell>
        </row>
        <row r="50">
          <cell r="T50">
            <v>2311</v>
          </cell>
          <cell r="AJ50">
            <v>10014</v>
          </cell>
        </row>
        <row r="51">
          <cell r="T51">
            <v>4057</v>
          </cell>
          <cell r="AJ51">
            <v>1624</v>
          </cell>
        </row>
        <row r="52">
          <cell r="T52">
            <v>514</v>
          </cell>
          <cell r="AJ52">
            <v>1751</v>
          </cell>
        </row>
        <row r="53">
          <cell r="T53">
            <v>9079</v>
          </cell>
          <cell r="AJ53">
            <v>13724</v>
          </cell>
        </row>
        <row r="54">
          <cell r="T54">
            <v>27543</v>
          </cell>
          <cell r="AJ54">
            <v>11794</v>
          </cell>
        </row>
        <row r="55">
          <cell r="T55">
            <v>10436</v>
          </cell>
          <cell r="AJ55">
            <v>6302</v>
          </cell>
        </row>
        <row r="56">
          <cell r="T56">
            <v>6546</v>
          </cell>
          <cell r="AJ56">
            <v>6190</v>
          </cell>
        </row>
        <row r="57">
          <cell r="T57">
            <v>41361</v>
          </cell>
          <cell r="AJ57">
            <v>37823</v>
          </cell>
        </row>
        <row r="58">
          <cell r="T58">
            <v>44307</v>
          </cell>
          <cell r="AJ58">
            <v>15827</v>
          </cell>
        </row>
        <row r="59">
          <cell r="T59">
            <v>0</v>
          </cell>
          <cell r="AJ59">
            <v>0</v>
          </cell>
        </row>
        <row r="60">
          <cell r="T60">
            <v>14012</v>
          </cell>
          <cell r="AJ60">
            <v>9777</v>
          </cell>
        </row>
        <row r="61">
          <cell r="T61">
            <v>2533</v>
          </cell>
          <cell r="AJ61">
            <v>1286</v>
          </cell>
        </row>
        <row r="62">
          <cell r="T62">
            <v>9275</v>
          </cell>
          <cell r="AJ62">
            <v>5842</v>
          </cell>
        </row>
        <row r="63">
          <cell r="T63">
            <v>24781</v>
          </cell>
          <cell r="AJ63">
            <v>8107</v>
          </cell>
        </row>
        <row r="64">
          <cell r="T64">
            <v>13128</v>
          </cell>
          <cell r="AJ64">
            <v>2832</v>
          </cell>
        </row>
        <row r="65">
          <cell r="T65">
            <v>6175</v>
          </cell>
          <cell r="AJ65">
            <v>4108</v>
          </cell>
        </row>
        <row r="66">
          <cell r="T66">
            <v>1655</v>
          </cell>
          <cell r="AJ66">
            <v>3028</v>
          </cell>
        </row>
        <row r="67">
          <cell r="T67">
            <v>4801</v>
          </cell>
          <cell r="AJ67">
            <v>1427</v>
          </cell>
        </row>
        <row r="68">
          <cell r="T68">
            <v>1096</v>
          </cell>
          <cell r="AJ68">
            <v>1636</v>
          </cell>
        </row>
        <row r="69">
          <cell r="T69">
            <v>2570</v>
          </cell>
          <cell r="AJ69">
            <v>1018</v>
          </cell>
        </row>
        <row r="70">
          <cell r="T70">
            <v>0</v>
          </cell>
          <cell r="AJ70">
            <v>0</v>
          </cell>
        </row>
        <row r="71">
          <cell r="T71">
            <v>7789</v>
          </cell>
          <cell r="AJ71">
            <v>3781</v>
          </cell>
        </row>
        <row r="72">
          <cell r="T72">
            <v>1719</v>
          </cell>
          <cell r="AJ72">
            <v>1501</v>
          </cell>
        </row>
        <row r="73">
          <cell r="T73">
            <v>2689</v>
          </cell>
          <cell r="AJ73">
            <v>998</v>
          </cell>
        </row>
        <row r="74">
          <cell r="T74">
            <v>5771</v>
          </cell>
          <cell r="AJ74">
            <v>3047</v>
          </cell>
        </row>
        <row r="76">
          <cell r="T76">
            <v>0</v>
          </cell>
        </row>
        <row r="80">
          <cell r="T80">
            <v>1974</v>
          </cell>
        </row>
      </sheetData>
      <sheetData sheetId="39">
        <row r="6">
          <cell r="T6">
            <v>5806</v>
          </cell>
          <cell r="AJ6">
            <v>2523</v>
          </cell>
        </row>
        <row r="7">
          <cell r="T7">
            <v>4820</v>
          </cell>
          <cell r="AJ7">
            <v>1905</v>
          </cell>
        </row>
        <row r="8">
          <cell r="T8">
            <v>15287</v>
          </cell>
          <cell r="AJ8">
            <v>18562</v>
          </cell>
        </row>
        <row r="9">
          <cell r="T9">
            <v>1505</v>
          </cell>
          <cell r="AJ9">
            <v>738</v>
          </cell>
        </row>
        <row r="10">
          <cell r="T10">
            <v>5229</v>
          </cell>
          <cell r="AJ10">
            <v>1725</v>
          </cell>
        </row>
        <row r="11">
          <cell r="T11">
            <v>4432</v>
          </cell>
          <cell r="AJ11">
            <v>2848</v>
          </cell>
        </row>
        <row r="12">
          <cell r="T12">
            <v>1347</v>
          </cell>
          <cell r="AJ12">
            <v>5336</v>
          </cell>
        </row>
        <row r="13">
          <cell r="T13">
            <v>15743</v>
          </cell>
          <cell r="AJ13">
            <v>11741</v>
          </cell>
        </row>
        <row r="14">
          <cell r="T14">
            <v>26148</v>
          </cell>
          <cell r="AJ14">
            <v>23478</v>
          </cell>
        </row>
        <row r="15">
          <cell r="T15">
            <v>17554</v>
          </cell>
          <cell r="AJ15">
            <v>16051</v>
          </cell>
        </row>
        <row r="16">
          <cell r="T16">
            <v>584</v>
          </cell>
          <cell r="AJ16">
            <v>268</v>
          </cell>
        </row>
        <row r="17">
          <cell r="T17">
            <v>204</v>
          </cell>
          <cell r="AJ17">
            <v>606</v>
          </cell>
        </row>
        <row r="18">
          <cell r="T18">
            <v>4836</v>
          </cell>
          <cell r="AJ18">
            <v>1914</v>
          </cell>
        </row>
        <row r="19">
          <cell r="T19">
            <v>7815</v>
          </cell>
          <cell r="AJ19">
            <v>5348</v>
          </cell>
        </row>
        <row r="20">
          <cell r="T20">
            <v>2358</v>
          </cell>
          <cell r="AJ20">
            <v>948</v>
          </cell>
        </row>
        <row r="21">
          <cell r="T21">
            <v>798</v>
          </cell>
          <cell r="AJ21">
            <v>3821</v>
          </cell>
        </row>
        <row r="22">
          <cell r="T22">
            <v>26643</v>
          </cell>
          <cell r="AJ22">
            <v>45079</v>
          </cell>
        </row>
        <row r="23">
          <cell r="T23">
            <v>0</v>
          </cell>
          <cell r="AJ23">
            <v>0</v>
          </cell>
        </row>
        <row r="24">
          <cell r="T24">
            <v>2792</v>
          </cell>
          <cell r="AJ24">
            <v>1305</v>
          </cell>
        </row>
        <row r="25">
          <cell r="T25">
            <v>2633</v>
          </cell>
          <cell r="AJ25">
            <v>1092</v>
          </cell>
        </row>
        <row r="26">
          <cell r="T26">
            <v>3004</v>
          </cell>
          <cell r="AJ26">
            <v>1104</v>
          </cell>
        </row>
        <row r="27">
          <cell r="T27">
            <v>4654</v>
          </cell>
          <cell r="AJ27">
            <v>1086</v>
          </cell>
        </row>
        <row r="28">
          <cell r="T28">
            <v>10234</v>
          </cell>
          <cell r="AJ28">
            <v>6236</v>
          </cell>
        </row>
        <row r="29">
          <cell r="T29">
            <v>519</v>
          </cell>
          <cell r="AJ29">
            <v>1504</v>
          </cell>
        </row>
        <row r="30">
          <cell r="T30">
            <v>361</v>
          </cell>
          <cell r="AJ30">
            <v>380</v>
          </cell>
        </row>
        <row r="31">
          <cell r="T31">
            <v>32518</v>
          </cell>
          <cell r="AJ31">
            <v>40138</v>
          </cell>
        </row>
        <row r="32">
          <cell r="T32">
            <v>2431</v>
          </cell>
          <cell r="AJ32">
            <v>1185</v>
          </cell>
        </row>
        <row r="33">
          <cell r="T33">
            <v>15193</v>
          </cell>
          <cell r="AJ33">
            <v>22958</v>
          </cell>
        </row>
        <row r="34">
          <cell r="T34">
            <v>1031</v>
          </cell>
          <cell r="AJ34">
            <v>1138</v>
          </cell>
        </row>
        <row r="35">
          <cell r="T35">
            <v>1466</v>
          </cell>
          <cell r="AJ35">
            <v>810</v>
          </cell>
        </row>
        <row r="36">
          <cell r="T36">
            <v>1154</v>
          </cell>
          <cell r="AJ36">
            <v>1132</v>
          </cell>
        </row>
        <row r="37">
          <cell r="T37">
            <v>33929</v>
          </cell>
          <cell r="AJ37">
            <v>11583</v>
          </cell>
        </row>
        <row r="38">
          <cell r="T38">
            <v>0</v>
          </cell>
          <cell r="AJ38">
            <v>0</v>
          </cell>
        </row>
        <row r="39">
          <cell r="T39">
            <v>2076</v>
          </cell>
          <cell r="AJ39">
            <v>814</v>
          </cell>
        </row>
        <row r="40">
          <cell r="T40">
            <v>8108</v>
          </cell>
          <cell r="AJ40">
            <v>4627</v>
          </cell>
        </row>
        <row r="41">
          <cell r="T41">
            <v>10086</v>
          </cell>
          <cell r="AJ41">
            <v>12605</v>
          </cell>
        </row>
        <row r="42">
          <cell r="T42">
            <v>14182</v>
          </cell>
          <cell r="AJ42">
            <v>7900</v>
          </cell>
        </row>
        <row r="43">
          <cell r="T43">
            <v>1310</v>
          </cell>
          <cell r="AJ43">
            <v>5108</v>
          </cell>
        </row>
        <row r="44">
          <cell r="T44">
            <v>2987</v>
          </cell>
          <cell r="AJ44">
            <v>3336</v>
          </cell>
        </row>
        <row r="45">
          <cell r="T45">
            <v>15245</v>
          </cell>
          <cell r="AJ45">
            <v>8036</v>
          </cell>
        </row>
        <row r="46">
          <cell r="T46">
            <v>0</v>
          </cell>
          <cell r="AJ46">
            <v>0</v>
          </cell>
        </row>
        <row r="47">
          <cell r="T47">
            <v>2113</v>
          </cell>
          <cell r="AJ47">
            <v>1338</v>
          </cell>
        </row>
        <row r="48">
          <cell r="T48">
            <v>2856</v>
          </cell>
          <cell r="AJ48">
            <v>1439</v>
          </cell>
        </row>
        <row r="49">
          <cell r="T49">
            <v>2496</v>
          </cell>
          <cell r="AJ49">
            <v>1669</v>
          </cell>
        </row>
        <row r="50">
          <cell r="T50">
            <v>2731</v>
          </cell>
          <cell r="AJ50">
            <v>11835</v>
          </cell>
        </row>
        <row r="51">
          <cell r="T51">
            <v>3043</v>
          </cell>
          <cell r="AJ51">
            <v>1218</v>
          </cell>
        </row>
        <row r="52">
          <cell r="T52">
            <v>257</v>
          </cell>
          <cell r="AJ52">
            <v>875</v>
          </cell>
        </row>
        <row r="53">
          <cell r="T53">
            <v>10169</v>
          </cell>
          <cell r="AJ53">
            <v>15371</v>
          </cell>
        </row>
        <row r="54">
          <cell r="T54">
            <v>14586</v>
          </cell>
          <cell r="AJ54">
            <v>6161</v>
          </cell>
        </row>
        <row r="55">
          <cell r="T55">
            <v>2609</v>
          </cell>
          <cell r="AJ55">
            <v>1576</v>
          </cell>
        </row>
        <row r="56">
          <cell r="T56">
            <v>1455</v>
          </cell>
          <cell r="AJ56">
            <v>1376</v>
          </cell>
        </row>
        <row r="57">
          <cell r="T57">
            <v>42798</v>
          </cell>
          <cell r="AJ57">
            <v>38992</v>
          </cell>
        </row>
        <row r="58">
          <cell r="T58">
            <v>28821</v>
          </cell>
          <cell r="AJ58">
            <v>10296</v>
          </cell>
        </row>
        <row r="59">
          <cell r="T59">
            <v>3061</v>
          </cell>
          <cell r="AJ59">
            <v>1848</v>
          </cell>
        </row>
        <row r="60">
          <cell r="T60">
            <v>11740</v>
          </cell>
          <cell r="AJ60">
            <v>8191</v>
          </cell>
        </row>
        <row r="61">
          <cell r="T61">
            <v>1689</v>
          </cell>
          <cell r="AJ61">
            <v>857</v>
          </cell>
        </row>
        <row r="62">
          <cell r="T62">
            <v>2823</v>
          </cell>
          <cell r="AJ62">
            <v>1778</v>
          </cell>
        </row>
        <row r="63">
          <cell r="T63">
            <v>13344</v>
          </cell>
          <cell r="AJ63">
            <v>4365</v>
          </cell>
        </row>
        <row r="64">
          <cell r="T64">
            <v>4313</v>
          </cell>
          <cell r="AJ64">
            <v>718</v>
          </cell>
        </row>
        <row r="65">
          <cell r="T65">
            <v>8380</v>
          </cell>
          <cell r="AJ65">
            <v>5575</v>
          </cell>
        </row>
        <row r="66">
          <cell r="T66">
            <v>2759</v>
          </cell>
          <cell r="AJ66">
            <v>5046</v>
          </cell>
        </row>
        <row r="67">
          <cell r="T67">
            <v>480</v>
          </cell>
          <cell r="AJ67">
            <v>143</v>
          </cell>
        </row>
        <row r="68">
          <cell r="T68">
            <v>0</v>
          </cell>
          <cell r="AJ68">
            <v>0</v>
          </cell>
        </row>
        <row r="69">
          <cell r="T69">
            <v>1542</v>
          </cell>
          <cell r="AJ69">
            <v>611</v>
          </cell>
        </row>
        <row r="70">
          <cell r="T70">
            <v>0</v>
          </cell>
          <cell r="AJ70">
            <v>0</v>
          </cell>
        </row>
        <row r="71">
          <cell r="T71">
            <v>3087</v>
          </cell>
          <cell r="AJ71">
            <v>2054</v>
          </cell>
        </row>
        <row r="72">
          <cell r="T72">
            <v>0</v>
          </cell>
          <cell r="AJ72">
            <v>0</v>
          </cell>
        </row>
        <row r="73">
          <cell r="T73">
            <v>0</v>
          </cell>
          <cell r="AJ73">
            <v>0</v>
          </cell>
        </row>
        <row r="74">
          <cell r="T74">
            <v>0</v>
          </cell>
          <cell r="AJ74">
            <v>0</v>
          </cell>
        </row>
        <row r="76">
          <cell r="T76">
            <v>0</v>
          </cell>
        </row>
        <row r="80">
          <cell r="T80">
            <v>1668</v>
          </cell>
        </row>
      </sheetData>
      <sheetData sheetId="40"/>
      <sheetData sheetId="41"/>
      <sheetData sheetId="42">
        <row r="3">
          <cell r="C3">
            <v>9664</v>
          </cell>
        </row>
      </sheetData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FY14-15"/>
      <sheetName val="Table 2_State Distrib and Adjs"/>
      <sheetName val="Table 2A-1_EFT (Annual)"/>
      <sheetName val="Table 2A-2 EFT (Monthly)"/>
      <sheetName val="Table 3 Levels 1&amp;2"/>
      <sheetName val="Table 3A Level 3"/>
      <sheetName val="Table 4 Level 4"/>
      <sheetName val="Table 5A1_Labs"/>
      <sheetName val="Table 5A2- Legacy Type 2"/>
      <sheetName val="Table 5A3_OJJ"/>
      <sheetName val="Table 5A4_NOCCA"/>
      <sheetName val="Table 5A5_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1O-Impact"/>
      <sheetName val="Table 5C1P-Vision"/>
      <sheetName val="Table 5C1Q-Advantage"/>
      <sheetName val="Table 5C1R-Iberville"/>
      <sheetName val="Table 5C1S-L.C. Coll Prep"/>
      <sheetName val="Table 5C1T-Northeast"/>
      <sheetName val="Table 5C1U-Acadiana Ren"/>
      <sheetName val="Table 5C1V-Laf Ren"/>
      <sheetName val="Table 5C1W-Willow"/>
      <sheetName val="Table 5C2 - LA Virtual Admy"/>
      <sheetName val="Table 5C3 - LA Connections EBR"/>
      <sheetName val="Table 6 (Local Deduct Calc.)"/>
      <sheetName val="Table 7 Local Revenue"/>
      <sheetName val="Table 8 Membership 2.1.14"/>
      <sheetName val="Type 2 Tot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114530</v>
          </cell>
          <cell r="AI23">
            <v>194712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-58</v>
          </cell>
          <cell r="AI30">
            <v>-167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291</v>
          </cell>
          <cell r="AI44">
            <v>1135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674</v>
          </cell>
          <cell r="AI67">
            <v>1233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2058</v>
          </cell>
          <cell r="AI73">
            <v>1796</v>
          </cell>
        </row>
        <row r="74">
          <cell r="S74">
            <v>7638</v>
          </cell>
          <cell r="AI74">
            <v>2836</v>
          </cell>
        </row>
        <row r="75">
          <cell r="S75">
            <v>-49</v>
          </cell>
          <cell r="AI75">
            <v>-26</v>
          </cell>
        </row>
        <row r="77">
          <cell r="S77">
            <v>0</v>
          </cell>
        </row>
        <row r="81">
          <cell r="S81">
            <v>596</v>
          </cell>
        </row>
      </sheetData>
      <sheetData sheetId="16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1634</v>
          </cell>
          <cell r="AI20">
            <v>1119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8952</v>
          </cell>
          <cell r="AI37">
            <v>8780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7421</v>
          </cell>
          <cell r="AI43">
            <v>4134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366041</v>
          </cell>
          <cell r="AI62">
            <v>185837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1397</v>
          </cell>
          <cell r="AI71">
            <v>1274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6">
          <cell r="S76">
            <v>469</v>
          </cell>
        </row>
        <row r="78">
          <cell r="S78">
            <v>0</v>
          </cell>
        </row>
        <row r="82">
          <cell r="S82">
            <v>416</v>
          </cell>
        </row>
      </sheetData>
      <sheetData sheetId="17"/>
      <sheetData sheetId="18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105296</v>
          </cell>
          <cell r="AI32">
            <v>129971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86258</v>
          </cell>
          <cell r="AI42">
            <v>107804</v>
          </cell>
        </row>
        <row r="43">
          <cell r="S43">
            <v>0</v>
          </cell>
          <cell r="AI43">
            <v>0</v>
          </cell>
        </row>
        <row r="44">
          <cell r="S44">
            <v>3816</v>
          </cell>
          <cell r="AI44">
            <v>14876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361</v>
          </cell>
          <cell r="AI50">
            <v>242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774</v>
          </cell>
        </row>
      </sheetData>
      <sheetData sheetId="19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32647</v>
          </cell>
          <cell r="AI32">
            <v>40297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382</v>
          </cell>
          <cell r="AI35">
            <v>421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118246</v>
          </cell>
          <cell r="AI42">
            <v>147783</v>
          </cell>
        </row>
        <row r="43">
          <cell r="S43">
            <v>0</v>
          </cell>
          <cell r="AI43">
            <v>0</v>
          </cell>
        </row>
        <row r="44">
          <cell r="S44">
            <v>970</v>
          </cell>
          <cell r="AI44">
            <v>3784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1849</v>
          </cell>
          <cell r="AI50">
            <v>1236</v>
          </cell>
        </row>
        <row r="51">
          <cell r="S51">
            <v>976</v>
          </cell>
          <cell r="AI51">
            <v>4230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440</v>
          </cell>
          <cell r="AI54">
            <v>665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994</v>
          </cell>
          <cell r="AI58">
            <v>906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38500</v>
          </cell>
        </row>
        <row r="81">
          <cell r="S81">
            <v>0</v>
          </cell>
        </row>
      </sheetData>
      <sheetData sheetId="20"/>
      <sheetData sheetId="21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-29</v>
          </cell>
          <cell r="AI34">
            <v>-44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119544</v>
          </cell>
          <cell r="AI55">
            <v>50553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262</v>
          </cell>
        </row>
      </sheetData>
      <sheetData sheetId="22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362215</v>
          </cell>
          <cell r="AI16">
            <v>331204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1768</v>
          </cell>
          <cell r="AI33">
            <v>862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630</v>
          </cell>
          <cell r="AI43">
            <v>351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-51</v>
          </cell>
          <cell r="AI71">
            <v>-46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160</v>
          </cell>
        </row>
      </sheetData>
      <sheetData sheetId="23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5056</v>
          </cell>
          <cell r="AI9">
            <v>6139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50687</v>
          </cell>
          <cell r="AI23">
            <v>85795</v>
          </cell>
        </row>
        <row r="24">
          <cell r="S24">
            <v>0</v>
          </cell>
          <cell r="AI24">
            <v>0</v>
          </cell>
        </row>
        <row r="25">
          <cell r="S25">
            <v>1034</v>
          </cell>
          <cell r="AI25">
            <v>484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1844</v>
          </cell>
          <cell r="AI30">
            <v>5348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5061</v>
          </cell>
          <cell r="AI38">
            <v>1728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811</v>
          </cell>
          <cell r="AI45">
            <v>906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2146</v>
          </cell>
          <cell r="AI67">
            <v>3925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-107</v>
          </cell>
          <cell r="AI75">
            <v>-56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24"/>
      <sheetData sheetId="25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178897</v>
          </cell>
          <cell r="AI39">
            <v>105848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26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571</v>
          </cell>
          <cell r="AI58">
            <v>520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8951</v>
          </cell>
          <cell r="AI65">
            <v>1931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250311</v>
          </cell>
          <cell r="AI72">
            <v>115614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59</v>
          </cell>
        </row>
      </sheetData>
      <sheetData sheetId="27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-36</v>
          </cell>
          <cell r="AI9">
            <v>-44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225636</v>
          </cell>
          <cell r="AI23">
            <v>381922</v>
          </cell>
        </row>
        <row r="24">
          <cell r="S24">
            <v>0</v>
          </cell>
          <cell r="AI24">
            <v>0</v>
          </cell>
        </row>
        <row r="25">
          <cell r="S25">
            <v>2792</v>
          </cell>
          <cell r="AI25">
            <v>1305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870</v>
          </cell>
          <cell r="AI30">
            <v>2522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573</v>
          </cell>
          <cell r="AI38">
            <v>196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-1304</v>
          </cell>
          <cell r="AI74">
            <v>-484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43316</v>
          </cell>
          <cell r="AI20">
            <v>29641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30022</v>
          </cell>
          <cell r="AI62">
            <v>15242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139</v>
          </cell>
        </row>
      </sheetData>
      <sheetData sheetId="35">
        <row r="7">
          <cell r="S7">
            <v>1005</v>
          </cell>
          <cell r="AI7">
            <v>437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6512</v>
          </cell>
          <cell r="AI29">
            <v>3968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152420</v>
          </cell>
          <cell r="AI34">
            <v>230312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1010</v>
          </cell>
          <cell r="AI55">
            <v>427</v>
          </cell>
        </row>
        <row r="56">
          <cell r="S56">
            <v>75211</v>
          </cell>
          <cell r="AI56">
            <v>45420</v>
          </cell>
        </row>
        <row r="57">
          <cell r="S57">
            <v>-44</v>
          </cell>
          <cell r="AI57">
            <v>-42</v>
          </cell>
        </row>
        <row r="58">
          <cell r="S58">
            <v>-104</v>
          </cell>
          <cell r="AI58">
            <v>-95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918</v>
          </cell>
          <cell r="AI61">
            <v>641</v>
          </cell>
        </row>
        <row r="62">
          <cell r="S62">
            <v>0</v>
          </cell>
          <cell r="AI62">
            <v>0</v>
          </cell>
        </row>
        <row r="63">
          <cell r="S63">
            <v>10363</v>
          </cell>
          <cell r="AI63">
            <v>6527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6"/>
      <sheetData sheetId="37"/>
      <sheetData sheetId="38"/>
      <sheetData sheetId="39">
        <row r="6">
          <cell r="T6">
            <v>14040</v>
          </cell>
          <cell r="AJ6">
            <v>6101</v>
          </cell>
        </row>
        <row r="7">
          <cell r="T7">
            <v>6631</v>
          </cell>
          <cell r="AJ7">
            <v>2620</v>
          </cell>
        </row>
        <row r="8">
          <cell r="T8">
            <v>17808</v>
          </cell>
          <cell r="AJ8">
            <v>21623</v>
          </cell>
        </row>
        <row r="9">
          <cell r="T9">
            <v>1341</v>
          </cell>
          <cell r="AJ9">
            <v>657</v>
          </cell>
        </row>
        <row r="10">
          <cell r="T10">
            <v>9032</v>
          </cell>
          <cell r="AJ10">
            <v>2979</v>
          </cell>
        </row>
        <row r="11">
          <cell r="T11">
            <v>5737</v>
          </cell>
          <cell r="AJ11">
            <v>3687</v>
          </cell>
        </row>
        <row r="12">
          <cell r="T12">
            <v>808</v>
          </cell>
          <cell r="AJ12">
            <v>3202</v>
          </cell>
        </row>
        <row r="13">
          <cell r="T13">
            <v>19750</v>
          </cell>
          <cell r="AJ13">
            <v>14729</v>
          </cell>
        </row>
        <row r="14">
          <cell r="T14">
            <v>42869</v>
          </cell>
          <cell r="AJ14">
            <v>38490</v>
          </cell>
        </row>
        <row r="15">
          <cell r="T15">
            <v>24522</v>
          </cell>
          <cell r="AJ15">
            <v>22422</v>
          </cell>
        </row>
        <row r="16">
          <cell r="T16">
            <v>1157</v>
          </cell>
          <cell r="AJ16">
            <v>532</v>
          </cell>
        </row>
        <row r="17">
          <cell r="T17">
            <v>204</v>
          </cell>
          <cell r="AJ17">
            <v>606</v>
          </cell>
        </row>
        <row r="18">
          <cell r="T18">
            <v>2140</v>
          </cell>
          <cell r="AJ18">
            <v>847</v>
          </cell>
        </row>
        <row r="19">
          <cell r="T19">
            <v>7916</v>
          </cell>
          <cell r="AJ19">
            <v>5417</v>
          </cell>
        </row>
        <row r="20">
          <cell r="T20">
            <v>2358</v>
          </cell>
          <cell r="AJ20">
            <v>948</v>
          </cell>
        </row>
        <row r="21">
          <cell r="T21">
            <v>1473</v>
          </cell>
          <cell r="AJ21">
            <v>7051</v>
          </cell>
        </row>
        <row r="22">
          <cell r="T22">
            <v>34700</v>
          </cell>
          <cell r="AJ22">
            <v>58715</v>
          </cell>
        </row>
        <row r="23">
          <cell r="T23">
            <v>1939</v>
          </cell>
          <cell r="AJ23">
            <v>680</v>
          </cell>
        </row>
        <row r="24">
          <cell r="T24">
            <v>5229</v>
          </cell>
          <cell r="AJ24">
            <v>2445</v>
          </cell>
        </row>
        <row r="25">
          <cell r="T25">
            <v>2489</v>
          </cell>
          <cell r="AJ25">
            <v>1032</v>
          </cell>
        </row>
        <row r="26">
          <cell r="T26">
            <v>3933</v>
          </cell>
          <cell r="AJ26">
            <v>1446</v>
          </cell>
        </row>
        <row r="27">
          <cell r="T27">
            <v>7306</v>
          </cell>
          <cell r="AJ27">
            <v>1705</v>
          </cell>
        </row>
        <row r="28">
          <cell r="T28">
            <v>9908</v>
          </cell>
          <cell r="AJ28">
            <v>6037</v>
          </cell>
        </row>
        <row r="29">
          <cell r="T29">
            <v>1056</v>
          </cell>
          <cell r="AJ29">
            <v>3063</v>
          </cell>
        </row>
        <row r="30">
          <cell r="T30">
            <v>4655</v>
          </cell>
          <cell r="AJ30">
            <v>4892</v>
          </cell>
        </row>
        <row r="31">
          <cell r="T31">
            <v>36483</v>
          </cell>
          <cell r="AJ31">
            <v>45032</v>
          </cell>
        </row>
        <row r="32">
          <cell r="T32">
            <v>1794</v>
          </cell>
          <cell r="AJ32">
            <v>875</v>
          </cell>
        </row>
        <row r="33">
          <cell r="T33">
            <v>17758</v>
          </cell>
          <cell r="AJ33">
            <v>26833</v>
          </cell>
        </row>
        <row r="34">
          <cell r="T34">
            <v>2381</v>
          </cell>
          <cell r="AJ34">
            <v>2627</v>
          </cell>
        </row>
        <row r="35">
          <cell r="T35">
            <v>6317</v>
          </cell>
          <cell r="AJ35">
            <v>3490</v>
          </cell>
        </row>
        <row r="36">
          <cell r="T36">
            <v>1993</v>
          </cell>
          <cell r="AJ36">
            <v>1955</v>
          </cell>
        </row>
        <row r="37">
          <cell r="T37">
            <v>43563</v>
          </cell>
          <cell r="AJ37">
            <v>14872</v>
          </cell>
        </row>
        <row r="38">
          <cell r="T38">
            <v>948</v>
          </cell>
          <cell r="AJ38">
            <v>561</v>
          </cell>
        </row>
        <row r="39">
          <cell r="T39">
            <v>10680</v>
          </cell>
          <cell r="AJ39">
            <v>4190</v>
          </cell>
        </row>
        <row r="40">
          <cell r="T40">
            <v>7037</v>
          </cell>
          <cell r="AJ40">
            <v>4016</v>
          </cell>
        </row>
        <row r="41">
          <cell r="T41">
            <v>13954</v>
          </cell>
          <cell r="AJ41">
            <v>17440</v>
          </cell>
        </row>
        <row r="42">
          <cell r="T42">
            <v>8406</v>
          </cell>
          <cell r="AJ42">
            <v>4683</v>
          </cell>
        </row>
        <row r="43">
          <cell r="T43">
            <v>1167</v>
          </cell>
          <cell r="AJ43">
            <v>4550</v>
          </cell>
        </row>
        <row r="44">
          <cell r="T44">
            <v>10012</v>
          </cell>
          <cell r="AJ44">
            <v>11182</v>
          </cell>
        </row>
        <row r="45">
          <cell r="T45">
            <v>27124</v>
          </cell>
          <cell r="AJ45">
            <v>14298</v>
          </cell>
        </row>
        <row r="46">
          <cell r="T46">
            <v>375</v>
          </cell>
          <cell r="AJ46">
            <v>761</v>
          </cell>
        </row>
        <row r="47">
          <cell r="T47">
            <v>3127</v>
          </cell>
          <cell r="AJ47">
            <v>1981</v>
          </cell>
        </row>
        <row r="48">
          <cell r="T48">
            <v>4414</v>
          </cell>
          <cell r="AJ48">
            <v>2223</v>
          </cell>
        </row>
        <row r="49">
          <cell r="T49">
            <v>4629</v>
          </cell>
          <cell r="AJ49">
            <v>3096</v>
          </cell>
        </row>
        <row r="50">
          <cell r="T50">
            <v>4335</v>
          </cell>
          <cell r="AJ50">
            <v>18787</v>
          </cell>
        </row>
        <row r="51">
          <cell r="T51">
            <v>4205</v>
          </cell>
          <cell r="AJ51">
            <v>1683</v>
          </cell>
        </row>
        <row r="52">
          <cell r="T52">
            <v>1154</v>
          </cell>
          <cell r="AJ52">
            <v>3931</v>
          </cell>
        </row>
        <row r="53">
          <cell r="T53">
            <v>8148</v>
          </cell>
          <cell r="AJ53">
            <v>12317</v>
          </cell>
        </row>
        <row r="54">
          <cell r="T54">
            <v>14813</v>
          </cell>
          <cell r="AJ54">
            <v>6257</v>
          </cell>
        </row>
        <row r="55">
          <cell r="T55">
            <v>4032</v>
          </cell>
          <cell r="AJ55">
            <v>2435</v>
          </cell>
        </row>
        <row r="56">
          <cell r="T56">
            <v>4589</v>
          </cell>
          <cell r="AJ56">
            <v>4340</v>
          </cell>
        </row>
        <row r="57">
          <cell r="T57">
            <v>44945</v>
          </cell>
          <cell r="AJ57">
            <v>40949</v>
          </cell>
        </row>
        <row r="58">
          <cell r="T58">
            <v>33701</v>
          </cell>
          <cell r="AJ58">
            <v>12039</v>
          </cell>
        </row>
        <row r="59">
          <cell r="T59">
            <v>3617</v>
          </cell>
          <cell r="AJ59">
            <v>2183</v>
          </cell>
        </row>
        <row r="60">
          <cell r="T60">
            <v>16697</v>
          </cell>
          <cell r="AJ60">
            <v>11651</v>
          </cell>
        </row>
        <row r="61">
          <cell r="T61">
            <v>2057</v>
          </cell>
          <cell r="AJ61">
            <v>1044</v>
          </cell>
        </row>
        <row r="62">
          <cell r="T62">
            <v>3615</v>
          </cell>
          <cell r="AJ62">
            <v>2277</v>
          </cell>
        </row>
        <row r="63">
          <cell r="T63">
            <v>15475</v>
          </cell>
          <cell r="AJ63">
            <v>5063</v>
          </cell>
        </row>
        <row r="64">
          <cell r="T64">
            <v>8967</v>
          </cell>
          <cell r="AJ64">
            <v>1721</v>
          </cell>
        </row>
        <row r="65">
          <cell r="T65">
            <v>9005</v>
          </cell>
          <cell r="AJ65">
            <v>5991</v>
          </cell>
        </row>
        <row r="66">
          <cell r="T66">
            <v>3842</v>
          </cell>
          <cell r="AJ66">
            <v>7028</v>
          </cell>
        </row>
        <row r="67">
          <cell r="T67">
            <v>1004</v>
          </cell>
          <cell r="AJ67">
            <v>298</v>
          </cell>
        </row>
        <row r="68">
          <cell r="T68">
            <v>837</v>
          </cell>
          <cell r="AJ68">
            <v>1249</v>
          </cell>
        </row>
        <row r="69">
          <cell r="T69">
            <v>1318</v>
          </cell>
          <cell r="AJ69">
            <v>522</v>
          </cell>
        </row>
        <row r="70">
          <cell r="T70">
            <v>1372</v>
          </cell>
          <cell r="AJ70">
            <v>1251</v>
          </cell>
        </row>
        <row r="71">
          <cell r="T71">
            <v>3087</v>
          </cell>
          <cell r="AJ71">
            <v>2054</v>
          </cell>
        </row>
        <row r="72">
          <cell r="T72">
            <v>2438</v>
          </cell>
          <cell r="AJ72">
            <v>2128</v>
          </cell>
        </row>
        <row r="73">
          <cell r="T73">
            <v>4283</v>
          </cell>
          <cell r="AJ73">
            <v>1590</v>
          </cell>
        </row>
        <row r="74">
          <cell r="T74">
            <v>6505</v>
          </cell>
          <cell r="AJ74">
            <v>3435</v>
          </cell>
        </row>
        <row r="76">
          <cell r="T76">
            <v>0</v>
          </cell>
        </row>
        <row r="80">
          <cell r="T80">
            <v>1668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FY14-15"/>
      <sheetName val="Table 2_State Distrib and Adjs"/>
      <sheetName val="Table 2A-1_EFT (Annual)"/>
      <sheetName val="Table 2A-2 EFT (Monthly)"/>
      <sheetName val="Table 3 Levels 1&amp;2"/>
      <sheetName val="Table 3A Level 3"/>
      <sheetName val="Table 4 Level 4"/>
      <sheetName val="Table 5A1_Labs"/>
      <sheetName val="Table 5A2- Legacy Type 2"/>
      <sheetName val="Table 5A3_OJJ"/>
      <sheetName val="Table 5A4_NOCCA"/>
      <sheetName val="Table 5A5_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1O-Impact"/>
      <sheetName val="Table 5C1P-Vision"/>
      <sheetName val="Table 5C1Q-Advantage"/>
      <sheetName val="Table 5C1R-Iberville"/>
      <sheetName val="Table 5C1S-L.C. Coll Prep"/>
      <sheetName val="Table 5C1T-Northeast"/>
      <sheetName val="Table 5C1U-Acadiana Ren"/>
      <sheetName val="Table 5C1V-Laf Ren"/>
      <sheetName val="Table 5C1W-Willow"/>
      <sheetName val="Table 5C2 - LA Virtual Admy"/>
      <sheetName val="Table 5C3 - LA Connections EBR"/>
      <sheetName val="Table 6 (Local Deduct Calc.)"/>
      <sheetName val="Table 7 Local Revenue"/>
      <sheetName val="Table 8 Membership 2.1.14"/>
      <sheetName val="Type 2 Totals"/>
      <sheetName val="Type 2 Totals_w L4"/>
    </sheetNames>
    <sheetDataSet>
      <sheetData sheetId="0"/>
      <sheetData sheetId="1"/>
      <sheetData sheetId="2">
        <row r="7">
          <cell r="AL7">
            <v>4472772</v>
          </cell>
        </row>
        <row r="8">
          <cell r="AL8">
            <v>2431772</v>
          </cell>
        </row>
        <row r="9">
          <cell r="AL9">
            <v>8277962</v>
          </cell>
        </row>
        <row r="10">
          <cell r="AL10">
            <v>2002387</v>
          </cell>
        </row>
        <row r="11">
          <cell r="AL11">
            <v>2728431</v>
          </cell>
        </row>
        <row r="12">
          <cell r="AL12">
            <v>2899251</v>
          </cell>
        </row>
        <row r="13">
          <cell r="AL13">
            <v>546481</v>
          </cell>
        </row>
        <row r="14">
          <cell r="AL14">
            <v>9671551</v>
          </cell>
        </row>
        <row r="15">
          <cell r="AL15">
            <v>17937517</v>
          </cell>
        </row>
        <row r="16">
          <cell r="AL16">
            <v>12853919</v>
          </cell>
        </row>
        <row r="17">
          <cell r="AL17">
            <v>1019744</v>
          </cell>
        </row>
        <row r="18">
          <cell r="AL18">
            <v>281581</v>
          </cell>
        </row>
        <row r="19">
          <cell r="AL19">
            <v>857229</v>
          </cell>
        </row>
        <row r="20">
          <cell r="AL20">
            <v>852147</v>
          </cell>
        </row>
        <row r="21">
          <cell r="AL21">
            <v>1778951</v>
          </cell>
        </row>
        <row r="22">
          <cell r="AL22">
            <v>1083803</v>
          </cell>
        </row>
        <row r="23">
          <cell r="AL23">
            <v>14025609</v>
          </cell>
        </row>
        <row r="24">
          <cell r="AL24">
            <v>630509</v>
          </cell>
        </row>
        <row r="25">
          <cell r="AL25">
            <v>981479</v>
          </cell>
        </row>
        <row r="26">
          <cell r="AL26">
            <v>2859388</v>
          </cell>
        </row>
        <row r="27">
          <cell r="AL27">
            <v>1614266</v>
          </cell>
        </row>
        <row r="28">
          <cell r="AL28">
            <v>1803688</v>
          </cell>
        </row>
        <row r="29">
          <cell r="AL29">
            <v>6437512</v>
          </cell>
        </row>
        <row r="30">
          <cell r="AL30">
            <v>1322849</v>
          </cell>
        </row>
        <row r="31">
          <cell r="AL31">
            <v>921073</v>
          </cell>
        </row>
        <row r="32">
          <cell r="AL32">
            <v>16632195</v>
          </cell>
        </row>
        <row r="33">
          <cell r="AL33">
            <v>3048644</v>
          </cell>
        </row>
        <row r="34">
          <cell r="AL34">
            <v>9692320</v>
          </cell>
        </row>
        <row r="35">
          <cell r="AL35">
            <v>5349745</v>
          </cell>
        </row>
        <row r="36">
          <cell r="AL36">
            <v>1341326</v>
          </cell>
        </row>
        <row r="37">
          <cell r="AL37">
            <v>2728674</v>
          </cell>
        </row>
        <row r="38">
          <cell r="AL38">
            <v>12976009</v>
          </cell>
        </row>
        <row r="39">
          <cell r="AL39">
            <v>717942</v>
          </cell>
        </row>
        <row r="40">
          <cell r="AL40">
            <v>2532654</v>
          </cell>
        </row>
        <row r="41">
          <cell r="AL41">
            <v>3033784</v>
          </cell>
        </row>
        <row r="42">
          <cell r="AL42">
            <v>4416743</v>
          </cell>
        </row>
        <row r="43">
          <cell r="AL43">
            <v>10219838</v>
          </cell>
        </row>
        <row r="44">
          <cell r="AL44">
            <v>943558</v>
          </cell>
        </row>
        <row r="45">
          <cell r="AL45">
            <v>1032477</v>
          </cell>
        </row>
        <row r="46">
          <cell r="AL46">
            <v>11136019</v>
          </cell>
        </row>
        <row r="47">
          <cell r="AL47">
            <v>506467</v>
          </cell>
        </row>
        <row r="48">
          <cell r="AL48">
            <v>1525200</v>
          </cell>
        </row>
        <row r="49">
          <cell r="AL49">
            <v>2174007</v>
          </cell>
        </row>
        <row r="50">
          <cell r="AL50">
            <v>3087925</v>
          </cell>
        </row>
        <row r="51">
          <cell r="AL51">
            <v>2206960</v>
          </cell>
        </row>
        <row r="52">
          <cell r="AL52">
            <v>580642</v>
          </cell>
        </row>
        <row r="53">
          <cell r="AL53">
            <v>1041433</v>
          </cell>
        </row>
        <row r="54">
          <cell r="AL54">
            <v>2326540</v>
          </cell>
        </row>
        <row r="55">
          <cell r="AL55">
            <v>6610152</v>
          </cell>
        </row>
        <row r="56">
          <cell r="AL56">
            <v>3845144</v>
          </cell>
        </row>
        <row r="57">
          <cell r="AL57">
            <v>3600900</v>
          </cell>
        </row>
        <row r="58">
          <cell r="AL58">
            <v>17681470</v>
          </cell>
        </row>
        <row r="59">
          <cell r="AL59">
            <v>9256952</v>
          </cell>
        </row>
        <row r="60">
          <cell r="AL60">
            <v>366528</v>
          </cell>
        </row>
        <row r="61">
          <cell r="AL61">
            <v>7492277</v>
          </cell>
        </row>
        <row r="62">
          <cell r="AL62">
            <v>1032557</v>
          </cell>
        </row>
        <row r="63">
          <cell r="AL63">
            <v>4093676</v>
          </cell>
        </row>
        <row r="64">
          <cell r="AL64">
            <v>4747773</v>
          </cell>
        </row>
        <row r="65">
          <cell r="AL65">
            <v>3114813</v>
          </cell>
        </row>
        <row r="66">
          <cell r="AL66">
            <v>3154148</v>
          </cell>
        </row>
        <row r="67">
          <cell r="AL67">
            <v>1110630</v>
          </cell>
        </row>
        <row r="68">
          <cell r="AL68">
            <v>1131858</v>
          </cell>
        </row>
        <row r="69">
          <cell r="AL69">
            <v>829815</v>
          </cell>
        </row>
        <row r="70">
          <cell r="AL70">
            <v>1345421</v>
          </cell>
        </row>
        <row r="71">
          <cell r="AL71">
            <v>3824052</v>
          </cell>
        </row>
        <row r="72">
          <cell r="AL72">
            <v>1122216</v>
          </cell>
        </row>
        <row r="73">
          <cell r="AL73">
            <v>2519995</v>
          </cell>
        </row>
        <row r="74">
          <cell r="AL74">
            <v>958257</v>
          </cell>
        </row>
        <row r="75">
          <cell r="AL75">
            <v>2306939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5">
          <cell r="V5">
            <v>286405</v>
          </cell>
        </row>
        <row r="6">
          <cell r="V6">
            <v>282281</v>
          </cell>
        </row>
        <row r="9">
          <cell r="V9">
            <v>658458</v>
          </cell>
        </row>
        <row r="10">
          <cell r="V10">
            <v>460557</v>
          </cell>
        </row>
        <row r="11">
          <cell r="V11">
            <v>631831</v>
          </cell>
        </row>
        <row r="12">
          <cell r="V12">
            <v>1109706</v>
          </cell>
        </row>
        <row r="13">
          <cell r="V13">
            <v>380037</v>
          </cell>
        </row>
        <row r="14">
          <cell r="V14">
            <v>87543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21812</v>
          </cell>
          <cell r="AI23">
            <v>36920</v>
          </cell>
        </row>
        <row r="24">
          <cell r="S24">
            <v>0</v>
          </cell>
          <cell r="AI24">
            <v>0</v>
          </cell>
        </row>
        <row r="25">
          <cell r="S25">
            <v>-2326</v>
          </cell>
          <cell r="AI25">
            <v>-1088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3581</v>
          </cell>
          <cell r="AI73">
            <v>3127</v>
          </cell>
        </row>
        <row r="74">
          <cell r="S74">
            <v>22409</v>
          </cell>
          <cell r="AI74">
            <v>8320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0"/>
      <sheetData sheetId="31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45009</v>
          </cell>
          <cell r="AI23">
            <v>76184</v>
          </cell>
        </row>
        <row r="24">
          <cell r="S24">
            <v>0</v>
          </cell>
          <cell r="AI24">
            <v>0</v>
          </cell>
        </row>
        <row r="25">
          <cell r="S25">
            <v>6204</v>
          </cell>
          <cell r="AI25">
            <v>2901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1379</v>
          </cell>
          <cell r="AI67">
            <v>2523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4298</v>
          </cell>
          <cell r="AI73">
            <v>3752</v>
          </cell>
        </row>
        <row r="74">
          <cell r="S74">
            <v>113539</v>
          </cell>
          <cell r="AI74">
            <v>42154</v>
          </cell>
        </row>
        <row r="75">
          <cell r="S75">
            <v>2405</v>
          </cell>
          <cell r="AI75">
            <v>1270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2">
        <row r="7">
          <cell r="S7">
            <v>0</v>
          </cell>
          <cell r="AI7">
            <v>0</v>
          </cell>
        </row>
        <row r="8">
          <cell r="S8">
            <v>0</v>
          </cell>
          <cell r="AI8">
            <v>0</v>
          </cell>
        </row>
        <row r="9">
          <cell r="S9">
            <v>198</v>
          </cell>
          <cell r="AI9">
            <v>240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0</v>
          </cell>
          <cell r="AI16">
            <v>0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-346</v>
          </cell>
          <cell r="AI23">
            <v>-586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0</v>
          </cell>
          <cell r="AI29">
            <v>0</v>
          </cell>
        </row>
        <row r="30">
          <cell r="S30">
            <v>56469</v>
          </cell>
          <cell r="AI30">
            <v>163788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0</v>
          </cell>
          <cell r="AI33">
            <v>0</v>
          </cell>
        </row>
        <row r="34">
          <cell r="S34">
            <v>0</v>
          </cell>
          <cell r="AI34">
            <v>0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0</v>
          </cell>
          <cell r="AI55">
            <v>0</v>
          </cell>
        </row>
        <row r="56">
          <cell r="S56">
            <v>0</v>
          </cell>
          <cell r="AI56">
            <v>0</v>
          </cell>
        </row>
        <row r="57">
          <cell r="S57">
            <v>0</v>
          </cell>
          <cell r="AI57">
            <v>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0</v>
          </cell>
          <cell r="AI63">
            <v>0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4752</v>
          </cell>
          <cell r="AI67">
            <v>8690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3"/>
      <sheetData sheetId="34"/>
      <sheetData sheetId="35"/>
      <sheetData sheetId="36">
        <row r="7">
          <cell r="S7">
            <v>1382</v>
          </cell>
          <cell r="AI7">
            <v>601</v>
          </cell>
        </row>
        <row r="8">
          <cell r="S8">
            <v>0</v>
          </cell>
          <cell r="AI8">
            <v>0</v>
          </cell>
        </row>
        <row r="9">
          <cell r="S9">
            <v>0</v>
          </cell>
          <cell r="AI9">
            <v>0</v>
          </cell>
        </row>
        <row r="10">
          <cell r="S10">
            <v>0</v>
          </cell>
          <cell r="AI10">
            <v>0</v>
          </cell>
        </row>
        <row r="11">
          <cell r="S11">
            <v>0</v>
          </cell>
          <cell r="AI11">
            <v>0</v>
          </cell>
        </row>
        <row r="12">
          <cell r="S12">
            <v>0</v>
          </cell>
          <cell r="AI12">
            <v>0</v>
          </cell>
        </row>
        <row r="13">
          <cell r="S13">
            <v>0</v>
          </cell>
          <cell r="AI13">
            <v>0</v>
          </cell>
        </row>
        <row r="14">
          <cell r="S14">
            <v>0</v>
          </cell>
          <cell r="AI14">
            <v>0</v>
          </cell>
        </row>
        <row r="15">
          <cell r="S15">
            <v>0</v>
          </cell>
          <cell r="AI15">
            <v>0</v>
          </cell>
        </row>
        <row r="16">
          <cell r="S16">
            <v>3112</v>
          </cell>
          <cell r="AI16">
            <v>2846</v>
          </cell>
        </row>
        <row r="17">
          <cell r="S17">
            <v>0</v>
          </cell>
          <cell r="AI17">
            <v>0</v>
          </cell>
        </row>
        <row r="18">
          <cell r="S18">
            <v>0</v>
          </cell>
          <cell r="AI18">
            <v>0</v>
          </cell>
        </row>
        <row r="19">
          <cell r="S19">
            <v>0</v>
          </cell>
          <cell r="AI19">
            <v>0</v>
          </cell>
        </row>
        <row r="20">
          <cell r="S20">
            <v>0</v>
          </cell>
          <cell r="AI20">
            <v>0</v>
          </cell>
        </row>
        <row r="21">
          <cell r="S21">
            <v>0</v>
          </cell>
          <cell r="AI21">
            <v>0</v>
          </cell>
        </row>
        <row r="22">
          <cell r="S22">
            <v>0</v>
          </cell>
          <cell r="AI22">
            <v>0</v>
          </cell>
        </row>
        <row r="23">
          <cell r="S23">
            <v>0</v>
          </cell>
          <cell r="AI23">
            <v>0</v>
          </cell>
        </row>
        <row r="24">
          <cell r="S24">
            <v>0</v>
          </cell>
          <cell r="AI24">
            <v>0</v>
          </cell>
        </row>
        <row r="25">
          <cell r="S25">
            <v>0</v>
          </cell>
          <cell r="AI25">
            <v>0</v>
          </cell>
        </row>
        <row r="26">
          <cell r="S26">
            <v>0</v>
          </cell>
          <cell r="AI26">
            <v>0</v>
          </cell>
        </row>
        <row r="27">
          <cell r="S27">
            <v>0</v>
          </cell>
          <cell r="AI27">
            <v>0</v>
          </cell>
        </row>
        <row r="28">
          <cell r="S28">
            <v>0</v>
          </cell>
          <cell r="AI28">
            <v>0</v>
          </cell>
        </row>
        <row r="29">
          <cell r="S29">
            <v>-3316</v>
          </cell>
          <cell r="AI29">
            <v>-2021</v>
          </cell>
        </row>
        <row r="30">
          <cell r="S30">
            <v>0</v>
          </cell>
          <cell r="AI30">
            <v>0</v>
          </cell>
        </row>
        <row r="31">
          <cell r="S31">
            <v>0</v>
          </cell>
          <cell r="AI31">
            <v>0</v>
          </cell>
        </row>
        <row r="32">
          <cell r="S32">
            <v>0</v>
          </cell>
          <cell r="AI32">
            <v>0</v>
          </cell>
        </row>
        <row r="33">
          <cell r="S33">
            <v>810</v>
          </cell>
          <cell r="AI33">
            <v>395</v>
          </cell>
        </row>
        <row r="34">
          <cell r="S34">
            <v>134575</v>
          </cell>
          <cell r="AI34">
            <v>203347</v>
          </cell>
        </row>
        <row r="35">
          <cell r="S35">
            <v>0</v>
          </cell>
          <cell r="AI35">
            <v>0</v>
          </cell>
        </row>
        <row r="36">
          <cell r="S36">
            <v>0</v>
          </cell>
          <cell r="AI36">
            <v>0</v>
          </cell>
        </row>
        <row r="37">
          <cell r="S37">
            <v>0</v>
          </cell>
          <cell r="AI37">
            <v>0</v>
          </cell>
        </row>
        <row r="38">
          <cell r="S38">
            <v>0</v>
          </cell>
          <cell r="AI38">
            <v>0</v>
          </cell>
        </row>
        <row r="39">
          <cell r="S39">
            <v>0</v>
          </cell>
          <cell r="AI39">
            <v>0</v>
          </cell>
        </row>
        <row r="40">
          <cell r="S40">
            <v>0</v>
          </cell>
          <cell r="AI40">
            <v>0</v>
          </cell>
        </row>
        <row r="41">
          <cell r="S41">
            <v>0</v>
          </cell>
          <cell r="AI41">
            <v>0</v>
          </cell>
        </row>
        <row r="42">
          <cell r="S42">
            <v>0</v>
          </cell>
          <cell r="AI42">
            <v>0</v>
          </cell>
        </row>
        <row r="43">
          <cell r="S43">
            <v>0</v>
          </cell>
          <cell r="AI43">
            <v>0</v>
          </cell>
        </row>
        <row r="44">
          <cell r="S44">
            <v>0</v>
          </cell>
          <cell r="AI44">
            <v>0</v>
          </cell>
        </row>
        <row r="45">
          <cell r="S45">
            <v>0</v>
          </cell>
          <cell r="AI45">
            <v>0</v>
          </cell>
        </row>
        <row r="46">
          <cell r="S46">
            <v>0</v>
          </cell>
          <cell r="AI46">
            <v>0</v>
          </cell>
        </row>
        <row r="47">
          <cell r="S47">
            <v>0</v>
          </cell>
          <cell r="AI47">
            <v>0</v>
          </cell>
        </row>
        <row r="48">
          <cell r="S48">
            <v>0</v>
          </cell>
          <cell r="AI48">
            <v>0</v>
          </cell>
        </row>
        <row r="49">
          <cell r="S49">
            <v>0</v>
          </cell>
          <cell r="AI49">
            <v>0</v>
          </cell>
        </row>
        <row r="50">
          <cell r="S50">
            <v>0</v>
          </cell>
          <cell r="AI50">
            <v>0</v>
          </cell>
        </row>
        <row r="51">
          <cell r="S51">
            <v>0</v>
          </cell>
          <cell r="AI51">
            <v>0</v>
          </cell>
        </row>
        <row r="52">
          <cell r="S52">
            <v>0</v>
          </cell>
          <cell r="AI52">
            <v>0</v>
          </cell>
        </row>
        <row r="53">
          <cell r="S53">
            <v>0</v>
          </cell>
          <cell r="AI53">
            <v>0</v>
          </cell>
        </row>
        <row r="54">
          <cell r="S54">
            <v>0</v>
          </cell>
          <cell r="AI54">
            <v>0</v>
          </cell>
        </row>
        <row r="55">
          <cell r="S55">
            <v>36811</v>
          </cell>
          <cell r="AI55">
            <v>15550</v>
          </cell>
        </row>
        <row r="56">
          <cell r="S56">
            <v>3624</v>
          </cell>
          <cell r="AI56">
            <v>2188</v>
          </cell>
        </row>
        <row r="57">
          <cell r="S57">
            <v>1818</v>
          </cell>
          <cell r="AI57">
            <v>1720</v>
          </cell>
        </row>
        <row r="58">
          <cell r="S58">
            <v>0</v>
          </cell>
          <cell r="AI58">
            <v>0</v>
          </cell>
        </row>
        <row r="59">
          <cell r="S59">
            <v>0</v>
          </cell>
          <cell r="AI59">
            <v>0</v>
          </cell>
        </row>
        <row r="60">
          <cell r="S60">
            <v>0</v>
          </cell>
          <cell r="AI60">
            <v>0</v>
          </cell>
        </row>
        <row r="61">
          <cell r="S61">
            <v>0</v>
          </cell>
          <cell r="AI61">
            <v>0</v>
          </cell>
        </row>
        <row r="62">
          <cell r="S62">
            <v>0</v>
          </cell>
          <cell r="AI62">
            <v>0</v>
          </cell>
        </row>
        <row r="63">
          <cell r="S63">
            <v>-3809</v>
          </cell>
          <cell r="AI63">
            <v>-2399</v>
          </cell>
        </row>
        <row r="64">
          <cell r="S64">
            <v>0</v>
          </cell>
          <cell r="AI64">
            <v>0</v>
          </cell>
        </row>
        <row r="65">
          <cell r="S65">
            <v>0</v>
          </cell>
          <cell r="AI65">
            <v>0</v>
          </cell>
        </row>
        <row r="66">
          <cell r="S66">
            <v>0</v>
          </cell>
          <cell r="AI66">
            <v>0</v>
          </cell>
        </row>
        <row r="67">
          <cell r="S67">
            <v>0</v>
          </cell>
          <cell r="AI67">
            <v>0</v>
          </cell>
        </row>
        <row r="68">
          <cell r="S68">
            <v>0</v>
          </cell>
          <cell r="AI68">
            <v>0</v>
          </cell>
        </row>
        <row r="69">
          <cell r="S69">
            <v>0</v>
          </cell>
          <cell r="AI69">
            <v>0</v>
          </cell>
        </row>
        <row r="70">
          <cell r="S70">
            <v>0</v>
          </cell>
          <cell r="AI70">
            <v>0</v>
          </cell>
        </row>
        <row r="71">
          <cell r="S71">
            <v>0</v>
          </cell>
          <cell r="AI71">
            <v>0</v>
          </cell>
        </row>
        <row r="72">
          <cell r="S72">
            <v>0</v>
          </cell>
          <cell r="AI72">
            <v>0</v>
          </cell>
        </row>
        <row r="73">
          <cell r="S73">
            <v>0</v>
          </cell>
          <cell r="AI73">
            <v>0</v>
          </cell>
        </row>
        <row r="74">
          <cell r="S74">
            <v>0</v>
          </cell>
          <cell r="AI74">
            <v>0</v>
          </cell>
        </row>
        <row r="75">
          <cell r="S75">
            <v>0</v>
          </cell>
          <cell r="AI75">
            <v>0</v>
          </cell>
        </row>
        <row r="77">
          <cell r="S77">
            <v>0</v>
          </cell>
        </row>
        <row r="81">
          <cell r="S81">
            <v>0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FY14-15"/>
      <sheetName val="Table 2_State Distrib and Adjs"/>
      <sheetName val="Table 2A-1_EFT (Annual)"/>
      <sheetName val="Table 2A-2 EFT (Monthly)"/>
      <sheetName val="Table 3 Levels 1&amp;2"/>
      <sheetName val="Table 3A Level 3"/>
      <sheetName val="Table 4 Level 4"/>
      <sheetName val="Table 5A1_Labs"/>
      <sheetName val="Table 5A2- Legacy Type 2"/>
      <sheetName val="Table 5A3_OJJ"/>
      <sheetName val="Table 5A4_NOCCA"/>
      <sheetName val="Table 5A5_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1O-Impact"/>
      <sheetName val="Table 5C1P-Vision"/>
      <sheetName val="Table 5C1Q-Advantage"/>
      <sheetName val="Table 5C1R-Iberville"/>
      <sheetName val="Table 5C1S-L.C. Coll Prep"/>
      <sheetName val="Table 5C1T-Northeast"/>
      <sheetName val="Table 5C1U-Acadiana Ren"/>
      <sheetName val="Table 5C1V-Laf Ren"/>
      <sheetName val="Table 5C1W-Willow"/>
      <sheetName val="Table 5C2 - LA Virtual Admy"/>
      <sheetName val="Table 5C3 - LA Connections EBR"/>
      <sheetName val="Table 6 (Local Deduct Calc.)"/>
      <sheetName val="Table 7 Local Revenue"/>
      <sheetName val="Table 8 Membership 2.1.14"/>
      <sheetName val="Type 2 Totals"/>
      <sheetName val="Type 2 Totals_w L4"/>
    </sheetNames>
    <sheetDataSet>
      <sheetData sheetId="0"/>
      <sheetData sheetId="1"/>
      <sheetData sheetId="2">
        <row r="7">
          <cell r="AL7">
            <v>4472772</v>
          </cell>
        </row>
        <row r="8">
          <cell r="AL8">
            <v>2431773</v>
          </cell>
        </row>
        <row r="9">
          <cell r="AL9">
            <v>8277962</v>
          </cell>
        </row>
        <row r="10">
          <cell r="AL10">
            <v>2002387</v>
          </cell>
        </row>
        <row r="11">
          <cell r="AL11">
            <v>2728430</v>
          </cell>
        </row>
        <row r="12">
          <cell r="AL12">
            <v>2899251</v>
          </cell>
        </row>
        <row r="13">
          <cell r="AL13">
            <v>546482</v>
          </cell>
        </row>
        <row r="14">
          <cell r="AL14">
            <v>9671551</v>
          </cell>
        </row>
        <row r="15">
          <cell r="AL15">
            <v>17937517</v>
          </cell>
        </row>
        <row r="16">
          <cell r="AL16">
            <v>12853920</v>
          </cell>
        </row>
        <row r="17">
          <cell r="AL17">
            <v>1019745</v>
          </cell>
        </row>
        <row r="18">
          <cell r="AL18">
            <v>281581</v>
          </cell>
        </row>
        <row r="19">
          <cell r="AL19">
            <v>857230</v>
          </cell>
        </row>
        <row r="20">
          <cell r="AL20">
            <v>852147</v>
          </cell>
        </row>
        <row r="21">
          <cell r="AL21">
            <v>1778952</v>
          </cell>
        </row>
        <row r="22">
          <cell r="AL22">
            <v>1083803</v>
          </cell>
        </row>
        <row r="23">
          <cell r="AL23">
            <v>14025610</v>
          </cell>
        </row>
        <row r="24">
          <cell r="AL24">
            <v>630510</v>
          </cell>
        </row>
        <row r="25">
          <cell r="AL25">
            <v>981480</v>
          </cell>
        </row>
        <row r="26">
          <cell r="AL26">
            <v>2859389</v>
          </cell>
        </row>
        <row r="27">
          <cell r="AL27">
            <v>1614266</v>
          </cell>
        </row>
        <row r="28">
          <cell r="AL28">
            <v>1803689</v>
          </cell>
        </row>
        <row r="29">
          <cell r="AL29">
            <v>6437512</v>
          </cell>
        </row>
        <row r="30">
          <cell r="AL30">
            <v>1322849</v>
          </cell>
        </row>
        <row r="31">
          <cell r="AL31">
            <v>921073</v>
          </cell>
        </row>
        <row r="32">
          <cell r="AL32">
            <v>16632196</v>
          </cell>
        </row>
        <row r="33">
          <cell r="AL33">
            <v>3048644</v>
          </cell>
        </row>
        <row r="34">
          <cell r="AL34">
            <v>9692321</v>
          </cell>
        </row>
        <row r="35">
          <cell r="AL35">
            <v>5349744</v>
          </cell>
        </row>
        <row r="36">
          <cell r="AL36">
            <v>1341326</v>
          </cell>
        </row>
        <row r="37">
          <cell r="AL37">
            <v>2728674</v>
          </cell>
        </row>
        <row r="38">
          <cell r="AL38">
            <v>12976010</v>
          </cell>
        </row>
        <row r="39">
          <cell r="AL39">
            <v>717943</v>
          </cell>
        </row>
        <row r="40">
          <cell r="AL40">
            <v>2532655</v>
          </cell>
        </row>
        <row r="41">
          <cell r="AL41">
            <v>3033784</v>
          </cell>
        </row>
        <row r="42">
          <cell r="AL42">
            <v>4416744</v>
          </cell>
        </row>
        <row r="43">
          <cell r="AL43">
            <v>10219838</v>
          </cell>
        </row>
        <row r="44">
          <cell r="AL44">
            <v>943558</v>
          </cell>
        </row>
        <row r="45">
          <cell r="AL45">
            <v>1032477</v>
          </cell>
        </row>
        <row r="46">
          <cell r="AL46">
            <v>11136019</v>
          </cell>
        </row>
        <row r="47">
          <cell r="AL47">
            <v>506467</v>
          </cell>
        </row>
        <row r="48">
          <cell r="AL48">
            <v>1525200</v>
          </cell>
        </row>
        <row r="49">
          <cell r="AL49">
            <v>2174008</v>
          </cell>
        </row>
        <row r="50">
          <cell r="AL50">
            <v>3087925</v>
          </cell>
        </row>
        <row r="51">
          <cell r="AL51">
            <v>2206959</v>
          </cell>
        </row>
        <row r="52">
          <cell r="AL52">
            <v>580641</v>
          </cell>
        </row>
        <row r="53">
          <cell r="AL53">
            <v>1041434</v>
          </cell>
        </row>
        <row r="54">
          <cell r="AL54">
            <v>2326540</v>
          </cell>
        </row>
        <row r="55">
          <cell r="AL55">
            <v>6610152</v>
          </cell>
        </row>
        <row r="56">
          <cell r="AL56">
            <v>3845143</v>
          </cell>
        </row>
        <row r="57">
          <cell r="AL57">
            <v>3600900</v>
          </cell>
        </row>
        <row r="58">
          <cell r="AL58">
            <v>17681470</v>
          </cell>
        </row>
        <row r="59">
          <cell r="AL59">
            <v>9256953</v>
          </cell>
        </row>
        <row r="60">
          <cell r="AL60">
            <v>366528</v>
          </cell>
        </row>
        <row r="61">
          <cell r="AL61">
            <v>7492278</v>
          </cell>
        </row>
        <row r="62">
          <cell r="AL62">
            <v>1032558</v>
          </cell>
        </row>
        <row r="63">
          <cell r="AL63">
            <v>4093677</v>
          </cell>
        </row>
        <row r="64">
          <cell r="AL64">
            <v>4747772</v>
          </cell>
        </row>
        <row r="65">
          <cell r="AL65">
            <v>3114813</v>
          </cell>
        </row>
        <row r="66">
          <cell r="AL66">
            <v>3154149</v>
          </cell>
        </row>
        <row r="67">
          <cell r="AL67">
            <v>1110630</v>
          </cell>
        </row>
        <row r="68">
          <cell r="AL68">
            <v>1131859</v>
          </cell>
        </row>
        <row r="69">
          <cell r="AL69">
            <v>829815</v>
          </cell>
        </row>
        <row r="70">
          <cell r="AL70">
            <v>1345422</v>
          </cell>
        </row>
        <row r="71">
          <cell r="AL71">
            <v>3824052</v>
          </cell>
        </row>
        <row r="72">
          <cell r="AL72">
            <v>845041</v>
          </cell>
        </row>
        <row r="73">
          <cell r="AL73">
            <v>2519996</v>
          </cell>
        </row>
        <row r="74">
          <cell r="AL74">
            <v>958256</v>
          </cell>
        </row>
        <row r="75">
          <cell r="AL75">
            <v>2306940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X6">
            <v>181069</v>
          </cell>
          <cell r="AS6">
            <v>266236</v>
          </cell>
        </row>
        <row r="7">
          <cell r="X7">
            <v>133338</v>
          </cell>
          <cell r="AS7">
            <v>196914</v>
          </cell>
        </row>
        <row r="8">
          <cell r="X8">
            <v>82706</v>
          </cell>
          <cell r="AS8">
            <v>121564</v>
          </cell>
        </row>
        <row r="9">
          <cell r="X9">
            <v>113609</v>
          </cell>
          <cell r="AS9">
            <v>167779</v>
          </cell>
        </row>
        <row r="10">
          <cell r="X10">
            <v>28912</v>
          </cell>
          <cell r="AS10">
            <v>42698</v>
          </cell>
        </row>
        <row r="11">
          <cell r="X11">
            <v>128763</v>
          </cell>
          <cell r="AS11">
            <v>188876</v>
          </cell>
        </row>
        <row r="14">
          <cell r="X14">
            <v>223855</v>
          </cell>
          <cell r="AS14">
            <v>170759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- TABLE 3 "/>
      <sheetName val="ALL"/>
      <sheetName val="SSD"/>
      <sheetName val="LSDVI"/>
      <sheetName val="OJJ"/>
      <sheetName val="Raw Data"/>
      <sheetName val="Sheet1"/>
    </sheetNames>
    <sheetDataSet>
      <sheetData sheetId="0">
        <row r="6">
          <cell r="W6">
            <v>1</v>
          </cell>
          <cell r="Y6">
            <v>1</v>
          </cell>
          <cell r="Z6">
            <v>1</v>
          </cell>
          <cell r="AA6">
            <v>6672</v>
          </cell>
        </row>
        <row r="7">
          <cell r="Y7">
            <v>0</v>
          </cell>
          <cell r="Z7">
            <v>0</v>
          </cell>
          <cell r="AA7">
            <v>2568</v>
          </cell>
        </row>
        <row r="8">
          <cell r="W8">
            <v>3</v>
          </cell>
          <cell r="X8">
            <v>1</v>
          </cell>
          <cell r="Y8">
            <v>4</v>
          </cell>
          <cell r="Z8">
            <v>6</v>
          </cell>
          <cell r="AA8">
            <v>10017</v>
          </cell>
        </row>
        <row r="9">
          <cell r="Y9">
            <v>1</v>
          </cell>
          <cell r="Z9">
            <v>0</v>
          </cell>
          <cell r="AA9">
            <v>2348</v>
          </cell>
        </row>
        <row r="10">
          <cell r="W10">
            <v>1</v>
          </cell>
          <cell r="Y10">
            <v>4</v>
          </cell>
          <cell r="Z10">
            <v>3</v>
          </cell>
          <cell r="AA10">
            <v>4848</v>
          </cell>
        </row>
        <row r="11">
          <cell r="W11">
            <v>1</v>
          </cell>
          <cell r="Y11">
            <v>0</v>
          </cell>
          <cell r="Z11">
            <v>3</v>
          </cell>
          <cell r="AA11">
            <v>3146</v>
          </cell>
        </row>
        <row r="12">
          <cell r="Y12">
            <v>0</v>
          </cell>
          <cell r="Z12">
            <v>2</v>
          </cell>
          <cell r="AA12">
            <v>1517</v>
          </cell>
        </row>
        <row r="13">
          <cell r="W13">
            <v>3</v>
          </cell>
          <cell r="Y13">
            <v>2</v>
          </cell>
          <cell r="Z13">
            <v>8</v>
          </cell>
          <cell r="AA13">
            <v>10100</v>
          </cell>
        </row>
        <row r="14">
          <cell r="Y14">
            <v>6</v>
          </cell>
          <cell r="Z14">
            <v>28</v>
          </cell>
          <cell r="AA14">
            <v>27455</v>
          </cell>
        </row>
        <row r="15">
          <cell r="W15">
            <v>2</v>
          </cell>
          <cell r="Y15">
            <v>8</v>
          </cell>
          <cell r="Z15">
            <v>3</v>
          </cell>
          <cell r="AA15">
            <v>19495</v>
          </cell>
        </row>
        <row r="16">
          <cell r="Y16">
            <v>0</v>
          </cell>
          <cell r="Z16">
            <v>1</v>
          </cell>
          <cell r="AA16">
            <v>1069</v>
          </cell>
        </row>
        <row r="17">
          <cell r="Y17">
            <v>1</v>
          </cell>
          <cell r="Z17">
            <v>0</v>
          </cell>
          <cell r="AA17">
            <v>533</v>
          </cell>
        </row>
        <row r="18">
          <cell r="Y18">
            <v>0</v>
          </cell>
          <cell r="Z18">
            <v>0</v>
          </cell>
          <cell r="AA18">
            <v>1105</v>
          </cell>
        </row>
        <row r="19">
          <cell r="Y19">
            <v>0</v>
          </cell>
          <cell r="Z19">
            <v>0</v>
          </cell>
          <cell r="AA19">
            <v>1376</v>
          </cell>
        </row>
        <row r="20">
          <cell r="Y20">
            <v>0</v>
          </cell>
          <cell r="Z20">
            <v>0</v>
          </cell>
          <cell r="AA20">
            <v>2753</v>
          </cell>
        </row>
        <row r="21">
          <cell r="Y21">
            <v>0</v>
          </cell>
          <cell r="Z21">
            <v>0</v>
          </cell>
          <cell r="AA21">
            <v>3146</v>
          </cell>
        </row>
        <row r="22">
          <cell r="W22">
            <v>2</v>
          </cell>
          <cell r="Y22">
            <v>43</v>
          </cell>
          <cell r="Z22">
            <v>22</v>
          </cell>
          <cell r="AA22">
            <v>36686</v>
          </cell>
        </row>
        <row r="23">
          <cell r="Y23">
            <v>0</v>
          </cell>
          <cell r="Z23">
            <v>0</v>
          </cell>
          <cell r="AA23">
            <v>968</v>
          </cell>
        </row>
        <row r="24">
          <cell r="Y24">
            <v>3</v>
          </cell>
          <cell r="Z24">
            <v>0</v>
          </cell>
          <cell r="AA24">
            <v>1631</v>
          </cell>
        </row>
        <row r="25">
          <cell r="Y25">
            <v>2</v>
          </cell>
          <cell r="Z25">
            <v>1</v>
          </cell>
          <cell r="AA25">
            <v>4523</v>
          </cell>
        </row>
        <row r="26">
          <cell r="W26">
            <v>2</v>
          </cell>
          <cell r="Y26">
            <v>0</v>
          </cell>
          <cell r="Z26">
            <v>1</v>
          </cell>
          <cell r="AA26">
            <v>2424</v>
          </cell>
        </row>
        <row r="27">
          <cell r="Y27">
            <v>1</v>
          </cell>
          <cell r="Z27">
            <v>1</v>
          </cell>
          <cell r="AA27">
            <v>2162</v>
          </cell>
        </row>
        <row r="28">
          <cell r="W28">
            <v>1</v>
          </cell>
          <cell r="Y28">
            <v>1</v>
          </cell>
          <cell r="Z28">
            <v>4</v>
          </cell>
          <cell r="AA28">
            <v>9621</v>
          </cell>
        </row>
        <row r="29">
          <cell r="W29">
            <v>1</v>
          </cell>
          <cell r="Y29">
            <v>4</v>
          </cell>
          <cell r="Z29">
            <v>1</v>
          </cell>
          <cell r="AA29">
            <v>3877</v>
          </cell>
        </row>
        <row r="30">
          <cell r="Y30">
            <v>0</v>
          </cell>
          <cell r="Z30">
            <v>1</v>
          </cell>
          <cell r="AA30">
            <v>1485</v>
          </cell>
        </row>
        <row r="31">
          <cell r="W31">
            <v>1</v>
          </cell>
          <cell r="X31">
            <v>16</v>
          </cell>
          <cell r="Y31">
            <v>6</v>
          </cell>
          <cell r="Z31">
            <v>12</v>
          </cell>
          <cell r="AA31">
            <v>35631</v>
          </cell>
        </row>
        <row r="32">
          <cell r="Y32">
            <v>2</v>
          </cell>
          <cell r="Z32">
            <v>1</v>
          </cell>
          <cell r="AA32">
            <v>3337</v>
          </cell>
        </row>
        <row r="33">
          <cell r="Y33">
            <v>2</v>
          </cell>
          <cell r="Z33">
            <v>6</v>
          </cell>
          <cell r="AA33">
            <v>18532</v>
          </cell>
        </row>
        <row r="34">
          <cell r="Y34">
            <v>1</v>
          </cell>
          <cell r="Z34">
            <v>2</v>
          </cell>
          <cell r="AA34">
            <v>8409</v>
          </cell>
        </row>
        <row r="35">
          <cell r="Y35">
            <v>0</v>
          </cell>
          <cell r="Z35">
            <v>0</v>
          </cell>
          <cell r="AA35">
            <v>1405</v>
          </cell>
        </row>
        <row r="36">
          <cell r="Y36">
            <v>3</v>
          </cell>
          <cell r="Z36">
            <v>1</v>
          </cell>
          <cell r="AA36">
            <v>3958</v>
          </cell>
        </row>
        <row r="37">
          <cell r="W37">
            <v>1</v>
          </cell>
          <cell r="Y37">
            <v>10</v>
          </cell>
          <cell r="Z37">
            <v>5</v>
          </cell>
          <cell r="AA37">
            <v>12617</v>
          </cell>
        </row>
        <row r="38">
          <cell r="Y38">
            <v>2</v>
          </cell>
          <cell r="Z38">
            <v>0</v>
          </cell>
          <cell r="AA38">
            <v>1560</v>
          </cell>
        </row>
        <row r="39">
          <cell r="Y39">
            <v>0</v>
          </cell>
          <cell r="Z39">
            <v>0</v>
          </cell>
          <cell r="AA39">
            <v>3704</v>
          </cell>
        </row>
        <row r="40">
          <cell r="W40">
            <v>1</v>
          </cell>
          <cell r="Y40">
            <v>1</v>
          </cell>
          <cell r="Z40">
            <v>3</v>
          </cell>
          <cell r="AA40">
            <v>4742</v>
          </cell>
        </row>
        <row r="41">
          <cell r="W41">
            <v>1</v>
          </cell>
          <cell r="X41">
            <v>30</v>
          </cell>
          <cell r="Y41">
            <v>9</v>
          </cell>
          <cell r="Z41">
            <v>30</v>
          </cell>
          <cell r="AA41">
            <v>36375</v>
          </cell>
        </row>
        <row r="42">
          <cell r="Y42">
            <v>2</v>
          </cell>
          <cell r="Z42">
            <v>5</v>
          </cell>
          <cell r="AA42">
            <v>11653</v>
          </cell>
        </row>
        <row r="43">
          <cell r="Y43">
            <v>0</v>
          </cell>
          <cell r="Z43">
            <v>0</v>
          </cell>
          <cell r="AA43">
            <v>2431</v>
          </cell>
        </row>
        <row r="44">
          <cell r="W44">
            <v>1</v>
          </cell>
          <cell r="Y44">
            <v>8</v>
          </cell>
          <cell r="Z44">
            <v>0</v>
          </cell>
          <cell r="AA44">
            <v>2378</v>
          </cell>
        </row>
        <row r="45">
          <cell r="W45">
            <v>8</v>
          </cell>
          <cell r="Y45">
            <v>3</v>
          </cell>
          <cell r="Z45">
            <v>32</v>
          </cell>
          <cell r="AA45">
            <v>16084</v>
          </cell>
        </row>
        <row r="46">
          <cell r="Y46">
            <v>1</v>
          </cell>
          <cell r="Z46">
            <v>2</v>
          </cell>
          <cell r="AA46">
            <v>1274</v>
          </cell>
        </row>
        <row r="47">
          <cell r="Y47">
            <v>0</v>
          </cell>
          <cell r="Z47">
            <v>0</v>
          </cell>
          <cell r="AA47">
            <v>2751</v>
          </cell>
        </row>
        <row r="48">
          <cell r="Y48">
            <v>0</v>
          </cell>
          <cell r="Z48">
            <v>1</v>
          </cell>
          <cell r="AA48">
            <v>2840</v>
          </cell>
        </row>
        <row r="49">
          <cell r="X49">
            <v>2</v>
          </cell>
          <cell r="Y49">
            <v>4</v>
          </cell>
          <cell r="Z49">
            <v>1</v>
          </cell>
          <cell r="AA49">
            <v>5346</v>
          </cell>
        </row>
        <row r="50">
          <cell r="X50">
            <v>1</v>
          </cell>
          <cell r="Y50">
            <v>1</v>
          </cell>
          <cell r="Z50">
            <v>2</v>
          </cell>
          <cell r="AA50">
            <v>5005</v>
          </cell>
        </row>
        <row r="51">
          <cell r="Y51">
            <v>0</v>
          </cell>
          <cell r="Z51">
            <v>0</v>
          </cell>
          <cell r="AA51">
            <v>984</v>
          </cell>
        </row>
        <row r="52">
          <cell r="W52">
            <v>3</v>
          </cell>
          <cell r="Y52">
            <v>1</v>
          </cell>
          <cell r="Z52">
            <v>1</v>
          </cell>
          <cell r="AA52">
            <v>2618</v>
          </cell>
        </row>
        <row r="53">
          <cell r="Y53">
            <v>2</v>
          </cell>
          <cell r="Z53">
            <v>1</v>
          </cell>
          <cell r="AA53">
            <v>5114</v>
          </cell>
        </row>
        <row r="54">
          <cell r="W54">
            <v>1</v>
          </cell>
          <cell r="Y54">
            <v>5</v>
          </cell>
          <cell r="Z54">
            <v>6</v>
          </cell>
          <cell r="AA54">
            <v>11511</v>
          </cell>
        </row>
        <row r="55">
          <cell r="W55">
            <v>4</v>
          </cell>
          <cell r="Y55">
            <v>2</v>
          </cell>
          <cell r="Z55">
            <v>0</v>
          </cell>
          <cell r="AA55">
            <v>5979</v>
          </cell>
        </row>
        <row r="56">
          <cell r="Y56">
            <v>3</v>
          </cell>
          <cell r="Z56">
            <v>1</v>
          </cell>
          <cell r="AA56">
            <v>6570</v>
          </cell>
        </row>
        <row r="57">
          <cell r="X57">
            <v>3</v>
          </cell>
          <cell r="Y57">
            <v>4</v>
          </cell>
          <cell r="Z57">
            <v>10</v>
          </cell>
          <cell r="AA57">
            <v>17244</v>
          </cell>
        </row>
        <row r="58">
          <cell r="W58">
            <v>2</v>
          </cell>
          <cell r="X58">
            <v>1</v>
          </cell>
          <cell r="Y58">
            <v>9</v>
          </cell>
          <cell r="Z58">
            <v>6</v>
          </cell>
          <cell r="AA58">
            <v>15075</v>
          </cell>
        </row>
        <row r="59">
          <cell r="Y59">
            <v>0</v>
          </cell>
          <cell r="Z59">
            <v>0</v>
          </cell>
          <cell r="AA59">
            <v>617</v>
          </cell>
        </row>
        <row r="60">
          <cell r="W60">
            <v>1</v>
          </cell>
          <cell r="Y60">
            <v>6</v>
          </cell>
          <cell r="Z60">
            <v>15</v>
          </cell>
          <cell r="AA60">
            <v>12046</v>
          </cell>
        </row>
        <row r="61">
          <cell r="Y61">
            <v>0</v>
          </cell>
          <cell r="Z61">
            <v>0</v>
          </cell>
          <cell r="AA61">
            <v>2113</v>
          </cell>
        </row>
        <row r="62">
          <cell r="Y62">
            <v>0</v>
          </cell>
          <cell r="Z62">
            <v>0</v>
          </cell>
          <cell r="AA62">
            <v>5352</v>
          </cell>
        </row>
        <row r="63">
          <cell r="W63">
            <v>1</v>
          </cell>
          <cell r="Y63">
            <v>1</v>
          </cell>
          <cell r="Z63">
            <v>3</v>
          </cell>
          <cell r="AA63">
            <v>5196</v>
          </cell>
        </row>
        <row r="64">
          <cell r="Y64">
            <v>0</v>
          </cell>
          <cell r="Z64">
            <v>3</v>
          </cell>
          <cell r="AA64">
            <v>4342</v>
          </cell>
        </row>
        <row r="65">
          <cell r="Y65">
            <v>2</v>
          </cell>
          <cell r="Z65">
            <v>4</v>
          </cell>
          <cell r="AA65">
            <v>4470</v>
          </cell>
        </row>
        <row r="66">
          <cell r="Y66">
            <v>3</v>
          </cell>
          <cell r="Z66">
            <v>0</v>
          </cell>
          <cell r="AA66">
            <v>2523</v>
          </cell>
        </row>
        <row r="67">
          <cell r="Y67">
            <v>1</v>
          </cell>
          <cell r="Z67">
            <v>0</v>
          </cell>
          <cell r="AA67">
            <v>1625</v>
          </cell>
        </row>
        <row r="68">
          <cell r="Y68">
            <v>1</v>
          </cell>
          <cell r="Z68">
            <v>1</v>
          </cell>
          <cell r="AA68">
            <v>1069</v>
          </cell>
        </row>
        <row r="69">
          <cell r="Y69">
            <v>1</v>
          </cell>
          <cell r="Z69">
            <v>0</v>
          </cell>
          <cell r="AA69">
            <v>1680</v>
          </cell>
        </row>
        <row r="70">
          <cell r="Y70">
            <v>2</v>
          </cell>
          <cell r="Z70">
            <v>2</v>
          </cell>
          <cell r="AA70">
            <v>6627</v>
          </cell>
        </row>
        <row r="71">
          <cell r="Y71">
            <v>4</v>
          </cell>
          <cell r="Z71">
            <v>2</v>
          </cell>
          <cell r="AA71">
            <v>1911</v>
          </cell>
        </row>
        <row r="72">
          <cell r="Y72">
            <v>2</v>
          </cell>
          <cell r="Z72">
            <v>1</v>
          </cell>
          <cell r="AA72">
            <v>2364</v>
          </cell>
        </row>
        <row r="73">
          <cell r="Y73">
            <v>3</v>
          </cell>
          <cell r="Z73">
            <v>0</v>
          </cell>
          <cell r="AA73">
            <v>1337</v>
          </cell>
        </row>
        <row r="74">
          <cell r="Y74">
            <v>0</v>
          </cell>
          <cell r="Z74">
            <v>0</v>
          </cell>
          <cell r="AA74">
            <v>2162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6887_Total CTE T3 corrected"/>
      <sheetName val="MS6887_Total CTE Units"/>
      <sheetName val="Total CTE"/>
      <sheetName val="MS6887_Fundamental Units"/>
      <sheetName val="MS6887_Technical Units"/>
      <sheetName val="CTE student-level base table"/>
      <sheetName val="Tech for BESE"/>
      <sheetName val="Fund for BESE"/>
    </sheetNames>
    <sheetDataSet>
      <sheetData sheetId="0">
        <row r="6">
          <cell r="E6">
            <v>2975</v>
          </cell>
          <cell r="M6">
            <v>2984.5</v>
          </cell>
        </row>
        <row r="7">
          <cell r="M7">
            <v>1559</v>
          </cell>
        </row>
        <row r="8">
          <cell r="M8">
            <v>7942.5</v>
          </cell>
        </row>
        <row r="9">
          <cell r="M9">
            <v>1449.5</v>
          </cell>
        </row>
        <row r="10">
          <cell r="M10">
            <v>2518</v>
          </cell>
        </row>
        <row r="11">
          <cell r="M11">
            <v>1868.5</v>
          </cell>
        </row>
        <row r="12">
          <cell r="M12">
            <v>846</v>
          </cell>
        </row>
        <row r="13">
          <cell r="M13">
            <v>6770.5</v>
          </cell>
        </row>
        <row r="14">
          <cell r="M14">
            <v>11113.5</v>
          </cell>
        </row>
        <row r="15">
          <cell r="M15">
            <v>9134</v>
          </cell>
        </row>
        <row r="16">
          <cell r="M16">
            <v>611</v>
          </cell>
        </row>
        <row r="17">
          <cell r="M17">
            <v>445.5</v>
          </cell>
        </row>
        <row r="18">
          <cell r="M18">
            <v>626.5</v>
          </cell>
        </row>
        <row r="19">
          <cell r="M19">
            <v>477.5</v>
          </cell>
        </row>
        <row r="20">
          <cell r="M20">
            <v>1281.5</v>
          </cell>
        </row>
        <row r="21">
          <cell r="M21">
            <v>1759.5</v>
          </cell>
        </row>
        <row r="22">
          <cell r="M22">
            <v>15647</v>
          </cell>
        </row>
        <row r="23">
          <cell r="M23">
            <v>432</v>
          </cell>
        </row>
        <row r="24">
          <cell r="M24">
            <v>367.5</v>
          </cell>
        </row>
        <row r="25">
          <cell r="M25">
            <v>2045.5</v>
          </cell>
        </row>
        <row r="26">
          <cell r="M26">
            <v>967</v>
          </cell>
        </row>
        <row r="27">
          <cell r="M27">
            <v>1061</v>
          </cell>
        </row>
        <row r="28">
          <cell r="M28">
            <v>5827.5</v>
          </cell>
        </row>
        <row r="29">
          <cell r="M29">
            <v>868</v>
          </cell>
        </row>
        <row r="30">
          <cell r="M30">
            <v>967</v>
          </cell>
        </row>
        <row r="31">
          <cell r="M31">
            <v>10993.5</v>
          </cell>
        </row>
        <row r="32">
          <cell r="M32">
            <v>2366</v>
          </cell>
        </row>
        <row r="33">
          <cell r="M33">
            <v>7590</v>
          </cell>
        </row>
        <row r="34">
          <cell r="M34">
            <v>5273.5</v>
          </cell>
        </row>
        <row r="35">
          <cell r="M35">
            <v>963</v>
          </cell>
        </row>
        <row r="36">
          <cell r="M36">
            <v>2540.5</v>
          </cell>
        </row>
        <row r="37">
          <cell r="M37">
            <v>10978.5</v>
          </cell>
        </row>
        <row r="38">
          <cell r="M38">
            <v>548.5</v>
          </cell>
        </row>
        <row r="39">
          <cell r="M39">
            <v>1690.5</v>
          </cell>
        </row>
        <row r="40">
          <cell r="M40">
            <v>2199</v>
          </cell>
        </row>
        <row r="41">
          <cell r="M41">
            <v>5081</v>
          </cell>
        </row>
        <row r="42">
          <cell r="M42">
            <v>5431.5</v>
          </cell>
        </row>
        <row r="43">
          <cell r="M43">
            <v>1504.5</v>
          </cell>
        </row>
        <row r="44">
          <cell r="M44">
            <v>986</v>
          </cell>
        </row>
        <row r="45">
          <cell r="M45">
            <v>6007</v>
          </cell>
        </row>
        <row r="46">
          <cell r="M46">
            <v>554</v>
          </cell>
        </row>
        <row r="47">
          <cell r="M47">
            <v>1156</v>
          </cell>
        </row>
        <row r="48">
          <cell r="M48">
            <v>1649.5</v>
          </cell>
        </row>
        <row r="49">
          <cell r="M49">
            <v>1870</v>
          </cell>
        </row>
        <row r="50">
          <cell r="M50">
            <v>4226.5</v>
          </cell>
        </row>
        <row r="51">
          <cell r="M51">
            <v>347</v>
          </cell>
        </row>
        <row r="52">
          <cell r="M52">
            <v>1665</v>
          </cell>
        </row>
        <row r="53">
          <cell r="M53">
            <v>2280</v>
          </cell>
        </row>
        <row r="54">
          <cell r="M54">
            <v>4485</v>
          </cell>
        </row>
        <row r="55">
          <cell r="M55">
            <v>3391.5</v>
          </cell>
        </row>
        <row r="56">
          <cell r="M56">
            <v>3471</v>
          </cell>
        </row>
        <row r="57">
          <cell r="M57">
            <v>16993</v>
          </cell>
        </row>
        <row r="58">
          <cell r="M58">
            <v>6756.5</v>
          </cell>
        </row>
        <row r="59">
          <cell r="M59">
            <v>263.5</v>
          </cell>
        </row>
        <row r="60">
          <cell r="M60">
            <v>5894</v>
          </cell>
        </row>
        <row r="61">
          <cell r="M61">
            <v>823.5</v>
          </cell>
        </row>
        <row r="62">
          <cell r="M62">
            <v>3280</v>
          </cell>
        </row>
        <row r="63">
          <cell r="M63">
            <v>3124</v>
          </cell>
        </row>
        <row r="64">
          <cell r="M64">
            <v>2255.5</v>
          </cell>
        </row>
        <row r="65">
          <cell r="M65">
            <v>2642.5</v>
          </cell>
        </row>
        <row r="66">
          <cell r="M66">
            <v>1173</v>
          </cell>
        </row>
        <row r="67">
          <cell r="M67">
            <v>643</v>
          </cell>
        </row>
        <row r="68">
          <cell r="M68">
            <v>431</v>
          </cell>
        </row>
        <row r="69">
          <cell r="M69">
            <v>1210</v>
          </cell>
        </row>
        <row r="70">
          <cell r="M70">
            <v>2298</v>
          </cell>
        </row>
        <row r="71">
          <cell r="M71">
            <v>636</v>
          </cell>
        </row>
        <row r="72">
          <cell r="M72">
            <v>1513.5</v>
          </cell>
        </row>
        <row r="73">
          <cell r="M73">
            <v>578</v>
          </cell>
        </row>
        <row r="74">
          <cell r="M74">
            <v>1288.5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 Funded SWD -Table 3"/>
      <sheetName val="MFP Funded GT -Table 3"/>
      <sheetName val="MFP Funded SWD"/>
      <sheetName val="MFP Funded GT"/>
      <sheetName val="By Severity (L1)"/>
      <sheetName val="By Severity (L2)"/>
      <sheetName val="By Severity (L3)"/>
      <sheetName val="By Severity (Infants)"/>
      <sheetName val="RSD&amp;Type 5 by Site SWD"/>
      <sheetName val="RSD&amp;Type 5 by Site GT"/>
      <sheetName val="RSD&amp;Type 5 by Site Severity -L1"/>
      <sheetName val="RSD&amp;Type 5 by Site Severity -L2"/>
      <sheetName val="RSD&amp;Type 5 by Site Severity L3"/>
    </sheetNames>
    <sheetDataSet>
      <sheetData sheetId="0">
        <row r="5">
          <cell r="W5">
            <v>900</v>
          </cell>
        </row>
        <row r="6">
          <cell r="W6">
            <v>417</v>
          </cell>
        </row>
        <row r="7">
          <cell r="W7">
            <v>2308</v>
          </cell>
        </row>
        <row r="8">
          <cell r="W8">
            <v>483</v>
          </cell>
        </row>
        <row r="9">
          <cell r="W9">
            <v>579</v>
          </cell>
        </row>
        <row r="10">
          <cell r="W10">
            <v>873</v>
          </cell>
        </row>
        <row r="11">
          <cell r="W11">
            <v>209</v>
          </cell>
        </row>
        <row r="12">
          <cell r="W12">
            <v>2554</v>
          </cell>
        </row>
        <row r="13">
          <cell r="W13">
            <v>4071</v>
          </cell>
        </row>
        <row r="14">
          <cell r="W14">
            <v>5020</v>
          </cell>
        </row>
        <row r="15">
          <cell r="W15">
            <v>328</v>
          </cell>
        </row>
        <row r="16">
          <cell r="W16">
            <v>142</v>
          </cell>
        </row>
        <row r="17">
          <cell r="W17">
            <v>163</v>
          </cell>
        </row>
        <row r="18">
          <cell r="W18">
            <v>326</v>
          </cell>
        </row>
        <row r="19">
          <cell r="W19">
            <v>390</v>
          </cell>
        </row>
        <row r="20">
          <cell r="W20">
            <v>509</v>
          </cell>
        </row>
        <row r="21">
          <cell r="W21">
            <v>4615</v>
          </cell>
        </row>
        <row r="22">
          <cell r="W22">
            <v>109</v>
          </cell>
        </row>
        <row r="23">
          <cell r="W23">
            <v>274</v>
          </cell>
        </row>
        <row r="24">
          <cell r="W24">
            <v>761</v>
          </cell>
        </row>
        <row r="25">
          <cell r="W25">
            <v>444</v>
          </cell>
        </row>
        <row r="26">
          <cell r="W26">
            <v>498</v>
          </cell>
        </row>
        <row r="27">
          <cell r="W27">
            <v>1591</v>
          </cell>
        </row>
        <row r="28">
          <cell r="W28">
            <v>437</v>
          </cell>
        </row>
        <row r="29">
          <cell r="W29">
            <v>216</v>
          </cell>
        </row>
        <row r="30">
          <cell r="W30">
            <v>5569</v>
          </cell>
        </row>
        <row r="31">
          <cell r="W31">
            <v>787</v>
          </cell>
        </row>
        <row r="32">
          <cell r="W32">
            <v>2704</v>
          </cell>
        </row>
        <row r="33">
          <cell r="W33">
            <v>1092</v>
          </cell>
        </row>
        <row r="34">
          <cell r="W34">
            <v>228</v>
          </cell>
        </row>
        <row r="35">
          <cell r="W35">
            <v>772</v>
          </cell>
        </row>
        <row r="36">
          <cell r="W36">
            <v>3189</v>
          </cell>
        </row>
        <row r="37">
          <cell r="W37">
            <v>172</v>
          </cell>
        </row>
        <row r="38">
          <cell r="W38">
            <v>688</v>
          </cell>
        </row>
        <row r="39">
          <cell r="W39">
            <v>759</v>
          </cell>
        </row>
        <row r="40">
          <cell r="W40">
            <v>5256</v>
          </cell>
        </row>
        <row r="41">
          <cell r="W41">
            <v>2486</v>
          </cell>
        </row>
        <row r="42">
          <cell r="W42">
            <v>454</v>
          </cell>
        </row>
        <row r="43">
          <cell r="W43">
            <v>468</v>
          </cell>
        </row>
        <row r="44">
          <cell r="W44">
            <v>2587</v>
          </cell>
        </row>
        <row r="45">
          <cell r="W45">
            <v>130</v>
          </cell>
        </row>
        <row r="46">
          <cell r="W46">
            <v>361</v>
          </cell>
        </row>
        <row r="47">
          <cell r="W47">
            <v>525</v>
          </cell>
        </row>
        <row r="48">
          <cell r="W48">
            <v>750</v>
          </cell>
        </row>
        <row r="49">
          <cell r="W49">
            <v>923</v>
          </cell>
        </row>
        <row r="50">
          <cell r="W50">
            <v>163</v>
          </cell>
        </row>
        <row r="51">
          <cell r="W51">
            <v>522</v>
          </cell>
        </row>
        <row r="52">
          <cell r="W52">
            <v>842</v>
          </cell>
        </row>
        <row r="53">
          <cell r="W53">
            <v>1823</v>
          </cell>
        </row>
        <row r="54">
          <cell r="W54">
            <v>895</v>
          </cell>
        </row>
        <row r="55">
          <cell r="W55">
            <v>1309</v>
          </cell>
        </row>
        <row r="56">
          <cell r="W56">
            <v>6138</v>
          </cell>
        </row>
        <row r="57">
          <cell r="W57">
            <v>2235</v>
          </cell>
        </row>
        <row r="58">
          <cell r="W58">
            <v>112</v>
          </cell>
        </row>
        <row r="59">
          <cell r="W59">
            <v>2130</v>
          </cell>
        </row>
        <row r="60">
          <cell r="W60">
            <v>347</v>
          </cell>
        </row>
        <row r="61">
          <cell r="W61">
            <v>1070</v>
          </cell>
        </row>
        <row r="62">
          <cell r="W62">
            <v>1052</v>
          </cell>
        </row>
        <row r="63">
          <cell r="W63">
            <v>830</v>
          </cell>
        </row>
        <row r="64">
          <cell r="W64">
            <v>738</v>
          </cell>
        </row>
        <row r="65">
          <cell r="W65">
            <v>367</v>
          </cell>
        </row>
        <row r="66">
          <cell r="W66">
            <v>235</v>
          </cell>
        </row>
        <row r="67">
          <cell r="W67">
            <v>264</v>
          </cell>
        </row>
        <row r="68">
          <cell r="W68">
            <v>338</v>
          </cell>
        </row>
        <row r="69">
          <cell r="W69">
            <v>1303</v>
          </cell>
        </row>
        <row r="70">
          <cell r="W70">
            <v>481</v>
          </cell>
        </row>
        <row r="71">
          <cell r="W71">
            <v>439</v>
          </cell>
        </row>
        <row r="72">
          <cell r="W72">
            <v>230</v>
          </cell>
        </row>
        <row r="73">
          <cell r="W73">
            <v>299</v>
          </cell>
        </row>
      </sheetData>
      <sheetData sheetId="1">
        <row r="5">
          <cell r="S5">
            <v>111</v>
          </cell>
        </row>
        <row r="6">
          <cell r="S6">
            <v>54</v>
          </cell>
        </row>
        <row r="7">
          <cell r="S7">
            <v>560</v>
          </cell>
        </row>
        <row r="8">
          <cell r="S8">
            <v>76</v>
          </cell>
        </row>
        <row r="9">
          <cell r="S9">
            <v>12</v>
          </cell>
        </row>
        <row r="10">
          <cell r="S10">
            <v>70</v>
          </cell>
        </row>
        <row r="11">
          <cell r="S11">
            <v>53</v>
          </cell>
        </row>
        <row r="12">
          <cell r="S12">
            <v>1095</v>
          </cell>
        </row>
        <row r="13">
          <cell r="S13">
            <v>1695</v>
          </cell>
        </row>
        <row r="14">
          <cell r="S14">
            <v>1298</v>
          </cell>
        </row>
        <row r="15">
          <cell r="S15">
            <v>35</v>
          </cell>
        </row>
        <row r="16">
          <cell r="S16">
            <v>93</v>
          </cell>
        </row>
        <row r="17">
          <cell r="S17">
            <v>25</v>
          </cell>
        </row>
        <row r="18">
          <cell r="S18">
            <v>95</v>
          </cell>
        </row>
        <row r="19">
          <cell r="S19">
            <v>113</v>
          </cell>
        </row>
        <row r="20">
          <cell r="S20">
            <v>237</v>
          </cell>
        </row>
        <row r="21">
          <cell r="S21">
            <v>1939</v>
          </cell>
        </row>
        <row r="22">
          <cell r="S22">
            <v>1</v>
          </cell>
        </row>
        <row r="23">
          <cell r="S23">
            <v>21</v>
          </cell>
        </row>
        <row r="24">
          <cell r="S24">
            <v>75</v>
          </cell>
        </row>
        <row r="25">
          <cell r="S25">
            <v>28</v>
          </cell>
        </row>
        <row r="26">
          <cell r="S26">
            <v>31</v>
          </cell>
        </row>
        <row r="27">
          <cell r="S27">
            <v>402</v>
          </cell>
        </row>
        <row r="28">
          <cell r="S28">
            <v>116</v>
          </cell>
        </row>
        <row r="29">
          <cell r="S29">
            <v>83</v>
          </cell>
        </row>
        <row r="30">
          <cell r="S30">
            <v>3484</v>
          </cell>
        </row>
        <row r="31">
          <cell r="S31">
            <v>146</v>
          </cell>
        </row>
        <row r="32">
          <cell r="S32">
            <v>1371</v>
          </cell>
        </row>
        <row r="33">
          <cell r="S33">
            <v>215</v>
          </cell>
        </row>
        <row r="34">
          <cell r="S34">
            <v>37</v>
          </cell>
        </row>
        <row r="35">
          <cell r="S35">
            <v>342</v>
          </cell>
        </row>
        <row r="36">
          <cell r="S36">
            <v>1177</v>
          </cell>
        </row>
        <row r="37">
          <cell r="S37">
            <v>10</v>
          </cell>
        </row>
        <row r="38">
          <cell r="S38">
            <v>39</v>
          </cell>
        </row>
        <row r="39">
          <cell r="S39">
            <v>224</v>
          </cell>
        </row>
        <row r="40">
          <cell r="S40">
            <v>2974</v>
          </cell>
        </row>
        <row r="41">
          <cell r="S41">
            <v>983</v>
          </cell>
        </row>
        <row r="42">
          <cell r="S42">
            <v>202</v>
          </cell>
        </row>
        <row r="43">
          <cell r="S43">
            <v>34</v>
          </cell>
        </row>
        <row r="44">
          <cell r="S44">
            <v>595</v>
          </cell>
        </row>
        <row r="45">
          <cell r="S45">
            <v>2</v>
          </cell>
        </row>
        <row r="46">
          <cell r="S46">
            <v>50</v>
          </cell>
        </row>
        <row r="47">
          <cell r="S47">
            <v>102</v>
          </cell>
        </row>
        <row r="48">
          <cell r="S48">
            <v>145</v>
          </cell>
        </row>
        <row r="49">
          <cell r="S49">
            <v>488</v>
          </cell>
        </row>
        <row r="50">
          <cell r="S50">
            <v>18</v>
          </cell>
        </row>
        <row r="51">
          <cell r="S51">
            <v>82</v>
          </cell>
        </row>
        <row r="52">
          <cell r="S52">
            <v>118</v>
          </cell>
        </row>
        <row r="53">
          <cell r="S53">
            <v>332</v>
          </cell>
        </row>
        <row r="54">
          <cell r="S54">
            <v>159</v>
          </cell>
        </row>
        <row r="55">
          <cell r="S55">
            <v>557</v>
          </cell>
        </row>
        <row r="56">
          <cell r="S56">
            <v>3248</v>
          </cell>
        </row>
        <row r="57">
          <cell r="S57">
            <v>439</v>
          </cell>
        </row>
        <row r="58">
          <cell r="S58">
            <v>30</v>
          </cell>
        </row>
        <row r="59">
          <cell r="S59">
            <v>653</v>
          </cell>
        </row>
        <row r="60">
          <cell r="S60">
            <v>14</v>
          </cell>
        </row>
        <row r="61">
          <cell r="S61">
            <v>180</v>
          </cell>
        </row>
        <row r="62">
          <cell r="S62">
            <v>242</v>
          </cell>
        </row>
        <row r="63">
          <cell r="S63">
            <v>341</v>
          </cell>
        </row>
        <row r="64">
          <cell r="S64">
            <v>305</v>
          </cell>
        </row>
        <row r="65">
          <cell r="S65">
            <v>153</v>
          </cell>
        </row>
        <row r="66">
          <cell r="S66">
            <v>16</v>
          </cell>
        </row>
        <row r="67">
          <cell r="S67">
            <v>143</v>
          </cell>
        </row>
        <row r="68">
          <cell r="S68">
            <v>65</v>
          </cell>
        </row>
        <row r="69">
          <cell r="S69">
            <v>579</v>
          </cell>
        </row>
        <row r="70">
          <cell r="S70">
            <v>123</v>
          </cell>
        </row>
        <row r="71">
          <cell r="S71">
            <v>467</v>
          </cell>
        </row>
        <row r="72">
          <cell r="S72">
            <v>11</v>
          </cell>
        </row>
        <row r="73">
          <cell r="S73">
            <v>308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F6">
            <v>0</v>
          </cell>
          <cell r="H6">
            <v>0</v>
          </cell>
        </row>
        <row r="7">
          <cell r="F7">
            <v>0</v>
          </cell>
          <cell r="H7">
            <v>0</v>
          </cell>
        </row>
        <row r="8">
          <cell r="F8">
            <v>0</v>
          </cell>
          <cell r="H8">
            <v>0</v>
          </cell>
        </row>
        <row r="9">
          <cell r="F9">
            <v>0</v>
          </cell>
          <cell r="H9">
            <v>0</v>
          </cell>
        </row>
        <row r="10">
          <cell r="F10">
            <v>0</v>
          </cell>
          <cell r="H10">
            <v>0</v>
          </cell>
        </row>
        <row r="11">
          <cell r="F11">
            <v>0</v>
          </cell>
          <cell r="H11">
            <v>0</v>
          </cell>
        </row>
        <row r="12">
          <cell r="F12">
            <v>0</v>
          </cell>
          <cell r="H12">
            <v>0</v>
          </cell>
        </row>
        <row r="13">
          <cell r="F13">
            <v>0</v>
          </cell>
          <cell r="H13">
            <v>0</v>
          </cell>
        </row>
        <row r="14">
          <cell r="F14">
            <v>0</v>
          </cell>
          <cell r="H14">
            <v>0</v>
          </cell>
        </row>
        <row r="15">
          <cell r="F15">
            <v>0</v>
          </cell>
          <cell r="H15">
            <v>0</v>
          </cell>
        </row>
        <row r="16">
          <cell r="F16">
            <v>0</v>
          </cell>
          <cell r="H16">
            <v>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0</v>
          </cell>
          <cell r="H19">
            <v>0</v>
          </cell>
        </row>
        <row r="20">
          <cell r="F20">
            <v>-134652</v>
          </cell>
          <cell r="H20">
            <v>-22442</v>
          </cell>
        </row>
        <row r="21">
          <cell r="F21">
            <v>0</v>
          </cell>
          <cell r="H21">
            <v>0</v>
          </cell>
        </row>
        <row r="22">
          <cell r="F22">
            <v>-7208892</v>
          </cell>
          <cell r="H22">
            <v>-1201483</v>
          </cell>
        </row>
        <row r="23">
          <cell r="F23">
            <v>0</v>
          </cell>
          <cell r="H23">
            <v>0</v>
          </cell>
        </row>
        <row r="24">
          <cell r="F24">
            <v>0</v>
          </cell>
          <cell r="H24">
            <v>0</v>
          </cell>
        </row>
        <row r="25">
          <cell r="F25">
            <v>-105372</v>
          </cell>
          <cell r="H25">
            <v>-17562</v>
          </cell>
        </row>
        <row r="26">
          <cell r="F26">
            <v>0</v>
          </cell>
          <cell r="H26">
            <v>0</v>
          </cell>
        </row>
        <row r="27">
          <cell r="F27">
            <v>0</v>
          </cell>
          <cell r="H27">
            <v>0</v>
          </cell>
        </row>
        <row r="28">
          <cell r="F28">
            <v>0</v>
          </cell>
          <cell r="H28">
            <v>0</v>
          </cell>
        </row>
        <row r="29">
          <cell r="F29">
            <v>-460322</v>
          </cell>
          <cell r="H29">
            <v>-76721</v>
          </cell>
        </row>
        <row r="30">
          <cell r="F30">
            <v>0</v>
          </cell>
          <cell r="H30">
            <v>0</v>
          </cell>
        </row>
        <row r="31">
          <cell r="F31">
            <v>-5093546</v>
          </cell>
          <cell r="H31">
            <v>-848925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0</v>
          </cell>
          <cell r="H34">
            <v>0</v>
          </cell>
        </row>
        <row r="35">
          <cell r="F35">
            <v>0</v>
          </cell>
          <cell r="H35">
            <v>0</v>
          </cell>
        </row>
        <row r="36">
          <cell r="F36">
            <v>0</v>
          </cell>
          <cell r="H36">
            <v>0</v>
          </cell>
        </row>
        <row r="37">
          <cell r="F37">
            <v>0</v>
          </cell>
          <cell r="H37">
            <v>0</v>
          </cell>
        </row>
        <row r="38">
          <cell r="F38">
            <v>0</v>
          </cell>
          <cell r="H38">
            <v>0</v>
          </cell>
        </row>
        <row r="39">
          <cell r="F39">
            <v>0</v>
          </cell>
          <cell r="H39">
            <v>0</v>
          </cell>
        </row>
        <row r="40">
          <cell r="F40">
            <v>0</v>
          </cell>
          <cell r="H40">
            <v>0</v>
          </cell>
        </row>
        <row r="41">
          <cell r="F41">
            <v>0</v>
          </cell>
          <cell r="H41">
            <v>0</v>
          </cell>
        </row>
        <row r="42">
          <cell r="F42">
            <v>0</v>
          </cell>
          <cell r="H42">
            <v>0</v>
          </cell>
        </row>
        <row r="43">
          <cell r="F43">
            <v>-2477808</v>
          </cell>
          <cell r="H43">
            <v>-412968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0</v>
          </cell>
          <cell r="H46">
            <v>0</v>
          </cell>
        </row>
        <row r="47">
          <cell r="F47">
            <v>0</v>
          </cell>
          <cell r="H47">
            <v>0</v>
          </cell>
        </row>
        <row r="48">
          <cell r="F48">
            <v>0</v>
          </cell>
          <cell r="H48">
            <v>0</v>
          </cell>
        </row>
        <row r="49">
          <cell r="F49">
            <v>0</v>
          </cell>
          <cell r="H49">
            <v>0</v>
          </cell>
        </row>
        <row r="50">
          <cell r="F50">
            <v>-4485644</v>
          </cell>
          <cell r="H50">
            <v>-537734</v>
          </cell>
        </row>
        <row r="51">
          <cell r="F51">
            <v>0</v>
          </cell>
          <cell r="H51">
            <v>0</v>
          </cell>
        </row>
        <row r="52">
          <cell r="F52">
            <v>-474270</v>
          </cell>
          <cell r="H52">
            <v>-79046</v>
          </cell>
        </row>
        <row r="53">
          <cell r="F53">
            <v>0</v>
          </cell>
          <cell r="H53">
            <v>0</v>
          </cell>
        </row>
        <row r="54">
          <cell r="F54">
            <v>0</v>
          </cell>
          <cell r="H54">
            <v>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0</v>
          </cell>
          <cell r="H67">
            <v>0</v>
          </cell>
        </row>
        <row r="68">
          <cell r="F68">
            <v>-3136920</v>
          </cell>
          <cell r="H68">
            <v>-522820</v>
          </cell>
        </row>
        <row r="69">
          <cell r="F69">
            <v>0</v>
          </cell>
          <cell r="H69">
            <v>0</v>
          </cell>
        </row>
        <row r="70">
          <cell r="F70">
            <v>0</v>
          </cell>
          <cell r="H70">
            <v>0</v>
          </cell>
        </row>
        <row r="71">
          <cell r="F71">
            <v>0</v>
          </cell>
          <cell r="H71">
            <v>0</v>
          </cell>
        </row>
        <row r="72">
          <cell r="F72">
            <v>0</v>
          </cell>
          <cell r="H72">
            <v>0</v>
          </cell>
        </row>
        <row r="73">
          <cell r="F73">
            <v>0</v>
          </cell>
          <cell r="H73">
            <v>0</v>
          </cell>
        </row>
        <row r="74">
          <cell r="F74">
            <v>0</v>
          </cell>
          <cell r="H7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ted for MFP"/>
      <sheetName val="Sheet1"/>
      <sheetName val="Sheet2"/>
      <sheetName val="Sheet3"/>
    </sheetNames>
    <sheetDataSet>
      <sheetData sheetId="0">
        <row r="4">
          <cell r="G4">
            <v>175</v>
          </cell>
        </row>
        <row r="5">
          <cell r="G5">
            <v>36</v>
          </cell>
        </row>
        <row r="6">
          <cell r="G6">
            <v>852</v>
          </cell>
        </row>
        <row r="7">
          <cell r="G7">
            <v>224</v>
          </cell>
        </row>
        <row r="8">
          <cell r="G8">
            <v>229</v>
          </cell>
        </row>
        <row r="9">
          <cell r="G9">
            <v>41</v>
          </cell>
        </row>
        <row r="10">
          <cell r="G10">
            <v>61</v>
          </cell>
        </row>
        <row r="11">
          <cell r="G11">
            <v>560</v>
          </cell>
        </row>
        <row r="12">
          <cell r="G12">
            <v>634</v>
          </cell>
        </row>
        <row r="13">
          <cell r="G13">
            <v>842</v>
          </cell>
        </row>
        <row r="14">
          <cell r="G14">
            <v>84</v>
          </cell>
        </row>
        <row r="15">
          <cell r="G15">
            <v>0</v>
          </cell>
        </row>
        <row r="16">
          <cell r="G16">
            <v>7</v>
          </cell>
        </row>
        <row r="17">
          <cell r="G17">
            <v>38</v>
          </cell>
        </row>
        <row r="18">
          <cell r="G18">
            <v>0</v>
          </cell>
        </row>
        <row r="19">
          <cell r="G19">
            <v>63</v>
          </cell>
        </row>
        <row r="20">
          <cell r="G20">
            <v>613</v>
          </cell>
        </row>
        <row r="21">
          <cell r="G21">
            <v>59</v>
          </cell>
        </row>
        <row r="22">
          <cell r="G22">
            <v>100</v>
          </cell>
        </row>
        <row r="23">
          <cell r="G23">
            <v>259</v>
          </cell>
        </row>
        <row r="24">
          <cell r="G24">
            <v>15</v>
          </cell>
        </row>
        <row r="25">
          <cell r="G25">
            <v>105</v>
          </cell>
        </row>
        <row r="26">
          <cell r="G26">
            <v>435</v>
          </cell>
        </row>
        <row r="27">
          <cell r="G27">
            <v>99</v>
          </cell>
        </row>
        <row r="28">
          <cell r="G28">
            <v>158</v>
          </cell>
        </row>
        <row r="29">
          <cell r="G29">
            <v>1114</v>
          </cell>
        </row>
        <row r="30">
          <cell r="G30">
            <v>52</v>
          </cell>
        </row>
        <row r="31">
          <cell r="G31">
            <v>532</v>
          </cell>
        </row>
        <row r="32">
          <cell r="G32">
            <v>400</v>
          </cell>
        </row>
        <row r="33">
          <cell r="G33">
            <v>102</v>
          </cell>
        </row>
        <row r="34">
          <cell r="G34">
            <v>80</v>
          </cell>
        </row>
        <row r="35">
          <cell r="G35">
            <v>2721.5</v>
          </cell>
        </row>
        <row r="36">
          <cell r="G36">
            <v>67</v>
          </cell>
        </row>
        <row r="37">
          <cell r="G37">
            <v>99</v>
          </cell>
        </row>
        <row r="38">
          <cell r="G38">
            <v>140</v>
          </cell>
        </row>
        <row r="39">
          <cell r="G39">
            <v>0</v>
          </cell>
        </row>
        <row r="40">
          <cell r="G40">
            <v>240.5</v>
          </cell>
        </row>
        <row r="41">
          <cell r="G41">
            <v>27</v>
          </cell>
        </row>
        <row r="42">
          <cell r="G42">
            <v>68</v>
          </cell>
        </row>
        <row r="43">
          <cell r="G43">
            <v>622.5</v>
          </cell>
        </row>
        <row r="44">
          <cell r="G44">
            <v>48</v>
          </cell>
        </row>
        <row r="45">
          <cell r="G45">
            <v>135</v>
          </cell>
        </row>
        <row r="46">
          <cell r="G46">
            <v>71</v>
          </cell>
        </row>
        <row r="47">
          <cell r="G47">
            <v>49</v>
          </cell>
        </row>
        <row r="48">
          <cell r="G48">
            <v>318</v>
          </cell>
        </row>
        <row r="49">
          <cell r="G49">
            <v>0</v>
          </cell>
        </row>
        <row r="50">
          <cell r="G50">
            <v>196</v>
          </cell>
        </row>
        <row r="51">
          <cell r="G51">
            <v>360</v>
          </cell>
        </row>
        <row r="52">
          <cell r="G52">
            <v>603</v>
          </cell>
        </row>
        <row r="53">
          <cell r="G53">
            <v>266</v>
          </cell>
        </row>
        <row r="54">
          <cell r="G54">
            <v>263</v>
          </cell>
        </row>
        <row r="55">
          <cell r="G55">
            <v>2150</v>
          </cell>
        </row>
        <row r="56">
          <cell r="G56">
            <v>390</v>
          </cell>
        </row>
        <row r="57">
          <cell r="G57">
            <v>27</v>
          </cell>
        </row>
        <row r="58">
          <cell r="G58">
            <v>796</v>
          </cell>
        </row>
        <row r="59">
          <cell r="G59">
            <v>30</v>
          </cell>
        </row>
        <row r="60">
          <cell r="G60">
            <v>306</v>
          </cell>
        </row>
        <row r="61">
          <cell r="G61">
            <v>322</v>
          </cell>
        </row>
        <row r="62">
          <cell r="G62">
            <v>178</v>
          </cell>
        </row>
        <row r="63">
          <cell r="G63">
            <v>60</v>
          </cell>
        </row>
        <row r="64">
          <cell r="G64">
            <v>68</v>
          </cell>
        </row>
        <row r="65">
          <cell r="G65">
            <v>75</v>
          </cell>
        </row>
        <row r="66">
          <cell r="G66">
            <v>51</v>
          </cell>
        </row>
        <row r="67">
          <cell r="G67">
            <v>105.0420168067227</v>
          </cell>
        </row>
        <row r="68">
          <cell r="G68">
            <v>77</v>
          </cell>
        </row>
        <row r="69">
          <cell r="G69">
            <v>77</v>
          </cell>
        </row>
        <row r="70">
          <cell r="G70">
            <v>215</v>
          </cell>
        </row>
        <row r="71">
          <cell r="G71">
            <v>42</v>
          </cell>
        </row>
        <row r="72">
          <cell r="G72">
            <v>175</v>
          </cell>
        </row>
        <row r="75">
          <cell r="G75">
            <v>15</v>
          </cell>
        </row>
        <row r="76">
          <cell r="G76">
            <v>16</v>
          </cell>
        </row>
        <row r="77">
          <cell r="G77">
            <v>72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Q78"/>
  <sheetViews>
    <sheetView tabSelected="1" view="pageBreakPreview" zoomScaleNormal="75" zoomScaleSheetLayoutView="100" workbookViewId="0">
      <pane xSplit="2" ySplit="5" topLeftCell="C6" activePane="bottomRight" state="frozen"/>
      <selection activeCell="C12" sqref="C12"/>
      <selection pane="topRight" activeCell="C12" sqref="C12"/>
      <selection pane="bottomLeft" activeCell="C12" sqref="C12"/>
      <selection pane="bottomRight" activeCell="C7" sqref="C7"/>
    </sheetView>
  </sheetViews>
  <sheetFormatPr defaultColWidth="8.85546875" defaultRowHeight="12.75"/>
  <cols>
    <col min="1" max="1" width="4.140625" style="427" customWidth="1"/>
    <col min="2" max="2" width="17.5703125" style="427" bestFit="1" customWidth="1"/>
    <col min="3" max="3" width="14.7109375" style="427" bestFit="1" customWidth="1"/>
    <col min="4" max="5" width="12" style="427" bestFit="1" customWidth="1"/>
    <col min="6" max="6" width="14.28515625" style="427" bestFit="1" customWidth="1"/>
    <col min="7" max="7" width="11.85546875" style="427" customWidth="1"/>
    <col min="8" max="8" width="13.42578125" style="427" customWidth="1"/>
    <col min="9" max="9" width="12.7109375" style="427" bestFit="1" customWidth="1"/>
    <col min="10" max="11" width="13.7109375" style="427" bestFit="1" customWidth="1"/>
    <col min="12" max="14" width="15.7109375" style="427" bestFit="1" customWidth="1"/>
    <col min="15" max="15" width="13.7109375" style="427" bestFit="1" customWidth="1"/>
    <col min="16" max="18" width="11.5703125" style="427" bestFit="1" customWidth="1"/>
    <col min="19" max="20" width="11.42578125" style="427" bestFit="1" customWidth="1"/>
    <col min="21" max="21" width="12.5703125" style="427" bestFit="1" customWidth="1"/>
    <col min="22" max="22" width="11.42578125" style="427" bestFit="1" customWidth="1"/>
    <col min="23" max="23" width="11.5703125" style="427" bestFit="1" customWidth="1"/>
    <col min="24" max="24" width="11.42578125" style="427" customWidth="1"/>
    <col min="25" max="25" width="10.7109375" style="427" bestFit="1" customWidth="1"/>
    <col min="26" max="26" width="11.5703125" style="427" bestFit="1" customWidth="1"/>
    <col min="27" max="27" width="11.42578125" style="427" customWidth="1"/>
    <col min="28" max="29" width="11.5703125" style="427" bestFit="1" customWidth="1"/>
    <col min="30" max="30" width="12.5703125" style="427" customWidth="1"/>
    <col min="31" max="32" width="13.7109375" style="427" bestFit="1" customWidth="1"/>
    <col min="33" max="33" width="14.7109375" style="427" customWidth="1"/>
    <col min="34" max="34" width="14.5703125" style="427" customWidth="1"/>
    <col min="35" max="35" width="16.140625" style="427" customWidth="1"/>
    <col min="36" max="36" width="15.85546875" style="427" customWidth="1"/>
    <col min="37" max="37" width="15.28515625" style="427" customWidth="1"/>
    <col min="38" max="38" width="12.7109375" style="427" bestFit="1" customWidth="1"/>
    <col min="39" max="41" width="12.7109375" style="427" customWidth="1"/>
    <col min="42" max="42" width="14.5703125" style="427" bestFit="1" customWidth="1"/>
    <col min="43" max="43" width="1.85546875" style="427" customWidth="1"/>
    <col min="44" max="16384" width="8.85546875" style="427"/>
  </cols>
  <sheetData>
    <row r="1" spans="1:43" s="623" customFormat="1" ht="34.15" customHeight="1">
      <c r="D1" s="1312" t="s">
        <v>644</v>
      </c>
      <c r="E1" s="1313"/>
      <c r="F1" s="1313"/>
      <c r="G1" s="1313"/>
      <c r="H1" s="1314"/>
      <c r="I1" s="1327" t="s">
        <v>411</v>
      </c>
      <c r="J1" s="1328"/>
      <c r="K1" s="1328"/>
      <c r="L1" s="1328"/>
      <c r="M1" s="1328"/>
      <c r="N1" s="1329"/>
    </row>
    <row r="2" spans="1:43" s="623" customFormat="1" ht="14.45" customHeight="1">
      <c r="A2" s="1330" t="s">
        <v>140</v>
      </c>
      <c r="B2" s="1321" t="s">
        <v>162</v>
      </c>
      <c r="C2" s="1333" t="s">
        <v>686</v>
      </c>
      <c r="D2" s="1321" t="s">
        <v>773</v>
      </c>
      <c r="E2" s="1321" t="s">
        <v>774</v>
      </c>
      <c r="F2" s="1321" t="s">
        <v>775</v>
      </c>
      <c r="G2" s="1332" t="s">
        <v>163</v>
      </c>
      <c r="H2" s="1332"/>
      <c r="I2" s="1318" t="s">
        <v>412</v>
      </c>
      <c r="J2" s="1319"/>
      <c r="K2" s="1320"/>
      <c r="L2" s="1318" t="s">
        <v>413</v>
      </c>
      <c r="M2" s="1319"/>
      <c r="N2" s="1320"/>
      <c r="O2" s="1315" t="s">
        <v>611</v>
      </c>
      <c r="P2" s="1325" t="s">
        <v>453</v>
      </c>
      <c r="Q2" s="1325" t="s">
        <v>452</v>
      </c>
      <c r="R2" s="1325" t="s">
        <v>451</v>
      </c>
      <c r="S2" s="1325" t="s">
        <v>450</v>
      </c>
      <c r="T2" s="1325" t="s">
        <v>596</v>
      </c>
      <c r="U2" s="1325" t="s">
        <v>449</v>
      </c>
      <c r="V2" s="1325" t="s">
        <v>448</v>
      </c>
      <c r="W2" s="1325" t="s">
        <v>599</v>
      </c>
      <c r="X2" s="1325" t="s">
        <v>605</v>
      </c>
      <c r="Y2" s="1325" t="s">
        <v>600</v>
      </c>
      <c r="Z2" s="1325" t="s">
        <v>601</v>
      </c>
      <c r="AA2" s="1325" t="s">
        <v>604</v>
      </c>
      <c r="AB2" s="1325" t="s">
        <v>602</v>
      </c>
      <c r="AC2" s="1325" t="s">
        <v>603</v>
      </c>
      <c r="AD2" s="1325" t="s">
        <v>447</v>
      </c>
      <c r="AE2" s="1325" t="s">
        <v>446</v>
      </c>
      <c r="AF2" s="1316" t="s">
        <v>272</v>
      </c>
      <c r="AG2" s="1309" t="s">
        <v>725</v>
      </c>
      <c r="AH2" s="1310"/>
      <c r="AI2" s="1311" t="s">
        <v>735</v>
      </c>
      <c r="AJ2" s="1311" t="s">
        <v>597</v>
      </c>
      <c r="AK2" s="1311" t="s">
        <v>598</v>
      </c>
      <c r="AL2" s="1311" t="s">
        <v>549</v>
      </c>
      <c r="AM2" s="1309" t="s">
        <v>732</v>
      </c>
      <c r="AN2" s="1310"/>
      <c r="AO2" s="1310"/>
      <c r="AP2" s="1311" t="s">
        <v>736</v>
      </c>
      <c r="AQ2" s="624"/>
    </row>
    <row r="3" spans="1:43" s="623" customFormat="1" ht="28.5" customHeight="1">
      <c r="A3" s="1331"/>
      <c r="B3" s="1331"/>
      <c r="C3" s="1334"/>
      <c r="D3" s="1322"/>
      <c r="E3" s="1322"/>
      <c r="F3" s="1322"/>
      <c r="G3" s="1332"/>
      <c r="H3" s="1332"/>
      <c r="I3" s="1321" t="s">
        <v>918</v>
      </c>
      <c r="J3" s="1321" t="s">
        <v>548</v>
      </c>
      <c r="K3" s="1323" t="s">
        <v>414</v>
      </c>
      <c r="L3" s="1321" t="s">
        <v>678</v>
      </c>
      <c r="M3" s="1321" t="s">
        <v>679</v>
      </c>
      <c r="N3" s="1323" t="s">
        <v>681</v>
      </c>
      <c r="O3" s="1315"/>
      <c r="P3" s="1326"/>
      <c r="Q3" s="1326"/>
      <c r="R3" s="1326"/>
      <c r="S3" s="1326"/>
      <c r="T3" s="1326"/>
      <c r="U3" s="1326"/>
      <c r="V3" s="1326"/>
      <c r="W3" s="1326"/>
      <c r="X3" s="1326"/>
      <c r="Y3" s="1326"/>
      <c r="Z3" s="1326"/>
      <c r="AA3" s="1326"/>
      <c r="AB3" s="1326"/>
      <c r="AC3" s="1326"/>
      <c r="AD3" s="1326"/>
      <c r="AE3" s="1326"/>
      <c r="AF3" s="1317"/>
      <c r="AG3" s="1306" t="s">
        <v>689</v>
      </c>
      <c r="AH3" s="1308" t="s">
        <v>724</v>
      </c>
      <c r="AI3" s="1311"/>
      <c r="AJ3" s="1311"/>
      <c r="AK3" s="1311"/>
      <c r="AL3" s="1311"/>
      <c r="AM3" s="1306" t="s">
        <v>727</v>
      </c>
      <c r="AN3" s="1308" t="s">
        <v>897</v>
      </c>
      <c r="AO3" s="1306" t="s">
        <v>898</v>
      </c>
      <c r="AP3" s="1311"/>
      <c r="AQ3" s="624"/>
    </row>
    <row r="4" spans="1:43" s="623" customFormat="1" ht="106.9" customHeight="1">
      <c r="A4" s="1331"/>
      <c r="B4" s="1331"/>
      <c r="C4" s="1334"/>
      <c r="D4" s="1322"/>
      <c r="E4" s="1322"/>
      <c r="F4" s="1322"/>
      <c r="G4" s="625" t="s">
        <v>164</v>
      </c>
      <c r="H4" s="625" t="s">
        <v>165</v>
      </c>
      <c r="I4" s="1322"/>
      <c r="J4" s="1322"/>
      <c r="K4" s="1324"/>
      <c r="L4" s="1322"/>
      <c r="M4" s="1322"/>
      <c r="N4" s="1324"/>
      <c r="O4" s="1315"/>
      <c r="P4" s="1326"/>
      <c r="Q4" s="1326"/>
      <c r="R4" s="1326"/>
      <c r="S4" s="1326"/>
      <c r="T4" s="1326"/>
      <c r="U4" s="1326"/>
      <c r="V4" s="1326"/>
      <c r="W4" s="1326"/>
      <c r="X4" s="1326"/>
      <c r="Y4" s="1326"/>
      <c r="Z4" s="1326"/>
      <c r="AA4" s="1326"/>
      <c r="AB4" s="1326"/>
      <c r="AC4" s="1326"/>
      <c r="AD4" s="1326"/>
      <c r="AE4" s="1326"/>
      <c r="AF4" s="1317"/>
      <c r="AG4" s="1307"/>
      <c r="AH4" s="1307"/>
      <c r="AI4" s="1311"/>
      <c r="AJ4" s="1311"/>
      <c r="AK4" s="1311"/>
      <c r="AL4" s="1311"/>
      <c r="AM4" s="1307"/>
      <c r="AN4" s="1307"/>
      <c r="AO4" s="1307"/>
      <c r="AP4" s="1311"/>
      <c r="AQ4" s="624"/>
    </row>
    <row r="5" spans="1:43" s="626" customFormat="1">
      <c r="A5" s="97"/>
      <c r="B5" s="98"/>
      <c r="C5" s="99">
        <f t="shared" ref="C5:H5" si="0">B5+1</f>
        <v>1</v>
      </c>
      <c r="D5" s="99">
        <f t="shared" si="0"/>
        <v>2</v>
      </c>
      <c r="E5" s="99">
        <f t="shared" si="0"/>
        <v>3</v>
      </c>
      <c r="F5" s="99">
        <f t="shared" si="0"/>
        <v>4</v>
      </c>
      <c r="G5" s="99">
        <f t="shared" si="0"/>
        <v>5</v>
      </c>
      <c r="H5" s="99">
        <f t="shared" si="0"/>
        <v>6</v>
      </c>
      <c r="I5" s="99">
        <f>H5+1</f>
        <v>7</v>
      </c>
      <c r="J5" s="99">
        <f t="shared" ref="J5:O5" si="1">I5+1</f>
        <v>8</v>
      </c>
      <c r="K5" s="99">
        <f t="shared" si="1"/>
        <v>9</v>
      </c>
      <c r="L5" s="99">
        <f t="shared" si="1"/>
        <v>10</v>
      </c>
      <c r="M5" s="99">
        <f t="shared" si="1"/>
        <v>11</v>
      </c>
      <c r="N5" s="99">
        <f t="shared" si="1"/>
        <v>12</v>
      </c>
      <c r="O5" s="99">
        <f t="shared" si="1"/>
        <v>13</v>
      </c>
      <c r="P5" s="99">
        <f>O5+1</f>
        <v>14</v>
      </c>
      <c r="Q5" s="99">
        <f t="shared" ref="Q5:U5" si="2">P5+1</f>
        <v>15</v>
      </c>
      <c r="R5" s="99">
        <f t="shared" si="2"/>
        <v>16</v>
      </c>
      <c r="S5" s="99">
        <f t="shared" si="2"/>
        <v>17</v>
      </c>
      <c r="T5" s="99">
        <f t="shared" si="2"/>
        <v>18</v>
      </c>
      <c r="U5" s="99">
        <f t="shared" si="2"/>
        <v>19</v>
      </c>
      <c r="V5" s="99">
        <f t="shared" ref="V5" si="3">U5+1</f>
        <v>20</v>
      </c>
      <c r="W5" s="99">
        <f t="shared" ref="W5" si="4">V5+1</f>
        <v>21</v>
      </c>
      <c r="X5" s="99">
        <f t="shared" ref="X5" si="5">W5+1</f>
        <v>22</v>
      </c>
      <c r="Y5" s="99">
        <f t="shared" ref="Y5" si="6">X5+1</f>
        <v>23</v>
      </c>
      <c r="Z5" s="99">
        <f t="shared" ref="Z5" si="7">Y5+1</f>
        <v>24</v>
      </c>
      <c r="AA5" s="99">
        <f t="shared" ref="AA5" si="8">Z5+1</f>
        <v>25</v>
      </c>
      <c r="AB5" s="99">
        <f t="shared" ref="AB5" si="9">AA5+1</f>
        <v>26</v>
      </c>
      <c r="AC5" s="99">
        <f t="shared" ref="AC5" si="10">AB5+1</f>
        <v>27</v>
      </c>
      <c r="AD5" s="99">
        <f t="shared" ref="AD5" si="11">AC5+1</f>
        <v>28</v>
      </c>
      <c r="AE5" s="99">
        <f t="shared" ref="AE5:AF5" si="12">AD5+1</f>
        <v>29</v>
      </c>
      <c r="AF5" s="99">
        <f t="shared" si="12"/>
        <v>30</v>
      </c>
      <c r="AG5" s="99">
        <f t="shared" ref="AG5" si="13">AF5+1</f>
        <v>31</v>
      </c>
      <c r="AH5" s="99">
        <f t="shared" ref="AH5:AI5" si="14">AG5+1</f>
        <v>32</v>
      </c>
      <c r="AI5" s="99">
        <f t="shared" si="14"/>
        <v>33</v>
      </c>
      <c r="AJ5" s="99">
        <f t="shared" ref="AJ5" si="15">AI5+1</f>
        <v>34</v>
      </c>
      <c r="AK5" s="99">
        <f t="shared" ref="AK5" si="16">AJ5+1</f>
        <v>35</v>
      </c>
      <c r="AL5" s="99">
        <f t="shared" ref="AL5" si="17">AK5+1</f>
        <v>36</v>
      </c>
      <c r="AM5" s="99">
        <f t="shared" ref="AM5" si="18">AL5+1</f>
        <v>37</v>
      </c>
      <c r="AN5" s="99">
        <f t="shared" ref="AN5" si="19">AM5+1</f>
        <v>38</v>
      </c>
      <c r="AO5" s="99">
        <f t="shared" ref="AO5" si="20">AN5+1</f>
        <v>39</v>
      </c>
      <c r="AP5" s="99">
        <f t="shared" ref="AP5" si="21">AO5+1</f>
        <v>40</v>
      </c>
      <c r="AQ5" s="44"/>
    </row>
    <row r="6" spans="1:43" s="626" customFormat="1" ht="13.15" hidden="1" customHeight="1">
      <c r="A6" s="97"/>
      <c r="B6" s="98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 t="s">
        <v>458</v>
      </c>
      <c r="Q6" s="99" t="s">
        <v>458</v>
      </c>
      <c r="R6" s="99" t="s">
        <v>458</v>
      </c>
      <c r="S6" s="99" t="s">
        <v>458</v>
      </c>
      <c r="T6" s="99" t="s">
        <v>458</v>
      </c>
      <c r="U6" s="99" t="s">
        <v>458</v>
      </c>
      <c r="V6" s="99" t="s">
        <v>458</v>
      </c>
      <c r="W6" s="99" t="s">
        <v>458</v>
      </c>
      <c r="X6" s="99" t="s">
        <v>458</v>
      </c>
      <c r="Y6" s="99" t="s">
        <v>458</v>
      </c>
      <c r="Z6" s="99" t="s">
        <v>458</v>
      </c>
      <c r="AA6" s="99" t="s">
        <v>458</v>
      </c>
      <c r="AB6" s="99" t="s">
        <v>458</v>
      </c>
      <c r="AC6" s="99" t="s">
        <v>458</v>
      </c>
      <c r="AD6" s="99" t="s">
        <v>637</v>
      </c>
      <c r="AE6" s="99" t="s">
        <v>637</v>
      </c>
      <c r="AF6" s="99"/>
      <c r="AG6" s="113"/>
      <c r="AH6" s="113"/>
      <c r="AI6" s="99"/>
      <c r="AJ6" s="99"/>
      <c r="AK6" s="99"/>
      <c r="AL6" s="99"/>
      <c r="AM6" s="139"/>
      <c r="AN6" s="139"/>
      <c r="AO6" s="139"/>
      <c r="AP6" s="139"/>
      <c r="AQ6" s="44"/>
    </row>
    <row r="7" spans="1:43" ht="14.45" customHeight="1">
      <c r="A7" s="224">
        <v>1</v>
      </c>
      <c r="B7" s="225" t="s">
        <v>73</v>
      </c>
      <c r="C7" s="227">
        <f>'Table 3 Levels 1&amp;2'!AO4</f>
        <v>53748209.527183995</v>
      </c>
      <c r="D7" s="227">
        <v>0</v>
      </c>
      <c r="E7" s="227">
        <v>0</v>
      </c>
      <c r="F7" s="227">
        <f>SUM(D7:E7)</f>
        <v>0</v>
      </c>
      <c r="G7" s="227">
        <f t="shared" ref="G7:G70" si="22">IF(F7&gt;0,F7,0)</f>
        <v>0</v>
      </c>
      <c r="H7" s="227">
        <f>IF(F7&lt;0,F7,0)</f>
        <v>0</v>
      </c>
      <c r="I7" s="227">
        <f>'[1]October midyear adj'!K4</f>
        <v>415750.38310012373</v>
      </c>
      <c r="J7" s="227">
        <f>'[1]February midyear adj'!K4</f>
        <v>-260536.90674274421</v>
      </c>
      <c r="K7" s="227">
        <f>SUM(I7:J7)</f>
        <v>155213.47635737952</v>
      </c>
      <c r="L7" s="227">
        <f>'[1]Oct midyear Madison Prep'!K4+'[1]Oct midyear DArbonne'!K4+'[1]Oct midyear Intl_VIBE'!K4+'[1]Oct midyear NOMMA'!K4+'[1]Oct midyear LFNO'!K4+'[1]Oct midyear Lake Charles Chtr'!K4+'[1]Oct midyear JS Clark'!K4+'[1]Oct midyear Southwest'!K4+'[1]Oct midyear LA Key'!K4+'[1]Oct midyear Jefferson Cham'!K4+'[1]Oct midyear Tallulah'!K4+'[1]Oct midyear Northshore'!K4+'[1]Oct midyear B.R. Charter'!K4+'[1]Oct midyear Delta'!K4+'[1]Oct midyear LAVCA'!K4+'[1]Oct midyear LA Conn'!K4</f>
        <v>114747.10573563416</v>
      </c>
      <c r="M7" s="227">
        <f>'[1]Feb midyear Madison Prep'!K4+'[1]Feb midyear DArbonne'!K4+'[1]Feb midyear Intl_VIBE'!K4+'[1]Feb midyear NOMMA'!K4+'[1]Feb midyear LFNO'!K4+'[1]Feb midyear Lake Charles Chtr'!K4+'[1]Feb midyear JS Clark'!K4+'[1]Feb midyear Southwest'!K4+'[1]Feb midyear LA Key'!K4+'[1]Feb midyear Jefferson Cham'!K4+'[1]Feb midyear Tallulah'!K4+'[1]Feb midyear Northshore'!K4+'[1]Feb midyear B.R. Charter'!K4+'[1]Feb midyear Delta'!K4+'[1]Feb midyear LAVCA'!K4+'[1]Feb midyear LA Conn'!K4</f>
        <v>17461.516090205198</v>
      </c>
      <c r="N7" s="227">
        <f>SUM(L7:M7)</f>
        <v>132208.62182583936</v>
      </c>
      <c r="O7" s="227">
        <v>0</v>
      </c>
      <c r="P7" s="227">
        <f>-'Table 5C1A-Madison Prep'!H7</f>
        <v>0</v>
      </c>
      <c r="Q7" s="227">
        <f>-'Table 5C1B-DArbonne'!H7</f>
        <v>0</v>
      </c>
      <c r="R7" s="227">
        <f>-'Table 5C1C-Intl_VIBE'!H7</f>
        <v>0</v>
      </c>
      <c r="S7" s="227">
        <f>-'Table 5C1D-NOMMA'!H7</f>
        <v>0</v>
      </c>
      <c r="T7" s="227">
        <f>-'Table 5C1E-LFNO'!H7</f>
        <v>0</v>
      </c>
      <c r="U7" s="227">
        <f>-'Table 5C1F-Lake Charles Charter'!H7</f>
        <v>0</v>
      </c>
      <c r="V7" s="227">
        <f>-'Table 5C1G-JS Clark Academy'!H7</f>
        <v>0</v>
      </c>
      <c r="W7" s="227">
        <f>-'Table 5C1H-Southwest LA Charter'!H7</f>
        <v>0</v>
      </c>
      <c r="X7" s="227">
        <f>-'Table 5C1I-LA Key Academy'!H7</f>
        <v>0</v>
      </c>
      <c r="Y7" s="227">
        <f>-'Table 5C1J-Jefferson Chamber'!H7</f>
        <v>0</v>
      </c>
      <c r="Z7" s="227">
        <f>-'Table 5C1K-Tallulah Charter'!H7</f>
        <v>0</v>
      </c>
      <c r="AA7" s="227">
        <f>-'Table 5C1L-Northshore Charter'!H7</f>
        <v>0</v>
      </c>
      <c r="AB7" s="227">
        <f>-'Table 5C1M-B.R. Charter'!H7</f>
        <v>0</v>
      </c>
      <c r="AC7" s="227">
        <f>-'Table 5C1N-Delta Charter'!H7</f>
        <v>0</v>
      </c>
      <c r="AD7" s="227">
        <f>-('Table 5C2 - LA Virtual Admy'!M7+'Table 5C2 - LA Virtual Admy'!I7)</f>
        <v>-159648.14711044755</v>
      </c>
      <c r="AE7" s="227">
        <f>-('Table 5C3 - LA Connections EBR'!M7+'Table 5C3 - LA Connections EBR'!I7)</f>
        <v>-149947.30483811133</v>
      </c>
      <c r="AF7" s="227">
        <f t="shared" ref="AF7:AF38" si="23">SUM(O7:AE7)</f>
        <v>-309595.45194855891</v>
      </c>
      <c r="AG7" s="227">
        <f>+'Table 4 Level 4'!E5</f>
        <v>0</v>
      </c>
      <c r="AH7" s="227">
        <f>+'Table 4 Level 4'!O5</f>
        <v>102440</v>
      </c>
      <c r="AI7" s="983">
        <f t="shared" ref="AI7:AI38" si="24">ROUND(C7+F7+K7+N7+AF7+AG7+AH7,0)</f>
        <v>53828476</v>
      </c>
      <c r="AJ7" s="227">
        <f>4*'[2]Table 2_State Distrib and Adjs'!AL7+(2*'[3]Table 2_State Distrib and Adjs'!AL7)+(2*'[4]Table 2_State Distrib and Adjs'!AL7)</f>
        <v>35782176</v>
      </c>
      <c r="AK7" s="227">
        <f>AI7-AJ7</f>
        <v>18046300</v>
      </c>
      <c r="AL7" s="227">
        <f t="shared" ref="AL7:AL38" si="25">ROUND(AK7/$AL$77,0)</f>
        <v>4511575</v>
      </c>
      <c r="AM7" s="227">
        <f>+'Table 4 Level 4'!J5</f>
        <v>0</v>
      </c>
      <c r="AN7" s="227">
        <f>+'Table 4 Level 4'!L5</f>
        <v>41650</v>
      </c>
      <c r="AO7" s="227">
        <f>+'Table 4 Level 4'!M5</f>
        <v>0</v>
      </c>
      <c r="AP7" s="983">
        <f>+AI7+AM7+AN7+AO7</f>
        <v>53870126</v>
      </c>
      <c r="AQ7" s="41"/>
    </row>
    <row r="8" spans="1:43" ht="14.45" customHeight="1">
      <c r="A8" s="228">
        <v>2</v>
      </c>
      <c r="B8" s="229" t="s">
        <v>74</v>
      </c>
      <c r="C8" s="231">
        <f>'Table 3 Levels 1&amp;2'!AO5</f>
        <v>29258614.924785919</v>
      </c>
      <c r="D8" s="231">
        <v>0</v>
      </c>
      <c r="E8" s="231">
        <v>0</v>
      </c>
      <c r="F8" s="231">
        <f t="shared" ref="F8:F71" si="26">SUM(D8:E8)</f>
        <v>0</v>
      </c>
      <c r="G8" s="231">
        <f t="shared" si="22"/>
        <v>0</v>
      </c>
      <c r="H8" s="231">
        <f t="shared" ref="H8:H71" si="27">IF(F8&lt;0,F8,0)</f>
        <v>0</v>
      </c>
      <c r="I8" s="231">
        <f>'[1]October midyear adj'!K5</f>
        <v>236245.23917737592</v>
      </c>
      <c r="J8" s="231">
        <f>'[1]February midyear adj'!K5</f>
        <v>-157496.82611825061</v>
      </c>
      <c r="K8" s="231">
        <f t="shared" ref="K8:K71" si="28">SUM(I8:J8)</f>
        <v>78748.413059125305</v>
      </c>
      <c r="L8" s="231">
        <f>'[1]Oct midyear Madison Prep'!K5+'[1]Oct midyear DArbonne'!K5+'[1]Oct midyear Intl_VIBE'!K5+'[1]Oct midyear NOMMA'!K5+'[1]Oct midyear LFNO'!K5+'[1]Oct midyear Lake Charles Chtr'!K5+'[1]Oct midyear JS Clark'!K5+'[1]Oct midyear Southwest'!K5+'[1]Oct midyear LA Key'!K5+'[1]Oct midyear Jefferson Cham'!K5+'[1]Oct midyear Tallulah'!K5+'[1]Oct midyear Northshore'!K5+'[1]Oct midyear B.R. Charter'!K5+'[1]Oct midyear Delta'!K5+'[1]Oct midyear LAVCA'!K5+'[1]Oct midyear LA Conn'!K5</f>
        <v>64430.519775647976</v>
      </c>
      <c r="M8" s="231">
        <f>'[1]Feb midyear Madison Prep'!K5+'[1]Feb midyear DArbonne'!K5+'[1]Feb midyear Intl_VIBE'!K5+'[1]Feb midyear NOMMA'!K5+'[1]Feb midyear LFNO'!K5+'[1]Feb midyear Lake Charles Chtr'!K5+'[1]Feb midyear JS Clark'!K5+'[1]Feb midyear Southwest'!K5+'[1]Feb midyear LA Key'!K5+'[1]Feb midyear Jefferson Cham'!K5+'[1]Feb midyear Tallulah'!K5+'[1]Feb midyear Northshore'!K5+'[1]Feb midyear B.R. Charter'!K5+'[1]Feb midyear Delta'!K5+'[1]Feb midyear LAVCA'!K5+'[1]Feb midyear LA Conn'!K5</f>
        <v>-9664.5779663471949</v>
      </c>
      <c r="N8" s="231">
        <f t="shared" ref="N8:N71" si="29">SUM(L8:M8)</f>
        <v>54765.941809300784</v>
      </c>
      <c r="O8" s="231">
        <v>0</v>
      </c>
      <c r="P8" s="231">
        <f>-'Table 5C1A-Madison Prep'!L8</f>
        <v>0</v>
      </c>
      <c r="Q8" s="231">
        <f>-'Table 5C1B-DArbonne'!L8</f>
        <v>0</v>
      </c>
      <c r="R8" s="231">
        <f>-'Table 5C1C-Intl_VIBE'!L8</f>
        <v>0</v>
      </c>
      <c r="S8" s="231">
        <f>-'Table 5C1D-NOMMA'!L8</f>
        <v>0</v>
      </c>
      <c r="T8" s="231">
        <f>-'Table 5C1E-LFNO'!L8</f>
        <v>0</v>
      </c>
      <c r="U8" s="231">
        <f>-'Table 5C1F-Lake Charles Charter'!L8</f>
        <v>0</v>
      </c>
      <c r="V8" s="231">
        <f>-'Table 5C1G-JS Clark Academy'!L8</f>
        <v>0</v>
      </c>
      <c r="W8" s="231">
        <f>-'Table 5C1H-Southwest LA Charter'!L8</f>
        <v>0</v>
      </c>
      <c r="X8" s="231">
        <f>-'Table 5C1I-LA Key Academy'!L8</f>
        <v>0</v>
      </c>
      <c r="Y8" s="231">
        <f>-'Table 5C1J-Jefferson Chamber'!L8</f>
        <v>0</v>
      </c>
      <c r="Z8" s="231">
        <f>-'Table 5C1K-Tallulah Charter'!L8</f>
        <v>0</v>
      </c>
      <c r="AA8" s="231">
        <f>-'Table 5C1L-Northshore Charter'!L8</f>
        <v>0</v>
      </c>
      <c r="AB8" s="231">
        <f>-'Table 5C1M-B.R. Charter'!L8</f>
        <v>0</v>
      </c>
      <c r="AC8" s="231">
        <f>-'Table 5C1N-Delta Charter'!L8</f>
        <v>0</v>
      </c>
      <c r="AD8" s="231">
        <f>-('Table 5C2 - LA Virtual Admy'!M8+'Table 5C2 - LA Virtual Admy'!I8)</f>
        <v>-112037.51494321009</v>
      </c>
      <c r="AE8" s="231">
        <f>-('Table 5C3 - LA Connections EBR'!M8+'Table 5C3 - LA Connections EBR'!I8)</f>
        <v>-64430.519775647976</v>
      </c>
      <c r="AF8" s="231">
        <f t="shared" si="23"/>
        <v>-176468.03471885808</v>
      </c>
      <c r="AG8" s="231">
        <f>+'Table 4 Level 4'!E6</f>
        <v>0</v>
      </c>
      <c r="AH8" s="231">
        <f>+'Table 4 Level 4'!O6</f>
        <v>44356</v>
      </c>
      <c r="AI8" s="984">
        <f t="shared" si="24"/>
        <v>29260017</v>
      </c>
      <c r="AJ8" s="231">
        <f>4*'[2]Table 2_State Distrib and Adjs'!AL8+(2*'[3]Table 2_State Distrib and Adjs'!AL8)+(2*'[4]Table 2_State Distrib and Adjs'!AL8)</f>
        <v>19454178</v>
      </c>
      <c r="AK8" s="231">
        <f t="shared" ref="AK8:AK71" si="30">AI8-AJ8</f>
        <v>9805839</v>
      </c>
      <c r="AL8" s="231">
        <f t="shared" si="25"/>
        <v>2451460</v>
      </c>
      <c r="AM8" s="231">
        <f>+'Table 4 Level 4'!J6</f>
        <v>0</v>
      </c>
      <c r="AN8" s="231">
        <f>+'Table 4 Level 4'!L6</f>
        <v>25000</v>
      </c>
      <c r="AO8" s="231">
        <f>+'Table 4 Level 4'!M6</f>
        <v>0</v>
      </c>
      <c r="AP8" s="984">
        <f t="shared" ref="AP8:AP71" si="31">+AI8+AM8+AN8+AO8</f>
        <v>29285017</v>
      </c>
      <c r="AQ8" s="41"/>
    </row>
    <row r="9" spans="1:43" ht="14.45" customHeight="1">
      <c r="A9" s="228">
        <v>3</v>
      </c>
      <c r="B9" s="229" t="s">
        <v>75</v>
      </c>
      <c r="C9" s="231">
        <f>'Table 3 Levels 1&amp;2'!AO6</f>
        <v>99592965.157018244</v>
      </c>
      <c r="D9" s="231">
        <v>0</v>
      </c>
      <c r="E9" s="231">
        <v>0</v>
      </c>
      <c r="F9" s="231">
        <f t="shared" si="26"/>
        <v>0</v>
      </c>
      <c r="G9" s="231">
        <f t="shared" si="22"/>
        <v>0</v>
      </c>
      <c r="H9" s="231">
        <f t="shared" si="27"/>
        <v>0</v>
      </c>
      <c r="I9" s="231">
        <f>'[1]October midyear adj'!K6</f>
        <v>1929322.6383123109</v>
      </c>
      <c r="J9" s="231">
        <f>'[1]February midyear adj'!K6</f>
        <v>-213841.17912328569</v>
      </c>
      <c r="K9" s="231">
        <f t="shared" si="28"/>
        <v>1715481.4591890252</v>
      </c>
      <c r="L9" s="231">
        <f>'[1]Oct midyear Madison Prep'!K6+'[1]Oct midyear DArbonne'!K6+'[1]Oct midyear Intl_VIBE'!K6+'[1]Oct midyear NOMMA'!K6+'[1]Oct midyear LFNO'!K6+'[1]Oct midyear Lake Charles Chtr'!K6+'[1]Oct midyear JS Clark'!K6+'[1]Oct midyear Southwest'!K6+'[1]Oct midyear LA Key'!K6+'[1]Oct midyear Jefferson Cham'!K6+'[1]Oct midyear Tallulah'!K6+'[1]Oct midyear Northshore'!K6+'[1]Oct midyear B.R. Charter'!K6+'[1]Oct midyear Delta'!K6+'[1]Oct midyear LAVCA'!K6+'[1]Oct midyear LA Conn'!K6</f>
        <v>-2376.013101369841</v>
      </c>
      <c r="M9" s="231">
        <f>'[1]Feb midyear Madison Prep'!K6+'[1]Feb midyear DArbonne'!K6+'[1]Feb midyear Intl_VIBE'!K6+'[1]Feb midyear NOMMA'!K6+'[1]Feb midyear LFNO'!K6+'[1]Feb midyear Lake Charles Chtr'!K6+'[1]Feb midyear JS Clark'!K6+'[1]Feb midyear Southwest'!K6+'[1]Feb midyear LA Key'!K6+'[1]Feb midyear Jefferson Cham'!K6+'[1]Feb midyear Tallulah'!K6+'[1]Feb midyear Northshore'!K6+'[1]Feb midyear B.R. Charter'!K6+'[1]Feb midyear Delta'!K6+'[1]Feb midyear LAVCA'!K6+'[1]Feb midyear LA Conn'!K6</f>
        <v>2138.4117912328566</v>
      </c>
      <c r="N9" s="231">
        <f t="shared" si="29"/>
        <v>-237.60131013698447</v>
      </c>
      <c r="O9" s="231">
        <v>0</v>
      </c>
      <c r="P9" s="231">
        <f>-'Table 5C1A-Madison Prep'!L9</f>
        <v>0</v>
      </c>
      <c r="Q9" s="231">
        <f>-'Table 5C1B-DArbonne'!L9</f>
        <v>0</v>
      </c>
      <c r="R9" s="231">
        <f>-'Table 5C1C-Intl_VIBE'!L9</f>
        <v>0</v>
      </c>
      <c r="S9" s="231">
        <f>-'Table 5C1D-NOMMA'!L9</f>
        <v>0</v>
      </c>
      <c r="T9" s="231">
        <f>-'Table 5C1E-LFNO'!L9</f>
        <v>0</v>
      </c>
      <c r="U9" s="231">
        <f>-'Table 5C1F-Lake Charles Charter'!L9</f>
        <v>0</v>
      </c>
      <c r="V9" s="231">
        <f>-'Table 5C1G-JS Clark Academy'!L9</f>
        <v>0</v>
      </c>
      <c r="W9" s="231">
        <f>-'Table 5C1H-Southwest LA Charter'!L9</f>
        <v>0</v>
      </c>
      <c r="X9" s="231">
        <f>-'Table 5C1I-LA Key Academy'!L9</f>
        <v>-57024.314432876185</v>
      </c>
      <c r="Y9" s="231">
        <f>-'Table 5C1J-Jefferson Chamber'!L9</f>
        <v>0</v>
      </c>
      <c r="Z9" s="231">
        <f>-'Table 5C1K-Tallulah Charter'!L9</f>
        <v>0</v>
      </c>
      <c r="AA9" s="231">
        <f>-'Table 5C1L-Northshore Charter'!L9</f>
        <v>0</v>
      </c>
      <c r="AB9" s="231">
        <f>-'Table 5C1M-B.R. Charter'!L9</f>
        <v>-4752.026202739682</v>
      </c>
      <c r="AC9" s="231">
        <f>-'Table 5C1N-Delta Charter'!L9</f>
        <v>0</v>
      </c>
      <c r="AD9" s="231">
        <f>-('Table 5C2 - LA Virtual Admy'!M9+'Table 5C2 - LA Virtual Admy'!I9)</f>
        <v>-194120.27038191599</v>
      </c>
      <c r="AE9" s="231">
        <f>-('Table 5C3 - LA Connections EBR'!M9+'Table 5C3 - LA Connections EBR'!I9)</f>
        <v>-242828.53895999776</v>
      </c>
      <c r="AF9" s="231">
        <f t="shared" si="23"/>
        <v>-498725.14997752965</v>
      </c>
      <c r="AG9" s="231">
        <f>+'Table 4 Level 4'!E7</f>
        <v>0</v>
      </c>
      <c r="AH9" s="231">
        <f>+'Table 4 Level 4'!O7</f>
        <v>241540</v>
      </c>
      <c r="AI9" s="984">
        <f t="shared" si="24"/>
        <v>101051024</v>
      </c>
      <c r="AJ9" s="231">
        <f>4*'[2]Table 2_State Distrib and Adjs'!AL9+(2*'[3]Table 2_State Distrib and Adjs'!AL9)+(2*'[4]Table 2_State Distrib and Adjs'!AL9)</f>
        <v>66223696</v>
      </c>
      <c r="AK9" s="231">
        <f t="shared" si="30"/>
        <v>34827328</v>
      </c>
      <c r="AL9" s="231">
        <f t="shared" si="25"/>
        <v>8706832</v>
      </c>
      <c r="AM9" s="231">
        <f>+'Table 4 Level 4'!J7</f>
        <v>0</v>
      </c>
      <c r="AN9" s="231">
        <f>+'Table 4 Level 4'!L7</f>
        <v>202776</v>
      </c>
      <c r="AO9" s="231">
        <f>+'Table 4 Level 4'!M7</f>
        <v>225478</v>
      </c>
      <c r="AP9" s="984">
        <f t="shared" si="31"/>
        <v>101479278</v>
      </c>
      <c r="AQ9" s="41"/>
    </row>
    <row r="10" spans="1:43" ht="14.45" customHeight="1">
      <c r="A10" s="228">
        <v>4</v>
      </c>
      <c r="B10" s="1299" t="s">
        <v>76</v>
      </c>
      <c r="C10" s="231">
        <f>'Table 3 Levels 1&amp;2'!AO7</f>
        <v>23929495.958390962</v>
      </c>
      <c r="D10" s="231">
        <v>0</v>
      </c>
      <c r="E10" s="231">
        <v>0</v>
      </c>
      <c r="F10" s="231">
        <f t="shared" si="26"/>
        <v>0</v>
      </c>
      <c r="G10" s="231">
        <f t="shared" si="22"/>
        <v>0</v>
      </c>
      <c r="H10" s="231">
        <f t="shared" si="27"/>
        <v>0</v>
      </c>
      <c r="I10" s="231">
        <f>'[1]October midyear adj'!K7</f>
        <v>-931969.72211161209</v>
      </c>
      <c r="J10" s="231">
        <f>'[1]February midyear adj'!K7</f>
        <v>-13409.636289375714</v>
      </c>
      <c r="K10" s="231">
        <f t="shared" si="28"/>
        <v>-945379.35840098781</v>
      </c>
      <c r="L10" s="231">
        <f>'[1]Oct midyear Madison Prep'!K7+'[1]Oct midyear DArbonne'!K7+'[1]Oct midyear Intl_VIBE'!K7+'[1]Oct midyear NOMMA'!K7+'[1]Oct midyear LFNO'!K7+'[1]Oct midyear Lake Charles Chtr'!K7+'[1]Oct midyear JS Clark'!K7+'[1]Oct midyear Southwest'!K7+'[1]Oct midyear LA Key'!K7+'[1]Oct midyear Jefferson Cham'!K7+'[1]Oct midyear Tallulah'!K7+'[1]Oct midyear Northshore'!K7+'[1]Oct midyear B.R. Charter'!K7+'[1]Oct midyear Delta'!K7+'[1]Oct midyear LAVCA'!K7+'[1]Oct midyear LA Conn'!K7</f>
        <v>48274.690641752575</v>
      </c>
      <c r="M10" s="231">
        <f>'[1]Feb midyear Madison Prep'!K7+'[1]Feb midyear DArbonne'!K7+'[1]Feb midyear Intl_VIBE'!K7+'[1]Feb midyear NOMMA'!K7+'[1]Feb midyear LFNO'!K7+'[1]Feb midyear Lake Charles Chtr'!K7+'[1]Feb midyear JS Clark'!K7+'[1]Feb midyear Southwest'!K7+'[1]Feb midyear LA Key'!K7+'[1]Feb midyear Jefferson Cham'!K7+'[1]Feb midyear Tallulah'!K7+'[1]Feb midyear Northshore'!K7+'[1]Feb midyear B.R. Charter'!K7+'[1]Feb midyear Delta'!K7+'[1]Feb midyear LAVCA'!K7+'[1]Feb midyear LA Conn'!K7</f>
        <v>-12068.672660438144</v>
      </c>
      <c r="N10" s="231">
        <f t="shared" si="29"/>
        <v>36206.017981314435</v>
      </c>
      <c r="O10" s="231">
        <v>0</v>
      </c>
      <c r="P10" s="231">
        <f>-'Table 5C1A-Madison Prep'!L10</f>
        <v>0</v>
      </c>
      <c r="Q10" s="231">
        <f>-'Table 5C1B-DArbonne'!L10</f>
        <v>0</v>
      </c>
      <c r="R10" s="231">
        <f>-'Table 5C1C-Intl_VIBE'!L10</f>
        <v>0</v>
      </c>
      <c r="S10" s="231">
        <f>-'Table 5C1D-NOMMA'!L10</f>
        <v>0</v>
      </c>
      <c r="T10" s="231">
        <f>-'Table 5C1E-LFNO'!L10</f>
        <v>0</v>
      </c>
      <c r="U10" s="231">
        <f>-'Table 5C1F-Lake Charles Charter'!L10</f>
        <v>0</v>
      </c>
      <c r="V10" s="231">
        <f>-'Table 5C1G-JS Clark Academy'!L10</f>
        <v>0</v>
      </c>
      <c r="W10" s="231">
        <f>-'Table 5C1H-Southwest LA Charter'!L10</f>
        <v>0</v>
      </c>
      <c r="X10" s="231">
        <f>-'Table 5C1I-LA Key Academy'!L10</f>
        <v>0</v>
      </c>
      <c r="Y10" s="231">
        <f>-'Table 5C1J-Jefferson Chamber'!L10</f>
        <v>0</v>
      </c>
      <c r="Z10" s="231">
        <f>-'Table 5C1K-Tallulah Charter'!L10</f>
        <v>0</v>
      </c>
      <c r="AA10" s="231">
        <f>-'Table 5C1L-Northshore Charter'!L10</f>
        <v>0</v>
      </c>
      <c r="AB10" s="231">
        <f>-'Table 5C1M-B.R. Charter'!L10</f>
        <v>0</v>
      </c>
      <c r="AC10" s="231">
        <f>-'Table 5C1N-Delta Charter'!L10</f>
        <v>0</v>
      </c>
      <c r="AD10" s="231">
        <f>-('Table 5C2 - LA Virtual Admy'!M10+'Table 5C2 - LA Virtual Admy'!I10)</f>
        <v>-45928.004291111822</v>
      </c>
      <c r="AE10" s="231">
        <f>-('Table 5C3 - LA Connections EBR'!M10+'Table 5C3 - LA Connections EBR'!I10)</f>
        <v>-17097.286268954034</v>
      </c>
      <c r="AF10" s="231">
        <f t="shared" si="23"/>
        <v>-63025.290560065856</v>
      </c>
      <c r="AG10" s="231">
        <f>+'Table 4 Level 4'!E8</f>
        <v>84000</v>
      </c>
      <c r="AH10" s="231">
        <f>+'Table 4 Level 4'!O8</f>
        <v>41964</v>
      </c>
      <c r="AI10" s="984">
        <f>ROUND(C10+F10+K10+N10+AF10+AG10+AH10,0)</f>
        <v>23083261</v>
      </c>
      <c r="AJ10" s="231">
        <f>4*'[2]Table 2_State Distrib and Adjs'!AL10+(2*'[3]Table 2_State Distrib and Adjs'!AL10)+(2*'[4]Table 2_State Distrib and Adjs'!AL10)</f>
        <v>16019096</v>
      </c>
      <c r="AK10" s="231">
        <f t="shared" si="30"/>
        <v>7064165</v>
      </c>
      <c r="AL10" s="231">
        <f t="shared" si="25"/>
        <v>1766041</v>
      </c>
      <c r="AM10" s="231">
        <f>+'Table 4 Level 4'!J8</f>
        <v>28000</v>
      </c>
      <c r="AN10" s="231">
        <f>+'Table 4 Level 4'!L8</f>
        <v>53312</v>
      </c>
      <c r="AO10" s="231">
        <f>+'Table 4 Level 4'!M8</f>
        <v>158307</v>
      </c>
      <c r="AP10" s="984">
        <f>+AI10+AM10+AN10+AO10</f>
        <v>23322880</v>
      </c>
      <c r="AQ10" s="41"/>
    </row>
    <row r="11" spans="1:43" ht="14.45" customHeight="1">
      <c r="A11" s="3">
        <v>5</v>
      </c>
      <c r="B11" s="7" t="s">
        <v>77</v>
      </c>
      <c r="C11" s="10">
        <f>'Table 3 Levels 1&amp;2'!AO8</f>
        <v>32910405.697956</v>
      </c>
      <c r="D11" s="10">
        <v>0</v>
      </c>
      <c r="E11" s="10">
        <v>0</v>
      </c>
      <c r="F11" s="10">
        <f t="shared" si="26"/>
        <v>0</v>
      </c>
      <c r="G11" s="10">
        <f t="shared" si="22"/>
        <v>0</v>
      </c>
      <c r="H11" s="10">
        <f t="shared" si="27"/>
        <v>0</v>
      </c>
      <c r="I11" s="10">
        <f>'[1]October midyear adj'!K8</f>
        <v>326191.63169655501</v>
      </c>
      <c r="J11" s="10">
        <f>'[1]February midyear adj'!K8</f>
        <v>-407739.53962069377</v>
      </c>
      <c r="K11" s="10">
        <f t="shared" si="28"/>
        <v>-81547.907924138766</v>
      </c>
      <c r="L11" s="10">
        <f>'[1]Oct midyear Madison Prep'!K8+'[1]Oct midyear DArbonne'!K8+'[1]Oct midyear Intl_VIBE'!K8+'[1]Oct midyear NOMMA'!K8+'[1]Oct midyear LFNO'!K8+'[1]Oct midyear Lake Charles Chtr'!K8+'[1]Oct midyear JS Clark'!K8+'[1]Oct midyear Southwest'!K8+'[1]Oct midyear LA Key'!K8+'[1]Oct midyear Jefferson Cham'!K8+'[1]Oct midyear Tallulah'!K8+'[1]Oct midyear Northshore'!K8+'[1]Oct midyear B.R. Charter'!K8+'[1]Oct midyear Delta'!K8+'[1]Oct midyear LAVCA'!K8+'[1]Oct midyear LA Conn'!K8</f>
        <v>15727.096528226764</v>
      </c>
      <c r="M11" s="10">
        <f>'[1]Feb midyear Madison Prep'!K8+'[1]Feb midyear DArbonne'!K8+'[1]Feb midyear Intl_VIBE'!K8+'[1]Feb midyear NOMMA'!K8+'[1]Feb midyear LFNO'!K8+'[1]Feb midyear Lake Charles Chtr'!K8+'[1]Feb midyear JS Clark'!K8+'[1]Feb midyear Southwest'!K8+'[1]Feb midyear LA Key'!K8+'[1]Feb midyear Jefferson Cham'!K8+'[1]Feb midyear Tallulah'!K8+'[1]Feb midyear Northshore'!K8+'[1]Feb midyear B.R. Charter'!K8+'[1]Feb midyear Delta'!K8+'[1]Feb midyear LAVCA'!K8+'[1]Feb midyear LA Conn'!K8</f>
        <v>2621.1827547044604</v>
      </c>
      <c r="N11" s="10">
        <f t="shared" si="29"/>
        <v>18348.279282931224</v>
      </c>
      <c r="O11" s="10">
        <v>0</v>
      </c>
      <c r="P11" s="10">
        <f>-'Table 5C1A-Madison Prep'!L11</f>
        <v>0</v>
      </c>
      <c r="Q11" s="10">
        <f>-'Table 5C1B-DArbonne'!L11</f>
        <v>0</v>
      </c>
      <c r="R11" s="10">
        <f>-'Table 5C1C-Intl_VIBE'!L11</f>
        <v>0</v>
      </c>
      <c r="S11" s="10">
        <f>-'Table 5C1D-NOMMA'!L11</f>
        <v>0</v>
      </c>
      <c r="T11" s="10">
        <f>-'Table 5C1E-LFNO'!L11</f>
        <v>0</v>
      </c>
      <c r="U11" s="10">
        <f>-'Table 5C1F-Lake Charles Charter'!L11</f>
        <v>0</v>
      </c>
      <c r="V11" s="10">
        <f>-'Table 5C1G-JS Clark Academy'!L11</f>
        <v>0</v>
      </c>
      <c r="W11" s="10">
        <f>-'Table 5C1H-Southwest LA Charter'!L11</f>
        <v>0</v>
      </c>
      <c r="X11" s="10">
        <f>-'Table 5C1I-LA Key Academy'!L11</f>
        <v>0</v>
      </c>
      <c r="Y11" s="10">
        <f>-'Table 5C1J-Jefferson Chamber'!L11</f>
        <v>0</v>
      </c>
      <c r="Z11" s="10">
        <f>-'Table 5C1K-Tallulah Charter'!L11</f>
        <v>0</v>
      </c>
      <c r="AA11" s="10">
        <f>-'Table 5C1L-Northshore Charter'!L11</f>
        <v>0</v>
      </c>
      <c r="AB11" s="10">
        <f>-'Table 5C1M-B.R. Charter'!L11</f>
        <v>0</v>
      </c>
      <c r="AC11" s="10">
        <f>-'Table 5C1N-Delta Charter'!L11</f>
        <v>0</v>
      </c>
      <c r="AD11" s="10">
        <f>-('Table 5C2 - LA Virtual Admy'!M11+'Table 5C2 - LA Virtual Admy'!I11)</f>
        <v>-121156.89177300614</v>
      </c>
      <c r="AE11" s="10">
        <f>-('Table 5C3 - LA Connections EBR'!M11+'Table 5C3 - LA Connections EBR'!I11)</f>
        <v>-130185.41015032154</v>
      </c>
      <c r="AF11" s="10">
        <f t="shared" si="23"/>
        <v>-251342.30192332767</v>
      </c>
      <c r="AG11" s="10">
        <f>+'Table 4 Level 4'!E9</f>
        <v>0</v>
      </c>
      <c r="AH11" s="10">
        <f>+'Table 4 Level 4'!O9</f>
        <v>63752</v>
      </c>
      <c r="AI11" s="985">
        <f t="shared" si="24"/>
        <v>32659616</v>
      </c>
      <c r="AJ11" s="10">
        <f>4*'[2]Table 2_State Distrib and Adjs'!AL11+(2*'[3]Table 2_State Distrib and Adjs'!AL11)+(2*'[4]Table 2_State Distrib and Adjs'!AL11)</f>
        <v>21827442</v>
      </c>
      <c r="AK11" s="10">
        <f t="shared" si="30"/>
        <v>10832174</v>
      </c>
      <c r="AL11" s="10">
        <f t="shared" si="25"/>
        <v>2708044</v>
      </c>
      <c r="AM11" s="10">
        <f>+'Table 4 Level 4'!J9</f>
        <v>0</v>
      </c>
      <c r="AN11" s="10">
        <f>+'Table 4 Level 4'!L9</f>
        <v>54502</v>
      </c>
      <c r="AO11" s="10">
        <f>+'Table 4 Level 4'!M9</f>
        <v>5001</v>
      </c>
      <c r="AP11" s="985">
        <f t="shared" si="31"/>
        <v>32719119</v>
      </c>
      <c r="AQ11" s="41"/>
    </row>
    <row r="12" spans="1:43" ht="14.45" customHeight="1">
      <c r="A12" s="224">
        <v>6</v>
      </c>
      <c r="B12" s="225" t="s">
        <v>78</v>
      </c>
      <c r="C12" s="227">
        <f>'Table 3 Levels 1&amp;2'!AO9</f>
        <v>34904140.904823996</v>
      </c>
      <c r="D12" s="227">
        <v>0</v>
      </c>
      <c r="E12" s="227">
        <v>0</v>
      </c>
      <c r="F12" s="227">
        <f t="shared" si="26"/>
        <v>0</v>
      </c>
      <c r="G12" s="227">
        <f t="shared" si="22"/>
        <v>0</v>
      </c>
      <c r="H12" s="227">
        <f t="shared" si="27"/>
        <v>0</v>
      </c>
      <c r="I12" s="227">
        <f>'[1]October midyear adj'!K9</f>
        <v>-77011.851962442626</v>
      </c>
      <c r="J12" s="227">
        <f>'[1]February midyear adj'!K9</f>
        <v>-124403.76086240732</v>
      </c>
      <c r="K12" s="227">
        <f t="shared" si="28"/>
        <v>-201415.61282484996</v>
      </c>
      <c r="L12" s="227">
        <f>'[1]Oct midyear Madison Prep'!K9+'[1]Oct midyear DArbonne'!K9+'[1]Oct midyear Intl_VIBE'!K9+'[1]Oct midyear NOMMA'!K9+'[1]Oct midyear LFNO'!K9+'[1]Oct midyear Lake Charles Chtr'!K9+'[1]Oct midyear JS Clark'!K9+'[1]Oct midyear Southwest'!K9+'[1]Oct midyear LA Key'!K9+'[1]Oct midyear Jefferson Cham'!K9+'[1]Oct midyear Tallulah'!K9+'[1]Oct midyear Northshore'!K9+'[1]Oct midyear B.R. Charter'!K9+'[1]Oct midyear Delta'!K9+'[1]Oct midyear LAVCA'!K9+'[1]Oct midyear LA Conn'!K9</f>
        <v>26657.948756230136</v>
      </c>
      <c r="M12" s="227">
        <f>'[1]Feb midyear Madison Prep'!K9+'[1]Feb midyear DArbonne'!K9+'[1]Feb midyear Intl_VIBE'!K9+'[1]Feb midyear NOMMA'!K9+'[1]Feb midyear LFNO'!K9+'[1]Feb midyear Lake Charles Chtr'!K9+'[1]Feb midyear JS Clark'!K9+'[1]Feb midyear Southwest'!K9+'[1]Feb midyear LA Key'!K9+'[1]Feb midyear Jefferson Cham'!K9+'[1]Feb midyear Tallulah'!K9+'[1]Feb midyear Northshore'!K9+'[1]Feb midyear B.R. Charter'!K9+'[1]Feb midyear Delta'!K9+'[1]Feb midyear LAVCA'!K9+'[1]Feb midyear LA Conn'!K9</f>
        <v>13328.974378115068</v>
      </c>
      <c r="N12" s="227">
        <f t="shared" si="29"/>
        <v>39986.923134345205</v>
      </c>
      <c r="O12" s="227">
        <v>0</v>
      </c>
      <c r="P12" s="227">
        <f>-'Table 5C1A-Madison Prep'!L12</f>
        <v>0</v>
      </c>
      <c r="Q12" s="227">
        <f>-'Table 5C1B-DArbonne'!L12</f>
        <v>0</v>
      </c>
      <c r="R12" s="227">
        <f>-'Table 5C1C-Intl_VIBE'!L12</f>
        <v>0</v>
      </c>
      <c r="S12" s="227">
        <f>-'Table 5C1D-NOMMA'!L12</f>
        <v>0</v>
      </c>
      <c r="T12" s="227">
        <f>-'Table 5C1E-LFNO'!L12</f>
        <v>0</v>
      </c>
      <c r="U12" s="227">
        <f>-'Table 5C1F-Lake Charles Charter'!L12</f>
        <v>0</v>
      </c>
      <c r="V12" s="227">
        <f>-'Table 5C1G-JS Clark Academy'!L12</f>
        <v>0</v>
      </c>
      <c r="W12" s="227">
        <f>-'Table 5C1H-Southwest LA Charter'!L12</f>
        <v>0</v>
      </c>
      <c r="X12" s="227">
        <f>-'Table 5C1I-LA Key Academy'!L12</f>
        <v>0</v>
      </c>
      <c r="Y12" s="227">
        <f>-'Table 5C1J-Jefferson Chamber'!L12</f>
        <v>0</v>
      </c>
      <c r="Z12" s="227">
        <f>-'Table 5C1K-Tallulah Charter'!L12</f>
        <v>0</v>
      </c>
      <c r="AA12" s="227">
        <f>-'Table 5C1L-Northshore Charter'!L12</f>
        <v>0</v>
      </c>
      <c r="AB12" s="227">
        <f>-'Table 5C1M-B.R. Charter'!L12</f>
        <v>0</v>
      </c>
      <c r="AC12" s="227">
        <f>-'Table 5C1N-Delta Charter'!L12</f>
        <v>0</v>
      </c>
      <c r="AD12" s="227">
        <f>-('Table 5C2 - LA Virtual Admy'!M12+'Table 5C2 - LA Virtual Admy'!I12)</f>
        <v>-143064.32499176843</v>
      </c>
      <c r="AE12" s="227">
        <f>-('Table 5C3 - LA Connections EBR'!M12+'Table 5C3 - LA Connections EBR'!I12)</f>
        <v>-80566.245129939984</v>
      </c>
      <c r="AF12" s="227">
        <f t="shared" si="23"/>
        <v>-223630.57012170841</v>
      </c>
      <c r="AG12" s="227">
        <f>+'Table 4 Level 4'!E10</f>
        <v>0</v>
      </c>
      <c r="AH12" s="227">
        <f>+'Table 4 Level 4'!O10</f>
        <v>70512</v>
      </c>
      <c r="AI12" s="983">
        <f t="shared" si="24"/>
        <v>34589594</v>
      </c>
      <c r="AJ12" s="227">
        <f>4*'[2]Table 2_State Distrib and Adjs'!AL12+(2*'[3]Table 2_State Distrib and Adjs'!AL12)+(2*'[4]Table 2_State Distrib and Adjs'!AL12)</f>
        <v>23194008</v>
      </c>
      <c r="AK12" s="227">
        <f t="shared" si="30"/>
        <v>11395586</v>
      </c>
      <c r="AL12" s="227">
        <f t="shared" si="25"/>
        <v>2848897</v>
      </c>
      <c r="AM12" s="227">
        <f>+'Table 4 Level 4'!J10</f>
        <v>0</v>
      </c>
      <c r="AN12" s="227">
        <f>+'Table 4 Level 4'!L10</f>
        <v>25000</v>
      </c>
      <c r="AO12" s="227">
        <f>+'Table 4 Level 4'!M10</f>
        <v>14231</v>
      </c>
      <c r="AP12" s="983">
        <f t="shared" si="31"/>
        <v>34628825</v>
      </c>
      <c r="AQ12" s="41"/>
    </row>
    <row r="13" spans="1:43" ht="14.45" customHeight="1">
      <c r="A13" s="228">
        <v>7</v>
      </c>
      <c r="B13" s="229" t="s">
        <v>79</v>
      </c>
      <c r="C13" s="231">
        <f>'Table 3 Levels 1&amp;2'!AO10</f>
        <v>6569831.7999999998</v>
      </c>
      <c r="D13" s="231">
        <v>0</v>
      </c>
      <c r="E13" s="231">
        <v>0</v>
      </c>
      <c r="F13" s="231">
        <f t="shared" si="26"/>
        <v>0</v>
      </c>
      <c r="G13" s="231">
        <f t="shared" si="22"/>
        <v>0</v>
      </c>
      <c r="H13" s="231">
        <f t="shared" si="27"/>
        <v>0</v>
      </c>
      <c r="I13" s="231">
        <f>'[1]October midyear adj'!K10</f>
        <v>-47998.771141552512</v>
      </c>
      <c r="J13" s="231">
        <f>'[1]February midyear adj'!K10</f>
        <v>34499.116757990865</v>
      </c>
      <c r="K13" s="231">
        <f t="shared" si="28"/>
        <v>-13499.654383561647</v>
      </c>
      <c r="L13" s="231">
        <f>'[1]Oct midyear Madison Prep'!K10+'[1]Oct midyear DArbonne'!K10+'[1]Oct midyear Intl_VIBE'!K10+'[1]Oct midyear NOMMA'!K10+'[1]Oct midyear LFNO'!K10+'[1]Oct midyear Lake Charles Chtr'!K10+'[1]Oct midyear JS Clark'!K10+'[1]Oct midyear Southwest'!K10+'[1]Oct midyear LA Key'!K10+'[1]Oct midyear Jefferson Cham'!K10+'[1]Oct midyear Tallulah'!K10+'[1]Oct midyear Northshore'!K10+'[1]Oct midyear B.R. Charter'!K10+'[1]Oct midyear Delta'!K10+'[1]Oct midyear LAVCA'!K10+'[1]Oct midyear LA Conn'!K10</f>
        <v>10799.723506849314</v>
      </c>
      <c r="M13" s="231">
        <f>'[1]Feb midyear Madison Prep'!K10+'[1]Feb midyear DArbonne'!K10+'[1]Feb midyear Intl_VIBE'!K10+'[1]Feb midyear NOMMA'!K10+'[1]Feb midyear LFNO'!K10+'[1]Feb midyear Lake Charles Chtr'!K10+'[1]Feb midyear JS Clark'!K10+'[1]Feb midyear Southwest'!K10+'[1]Feb midyear LA Key'!K10+'[1]Feb midyear Jefferson Cham'!K10+'[1]Feb midyear Tallulah'!K10+'[1]Feb midyear Northshore'!K10+'[1]Feb midyear B.R. Charter'!K10+'[1]Feb midyear Delta'!K10+'[1]Feb midyear LAVCA'!K10+'[1]Feb midyear LA Conn'!K10</f>
        <v>0</v>
      </c>
      <c r="N13" s="231">
        <f t="shared" si="29"/>
        <v>10799.723506849314</v>
      </c>
      <c r="O13" s="231">
        <v>0</v>
      </c>
      <c r="P13" s="231">
        <f>-'Table 5C1A-Madison Prep'!L13</f>
        <v>0</v>
      </c>
      <c r="Q13" s="231">
        <f>-'Table 5C1B-DArbonne'!L13</f>
        <v>0</v>
      </c>
      <c r="R13" s="231">
        <f>-'Table 5C1C-Intl_VIBE'!L13</f>
        <v>0</v>
      </c>
      <c r="S13" s="231">
        <f>-'Table 5C1D-NOMMA'!L13</f>
        <v>0</v>
      </c>
      <c r="T13" s="231">
        <f>-'Table 5C1E-LFNO'!L13</f>
        <v>0</v>
      </c>
      <c r="U13" s="231">
        <f>-'Table 5C1F-Lake Charles Charter'!L13</f>
        <v>0</v>
      </c>
      <c r="V13" s="231">
        <f>-'Table 5C1G-JS Clark Academy'!L13</f>
        <v>0</v>
      </c>
      <c r="W13" s="231">
        <f>-'Table 5C1H-Southwest LA Charter'!L13</f>
        <v>0</v>
      </c>
      <c r="X13" s="231">
        <f>-'Table 5C1I-LA Key Academy'!L13</f>
        <v>0</v>
      </c>
      <c r="Y13" s="231">
        <f>-'Table 5C1J-Jefferson Chamber'!L13</f>
        <v>0</v>
      </c>
      <c r="Z13" s="231">
        <f>-'Table 5C1K-Tallulah Charter'!L13</f>
        <v>0</v>
      </c>
      <c r="AA13" s="231">
        <f>-'Table 5C1L-Northshore Charter'!L13</f>
        <v>0</v>
      </c>
      <c r="AB13" s="231">
        <f>-'Table 5C1M-B.R. Charter'!L13</f>
        <v>0</v>
      </c>
      <c r="AC13" s="231">
        <f>-'Table 5C1N-Delta Charter'!L13</f>
        <v>0</v>
      </c>
      <c r="AD13" s="231">
        <f>-('Table 5C2 - LA Virtual Admy'!M13+'Table 5C2 - LA Virtual Admy'!I13)</f>
        <v>-30149.22812328767</v>
      </c>
      <c r="AE13" s="231">
        <f>-('Table 5C3 - LA Connections EBR'!M13+'Table 5C3 - LA Connections EBR'!I13)</f>
        <v>-16649.573739726027</v>
      </c>
      <c r="AF13" s="231">
        <f t="shared" si="23"/>
        <v>-46798.801863013694</v>
      </c>
      <c r="AG13" s="231">
        <f>+'Table 4 Level 4'!E11</f>
        <v>0</v>
      </c>
      <c r="AH13" s="231">
        <f>+'Table 4 Level 4'!O11</f>
        <v>23946</v>
      </c>
      <c r="AI13" s="984">
        <f t="shared" si="24"/>
        <v>6544279</v>
      </c>
      <c r="AJ13" s="231">
        <f>4*'[2]Table 2_State Distrib and Adjs'!AL13+(2*'[3]Table 2_State Distrib and Adjs'!AL13)+(2*'[4]Table 2_State Distrib and Adjs'!AL13)</f>
        <v>4371854</v>
      </c>
      <c r="AK13" s="231">
        <f t="shared" si="30"/>
        <v>2172425</v>
      </c>
      <c r="AL13" s="231">
        <f t="shared" si="25"/>
        <v>543106</v>
      </c>
      <c r="AM13" s="231">
        <f>+'Table 4 Level 4'!J11</f>
        <v>0</v>
      </c>
      <c r="AN13" s="231">
        <f>+'Table 4 Level 4'!L11</f>
        <v>25000</v>
      </c>
      <c r="AO13" s="231">
        <f>+'Table 4 Level 4'!M11</f>
        <v>11141</v>
      </c>
      <c r="AP13" s="984">
        <f t="shared" si="31"/>
        <v>6580420</v>
      </c>
      <c r="AQ13" s="41"/>
    </row>
    <row r="14" spans="1:43" ht="14.45" customHeight="1">
      <c r="A14" s="228">
        <v>8</v>
      </c>
      <c r="B14" s="229" t="s">
        <v>80</v>
      </c>
      <c r="C14" s="231">
        <f>'Table 3 Levels 1&amp;2'!AO11</f>
        <v>116339117.75300801</v>
      </c>
      <c r="D14" s="231">
        <v>0</v>
      </c>
      <c r="E14" s="231">
        <v>0</v>
      </c>
      <c r="F14" s="231">
        <f t="shared" si="26"/>
        <v>0</v>
      </c>
      <c r="G14" s="231">
        <f t="shared" si="22"/>
        <v>0</v>
      </c>
      <c r="H14" s="231">
        <f t="shared" si="27"/>
        <v>0</v>
      </c>
      <c r="I14" s="231">
        <f>'[1]October midyear adj'!K11</f>
        <v>1537735.3009742734</v>
      </c>
      <c r="J14" s="231">
        <f>'[1]February midyear adj'!K11</f>
        <v>-374991.59093934036</v>
      </c>
      <c r="K14" s="231">
        <f t="shared" si="28"/>
        <v>1162743.7100349329</v>
      </c>
      <c r="L14" s="231">
        <f>'[1]Oct midyear Madison Prep'!K11+'[1]Oct midyear DArbonne'!K11+'[1]Oct midyear Intl_VIBE'!K11+'[1]Oct midyear NOMMA'!K11+'[1]Oct midyear LFNO'!K11+'[1]Oct midyear Lake Charles Chtr'!K11+'[1]Oct midyear JS Clark'!K11+'[1]Oct midyear Southwest'!K11+'[1]Oct midyear LA Key'!K11+'[1]Oct midyear Jefferson Cham'!K11+'[1]Oct midyear Tallulah'!K11+'[1]Oct midyear Northshore'!K11+'[1]Oct midyear B.R. Charter'!K11+'[1]Oct midyear Delta'!K11+'[1]Oct midyear LAVCA'!K11+'[1]Oct midyear LA Conn'!K11</f>
        <v>101976.13048566235</v>
      </c>
      <c r="M14" s="231">
        <f>'[1]Feb midyear Madison Prep'!K11+'[1]Feb midyear DArbonne'!K11+'[1]Feb midyear Intl_VIBE'!K11+'[1]Feb midyear NOMMA'!K11+'[1]Feb midyear LFNO'!K11+'[1]Feb midyear Lake Charles Chtr'!K11+'[1]Feb midyear JS Clark'!K11+'[1]Feb midyear Southwest'!K11+'[1]Feb midyear LA Key'!K11+'[1]Feb midyear Jefferson Cham'!K11+'[1]Feb midyear Tallulah'!K11+'[1]Feb midyear Northshore'!K11+'[1]Feb midyear B.R. Charter'!K11+'[1]Feb midyear Delta'!K11+'[1]Feb midyear LAVCA'!K11+'[1]Feb midyear LA Conn'!K11</f>
        <v>4856.0062136029701</v>
      </c>
      <c r="N14" s="231">
        <f t="shared" si="29"/>
        <v>106832.13669926532</v>
      </c>
      <c r="O14" s="231">
        <v>0</v>
      </c>
      <c r="P14" s="231">
        <f>-'Table 5C1A-Madison Prep'!L14</f>
        <v>0</v>
      </c>
      <c r="Q14" s="231">
        <f>-'Table 5C1B-DArbonne'!L14</f>
        <v>0</v>
      </c>
      <c r="R14" s="231">
        <f>-'Table 5C1C-Intl_VIBE'!L14</f>
        <v>0</v>
      </c>
      <c r="S14" s="231">
        <f>-'Table 5C1D-NOMMA'!L14</f>
        <v>0</v>
      </c>
      <c r="T14" s="231">
        <f>-'Table 5C1E-LFNO'!L14</f>
        <v>0</v>
      </c>
      <c r="U14" s="231">
        <f>-'Table 5C1F-Lake Charles Charter'!L14</f>
        <v>0</v>
      </c>
      <c r="V14" s="231">
        <f>-'Table 5C1G-JS Clark Academy'!L14</f>
        <v>0</v>
      </c>
      <c r="W14" s="231">
        <f>-'Table 5C1H-Southwest LA Charter'!L14</f>
        <v>0</v>
      </c>
      <c r="X14" s="231">
        <f>-'Table 5C1I-LA Key Academy'!L14</f>
        <v>0</v>
      </c>
      <c r="Y14" s="231">
        <f>-'Table 5C1J-Jefferson Chamber'!L14</f>
        <v>0</v>
      </c>
      <c r="Z14" s="231">
        <f>-'Table 5C1K-Tallulah Charter'!L14</f>
        <v>0</v>
      </c>
      <c r="AA14" s="231">
        <f>-'Table 5C1L-Northshore Charter'!L14</f>
        <v>0</v>
      </c>
      <c r="AB14" s="231">
        <f>-'Table 5C1M-B.R. Charter'!L14</f>
        <v>0</v>
      </c>
      <c r="AC14" s="231">
        <f>-'Table 5C1N-Delta Charter'!L14</f>
        <v>0</v>
      </c>
      <c r="AD14" s="231">
        <f>-('Table 5C2 - LA Virtual Admy'!M14+'Table 5C2 - LA Virtual Admy'!I14)</f>
        <v>-417886.31249283324</v>
      </c>
      <c r="AE14" s="231">
        <f>-('Table 5C3 - LA Connections EBR'!M14+'Table 5C3 - LA Connections EBR'!I14)</f>
        <v>-266271.00737922947</v>
      </c>
      <c r="AF14" s="231">
        <f t="shared" si="23"/>
        <v>-684157.31987206265</v>
      </c>
      <c r="AG14" s="231">
        <f>+'Table 4 Level 4'!E12</f>
        <v>63000</v>
      </c>
      <c r="AH14" s="231">
        <f>+'Table 4 Level 4'!O12</f>
        <v>233818</v>
      </c>
      <c r="AI14" s="984">
        <f t="shared" si="24"/>
        <v>117221354</v>
      </c>
      <c r="AJ14" s="231">
        <f>4*'[2]Table 2_State Distrib and Adjs'!AL14+(2*'[3]Table 2_State Distrib and Adjs'!AL14)+(2*'[4]Table 2_State Distrib and Adjs'!AL14)</f>
        <v>77372408</v>
      </c>
      <c r="AK14" s="231">
        <f t="shared" si="30"/>
        <v>39848946</v>
      </c>
      <c r="AL14" s="231">
        <f t="shared" si="25"/>
        <v>9962237</v>
      </c>
      <c r="AM14" s="231">
        <f>+'Table 4 Level 4'!J12</f>
        <v>14000</v>
      </c>
      <c r="AN14" s="231">
        <f>+'Table 4 Level 4'!L12</f>
        <v>133280</v>
      </c>
      <c r="AO14" s="231">
        <f>+'Table 4 Level 4'!M12</f>
        <v>0</v>
      </c>
      <c r="AP14" s="984">
        <f t="shared" si="31"/>
        <v>117368634</v>
      </c>
      <c r="AQ14" s="41"/>
    </row>
    <row r="15" spans="1:43" ht="14.45" customHeight="1">
      <c r="A15" s="228">
        <v>9</v>
      </c>
      <c r="B15" s="229" t="s">
        <v>81</v>
      </c>
      <c r="C15" s="231">
        <f>'Table 3 Levels 1&amp;2'!AO12</f>
        <v>218395851.51511082</v>
      </c>
      <c r="D15" s="231">
        <v>-65414.453364192508</v>
      </c>
      <c r="E15" s="231">
        <v>-246018.10289036063</v>
      </c>
      <c r="F15" s="231">
        <f t="shared" si="26"/>
        <v>-311432.55625455314</v>
      </c>
      <c r="G15" s="231">
        <f t="shared" si="22"/>
        <v>0</v>
      </c>
      <c r="H15" s="231">
        <f t="shared" si="27"/>
        <v>-311432.55625455314</v>
      </c>
      <c r="I15" s="231">
        <f>'[1]October midyear adj'!K12</f>
        <v>0</v>
      </c>
      <c r="J15" s="231">
        <f>'[1]February midyear adj'!K12</f>
        <v>-860355.44115272013</v>
      </c>
      <c r="K15" s="231">
        <f t="shared" si="28"/>
        <v>-860355.44115272013</v>
      </c>
      <c r="L15" s="231">
        <f>'[1]Oct midyear Madison Prep'!K12+'[1]Oct midyear DArbonne'!K12+'[1]Oct midyear Intl_VIBE'!K12+'[1]Oct midyear NOMMA'!K12+'[1]Oct midyear LFNO'!K12+'[1]Oct midyear Lake Charles Chtr'!K12+'[1]Oct midyear JS Clark'!K12+'[1]Oct midyear Southwest'!K12+'[1]Oct midyear LA Key'!K12+'[1]Oct midyear Jefferson Cham'!K12+'[1]Oct midyear Tallulah'!K12+'[1]Oct midyear Northshore'!K12+'[1]Oct midyear B.R. Charter'!K12+'[1]Oct midyear Delta'!K12+'[1]Oct midyear LAVCA'!K12+'[1]Oct midyear LA Conn'!K12+'[1]October midyear adj'!$K$191</f>
        <v>274776.01901814999</v>
      </c>
      <c r="M15" s="231">
        <f>'[1]Feb midyear Madison Prep'!K12+'[1]Feb midyear DArbonne'!K12+'[1]Feb midyear Intl_VIBE'!K12+'[1]Feb midyear NOMMA'!K12+'[1]Feb midyear LFNO'!K12+'[1]Feb midyear Lake Charles Chtr'!K12+'[1]Feb midyear JS Clark'!K12+'[1]Feb midyear Southwest'!K12+'[1]Feb midyear LA Key'!K12+'[1]Feb midyear Jefferson Cham'!K12+'[1]Feb midyear Tallulah'!K12+'[1]Feb midyear Northshore'!K12+'[1]Feb midyear B.R. Charter'!K12+'[1]Feb midyear Delta'!K12+'[1]Feb midyear LAVCA'!K12+'[1]Feb midyear LA Conn'!K12+'[1]February midyear adj'!$K$191</f>
        <v>-62644.630558932433</v>
      </c>
      <c r="N15" s="231">
        <f t="shared" si="29"/>
        <v>212131.38845921756</v>
      </c>
      <c r="O15" s="231">
        <f>-'Table 5B2_RSD_LA'!L14</f>
        <v>-2796154.7380864541</v>
      </c>
      <c r="P15" s="231">
        <f>-'Table 5C1A-Madison Prep'!L15</f>
        <v>0</v>
      </c>
      <c r="Q15" s="231">
        <f>-'Table 5C1B-DArbonne'!L15</f>
        <v>0</v>
      </c>
      <c r="R15" s="231">
        <f>-'Table 5C1C-Intl_VIBE'!L15</f>
        <v>0</v>
      </c>
      <c r="S15" s="231">
        <f>-'Table 5C1D-NOMMA'!L15</f>
        <v>0</v>
      </c>
      <c r="T15" s="231">
        <f>-'Table 5C1E-LFNO'!L15</f>
        <v>0</v>
      </c>
      <c r="U15" s="231">
        <f>-'Table 5C1F-Lake Charles Charter'!L15</f>
        <v>0</v>
      </c>
      <c r="V15" s="231">
        <f>-'Table 5C1G-JS Clark Academy'!L15</f>
        <v>0</v>
      </c>
      <c r="W15" s="231">
        <f>-'Table 5C1H-Southwest LA Charter'!L15</f>
        <v>0</v>
      </c>
      <c r="X15" s="231">
        <f>-'Table 5C1I-LA Key Academy'!L15</f>
        <v>0</v>
      </c>
      <c r="Y15" s="231">
        <f>-'Table 5C1J-Jefferson Chamber'!L15</f>
        <v>0</v>
      </c>
      <c r="Z15" s="231">
        <f>-'Table 5C1K-Tallulah Charter'!L15</f>
        <v>0</v>
      </c>
      <c r="AA15" s="231">
        <f>-'Table 5C1L-Northshore Charter'!L15</f>
        <v>0</v>
      </c>
      <c r="AB15" s="231">
        <f>-'Table 5C1M-B.R. Charter'!L15</f>
        <v>0</v>
      </c>
      <c r="AC15" s="231">
        <f>-'Table 5C1N-Delta Charter'!L15</f>
        <v>0</v>
      </c>
      <c r="AD15" s="231">
        <f>-('Table 5C2 - LA Virtual Admy'!M15+'Table 5C2 - LA Virtual Admy'!I15)</f>
        <v>-480185.88059336192</v>
      </c>
      <c r="AE15" s="231">
        <f>-('Table 5C3 - LA Connections EBR'!M15+'Table 5C3 - LA Connections EBR'!I15)</f>
        <v>-560037.61997534882</v>
      </c>
      <c r="AF15" s="231">
        <f t="shared" si="23"/>
        <v>-3836378.2386551648</v>
      </c>
      <c r="AG15" s="231">
        <f>+'Table 4 Level 4'!E13</f>
        <v>357000</v>
      </c>
      <c r="AH15" s="231">
        <f>+'Table 4 Level 4'!O13</f>
        <v>433030</v>
      </c>
      <c r="AI15" s="984">
        <f t="shared" si="24"/>
        <v>214389847</v>
      </c>
      <c r="AJ15" s="231">
        <f>4*'[2]Table 2_State Distrib and Adjs'!AL15+(2*'[3]Table 2_State Distrib and Adjs'!AL15)+(2*'[4]Table 2_State Distrib and Adjs'!AL15)</f>
        <v>143500136</v>
      </c>
      <c r="AK15" s="231">
        <f t="shared" si="30"/>
        <v>70889711</v>
      </c>
      <c r="AL15" s="231">
        <f t="shared" si="25"/>
        <v>17722428</v>
      </c>
      <c r="AM15" s="231">
        <f>+'Table 4 Level 4'!J13</f>
        <v>38000</v>
      </c>
      <c r="AN15" s="231">
        <f>+'Table 4 Level 4'!L13</f>
        <v>150892</v>
      </c>
      <c r="AO15" s="231">
        <f>+'Table 4 Level 4'!M13</f>
        <v>0</v>
      </c>
      <c r="AP15" s="984">
        <f t="shared" si="31"/>
        <v>214578739</v>
      </c>
      <c r="AQ15" s="42"/>
    </row>
    <row r="16" spans="1:43" ht="14.45" customHeight="1">
      <c r="A16" s="3">
        <v>10</v>
      </c>
      <c r="B16" s="7" t="s">
        <v>82</v>
      </c>
      <c r="C16" s="10">
        <f>'Table 3 Levels 1&amp;2'!AO13</f>
        <v>161539563.54539999</v>
      </c>
      <c r="D16" s="10">
        <v>0</v>
      </c>
      <c r="E16" s="10">
        <v>0</v>
      </c>
      <c r="F16" s="10">
        <f t="shared" si="26"/>
        <v>0</v>
      </c>
      <c r="G16" s="10">
        <f t="shared" si="22"/>
        <v>0</v>
      </c>
      <c r="H16" s="10">
        <f t="shared" si="27"/>
        <v>0</v>
      </c>
      <c r="I16" s="10">
        <f>'[1]October midyear adj'!K13</f>
        <v>-404385.59344739624</v>
      </c>
      <c r="J16" s="10">
        <f>'[1]February midyear adj'!K13</f>
        <v>-22465.866302633123</v>
      </c>
      <c r="K16" s="10">
        <f t="shared" si="28"/>
        <v>-426851.45975002937</v>
      </c>
      <c r="L16" s="10">
        <f>'[1]Oct midyear Madison Prep'!K13+'[1]Oct midyear DArbonne'!K13+'[1]Oct midyear Intl_VIBE'!K13+'[1]Oct midyear NOMMA'!K13+'[1]Oct midyear LFNO'!K13+'[1]Oct midyear Lake Charles Chtr'!K13+'[1]Oct midyear JS Clark'!K13+'[1]Oct midyear Southwest'!K13+'[1]Oct midyear LA Key'!K13+'[1]Oct midyear Jefferson Cham'!K13+'[1]Oct midyear Tallulah'!K13+'[1]Oct midyear Northshore'!K13+'[1]Oct midyear B.R. Charter'!K13+'[1]Oct midyear Delta'!K13+'[1]Oct midyear LAVCA'!K13+'[1]Oct midyear LA Conn'!K13</f>
        <v>952053.48975825263</v>
      </c>
      <c r="M16" s="10">
        <f>'[1]Feb midyear Madison Prep'!K13+'[1]Feb midyear DArbonne'!K13+'[1]Feb midyear Intl_VIBE'!K13+'[1]Feb midyear NOMMA'!K13+'[1]Feb midyear LFNO'!K13+'[1]Feb midyear Lake Charles Chtr'!K13+'[1]Feb midyear JS Clark'!K13+'[1]Feb midyear Southwest'!K13+'[1]Feb midyear LA Key'!K13+'[1]Feb midyear Jefferson Cham'!K13+'[1]Feb midyear Tallulah'!K13+'[1]Feb midyear Northshore'!K13+'[1]Feb midyear B.R. Charter'!K13+'[1]Feb midyear Delta'!K13+'[1]Feb midyear LAVCA'!K13+'[1]Feb midyear LA Conn'!K13</f>
        <v>51172.251022664335</v>
      </c>
      <c r="N16" s="10">
        <f t="shared" si="29"/>
        <v>1003225.740780917</v>
      </c>
      <c r="O16" s="10">
        <v>0</v>
      </c>
      <c r="P16" s="10">
        <f>-'Table 5C1A-Madison Prep'!L16</f>
        <v>0</v>
      </c>
      <c r="Q16" s="10">
        <f>-'Table 5C1B-DArbonne'!L16</f>
        <v>0</v>
      </c>
      <c r="R16" s="10">
        <f>-'Table 5C1C-Intl_VIBE'!L16</f>
        <v>0</v>
      </c>
      <c r="S16" s="10">
        <f>-'Table 5C1D-NOMMA'!L16</f>
        <v>0</v>
      </c>
      <c r="T16" s="10">
        <f>-'Table 5C1E-LFNO'!L16</f>
        <v>0</v>
      </c>
      <c r="U16" s="10">
        <f>-'Table 5C1F-Lake Charles Charter'!L16</f>
        <v>-4290980.4638029262</v>
      </c>
      <c r="V16" s="10">
        <f>-'Table 5C1G-JS Clark Academy'!L16</f>
        <v>0</v>
      </c>
      <c r="W16" s="10">
        <f>-'Table 5C1H-Southwest LA Charter'!L16</f>
        <v>-4355881.8553438671</v>
      </c>
      <c r="X16" s="10">
        <f>-'Table 5C1I-LA Key Academy'!L16</f>
        <v>0</v>
      </c>
      <c r="Y16" s="10">
        <f>-'Table 5C1J-Jefferson Chamber'!L16</f>
        <v>0</v>
      </c>
      <c r="Z16" s="10">
        <f>-'Table 5C1K-Tallulah Charter'!L16</f>
        <v>0</v>
      </c>
      <c r="AA16" s="10">
        <f>-'Table 5C1L-Northshore Charter'!L16</f>
        <v>0</v>
      </c>
      <c r="AB16" s="10">
        <f>-'Table 5C1M-B.R. Charter'!L16</f>
        <v>0</v>
      </c>
      <c r="AC16" s="10">
        <f>-'Table 5C1N-Delta Charter'!L16</f>
        <v>0</v>
      </c>
      <c r="AD16" s="10">
        <f>-('Table 5C2 - LA Virtual Admy'!M16+'Table 5C2 - LA Virtual Admy'!I16)</f>
        <v>-319764.16370747815</v>
      </c>
      <c r="AE16" s="10">
        <f>-('Table 5C3 - LA Connections EBR'!M16+'Table 5C3 - LA Connections EBR'!I16)</f>
        <v>-329000.13096522732</v>
      </c>
      <c r="AF16" s="10">
        <f t="shared" si="23"/>
        <v>-9295626.6138194986</v>
      </c>
      <c r="AG16" s="10">
        <f>+'Table 4 Level 4'!E14</f>
        <v>651000</v>
      </c>
      <c r="AH16" s="10">
        <f>+'Table 4 Level 4'!O14</f>
        <v>348868</v>
      </c>
      <c r="AI16" s="985">
        <f t="shared" si="24"/>
        <v>153820179</v>
      </c>
      <c r="AJ16" s="10">
        <f>4*'[2]Table 2_State Distrib and Adjs'!AL16+(2*'[3]Table 2_State Distrib and Adjs'!AL16)+(2*'[4]Table 2_State Distrib and Adjs'!AL16)</f>
        <v>102831354</v>
      </c>
      <c r="AK16" s="10">
        <f t="shared" si="30"/>
        <v>50988825</v>
      </c>
      <c r="AL16" s="10">
        <f t="shared" si="25"/>
        <v>12747206</v>
      </c>
      <c r="AM16" s="10">
        <f>+'Table 4 Level 4'!J14</f>
        <v>122000</v>
      </c>
      <c r="AN16" s="10">
        <f>+'Table 4 Level 4'!L14</f>
        <v>200396</v>
      </c>
      <c r="AO16" s="10">
        <f>+'Table 4 Level 4'!M14</f>
        <v>38340</v>
      </c>
      <c r="AP16" s="985">
        <f t="shared" si="31"/>
        <v>154180915</v>
      </c>
      <c r="AQ16" s="41"/>
    </row>
    <row r="17" spans="1:43" ht="14.45" customHeight="1">
      <c r="A17" s="224">
        <v>11</v>
      </c>
      <c r="B17" s="225" t="s">
        <v>83</v>
      </c>
      <c r="C17" s="227">
        <f>'Table 3 Levels 1&amp;2'!AO14</f>
        <v>12246181.85388384</v>
      </c>
      <c r="D17" s="227">
        <v>0</v>
      </c>
      <c r="E17" s="227">
        <v>12796.586965760216</v>
      </c>
      <c r="F17" s="227">
        <f t="shared" si="26"/>
        <v>12796.586965760216</v>
      </c>
      <c r="G17" s="227">
        <f t="shared" si="22"/>
        <v>12796.586965760216</v>
      </c>
      <c r="H17" s="227">
        <f t="shared" si="27"/>
        <v>0</v>
      </c>
      <c r="I17" s="227">
        <f>'[1]October midyear adj'!K14</f>
        <v>327813.66339268407</v>
      </c>
      <c r="J17" s="227">
        <f>'[1]February midyear adj'!K14</f>
        <v>-117076.30835453003</v>
      </c>
      <c r="K17" s="227">
        <f t="shared" si="28"/>
        <v>210737.35503815406</v>
      </c>
      <c r="L17" s="227">
        <f>'[1]Oct midyear Madison Prep'!K14+'[1]Oct midyear DArbonne'!K14+'[1]Oct midyear Intl_VIBE'!K14+'[1]Oct midyear NOMMA'!K14+'[1]Oct midyear LFNO'!K14+'[1]Oct midyear Lake Charles Chtr'!K14+'[1]Oct midyear JS Clark'!K14+'[1]Oct midyear Southwest'!K14+'[1]Oct midyear LA Key'!K14+'[1]Oct midyear Jefferson Cham'!K14+'[1]Oct midyear Tallulah'!K14+'[1]Oct midyear Northshore'!K14+'[1]Oct midyear B.R. Charter'!K14+'[1]Oct midyear Delta'!K14+'[1]Oct midyear LAVCA'!K14+'[1]Oct midyear LA Conn'!K14</f>
        <v>0</v>
      </c>
      <c r="M17" s="227">
        <f>'[1]Feb midyear Madison Prep'!K14+'[1]Feb midyear DArbonne'!K14+'[1]Feb midyear Intl_VIBE'!K14+'[1]Feb midyear NOMMA'!K14+'[1]Feb midyear LFNO'!K14+'[1]Feb midyear Lake Charles Chtr'!K14+'[1]Feb midyear JS Clark'!K14+'[1]Feb midyear Southwest'!K14+'[1]Feb midyear LA Key'!K14+'[1]Feb midyear Jefferson Cham'!K14+'[1]Feb midyear Tallulah'!K14+'[1]Feb midyear Northshore'!K14+'[1]Feb midyear B.R. Charter'!K14+'[1]Feb midyear Delta'!K14+'[1]Feb midyear LAVCA'!K14+'[1]Feb midyear LA Conn'!K14</f>
        <v>-3512.2892506359012</v>
      </c>
      <c r="N17" s="227">
        <f t="shared" si="29"/>
        <v>-3512.2892506359012</v>
      </c>
      <c r="O17" s="227">
        <v>0</v>
      </c>
      <c r="P17" s="227">
        <f>-'Table 5C1A-Madison Prep'!L17</f>
        <v>0</v>
      </c>
      <c r="Q17" s="227">
        <f>-'Table 5C1B-DArbonne'!L17</f>
        <v>0</v>
      </c>
      <c r="R17" s="227">
        <f>-'Table 5C1C-Intl_VIBE'!L17</f>
        <v>0</v>
      </c>
      <c r="S17" s="227">
        <f>-'Table 5C1D-NOMMA'!L17</f>
        <v>0</v>
      </c>
      <c r="T17" s="227">
        <f>-'Table 5C1E-LFNO'!L17</f>
        <v>0</v>
      </c>
      <c r="U17" s="227">
        <f>-'Table 5C1F-Lake Charles Charter'!L17</f>
        <v>0</v>
      </c>
      <c r="V17" s="227">
        <f>-'Table 5C1G-JS Clark Academy'!L17</f>
        <v>0</v>
      </c>
      <c r="W17" s="227">
        <f>-'Table 5C1H-Southwest LA Charter'!L17</f>
        <v>0</v>
      </c>
      <c r="X17" s="227">
        <f>-'Table 5C1I-LA Key Academy'!L17</f>
        <v>0</v>
      </c>
      <c r="Y17" s="227">
        <f>-'Table 5C1J-Jefferson Chamber'!L17</f>
        <v>0</v>
      </c>
      <c r="Z17" s="227">
        <f>-'Table 5C1K-Tallulah Charter'!L17</f>
        <v>0</v>
      </c>
      <c r="AA17" s="227">
        <f>-'Table 5C1L-Northshore Charter'!L17</f>
        <v>0</v>
      </c>
      <c r="AB17" s="227">
        <f>-'Table 5C1M-B.R. Charter'!L17</f>
        <v>0</v>
      </c>
      <c r="AC17" s="227">
        <f>-'Table 5C1N-Delta Charter'!L17</f>
        <v>0</v>
      </c>
      <c r="AD17" s="227">
        <f>-('Table 5C2 - LA Virtual Admy'!M17+'Table 5C2 - LA Virtual Admy'!I17)</f>
        <v>-20683.481142633638</v>
      </c>
      <c r="AE17" s="227">
        <f>-('Table 5C3 - LA Connections EBR'!M17+'Table 5C3 - LA Connections EBR'!I17)</f>
        <v>-14829.665724907138</v>
      </c>
      <c r="AF17" s="227">
        <f t="shared" si="23"/>
        <v>-35513.146867540774</v>
      </c>
      <c r="AG17" s="227">
        <f>+'Table 4 Level 4'!E15</f>
        <v>0</v>
      </c>
      <c r="AH17" s="227">
        <f>+'Table 4 Level 4'!O15</f>
        <v>16978</v>
      </c>
      <c r="AI17" s="983">
        <f t="shared" si="24"/>
        <v>12447668</v>
      </c>
      <c r="AJ17" s="227">
        <f>4*'[2]Table 2_State Distrib and Adjs'!AL17+(2*'[3]Table 2_State Distrib and Adjs'!AL17)+(2*'[4]Table 2_State Distrib and Adjs'!AL17)</f>
        <v>8157954</v>
      </c>
      <c r="AK17" s="227">
        <f t="shared" si="30"/>
        <v>4289714</v>
      </c>
      <c r="AL17" s="227">
        <f t="shared" si="25"/>
        <v>1072429</v>
      </c>
      <c r="AM17" s="227">
        <f>+'Table 4 Level 4'!J15</f>
        <v>0</v>
      </c>
      <c r="AN17" s="227">
        <f>+'Table 4 Level 4'!L15</f>
        <v>25000</v>
      </c>
      <c r="AO17" s="227">
        <f>+'Table 4 Level 4'!M15</f>
        <v>4332</v>
      </c>
      <c r="AP17" s="983">
        <f t="shared" si="31"/>
        <v>12477000</v>
      </c>
      <c r="AQ17" s="41"/>
    </row>
    <row r="18" spans="1:43" ht="14.45" customHeight="1">
      <c r="A18" s="228">
        <v>12</v>
      </c>
      <c r="B18" s="229" t="s">
        <v>84</v>
      </c>
      <c r="C18" s="231">
        <f>'Table 3 Levels 1&amp;2'!AO15</f>
        <v>3330495.2</v>
      </c>
      <c r="D18" s="231">
        <v>0</v>
      </c>
      <c r="E18" s="231">
        <v>0</v>
      </c>
      <c r="F18" s="231">
        <f t="shared" si="26"/>
        <v>0</v>
      </c>
      <c r="G18" s="231">
        <f t="shared" si="22"/>
        <v>0</v>
      </c>
      <c r="H18" s="231">
        <f t="shared" si="27"/>
        <v>0</v>
      </c>
      <c r="I18" s="231">
        <f>'[1]October midyear adj'!K15</f>
        <v>65517.938360655739</v>
      </c>
      <c r="J18" s="231">
        <f>'[1]February midyear adj'!K15</f>
        <v>-2729.9140983606558</v>
      </c>
      <c r="K18" s="231">
        <f t="shared" si="28"/>
        <v>62788.024262295083</v>
      </c>
      <c r="L18" s="231">
        <f>'[1]Oct midyear Madison Prep'!K15+'[1]Oct midyear DArbonne'!K15+'[1]Oct midyear Intl_VIBE'!K15+'[1]Oct midyear NOMMA'!K15+'[1]Oct midyear LFNO'!K15+'[1]Oct midyear Lake Charles Chtr'!K15+'[1]Oct midyear JS Clark'!K15+'[1]Oct midyear Southwest'!K15+'[1]Oct midyear LA Key'!K15+'[1]Oct midyear Jefferson Cham'!K15+'[1]Oct midyear Tallulah'!K15+'[1]Oct midyear Northshore'!K15+'[1]Oct midyear B.R. Charter'!K15+'[1]Oct midyear Delta'!K15+'[1]Oct midyear LAVCA'!K15+'[1]Oct midyear LA Conn'!K15</f>
        <v>0</v>
      </c>
      <c r="M18" s="231">
        <f>'[1]Feb midyear Madison Prep'!K15+'[1]Feb midyear DArbonne'!K15+'[1]Feb midyear Intl_VIBE'!K15+'[1]Feb midyear NOMMA'!K15+'[1]Feb midyear LFNO'!K15+'[1]Feb midyear Lake Charles Chtr'!K15+'[1]Feb midyear JS Clark'!K15+'[1]Feb midyear Southwest'!K15+'[1]Feb midyear LA Key'!K15+'[1]Feb midyear Jefferson Cham'!K15+'[1]Feb midyear Tallulah'!K15+'[1]Feb midyear Northshore'!K15+'[1]Feb midyear B.R. Charter'!K15+'[1]Feb midyear Delta'!K15+'[1]Feb midyear LAVCA'!K15+'[1]Feb midyear LA Conn'!K15</f>
        <v>0</v>
      </c>
      <c r="N18" s="231">
        <f t="shared" si="29"/>
        <v>0</v>
      </c>
      <c r="O18" s="231">
        <v>0</v>
      </c>
      <c r="P18" s="231">
        <f>-'Table 5C1A-Madison Prep'!L18</f>
        <v>0</v>
      </c>
      <c r="Q18" s="231">
        <f>-'Table 5C1B-DArbonne'!L18</f>
        <v>0</v>
      </c>
      <c r="R18" s="231">
        <f>-'Table 5C1C-Intl_VIBE'!L18</f>
        <v>0</v>
      </c>
      <c r="S18" s="231">
        <f>-'Table 5C1D-NOMMA'!L18</f>
        <v>0</v>
      </c>
      <c r="T18" s="231">
        <f>-'Table 5C1E-LFNO'!L18</f>
        <v>0</v>
      </c>
      <c r="U18" s="231">
        <f>-'Table 5C1F-Lake Charles Charter'!L18</f>
        <v>0</v>
      </c>
      <c r="V18" s="231">
        <f>-'Table 5C1G-JS Clark Academy'!L18</f>
        <v>0</v>
      </c>
      <c r="W18" s="231">
        <f>-'Table 5C1H-Southwest LA Charter'!L18</f>
        <v>0</v>
      </c>
      <c r="X18" s="231">
        <f>-'Table 5C1I-LA Key Academy'!L18</f>
        <v>0</v>
      </c>
      <c r="Y18" s="231">
        <f>-'Table 5C1J-Jefferson Chamber'!L18</f>
        <v>0</v>
      </c>
      <c r="Z18" s="231">
        <f>-'Table 5C1K-Tallulah Charter'!L18</f>
        <v>0</v>
      </c>
      <c r="AA18" s="231">
        <f>-'Table 5C1L-Northshore Charter'!L18</f>
        <v>0</v>
      </c>
      <c r="AB18" s="231">
        <f>-'Table 5C1M-B.R. Charter'!L18</f>
        <v>0</v>
      </c>
      <c r="AC18" s="231">
        <f>-'Table 5C1N-Delta Charter'!L18</f>
        <v>0</v>
      </c>
      <c r="AD18" s="231">
        <f>-('Table 5C2 - LA Virtual Admy'!M18+'Table 5C2 - LA Virtual Admy'!I18)</f>
        <v>-4231.3668524590166</v>
      </c>
      <c r="AE18" s="231">
        <f>-('Table 5C3 - LA Connections EBR'!M18+'Table 5C3 - LA Connections EBR'!I18)</f>
        <v>-3958.3754426229511</v>
      </c>
      <c r="AF18" s="231">
        <f t="shared" si="23"/>
        <v>-8189.7422950819673</v>
      </c>
      <c r="AG18" s="231">
        <f>+'Table 4 Level 4'!E16</f>
        <v>42000</v>
      </c>
      <c r="AH18" s="231">
        <f>+'Table 4 Level 4'!O16</f>
        <v>14664</v>
      </c>
      <c r="AI18" s="984">
        <f t="shared" si="24"/>
        <v>3441757</v>
      </c>
      <c r="AJ18" s="231">
        <f>4*'[2]Table 2_State Distrib and Adjs'!AL18+(2*'[3]Table 2_State Distrib and Adjs'!AL18)+(2*'[4]Table 2_State Distrib and Adjs'!AL18)</f>
        <v>2252648</v>
      </c>
      <c r="AK18" s="231">
        <f t="shared" si="30"/>
        <v>1189109</v>
      </c>
      <c r="AL18" s="231">
        <f t="shared" si="25"/>
        <v>297277</v>
      </c>
      <c r="AM18" s="231">
        <f>+'Table 4 Level 4'!J16</f>
        <v>0</v>
      </c>
      <c r="AN18" s="231">
        <f>+'Table 4 Level 4'!L16</f>
        <v>25000</v>
      </c>
      <c r="AO18" s="231">
        <f>+'Table 4 Level 4'!M16</f>
        <v>0</v>
      </c>
      <c r="AP18" s="984">
        <f t="shared" si="31"/>
        <v>3466757</v>
      </c>
      <c r="AQ18" s="41"/>
    </row>
    <row r="19" spans="1:43" ht="14.45" customHeight="1">
      <c r="A19" s="228">
        <v>13</v>
      </c>
      <c r="B19" s="229" t="s">
        <v>85</v>
      </c>
      <c r="C19" s="231">
        <f>'Table 3 Levels 1&amp;2'!AO16</f>
        <v>10681209.886663999</v>
      </c>
      <c r="D19" s="231">
        <v>0</v>
      </c>
      <c r="E19" s="231">
        <v>0</v>
      </c>
      <c r="F19" s="231">
        <f t="shared" si="26"/>
        <v>0</v>
      </c>
      <c r="G19" s="231">
        <f t="shared" si="22"/>
        <v>0</v>
      </c>
      <c r="H19" s="231">
        <f t="shared" si="27"/>
        <v>0</v>
      </c>
      <c r="I19" s="231">
        <f>'[1]October midyear adj'!K16</f>
        <v>7183.0597758332215</v>
      </c>
      <c r="J19" s="231">
        <f>'[1]February midyear adj'!K16</f>
        <v>-35915.298879166105</v>
      </c>
      <c r="K19" s="231">
        <f t="shared" si="28"/>
        <v>-28732.239103332882</v>
      </c>
      <c r="L19" s="231">
        <f>'[1]Oct midyear Madison Prep'!K16+'[1]Oct midyear DArbonne'!K16+'[1]Oct midyear Intl_VIBE'!K16+'[1]Oct midyear NOMMA'!K16+'[1]Oct midyear LFNO'!K16+'[1]Oct midyear Lake Charles Chtr'!K16+'[1]Oct midyear JS Clark'!K16+'[1]Oct midyear Southwest'!K16+'[1]Oct midyear LA Key'!K16+'[1]Oct midyear Jefferson Cham'!K16+'[1]Oct midyear Tallulah'!K16+'[1]Oct midyear Northshore'!K16+'[1]Oct midyear B.R. Charter'!K16+'[1]Oct midyear Delta'!K16+'[1]Oct midyear LAVCA'!K16+'[1]Oct midyear LA Conn'!K16</f>
        <v>55309.560273915806</v>
      </c>
      <c r="M19" s="231">
        <f>'[1]Feb midyear Madison Prep'!K16+'[1]Feb midyear DArbonne'!K16+'[1]Feb midyear Intl_VIBE'!K16+'[1]Feb midyear NOMMA'!K16+'[1]Feb midyear LFNO'!K16+'[1]Feb midyear Lake Charles Chtr'!K16+'[1]Feb midyear JS Clark'!K16+'[1]Feb midyear Southwest'!K16+'[1]Feb midyear LA Key'!K16+'[1]Feb midyear Jefferson Cham'!K16+'[1]Feb midyear Tallulah'!K16+'[1]Feb midyear Northshore'!K16+'[1]Feb midyear B.R. Charter'!K16+'[1]Feb midyear Delta'!K16+'[1]Feb midyear LAVCA'!K16+'[1]Feb midyear LA Conn'!K16</f>
        <v>11133.742652541496</v>
      </c>
      <c r="N19" s="231">
        <f t="shared" si="29"/>
        <v>66443.302926457298</v>
      </c>
      <c r="O19" s="231">
        <v>0</v>
      </c>
      <c r="P19" s="231">
        <f>-'Table 5C1A-Madison Prep'!L19</f>
        <v>0</v>
      </c>
      <c r="Q19" s="231">
        <f>-'Table 5C1B-DArbonne'!L19</f>
        <v>0</v>
      </c>
      <c r="R19" s="231">
        <f>-'Table 5C1C-Intl_VIBE'!L19</f>
        <v>0</v>
      </c>
      <c r="S19" s="231">
        <f>-'Table 5C1D-NOMMA'!L19</f>
        <v>0</v>
      </c>
      <c r="T19" s="231">
        <f>-'Table 5C1E-LFNO'!L19</f>
        <v>0</v>
      </c>
      <c r="U19" s="231">
        <f>-'Table 5C1F-Lake Charles Charter'!L19</f>
        <v>0</v>
      </c>
      <c r="V19" s="231">
        <f>-'Table 5C1G-JS Clark Academy'!L19</f>
        <v>0</v>
      </c>
      <c r="W19" s="231">
        <f>-'Table 5C1H-Southwest LA Charter'!L19</f>
        <v>0</v>
      </c>
      <c r="X19" s="231">
        <f>-'Table 5C1I-LA Key Academy'!L19</f>
        <v>0</v>
      </c>
      <c r="Y19" s="231">
        <f>-'Table 5C1J-Jefferson Chamber'!L19</f>
        <v>0</v>
      </c>
      <c r="Z19" s="231">
        <f>-'Table 5C1K-Tallulah Charter'!L19</f>
        <v>0</v>
      </c>
      <c r="AA19" s="231">
        <f>-'Table 5C1L-Northshore Charter'!L19</f>
        <v>0</v>
      </c>
      <c r="AB19" s="231">
        <f>-'Table 5C1M-B.R. Charter'!L19</f>
        <v>0</v>
      </c>
      <c r="AC19" s="231">
        <f>-'Table 5C1N-Delta Charter'!L19</f>
        <v>-409434.40722249361</v>
      </c>
      <c r="AD19" s="231">
        <f>-('Table 5C2 - LA Virtual Admy'!M19+'Table 5C2 - LA Virtual Admy'!I19)</f>
        <v>-34119.533935207801</v>
      </c>
      <c r="AE19" s="231">
        <f>-('Table 5C3 - LA Connections EBR'!M19+'Table 5C3 - LA Connections EBR'!I19)</f>
        <v>-32323.768991249497</v>
      </c>
      <c r="AF19" s="231">
        <f t="shared" si="23"/>
        <v>-475877.71014895092</v>
      </c>
      <c r="AG19" s="231">
        <f>+'Table 4 Level 4'!E17</f>
        <v>0</v>
      </c>
      <c r="AH19" s="231">
        <f>+'Table 4 Level 4'!O17</f>
        <v>14976</v>
      </c>
      <c r="AI19" s="984">
        <f t="shared" si="24"/>
        <v>10258019</v>
      </c>
      <c r="AJ19" s="231">
        <f>4*'[2]Table 2_State Distrib and Adjs'!AL19+(2*'[3]Table 2_State Distrib and Adjs'!AL19)+(2*'[4]Table 2_State Distrib and Adjs'!AL19)</f>
        <v>6857834</v>
      </c>
      <c r="AK19" s="231">
        <f t="shared" si="30"/>
        <v>3400185</v>
      </c>
      <c r="AL19" s="231">
        <f t="shared" si="25"/>
        <v>850046</v>
      </c>
      <c r="AM19" s="231">
        <f>+'Table 4 Level 4'!J17</f>
        <v>0</v>
      </c>
      <c r="AN19" s="231">
        <f>+'Table 4 Level 4'!L17</f>
        <v>25000</v>
      </c>
      <c r="AO19" s="231">
        <f>+'Table 4 Level 4'!M17</f>
        <v>4617</v>
      </c>
      <c r="AP19" s="984">
        <f t="shared" si="31"/>
        <v>10287636</v>
      </c>
      <c r="AQ19" s="41"/>
    </row>
    <row r="20" spans="1:43" ht="14.45" customHeight="1">
      <c r="A20" s="228">
        <v>14</v>
      </c>
      <c r="B20" s="229" t="s">
        <v>86</v>
      </c>
      <c r="C20" s="231">
        <f>'Table 3 Levels 1&amp;2'!AO17</f>
        <v>10323483.9813</v>
      </c>
      <c r="D20" s="231">
        <v>0</v>
      </c>
      <c r="E20" s="231">
        <v>0</v>
      </c>
      <c r="F20" s="231">
        <f t="shared" si="26"/>
        <v>0</v>
      </c>
      <c r="G20" s="231">
        <f t="shared" si="22"/>
        <v>0</v>
      </c>
      <c r="H20" s="231">
        <f t="shared" si="27"/>
        <v>0</v>
      </c>
      <c r="I20" s="231">
        <f>'[1]October midyear adj'!K17</f>
        <v>-55304.378471249998</v>
      </c>
      <c r="J20" s="231">
        <f>'[1]February midyear adj'!K17</f>
        <v>27652.189235624999</v>
      </c>
      <c r="K20" s="231">
        <f t="shared" si="28"/>
        <v>-27652.189235624999</v>
      </c>
      <c r="L20" s="231">
        <f>'[1]Oct midyear Madison Prep'!K17+'[1]Oct midyear DArbonne'!K17+'[1]Oct midyear Intl_VIBE'!K17+'[1]Oct midyear NOMMA'!K17+'[1]Oct midyear LFNO'!K17+'[1]Oct midyear Lake Charles Chtr'!K17+'[1]Oct midyear JS Clark'!K17+'[1]Oct midyear Southwest'!K17+'[1]Oct midyear LA Key'!K17+'[1]Oct midyear Jefferson Cham'!K17+'[1]Oct midyear Tallulah'!K17+'[1]Oct midyear Northshore'!K17+'[1]Oct midyear B.R. Charter'!K17+'[1]Oct midyear Delta'!K17+'[1]Oct midyear LAVCA'!K17+'[1]Oct midyear LA Conn'!K17</f>
        <v>39327.558023999998</v>
      </c>
      <c r="M20" s="231">
        <f>'[1]Feb midyear Madison Prep'!K17+'[1]Feb midyear DArbonne'!K17+'[1]Feb midyear Intl_VIBE'!K17+'[1]Feb midyear NOMMA'!K17+'[1]Feb midyear LFNO'!K17+'[1]Feb midyear Lake Charles Chtr'!K17+'[1]Feb midyear JS Clark'!K17+'[1]Feb midyear Southwest'!K17+'[1]Feb midyear LA Key'!K17+'[1]Feb midyear Jefferson Cham'!K17+'[1]Feb midyear Tallulah'!K17+'[1]Feb midyear Northshore'!K17+'[1]Feb midyear B.R. Charter'!K17+'[1]Feb midyear Delta'!K17+'[1]Feb midyear LAVCA'!K17+'[1]Feb midyear LA Conn'!K17</f>
        <v>5530.4378471250002</v>
      </c>
      <c r="N20" s="231">
        <f t="shared" si="29"/>
        <v>44857.995871125</v>
      </c>
      <c r="O20" s="231">
        <v>0</v>
      </c>
      <c r="P20" s="231">
        <f>-'Table 5C1A-Madison Prep'!L20</f>
        <v>0</v>
      </c>
      <c r="Q20" s="231">
        <f>-'Table 5C1B-DArbonne'!L20</f>
        <v>-18434.792823749998</v>
      </c>
      <c r="R20" s="231">
        <f>-'Table 5C1C-Intl_VIBE'!L20</f>
        <v>0</v>
      </c>
      <c r="S20" s="231">
        <f>-'Table 5C1D-NOMMA'!L20</f>
        <v>0</v>
      </c>
      <c r="T20" s="231">
        <f>-'Table 5C1E-LFNO'!L20</f>
        <v>0</v>
      </c>
      <c r="U20" s="231">
        <f>-'Table 5C1F-Lake Charles Charter'!L20</f>
        <v>0</v>
      </c>
      <c r="V20" s="231">
        <f>-'Table 5C1G-JS Clark Academy'!L20</f>
        <v>0</v>
      </c>
      <c r="W20" s="231">
        <f>-'Table 5C1H-Southwest LA Charter'!L20</f>
        <v>0</v>
      </c>
      <c r="X20" s="231">
        <f>-'Table 5C1I-LA Key Academy'!L20</f>
        <v>0</v>
      </c>
      <c r="Y20" s="231">
        <f>-'Table 5C1J-Jefferson Chamber'!L20</f>
        <v>0</v>
      </c>
      <c r="Z20" s="231">
        <f>-'Table 5C1K-Tallulah Charter'!L20</f>
        <v>0</v>
      </c>
      <c r="AA20" s="231">
        <f>-'Table 5C1L-Northshore Charter'!L20</f>
        <v>0</v>
      </c>
      <c r="AB20" s="231">
        <f>-'Table 5C1M-B.R. Charter'!L20</f>
        <v>0</v>
      </c>
      <c r="AC20" s="231">
        <f>-'Table 5C1N-Delta Charter'!L20</f>
        <v>0</v>
      </c>
      <c r="AD20" s="231">
        <f>-('Table 5C2 - LA Virtual Admy'!M20+'Table 5C2 - LA Virtual Admy'!I20)</f>
        <v>-8295.6567706874994</v>
      </c>
      <c r="AE20" s="231">
        <f>-('Table 5C3 - LA Connections EBR'!M20+'Table 5C3 - LA Connections EBR'!I20)</f>
        <v>-134881.23416043751</v>
      </c>
      <c r="AF20" s="231">
        <f t="shared" si="23"/>
        <v>-161611.683754875</v>
      </c>
      <c r="AG20" s="231">
        <f>+'Table 4 Level 4'!E18</f>
        <v>0</v>
      </c>
      <c r="AH20" s="231">
        <f>+'Table 4 Level 4'!O18</f>
        <v>19032</v>
      </c>
      <c r="AI20" s="984">
        <f t="shared" si="24"/>
        <v>10198110</v>
      </c>
      <c r="AJ20" s="231">
        <f>4*'[2]Table 2_State Distrib and Adjs'!AL20+(2*'[3]Table 2_State Distrib and Adjs'!AL20)+(2*'[4]Table 2_State Distrib and Adjs'!AL20)</f>
        <v>6817176</v>
      </c>
      <c r="AK20" s="231">
        <f t="shared" si="30"/>
        <v>3380934</v>
      </c>
      <c r="AL20" s="231">
        <f t="shared" si="25"/>
        <v>845234</v>
      </c>
      <c r="AM20" s="231">
        <f>+'Table 4 Level 4'!J18</f>
        <v>0</v>
      </c>
      <c r="AN20" s="231">
        <f>+'Table 4 Level 4'!L18</f>
        <v>25000</v>
      </c>
      <c r="AO20" s="231">
        <f>+'Table 4 Level 4'!M18</f>
        <v>0</v>
      </c>
      <c r="AP20" s="984">
        <f t="shared" si="31"/>
        <v>10223110</v>
      </c>
      <c r="AQ20" s="41"/>
    </row>
    <row r="21" spans="1:43" ht="14.45" customHeight="1">
      <c r="A21" s="3">
        <v>15</v>
      </c>
      <c r="B21" s="7" t="s">
        <v>87</v>
      </c>
      <c r="C21" s="10">
        <f>'Table 3 Levels 1&amp;2'!AO18</f>
        <v>23134316.673560001</v>
      </c>
      <c r="D21" s="10">
        <v>0</v>
      </c>
      <c r="E21" s="10">
        <v>0</v>
      </c>
      <c r="F21" s="10">
        <f t="shared" si="26"/>
        <v>0</v>
      </c>
      <c r="G21" s="10">
        <f t="shared" si="22"/>
        <v>0</v>
      </c>
      <c r="H21" s="10">
        <f t="shared" si="27"/>
        <v>0</v>
      </c>
      <c r="I21" s="10">
        <f>'[1]October midyear adj'!K18</f>
        <v>126072.57042811991</v>
      </c>
      <c r="J21" s="10">
        <f>'[1]February midyear adj'!K18</f>
        <v>-189108.85564217987</v>
      </c>
      <c r="K21" s="10">
        <f t="shared" si="28"/>
        <v>-63036.285214059957</v>
      </c>
      <c r="L21" s="10">
        <f>'[1]Oct midyear Madison Prep'!K18+'[1]Oct midyear DArbonne'!K18+'[1]Oct midyear Intl_VIBE'!K18+'[1]Oct midyear NOMMA'!K18+'[1]Oct midyear LFNO'!K18+'[1]Oct midyear Lake Charles Chtr'!K18+'[1]Oct midyear JS Clark'!K18+'[1]Oct midyear Southwest'!K18+'[1]Oct midyear LA Key'!K18+'[1]Oct midyear Jefferson Cham'!K18+'[1]Oct midyear Tallulah'!K18+'[1]Oct midyear Northshore'!K18+'[1]Oct midyear B.R. Charter'!K18+'[1]Oct midyear Delta'!K18+'[1]Oct midyear LAVCA'!K18+'[1]Oct midyear LA Conn'!K18</f>
        <v>203607.20124141366</v>
      </c>
      <c r="M21" s="10">
        <f>'[1]Feb midyear Madison Prep'!K18+'[1]Feb midyear DArbonne'!K18+'[1]Feb midyear Intl_VIBE'!K18+'[1]Feb midyear NOMMA'!K18+'[1]Feb midyear LFNO'!K18+'[1]Feb midyear Lake Charles Chtr'!K18+'[1]Feb midyear JS Clark'!K18+'[1]Feb midyear Southwest'!K18+'[1]Feb midyear LA Key'!K18+'[1]Feb midyear Jefferson Cham'!K18+'[1]Feb midyear Tallulah'!K18+'[1]Feb midyear Northshore'!K18+'[1]Feb midyear B.R. Charter'!K18+'[1]Feb midyear Delta'!K18+'[1]Feb midyear LAVCA'!K18+'[1]Feb midyear LA Conn'!K18</f>
        <v>1575.9071303514979</v>
      </c>
      <c r="N21" s="10">
        <f t="shared" si="29"/>
        <v>205183.10837176515</v>
      </c>
      <c r="O21" s="10">
        <v>0</v>
      </c>
      <c r="P21" s="10">
        <f>-'Table 5C1A-Madison Prep'!L21</f>
        <v>0</v>
      </c>
      <c r="Q21" s="10">
        <f>-'Table 5C1B-DArbonne'!L21</f>
        <v>0</v>
      </c>
      <c r="R21" s="10">
        <f>-'Table 5C1C-Intl_VIBE'!L21</f>
        <v>0</v>
      </c>
      <c r="S21" s="10">
        <f>-'Table 5C1D-NOMMA'!L21</f>
        <v>0</v>
      </c>
      <c r="T21" s="10">
        <f>-'Table 5C1E-LFNO'!L21</f>
        <v>0</v>
      </c>
      <c r="U21" s="10">
        <f>-'Table 5C1F-Lake Charles Charter'!L21</f>
        <v>0</v>
      </c>
      <c r="V21" s="10">
        <f>-'Table 5C1G-JS Clark Academy'!L21</f>
        <v>0</v>
      </c>
      <c r="W21" s="10">
        <f>-'Table 5C1H-Southwest LA Charter'!L21</f>
        <v>0</v>
      </c>
      <c r="X21" s="10">
        <f>-'Table 5C1I-LA Key Academy'!L21</f>
        <v>0</v>
      </c>
      <c r="Y21" s="10">
        <f>-'Table 5C1J-Jefferson Chamber'!L21</f>
        <v>0</v>
      </c>
      <c r="Z21" s="10">
        <f>-'Table 5C1K-Tallulah Charter'!L21</f>
        <v>0</v>
      </c>
      <c r="AA21" s="10">
        <f>-'Table 5C1L-Northshore Charter'!L21</f>
        <v>0</v>
      </c>
      <c r="AB21" s="10">
        <f>-'Table 5C1M-B.R. Charter'!L21</f>
        <v>0</v>
      </c>
      <c r="AC21" s="10">
        <f>-'Table 5C1N-Delta Charter'!L21</f>
        <v>-1903695.8134646104</v>
      </c>
      <c r="AD21" s="10">
        <f>-('Table 5C2 - LA Virtual Admy'!M21+'Table 5C2 - LA Virtual Admy'!I21)</f>
        <v>-133006.56180166651</v>
      </c>
      <c r="AE21" s="10">
        <f>-('Table 5C3 - LA Connections EBR'!M21+'Table 5C3 - LA Connections EBR'!I21)</f>
        <v>-34354.775441662678</v>
      </c>
      <c r="AF21" s="10">
        <f t="shared" si="23"/>
        <v>-2071057.1507079394</v>
      </c>
      <c r="AG21" s="10">
        <f>+'Table 4 Level 4'!E19</f>
        <v>42000</v>
      </c>
      <c r="AH21" s="10">
        <f>+'Table 4 Level 4'!O19</f>
        <v>36972</v>
      </c>
      <c r="AI21" s="985">
        <f t="shared" si="24"/>
        <v>21284378</v>
      </c>
      <c r="AJ21" s="10">
        <f>4*'[2]Table 2_State Distrib and Adjs'!AL21+(2*'[3]Table 2_State Distrib and Adjs'!AL21)+(2*'[4]Table 2_State Distrib and Adjs'!AL21)</f>
        <v>14231610</v>
      </c>
      <c r="AK21" s="10">
        <f t="shared" si="30"/>
        <v>7052768</v>
      </c>
      <c r="AL21" s="10">
        <f t="shared" si="25"/>
        <v>1763192</v>
      </c>
      <c r="AM21" s="10">
        <f>+'Table 4 Level 4'!J19</f>
        <v>10000</v>
      </c>
      <c r="AN21" s="10">
        <f>+'Table 4 Level 4'!L19</f>
        <v>25000</v>
      </c>
      <c r="AO21" s="10">
        <f>+'Table 4 Level 4'!M19</f>
        <v>0</v>
      </c>
      <c r="AP21" s="985">
        <f t="shared" si="31"/>
        <v>21319378</v>
      </c>
      <c r="AQ21" s="41"/>
    </row>
    <row r="22" spans="1:43" ht="14.45" customHeight="1">
      <c r="A22" s="224">
        <v>16</v>
      </c>
      <c r="B22" s="225" t="s">
        <v>88</v>
      </c>
      <c r="C22" s="227">
        <f>'Table 3 Levels 1&amp;2'!AO19</f>
        <v>12990856.83</v>
      </c>
      <c r="D22" s="227">
        <v>0</v>
      </c>
      <c r="E22" s="227">
        <v>0</v>
      </c>
      <c r="F22" s="227">
        <f t="shared" si="26"/>
        <v>0</v>
      </c>
      <c r="G22" s="227">
        <f t="shared" si="22"/>
        <v>0</v>
      </c>
      <c r="H22" s="227">
        <f t="shared" si="27"/>
        <v>0</v>
      </c>
      <c r="I22" s="227">
        <f>'[1]October midyear adj'!K19</f>
        <v>42671.67096694724</v>
      </c>
      <c r="J22" s="227">
        <f>'[1]February midyear adj'!K19</f>
        <v>30670.263507493328</v>
      </c>
      <c r="K22" s="227">
        <f t="shared" si="28"/>
        <v>73341.934474440568</v>
      </c>
      <c r="L22" s="227">
        <f>'[1]Oct midyear Madison Prep'!K19+'[1]Oct midyear DArbonne'!K19+'[1]Oct midyear Intl_VIBE'!K19+'[1]Oct midyear NOMMA'!K19+'[1]Oct midyear LFNO'!K19+'[1]Oct midyear Lake Charles Chtr'!K19+'[1]Oct midyear JS Clark'!K19+'[1]Oct midyear Southwest'!K19+'[1]Oct midyear LA Key'!K19+'[1]Oct midyear Jefferson Cham'!K19+'[1]Oct midyear Tallulah'!K19+'[1]Oct midyear Northshore'!K19+'[1]Oct midyear B.R. Charter'!K19+'[1]Oct midyear Delta'!K19+'[1]Oct midyear LAVCA'!K19+'[1]Oct midyear LA Conn'!K19</f>
        <v>0</v>
      </c>
      <c r="M22" s="227">
        <f>'[1]Feb midyear Madison Prep'!K19+'[1]Feb midyear DArbonne'!K19+'[1]Feb midyear Intl_VIBE'!K19+'[1]Feb midyear NOMMA'!K19+'[1]Feb midyear LFNO'!K19+'[1]Feb midyear Lake Charles Chtr'!K19+'[1]Feb midyear JS Clark'!K19+'[1]Feb midyear Southwest'!K19+'[1]Feb midyear LA Key'!K19+'[1]Feb midyear Jefferson Cham'!K19+'[1]Feb midyear Tallulah'!K19+'[1]Feb midyear Northshore'!K19+'[1]Feb midyear B.R. Charter'!K19+'[1]Feb midyear Delta'!K19+'[1]Feb midyear LAVCA'!K19+'[1]Feb midyear LA Conn'!K19</f>
        <v>-3600.4222378361737</v>
      </c>
      <c r="N22" s="227">
        <f t="shared" si="29"/>
        <v>-3600.4222378361737</v>
      </c>
      <c r="O22" s="227">
        <v>0</v>
      </c>
      <c r="P22" s="227">
        <f>-'Table 5C1A-Madison Prep'!L22</f>
        <v>0</v>
      </c>
      <c r="Q22" s="227">
        <f>-'Table 5C1B-DArbonne'!L22</f>
        <v>0</v>
      </c>
      <c r="R22" s="227">
        <f>-'Table 5C1C-Intl_VIBE'!L22</f>
        <v>0</v>
      </c>
      <c r="S22" s="227">
        <f>-'Table 5C1D-NOMMA'!L22</f>
        <v>0</v>
      </c>
      <c r="T22" s="227">
        <f>-'Table 5C1E-LFNO'!L22</f>
        <v>0</v>
      </c>
      <c r="U22" s="227">
        <f>-'Table 5C1F-Lake Charles Charter'!L22</f>
        <v>0</v>
      </c>
      <c r="V22" s="227">
        <f>-'Table 5C1G-JS Clark Academy'!L22</f>
        <v>0</v>
      </c>
      <c r="W22" s="227">
        <f>-'Table 5C1H-Southwest LA Charter'!L22</f>
        <v>0</v>
      </c>
      <c r="X22" s="227">
        <f>-'Table 5C1I-LA Key Academy'!L22</f>
        <v>0</v>
      </c>
      <c r="Y22" s="227">
        <f>-'Table 5C1J-Jefferson Chamber'!L22</f>
        <v>0</v>
      </c>
      <c r="Z22" s="227">
        <f>-'Table 5C1K-Tallulah Charter'!L22</f>
        <v>0</v>
      </c>
      <c r="AA22" s="227">
        <f>-'Table 5C1L-Northshore Charter'!L22</f>
        <v>0</v>
      </c>
      <c r="AB22" s="227">
        <f>-'Table 5C1M-B.R. Charter'!L22</f>
        <v>0</v>
      </c>
      <c r="AC22" s="227">
        <f>-'Table 5C1N-Delta Charter'!L22</f>
        <v>0</v>
      </c>
      <c r="AD22" s="227">
        <f>-('Table 5C2 - LA Virtual Admy'!M22+'Table 5C2 - LA Virtual Admy'!I22)</f>
        <v>-41071.483305686714</v>
      </c>
      <c r="AE22" s="227">
        <f>-('Table 5C3 - LA Connections EBR'!M22+'Table 5C3 - LA Connections EBR'!I22)</f>
        <v>-16668.621471463768</v>
      </c>
      <c r="AF22" s="227">
        <f t="shared" si="23"/>
        <v>-57740.104777150482</v>
      </c>
      <c r="AG22" s="227">
        <f>+'Table 4 Level 4'!E20</f>
        <v>21000</v>
      </c>
      <c r="AH22" s="227">
        <f>+'Table 4 Level 4'!O20</f>
        <v>55120</v>
      </c>
      <c r="AI22" s="983">
        <f t="shared" si="24"/>
        <v>13078978</v>
      </c>
      <c r="AJ22" s="227">
        <f>4*'[2]Table 2_State Distrib and Adjs'!AL22+(2*'[3]Table 2_State Distrib and Adjs'!AL22)+(2*'[4]Table 2_State Distrib and Adjs'!AL22)</f>
        <v>8670424</v>
      </c>
      <c r="AK22" s="227">
        <f t="shared" si="30"/>
        <v>4408554</v>
      </c>
      <c r="AL22" s="227">
        <f t="shared" si="25"/>
        <v>1102139</v>
      </c>
      <c r="AM22" s="227">
        <f>+'Table 4 Level 4'!J20</f>
        <v>0</v>
      </c>
      <c r="AN22" s="227">
        <f>+'Table 4 Level 4'!L20</f>
        <v>25000</v>
      </c>
      <c r="AO22" s="227">
        <f>+'Table 4 Level 4'!M20</f>
        <v>53856</v>
      </c>
      <c r="AP22" s="983">
        <f t="shared" si="31"/>
        <v>13157834</v>
      </c>
      <c r="AQ22" s="41"/>
    </row>
    <row r="23" spans="1:43" ht="14.45" customHeight="1">
      <c r="A23" s="228">
        <v>17</v>
      </c>
      <c r="B23" s="229" t="s">
        <v>89</v>
      </c>
      <c r="C23" s="231">
        <f>'Table 3 Levels 1&amp;2'!AO20</f>
        <v>180614340.96332291</v>
      </c>
      <c r="D23" s="231">
        <v>-27281.813703790307</v>
      </c>
      <c r="E23" s="231">
        <v>-36159.855141250067</v>
      </c>
      <c r="F23" s="231">
        <f t="shared" si="26"/>
        <v>-63441.668845040374</v>
      </c>
      <c r="G23" s="231">
        <f t="shared" si="22"/>
        <v>0</v>
      </c>
      <c r="H23" s="231">
        <f t="shared" si="27"/>
        <v>-63441.668845040374</v>
      </c>
      <c r="I23" s="231">
        <f>'[1]October midyear adj'!K20</f>
        <v>920481.72107956745</v>
      </c>
      <c r="J23" s="231">
        <f>'[1]February midyear adj'!K20</f>
        <v>68723.748406393046</v>
      </c>
      <c r="K23" s="231">
        <f t="shared" si="28"/>
        <v>989205.46948596044</v>
      </c>
      <c r="L23" s="231">
        <f>'[1]Oct midyear Madison Prep'!K20+'[1]Oct midyear DArbonne'!K20+'[1]Oct midyear Intl_VIBE'!K20+'[1]Oct midyear NOMMA'!K20+'[1]Oct midyear LFNO'!K20+'[1]Oct midyear Lake Charles Chtr'!K20+'[1]Oct midyear JS Clark'!K20+'[1]Oct midyear Southwest'!K20+'[1]Oct midyear LA Key'!K20+'[1]Oct midyear Jefferson Cham'!K20+'[1]Oct midyear Tallulah'!K20+'[1]Oct midyear Northshore'!K20+'[1]Oct midyear B.R. Charter'!K20+'[1]Oct midyear Delta'!K20+'[1]Oct midyear LAVCA'!K20+'[1]Oct midyear LA Conn'!K20+'[1]October midyear adj'!$K$192-'[1]October midyear adj'!$K$191</f>
        <v>1456526.9586494335</v>
      </c>
      <c r="M23" s="231">
        <f>'[1]Feb midyear Madison Prep'!K20+'[1]Feb midyear DArbonne'!K20+'[1]Feb midyear Intl_VIBE'!K20+'[1]Feb midyear NOMMA'!K20+'[1]Feb midyear LFNO'!K20+'[1]Feb midyear Lake Charles Chtr'!K20+'[1]Feb midyear JS Clark'!K20+'[1]Feb midyear Southwest'!K20+'[1]Feb midyear LA Key'!K20+'[1]Feb midyear Jefferson Cham'!K20+'[1]Feb midyear Tallulah'!K20+'[1]Feb midyear Northshore'!K20+'[1]Feb midyear B.R. Charter'!K20+'[1]Feb midyear Delta'!K20+'[1]Feb midyear LAVCA'!K20+'[1]Feb midyear LA Conn'!K20+'[1]February midyear adj'!$K$192-'[1]February midyear adj'!$K$191</f>
        <v>-383603.46837750304</v>
      </c>
      <c r="N23" s="231">
        <f t="shared" si="29"/>
        <v>1072923.4902719303</v>
      </c>
      <c r="O23" s="231">
        <f>-'Table 5B2_RSD_LA'!L12</f>
        <v>-8598799.0699406862</v>
      </c>
      <c r="P23" s="231">
        <f>-'Table 5C1A-Madison Prep'!L23</f>
        <v>-1366144.8168058738</v>
      </c>
      <c r="Q23" s="231">
        <f>-'Table 5C1B-DArbonne'!L23</f>
        <v>0</v>
      </c>
      <c r="R23" s="231">
        <f>-'Table 5C1C-Intl_VIBE'!L23</f>
        <v>0</v>
      </c>
      <c r="S23" s="231">
        <f>-'Table 5C1D-NOMMA'!L23</f>
        <v>0</v>
      </c>
      <c r="T23" s="231">
        <f>-'Table 5C1E-LFNO'!L23</f>
        <v>0</v>
      </c>
      <c r="U23" s="231">
        <f>-'Table 5C1F-Lake Charles Charter'!L23</f>
        <v>0</v>
      </c>
      <c r="V23" s="231">
        <f>-'Table 5C1G-JS Clark Academy'!L23</f>
        <v>0</v>
      </c>
      <c r="W23" s="231">
        <f>-'Table 5C1H-Southwest LA Charter'!L23</f>
        <v>0</v>
      </c>
      <c r="X23" s="231">
        <f>-'Table 5C1I-LA Key Academy'!L23</f>
        <v>-589358.20603058278</v>
      </c>
      <c r="Y23" s="231">
        <f>-'Table 5C1J-Jefferson Chamber'!L23</f>
        <v>0</v>
      </c>
      <c r="Z23" s="231">
        <f>-'Table 5C1K-Tallulah Charter'!L23</f>
        <v>0</v>
      </c>
      <c r="AA23" s="231">
        <f>-'Table 5C1L-Northshore Charter'!L23</f>
        <v>0</v>
      </c>
      <c r="AB23" s="231">
        <f>-'Table 5C1M-B.R. Charter'!L23</f>
        <v>-2480302.5561216399</v>
      </c>
      <c r="AC23" s="231">
        <f>-'Table 5C1N-Delta Charter'!L23</f>
        <v>0</v>
      </c>
      <c r="AD23" s="231">
        <f>-('Table 5C2 - LA Virtual Admy'!M23+'Table 5C2 - LA Virtual Admy'!I23)</f>
        <v>-420047.88041119615</v>
      </c>
      <c r="AE23" s="231">
        <f>-('Table 5C3 - LA Connections EBR'!M23+'Table 5C3 - LA Connections EBR'!I23)</f>
        <v>-588316.93711533432</v>
      </c>
      <c r="AF23" s="231">
        <f t="shared" si="23"/>
        <v>-14042969.466425313</v>
      </c>
      <c r="AG23" s="231">
        <f>+'Table 4 Level 4'!E21</f>
        <v>294000</v>
      </c>
      <c r="AH23" s="231">
        <f>+'Table 4 Level 4'!O21</f>
        <v>432458</v>
      </c>
      <c r="AI23" s="984">
        <f t="shared" si="24"/>
        <v>169296517</v>
      </c>
      <c r="AJ23" s="231">
        <f>4*'[2]Table 2_State Distrib and Adjs'!AL23+(2*'[3]Table 2_State Distrib and Adjs'!AL23)+(2*'[4]Table 2_State Distrib and Adjs'!AL23)</f>
        <v>112204874</v>
      </c>
      <c r="AK23" s="231">
        <f t="shared" si="30"/>
        <v>57091643</v>
      </c>
      <c r="AL23" s="231">
        <f t="shared" si="25"/>
        <v>14272911</v>
      </c>
      <c r="AM23" s="231">
        <f>+'Table 4 Level 4'!J21</f>
        <v>46000</v>
      </c>
      <c r="AN23" s="231">
        <f>+'Table 4 Level 4'!L21</f>
        <v>145894</v>
      </c>
      <c r="AO23" s="231">
        <f>+'Table 4 Level 4'!M21</f>
        <v>52763</v>
      </c>
      <c r="AP23" s="984">
        <f t="shared" si="31"/>
        <v>169541174</v>
      </c>
      <c r="AQ23" s="42"/>
    </row>
    <row r="24" spans="1:43" ht="14.45" customHeight="1">
      <c r="A24" s="228">
        <v>18</v>
      </c>
      <c r="B24" s="229" t="s">
        <v>90</v>
      </c>
      <c r="C24" s="231">
        <f>'Table 3 Levels 1&amp;2'!AO21</f>
        <v>7567729.0208999999</v>
      </c>
      <c r="D24" s="231">
        <v>-13315.735318244937</v>
      </c>
      <c r="E24" s="231">
        <v>1145.3743206417093</v>
      </c>
      <c r="F24" s="231">
        <f t="shared" si="26"/>
        <v>-12170.360997603228</v>
      </c>
      <c r="G24" s="231">
        <f t="shared" si="22"/>
        <v>0</v>
      </c>
      <c r="H24" s="231">
        <f t="shared" si="27"/>
        <v>-12170.360997603228</v>
      </c>
      <c r="I24" s="231">
        <f>'[1]October midyear adj'!K21</f>
        <v>-50403.523450333014</v>
      </c>
      <c r="J24" s="231">
        <f>'[1]February midyear adj'!K21</f>
        <v>-28802.013400190292</v>
      </c>
      <c r="K24" s="231">
        <f t="shared" si="28"/>
        <v>-79205.536850523305</v>
      </c>
      <c r="L24" s="231">
        <f>'[1]Oct midyear Madison Prep'!K21+'[1]Oct midyear DArbonne'!K21+'[1]Oct midyear Intl_VIBE'!K21+'[1]Oct midyear NOMMA'!K21+'[1]Oct midyear LFNO'!K21+'[1]Oct midyear Lake Charles Chtr'!K21+'[1]Oct midyear JS Clark'!K21+'[1]Oct midyear Southwest'!K21+'[1]Oct midyear LA Key'!K21+'[1]Oct midyear Jefferson Cham'!K21+'[1]Oct midyear Tallulah'!K21+'[1]Oct midyear Northshore'!K21+'[1]Oct midyear B.R. Charter'!K21+'[1]Oct midyear Delta'!K21+'[1]Oct midyear LAVCA'!K21+'[1]Oct midyear LA Conn'!K21</f>
        <v>25921.812060171262</v>
      </c>
      <c r="M24" s="231">
        <f>'[1]Feb midyear Madison Prep'!K21+'[1]Feb midyear DArbonne'!K21+'[1]Feb midyear Intl_VIBE'!K21+'[1]Feb midyear NOMMA'!K21+'[1]Feb midyear LFNO'!K21+'[1]Feb midyear Lake Charles Chtr'!K21+'[1]Feb midyear JS Clark'!K21+'[1]Feb midyear Southwest'!K21+'[1]Feb midyear LA Key'!K21+'[1]Feb midyear Jefferson Cham'!K21+'[1]Feb midyear Tallulah'!K21+'[1]Feb midyear Northshore'!K21+'[1]Feb midyear B.R. Charter'!K21+'[1]Feb midyear Delta'!K21+'[1]Feb midyear LAVCA'!K21+'[1]Feb midyear LA Conn'!K21</f>
        <v>6480.4530150428154</v>
      </c>
      <c r="N24" s="231">
        <f t="shared" si="29"/>
        <v>32402.265075214076</v>
      </c>
      <c r="O24" s="231">
        <v>0</v>
      </c>
      <c r="P24" s="231">
        <f>-'Table 5C1A-Madison Prep'!L24</f>
        <v>0</v>
      </c>
      <c r="Q24" s="231">
        <f>-'Table 5C1B-DArbonne'!L24</f>
        <v>0</v>
      </c>
      <c r="R24" s="231">
        <f>-'Table 5C1C-Intl_VIBE'!L24</f>
        <v>0</v>
      </c>
      <c r="S24" s="231">
        <f>-'Table 5C1D-NOMMA'!L24</f>
        <v>0</v>
      </c>
      <c r="T24" s="231">
        <f>-'Table 5C1E-LFNO'!L24</f>
        <v>0</v>
      </c>
      <c r="U24" s="231">
        <f>-'Table 5C1F-Lake Charles Charter'!L24</f>
        <v>0</v>
      </c>
      <c r="V24" s="231">
        <f>-'Table 5C1G-JS Clark Academy'!L24</f>
        <v>0</v>
      </c>
      <c r="W24" s="231">
        <f>-'Table 5C1H-Southwest LA Charter'!L24</f>
        <v>0</v>
      </c>
      <c r="X24" s="231">
        <f>-'Table 5C1I-LA Key Academy'!L24</f>
        <v>0</v>
      </c>
      <c r="Y24" s="231">
        <f>-'Table 5C1J-Jefferson Chamber'!L24</f>
        <v>0</v>
      </c>
      <c r="Z24" s="231">
        <f>-'Table 5C1K-Tallulah Charter'!L24</f>
        <v>0</v>
      </c>
      <c r="AA24" s="231">
        <f>-'Table 5C1L-Northshore Charter'!L24</f>
        <v>0</v>
      </c>
      <c r="AB24" s="231">
        <f>-'Table 5C1M-B.R. Charter'!L24</f>
        <v>0</v>
      </c>
      <c r="AC24" s="231">
        <f>-'Table 5C1N-Delta Charter'!L24</f>
        <v>0</v>
      </c>
      <c r="AD24" s="231">
        <f>-('Table 5C2 - LA Virtual Admy'!M24+'Table 5C2 - LA Virtual Admy'!I24)</f>
        <v>-34562.416080228344</v>
      </c>
      <c r="AE24" s="231">
        <f>-('Table 5C3 - LA Connections EBR'!M24+'Table 5C3 - LA Connections EBR'!I24)</f>
        <v>-19441.359045128447</v>
      </c>
      <c r="AF24" s="231">
        <f t="shared" si="23"/>
        <v>-54003.775125356791</v>
      </c>
      <c r="AG24" s="231">
        <f>+'Table 4 Level 4'!E22</f>
        <v>21000</v>
      </c>
      <c r="AH24" s="231">
        <f>+'Table 4 Level 4'!O22</f>
        <v>11154</v>
      </c>
      <c r="AI24" s="984">
        <f t="shared" si="24"/>
        <v>7486906</v>
      </c>
      <c r="AJ24" s="231">
        <f>4*'[2]Table 2_State Distrib and Adjs'!AL24+(2*'[3]Table 2_State Distrib and Adjs'!AL24)+(2*'[4]Table 2_State Distrib and Adjs'!AL24)</f>
        <v>5044074</v>
      </c>
      <c r="AK24" s="231">
        <f t="shared" si="30"/>
        <v>2442832</v>
      </c>
      <c r="AL24" s="231">
        <f t="shared" si="25"/>
        <v>610708</v>
      </c>
      <c r="AM24" s="231">
        <f>+'Table 4 Level 4'!J22</f>
        <v>0</v>
      </c>
      <c r="AN24" s="231">
        <f>+'Table 4 Level 4'!L22</f>
        <v>25000</v>
      </c>
      <c r="AO24" s="231">
        <f>+'Table 4 Level 4'!M22</f>
        <v>0</v>
      </c>
      <c r="AP24" s="984">
        <f t="shared" si="31"/>
        <v>7511906</v>
      </c>
      <c r="AQ24" s="42"/>
    </row>
    <row r="25" spans="1:43" ht="14.45" customHeight="1">
      <c r="A25" s="228">
        <v>19</v>
      </c>
      <c r="B25" s="229" t="s">
        <v>91</v>
      </c>
      <c r="C25" s="231">
        <f>'Table 3 Levels 1&amp;2'!AO22</f>
        <v>11873640.554879999</v>
      </c>
      <c r="D25" s="231">
        <v>0</v>
      </c>
      <c r="E25" s="231">
        <v>39718.999887999147</v>
      </c>
      <c r="F25" s="231">
        <f t="shared" si="26"/>
        <v>39718.999887999147</v>
      </c>
      <c r="G25" s="231">
        <f t="shared" si="22"/>
        <v>39718.999887999147</v>
      </c>
      <c r="H25" s="231">
        <f t="shared" si="27"/>
        <v>0</v>
      </c>
      <c r="I25" s="231">
        <f>'[1]October midyear adj'!K22</f>
        <v>0</v>
      </c>
      <c r="J25" s="231">
        <f>'[1]February midyear adj'!K22</f>
        <v>15549.555467365113</v>
      </c>
      <c r="K25" s="231">
        <f t="shared" si="28"/>
        <v>15549.555467365113</v>
      </c>
      <c r="L25" s="231">
        <f>'[1]Oct midyear Madison Prep'!K22+'[1]Oct midyear DArbonne'!K22+'[1]Oct midyear Intl_VIBE'!K22+'[1]Oct midyear NOMMA'!K22+'[1]Oct midyear LFNO'!K22+'[1]Oct midyear Lake Charles Chtr'!K22+'[1]Oct midyear JS Clark'!K22+'[1]Oct midyear Southwest'!K22+'[1]Oct midyear LA Key'!K22+'[1]Oct midyear Jefferson Cham'!K22+'[1]Oct midyear Tallulah'!K22+'[1]Oct midyear Northshore'!K22+'[1]Oct midyear B.R. Charter'!K22+'[1]Oct midyear Delta'!K22+'[1]Oct midyear LAVCA'!K22+'[1]Oct midyear LA Conn'!K22</f>
        <v>27989.199841257199</v>
      </c>
      <c r="M25" s="231">
        <f>'[1]Feb midyear Madison Prep'!K22+'[1]Feb midyear DArbonne'!K22+'[1]Feb midyear Intl_VIBE'!K22+'[1]Feb midyear NOMMA'!K22+'[1]Feb midyear LFNO'!K22+'[1]Feb midyear Lake Charles Chtr'!K22+'[1]Feb midyear JS Clark'!K22+'[1]Feb midyear Southwest'!K22+'[1]Feb midyear LA Key'!K22+'[1]Feb midyear Jefferson Cham'!K22+'[1]Feb midyear Tallulah'!K22+'[1]Feb midyear Northshore'!K22+'[1]Feb midyear B.R. Charter'!K22+'[1]Feb midyear Delta'!K22+'[1]Feb midyear LAVCA'!K22+'[1]Feb midyear LA Conn'!K22</f>
        <v>-14616.582139323205</v>
      </c>
      <c r="N25" s="231">
        <f t="shared" si="29"/>
        <v>13372.617701933994</v>
      </c>
      <c r="O25" s="231">
        <v>0</v>
      </c>
      <c r="P25" s="231">
        <f>-'Table 5C1A-Madison Prep'!L25</f>
        <v>0</v>
      </c>
      <c r="Q25" s="231">
        <f>-'Table 5C1B-DArbonne'!L25</f>
        <v>0</v>
      </c>
      <c r="R25" s="231">
        <f>-'Table 5C1C-Intl_VIBE'!L25</f>
        <v>0</v>
      </c>
      <c r="S25" s="231">
        <f>-'Table 5C1D-NOMMA'!L25</f>
        <v>0</v>
      </c>
      <c r="T25" s="231">
        <f>-'Table 5C1E-LFNO'!L25</f>
        <v>0</v>
      </c>
      <c r="U25" s="231">
        <f>-'Table 5C1F-Lake Charles Charter'!L25</f>
        <v>0</v>
      </c>
      <c r="V25" s="231">
        <f>-'Table 5C1G-JS Clark Academy'!L25</f>
        <v>0</v>
      </c>
      <c r="W25" s="231">
        <f>-'Table 5C1H-Southwest LA Charter'!L25</f>
        <v>0</v>
      </c>
      <c r="X25" s="231">
        <f>-'Table 5C1I-LA Key Academy'!L25</f>
        <v>-12439.64437389209</v>
      </c>
      <c r="Y25" s="231">
        <f>-'Table 5C1J-Jefferson Chamber'!L25</f>
        <v>0</v>
      </c>
      <c r="Z25" s="231">
        <f>-'Table 5C1K-Tallulah Charter'!L25</f>
        <v>0</v>
      </c>
      <c r="AA25" s="231">
        <f>-'Table 5C1L-Northshore Charter'!L25</f>
        <v>0</v>
      </c>
      <c r="AB25" s="231">
        <f>-'Table 5C1M-B.R. Charter'!L25</f>
        <v>-12439.644373892088</v>
      </c>
      <c r="AC25" s="231">
        <f>-'Table 5C1N-Delta Charter'!L25</f>
        <v>0</v>
      </c>
      <c r="AD25" s="231">
        <f>-('Table 5C2 - LA Virtual Admy'!M25+'Table 5C2 - LA Virtual Admy'!I25)</f>
        <v>-87077.510617244625</v>
      </c>
      <c r="AE25" s="231">
        <f>-('Table 5C3 - LA Connections EBR'!M25+'Table 5C3 - LA Connections EBR'!I25)</f>
        <v>-56911.373010556301</v>
      </c>
      <c r="AF25" s="231">
        <f t="shared" si="23"/>
        <v>-168868.1723755851</v>
      </c>
      <c r="AG25" s="231">
        <f>+'Table 4 Level 4'!E23</f>
        <v>0</v>
      </c>
      <c r="AH25" s="231">
        <f>+'Table 4 Level 4'!O23</f>
        <v>19890</v>
      </c>
      <c r="AI25" s="984">
        <f t="shared" si="24"/>
        <v>11793304</v>
      </c>
      <c r="AJ25" s="231">
        <f>4*'[2]Table 2_State Distrib and Adjs'!AL25+(2*'[3]Table 2_State Distrib and Adjs'!AL25)+(2*'[4]Table 2_State Distrib and Adjs'!AL25)</f>
        <v>7851838</v>
      </c>
      <c r="AK25" s="231">
        <f t="shared" si="30"/>
        <v>3941466</v>
      </c>
      <c r="AL25" s="231">
        <f t="shared" si="25"/>
        <v>985367</v>
      </c>
      <c r="AM25" s="231">
        <f>+'Table 4 Level 4'!J23</f>
        <v>0</v>
      </c>
      <c r="AN25" s="231">
        <f>+'Table 4 Level 4'!L23</f>
        <v>25000</v>
      </c>
      <c r="AO25" s="231">
        <f>+'Table 4 Level 4'!M23</f>
        <v>37028</v>
      </c>
      <c r="AP25" s="984">
        <f t="shared" si="31"/>
        <v>11855332</v>
      </c>
      <c r="AQ25" s="42"/>
    </row>
    <row r="26" spans="1:43" ht="14.45" customHeight="1">
      <c r="A26" s="3">
        <v>20</v>
      </c>
      <c r="B26" s="7" t="s">
        <v>92</v>
      </c>
      <c r="C26" s="10">
        <f>'Table 3 Levels 1&amp;2'!AO23</f>
        <v>34331896.176479995</v>
      </c>
      <c r="D26" s="10">
        <v>0</v>
      </c>
      <c r="E26" s="10">
        <v>0</v>
      </c>
      <c r="F26" s="10">
        <f t="shared" si="26"/>
        <v>0</v>
      </c>
      <c r="G26" s="10">
        <f t="shared" si="22"/>
        <v>0</v>
      </c>
      <c r="H26" s="10">
        <f t="shared" si="27"/>
        <v>0</v>
      </c>
      <c r="I26" s="10">
        <f>'[1]October midyear adj'!K23</f>
        <v>363610.78970648447</v>
      </c>
      <c r="J26" s="10">
        <f>'[1]February midyear adj'!K23</f>
        <v>-87970.352348343018</v>
      </c>
      <c r="K26" s="10">
        <f t="shared" si="28"/>
        <v>275640.43735814147</v>
      </c>
      <c r="L26" s="10">
        <f>'[1]Oct midyear Madison Prep'!K23+'[1]Oct midyear DArbonne'!K23+'[1]Oct midyear Intl_VIBE'!K23+'[1]Oct midyear NOMMA'!K23+'[1]Oct midyear LFNO'!K23+'[1]Oct midyear Lake Charles Chtr'!K23+'[1]Oct midyear JS Clark'!K23+'[1]Oct midyear Southwest'!K23+'[1]Oct midyear LA Key'!K23+'[1]Oct midyear Jefferson Cham'!K23+'[1]Oct midyear Tallulah'!K23+'[1]Oct midyear Northshore'!K23+'[1]Oct midyear B.R. Charter'!K23+'[1]Oct midyear Delta'!K23+'[1]Oct midyear LAVCA'!K23+'[1]Oct midyear LA Conn'!K23</f>
        <v>0</v>
      </c>
      <c r="M26" s="10">
        <f>'[1]Feb midyear Madison Prep'!K23+'[1]Feb midyear DArbonne'!K23+'[1]Feb midyear Intl_VIBE'!K23+'[1]Feb midyear NOMMA'!K23+'[1]Feb midyear LFNO'!K23+'[1]Feb midyear Lake Charles Chtr'!K23+'[1]Feb midyear JS Clark'!K23+'[1]Feb midyear Southwest'!K23+'[1]Feb midyear LA Key'!K23+'[1]Feb midyear Jefferson Cham'!K23+'[1]Feb midyear Tallulah'!K23+'[1]Feb midyear Northshore'!K23+'[1]Feb midyear B.R. Charter'!K23+'[1]Feb midyear Delta'!K23+'[1]Feb midyear LAVCA'!K23+'[1]Feb midyear LA Conn'!K23</f>
        <v>7917.331711350872</v>
      </c>
      <c r="N26" s="10">
        <f t="shared" si="29"/>
        <v>7917.331711350872</v>
      </c>
      <c r="O26" s="10">
        <v>0</v>
      </c>
      <c r="P26" s="10">
        <f>-'Table 5C1A-Madison Prep'!L26</f>
        <v>0</v>
      </c>
      <c r="Q26" s="10">
        <f>-'Table 5C1B-DArbonne'!L26</f>
        <v>0</v>
      </c>
      <c r="R26" s="10">
        <f>-'Table 5C1C-Intl_VIBE'!L26</f>
        <v>0</v>
      </c>
      <c r="S26" s="10">
        <f>-'Table 5C1D-NOMMA'!L26</f>
        <v>0</v>
      </c>
      <c r="T26" s="10">
        <f>-'Table 5C1E-LFNO'!L26</f>
        <v>0</v>
      </c>
      <c r="U26" s="10">
        <f>-'Table 5C1F-Lake Charles Charter'!L26</f>
        <v>0</v>
      </c>
      <c r="V26" s="10">
        <f>-'Table 5C1G-JS Clark Academy'!L26</f>
        <v>0</v>
      </c>
      <c r="W26" s="10">
        <f>-'Table 5C1H-Southwest LA Charter'!L26</f>
        <v>0</v>
      </c>
      <c r="X26" s="10">
        <f>-'Table 5C1I-LA Key Academy'!L26</f>
        <v>0</v>
      </c>
      <c r="Y26" s="10">
        <f>-'Table 5C1J-Jefferson Chamber'!L26</f>
        <v>0</v>
      </c>
      <c r="Z26" s="10">
        <f>-'Table 5C1K-Tallulah Charter'!L26</f>
        <v>0</v>
      </c>
      <c r="AA26" s="10">
        <f>-'Table 5C1L-Northshore Charter'!L26</f>
        <v>0</v>
      </c>
      <c r="AB26" s="10">
        <f>-'Table 5C1M-B.R. Charter'!L26</f>
        <v>0</v>
      </c>
      <c r="AC26" s="10">
        <f>-'Table 5C1N-Delta Charter'!L26</f>
        <v>0</v>
      </c>
      <c r="AD26" s="10">
        <f>-('Table 5C2 - LA Virtual Admy'!M26+'Table 5C2 - LA Virtual Admy'!I26)</f>
        <v>-49556.631822899901</v>
      </c>
      <c r="AE26" s="10">
        <f>-('Table 5C3 - LA Connections EBR'!M26+'Table 5C3 - LA Connections EBR'!I26)</f>
        <v>-40466.362080237785</v>
      </c>
      <c r="AF26" s="10">
        <f t="shared" si="23"/>
        <v>-90022.993903137685</v>
      </c>
      <c r="AG26" s="10">
        <f>+'Table 4 Level 4'!E24</f>
        <v>0</v>
      </c>
      <c r="AH26" s="10">
        <f>+'Table 4 Level 4'!O24</f>
        <v>62868</v>
      </c>
      <c r="AI26" s="985">
        <f t="shared" si="24"/>
        <v>34588299</v>
      </c>
      <c r="AJ26" s="10">
        <f>4*'[2]Table 2_State Distrib and Adjs'!AL26+(2*'[3]Table 2_State Distrib and Adjs'!AL26)+(2*'[4]Table 2_State Distrib and Adjs'!AL26)</f>
        <v>22875106</v>
      </c>
      <c r="AK26" s="10">
        <f t="shared" si="30"/>
        <v>11713193</v>
      </c>
      <c r="AL26" s="10">
        <f t="shared" si="25"/>
        <v>2928298</v>
      </c>
      <c r="AM26" s="10">
        <f>+'Table 4 Level 4'!J24</f>
        <v>0</v>
      </c>
      <c r="AN26" s="10">
        <f>+'Table 4 Level 4'!L24</f>
        <v>61642</v>
      </c>
      <c r="AO26" s="10">
        <f>+'Table 4 Level 4'!M24</f>
        <v>18047</v>
      </c>
      <c r="AP26" s="985">
        <f t="shared" si="31"/>
        <v>34667988</v>
      </c>
      <c r="AQ26" s="42"/>
    </row>
    <row r="27" spans="1:43" ht="14.45" customHeight="1">
      <c r="A27" s="224">
        <v>21</v>
      </c>
      <c r="B27" s="225" t="s">
        <v>93</v>
      </c>
      <c r="C27" s="227">
        <f>'Table 3 Levels 1&amp;2'!AO24</f>
        <v>19435467.882720001</v>
      </c>
      <c r="D27" s="227">
        <v>0</v>
      </c>
      <c r="E27" s="227">
        <v>-871.63440499670003</v>
      </c>
      <c r="F27" s="227">
        <f t="shared" si="26"/>
        <v>-871.63440499670003</v>
      </c>
      <c r="G27" s="227">
        <f t="shared" si="22"/>
        <v>0</v>
      </c>
      <c r="H27" s="227">
        <f t="shared" si="27"/>
        <v>-871.63440499670003</v>
      </c>
      <c r="I27" s="227">
        <f>'[1]October midyear adj'!K24</f>
        <v>-274398.82341305783</v>
      </c>
      <c r="J27" s="227">
        <f>'[1]February midyear adj'!K24</f>
        <v>-73619.19652545455</v>
      </c>
      <c r="K27" s="227">
        <f t="shared" si="28"/>
        <v>-348018.01993851236</v>
      </c>
      <c r="L27" s="227">
        <f>'[1]Oct midyear Madison Prep'!K24+'[1]Oct midyear DArbonne'!K24+'[1]Oct midyear Intl_VIBE'!K24+'[1]Oct midyear NOMMA'!K24+'[1]Oct midyear LFNO'!K24+'[1]Oct midyear Lake Charles Chtr'!K24+'[1]Oct midyear JS Clark'!K24+'[1]Oct midyear Southwest'!K24+'[1]Oct midyear LA Key'!K24+'[1]Oct midyear Jefferson Cham'!K24+'[1]Oct midyear Tallulah'!K24+'[1]Oct midyear Northshore'!K24+'[1]Oct midyear B.R. Charter'!K24+'[1]Oct midyear Delta'!K24+'[1]Oct midyear LAVCA'!K24+'[1]Oct midyear LA Conn'!K24</f>
        <v>42163.721646396698</v>
      </c>
      <c r="M27" s="227">
        <f>'[1]Feb midyear Madison Prep'!K24+'[1]Feb midyear DArbonne'!K24+'[1]Feb midyear Intl_VIBE'!K24+'[1]Feb midyear NOMMA'!K24+'[1]Feb midyear LFNO'!K24+'[1]Feb midyear Lake Charles Chtr'!K24+'[1]Feb midyear JS Clark'!K24+'[1]Feb midyear Southwest'!K24+'[1]Feb midyear LA Key'!K24+'[1]Feb midyear Jefferson Cham'!K24+'[1]Feb midyear Tallulah'!K24+'[1]Feb midyear Northshore'!K24+'[1]Feb midyear B.R. Charter'!K24+'[1]Feb midyear Delta'!K24+'[1]Feb midyear LAVCA'!K24+'[1]Feb midyear LA Conn'!K24</f>
        <v>3011.6944033140499</v>
      </c>
      <c r="N27" s="227">
        <f t="shared" si="29"/>
        <v>45175.416049710751</v>
      </c>
      <c r="O27" s="227">
        <v>0</v>
      </c>
      <c r="P27" s="227">
        <f>-'Table 5C1A-Madison Prep'!L27</f>
        <v>0</v>
      </c>
      <c r="Q27" s="227">
        <f>-'Table 5C1B-DArbonne'!L27</f>
        <v>0</v>
      </c>
      <c r="R27" s="227">
        <f>-'Table 5C1C-Intl_VIBE'!L27</f>
        <v>0</v>
      </c>
      <c r="S27" s="227">
        <f>-'Table 5C1D-NOMMA'!L27</f>
        <v>0</v>
      </c>
      <c r="T27" s="227">
        <f>-'Table 5C1E-LFNO'!L27</f>
        <v>0</v>
      </c>
      <c r="U27" s="227">
        <f>-'Table 5C1F-Lake Charles Charter'!L27</f>
        <v>0</v>
      </c>
      <c r="V27" s="227">
        <f>-'Table 5C1G-JS Clark Academy'!L27</f>
        <v>0</v>
      </c>
      <c r="W27" s="227">
        <f>-'Table 5C1H-Southwest LA Charter'!L27</f>
        <v>0</v>
      </c>
      <c r="X27" s="227">
        <f>-'Table 5C1I-LA Key Academy'!L27</f>
        <v>0</v>
      </c>
      <c r="Y27" s="227">
        <f>-'Table 5C1J-Jefferson Chamber'!L27</f>
        <v>0</v>
      </c>
      <c r="Z27" s="227">
        <f>-'Table 5C1K-Tallulah Charter'!L27</f>
        <v>0</v>
      </c>
      <c r="AA27" s="227">
        <f>-'Table 5C1L-Northshore Charter'!L27</f>
        <v>0</v>
      </c>
      <c r="AB27" s="227">
        <f>-'Table 5C1M-B.R. Charter'!L27</f>
        <v>0</v>
      </c>
      <c r="AC27" s="227">
        <f>-'Table 5C1N-Delta Charter'!L27</f>
        <v>-13385.308459173553</v>
      </c>
      <c r="AD27" s="227">
        <f>-('Table 5C2 - LA Virtual Admy'!M27+'Table 5C2 - LA Virtual Admy'!I27)</f>
        <v>-76296.258217289258</v>
      </c>
      <c r="AE27" s="227">
        <f>-('Table 5C3 - LA Connections EBR'!M27+'Table 5C3 - LA Connections EBR'!I27)</f>
        <v>-49191.008587462813</v>
      </c>
      <c r="AF27" s="227">
        <f t="shared" si="23"/>
        <v>-138872.57526392562</v>
      </c>
      <c r="AG27" s="227">
        <f>+'Table 4 Level 4'!E25</f>
        <v>0</v>
      </c>
      <c r="AH27" s="227">
        <f>+'Table 4 Level 4'!O25</f>
        <v>30290</v>
      </c>
      <c r="AI27" s="983">
        <f t="shared" si="24"/>
        <v>19023171</v>
      </c>
      <c r="AJ27" s="227">
        <f>4*'[2]Table 2_State Distrib and Adjs'!AL27+(2*'[3]Table 2_State Distrib and Adjs'!AL27)+(2*'[4]Table 2_State Distrib and Adjs'!AL27)</f>
        <v>12914128</v>
      </c>
      <c r="AK27" s="227">
        <f t="shared" si="30"/>
        <v>6109043</v>
      </c>
      <c r="AL27" s="227">
        <f t="shared" si="25"/>
        <v>1527261</v>
      </c>
      <c r="AM27" s="227">
        <f>+'Table 4 Level 4'!J25</f>
        <v>0</v>
      </c>
      <c r="AN27" s="227">
        <f>+'Table 4 Level 4'!L25</f>
        <v>25000</v>
      </c>
      <c r="AO27" s="227">
        <f>+'Table 4 Level 4'!M25</f>
        <v>0</v>
      </c>
      <c r="AP27" s="983">
        <f t="shared" si="31"/>
        <v>19048171</v>
      </c>
      <c r="AQ27" s="42"/>
    </row>
    <row r="28" spans="1:43" ht="14.45" customHeight="1">
      <c r="A28" s="228">
        <v>22</v>
      </c>
      <c r="B28" s="229" t="s">
        <v>94</v>
      </c>
      <c r="C28" s="231">
        <f>'Table 3 Levels 1&amp;2'!AO25</f>
        <v>21725893.149716001</v>
      </c>
      <c r="D28" s="231">
        <v>0</v>
      </c>
      <c r="E28" s="231">
        <v>0</v>
      </c>
      <c r="F28" s="231">
        <f t="shared" si="26"/>
        <v>0</v>
      </c>
      <c r="G28" s="231">
        <f t="shared" si="22"/>
        <v>0</v>
      </c>
      <c r="H28" s="231">
        <f t="shared" si="27"/>
        <v>0</v>
      </c>
      <c r="I28" s="231">
        <f>'[1]October midyear adj'!K25</f>
        <v>338711.02906016033</v>
      </c>
      <c r="J28" s="231">
        <f>'[1]February midyear adj'!K25</f>
        <v>-245392.68431909577</v>
      </c>
      <c r="K28" s="231">
        <f t="shared" si="28"/>
        <v>93318.34474106456</v>
      </c>
      <c r="L28" s="231">
        <f>'[1]Oct midyear Madison Prep'!K25+'[1]Oct midyear DArbonne'!K25+'[1]Oct midyear Intl_VIBE'!K25+'[1]Oct midyear NOMMA'!K25+'[1]Oct midyear LFNO'!K25+'[1]Oct midyear Lake Charles Chtr'!K25+'[1]Oct midyear JS Clark'!K25+'[1]Oct midyear Southwest'!K25+'[1]Oct midyear LA Key'!K25+'[1]Oct midyear Jefferson Cham'!K25+'[1]Oct midyear Tallulah'!K25+'[1]Oct midyear Northshore'!K25+'[1]Oct midyear B.R. Charter'!K25+'[1]Oct midyear Delta'!K25+'[1]Oct midyear LAVCA'!K25+'[1]Oct midyear LA Conn'!K25</f>
        <v>49769.783861901116</v>
      </c>
      <c r="M28" s="231">
        <f>'[1]Feb midyear Madison Prep'!K25+'[1]Feb midyear DArbonne'!K25+'[1]Feb midyear Intl_VIBE'!K25+'[1]Feb midyear NOMMA'!K25+'[1]Feb midyear LFNO'!K25+'[1]Feb midyear Lake Charles Chtr'!K25+'[1]Feb midyear JS Clark'!K25+'[1]Feb midyear Southwest'!K25+'[1]Feb midyear LA Key'!K25+'[1]Feb midyear Jefferson Cham'!K25+'[1]Feb midyear Tallulah'!K25+'[1]Feb midyear Northshore'!K25+'[1]Feb midyear B.R. Charter'!K25+'[1]Feb midyear Delta'!K25+'[1]Feb midyear LAVCA'!K25+'[1]Feb midyear LA Conn'!K25</f>
        <v>12442.445965475279</v>
      </c>
      <c r="N28" s="231">
        <f t="shared" si="29"/>
        <v>62212.229827376395</v>
      </c>
      <c r="O28" s="231">
        <v>0</v>
      </c>
      <c r="P28" s="231">
        <f>-'Table 5C1A-Madison Prep'!L28</f>
        <v>0</v>
      </c>
      <c r="Q28" s="231">
        <f>-'Table 5C1B-DArbonne'!L28</f>
        <v>0</v>
      </c>
      <c r="R28" s="231">
        <f>-'Table 5C1C-Intl_VIBE'!L28</f>
        <v>0</v>
      </c>
      <c r="S28" s="231">
        <f>-'Table 5C1D-NOMMA'!L28</f>
        <v>0</v>
      </c>
      <c r="T28" s="231">
        <f>-'Table 5C1E-LFNO'!L28</f>
        <v>0</v>
      </c>
      <c r="U28" s="231">
        <f>-'Table 5C1F-Lake Charles Charter'!L28</f>
        <v>0</v>
      </c>
      <c r="V28" s="231">
        <f>-'Table 5C1G-JS Clark Academy'!L28</f>
        <v>0</v>
      </c>
      <c r="W28" s="231">
        <f>-'Table 5C1H-Southwest LA Charter'!L28</f>
        <v>0</v>
      </c>
      <c r="X28" s="231">
        <f>-'Table 5C1I-LA Key Academy'!L28</f>
        <v>0</v>
      </c>
      <c r="Y28" s="231">
        <f>-'Table 5C1J-Jefferson Chamber'!L28</f>
        <v>0</v>
      </c>
      <c r="Z28" s="231">
        <f>-'Table 5C1K-Tallulah Charter'!L28</f>
        <v>0</v>
      </c>
      <c r="AA28" s="231">
        <f>-'Table 5C1L-Northshore Charter'!L28</f>
        <v>0</v>
      </c>
      <c r="AB28" s="231">
        <f>-'Table 5C1M-B.R. Charter'!L28</f>
        <v>0</v>
      </c>
      <c r="AC28" s="231">
        <f>-'Table 5C1N-Delta Charter'!L28</f>
        <v>0</v>
      </c>
      <c r="AD28" s="231">
        <f>-('Table 5C2 - LA Virtual Admy'!M28+'Table 5C2 - LA Virtual Admy'!I28)</f>
        <v>-73963.428794769716</v>
      </c>
      <c r="AE28" s="231">
        <f>-('Table 5C3 - LA Connections EBR'!M28+'Table 5C3 - LA Connections EBR'!I28)</f>
        <v>-105760.79070653988</v>
      </c>
      <c r="AF28" s="231">
        <f t="shared" si="23"/>
        <v>-179724.21950130959</v>
      </c>
      <c r="AG28" s="231">
        <f>+'Table 4 Level 4'!E26</f>
        <v>0</v>
      </c>
      <c r="AH28" s="231">
        <f>+'Table 4 Level 4'!O26</f>
        <v>35880</v>
      </c>
      <c r="AI28" s="984">
        <f t="shared" si="24"/>
        <v>21737580</v>
      </c>
      <c r="AJ28" s="231">
        <f>4*'[2]Table 2_State Distrib and Adjs'!AL28+(2*'[3]Table 2_State Distrib and Adjs'!AL28)+(2*'[4]Table 2_State Distrib and Adjs'!AL28)</f>
        <v>14429506</v>
      </c>
      <c r="AK28" s="231">
        <f t="shared" si="30"/>
        <v>7308074</v>
      </c>
      <c r="AL28" s="231">
        <f t="shared" si="25"/>
        <v>1827019</v>
      </c>
      <c r="AM28" s="231">
        <f>+'Table 4 Level 4'!J26</f>
        <v>0</v>
      </c>
      <c r="AN28" s="231">
        <f>+'Table 4 Level 4'!L26</f>
        <v>25000</v>
      </c>
      <c r="AO28" s="231">
        <f>+'Table 4 Level 4'!M26</f>
        <v>38361</v>
      </c>
      <c r="AP28" s="984">
        <f t="shared" si="31"/>
        <v>21800941</v>
      </c>
      <c r="AQ28" s="42"/>
    </row>
    <row r="29" spans="1:43" ht="14.45" customHeight="1">
      <c r="A29" s="228">
        <v>23</v>
      </c>
      <c r="B29" s="229" t="s">
        <v>95</v>
      </c>
      <c r="C29" s="231">
        <f>'Table 3 Levels 1&amp;2'!AO26</f>
        <v>77155505.865556002</v>
      </c>
      <c r="D29" s="231">
        <v>0</v>
      </c>
      <c r="E29" s="231">
        <v>0</v>
      </c>
      <c r="F29" s="231">
        <f t="shared" si="26"/>
        <v>0</v>
      </c>
      <c r="G29" s="231">
        <f t="shared" si="22"/>
        <v>0</v>
      </c>
      <c r="H29" s="231">
        <f t="shared" si="27"/>
        <v>0</v>
      </c>
      <c r="I29" s="231">
        <f>'[1]October midyear adj'!K26</f>
        <v>376173.70075546246</v>
      </c>
      <c r="J29" s="231">
        <f>'[1]February midyear adj'!K26</f>
        <v>-339126.29083257599</v>
      </c>
      <c r="K29" s="231">
        <f t="shared" si="28"/>
        <v>37047.409922886465</v>
      </c>
      <c r="L29" s="231">
        <f>'[1]Oct midyear Madison Prep'!K26+'[1]Oct midyear DArbonne'!K26+'[1]Oct midyear Intl_VIBE'!K26+'[1]Oct midyear NOMMA'!K26+'[1]Oct midyear LFNO'!K26+'[1]Oct midyear Lake Charles Chtr'!K26+'[1]Oct midyear JS Clark'!K26+'[1]Oct midyear Southwest'!K26+'[1]Oct midyear LA Key'!K26+'[1]Oct midyear Jefferson Cham'!K26+'[1]Oct midyear Tallulah'!K26+'[1]Oct midyear Northshore'!K26+'[1]Oct midyear B.R. Charter'!K26+'[1]Oct midyear Delta'!K26+'[1]Oct midyear LAVCA'!K26+'[1]Oct midyear LA Conn'!K26</f>
        <v>0</v>
      </c>
      <c r="M29" s="231">
        <f>'[1]Feb midyear Madison Prep'!K26+'[1]Feb midyear DArbonne'!K26+'[1]Feb midyear Intl_VIBE'!K26+'[1]Feb midyear NOMMA'!K26+'[1]Feb midyear LFNO'!K26+'[1]Feb midyear Lake Charles Chtr'!K26+'[1]Feb midyear JS Clark'!K26+'[1]Feb midyear Southwest'!K26+'[1]Feb midyear LA Key'!K26+'[1]Feb midyear Jefferson Cham'!K26+'[1]Feb midyear Tallulah'!K26+'[1]Feb midyear Northshore'!K26+'[1]Feb midyear B.R. Charter'!K26+'[1]Feb midyear Delta'!K26+'[1]Feb midyear LAVCA'!K26+'[1]Feb midyear LA Conn'!K26</f>
        <v>0</v>
      </c>
      <c r="N29" s="231">
        <f t="shared" si="29"/>
        <v>0</v>
      </c>
      <c r="O29" s="231">
        <v>0</v>
      </c>
      <c r="P29" s="231">
        <f>-'Table 5C1A-Madison Prep'!L29</f>
        <v>0</v>
      </c>
      <c r="Q29" s="231">
        <f>-'Table 5C1B-DArbonne'!L29</f>
        <v>0</v>
      </c>
      <c r="R29" s="231">
        <f>-'Table 5C1C-Intl_VIBE'!L29</f>
        <v>0</v>
      </c>
      <c r="S29" s="231">
        <f>-'Table 5C1D-NOMMA'!L29</f>
        <v>0</v>
      </c>
      <c r="T29" s="231">
        <f>-'Table 5C1E-LFNO'!L29</f>
        <v>0</v>
      </c>
      <c r="U29" s="231">
        <f>-'Table 5C1F-Lake Charles Charter'!L29</f>
        <v>0</v>
      </c>
      <c r="V29" s="231">
        <f>-'Table 5C1G-JS Clark Academy'!L29</f>
        <v>0</v>
      </c>
      <c r="W29" s="231">
        <f>-'Table 5C1H-Southwest LA Charter'!L29</f>
        <v>0</v>
      </c>
      <c r="X29" s="231">
        <f>-'Table 5C1I-LA Key Academy'!L29</f>
        <v>0</v>
      </c>
      <c r="Y29" s="231">
        <f>-'Table 5C1J-Jefferson Chamber'!L29</f>
        <v>0</v>
      </c>
      <c r="Z29" s="231">
        <f>-'Table 5C1K-Tallulah Charter'!L29</f>
        <v>0</v>
      </c>
      <c r="AA29" s="231">
        <f>-'Table 5C1L-Northshore Charter'!L29</f>
        <v>0</v>
      </c>
      <c r="AB29" s="231">
        <f>-'Table 5C1M-B.R. Charter'!L29</f>
        <v>0</v>
      </c>
      <c r="AC29" s="231">
        <f>-'Table 5C1N-Delta Charter'!L29</f>
        <v>0</v>
      </c>
      <c r="AD29" s="231">
        <f>-('Table 5C2 - LA Virtual Admy'!M29+'Table 5C2 - LA Virtual Admy'!I29)</f>
        <v>-100597.96694445322</v>
      </c>
      <c r="AE29" s="231">
        <f>-('Table 5C3 - LA Connections EBR'!M29+'Table 5C3 - LA Connections EBR'!I29)</f>
        <v>-144484.89869925717</v>
      </c>
      <c r="AF29" s="231">
        <f t="shared" si="23"/>
        <v>-245082.86564371039</v>
      </c>
      <c r="AG29" s="231">
        <f>+'Table 4 Level 4'!E27</f>
        <v>189000</v>
      </c>
      <c r="AH29" s="231">
        <f>+'Table 4 Level 4'!O27</f>
        <v>150722</v>
      </c>
      <c r="AI29" s="984">
        <f t="shared" si="24"/>
        <v>77287192</v>
      </c>
      <c r="AJ29" s="231">
        <f>4*'[2]Table 2_State Distrib and Adjs'!AL29+(2*'[3]Table 2_State Distrib and Adjs'!AL29)+(2*'[4]Table 2_State Distrib and Adjs'!AL29)</f>
        <v>51500096</v>
      </c>
      <c r="AK29" s="231">
        <f t="shared" si="30"/>
        <v>25787096</v>
      </c>
      <c r="AL29" s="231">
        <f t="shared" si="25"/>
        <v>6446774</v>
      </c>
      <c r="AM29" s="231">
        <f>+'Table 4 Level 4'!J27</f>
        <v>30000</v>
      </c>
      <c r="AN29" s="231">
        <f>+'Table 4 Level 4'!L27</f>
        <v>103530</v>
      </c>
      <c r="AO29" s="231">
        <f>+'Table 4 Level 4'!M27</f>
        <v>55005</v>
      </c>
      <c r="AP29" s="984">
        <f t="shared" si="31"/>
        <v>77475727</v>
      </c>
      <c r="AQ29" s="42"/>
    </row>
    <row r="30" spans="1:43" ht="14.45" customHeight="1">
      <c r="A30" s="228">
        <v>24</v>
      </c>
      <c r="B30" s="229" t="s">
        <v>96</v>
      </c>
      <c r="C30" s="231">
        <f>'Table 3 Levels 1&amp;2'!AO27</f>
        <v>15912057.25</v>
      </c>
      <c r="D30" s="231">
        <v>0</v>
      </c>
      <c r="E30" s="231">
        <v>0</v>
      </c>
      <c r="F30" s="231">
        <f t="shared" si="26"/>
        <v>0</v>
      </c>
      <c r="G30" s="231">
        <f t="shared" si="22"/>
        <v>0</v>
      </c>
      <c r="H30" s="231">
        <f t="shared" si="27"/>
        <v>0</v>
      </c>
      <c r="I30" s="231">
        <f>'[1]October midyear adj'!K27</f>
        <v>-651593.71879764763</v>
      </c>
      <c r="J30" s="231">
        <f>'[1]February midyear adj'!K27</f>
        <v>51988.860542365495</v>
      </c>
      <c r="K30" s="231">
        <f t="shared" si="28"/>
        <v>-599604.85825528216</v>
      </c>
      <c r="L30" s="231">
        <f>'[1]Oct midyear Madison Prep'!K27+'[1]Oct midyear DArbonne'!K27+'[1]Oct midyear Intl_VIBE'!K27+'[1]Oct midyear NOMMA'!K27+'[1]Oct midyear LFNO'!K27+'[1]Oct midyear Lake Charles Chtr'!K27+'[1]Oct midyear JS Clark'!K27+'[1]Oct midyear Southwest'!K27+'[1]Oct midyear LA Key'!K27+'[1]Oct midyear Jefferson Cham'!K27+'[1]Oct midyear Tallulah'!K27+'[1]Oct midyear Northshore'!K27+'[1]Oct midyear B.R. Charter'!K27+'[1]Oct midyear Delta'!K27+'[1]Oct midyear LAVCA'!K27+'[1]Oct midyear LA Conn'!K27</f>
        <v>-2426.1468253103885</v>
      </c>
      <c r="M30" s="231">
        <f>'[1]Feb midyear Madison Prep'!K27+'[1]Feb midyear DArbonne'!K27+'[1]Feb midyear Intl_VIBE'!K27+'[1]Feb midyear NOMMA'!K27+'[1]Feb midyear LFNO'!K27+'[1]Feb midyear Lake Charles Chtr'!K27+'[1]Feb midyear JS Clark'!K27+'[1]Feb midyear Southwest'!K27+'[1]Feb midyear LA Key'!K27+'[1]Feb midyear Jefferson Cham'!K27+'[1]Feb midyear Tallulah'!K27+'[1]Feb midyear Northshore'!K27+'[1]Feb midyear B.R. Charter'!K27+'[1]Feb midyear Delta'!K27+'[1]Feb midyear LAVCA'!K27+'[1]Feb midyear LA Conn'!K27</f>
        <v>-3119.3316325419296</v>
      </c>
      <c r="N30" s="231">
        <f t="shared" si="29"/>
        <v>-5545.4784578523177</v>
      </c>
      <c r="O30" s="231">
        <v>0</v>
      </c>
      <c r="P30" s="231">
        <f>-'Table 5C1A-Madison Prep'!L30</f>
        <v>-3465.9240361576999</v>
      </c>
      <c r="Q30" s="231">
        <f>-'Table 5C1B-DArbonne'!L30</f>
        <v>0</v>
      </c>
      <c r="R30" s="231">
        <f>-'Table 5C1C-Intl_VIBE'!L30</f>
        <v>0</v>
      </c>
      <c r="S30" s="231">
        <f>-'Table 5C1D-NOMMA'!L30</f>
        <v>0</v>
      </c>
      <c r="T30" s="231">
        <f>-'Table 5C1E-LFNO'!L30</f>
        <v>0</v>
      </c>
      <c r="U30" s="231">
        <f>-'Table 5C1F-Lake Charles Charter'!L30</f>
        <v>0</v>
      </c>
      <c r="V30" s="231">
        <f>-'Table 5C1G-JS Clark Academy'!L30</f>
        <v>0</v>
      </c>
      <c r="W30" s="231">
        <f>-'Table 5C1H-Southwest LA Charter'!L30</f>
        <v>0</v>
      </c>
      <c r="X30" s="231">
        <f>-'Table 5C1I-LA Key Academy'!L30</f>
        <v>-25994.430271182748</v>
      </c>
      <c r="Y30" s="231">
        <f>-'Table 5C1J-Jefferson Chamber'!L30</f>
        <v>0</v>
      </c>
      <c r="Z30" s="231">
        <f>-'Table 5C1K-Tallulah Charter'!L30</f>
        <v>0</v>
      </c>
      <c r="AA30" s="231">
        <f>-'Table 5C1L-Northshore Charter'!L30</f>
        <v>0</v>
      </c>
      <c r="AB30" s="231">
        <f>-'Table 5C1M-B.R. Charter'!L30</f>
        <v>-8664.8100903942504</v>
      </c>
      <c r="AC30" s="231">
        <f>-'Table 5C1N-Delta Charter'!L30</f>
        <v>0</v>
      </c>
      <c r="AD30" s="231">
        <f>-('Table 5C2 - LA Virtual Admy'!M30+'Table 5C2 - LA Virtual Admy'!I30)</f>
        <v>-32926.278343498154</v>
      </c>
      <c r="AE30" s="231">
        <f>-('Table 5C3 - LA Connections EBR'!M30+'Table 5C3 - LA Connections EBR'!I30)</f>
        <v>-10051.17970485733</v>
      </c>
      <c r="AF30" s="231">
        <f t="shared" si="23"/>
        <v>-81102.622446090187</v>
      </c>
      <c r="AG30" s="231">
        <f>+'Table 4 Level 4'!E28</f>
        <v>0</v>
      </c>
      <c r="AH30" s="231">
        <f>+'Table 4 Level 4'!O28</f>
        <v>48776</v>
      </c>
      <c r="AI30" s="984">
        <f t="shared" si="24"/>
        <v>15274580</v>
      </c>
      <c r="AJ30" s="231">
        <f>4*'[2]Table 2_State Distrib and Adjs'!AL30+(2*'[3]Table 2_State Distrib and Adjs'!AL30)+(2*'[4]Table 2_State Distrib and Adjs'!AL30)</f>
        <v>10582792</v>
      </c>
      <c r="AK30" s="231">
        <f t="shared" si="30"/>
        <v>4691788</v>
      </c>
      <c r="AL30" s="231">
        <f t="shared" si="25"/>
        <v>1172947</v>
      </c>
      <c r="AM30" s="231">
        <f>+'Table 4 Level 4'!J28</f>
        <v>0</v>
      </c>
      <c r="AN30" s="231">
        <f>+'Table 4 Level 4'!L28</f>
        <v>25000</v>
      </c>
      <c r="AO30" s="231">
        <f>+'Table 4 Level 4'!M28</f>
        <v>0</v>
      </c>
      <c r="AP30" s="984">
        <f t="shared" si="31"/>
        <v>15299580</v>
      </c>
      <c r="AQ30" s="42"/>
    </row>
    <row r="31" spans="1:43" ht="14.45" customHeight="1">
      <c r="A31" s="3">
        <v>25</v>
      </c>
      <c r="B31" s="7" t="s">
        <v>97</v>
      </c>
      <c r="C31" s="10">
        <f>'Table 3 Levels 1&amp;2'!AO28</f>
        <v>11038896.236880081</v>
      </c>
      <c r="D31" s="10">
        <v>0</v>
      </c>
      <c r="E31" s="10">
        <v>0</v>
      </c>
      <c r="F31" s="10">
        <f t="shared" si="26"/>
        <v>0</v>
      </c>
      <c r="G31" s="10">
        <f t="shared" si="22"/>
        <v>0</v>
      </c>
      <c r="H31" s="10">
        <f t="shared" si="27"/>
        <v>0</v>
      </c>
      <c r="I31" s="10">
        <f>'[1]October midyear adj'!K28</f>
        <v>-82055.634467407697</v>
      </c>
      <c r="J31" s="10">
        <f>'[1]February midyear adj'!K28</f>
        <v>-77228.832439913123</v>
      </c>
      <c r="K31" s="10">
        <f t="shared" si="28"/>
        <v>-159284.46690732084</v>
      </c>
      <c r="L31" s="10">
        <f>'[1]Oct midyear Madison Prep'!K28+'[1]Oct midyear DArbonne'!K28+'[1]Oct midyear Intl_VIBE'!K28+'[1]Oct midyear NOMMA'!K28+'[1]Oct midyear LFNO'!K28+'[1]Oct midyear Lake Charles Chtr'!K28+'[1]Oct midyear JS Clark'!K28+'[1]Oct midyear Southwest'!K28+'[1]Oct midyear LA Key'!K28+'[1]Oct midyear Jefferson Cham'!K28+'[1]Oct midyear Tallulah'!K28+'[1]Oct midyear Northshore'!K28+'[1]Oct midyear B.R. Charter'!K28+'[1]Oct midyear Delta'!K28+'[1]Oct midyear LAVCA'!K28+'[1]Oct midyear LA Conn'!K28</f>
        <v>13032.365474235339</v>
      </c>
      <c r="M31" s="10">
        <f>'[1]Feb midyear Madison Prep'!K28+'[1]Feb midyear DArbonne'!K28+'[1]Feb midyear Intl_VIBE'!K28+'[1]Feb midyear NOMMA'!K28+'[1]Feb midyear LFNO'!K28+'[1]Feb midyear Lake Charles Chtr'!K28+'[1]Feb midyear JS Clark'!K28+'[1]Feb midyear Southwest'!K28+'[1]Feb midyear LA Key'!K28+'[1]Feb midyear Jefferson Cham'!K28+'[1]Feb midyear Tallulah'!K28+'[1]Feb midyear Northshore'!K28+'[1]Feb midyear B.R. Charter'!K28+'[1]Feb midyear Delta'!K28+'[1]Feb midyear LAVCA'!K28+'[1]Feb midyear LA Conn'!K28</f>
        <v>2172.0609123725562</v>
      </c>
      <c r="N31" s="10">
        <f t="shared" si="29"/>
        <v>15204.426386607895</v>
      </c>
      <c r="O31" s="10">
        <v>0</v>
      </c>
      <c r="P31" s="10">
        <f>-'Table 5C1A-Madison Prep'!L31</f>
        <v>0</v>
      </c>
      <c r="Q31" s="10">
        <f>-'Table 5C1B-DArbonne'!L31</f>
        <v>0</v>
      </c>
      <c r="R31" s="10">
        <f>-'Table 5C1C-Intl_VIBE'!L31</f>
        <v>0</v>
      </c>
      <c r="S31" s="10">
        <f>-'Table 5C1D-NOMMA'!L31</f>
        <v>0</v>
      </c>
      <c r="T31" s="10">
        <f>-'Table 5C1E-LFNO'!L31</f>
        <v>0</v>
      </c>
      <c r="U31" s="10">
        <f>-'Table 5C1F-Lake Charles Charter'!L31</f>
        <v>0</v>
      </c>
      <c r="V31" s="10">
        <f>-'Table 5C1G-JS Clark Academy'!L31</f>
        <v>0</v>
      </c>
      <c r="W31" s="10">
        <f>-'Table 5C1H-Southwest LA Charter'!L31</f>
        <v>0</v>
      </c>
      <c r="X31" s="10">
        <f>-'Table 5C1I-LA Key Academy'!L31</f>
        <v>0</v>
      </c>
      <c r="Y31" s="10">
        <f>-'Table 5C1J-Jefferson Chamber'!L31</f>
        <v>0</v>
      </c>
      <c r="Z31" s="10">
        <f>-'Table 5C1K-Tallulah Charter'!L31</f>
        <v>0</v>
      </c>
      <c r="AA31" s="10">
        <f>-'Table 5C1L-Northshore Charter'!L31</f>
        <v>0</v>
      </c>
      <c r="AB31" s="10">
        <f>-'Table 5C1M-B.R. Charter'!L31</f>
        <v>0</v>
      </c>
      <c r="AC31" s="10">
        <f>-'Table 5C1N-Delta Charter'!L31</f>
        <v>0</v>
      </c>
      <c r="AD31" s="10">
        <f>-('Table 5C2 - LA Virtual Admy'!M31+'Table 5C2 - LA Virtual Admy'!I31)</f>
        <v>-11342.98476461224</v>
      </c>
      <c r="AE31" s="10">
        <f>-('Table 5C3 - LA Connections EBR'!M31+'Table 5C3 - LA Connections EBR'!I31)</f>
        <v>-13515.045676984795</v>
      </c>
      <c r="AF31" s="10">
        <f t="shared" si="23"/>
        <v>-24858.030441597035</v>
      </c>
      <c r="AG31" s="10">
        <f>+'Table 4 Level 4'!E29</f>
        <v>0</v>
      </c>
      <c r="AH31" s="10">
        <f>+'Table 4 Level 4'!O29</f>
        <v>23634</v>
      </c>
      <c r="AI31" s="985">
        <f t="shared" si="24"/>
        <v>10893592</v>
      </c>
      <c r="AJ31" s="10">
        <f>4*'[2]Table 2_State Distrib and Adjs'!AL31+(2*'[3]Table 2_State Distrib and Adjs'!AL31)+(2*'[4]Table 2_State Distrib and Adjs'!AL31)</f>
        <v>7368584</v>
      </c>
      <c r="AK31" s="10">
        <f t="shared" si="30"/>
        <v>3525008</v>
      </c>
      <c r="AL31" s="10">
        <f t="shared" si="25"/>
        <v>881252</v>
      </c>
      <c r="AM31" s="10">
        <f>+'Table 4 Level 4'!J29</f>
        <v>0</v>
      </c>
      <c r="AN31" s="10">
        <f>+'Table 4 Level 4'!L29</f>
        <v>37604</v>
      </c>
      <c r="AO31" s="10">
        <f>+'Table 4 Level 4'!M29</f>
        <v>16369</v>
      </c>
      <c r="AP31" s="985">
        <f t="shared" si="31"/>
        <v>10947565</v>
      </c>
      <c r="AQ31" s="42"/>
    </row>
    <row r="32" spans="1:43" ht="14.45" customHeight="1">
      <c r="A32" s="224">
        <v>26</v>
      </c>
      <c r="B32" s="225" t="s">
        <v>98</v>
      </c>
      <c r="C32" s="227">
        <f>'Table 3 Levels 1&amp;2'!AO29</f>
        <v>193590913.32130623</v>
      </c>
      <c r="D32" s="227">
        <v>-17854.824159962125</v>
      </c>
      <c r="E32" s="227">
        <v>-304048.78567791218</v>
      </c>
      <c r="F32" s="227">
        <f t="shared" si="26"/>
        <v>-321903.6098378743</v>
      </c>
      <c r="G32" s="227">
        <f t="shared" si="22"/>
        <v>0</v>
      </c>
      <c r="H32" s="227">
        <f t="shared" si="27"/>
        <v>-321903.6098378743</v>
      </c>
      <c r="I32" s="227">
        <f>'[1]October midyear adj'!K29</f>
        <v>5680439.5310770925</v>
      </c>
      <c r="J32" s="227">
        <f>'[1]February midyear adj'!K29</f>
        <v>-232246.02733961106</v>
      </c>
      <c r="K32" s="227">
        <f t="shared" si="28"/>
        <v>5448193.5037374813</v>
      </c>
      <c r="L32" s="227">
        <f>'[1]Oct midyear Madison Prep'!K29+'[1]Oct midyear DArbonne'!K29+'[1]Oct midyear Intl_VIBE'!K29+'[1]Oct midyear NOMMA'!K29+'[1]Oct midyear LFNO'!K29+'[1]Oct midyear Lake Charles Chtr'!K29+'[1]Oct midyear JS Clark'!K29+'[1]Oct midyear Southwest'!K29+'[1]Oct midyear LA Key'!K29+'[1]Oct midyear Jefferson Cham'!K29+'[1]Oct midyear Tallulah'!K29+'[1]Oct midyear Northshore'!K29+'[1]Oct midyear B.R. Charter'!K29+'[1]Oct midyear Delta'!K29+'[1]Oct midyear LAVCA'!K29+'[1]Oct midyear LA Conn'!K29</f>
        <v>798585.42244849761</v>
      </c>
      <c r="M32" s="227">
        <f>'[1]Feb midyear Madison Prep'!K29+'[1]Feb midyear DArbonne'!K29+'[1]Feb midyear Intl_VIBE'!K29+'[1]Feb midyear NOMMA'!K29+'[1]Feb midyear LFNO'!K29+'[1]Feb midyear Lake Charles Chtr'!K29+'[1]Feb midyear JS Clark'!K29+'[1]Feb midyear Southwest'!K29+'[1]Feb midyear LA Key'!K29+'[1]Feb midyear Jefferson Cham'!K29+'[1]Feb midyear Tallulah'!K29+'[1]Feb midyear Northshore'!K29+'[1]Feb midyear B.R. Charter'!K29+'[1]Feb midyear Delta'!K29+'[1]Feb midyear LAVCA'!K29+'[1]Feb midyear LA Conn'!K29</f>
        <v>-18537.068237198313</v>
      </c>
      <c r="N32" s="227">
        <f t="shared" si="29"/>
        <v>780048.35421129933</v>
      </c>
      <c r="O32" s="227">
        <v>0</v>
      </c>
      <c r="P32" s="227">
        <f>-'Table 5C1A-Madison Prep'!L32</f>
        <v>0</v>
      </c>
      <c r="Q32" s="227">
        <f>-'Table 5C1B-DArbonne'!L32</f>
        <v>0</v>
      </c>
      <c r="R32" s="227">
        <f>-'Table 5C1C-Intl_VIBE'!L32</f>
        <v>-325996.71727486688</v>
      </c>
      <c r="S32" s="227">
        <f>-'Table 5C1D-NOMMA'!L32</f>
        <v>-1210236.1791642117</v>
      </c>
      <c r="T32" s="227">
        <f>-'Table 5C1E-LFNO'!L32</f>
        <v>-424008.80220717983</v>
      </c>
      <c r="U32" s="227">
        <f>-'Table 5C1F-Lake Charles Charter'!L32</f>
        <v>0</v>
      </c>
      <c r="V32" s="227">
        <f>-'Table 5C1G-JS Clark Academy'!L32</f>
        <v>0</v>
      </c>
      <c r="W32" s="227">
        <f>-'Table 5C1H-Southwest LA Charter'!L32</f>
        <v>0</v>
      </c>
      <c r="X32" s="227">
        <f>-'Table 5C1I-LA Key Academy'!L32</f>
        <v>0</v>
      </c>
      <c r="Y32" s="227">
        <f>-'Table 5C1J-Jefferson Chamber'!L32</f>
        <v>-419747.40721012279</v>
      </c>
      <c r="Z32" s="227">
        <f>-'Table 5C1K-Tallulah Charter'!L32</f>
        <v>0</v>
      </c>
      <c r="AA32" s="227">
        <f>-'Table 5C1L-Northshore Charter'!L32</f>
        <v>0</v>
      </c>
      <c r="AB32" s="227">
        <f>-'Table 5C1M-B.R. Charter'!L32</f>
        <v>0</v>
      </c>
      <c r="AC32" s="227">
        <f>-'Table 5C1N-Delta Charter'!L32</f>
        <v>0</v>
      </c>
      <c r="AD32" s="227">
        <f>-('Table 5C2 - LA Virtual Admy'!M32+'Table 5C2 - LA Virtual Admy'!I32)</f>
        <v>-719323.47550323559</v>
      </c>
      <c r="AE32" s="227">
        <f>-('Table 5C3 - LA Connections EBR'!M32+'Table 5C3 - LA Connections EBR'!I32)</f>
        <v>-578484.37085049914</v>
      </c>
      <c r="AF32" s="227">
        <f t="shared" si="23"/>
        <v>-3677796.9522101162</v>
      </c>
      <c r="AG32" s="227">
        <f>+'Table 4 Level 4'!E30</f>
        <v>231000</v>
      </c>
      <c r="AH32" s="227">
        <f>+'Table 4 Level 4'!O30</f>
        <v>463424</v>
      </c>
      <c r="AI32" s="983">
        <f t="shared" si="24"/>
        <v>196513879</v>
      </c>
      <c r="AJ32" s="227">
        <f>4*'[2]Table 2_State Distrib and Adjs'!AL32+(2*'[3]Table 2_State Distrib and Adjs'!AL32)+(2*'[4]Table 2_State Distrib and Adjs'!AL32)</f>
        <v>130217342</v>
      </c>
      <c r="AK32" s="227">
        <f t="shared" si="30"/>
        <v>66296537</v>
      </c>
      <c r="AL32" s="227">
        <f t="shared" si="25"/>
        <v>16574134</v>
      </c>
      <c r="AM32" s="227">
        <f>+'Table 4 Level 4'!J30</f>
        <v>10000</v>
      </c>
      <c r="AN32" s="227">
        <f>+'Table 4 Level 4'!L30</f>
        <v>265132</v>
      </c>
      <c r="AO32" s="227">
        <f>+'Table 4 Level 4'!M30</f>
        <v>187457</v>
      </c>
      <c r="AP32" s="983">
        <f t="shared" si="31"/>
        <v>196976468</v>
      </c>
      <c r="AQ32" s="42"/>
    </row>
    <row r="33" spans="1:43" ht="14.45" customHeight="1">
      <c r="A33" s="228">
        <v>27</v>
      </c>
      <c r="B33" s="229" t="s">
        <v>99</v>
      </c>
      <c r="C33" s="231">
        <f>'Table 3 Levels 1&amp;2'!AO30</f>
        <v>36629008.321595043</v>
      </c>
      <c r="D33" s="231">
        <v>0</v>
      </c>
      <c r="E33" s="231">
        <v>0</v>
      </c>
      <c r="F33" s="231">
        <f t="shared" si="26"/>
        <v>0</v>
      </c>
      <c r="G33" s="231">
        <f t="shared" si="22"/>
        <v>0</v>
      </c>
      <c r="H33" s="231">
        <f t="shared" si="27"/>
        <v>0</v>
      </c>
      <c r="I33" s="231">
        <f>'[1]October midyear adj'!K30</f>
        <v>-441861.37411184364</v>
      </c>
      <c r="J33" s="231">
        <f>'[1]February midyear adj'!K30</f>
        <v>38987.768303986202</v>
      </c>
      <c r="K33" s="231">
        <f t="shared" si="28"/>
        <v>-402873.60580785747</v>
      </c>
      <c r="L33" s="231">
        <f>'[1]Oct midyear Madison Prep'!K30+'[1]Oct midyear DArbonne'!K30+'[1]Oct midyear Intl_VIBE'!K30+'[1]Oct midyear NOMMA'!K30+'[1]Oct midyear LFNO'!K30+'[1]Oct midyear Lake Charles Chtr'!K30+'[1]Oct midyear JS Clark'!K30+'[1]Oct midyear Southwest'!K30+'[1]Oct midyear LA Key'!K30+'[1]Oct midyear Jefferson Cham'!K30+'[1]Oct midyear Tallulah'!K30+'[1]Oct midyear Northshore'!K30+'[1]Oct midyear B.R. Charter'!K30+'[1]Oct midyear Delta'!K30+'[1]Oct midyear LAVCA'!K30+'[1]Oct midyear LA Conn'!K30</f>
        <v>-11696.33049119586</v>
      </c>
      <c r="M33" s="231">
        <f>'[1]Feb midyear Madison Prep'!K30+'[1]Feb midyear DArbonne'!K30+'[1]Feb midyear Intl_VIBE'!K30+'[1]Feb midyear NOMMA'!K30+'[1]Feb midyear LFNO'!K30+'[1]Feb midyear Lake Charles Chtr'!K30+'[1]Feb midyear JS Clark'!K30+'[1]Feb midyear Southwest'!K30+'[1]Feb midyear LA Key'!K30+'[1]Feb midyear Jefferson Cham'!K30+'[1]Feb midyear Tallulah'!K30+'[1]Feb midyear Northshore'!K30+'[1]Feb midyear B.R. Charter'!K30+'[1]Feb midyear Delta'!K30+'[1]Feb midyear LAVCA'!K30+'[1]Feb midyear LA Conn'!K30</f>
        <v>0</v>
      </c>
      <c r="N33" s="231">
        <f t="shared" si="29"/>
        <v>-11696.33049119586</v>
      </c>
      <c r="O33" s="231">
        <v>0</v>
      </c>
      <c r="P33" s="231">
        <f>-'Table 5C1A-Madison Prep'!L33</f>
        <v>0</v>
      </c>
      <c r="Q33" s="231">
        <f>-'Table 5C1B-DArbonne'!L33</f>
        <v>0</v>
      </c>
      <c r="R33" s="231">
        <f>-'Table 5C1C-Intl_VIBE'!L33</f>
        <v>0</v>
      </c>
      <c r="S33" s="231">
        <f>-'Table 5C1D-NOMMA'!L33</f>
        <v>0</v>
      </c>
      <c r="T33" s="231">
        <f>-'Table 5C1E-LFNO'!L33</f>
        <v>0</v>
      </c>
      <c r="U33" s="231">
        <f>-'Table 5C1F-Lake Charles Charter'!L33</f>
        <v>0</v>
      </c>
      <c r="V33" s="231">
        <f>-'Table 5C1G-JS Clark Academy'!L33</f>
        <v>0</v>
      </c>
      <c r="W33" s="231">
        <f>-'Table 5C1H-Southwest LA Charter'!L33</f>
        <v>0</v>
      </c>
      <c r="X33" s="231">
        <f>-'Table 5C1I-LA Key Academy'!L33</f>
        <v>0</v>
      </c>
      <c r="Y33" s="231">
        <f>-'Table 5C1J-Jefferson Chamber'!L33</f>
        <v>0</v>
      </c>
      <c r="Z33" s="231">
        <f>-'Table 5C1K-Tallulah Charter'!L33</f>
        <v>0</v>
      </c>
      <c r="AA33" s="231">
        <f>-'Table 5C1L-Northshore Charter'!L33</f>
        <v>0</v>
      </c>
      <c r="AB33" s="231">
        <f>-'Table 5C1M-B.R. Charter'!L33</f>
        <v>0</v>
      </c>
      <c r="AC33" s="231">
        <f>-'Table 5C1N-Delta Charter'!L33</f>
        <v>0</v>
      </c>
      <c r="AD33" s="231">
        <f>-('Table 5C2 - LA Virtual Admy'!M33+'Table 5C2 - LA Virtual Admy'!I33)</f>
        <v>-77975.536607972404</v>
      </c>
      <c r="AE33" s="231">
        <f>-('Table 5C3 - LA Connections EBR'!M33+'Table 5C3 - LA Connections EBR'!I33)</f>
        <v>-20793.476428792641</v>
      </c>
      <c r="AF33" s="231">
        <f t="shared" si="23"/>
        <v>-98769.013036765042</v>
      </c>
      <c r="AG33" s="231">
        <f>+'Table 4 Level 4'!E31</f>
        <v>0</v>
      </c>
      <c r="AH33" s="231">
        <f>+'Table 4 Level 4'!O31</f>
        <v>65182</v>
      </c>
      <c r="AI33" s="984">
        <f t="shared" si="24"/>
        <v>36180851</v>
      </c>
      <c r="AJ33" s="231">
        <f>4*'[2]Table 2_State Distrib and Adjs'!AL33+(2*'[3]Table 2_State Distrib and Adjs'!AL33)+(2*'[4]Table 2_State Distrib and Adjs'!AL33)</f>
        <v>24389152</v>
      </c>
      <c r="AK33" s="231">
        <f t="shared" si="30"/>
        <v>11791699</v>
      </c>
      <c r="AL33" s="231">
        <f t="shared" si="25"/>
        <v>2947925</v>
      </c>
      <c r="AM33" s="231">
        <f>+'Table 4 Level 4'!J31</f>
        <v>0</v>
      </c>
      <c r="AN33" s="231">
        <f>+'Table 4 Level 4'!L31</f>
        <v>25000</v>
      </c>
      <c r="AO33" s="231">
        <f>+'Table 4 Level 4'!M31</f>
        <v>0</v>
      </c>
      <c r="AP33" s="984">
        <f t="shared" si="31"/>
        <v>36205851</v>
      </c>
      <c r="AQ33" s="42"/>
    </row>
    <row r="34" spans="1:43" ht="14.45" customHeight="1">
      <c r="A34" s="228">
        <v>28</v>
      </c>
      <c r="B34" s="229" t="s">
        <v>100</v>
      </c>
      <c r="C34" s="231">
        <f>'Table 3 Levels 1&amp;2'!AO31</f>
        <v>115739998.79606113</v>
      </c>
      <c r="D34" s="231">
        <v>-3920.0961587092897</v>
      </c>
      <c r="E34" s="231">
        <v>41497</v>
      </c>
      <c r="F34" s="231">
        <f t="shared" si="26"/>
        <v>37576.90384129071</v>
      </c>
      <c r="G34" s="231">
        <f t="shared" si="22"/>
        <v>37576.90384129071</v>
      </c>
      <c r="H34" s="231">
        <f t="shared" si="27"/>
        <v>0</v>
      </c>
      <c r="I34" s="231">
        <f>'[1]October midyear adj'!K31</f>
        <v>-3057789.0759561919</v>
      </c>
      <c r="J34" s="231">
        <f>'[1]February midyear adj'!K31</f>
        <v>-109206.75271272114</v>
      </c>
      <c r="K34" s="231">
        <f t="shared" si="28"/>
        <v>-3166995.8286689129</v>
      </c>
      <c r="L34" s="231">
        <f>'[1]Oct midyear Madison Prep'!K31+'[1]Oct midyear DArbonne'!K31+'[1]Oct midyear Intl_VIBE'!K31+'[1]Oct midyear NOMMA'!K31+'[1]Oct midyear LFNO'!K31+'[1]Oct midyear Lake Charles Chtr'!K31+'[1]Oct midyear JS Clark'!K31+'[1]Oct midyear Southwest'!K31+'[1]Oct midyear LA Key'!K31+'[1]Oct midyear Jefferson Cham'!K31+'[1]Oct midyear Tallulah'!K31+'[1]Oct midyear Northshore'!K31+'[1]Oct midyear B.R. Charter'!K31+'[1]Oct midyear Delta'!K31+'[1]Oct midyear LAVCA'!K31+'[1]Oct midyear LA Conn'!K31</f>
        <v>21458.16895407853</v>
      </c>
      <c r="M34" s="231">
        <f>'[1]Feb midyear Madison Prep'!K31+'[1]Feb midyear DArbonne'!K31+'[1]Feb midyear Intl_VIBE'!K31+'[1]Feb midyear NOMMA'!K31+'[1]Feb midyear LFNO'!K31+'[1]Feb midyear Lake Charles Chtr'!K31+'[1]Feb midyear JS Clark'!K31+'[1]Feb midyear Southwest'!K31+'[1]Feb midyear LA Key'!K31+'[1]Feb midyear Jefferson Cham'!K31+'[1]Feb midyear Tallulah'!K31+'[1]Feb midyear Northshore'!K31+'[1]Feb midyear B.R. Charter'!K31+'[1]Feb midyear Delta'!K31+'[1]Feb midyear LAVCA'!K31+'[1]Feb midyear LA Conn'!K31</f>
        <v>39467.703611965888</v>
      </c>
      <c r="N34" s="231">
        <f t="shared" si="29"/>
        <v>60925.872566044418</v>
      </c>
      <c r="O34" s="231">
        <v>0</v>
      </c>
      <c r="P34" s="231">
        <f>-'Table 5C1A-Madison Prep'!L34</f>
        <v>0</v>
      </c>
      <c r="Q34" s="231">
        <f>-'Table 5C1B-DArbonne'!L34</f>
        <v>0</v>
      </c>
      <c r="R34" s="231">
        <f>-'Table 5C1C-Intl_VIBE'!L34</f>
        <v>0</v>
      </c>
      <c r="S34" s="231">
        <f>-'Table 5C1D-NOMMA'!L34</f>
        <v>0</v>
      </c>
      <c r="T34" s="231">
        <f>-'Table 5C1E-LFNO'!L34</f>
        <v>0</v>
      </c>
      <c r="U34" s="231">
        <f>-'Table 5C1F-Lake Charles Charter'!L34</f>
        <v>0</v>
      </c>
      <c r="V34" s="231">
        <f>-'Table 5C1G-JS Clark Academy'!L34</f>
        <v>-3831.8158846568822</v>
      </c>
      <c r="W34" s="231">
        <f>-'Table 5C1H-Southwest LA Charter'!L34</f>
        <v>-1915.9079423284411</v>
      </c>
      <c r="X34" s="231">
        <f>-'Table 5C1I-LA Key Academy'!L34</f>
        <v>0</v>
      </c>
      <c r="Y34" s="231">
        <f>-'Table 5C1J-Jefferson Chamber'!L34</f>
        <v>0</v>
      </c>
      <c r="Z34" s="231">
        <f>-'Table 5C1K-Tallulah Charter'!L34</f>
        <v>0</v>
      </c>
      <c r="AA34" s="231">
        <f>-'Table 5C1L-Northshore Charter'!L34</f>
        <v>0</v>
      </c>
      <c r="AB34" s="231">
        <f>-'Table 5C1M-B.R. Charter'!L34</f>
        <v>-3831.8158846568822</v>
      </c>
      <c r="AC34" s="231">
        <f>-'Table 5C1N-Delta Charter'!L34</f>
        <v>0</v>
      </c>
      <c r="AD34" s="231">
        <f>-('Table 5C2 - LA Virtual Admy'!M34+'Table 5C2 - LA Virtual Admy'!I34)</f>
        <v>-300605.95615133236</v>
      </c>
      <c r="AE34" s="231">
        <f>-('Table 5C3 - LA Connections EBR'!M34+'Table 5C3 - LA Connections EBR'!I34)</f>
        <v>-291026.41643969022</v>
      </c>
      <c r="AF34" s="231">
        <f t="shared" si="23"/>
        <v>-601211.91230266471</v>
      </c>
      <c r="AG34" s="231">
        <f>+'Table 4 Level 4'!E32</f>
        <v>735000</v>
      </c>
      <c r="AH34" s="231">
        <f>+'Table 4 Level 4'!O32</f>
        <v>335556</v>
      </c>
      <c r="AI34" s="984">
        <f t="shared" si="24"/>
        <v>113140850</v>
      </c>
      <c r="AJ34" s="231">
        <f>4*'[2]Table 2_State Distrib and Adjs'!AL34+(2*'[3]Table 2_State Distrib and Adjs'!AL34)+(2*'[4]Table 2_State Distrib and Adjs'!AL34)</f>
        <v>77538566</v>
      </c>
      <c r="AK34" s="231">
        <f t="shared" si="30"/>
        <v>35602284</v>
      </c>
      <c r="AL34" s="231">
        <f t="shared" si="25"/>
        <v>8900571</v>
      </c>
      <c r="AM34" s="231">
        <f>+'Table 4 Level 4'!J32</f>
        <v>104000</v>
      </c>
      <c r="AN34" s="231">
        <f>+'Table 4 Level 4'!L32</f>
        <v>126616</v>
      </c>
      <c r="AO34" s="231">
        <f>+'Table 4 Level 4'!M32</f>
        <v>0</v>
      </c>
      <c r="AP34" s="984">
        <f t="shared" si="31"/>
        <v>113371466</v>
      </c>
      <c r="AQ34" s="42"/>
    </row>
    <row r="35" spans="1:43" ht="14.45" customHeight="1">
      <c r="A35" s="228">
        <v>29</v>
      </c>
      <c r="B35" s="229" t="s">
        <v>101</v>
      </c>
      <c r="C35" s="231">
        <f>'Table 3 Levels 1&amp;2'!AO32</f>
        <v>63571250.598238401</v>
      </c>
      <c r="D35" s="231">
        <v>-25909.043681611831</v>
      </c>
      <c r="E35" s="231">
        <v>-23112.279060519853</v>
      </c>
      <c r="F35" s="231">
        <f t="shared" si="26"/>
        <v>-49021.322742131684</v>
      </c>
      <c r="G35" s="231">
        <f t="shared" si="22"/>
        <v>0</v>
      </c>
      <c r="H35" s="231">
        <f t="shared" si="27"/>
        <v>-49021.322742131684</v>
      </c>
      <c r="I35" s="231">
        <f>'[1]October midyear adj'!K32</f>
        <v>1212806.0527485863</v>
      </c>
      <c r="J35" s="231">
        <f>'[1]February midyear adj'!K32</f>
        <v>-273340.75810053363</v>
      </c>
      <c r="K35" s="231">
        <f t="shared" si="28"/>
        <v>939465.29464805266</v>
      </c>
      <c r="L35" s="231">
        <f>'[1]Oct midyear Madison Prep'!K32+'[1]Oct midyear DArbonne'!K32+'[1]Oct midyear Intl_VIBE'!K32+'[1]Oct midyear NOMMA'!K32+'[1]Oct midyear LFNO'!K32+'[1]Oct midyear Lake Charles Chtr'!K32+'[1]Oct midyear JS Clark'!K32+'[1]Oct midyear Southwest'!K32+'[1]Oct midyear LA Key'!K32+'[1]Oct midyear Jefferson Cham'!K32+'[1]Oct midyear Tallulah'!K32+'[1]Oct midyear Northshore'!K32+'[1]Oct midyear B.R. Charter'!K32+'[1]Oct midyear Delta'!K32+'[1]Oct midyear LAVCA'!K32+'[1]Oct midyear LA Conn'!K32</f>
        <v>65693.661190548417</v>
      </c>
      <c r="M35" s="231">
        <f>'[1]Feb midyear Madison Prep'!K32+'[1]Feb midyear DArbonne'!K32+'[1]Feb midyear Intl_VIBE'!K32+'[1]Feb midyear NOMMA'!K32+'[1]Feb midyear LFNO'!K32+'[1]Feb midyear Lake Charles Chtr'!K32+'[1]Feb midyear JS Clark'!K32+'[1]Feb midyear Southwest'!K32+'[1]Feb midyear LA Key'!K32+'[1]Feb midyear Jefferson Cham'!K32+'[1]Feb midyear Tallulah'!K32+'[1]Feb midyear Northshore'!K32+'[1]Feb midyear B.R. Charter'!K32+'[1]Feb midyear Delta'!K32+'[1]Feb midyear LAVCA'!K32+'[1]Feb midyear LA Conn'!K32</f>
        <v>14470.981311204723</v>
      </c>
      <c r="N35" s="231">
        <f t="shared" si="29"/>
        <v>80164.642501753144</v>
      </c>
      <c r="O35" s="231">
        <v>0</v>
      </c>
      <c r="P35" s="231">
        <f>-'Table 5C1A-Madison Prep'!L35</f>
        <v>0</v>
      </c>
      <c r="Q35" s="231">
        <f>-'Table 5C1B-DArbonne'!L35</f>
        <v>0</v>
      </c>
      <c r="R35" s="231">
        <f>-'Table 5C1C-Intl_VIBE'!L35</f>
        <v>0</v>
      </c>
      <c r="S35" s="231">
        <f>-'Table 5C1D-NOMMA'!L35</f>
        <v>0</v>
      </c>
      <c r="T35" s="231">
        <f>-'Table 5C1E-LFNO'!L35</f>
        <v>0</v>
      </c>
      <c r="U35" s="231">
        <f>-'Table 5C1F-Lake Charles Charter'!L35</f>
        <v>0</v>
      </c>
      <c r="V35" s="231">
        <f>-'Table 5C1G-JS Clark Academy'!L35</f>
        <v>0</v>
      </c>
      <c r="W35" s="231">
        <f>-'Table 5C1H-Southwest LA Charter'!L35</f>
        <v>0</v>
      </c>
      <c r="X35" s="231">
        <f>-'Table 5C1I-LA Key Academy'!L35</f>
        <v>0</v>
      </c>
      <c r="Y35" s="231">
        <f>-'Table 5C1J-Jefferson Chamber'!L35</f>
        <v>0</v>
      </c>
      <c r="Z35" s="231">
        <f>-'Table 5C1K-Tallulah Charter'!L35</f>
        <v>0</v>
      </c>
      <c r="AA35" s="231">
        <f>-'Table 5C1L-Northshore Charter'!L35</f>
        <v>0</v>
      </c>
      <c r="AB35" s="231">
        <f>-'Table 5C1M-B.R. Charter'!L35</f>
        <v>0</v>
      </c>
      <c r="AC35" s="231">
        <f>-'Table 5C1N-Delta Charter'!L35</f>
        <v>0</v>
      </c>
      <c r="AD35" s="231">
        <f>-('Table 5C2 - LA Virtual Admy'!M35+'Table 5C2 - LA Virtual Admy'!I35)</f>
        <v>-161937.17181586238</v>
      </c>
      <c r="AE35" s="231">
        <f>-('Table 5C3 - LA Connections EBR'!M35+'Table 5C3 - LA Connections EBR'!I35)</f>
        <v>-46858.415674377196</v>
      </c>
      <c r="AF35" s="231">
        <f t="shared" si="23"/>
        <v>-208795.58749023959</v>
      </c>
      <c r="AG35" s="231">
        <f>+'Table 4 Level 4'!E33</f>
        <v>651000</v>
      </c>
      <c r="AH35" s="231">
        <f>+'Table 4 Level 4'!O33</f>
        <v>152334</v>
      </c>
      <c r="AI35" s="984">
        <f t="shared" si="24"/>
        <v>65136398</v>
      </c>
      <c r="AJ35" s="231">
        <f>4*'[2]Table 2_State Distrib and Adjs'!AL35+(2*'[3]Table 2_State Distrib and Adjs'!AL35)+(2*'[4]Table 2_State Distrib and Adjs'!AL35)</f>
        <v>42797954</v>
      </c>
      <c r="AK35" s="231">
        <f t="shared" si="30"/>
        <v>22338444</v>
      </c>
      <c r="AL35" s="231">
        <f t="shared" si="25"/>
        <v>5584611</v>
      </c>
      <c r="AM35" s="231">
        <f>+'Table 4 Level 4'!J33</f>
        <v>76000</v>
      </c>
      <c r="AN35" s="231">
        <f>+'Table 4 Level 4'!L33</f>
        <v>95200</v>
      </c>
      <c r="AO35" s="231">
        <f>+'Table 4 Level 4'!M33</f>
        <v>0</v>
      </c>
      <c r="AP35" s="984">
        <f t="shared" si="31"/>
        <v>65307598</v>
      </c>
      <c r="AQ35" s="42"/>
    </row>
    <row r="36" spans="1:43" ht="14.45" customHeight="1">
      <c r="A36" s="3">
        <v>30</v>
      </c>
      <c r="B36" s="7" t="s">
        <v>102</v>
      </c>
      <c r="C36" s="10">
        <f>'Table 3 Levels 1&amp;2'!AO33</f>
        <v>16120242.3312224</v>
      </c>
      <c r="D36" s="10">
        <v>0</v>
      </c>
      <c r="E36" s="10">
        <v>0</v>
      </c>
      <c r="F36" s="10">
        <f t="shared" si="26"/>
        <v>0</v>
      </c>
      <c r="G36" s="10">
        <f t="shared" si="22"/>
        <v>0</v>
      </c>
      <c r="H36" s="10">
        <f t="shared" si="27"/>
        <v>0</v>
      </c>
      <c r="I36" s="10">
        <f>'[1]October midyear adj'!K33</f>
        <v>176355.97363979125</v>
      </c>
      <c r="J36" s="10">
        <f>'[1]February midyear adj'!K33</f>
        <v>35924.365000698221</v>
      </c>
      <c r="K36" s="10">
        <f t="shared" si="28"/>
        <v>212280.33864048947</v>
      </c>
      <c r="L36" s="10">
        <f>'[1]Oct midyear Madison Prep'!K33+'[1]Oct midyear DArbonne'!K33+'[1]Oct midyear Intl_VIBE'!K33+'[1]Oct midyear NOMMA'!K33+'[1]Oct midyear LFNO'!K33+'[1]Oct midyear Lake Charles Chtr'!K33+'[1]Oct midyear JS Clark'!K33+'[1]Oct midyear Southwest'!K33+'[1]Oct midyear LA Key'!K33+'[1]Oct midyear Jefferson Cham'!K33+'[1]Oct midyear Tallulah'!K33+'[1]Oct midyear Northshore'!K33+'[1]Oct midyear B.R. Charter'!K33+'[1]Oct midyear Delta'!K33+'[1]Oct midyear LAVCA'!K33+'[1]Oct midyear LA Conn'!K33</f>
        <v>52906.792091937386</v>
      </c>
      <c r="M36" s="10">
        <f>'[1]Feb midyear Madison Prep'!K33+'[1]Feb midyear DArbonne'!K33+'[1]Feb midyear Intl_VIBE'!K33+'[1]Feb midyear NOMMA'!K33+'[1]Feb midyear LFNO'!K33+'[1]Feb midyear Lake Charles Chtr'!K33+'[1]Feb midyear JS Clark'!K33+'[1]Feb midyear Southwest'!K33+'[1]Feb midyear LA Key'!K33+'[1]Feb midyear Jefferson Cham'!K33+'[1]Feb midyear Tallulah'!K33+'[1]Feb midyear Northshore'!K33+'[1]Feb midyear B.R. Charter'!K33+'[1]Feb midyear Delta'!K33+'[1]Feb midyear LAVCA'!K33+'[1]Feb midyear LA Conn'!K33</f>
        <v>-2939.2662273298538</v>
      </c>
      <c r="N36" s="10">
        <f t="shared" si="29"/>
        <v>49967.525864607531</v>
      </c>
      <c r="O36" s="10">
        <v>0</v>
      </c>
      <c r="P36" s="10">
        <f>-'Table 5C1A-Madison Prep'!L36</f>
        <v>0</v>
      </c>
      <c r="Q36" s="10">
        <f>-'Table 5C1B-DArbonne'!L36</f>
        <v>0</v>
      </c>
      <c r="R36" s="10">
        <f>-'Table 5C1C-Intl_VIBE'!L36</f>
        <v>0</v>
      </c>
      <c r="S36" s="10">
        <f>-'Table 5C1D-NOMMA'!L36</f>
        <v>0</v>
      </c>
      <c r="T36" s="10">
        <f>-'Table 5C1E-LFNO'!L36</f>
        <v>0</v>
      </c>
      <c r="U36" s="10">
        <f>-'Table 5C1F-Lake Charles Charter'!L36</f>
        <v>0</v>
      </c>
      <c r="V36" s="10">
        <f>-'Table 5C1G-JS Clark Academy'!L36</f>
        <v>0</v>
      </c>
      <c r="W36" s="10">
        <f>-'Table 5C1H-Southwest LA Charter'!L36</f>
        <v>0</v>
      </c>
      <c r="X36" s="10">
        <f>-'Table 5C1I-LA Key Academy'!L36</f>
        <v>0</v>
      </c>
      <c r="Y36" s="10">
        <f>-'Table 5C1J-Jefferson Chamber'!L36</f>
        <v>0</v>
      </c>
      <c r="Z36" s="10">
        <f>-'Table 5C1K-Tallulah Charter'!L36</f>
        <v>0</v>
      </c>
      <c r="AA36" s="10">
        <f>-'Table 5C1L-Northshore Charter'!L36</f>
        <v>0</v>
      </c>
      <c r="AB36" s="10">
        <f>-'Table 5C1M-B.R. Charter'!L36</f>
        <v>0</v>
      </c>
      <c r="AC36" s="10">
        <f>-'Table 5C1N-Delta Charter'!L36</f>
        <v>0</v>
      </c>
      <c r="AD36" s="10">
        <f>-('Table 5C2 - LA Virtual Admy'!M36+'Table 5C2 - LA Virtual Admy'!I36)</f>
        <v>-23840.714955008818</v>
      </c>
      <c r="AE36" s="10">
        <f>-('Table 5C3 - LA Connections EBR'!M36+'Table 5C3 - LA Connections EBR'!I36)</f>
        <v>-78380.432728796135</v>
      </c>
      <c r="AF36" s="10">
        <f t="shared" si="23"/>
        <v>-102221.14768380496</v>
      </c>
      <c r="AG36" s="10">
        <f>+'Table 4 Level 4'!E34</f>
        <v>0</v>
      </c>
      <c r="AH36" s="10">
        <f>+'Table 4 Level 4'!O34</f>
        <v>27924</v>
      </c>
      <c r="AI36" s="985">
        <f t="shared" si="24"/>
        <v>16308193</v>
      </c>
      <c r="AJ36" s="10">
        <f>4*'[2]Table 2_State Distrib and Adjs'!AL36+(2*'[3]Table 2_State Distrib and Adjs'!AL36)+(2*'[4]Table 2_State Distrib and Adjs'!AL36)</f>
        <v>10730608</v>
      </c>
      <c r="AK36" s="10">
        <f t="shared" si="30"/>
        <v>5577585</v>
      </c>
      <c r="AL36" s="10">
        <f t="shared" si="25"/>
        <v>1394396</v>
      </c>
      <c r="AM36" s="10">
        <f>+'Table 4 Level 4'!J34</f>
        <v>0</v>
      </c>
      <c r="AN36" s="10">
        <f>+'Table 4 Level 4'!L34</f>
        <v>25000</v>
      </c>
      <c r="AO36" s="10">
        <f>+'Table 4 Level 4'!M34</f>
        <v>30584</v>
      </c>
      <c r="AP36" s="985">
        <f t="shared" si="31"/>
        <v>16363777</v>
      </c>
      <c r="AQ36" s="42"/>
    </row>
    <row r="37" spans="1:43" ht="14.45" customHeight="1">
      <c r="A37" s="224">
        <v>31</v>
      </c>
      <c r="B37" s="225" t="s">
        <v>103</v>
      </c>
      <c r="C37" s="227">
        <f>'Table 3 Levels 1&amp;2'!AO34</f>
        <v>32771587.459332004</v>
      </c>
      <c r="D37" s="227">
        <v>2397.4618700112042</v>
      </c>
      <c r="E37" s="227">
        <v>0</v>
      </c>
      <c r="F37" s="227">
        <f t="shared" si="26"/>
        <v>2397.4618700112042</v>
      </c>
      <c r="G37" s="227">
        <f t="shared" si="22"/>
        <v>2397.4618700112042</v>
      </c>
      <c r="H37" s="227">
        <f t="shared" si="27"/>
        <v>0</v>
      </c>
      <c r="I37" s="227">
        <f>'[1]October midyear adj'!K34</f>
        <v>226223.69755422152</v>
      </c>
      <c r="J37" s="227">
        <f>'[1]February midyear adj'!K34</f>
        <v>-71980.267403615944</v>
      </c>
      <c r="K37" s="227">
        <f t="shared" si="28"/>
        <v>154243.43015060556</v>
      </c>
      <c r="L37" s="227">
        <f>'[1]Oct midyear Madison Prep'!K34+'[1]Oct midyear DArbonne'!K34+'[1]Oct midyear Intl_VIBE'!K34+'[1]Oct midyear NOMMA'!K34+'[1]Oct midyear LFNO'!K34+'[1]Oct midyear Lake Charles Chtr'!K34+'[1]Oct midyear JS Clark'!K34+'[1]Oct midyear Southwest'!K34+'[1]Oct midyear LA Key'!K34+'[1]Oct midyear Jefferson Cham'!K34+'[1]Oct midyear Tallulah'!K34+'[1]Oct midyear Northshore'!K34+'[1]Oct midyear B.R. Charter'!K34+'[1]Oct midyear Delta'!K34+'[1]Oct midyear LAVCA'!K34+'[1]Oct midyear LA Conn'!K34</f>
        <v>31876.975564458487</v>
      </c>
      <c r="M37" s="227">
        <f>'[1]Feb midyear Madison Prep'!K34+'[1]Feb midyear DArbonne'!K34+'[1]Feb midyear Intl_VIBE'!K34+'[1]Feb midyear NOMMA'!K34+'[1]Feb midyear LFNO'!K34+'[1]Feb midyear Lake Charles Chtr'!K34+'[1]Feb midyear JS Clark'!K34+'[1]Feb midyear Southwest'!K34+'[1]Feb midyear LA Key'!K34+'[1]Feb midyear Jefferson Cham'!K34+'[1]Feb midyear Tallulah'!K34+'[1]Feb midyear Northshore'!K34+'[1]Feb midyear B.R. Charter'!K34+'[1]Feb midyear Delta'!K34+'[1]Feb midyear LAVCA'!K34+'[1]Feb midyear LA Conn'!K34</f>
        <v>2313.6514522590842</v>
      </c>
      <c r="N37" s="227">
        <f t="shared" si="29"/>
        <v>34190.627016717568</v>
      </c>
      <c r="O37" s="227">
        <v>0</v>
      </c>
      <c r="P37" s="227">
        <f>-'Table 5C1A-Madison Prep'!L37</f>
        <v>0</v>
      </c>
      <c r="Q37" s="227">
        <f>-'Table 5C1B-DArbonne'!L37</f>
        <v>-102828.95343373706</v>
      </c>
      <c r="R37" s="227">
        <f>-'Table 5C1C-Intl_VIBE'!L37</f>
        <v>0</v>
      </c>
      <c r="S37" s="227">
        <f>-'Table 5C1D-NOMMA'!L37</f>
        <v>0</v>
      </c>
      <c r="T37" s="227">
        <f>-'Table 5C1E-LFNO'!L37</f>
        <v>0</v>
      </c>
      <c r="U37" s="227">
        <f>-'Table 5C1F-Lake Charles Charter'!L37</f>
        <v>0</v>
      </c>
      <c r="V37" s="227">
        <f>-'Table 5C1G-JS Clark Academy'!L37</f>
        <v>0</v>
      </c>
      <c r="W37" s="227">
        <f>-'Table 5C1H-Southwest LA Charter'!L37</f>
        <v>0</v>
      </c>
      <c r="X37" s="227">
        <f>-'Table 5C1I-LA Key Academy'!L37</f>
        <v>0</v>
      </c>
      <c r="Y37" s="227">
        <f>-'Table 5C1J-Jefferson Chamber'!L37</f>
        <v>0</v>
      </c>
      <c r="Z37" s="227">
        <f>-'Table 5C1K-Tallulah Charter'!L37</f>
        <v>0</v>
      </c>
      <c r="AA37" s="227">
        <f>-'Table 5C1L-Northshore Charter'!L37</f>
        <v>0</v>
      </c>
      <c r="AB37" s="227">
        <f>-'Table 5C1M-B.R. Charter'!L37</f>
        <v>0</v>
      </c>
      <c r="AC37" s="227">
        <f>-'Table 5C1N-Delta Charter'!L37</f>
        <v>0</v>
      </c>
      <c r="AD37" s="227">
        <f>-('Table 5C2 - LA Virtual Admy'!M37+'Table 5C2 - LA Virtual Admy'!I37)</f>
        <v>-11825.329644879763</v>
      </c>
      <c r="AE37" s="227">
        <f>-('Table 5C3 - LA Connections EBR'!M37+'Table 5C3 - LA Connections EBR'!I37)</f>
        <v>-22365.297371837809</v>
      </c>
      <c r="AF37" s="227">
        <f t="shared" si="23"/>
        <v>-137019.58045045464</v>
      </c>
      <c r="AG37" s="227">
        <f>+'Table 4 Level 4'!E35</f>
        <v>0</v>
      </c>
      <c r="AH37" s="227">
        <f>+'Table 4 Level 4'!O35</f>
        <v>72930</v>
      </c>
      <c r="AI37" s="983">
        <f t="shared" si="24"/>
        <v>32898329</v>
      </c>
      <c r="AJ37" s="227">
        <f>4*'[2]Table 2_State Distrib and Adjs'!AL37+(2*'[3]Table 2_State Distrib and Adjs'!AL37)+(2*'[4]Table 2_State Distrib and Adjs'!AL37)</f>
        <v>21829392</v>
      </c>
      <c r="AK37" s="227">
        <f t="shared" si="30"/>
        <v>11068937</v>
      </c>
      <c r="AL37" s="227">
        <f t="shared" si="25"/>
        <v>2767234</v>
      </c>
      <c r="AM37" s="227">
        <f>+'Table 4 Level 4'!J35</f>
        <v>0</v>
      </c>
      <c r="AN37" s="227">
        <f>+'Table 4 Level 4'!L35</f>
        <v>25000</v>
      </c>
      <c r="AO37" s="227">
        <f>+'Table 4 Level 4'!M35</f>
        <v>19541</v>
      </c>
      <c r="AP37" s="983">
        <f t="shared" si="31"/>
        <v>32942870</v>
      </c>
      <c r="AQ37" s="42"/>
    </row>
    <row r="38" spans="1:43" ht="14.45" customHeight="1">
      <c r="A38" s="228">
        <v>32</v>
      </c>
      <c r="B38" s="229" t="s">
        <v>104</v>
      </c>
      <c r="C38" s="231">
        <f>'Table 3 Levels 1&amp;2'!AO35</f>
        <v>156414358.01299199</v>
      </c>
      <c r="D38" s="231">
        <v>0</v>
      </c>
      <c r="E38" s="231">
        <v>0</v>
      </c>
      <c r="F38" s="231">
        <f t="shared" si="26"/>
        <v>0</v>
      </c>
      <c r="G38" s="231">
        <f t="shared" si="22"/>
        <v>0</v>
      </c>
      <c r="H38" s="231">
        <f t="shared" si="27"/>
        <v>0</v>
      </c>
      <c r="I38" s="231">
        <f>'[1]October midyear adj'!K35</f>
        <v>2050154.432390172</v>
      </c>
      <c r="J38" s="231">
        <f>'[1]February midyear adj'!K35</f>
        <v>-335479.81620930089</v>
      </c>
      <c r="K38" s="231">
        <f t="shared" si="28"/>
        <v>1714674.6161808711</v>
      </c>
      <c r="L38" s="231">
        <f>'[1]Oct midyear Madison Prep'!K35+'[1]Oct midyear DArbonne'!K35+'[1]Oct midyear Intl_VIBE'!K35+'[1]Oct midyear NOMMA'!K35+'[1]Oct midyear LFNO'!K35+'[1]Oct midyear Lake Charles Chtr'!K35+'[1]Oct midyear JS Clark'!K35+'[1]Oct midyear Southwest'!K35+'[1]Oct midyear LA Key'!K35+'[1]Oct midyear Jefferson Cham'!K35+'[1]Oct midyear Tallulah'!K35+'[1]Oct midyear Northshore'!K35+'[1]Oct midyear B.R. Charter'!K35+'[1]Oct midyear Delta'!K35+'[1]Oct midyear LAVCA'!K35+'[1]Oct midyear LA Conn'!K35</f>
        <v>398848.22593772435</v>
      </c>
      <c r="M38" s="231">
        <f>'[1]Feb midyear Madison Prep'!K35+'[1]Feb midyear DArbonne'!K35+'[1]Feb midyear Intl_VIBE'!K35+'[1]Feb midyear NOMMA'!K35+'[1]Feb midyear LFNO'!K35+'[1]Feb midyear Lake Charles Chtr'!K35+'[1]Feb midyear JS Clark'!K35+'[1]Feb midyear Southwest'!K35+'[1]Feb midyear LA Key'!K35+'[1]Feb midyear Jefferson Cham'!K35+'[1]Feb midyear Tallulah'!K35+'[1]Feb midyear Northshore'!K35+'[1]Feb midyear B.R. Charter'!K35+'[1]Feb midyear Delta'!K35+'[1]Feb midyear LAVCA'!K35+'[1]Feb midyear LA Conn'!K35</f>
        <v>-2795.6651350775064</v>
      </c>
      <c r="N38" s="231">
        <f t="shared" si="29"/>
        <v>396052.56080264685</v>
      </c>
      <c r="O38" s="231">
        <v>0</v>
      </c>
      <c r="P38" s="231">
        <f>-'Table 5C1A-Madison Prep'!L38</f>
        <v>0</v>
      </c>
      <c r="Q38" s="231">
        <f>-'Table 5C1B-DArbonne'!L38</f>
        <v>0</v>
      </c>
      <c r="R38" s="231">
        <f>-'Table 5C1C-Intl_VIBE'!L38</f>
        <v>0</v>
      </c>
      <c r="S38" s="231">
        <f>-'Table 5C1D-NOMMA'!L38</f>
        <v>0</v>
      </c>
      <c r="T38" s="231">
        <f>-'Table 5C1E-LFNO'!L38</f>
        <v>0</v>
      </c>
      <c r="U38" s="231">
        <f>-'Table 5C1F-Lake Charles Charter'!L38</f>
        <v>0</v>
      </c>
      <c r="V38" s="231">
        <f>-'Table 5C1G-JS Clark Academy'!L38</f>
        <v>0</v>
      </c>
      <c r="W38" s="231">
        <f>-'Table 5C1H-Southwest LA Charter'!L38</f>
        <v>0</v>
      </c>
      <c r="X38" s="231">
        <f>-'Table 5C1I-LA Key Academy'!L38</f>
        <v>-55913.302701550143</v>
      </c>
      <c r="Y38" s="231">
        <f>-'Table 5C1J-Jefferson Chamber'!L38</f>
        <v>0</v>
      </c>
      <c r="Z38" s="231">
        <f>-'Table 5C1K-Tallulah Charter'!L38</f>
        <v>0</v>
      </c>
      <c r="AA38" s="231">
        <f>-'Table 5C1L-Northshore Charter'!L38</f>
        <v>0</v>
      </c>
      <c r="AB38" s="231">
        <f>-'Table 5C1M-B.R. Charter'!L38</f>
        <v>0</v>
      </c>
      <c r="AC38" s="231">
        <f>-'Table 5C1N-Delta Charter'!L38</f>
        <v>0</v>
      </c>
      <c r="AD38" s="231">
        <f>-('Table 5C2 - LA Virtual Admy'!M38+'Table 5C2 - LA Virtual Admy'!I38)</f>
        <v>-619395.14214939426</v>
      </c>
      <c r="AE38" s="231">
        <f>-('Table 5C3 - LA Connections EBR'!M38+'Table 5C3 - LA Connections EBR'!I38)</f>
        <v>-702333.20782336034</v>
      </c>
      <c r="AF38" s="231">
        <f t="shared" si="23"/>
        <v>-1377641.6526743048</v>
      </c>
      <c r="AG38" s="231">
        <f>+'Table 4 Level 4'!E36</f>
        <v>0</v>
      </c>
      <c r="AH38" s="231">
        <f>+'Table 4 Level 4'!O36</f>
        <v>279344</v>
      </c>
      <c r="AI38" s="984">
        <f t="shared" si="24"/>
        <v>157426788</v>
      </c>
      <c r="AJ38" s="231">
        <f>4*'[2]Table 2_State Distrib and Adjs'!AL38+(2*'[3]Table 2_State Distrib and Adjs'!AL38)+(2*'[4]Table 2_State Distrib and Adjs'!AL38)</f>
        <v>103808074</v>
      </c>
      <c r="AK38" s="231">
        <f t="shared" si="30"/>
        <v>53618714</v>
      </c>
      <c r="AL38" s="231">
        <f t="shared" si="25"/>
        <v>13404679</v>
      </c>
      <c r="AM38" s="231">
        <f>+'Table 4 Level 4'!J36</f>
        <v>0</v>
      </c>
      <c r="AN38" s="231">
        <f>+'Table 4 Level 4'!L36</f>
        <v>647717</v>
      </c>
      <c r="AO38" s="231">
        <f>+'Table 4 Level 4'!M36</f>
        <v>6333</v>
      </c>
      <c r="AP38" s="984">
        <f t="shared" si="31"/>
        <v>158080838</v>
      </c>
      <c r="AQ38" s="42"/>
    </row>
    <row r="39" spans="1:43" ht="14.45" customHeight="1">
      <c r="A39" s="228">
        <v>33</v>
      </c>
      <c r="B39" s="229" t="s">
        <v>105</v>
      </c>
      <c r="C39" s="231">
        <f>'Table 3 Levels 1&amp;2'!AO36</f>
        <v>10469060.2358</v>
      </c>
      <c r="D39" s="231">
        <v>-15122.892985498394</v>
      </c>
      <c r="E39" s="231">
        <v>-48930.005705722506</v>
      </c>
      <c r="F39" s="231">
        <f t="shared" si="26"/>
        <v>-64052.8986912209</v>
      </c>
      <c r="G39" s="231">
        <f t="shared" si="22"/>
        <v>0</v>
      </c>
      <c r="H39" s="231">
        <f t="shared" si="27"/>
        <v>-64052.8986912209</v>
      </c>
      <c r="I39" s="231">
        <f>'[1]October midyear adj'!K36</f>
        <v>-378915.1982601285</v>
      </c>
      <c r="J39" s="231">
        <f>'[1]February midyear adj'!K36</f>
        <v>6111.5354558085237</v>
      </c>
      <c r="K39" s="231">
        <f t="shared" si="28"/>
        <v>-372803.66280431999</v>
      </c>
      <c r="L39" s="231">
        <f>'[1]Oct midyear Madison Prep'!K36+'[1]Oct midyear DArbonne'!K36+'[1]Oct midyear Intl_VIBE'!K36+'[1]Oct midyear NOMMA'!K36+'[1]Oct midyear LFNO'!K36+'[1]Oct midyear Lake Charles Chtr'!K36+'[1]Oct midyear JS Clark'!K36+'[1]Oct midyear Southwest'!K36+'[1]Oct midyear LA Key'!K36+'[1]Oct midyear Jefferson Cham'!K36+'[1]Oct midyear Tallulah'!K36+'[1]Oct midyear Northshore'!K36+'[1]Oct midyear B.R. Charter'!K36+'[1]Oct midyear Delta'!K36+'[1]Oct midyear LAVCA'!K36+'[1]Oct midyear LA Conn'!K36</f>
        <v>249350.64659698779</v>
      </c>
      <c r="M39" s="231">
        <f>'[1]Feb midyear Madison Prep'!K36+'[1]Feb midyear DArbonne'!K36+'[1]Feb midyear Intl_VIBE'!K36+'[1]Feb midyear NOMMA'!K36+'[1]Feb midyear LFNO'!K36+'[1]Feb midyear Lake Charles Chtr'!K36+'[1]Feb midyear JS Clark'!K36+'[1]Feb midyear Southwest'!K36+'[1]Feb midyear LA Key'!K36+'[1]Feb midyear Jefferson Cham'!K36+'[1]Feb midyear Tallulah'!K36+'[1]Feb midyear Northshore'!K36+'[1]Feb midyear B.R. Charter'!K36+'[1]Feb midyear Delta'!K36+'[1]Feb midyear LAVCA'!K36+'[1]Feb midyear LA Conn'!K36</f>
        <v>12528.647684407473</v>
      </c>
      <c r="N39" s="231">
        <f t="shared" si="29"/>
        <v>261879.29428139527</v>
      </c>
      <c r="O39" s="231">
        <v>0</v>
      </c>
      <c r="P39" s="231">
        <f>-'Table 5C1A-Madison Prep'!L39</f>
        <v>0</v>
      </c>
      <c r="Q39" s="231">
        <f>-'Table 5C1B-DArbonne'!L39</f>
        <v>0</v>
      </c>
      <c r="R39" s="231">
        <f>-'Table 5C1C-Intl_VIBE'!L39</f>
        <v>0</v>
      </c>
      <c r="S39" s="231">
        <f>-'Table 5C1D-NOMMA'!L39</f>
        <v>0</v>
      </c>
      <c r="T39" s="231">
        <f>-'Table 5C1E-LFNO'!L39</f>
        <v>0</v>
      </c>
      <c r="U39" s="231">
        <f>-'Table 5C1F-Lake Charles Charter'!L39</f>
        <v>0</v>
      </c>
      <c r="V39" s="231">
        <f>-'Table 5C1G-JS Clark Academy'!L39</f>
        <v>0</v>
      </c>
      <c r="W39" s="231">
        <f>-'Table 5C1H-Southwest LA Charter'!L39</f>
        <v>0</v>
      </c>
      <c r="X39" s="231">
        <f>-'Table 5C1I-LA Key Academy'!L39</f>
        <v>0</v>
      </c>
      <c r="Y39" s="231">
        <f>-'Table 5C1J-Jefferson Chamber'!L39</f>
        <v>0</v>
      </c>
      <c r="Z39" s="231">
        <f>-'Table 5C1K-Tallulah Charter'!L39</f>
        <v>-2050420.1454237597</v>
      </c>
      <c r="AA39" s="231">
        <f>-'Table 5C1L-Northshore Charter'!L39</f>
        <v>0</v>
      </c>
      <c r="AB39" s="231">
        <f>-'Table 5C1M-B.R. Charter'!L39</f>
        <v>0</v>
      </c>
      <c r="AC39" s="231">
        <f>-'Table 5C1N-Delta Charter'!L39</f>
        <v>0</v>
      </c>
      <c r="AD39" s="231">
        <f>-('Table 5C2 - LA Virtual Admy'!M39+'Table 5C2 - LA Virtual Admy'!I39)</f>
        <v>-9472.8799565032114</v>
      </c>
      <c r="AE39" s="231">
        <f>-('Table 5C3 - LA Connections EBR'!M39+'Table 5C3 - LA Connections EBR'!I39)</f>
        <v>-11000.763820455342</v>
      </c>
      <c r="AF39" s="231">
        <f t="shared" ref="AF39:AF70" si="32">SUM(O39:AE39)</f>
        <v>-2070893.7892007183</v>
      </c>
      <c r="AG39" s="231">
        <f>+'Table 4 Level 4'!E37</f>
        <v>0</v>
      </c>
      <c r="AH39" s="231">
        <f>+'Table 4 Level 4'!O37</f>
        <v>19318</v>
      </c>
      <c r="AI39" s="984">
        <f t="shared" ref="AI39:AI70" si="33">ROUND(C39+F39+K39+N39+AF39+AG39+AH39,0)</f>
        <v>8242507</v>
      </c>
      <c r="AJ39" s="231">
        <f>4*'[2]Table 2_State Distrib and Adjs'!AL39+(2*'[3]Table 2_State Distrib and Adjs'!AL39)+(2*'[4]Table 2_State Distrib and Adjs'!AL39)</f>
        <v>5743542</v>
      </c>
      <c r="AK39" s="231">
        <f t="shared" si="30"/>
        <v>2498965</v>
      </c>
      <c r="AL39" s="231">
        <f t="shared" ref="AL39:AL70" si="34">ROUND(AK39/$AL$77,0)</f>
        <v>624741</v>
      </c>
      <c r="AM39" s="231">
        <f>+'Table 4 Level 4'!J37</f>
        <v>0</v>
      </c>
      <c r="AN39" s="231">
        <f>+'Table 4 Level 4'!L37</f>
        <v>25000</v>
      </c>
      <c r="AO39" s="231">
        <f>+'Table 4 Level 4'!M37</f>
        <v>0</v>
      </c>
      <c r="AP39" s="984">
        <f t="shared" si="31"/>
        <v>8267507</v>
      </c>
      <c r="AQ39" s="42"/>
    </row>
    <row r="40" spans="1:43" ht="14.45" customHeight="1">
      <c r="A40" s="228">
        <v>34</v>
      </c>
      <c r="B40" s="229" t="s">
        <v>106</v>
      </c>
      <c r="C40" s="231">
        <f>'Table 3 Levels 1&amp;2'!AO37</f>
        <v>30540122.433880001</v>
      </c>
      <c r="D40" s="231">
        <v>0</v>
      </c>
      <c r="E40" s="231">
        <v>0</v>
      </c>
      <c r="F40" s="231">
        <f t="shared" si="26"/>
        <v>0</v>
      </c>
      <c r="G40" s="231">
        <f t="shared" si="22"/>
        <v>0</v>
      </c>
      <c r="H40" s="231">
        <f t="shared" si="27"/>
        <v>0</v>
      </c>
      <c r="I40" s="231">
        <f>'[1]October midyear adj'!K37</f>
        <v>-471662.12253096525</v>
      </c>
      <c r="J40" s="231">
        <f>'[1]February midyear adj'!K37</f>
        <v>-17340.519210697254</v>
      </c>
      <c r="K40" s="231">
        <f t="shared" si="28"/>
        <v>-489002.64174166252</v>
      </c>
      <c r="L40" s="231">
        <f>'[1]Oct midyear Madison Prep'!K37+'[1]Oct midyear DArbonne'!K37+'[1]Oct midyear Intl_VIBE'!K37+'[1]Oct midyear NOMMA'!K37+'[1]Oct midyear LFNO'!K37+'[1]Oct midyear Lake Charles Chtr'!K37+'[1]Oct midyear JS Clark'!K37+'[1]Oct midyear Southwest'!K37+'[1]Oct midyear LA Key'!K37+'[1]Oct midyear Jefferson Cham'!K37+'[1]Oct midyear Tallulah'!K37+'[1]Oct midyear Northshore'!K37+'[1]Oct midyear B.R. Charter'!K37+'[1]Oct midyear Delta'!K37+'[1]Oct midyear LAVCA'!K37+'[1]Oct midyear LA Conn'!K37</f>
        <v>118609.15140116922</v>
      </c>
      <c r="M40" s="231">
        <f>'[1]Feb midyear Madison Prep'!K37+'[1]Feb midyear DArbonne'!K37+'[1]Feb midyear Intl_VIBE'!K37+'[1]Feb midyear NOMMA'!K37+'[1]Feb midyear LFNO'!K37+'[1]Feb midyear Lake Charles Chtr'!K37+'[1]Feb midyear JS Clark'!K37+'[1]Feb midyear Southwest'!K37+'[1]Feb midyear LA Key'!K37+'[1]Feb midyear Jefferson Cham'!K37+'[1]Feb midyear Tallulah'!K37+'[1]Feb midyear Northshore'!K37+'[1]Feb midyear B.R. Charter'!K37+'[1]Feb midyear Delta'!K37+'[1]Feb midyear LAVCA'!K37+'[1]Feb midyear LA Conn'!K37</f>
        <v>0</v>
      </c>
      <c r="N40" s="231">
        <f t="shared" si="29"/>
        <v>118609.15140116922</v>
      </c>
      <c r="O40" s="231">
        <v>0</v>
      </c>
      <c r="P40" s="231">
        <f>-'Table 5C1A-Madison Prep'!L40</f>
        <v>0</v>
      </c>
      <c r="Q40" s="231">
        <f>-'Table 5C1B-DArbonne'!L40</f>
        <v>0</v>
      </c>
      <c r="R40" s="231">
        <f>-'Table 5C1C-Intl_VIBE'!L40</f>
        <v>0</v>
      </c>
      <c r="S40" s="231">
        <f>-'Table 5C1D-NOMMA'!L40</f>
        <v>0</v>
      </c>
      <c r="T40" s="231">
        <f>-'Table 5C1E-LFNO'!L40</f>
        <v>0</v>
      </c>
      <c r="U40" s="231">
        <f>-'Table 5C1F-Lake Charles Charter'!L40</f>
        <v>0</v>
      </c>
      <c r="V40" s="231">
        <f>-'Table 5C1G-JS Clark Academy'!L40</f>
        <v>0</v>
      </c>
      <c r="W40" s="231">
        <f>-'Table 5C1H-Southwest LA Charter'!L40</f>
        <v>0</v>
      </c>
      <c r="X40" s="231">
        <f>-'Table 5C1I-LA Key Academy'!L40</f>
        <v>0</v>
      </c>
      <c r="Y40" s="231">
        <f>-'Table 5C1J-Jefferson Chamber'!L40</f>
        <v>0</v>
      </c>
      <c r="Z40" s="231">
        <f>-'Table 5C1K-Tallulah Charter'!L40</f>
        <v>0</v>
      </c>
      <c r="AA40" s="231">
        <f>-'Table 5C1L-Northshore Charter'!L40</f>
        <v>0</v>
      </c>
      <c r="AB40" s="231">
        <f>-'Table 5C1M-B.R. Charter'!L40</f>
        <v>0</v>
      </c>
      <c r="AC40" s="231">
        <f>-'Table 5C1N-Delta Charter'!L40</f>
        <v>0</v>
      </c>
      <c r="AD40" s="231">
        <f>-('Table 5C2 - LA Virtual Admy'!M40+'Table 5C2 - LA Virtual Admy'!I40)</f>
        <v>-210167.09283365071</v>
      </c>
      <c r="AE40" s="231">
        <f>-('Table 5C3 - LA Connections EBR'!M40+'Table 5C3 - LA Connections EBR'!I40)</f>
        <v>-102655.87372732772</v>
      </c>
      <c r="AF40" s="231">
        <f t="shared" si="32"/>
        <v>-312822.96656097844</v>
      </c>
      <c r="AG40" s="231">
        <f>+'Table 4 Level 4'!E38</f>
        <v>0</v>
      </c>
      <c r="AH40" s="231">
        <f>+'Table 4 Level 4'!O38</f>
        <v>45942</v>
      </c>
      <c r="AI40" s="984">
        <f t="shared" si="33"/>
        <v>29902848</v>
      </c>
      <c r="AJ40" s="231">
        <f>4*'[2]Table 2_State Distrib and Adjs'!AL40+(2*'[3]Table 2_State Distrib and Adjs'!AL40)+(2*'[4]Table 2_State Distrib and Adjs'!AL40)</f>
        <v>20261234</v>
      </c>
      <c r="AK40" s="231">
        <f t="shared" si="30"/>
        <v>9641614</v>
      </c>
      <c r="AL40" s="231">
        <f t="shared" si="34"/>
        <v>2410404</v>
      </c>
      <c r="AM40" s="231">
        <f>+'Table 4 Level 4'!J38</f>
        <v>0</v>
      </c>
      <c r="AN40" s="231">
        <f>+'Table 4 Level 4'!L38</f>
        <v>25000</v>
      </c>
      <c r="AO40" s="231">
        <f>+'Table 4 Level 4'!M38</f>
        <v>0</v>
      </c>
      <c r="AP40" s="984">
        <f t="shared" si="31"/>
        <v>29927848</v>
      </c>
      <c r="AQ40" s="42"/>
    </row>
    <row r="41" spans="1:43" ht="14.45" customHeight="1">
      <c r="A41" s="3">
        <v>35</v>
      </c>
      <c r="B41" s="7" t="s">
        <v>107</v>
      </c>
      <c r="C41" s="10">
        <f>'Table 3 Levels 1&amp;2'!AO38</f>
        <v>36546861.976148002</v>
      </c>
      <c r="D41" s="10">
        <v>0</v>
      </c>
      <c r="E41" s="10">
        <v>0</v>
      </c>
      <c r="F41" s="10">
        <f t="shared" si="26"/>
        <v>0</v>
      </c>
      <c r="G41" s="10">
        <f t="shared" si="22"/>
        <v>0</v>
      </c>
      <c r="H41" s="10">
        <f t="shared" si="27"/>
        <v>0</v>
      </c>
      <c r="I41" s="10">
        <f>'[1]October midyear adj'!K38</f>
        <v>-713026.02575597004</v>
      </c>
      <c r="J41" s="10">
        <f>'[1]February midyear adj'!K38</f>
        <v>0</v>
      </c>
      <c r="K41" s="10">
        <f t="shared" si="28"/>
        <v>-713026.02575597004</v>
      </c>
      <c r="L41" s="10">
        <f>'[1]Oct midyear Madison Prep'!K38+'[1]Oct midyear DArbonne'!K38+'[1]Oct midyear Intl_VIBE'!K38+'[1]Oct midyear NOMMA'!K38+'[1]Oct midyear LFNO'!K38+'[1]Oct midyear Lake Charles Chtr'!K38+'[1]Oct midyear JS Clark'!K38+'[1]Oct midyear Southwest'!K38+'[1]Oct midyear LA Key'!K38+'[1]Oct midyear Jefferson Cham'!K38+'[1]Oct midyear Tallulah'!K38+'[1]Oct midyear Northshore'!K38+'[1]Oct midyear B.R. Charter'!K38+'[1]Oct midyear Delta'!K38+'[1]Oct midyear LAVCA'!K38+'[1]Oct midyear LA Conn'!K38</f>
        <v>20535.149541771938</v>
      </c>
      <c r="M41" s="10">
        <f>'[1]Feb midyear Madison Prep'!K38+'[1]Feb midyear DArbonne'!K38+'[1]Feb midyear Intl_VIBE'!K38+'[1]Feb midyear NOMMA'!K38+'[1]Feb midyear LFNO'!K38+'[1]Feb midyear Lake Charles Chtr'!K38+'[1]Feb midyear JS Clark'!K38+'[1]Feb midyear Southwest'!K38+'[1]Feb midyear LA Key'!K38+'[1]Feb midyear Jefferson Cham'!K38+'[1]Feb midyear Tallulah'!K38+'[1]Feb midyear Northshore'!K38+'[1]Feb midyear B.R. Charter'!K38+'[1]Feb midyear Delta'!K38+'[1]Feb midyear LAVCA'!K38+'[1]Feb midyear LA Conn'!K38</f>
        <v>10267.574770885969</v>
      </c>
      <c r="N41" s="10">
        <f t="shared" si="29"/>
        <v>30802.724312657905</v>
      </c>
      <c r="O41" s="10">
        <v>0</v>
      </c>
      <c r="P41" s="10">
        <f>-'Table 5C1A-Madison Prep'!L41</f>
        <v>0</v>
      </c>
      <c r="Q41" s="10">
        <f>-'Table 5C1B-DArbonne'!L41</f>
        <v>0</v>
      </c>
      <c r="R41" s="10">
        <f>-'Table 5C1C-Intl_VIBE'!L41</f>
        <v>0</v>
      </c>
      <c r="S41" s="10">
        <f>-'Table 5C1D-NOMMA'!L41</f>
        <v>0</v>
      </c>
      <c r="T41" s="10">
        <f>-'Table 5C1E-LFNO'!L41</f>
        <v>0</v>
      </c>
      <c r="U41" s="10">
        <f>-'Table 5C1F-Lake Charles Charter'!L41</f>
        <v>0</v>
      </c>
      <c r="V41" s="10">
        <f>-'Table 5C1G-JS Clark Academy'!L41</f>
        <v>0</v>
      </c>
      <c r="W41" s="10">
        <f>-'Table 5C1H-Southwest LA Charter'!L41</f>
        <v>0</v>
      </c>
      <c r="X41" s="10">
        <f>-'Table 5C1I-LA Key Academy'!L41</f>
        <v>0</v>
      </c>
      <c r="Y41" s="10">
        <f>-'Table 5C1J-Jefferson Chamber'!L41</f>
        <v>0</v>
      </c>
      <c r="Z41" s="10">
        <f>-'Table 5C1K-Tallulah Charter'!L41</f>
        <v>0</v>
      </c>
      <c r="AA41" s="10">
        <f>-'Table 5C1L-Northshore Charter'!L41</f>
        <v>0</v>
      </c>
      <c r="AB41" s="10">
        <f>-'Table 5C1M-B.R. Charter'!L41</f>
        <v>0</v>
      </c>
      <c r="AC41" s="10">
        <f>-'Table 5C1N-Delta Charter'!L41</f>
        <v>-5704.2082060477605</v>
      </c>
      <c r="AD41" s="10">
        <f>-('Table 5C2 - LA Virtual Admy'!M41+'Table 5C2 - LA Virtual Admy'!I41)</f>
        <v>-122640.47643002686</v>
      </c>
      <c r="AE41" s="10">
        <f>-('Table 5C3 - LA Connections EBR'!M41+'Table 5C3 - LA Connections EBR'!I41)</f>
        <v>-113513.74330035041</v>
      </c>
      <c r="AF41" s="10">
        <f t="shared" si="32"/>
        <v>-241858.42793642503</v>
      </c>
      <c r="AG41" s="10">
        <f>+'Table 4 Level 4'!E39</f>
        <v>0</v>
      </c>
      <c r="AH41" s="10">
        <f>+'Table 4 Level 4'!O39</f>
        <v>69602</v>
      </c>
      <c r="AI41" s="985">
        <f t="shared" si="33"/>
        <v>35692382</v>
      </c>
      <c r="AJ41" s="10">
        <f>4*'[2]Table 2_State Distrib and Adjs'!AL41+(2*'[3]Table 2_State Distrib and Adjs'!AL41)+(2*'[4]Table 2_State Distrib and Adjs'!AL41)</f>
        <v>24270272</v>
      </c>
      <c r="AK41" s="10">
        <f t="shared" si="30"/>
        <v>11422110</v>
      </c>
      <c r="AL41" s="10">
        <f t="shared" si="34"/>
        <v>2855528</v>
      </c>
      <c r="AM41" s="10">
        <f>+'Table 4 Level 4'!J39</f>
        <v>0</v>
      </c>
      <c r="AN41" s="10">
        <f>+'Table 4 Level 4'!L39</f>
        <v>33320</v>
      </c>
      <c r="AO41" s="10">
        <f>+'Table 4 Level 4'!M39</f>
        <v>0</v>
      </c>
      <c r="AP41" s="985">
        <f t="shared" si="31"/>
        <v>35725702</v>
      </c>
      <c r="AQ41" s="42"/>
    </row>
    <row r="42" spans="1:43" ht="14.45" customHeight="1">
      <c r="A42" s="224">
        <v>36</v>
      </c>
      <c r="B42" s="225" t="s">
        <v>108</v>
      </c>
      <c r="C42" s="227">
        <f>'Table 3 Levels 1&amp;2'!AO39</f>
        <v>182592723.00675231</v>
      </c>
      <c r="D42" s="227">
        <v>2084.9932301650115</v>
      </c>
      <c r="E42" s="227">
        <v>-15702.08956103383</v>
      </c>
      <c r="F42" s="227">
        <f t="shared" si="26"/>
        <v>-13617.096330868819</v>
      </c>
      <c r="G42" s="227">
        <f t="shared" si="22"/>
        <v>0</v>
      </c>
      <c r="H42" s="227">
        <f t="shared" si="27"/>
        <v>-13617.096330868819</v>
      </c>
      <c r="I42" s="227">
        <f>'[1]October midyear adj'!K39</f>
        <v>3520235.3459712183</v>
      </c>
      <c r="J42" s="227">
        <f>'[1]February midyear adj'!K39</f>
        <v>-153712.61350796832</v>
      </c>
      <c r="K42" s="227">
        <f t="shared" si="28"/>
        <v>3366522.7324632499</v>
      </c>
      <c r="L42" s="227">
        <f>'[1]Oct midyear Madison Prep'!K39+'[1]Oct midyear DArbonne'!K39+'[1]Oct midyear Intl_VIBE'!K39+'[1]Oct midyear NOMMA'!K39+'[1]Oct midyear LFNO'!K39+'[1]Oct midyear Lake Charles Chtr'!K39+'[1]Oct midyear JS Clark'!K39+'[1]Oct midyear Southwest'!K39+'[1]Oct midyear LA Key'!K39+'[1]Oct midyear Jefferson Cham'!K39+'[1]Oct midyear Tallulah'!K39+'[1]Oct midyear Northshore'!K39+'[1]Oct midyear B.R. Charter'!K39+'[1]Oct midyear Delta'!K39+'[1]Oct midyear LAVCA'!K39+'[1]Oct midyear LA Conn'!K39+'[1]October midyear adj'!$K$183+'[1]October midyear adj'!$K$179</f>
        <v>2788602.573204604</v>
      </c>
      <c r="M42" s="227">
        <f>'[1]Feb midyear Madison Prep'!K39+'[1]Feb midyear DArbonne'!K39+'[1]Feb midyear Intl_VIBE'!K39+'[1]Feb midyear NOMMA'!K39+'[1]Feb midyear LFNO'!K39+'[1]Feb midyear Lake Charles Chtr'!K39+'[1]Feb midyear JS Clark'!K39+'[1]Feb midyear Southwest'!K39+'[1]Feb midyear LA Key'!K39+'[1]Feb midyear Jefferson Cham'!K39+'[1]Feb midyear Tallulah'!K39+'[1]Feb midyear Northshore'!K39+'[1]Feb midyear B.R. Charter'!K39+'[1]Feb midyear Delta'!K39+'[1]Feb midyear LAVCA'!K39+'[1]Feb midyear LA Conn'!K39+'[1]February midyear adj'!$K$183+'[1]February midyear adj'!$K$179</f>
        <v>251886.85122914927</v>
      </c>
      <c r="N42" s="227">
        <f t="shared" si="29"/>
        <v>3040489.4244337534</v>
      </c>
      <c r="O42" s="227">
        <f>-'Table 5B1_RSD_Orleans'!L74</f>
        <v>-128389940.79073332</v>
      </c>
      <c r="P42" s="227">
        <f>-'Table 5C1A-Madison Prep'!L42</f>
        <v>0</v>
      </c>
      <c r="Q42" s="227">
        <f>-'Table 5C1B-DArbonne'!L42</f>
        <v>0</v>
      </c>
      <c r="R42" s="227">
        <f>-'Table 5C1C-Intl_VIBE'!L42</f>
        <v>-1991720.4280570925</v>
      </c>
      <c r="S42" s="227">
        <f>-'Table 5C1D-NOMMA'!L42</f>
        <v>-1008906.4177057762</v>
      </c>
      <c r="T42" s="227">
        <f>-'Table 5C1E-LFNO'!L42</f>
        <v>-1369851.3861091358</v>
      </c>
      <c r="U42" s="227">
        <f>-'Table 5C1F-Lake Charles Charter'!L42</f>
        <v>0</v>
      </c>
      <c r="V42" s="227">
        <f>-'Table 5C1G-JS Clark Academy'!L42</f>
        <v>0</v>
      </c>
      <c r="W42" s="227">
        <f>-'Table 5C1H-Southwest LA Charter'!L42</f>
        <v>0</v>
      </c>
      <c r="X42" s="227">
        <f>-'Table 5C1I-LA Key Academy'!L42</f>
        <v>0</v>
      </c>
      <c r="Y42" s="227">
        <f>-'Table 5C1J-Jefferson Chamber'!L42</f>
        <v>-19569.305515844797</v>
      </c>
      <c r="Z42" s="227">
        <f>-'Table 5C1K-Tallulah Charter'!L42</f>
        <v>0</v>
      </c>
      <c r="AA42" s="227">
        <f>-'Table 5C1L-Northshore Charter'!L42</f>
        <v>0</v>
      </c>
      <c r="AB42" s="227">
        <f>-'Table 5C1M-B.R. Charter'!L42</f>
        <v>0</v>
      </c>
      <c r="AC42" s="227">
        <f>-'Table 5C1N-Delta Charter'!L42</f>
        <v>0</v>
      </c>
      <c r="AD42" s="227">
        <f>-('Table 5C2 - LA Virtual Admy'!M42+'Table 5C2 - LA Virtual Admy'!I42)</f>
        <v>-343332.59343909926</v>
      </c>
      <c r="AE42" s="227">
        <f>-('Table 5C3 - LA Connections EBR'!M42+'Table 5C3 - LA Connections EBR'!I42)</f>
        <v>-234614.22946218372</v>
      </c>
      <c r="AF42" s="227">
        <f t="shared" si="32"/>
        <v>-133357935.15102243</v>
      </c>
      <c r="AG42" s="227">
        <f>+'Table 4 Level 4'!E40</f>
        <v>567000</v>
      </c>
      <c r="AH42" s="227">
        <f>+'Table 4 Level 4'!O40</f>
        <v>170456</v>
      </c>
      <c r="AI42" s="983">
        <f t="shared" si="33"/>
        <v>56365639</v>
      </c>
      <c r="AJ42" s="227">
        <f>4*'[2]Table 2_State Distrib and Adjs'!AL42+(2*'[3]Table 2_State Distrib and Adjs'!AL42)+(2*'[4]Table 2_State Distrib and Adjs'!AL42)</f>
        <v>35333946</v>
      </c>
      <c r="AK42" s="227">
        <f t="shared" si="30"/>
        <v>21031693</v>
      </c>
      <c r="AL42" s="227">
        <f t="shared" si="34"/>
        <v>5257923</v>
      </c>
      <c r="AM42" s="227">
        <f>+'Table 4 Level 4'!J40</f>
        <v>64000</v>
      </c>
      <c r="AN42" s="227">
        <f>+'Table 4 Level 4'!L40</f>
        <v>25000</v>
      </c>
      <c r="AO42" s="227">
        <f>+'Table 4 Level 4'!M40</f>
        <v>142140</v>
      </c>
      <c r="AP42" s="983">
        <f t="shared" si="31"/>
        <v>56596779</v>
      </c>
      <c r="AQ42" s="42"/>
    </row>
    <row r="43" spans="1:43" ht="14.45" customHeight="1">
      <c r="A43" s="228">
        <v>37</v>
      </c>
      <c r="B43" s="229" t="s">
        <v>109</v>
      </c>
      <c r="C43" s="231">
        <f>'Table 3 Levels 1&amp;2'!AO40</f>
        <v>123081363.69124679</v>
      </c>
      <c r="D43" s="231">
        <v>-49165.394585659138</v>
      </c>
      <c r="E43" s="231">
        <v>-73674.224093217548</v>
      </c>
      <c r="F43" s="231">
        <f t="shared" si="26"/>
        <v>-122839.61867887669</v>
      </c>
      <c r="G43" s="231">
        <f t="shared" si="22"/>
        <v>0</v>
      </c>
      <c r="H43" s="231">
        <f t="shared" si="27"/>
        <v>-122839.61867887669</v>
      </c>
      <c r="I43" s="231">
        <f>'[1]October midyear adj'!K40</f>
        <v>1118461.9249076231</v>
      </c>
      <c r="J43" s="231">
        <f>'[1]February midyear adj'!K40</f>
        <v>-543433.47763873206</v>
      </c>
      <c r="K43" s="231">
        <f t="shared" si="28"/>
        <v>575028.44726889103</v>
      </c>
      <c r="L43" s="231">
        <f>'[1]Oct midyear Madison Prep'!K40+'[1]Oct midyear DArbonne'!K40+'[1]Oct midyear Intl_VIBE'!K40+'[1]Oct midyear NOMMA'!K40+'[1]Oct midyear LFNO'!K40+'[1]Oct midyear Lake Charles Chtr'!K40+'[1]Oct midyear JS Clark'!K40+'[1]Oct midyear Southwest'!K40+'[1]Oct midyear LA Key'!K40+'[1]Oct midyear Jefferson Cham'!K40+'[1]Oct midyear Tallulah'!K40+'[1]Oct midyear Northshore'!K40+'[1]Oct midyear B.R. Charter'!K40+'[1]Oct midyear Delta'!K40+'[1]Oct midyear LAVCA'!K40+'[1]Oct midyear LA Conn'!K40</f>
        <v>10742.289674254002</v>
      </c>
      <c r="M43" s="231">
        <f>'[1]Feb midyear Madison Prep'!K40+'[1]Feb midyear DArbonne'!K40+'[1]Feb midyear Intl_VIBE'!K40+'[1]Feb midyear NOMMA'!K40+'[1]Feb midyear LFNO'!K40+'[1]Feb midyear Lake Charles Chtr'!K40+'[1]Feb midyear JS Clark'!K40+'[1]Feb midyear Southwest'!K40+'[1]Feb midyear LA Key'!K40+'[1]Feb midyear Jefferson Cham'!K40+'[1]Feb midyear Tallulah'!K40+'[1]Feb midyear Northshore'!K40+'[1]Feb midyear B.R. Charter'!K40+'[1]Feb midyear Delta'!K40+'[1]Feb midyear LAVCA'!K40+'[1]Feb midyear LA Conn'!K40</f>
        <v>49288.152623047805</v>
      </c>
      <c r="N43" s="231">
        <f t="shared" si="29"/>
        <v>60030.442297301808</v>
      </c>
      <c r="O43" s="231">
        <v>0</v>
      </c>
      <c r="P43" s="231">
        <f>-'Table 5C1A-Madison Prep'!L43</f>
        <v>0</v>
      </c>
      <c r="Q43" s="231">
        <f>-'Table 5C1B-DArbonne'!L43</f>
        <v>-85306.418001428887</v>
      </c>
      <c r="R43" s="231">
        <f>-'Table 5C1C-Intl_VIBE'!L43</f>
        <v>0</v>
      </c>
      <c r="S43" s="231">
        <f>-'Table 5C1D-NOMMA'!L43</f>
        <v>0</v>
      </c>
      <c r="T43" s="231">
        <f>-'Table 5C1E-LFNO'!L43</f>
        <v>0</v>
      </c>
      <c r="U43" s="231">
        <f>-'Table 5C1F-Lake Charles Charter'!L43</f>
        <v>0</v>
      </c>
      <c r="V43" s="231">
        <f>-'Table 5C1G-JS Clark Academy'!L43</f>
        <v>0</v>
      </c>
      <c r="W43" s="231">
        <f>-'Table 5C1H-Southwest LA Charter'!L43</f>
        <v>0</v>
      </c>
      <c r="X43" s="231">
        <f>-'Table 5C1I-LA Key Academy'!L43</f>
        <v>0</v>
      </c>
      <c r="Y43" s="231">
        <f>-'Table 5C1J-Jefferson Chamber'!L43</f>
        <v>0</v>
      </c>
      <c r="Z43" s="231">
        <f>-'Table 5C1K-Tallulah Charter'!L43</f>
        <v>0</v>
      </c>
      <c r="AA43" s="231">
        <f>-'Table 5C1L-Northshore Charter'!L43</f>
        <v>0</v>
      </c>
      <c r="AB43" s="231">
        <f>-'Table 5C1M-B.R. Charter'!L43</f>
        <v>0</v>
      </c>
      <c r="AC43" s="231">
        <f>-'Table 5C1N-Delta Charter'!L43</f>
        <v>-6318.9939260317688</v>
      </c>
      <c r="AD43" s="231">
        <f>-('Table 5C2 - LA Virtual Admy'!M43+'Table 5C2 - LA Virtual Admy'!I43)</f>
        <v>-332695.03020557266</v>
      </c>
      <c r="AE43" s="231">
        <f>-('Table 5C3 - LA Connections EBR'!M43+'Table 5C3 - LA Connections EBR'!I43)</f>
        <v>-198100.45958109596</v>
      </c>
      <c r="AF43" s="231">
        <f t="shared" si="32"/>
        <v>-622420.90171412926</v>
      </c>
      <c r="AG43" s="231">
        <f>+'Table 4 Level 4'!E41</f>
        <v>21000</v>
      </c>
      <c r="AH43" s="231">
        <f>+'Table 4 Level 4'!O41</f>
        <v>220922</v>
      </c>
      <c r="AI43" s="984">
        <f t="shared" si="33"/>
        <v>123213084</v>
      </c>
      <c r="AJ43" s="231">
        <f>4*'[2]Table 2_State Distrib and Adjs'!AL43+(2*'[3]Table 2_State Distrib and Adjs'!AL43)+(2*'[4]Table 2_State Distrib and Adjs'!AL43)</f>
        <v>81758704</v>
      </c>
      <c r="AK43" s="231">
        <f t="shared" si="30"/>
        <v>41454380</v>
      </c>
      <c r="AL43" s="231">
        <f t="shared" si="34"/>
        <v>10363595</v>
      </c>
      <c r="AM43" s="231">
        <f>+'Table 4 Level 4'!J41</f>
        <v>0</v>
      </c>
      <c r="AN43" s="231">
        <f>+'Table 4 Level 4'!L41</f>
        <v>57239</v>
      </c>
      <c r="AO43" s="231">
        <f>+'Table 4 Level 4'!M41</f>
        <v>0</v>
      </c>
      <c r="AP43" s="984">
        <f t="shared" si="31"/>
        <v>123270323</v>
      </c>
      <c r="AQ43" s="43"/>
    </row>
    <row r="44" spans="1:43" ht="14.45" customHeight="1">
      <c r="A44" s="228">
        <v>38</v>
      </c>
      <c r="B44" s="229" t="s">
        <v>110</v>
      </c>
      <c r="C44" s="231">
        <f>'Table 3 Levels 1&amp;2'!AO41</f>
        <v>11307128.08</v>
      </c>
      <c r="D44" s="231">
        <v>4690.2630806065463</v>
      </c>
      <c r="E44" s="231">
        <v>-29293.318479970716</v>
      </c>
      <c r="F44" s="231">
        <f t="shared" si="26"/>
        <v>-24603.05539936417</v>
      </c>
      <c r="G44" s="231">
        <f t="shared" si="22"/>
        <v>0</v>
      </c>
      <c r="H44" s="231">
        <f t="shared" si="27"/>
        <v>-24603.05539936417</v>
      </c>
      <c r="I44" s="231">
        <f>'[1]October midyear adj'!K41</f>
        <v>251010.07095508519</v>
      </c>
      <c r="J44" s="231">
        <f>'[1]February midyear adj'!K41</f>
        <v>-36484.0219411461</v>
      </c>
      <c r="K44" s="231">
        <f t="shared" si="28"/>
        <v>214526.0490139391</v>
      </c>
      <c r="L44" s="231">
        <f>'[1]Oct midyear Madison Prep'!K41+'[1]Oct midyear DArbonne'!K41+'[1]Oct midyear Intl_VIBE'!K41+'[1]Oct midyear NOMMA'!K41+'[1]Oct midyear LFNO'!K41+'[1]Oct midyear Lake Charles Chtr'!K41+'[1]Oct midyear JS Clark'!K41+'[1]Oct midyear Southwest'!K41+'[1]Oct midyear LA Key'!K41+'[1]Oct midyear Jefferson Cham'!K41+'[1]Oct midyear Tallulah'!K41+'[1]Oct midyear Northshore'!K41+'[1]Oct midyear B.R. Charter'!K41+'[1]Oct midyear Delta'!K41+'[1]Oct midyear LAVCA'!K41+'[1]Oct midyear LA Conn'!K41</f>
        <v>42613.337627258647</v>
      </c>
      <c r="M44" s="231">
        <f>'[1]Feb midyear Madison Prep'!K41+'[1]Feb midyear DArbonne'!K41+'[1]Feb midyear Intl_VIBE'!K41+'[1]Feb midyear NOMMA'!K41+'[1]Feb midyear LFNO'!K41+'[1]Feb midyear Lake Charles Chtr'!K41+'[1]Feb midyear JS Clark'!K41+'[1]Feb midyear Southwest'!K41+'[1]Feb midyear LA Key'!K41+'[1]Feb midyear Jefferson Cham'!K41+'[1]Feb midyear Tallulah'!K41+'[1]Feb midyear Northshore'!K41+'[1]Feb midyear B.R. Charter'!K41+'[1]Feb midyear Delta'!K41+'[1]Feb midyear LAVCA'!K41+'[1]Feb midyear LA Conn'!K41</f>
        <v>-1459.3608776458441</v>
      </c>
      <c r="N44" s="231">
        <f t="shared" si="29"/>
        <v>41153.976749612804</v>
      </c>
      <c r="O44" s="231">
        <v>0</v>
      </c>
      <c r="P44" s="231">
        <f>-'Table 5C1A-Madison Prep'!L44</f>
        <v>0</v>
      </c>
      <c r="Q44" s="231">
        <f>-'Table 5C1B-DArbonne'!L44</f>
        <v>0</v>
      </c>
      <c r="R44" s="231">
        <f>-'Table 5C1C-Intl_VIBE'!L44</f>
        <v>0</v>
      </c>
      <c r="S44" s="231">
        <f>-'Table 5C1D-NOMMA'!L44</f>
        <v>-48158.908962312853</v>
      </c>
      <c r="T44" s="231">
        <f>-'Table 5C1E-LFNO'!L44</f>
        <v>-14593.608776458441</v>
      </c>
      <c r="U44" s="231">
        <f>-'Table 5C1F-Lake Charles Charter'!L44</f>
        <v>0</v>
      </c>
      <c r="V44" s="231">
        <f>-'Table 5C1G-JS Clark Academy'!L44</f>
        <v>0</v>
      </c>
      <c r="W44" s="231">
        <f>-'Table 5C1H-Southwest LA Charter'!L44</f>
        <v>0</v>
      </c>
      <c r="X44" s="231">
        <f>-'Table 5C1I-LA Key Academy'!L44</f>
        <v>0</v>
      </c>
      <c r="Y44" s="231">
        <f>-'Table 5C1J-Jefferson Chamber'!L44</f>
        <v>0</v>
      </c>
      <c r="Z44" s="231">
        <f>-'Table 5C1K-Tallulah Charter'!L44</f>
        <v>0</v>
      </c>
      <c r="AA44" s="231">
        <f>-'Table 5C1L-Northshore Charter'!L44</f>
        <v>0</v>
      </c>
      <c r="AB44" s="231">
        <f>-'Table 5C1M-B.R. Charter'!L44</f>
        <v>0</v>
      </c>
      <c r="AC44" s="231">
        <f>-'Table 5C1N-Delta Charter'!L44</f>
        <v>0</v>
      </c>
      <c r="AD44" s="231">
        <f>-('Table 5C2 - LA Virtual Admy'!M44+'Table 5C2 - LA Virtual Admy'!I44)</f>
        <v>-17512.330531750129</v>
      </c>
      <c r="AE44" s="231">
        <f>-('Table 5C3 - LA Connections EBR'!M44+'Table 5C3 - LA Connections EBR'!I44)</f>
        <v>-28019.728850800206</v>
      </c>
      <c r="AF44" s="231">
        <f t="shared" si="32"/>
        <v>-108284.57712132162</v>
      </c>
      <c r="AG44" s="231">
        <f>+'Table 4 Level 4'!E42</f>
        <v>63000</v>
      </c>
      <c r="AH44" s="231">
        <f>+'Table 4 Level 4'!O42</f>
        <v>44304</v>
      </c>
      <c r="AI44" s="984">
        <f t="shared" si="33"/>
        <v>11537224</v>
      </c>
      <c r="AJ44" s="231">
        <f>4*'[2]Table 2_State Distrib and Adjs'!AL44+(2*'[3]Table 2_State Distrib and Adjs'!AL44)+(2*'[4]Table 2_State Distrib and Adjs'!AL44)</f>
        <v>7548464</v>
      </c>
      <c r="AK44" s="231">
        <f t="shared" si="30"/>
        <v>3988760</v>
      </c>
      <c r="AL44" s="231">
        <f t="shared" si="34"/>
        <v>997190</v>
      </c>
      <c r="AM44" s="231">
        <f>+'Table 4 Level 4'!J42</f>
        <v>0</v>
      </c>
      <c r="AN44" s="231">
        <f>+'Table 4 Level 4'!L42</f>
        <v>25000</v>
      </c>
      <c r="AO44" s="231">
        <f>+'Table 4 Level 4'!M42</f>
        <v>0</v>
      </c>
      <c r="AP44" s="984">
        <f t="shared" si="31"/>
        <v>11562224</v>
      </c>
      <c r="AQ44" s="43"/>
    </row>
    <row r="45" spans="1:43" ht="14.45" customHeight="1">
      <c r="A45" s="228">
        <v>39</v>
      </c>
      <c r="B45" s="229" t="s">
        <v>111</v>
      </c>
      <c r="C45" s="231">
        <f>'Table 3 Levels 1&amp;2'!AO42</f>
        <v>12409062.267566456</v>
      </c>
      <c r="D45" s="231">
        <v>0</v>
      </c>
      <c r="E45" s="231">
        <v>0</v>
      </c>
      <c r="F45" s="231">
        <f t="shared" si="26"/>
        <v>0</v>
      </c>
      <c r="G45" s="231">
        <f t="shared" si="22"/>
        <v>0</v>
      </c>
      <c r="H45" s="231">
        <f t="shared" si="27"/>
        <v>0</v>
      </c>
      <c r="I45" s="231">
        <f>'[1]October midyear adj'!K42</f>
        <v>17746.245645429328</v>
      </c>
      <c r="J45" s="231">
        <f>'[1]February midyear adj'!K42</f>
        <v>-33274.210585179986</v>
      </c>
      <c r="K45" s="231">
        <f t="shared" si="28"/>
        <v>-15527.964939750658</v>
      </c>
      <c r="L45" s="231">
        <f>'[1]Oct midyear Madison Prep'!K42+'[1]Oct midyear DArbonne'!K42+'[1]Oct midyear Intl_VIBE'!K42+'[1]Oct midyear NOMMA'!K42+'[1]Oct midyear LFNO'!K42+'[1]Oct midyear Lake Charles Chtr'!K42+'[1]Oct midyear JS Clark'!K42+'[1]Oct midyear Southwest'!K42+'[1]Oct midyear LA Key'!K42+'[1]Oct midyear Jefferson Cham'!K42+'[1]Oct midyear Tallulah'!K42+'[1]Oct midyear Northshore'!K42+'[1]Oct midyear B.R. Charter'!K42+'[1]Oct midyear Delta'!K42+'[1]Oct midyear LAVCA'!K42+'[1]Oct midyear LA Conn'!K42</f>
        <v>68323.045734902917</v>
      </c>
      <c r="M45" s="231">
        <f>'[1]Feb midyear Madison Prep'!K42+'[1]Feb midyear DArbonne'!K42+'[1]Feb midyear Intl_VIBE'!K42+'[1]Feb midyear NOMMA'!K42+'[1]Feb midyear LFNO'!K42+'[1]Feb midyear Lake Charles Chtr'!K42+'[1]Feb midyear JS Clark'!K42+'[1]Feb midyear Southwest'!K42+'[1]Feb midyear LA Key'!K42+'[1]Feb midyear Jefferson Cham'!K42+'[1]Feb midyear Tallulah'!K42+'[1]Feb midyear Northshore'!K42+'[1]Feb midyear B.R. Charter'!K42+'[1]Feb midyear Delta'!K42+'[1]Feb midyear LAVCA'!K42+'[1]Feb midyear LA Conn'!K42</f>
        <v>-5989.3579053323983</v>
      </c>
      <c r="N45" s="231">
        <f t="shared" si="29"/>
        <v>62333.687829570517</v>
      </c>
      <c r="O45" s="231">
        <v>0</v>
      </c>
      <c r="P45" s="231">
        <f>-'Table 5C1A-Madison Prep'!L45</f>
        <v>0</v>
      </c>
      <c r="Q45" s="231">
        <f>-'Table 5C1B-DArbonne'!L45</f>
        <v>0</v>
      </c>
      <c r="R45" s="231">
        <f>-'Table 5C1C-Intl_VIBE'!L45</f>
        <v>0</v>
      </c>
      <c r="S45" s="231">
        <f>-'Table 5C1D-NOMMA'!L45</f>
        <v>0</v>
      </c>
      <c r="T45" s="231">
        <f>-'Table 5C1E-LFNO'!L45</f>
        <v>0</v>
      </c>
      <c r="U45" s="231">
        <f>-'Table 5C1F-Lake Charles Charter'!L45</f>
        <v>0</v>
      </c>
      <c r="V45" s="231">
        <f>-'Table 5C1G-JS Clark Academy'!L45</f>
        <v>0</v>
      </c>
      <c r="W45" s="231">
        <f>-'Table 5C1H-Southwest LA Charter'!L45</f>
        <v>0</v>
      </c>
      <c r="X45" s="231">
        <f>-'Table 5C1I-LA Key Academy'!L45</f>
        <v>-8873.1228227146639</v>
      </c>
      <c r="Y45" s="231">
        <f>-'Table 5C1J-Jefferson Chamber'!L45</f>
        <v>0</v>
      </c>
      <c r="Z45" s="231">
        <f>-'Table 5C1K-Tallulah Charter'!L45</f>
        <v>0</v>
      </c>
      <c r="AA45" s="231">
        <f>-'Table 5C1L-Northshore Charter'!L45</f>
        <v>0</v>
      </c>
      <c r="AB45" s="231">
        <f>-'Table 5C1M-B.R. Charter'!L45</f>
        <v>0</v>
      </c>
      <c r="AC45" s="231">
        <f>-'Table 5C1N-Delta Charter'!L45</f>
        <v>0</v>
      </c>
      <c r="AD45" s="231">
        <f>-('Table 5C2 - LA Virtual Admy'!M45+'Table 5C2 - LA Virtual Admy'!I45)</f>
        <v>-18189.90178656506</v>
      </c>
      <c r="AE45" s="231">
        <f>-('Table 5C3 - LA Connections EBR'!M45+'Table 5C3 - LA Connections EBR'!I45)</f>
        <v>-101819.08439065075</v>
      </c>
      <c r="AF45" s="231">
        <f t="shared" si="32"/>
        <v>-128882.10899993047</v>
      </c>
      <c r="AG45" s="231">
        <f>+'Table 4 Level 4'!E43</f>
        <v>21000</v>
      </c>
      <c r="AH45" s="231">
        <f>+'Table 4 Level 4'!O43</f>
        <v>26208</v>
      </c>
      <c r="AI45" s="984">
        <f t="shared" si="33"/>
        <v>12374194</v>
      </c>
      <c r="AJ45" s="231">
        <f>4*'[2]Table 2_State Distrib and Adjs'!AL45+(2*'[3]Table 2_State Distrib and Adjs'!AL45)+(2*'[4]Table 2_State Distrib and Adjs'!AL45)</f>
        <v>8259816</v>
      </c>
      <c r="AK45" s="231">
        <f t="shared" si="30"/>
        <v>4114378</v>
      </c>
      <c r="AL45" s="231">
        <f t="shared" si="34"/>
        <v>1028595</v>
      </c>
      <c r="AM45" s="231">
        <f>+'Table 4 Level 4'!J43</f>
        <v>0</v>
      </c>
      <c r="AN45" s="231">
        <f>+'Table 4 Level 4'!L43</f>
        <v>25000</v>
      </c>
      <c r="AO45" s="231">
        <f>+'Table 4 Level 4'!M43</f>
        <v>9256</v>
      </c>
      <c r="AP45" s="984">
        <f t="shared" si="31"/>
        <v>12408450</v>
      </c>
      <c r="AQ45" s="43"/>
    </row>
    <row r="46" spans="1:43" ht="14.45" customHeight="1">
      <c r="A46" s="3">
        <v>40</v>
      </c>
      <c r="B46" s="7" t="s">
        <v>112</v>
      </c>
      <c r="C46" s="10">
        <f>'Table 3 Levels 1&amp;2'!AO43</f>
        <v>134047593.60179201</v>
      </c>
      <c r="D46" s="10">
        <v>-109152.78624102159</v>
      </c>
      <c r="E46" s="10">
        <v>-19948.912029839848</v>
      </c>
      <c r="F46" s="10">
        <f t="shared" si="26"/>
        <v>-129101.69827086144</v>
      </c>
      <c r="G46" s="10">
        <f t="shared" si="22"/>
        <v>0</v>
      </c>
      <c r="H46" s="10">
        <f t="shared" si="27"/>
        <v>-129101.69827086144</v>
      </c>
      <c r="I46" s="10">
        <f>'[1]October midyear adj'!K43</f>
        <v>-1752446.3895995221</v>
      </c>
      <c r="J46" s="10">
        <f>'[1]February midyear adj'!K43</f>
        <v>-311481.3350284865</v>
      </c>
      <c r="K46" s="10">
        <f t="shared" si="28"/>
        <v>-2063927.7246280087</v>
      </c>
      <c r="L46" s="10">
        <f>'[1]Oct midyear Madison Prep'!K43+'[1]Oct midyear DArbonne'!K43+'[1]Oct midyear Intl_VIBE'!K43+'[1]Oct midyear NOMMA'!K43+'[1]Oct midyear LFNO'!K43+'[1]Oct midyear Lake Charles Chtr'!K43+'[1]Oct midyear JS Clark'!K43+'[1]Oct midyear Southwest'!K43+'[1]Oct midyear LA Key'!K43+'[1]Oct midyear Jefferson Cham'!K43+'[1]Oct midyear Tallulah'!K43+'[1]Oct midyear Northshore'!K43+'[1]Oct midyear B.R. Charter'!K43+'[1]Oct midyear Delta'!K43+'[1]Oct midyear LAVCA'!K43+'[1]Oct midyear LA Conn'!K43</f>
        <v>136236.69606853428</v>
      </c>
      <c r="M46" s="10">
        <f>'[1]Feb midyear Madison Prep'!K43+'[1]Feb midyear DArbonne'!K43+'[1]Feb midyear Intl_VIBE'!K43+'[1]Feb midyear NOMMA'!K43+'[1]Feb midyear LFNO'!K43+'[1]Feb midyear Lake Charles Chtr'!K43+'[1]Feb midyear JS Clark'!K43+'[1]Feb midyear Southwest'!K43+'[1]Feb midyear LA Key'!K43+'[1]Feb midyear Jefferson Cham'!K43+'[1]Feb midyear Tallulah'!K43+'[1]Feb midyear Northshore'!K43+'[1]Feb midyear B.R. Charter'!K43+'[1]Feb midyear Delta'!K43+'[1]Feb midyear LAVCA'!K43+'[1]Feb midyear LA Conn'!K43</f>
        <v>-26199.364628564286</v>
      </c>
      <c r="N46" s="10">
        <f t="shared" si="29"/>
        <v>110037.33143996999</v>
      </c>
      <c r="O46" s="10">
        <v>0</v>
      </c>
      <c r="P46" s="10">
        <f>-'Table 5C1A-Madison Prep'!L46</f>
        <v>0</v>
      </c>
      <c r="Q46" s="10">
        <f>-'Table 5C1B-DArbonne'!L46</f>
        <v>0</v>
      </c>
      <c r="R46" s="10">
        <f>-'Table 5C1C-Intl_VIBE'!L46</f>
        <v>0</v>
      </c>
      <c r="S46" s="10">
        <f>-'Table 5C1D-NOMMA'!L46</f>
        <v>0</v>
      </c>
      <c r="T46" s="10">
        <f>-'Table 5C1E-LFNO'!L46</f>
        <v>0</v>
      </c>
      <c r="U46" s="10">
        <f>-'Table 5C1F-Lake Charles Charter'!L46</f>
        <v>0</v>
      </c>
      <c r="V46" s="10">
        <f>-'Table 5C1G-JS Clark Academy'!L46</f>
        <v>0</v>
      </c>
      <c r="W46" s="10">
        <f>-'Table 5C1H-Southwest LA Charter'!L46</f>
        <v>0</v>
      </c>
      <c r="X46" s="10">
        <f>-'Table 5C1I-LA Key Academy'!L46</f>
        <v>0</v>
      </c>
      <c r="Y46" s="10">
        <f>-'Table 5C1J-Jefferson Chamber'!L46</f>
        <v>0</v>
      </c>
      <c r="Z46" s="10">
        <f>-'Table 5C1K-Tallulah Charter'!L46</f>
        <v>0</v>
      </c>
      <c r="AA46" s="10">
        <f>-'Table 5C1L-Northshore Charter'!L46</f>
        <v>0</v>
      </c>
      <c r="AB46" s="10">
        <f>-'Table 5C1M-B.R. Charter'!L46</f>
        <v>0</v>
      </c>
      <c r="AC46" s="10">
        <f>-'Table 5C1N-Delta Charter'!L46</f>
        <v>0</v>
      </c>
      <c r="AD46" s="10">
        <f>-('Table 5C2 - LA Virtual Admy'!M46+'Table 5C2 - LA Virtual Admy'!I46)</f>
        <v>-319923.3525199127</v>
      </c>
      <c r="AE46" s="10">
        <f>-('Table 5C3 - LA Connections EBR'!M46+'Table 5C3 - LA Connections EBR'!I46)</f>
        <v>-337389.59560562228</v>
      </c>
      <c r="AF46" s="10">
        <f t="shared" si="32"/>
        <v>-657312.94812553492</v>
      </c>
      <c r="AG46" s="10">
        <f>+'Table 4 Level 4'!E44</f>
        <v>0</v>
      </c>
      <c r="AH46" s="10">
        <f>+'Table 4 Level 4'!O44</f>
        <v>261014</v>
      </c>
      <c r="AI46" s="985">
        <f t="shared" si="33"/>
        <v>131568303</v>
      </c>
      <c r="AJ46" s="10">
        <f>4*'[2]Table 2_State Distrib and Adjs'!AL46+(2*'[3]Table 2_State Distrib and Adjs'!AL46)+(2*'[4]Table 2_State Distrib and Adjs'!AL46)</f>
        <v>89088152</v>
      </c>
      <c r="AK46" s="10">
        <f t="shared" si="30"/>
        <v>42480151</v>
      </c>
      <c r="AL46" s="10">
        <f t="shared" si="34"/>
        <v>10620038</v>
      </c>
      <c r="AM46" s="10">
        <f>+'Table 4 Level 4'!J44</f>
        <v>0</v>
      </c>
      <c r="AN46" s="10">
        <f>+'Table 4 Level 4'!L44</f>
        <v>148155</v>
      </c>
      <c r="AO46" s="10">
        <f>+'Table 4 Level 4'!M44</f>
        <v>260731</v>
      </c>
      <c r="AP46" s="985">
        <f t="shared" si="31"/>
        <v>131977189</v>
      </c>
      <c r="AQ46" s="42"/>
    </row>
    <row r="47" spans="1:43" ht="14.45" customHeight="1">
      <c r="A47" s="224">
        <v>41</v>
      </c>
      <c r="B47" s="225" t="s">
        <v>113</v>
      </c>
      <c r="C47" s="227">
        <f>'Table 3 Levels 1&amp;2'!AO44</f>
        <v>6061428.9581913603</v>
      </c>
      <c r="D47" s="227">
        <v>0</v>
      </c>
      <c r="E47" s="227">
        <v>0</v>
      </c>
      <c r="F47" s="227">
        <f t="shared" si="26"/>
        <v>0</v>
      </c>
      <c r="G47" s="227">
        <f t="shared" si="22"/>
        <v>0</v>
      </c>
      <c r="H47" s="227">
        <f t="shared" si="27"/>
        <v>0</v>
      </c>
      <c r="I47" s="227">
        <f>'[1]October midyear adj'!K44</f>
        <v>-125322.44572414942</v>
      </c>
      <c r="J47" s="227">
        <f>'[1]February midyear adj'!K44</f>
        <v>-18798.366858622412</v>
      </c>
      <c r="K47" s="227">
        <f t="shared" si="28"/>
        <v>-144120.81258277185</v>
      </c>
      <c r="L47" s="227">
        <f>'[1]Oct midyear Madison Prep'!K44+'[1]Oct midyear DArbonne'!K44+'[1]Oct midyear Intl_VIBE'!K44+'[1]Oct midyear NOMMA'!K44+'[1]Oct midyear LFNO'!K44+'[1]Oct midyear Lake Charles Chtr'!K44+'[1]Oct midyear JS Clark'!K44+'[1]Oct midyear Southwest'!K44+'[1]Oct midyear LA Key'!K44+'[1]Oct midyear Jefferson Cham'!K44+'[1]Oct midyear Tallulah'!K44+'[1]Oct midyear Northshore'!K44+'[1]Oct midyear B.R. Charter'!K44+'[1]Oct midyear Delta'!K44+'[1]Oct midyear LAVCA'!K44+'[1]Oct midyear LA Conn'!K44</f>
        <v>37596.733717244831</v>
      </c>
      <c r="M47" s="227">
        <f>'[1]Feb midyear Madison Prep'!K44+'[1]Feb midyear DArbonne'!K44+'[1]Feb midyear Intl_VIBE'!K44+'[1]Feb midyear NOMMA'!K44+'[1]Feb midyear LFNO'!K44+'[1]Feb midyear Lake Charles Chtr'!K44+'[1]Feb midyear JS Clark'!K44+'[1]Feb midyear Southwest'!K44+'[1]Feb midyear LA Key'!K44+'[1]Feb midyear Jefferson Cham'!K44+'[1]Feb midyear Tallulah'!K44+'[1]Feb midyear Northshore'!K44+'[1]Feb midyear B.R. Charter'!K44+'[1]Feb midyear Delta'!K44+'[1]Feb midyear LAVCA'!K44+'[1]Feb midyear LA Conn'!K44</f>
        <v>1879.8366858622414</v>
      </c>
      <c r="N47" s="227">
        <f t="shared" si="29"/>
        <v>39476.570403107071</v>
      </c>
      <c r="O47" s="227">
        <v>0</v>
      </c>
      <c r="P47" s="227">
        <f>-'Table 5C1A-Madison Prep'!L47</f>
        <v>0</v>
      </c>
      <c r="Q47" s="227">
        <f>-'Table 5C1B-DArbonne'!L47</f>
        <v>0</v>
      </c>
      <c r="R47" s="227">
        <f>-'Table 5C1C-Intl_VIBE'!L47</f>
        <v>0</v>
      </c>
      <c r="S47" s="227">
        <f>-'Table 5C1D-NOMMA'!L47</f>
        <v>0</v>
      </c>
      <c r="T47" s="227">
        <f>-'Table 5C1E-LFNO'!L47</f>
        <v>0</v>
      </c>
      <c r="U47" s="227">
        <f>-'Table 5C1F-Lake Charles Charter'!L47</f>
        <v>0</v>
      </c>
      <c r="V47" s="227">
        <f>-'Table 5C1G-JS Clark Academy'!L47</f>
        <v>0</v>
      </c>
      <c r="W47" s="227">
        <f>-'Table 5C1H-Southwest LA Charter'!L47</f>
        <v>0</v>
      </c>
      <c r="X47" s="227">
        <f>-'Table 5C1I-LA Key Academy'!L47</f>
        <v>0</v>
      </c>
      <c r="Y47" s="227">
        <f>-'Table 5C1J-Jefferson Chamber'!L47</f>
        <v>0</v>
      </c>
      <c r="Z47" s="227">
        <f>-'Table 5C1K-Tallulah Charter'!L47</f>
        <v>0</v>
      </c>
      <c r="AA47" s="227">
        <f>-'Table 5C1L-Northshore Charter'!L47</f>
        <v>0</v>
      </c>
      <c r="AB47" s="227">
        <f>-'Table 5C1M-B.R. Charter'!L47</f>
        <v>0</v>
      </c>
      <c r="AC47" s="227">
        <f>-'Table 5C1N-Delta Charter'!L47</f>
        <v>0</v>
      </c>
      <c r="AD47" s="227">
        <f>-('Table 5C2 - LA Virtual Admy'!M47+'Table 5C2 - LA Virtual Admy'!I47)</f>
        <v>-30077.386973795863</v>
      </c>
      <c r="AE47" s="227">
        <f>-('Table 5C3 - LA Connections EBR'!M47+'Table 5C3 - LA Connections EBR'!I47)</f>
        <v>-9399.1834293112079</v>
      </c>
      <c r="AF47" s="227">
        <f t="shared" si="32"/>
        <v>-39476.570403107071</v>
      </c>
      <c r="AG47" s="227">
        <f>+'Table 4 Level 4'!E45</f>
        <v>0</v>
      </c>
      <c r="AH47" s="227">
        <f>+'Table 4 Level 4'!O45</f>
        <v>16172</v>
      </c>
      <c r="AI47" s="983">
        <f t="shared" si="33"/>
        <v>5933480</v>
      </c>
      <c r="AJ47" s="227">
        <f>4*'[2]Table 2_State Distrib and Adjs'!AL47+(2*'[3]Table 2_State Distrib and Adjs'!AL47)+(2*'[4]Table 2_State Distrib and Adjs'!AL47)</f>
        <v>4051736</v>
      </c>
      <c r="AK47" s="227">
        <f t="shared" si="30"/>
        <v>1881744</v>
      </c>
      <c r="AL47" s="227">
        <f t="shared" si="34"/>
        <v>470436</v>
      </c>
      <c r="AM47" s="227">
        <f>+'Table 4 Level 4'!J45</f>
        <v>0</v>
      </c>
      <c r="AN47" s="227">
        <f>+'Table 4 Level 4'!L45</f>
        <v>25000</v>
      </c>
      <c r="AO47" s="227">
        <f>+'Table 4 Level 4'!M45</f>
        <v>0</v>
      </c>
      <c r="AP47" s="983">
        <f t="shared" si="31"/>
        <v>5958480</v>
      </c>
      <c r="AQ47" s="42"/>
    </row>
    <row r="48" spans="1:43" ht="14.45" customHeight="1">
      <c r="A48" s="228">
        <v>42</v>
      </c>
      <c r="B48" s="229" t="s">
        <v>114</v>
      </c>
      <c r="C48" s="231">
        <f>'Table 3 Levels 1&amp;2'!AO45</f>
        <v>18321747.942543998</v>
      </c>
      <c r="D48" s="231">
        <v>0</v>
      </c>
      <c r="E48" s="231">
        <v>0</v>
      </c>
      <c r="F48" s="231">
        <f t="shared" si="26"/>
        <v>0</v>
      </c>
      <c r="G48" s="231">
        <f t="shared" si="22"/>
        <v>0</v>
      </c>
      <c r="H48" s="231">
        <f t="shared" si="27"/>
        <v>0</v>
      </c>
      <c r="I48" s="231">
        <f>'[1]October midyear adj'!K45</f>
        <v>-581732.44083909737</v>
      </c>
      <c r="J48" s="231">
        <f>'[1]February midyear adj'!K45</f>
        <v>-25415.494988115908</v>
      </c>
      <c r="K48" s="231">
        <f t="shared" si="28"/>
        <v>-607147.93582721322</v>
      </c>
      <c r="L48" s="231">
        <f>'[1]Oct midyear Madison Prep'!K45+'[1]Oct midyear DArbonne'!K45+'[1]Oct midyear Intl_VIBE'!K45+'[1]Oct midyear NOMMA'!K45+'[1]Oct midyear LFNO'!K45+'[1]Oct midyear Lake Charles Chtr'!K45+'[1]Oct midyear JS Clark'!K45+'[1]Oct midyear Southwest'!K45+'[1]Oct midyear LA Key'!K45+'[1]Oct midyear Jefferson Cham'!K45+'[1]Oct midyear Tallulah'!K45+'[1]Oct midyear Northshore'!K45+'[1]Oct midyear B.R. Charter'!K45+'[1]Oct midyear Delta'!K45+'[1]Oct midyear LAVCA'!K45+'[1]Oct midyear LA Conn'!K45</f>
        <v>5083.0989976231813</v>
      </c>
      <c r="M48" s="231">
        <f>'[1]Feb midyear Madison Prep'!K45+'[1]Feb midyear DArbonne'!K45+'[1]Feb midyear Intl_VIBE'!K45+'[1]Feb midyear NOMMA'!K45+'[1]Feb midyear LFNO'!K45+'[1]Feb midyear Lake Charles Chtr'!K45+'[1]Feb midyear JS Clark'!K45+'[1]Feb midyear Southwest'!K45+'[1]Feb midyear LA Key'!K45+'[1]Feb midyear Jefferson Cham'!K45+'[1]Feb midyear Tallulah'!K45+'[1]Feb midyear Northshore'!K45+'[1]Feb midyear B.R. Charter'!K45+'[1]Feb midyear Delta'!K45+'[1]Feb midyear LAVCA'!K45+'[1]Feb midyear LA Conn'!K45</f>
        <v>2541.5494988115906</v>
      </c>
      <c r="N48" s="231">
        <f t="shared" si="29"/>
        <v>7624.6484964347719</v>
      </c>
      <c r="O48" s="231">
        <v>0</v>
      </c>
      <c r="P48" s="231">
        <f>-'Table 5C1A-Madison Prep'!L48</f>
        <v>0</v>
      </c>
      <c r="Q48" s="231">
        <f>-'Table 5C1B-DArbonne'!L48</f>
        <v>0</v>
      </c>
      <c r="R48" s="231">
        <f>-'Table 5C1C-Intl_VIBE'!L48</f>
        <v>0</v>
      </c>
      <c r="S48" s="231">
        <f>-'Table 5C1D-NOMMA'!L48</f>
        <v>0</v>
      </c>
      <c r="T48" s="231">
        <f>-'Table 5C1E-LFNO'!L48</f>
        <v>0</v>
      </c>
      <c r="U48" s="231">
        <f>-'Table 5C1F-Lake Charles Charter'!L48</f>
        <v>0</v>
      </c>
      <c r="V48" s="231">
        <f>-'Table 5C1G-JS Clark Academy'!L48</f>
        <v>0</v>
      </c>
      <c r="W48" s="231">
        <f>-'Table 5C1H-Southwest LA Charter'!L48</f>
        <v>0</v>
      </c>
      <c r="X48" s="231">
        <f>-'Table 5C1I-LA Key Academy'!L48</f>
        <v>0</v>
      </c>
      <c r="Y48" s="231">
        <f>-'Table 5C1J-Jefferson Chamber'!L48</f>
        <v>0</v>
      </c>
      <c r="Z48" s="231">
        <f>-'Table 5C1K-Tallulah Charter'!L48</f>
        <v>0</v>
      </c>
      <c r="AA48" s="231">
        <f>-'Table 5C1L-Northshore Charter'!L48</f>
        <v>0</v>
      </c>
      <c r="AB48" s="231">
        <f>-'Table 5C1M-B.R. Charter'!L48</f>
        <v>0</v>
      </c>
      <c r="AC48" s="231">
        <f>-'Table 5C1N-Delta Charter'!L48</f>
        <v>0</v>
      </c>
      <c r="AD48" s="231">
        <f>-('Table 5C2 - LA Virtual Admy'!M48+'Table 5C2 - LA Virtual Admy'!I48)</f>
        <v>-20614.790379249567</v>
      </c>
      <c r="AE48" s="231">
        <f>-('Table 5C3 - LA Connections EBR'!M48+'Table 5C3 - LA Connections EBR'!I48)</f>
        <v>-43488.735868553886</v>
      </c>
      <c r="AF48" s="231">
        <f t="shared" si="32"/>
        <v>-64103.526247803456</v>
      </c>
      <c r="AG48" s="231">
        <f>+'Table 4 Level 4'!E46</f>
        <v>0</v>
      </c>
      <c r="AH48" s="231">
        <f>+'Table 4 Level 4'!O46</f>
        <v>37128</v>
      </c>
      <c r="AI48" s="984">
        <f t="shared" si="33"/>
        <v>17695249</v>
      </c>
      <c r="AJ48" s="231">
        <f>4*'[2]Table 2_State Distrib and Adjs'!AL48+(2*'[3]Table 2_State Distrib and Adjs'!AL48)+(2*'[4]Table 2_State Distrib and Adjs'!AL48)</f>
        <v>12201600</v>
      </c>
      <c r="AK48" s="231">
        <f t="shared" si="30"/>
        <v>5493649</v>
      </c>
      <c r="AL48" s="231">
        <f t="shared" si="34"/>
        <v>1373412</v>
      </c>
      <c r="AM48" s="231">
        <f>+'Table 4 Level 4'!J46</f>
        <v>0</v>
      </c>
      <c r="AN48" s="231">
        <f>+'Table 4 Level 4'!L46</f>
        <v>32130</v>
      </c>
      <c r="AO48" s="231">
        <f>+'Table 4 Level 4'!M46</f>
        <v>29161</v>
      </c>
      <c r="AP48" s="984">
        <f t="shared" si="31"/>
        <v>17756540</v>
      </c>
      <c r="AQ48" s="42"/>
    </row>
    <row r="49" spans="1:43" ht="14.45" customHeight="1">
      <c r="A49" s="228">
        <v>43</v>
      </c>
      <c r="B49" s="229" t="s">
        <v>115</v>
      </c>
      <c r="C49" s="231">
        <f>'Table 3 Levels 1&amp;2'!AO46</f>
        <v>26159747.768036481</v>
      </c>
      <c r="D49" s="231">
        <v>0</v>
      </c>
      <c r="E49" s="231">
        <v>-14434.9395407259</v>
      </c>
      <c r="F49" s="231">
        <f t="shared" si="26"/>
        <v>-14434.9395407259</v>
      </c>
      <c r="G49" s="231">
        <f t="shared" si="22"/>
        <v>0</v>
      </c>
      <c r="H49" s="231">
        <f t="shared" si="27"/>
        <v>-14434.9395407259</v>
      </c>
      <c r="I49" s="231">
        <f>'[1]October midyear adj'!K46</f>
        <v>-63633.538720594697</v>
      </c>
      <c r="J49" s="231">
        <f>'[1]February midyear adj'!K46</f>
        <v>-12726.707744118939</v>
      </c>
      <c r="K49" s="231">
        <f t="shared" si="28"/>
        <v>-76360.246464713637</v>
      </c>
      <c r="L49" s="231">
        <f>'[1]Oct midyear Madison Prep'!K46+'[1]Oct midyear DArbonne'!K46+'[1]Oct midyear Intl_VIBE'!K46+'[1]Oct midyear NOMMA'!K46+'[1]Oct midyear LFNO'!K46+'[1]Oct midyear Lake Charles Chtr'!K46+'[1]Oct midyear JS Clark'!K46+'[1]Oct midyear Southwest'!K46+'[1]Oct midyear LA Key'!K46+'[1]Oct midyear Jefferson Cham'!K46+'[1]Oct midyear Tallulah'!K46+'[1]Oct midyear Northshore'!K46+'[1]Oct midyear B.R. Charter'!K46+'[1]Oct midyear Delta'!K46+'[1]Oct midyear LAVCA'!K46+'[1]Oct midyear LA Conn'!K46</f>
        <v>11454.036969707046</v>
      </c>
      <c r="M49" s="231">
        <f>'[1]Feb midyear Madison Prep'!K46+'[1]Feb midyear DArbonne'!K46+'[1]Feb midyear Intl_VIBE'!K46+'[1]Feb midyear NOMMA'!K46+'[1]Feb midyear LFNO'!K46+'[1]Feb midyear Lake Charles Chtr'!K46+'[1]Feb midyear JS Clark'!K46+'[1]Feb midyear Southwest'!K46+'[1]Feb midyear LA Key'!K46+'[1]Feb midyear Jefferson Cham'!K46+'[1]Feb midyear Tallulah'!K46+'[1]Feb midyear Northshore'!K46+'[1]Feb midyear B.R. Charter'!K46+'[1]Feb midyear Delta'!K46+'[1]Feb midyear LAVCA'!K46+'[1]Feb midyear LA Conn'!K46</f>
        <v>8590.5277272802832</v>
      </c>
      <c r="N49" s="231">
        <f t="shared" si="29"/>
        <v>20044.564696987327</v>
      </c>
      <c r="O49" s="231">
        <v>0</v>
      </c>
      <c r="P49" s="231">
        <f>-'Table 5C1A-Madison Prep'!L49</f>
        <v>0</v>
      </c>
      <c r="Q49" s="231">
        <f>-'Table 5C1B-DArbonne'!L49</f>
        <v>0</v>
      </c>
      <c r="R49" s="231">
        <f>-'Table 5C1C-Intl_VIBE'!L49</f>
        <v>0</v>
      </c>
      <c r="S49" s="231">
        <f>-'Table 5C1D-NOMMA'!L49</f>
        <v>0</v>
      </c>
      <c r="T49" s="231">
        <f>-'Table 5C1E-LFNO'!L49</f>
        <v>0</v>
      </c>
      <c r="U49" s="231">
        <f>-'Table 5C1F-Lake Charles Charter'!L49</f>
        <v>0</v>
      </c>
      <c r="V49" s="231">
        <f>-'Table 5C1G-JS Clark Academy'!L49</f>
        <v>0</v>
      </c>
      <c r="W49" s="231">
        <f>-'Table 5C1H-Southwest LA Charter'!L49</f>
        <v>0</v>
      </c>
      <c r="X49" s="231">
        <f>-'Table 5C1I-LA Key Academy'!L49</f>
        <v>0</v>
      </c>
      <c r="Y49" s="231">
        <f>-'Table 5C1J-Jefferson Chamber'!L49</f>
        <v>0</v>
      </c>
      <c r="Z49" s="231">
        <f>-'Table 5C1K-Tallulah Charter'!L49</f>
        <v>0</v>
      </c>
      <c r="AA49" s="231">
        <f>-'Table 5C1L-Northshore Charter'!L49</f>
        <v>0</v>
      </c>
      <c r="AB49" s="231">
        <f>-'Table 5C1M-B.R. Charter'!L49</f>
        <v>0</v>
      </c>
      <c r="AC49" s="231">
        <f>-'Table 5C1N-Delta Charter'!L49</f>
        <v>0</v>
      </c>
      <c r="AD49" s="231">
        <f>-('Table 5C2 - LA Virtual Admy'!M49+'Table 5C2 - LA Virtual Admy'!I49)</f>
        <v>-77951.084932728496</v>
      </c>
      <c r="AE49" s="231">
        <f>-('Table 5C3 - LA Connections EBR'!M49+'Table 5C3 - LA Connections EBR'!I49)</f>
        <v>-43907.141717210339</v>
      </c>
      <c r="AF49" s="231">
        <f t="shared" si="32"/>
        <v>-121858.22664993884</v>
      </c>
      <c r="AG49" s="231">
        <f>+'Table 4 Level 4'!E47</f>
        <v>0</v>
      </c>
      <c r="AH49" s="231">
        <f>+'Table 4 Level 4'!O47</f>
        <v>44590</v>
      </c>
      <c r="AI49" s="984">
        <f t="shared" si="33"/>
        <v>26011729</v>
      </c>
      <c r="AJ49" s="231">
        <f>4*'[2]Table 2_State Distrib and Adjs'!AL49+(2*'[3]Table 2_State Distrib and Adjs'!AL49)+(2*'[4]Table 2_State Distrib and Adjs'!AL49)</f>
        <v>17392058</v>
      </c>
      <c r="AK49" s="231">
        <f t="shared" si="30"/>
        <v>8619671</v>
      </c>
      <c r="AL49" s="231">
        <f t="shared" si="34"/>
        <v>2154918</v>
      </c>
      <c r="AM49" s="231">
        <f>+'Table 4 Level 4'!J47</f>
        <v>0</v>
      </c>
      <c r="AN49" s="231">
        <f>+'Table 4 Level 4'!L47</f>
        <v>25000</v>
      </c>
      <c r="AO49" s="231">
        <f>+'Table 4 Level 4'!M47</f>
        <v>32691</v>
      </c>
      <c r="AP49" s="984">
        <f t="shared" si="31"/>
        <v>26069420</v>
      </c>
      <c r="AQ49" s="41"/>
    </row>
    <row r="50" spans="1:43" ht="14.45" customHeight="1">
      <c r="A50" s="228">
        <v>44</v>
      </c>
      <c r="B50" s="229" t="s">
        <v>116</v>
      </c>
      <c r="C50" s="231">
        <f>'Table 3 Levels 1&amp;2'!AO47</f>
        <v>37145848.845415995</v>
      </c>
      <c r="D50" s="231">
        <v>2393.0955462517159</v>
      </c>
      <c r="E50" s="231">
        <v>0</v>
      </c>
      <c r="F50" s="231">
        <f t="shared" si="26"/>
        <v>2393.0955462517159</v>
      </c>
      <c r="G50" s="231">
        <f t="shared" si="22"/>
        <v>2393.0955462517159</v>
      </c>
      <c r="H50" s="231">
        <f t="shared" si="27"/>
        <v>0</v>
      </c>
      <c r="I50" s="231">
        <f>'[1]October midyear adj'!K47</f>
        <v>1962946.8027592585</v>
      </c>
      <c r="J50" s="231">
        <f>'[1]February midyear adj'!K47</f>
        <v>-69509.44768977545</v>
      </c>
      <c r="K50" s="231">
        <f t="shared" si="28"/>
        <v>1893437.3550694832</v>
      </c>
      <c r="L50" s="231">
        <f>'[1]Oct midyear Madison Prep'!K47+'[1]Oct midyear DArbonne'!K47+'[1]Oct midyear Intl_VIBE'!K47+'[1]Oct midyear NOMMA'!K47+'[1]Oct midyear LFNO'!K47+'[1]Oct midyear Lake Charles Chtr'!K47+'[1]Oct midyear JS Clark'!K47+'[1]Oct midyear Southwest'!K47+'[1]Oct midyear LA Key'!K47+'[1]Oct midyear Jefferson Cham'!K47+'[1]Oct midyear Tallulah'!K47+'[1]Oct midyear Northshore'!K47+'[1]Oct midyear B.R. Charter'!K47+'[1]Oct midyear Delta'!K47+'[1]Oct midyear LAVCA'!K47+'[1]Oct midyear LA Conn'!K47</f>
        <v>76182.354667993903</v>
      </c>
      <c r="M50" s="231">
        <f>'[1]Feb midyear Madison Prep'!K47+'[1]Feb midyear DArbonne'!K47+'[1]Feb midyear Intl_VIBE'!K47+'[1]Feb midyear NOMMA'!K47+'[1]Feb midyear LFNO'!K47+'[1]Feb midyear Lake Charles Chtr'!K47+'[1]Feb midyear JS Clark'!K47+'[1]Feb midyear Southwest'!K47+'[1]Feb midyear LA Key'!K47+'[1]Feb midyear Jefferson Cham'!K47+'[1]Feb midyear Tallulah'!K47+'[1]Feb midyear Northshore'!K47+'[1]Feb midyear B.R. Charter'!K47+'[1]Feb midyear Delta'!K47+'[1]Feb midyear LAVCA'!K47+'[1]Feb midyear LA Conn'!K47</f>
        <v>-15292.078491750601</v>
      </c>
      <c r="N50" s="231">
        <f t="shared" si="29"/>
        <v>60890.2761762433</v>
      </c>
      <c r="O50" s="231">
        <v>0</v>
      </c>
      <c r="P50" s="231">
        <f>-'Table 5C1A-Madison Prep'!L50</f>
        <v>0</v>
      </c>
      <c r="Q50" s="231">
        <f>-'Table 5C1B-DArbonne'!L50</f>
        <v>0</v>
      </c>
      <c r="R50" s="231">
        <f>-'Table 5C1C-Intl_VIBE'!L50</f>
        <v>-19462.645353137126</v>
      </c>
      <c r="S50" s="231">
        <f>-'Table 5C1D-NOMMA'!L50</f>
        <v>-5560.7558151820358</v>
      </c>
      <c r="T50" s="231">
        <f>-'Table 5C1E-LFNO'!L50</f>
        <v>-22243.023260728143</v>
      </c>
      <c r="U50" s="231">
        <f>-'Table 5C1F-Lake Charles Charter'!L50</f>
        <v>0</v>
      </c>
      <c r="V50" s="231">
        <f>-'Table 5C1G-JS Clark Academy'!L50</f>
        <v>0</v>
      </c>
      <c r="W50" s="231">
        <f>-'Table 5C1H-Southwest LA Charter'!L50</f>
        <v>0</v>
      </c>
      <c r="X50" s="231">
        <f>-'Table 5C1I-LA Key Academy'!L50</f>
        <v>0</v>
      </c>
      <c r="Y50" s="231">
        <f>-'Table 5C1J-Jefferson Chamber'!L50</f>
        <v>0</v>
      </c>
      <c r="Z50" s="231">
        <f>-'Table 5C1K-Tallulah Charter'!L50</f>
        <v>0</v>
      </c>
      <c r="AA50" s="231">
        <f>-'Table 5C1L-Northshore Charter'!L50</f>
        <v>0</v>
      </c>
      <c r="AB50" s="231">
        <f>-'Table 5C1M-B.R. Charter'!L50</f>
        <v>0</v>
      </c>
      <c r="AC50" s="231">
        <f>-'Table 5C1N-Delta Charter'!L50</f>
        <v>0</v>
      </c>
      <c r="AD50" s="231">
        <f>-('Table 5C2 - LA Virtual Admy'!M50+'Table 5C2 - LA Virtual Admy'!I50)</f>
        <v>-113995.49421123174</v>
      </c>
      <c r="AE50" s="231">
        <f>-('Table 5C3 - LA Connections EBR'!M50+'Table 5C3 - LA Connections EBR'!I50)</f>
        <v>-60890.2761762433</v>
      </c>
      <c r="AF50" s="231">
        <f t="shared" si="32"/>
        <v>-222152.19481652233</v>
      </c>
      <c r="AG50" s="231">
        <f>+'Table 4 Level 4'!E48</f>
        <v>0</v>
      </c>
      <c r="AH50" s="231">
        <f>+'Table 4 Level 4'!O48</f>
        <v>68120</v>
      </c>
      <c r="AI50" s="984">
        <f t="shared" si="33"/>
        <v>38948537</v>
      </c>
      <c r="AJ50" s="231">
        <f>4*'[2]Table 2_State Distrib and Adjs'!AL50+(2*'[3]Table 2_State Distrib and Adjs'!AL50)+(2*'[4]Table 2_State Distrib and Adjs'!AL50)</f>
        <v>24703400</v>
      </c>
      <c r="AK50" s="231">
        <f t="shared" si="30"/>
        <v>14245137</v>
      </c>
      <c r="AL50" s="231">
        <f t="shared" si="34"/>
        <v>3561284</v>
      </c>
      <c r="AM50" s="231">
        <f>+'Table 4 Level 4'!J48</f>
        <v>0</v>
      </c>
      <c r="AN50" s="231">
        <f>+'Table 4 Level 4'!L48</f>
        <v>25000</v>
      </c>
      <c r="AO50" s="231">
        <f>+'Table 4 Level 4'!M48</f>
        <v>137341</v>
      </c>
      <c r="AP50" s="984">
        <f t="shared" si="31"/>
        <v>39110878</v>
      </c>
      <c r="AQ50" s="41"/>
    </row>
    <row r="51" spans="1:43" ht="14.45" customHeight="1">
      <c r="A51" s="3">
        <v>45</v>
      </c>
      <c r="B51" s="7" t="s">
        <v>117</v>
      </c>
      <c r="C51" s="10">
        <f>'Table 3 Levels 1&amp;2'!AO48</f>
        <v>26445812.280000001</v>
      </c>
      <c r="D51" s="10">
        <v>0</v>
      </c>
      <c r="E51" s="10">
        <v>0</v>
      </c>
      <c r="F51" s="10">
        <f t="shared" si="26"/>
        <v>0</v>
      </c>
      <c r="G51" s="10">
        <f t="shared" si="22"/>
        <v>0</v>
      </c>
      <c r="H51" s="10">
        <f t="shared" si="27"/>
        <v>0</v>
      </c>
      <c r="I51" s="10">
        <f>'[1]October midyear adj'!K48</f>
        <v>137592.35524739861</v>
      </c>
      <c r="J51" s="10">
        <f>'[1]February midyear adj'!K48</f>
        <v>-49140.126874070927</v>
      </c>
      <c r="K51" s="10">
        <f t="shared" si="28"/>
        <v>88452.228373327671</v>
      </c>
      <c r="L51" s="10">
        <f>'[1]Oct midyear Madison Prep'!K48+'[1]Oct midyear DArbonne'!K48+'[1]Oct midyear Intl_VIBE'!K48+'[1]Oct midyear NOMMA'!K48+'[1]Oct midyear LFNO'!K48+'[1]Oct midyear Lake Charles Chtr'!K48+'[1]Oct midyear JS Clark'!K48+'[1]Oct midyear Southwest'!K48+'[1]Oct midyear LA Key'!K48+'[1]Oct midyear Jefferson Cham'!K48+'[1]Oct midyear Tallulah'!K48+'[1]Oct midyear Northshore'!K48+'[1]Oct midyear B.R. Charter'!K48+'[1]Oct midyear Delta'!K48+'[1]Oct midyear LAVCA'!K48+'[1]Oct midyear LA Conn'!K48</f>
        <v>15724.840599702697</v>
      </c>
      <c r="M51" s="10">
        <f>'[1]Feb midyear Madison Prep'!K48+'[1]Feb midyear DArbonne'!K48+'[1]Feb midyear Intl_VIBE'!K48+'[1]Feb midyear NOMMA'!K48+'[1]Feb midyear LFNO'!K48+'[1]Feb midyear Lake Charles Chtr'!K48+'[1]Feb midyear JS Clark'!K48+'[1]Feb midyear Southwest'!K48+'[1]Feb midyear LA Key'!K48+'[1]Feb midyear Jefferson Cham'!K48+'[1]Feb midyear Tallulah'!K48+'[1]Feb midyear Northshore'!K48+'[1]Feb midyear B.R. Charter'!K48+'[1]Feb midyear Delta'!K48+'[1]Feb midyear LAVCA'!K48+'[1]Feb midyear LA Conn'!K48</f>
        <v>7581.6195748566579</v>
      </c>
      <c r="N51" s="10">
        <f t="shared" si="29"/>
        <v>23306.460174559354</v>
      </c>
      <c r="O51" s="10">
        <v>0</v>
      </c>
      <c r="P51" s="10">
        <f>-'Table 5C1A-Madison Prep'!L51</f>
        <v>0</v>
      </c>
      <c r="Q51" s="10">
        <f>-'Table 5C1B-DArbonne'!L51</f>
        <v>0</v>
      </c>
      <c r="R51" s="10">
        <f>-'Table 5C1C-Intl_VIBE'!L51</f>
        <v>0</v>
      </c>
      <c r="S51" s="10">
        <f>-'Table 5C1D-NOMMA'!L51</f>
        <v>0</v>
      </c>
      <c r="T51" s="10">
        <f>-'Table 5C1E-LFNO'!L51</f>
        <v>-11232.028999787641</v>
      </c>
      <c r="U51" s="10">
        <f>-'Table 5C1F-Lake Charles Charter'!L51</f>
        <v>0</v>
      </c>
      <c r="V51" s="10">
        <f>-'Table 5C1G-JS Clark Academy'!L51</f>
        <v>0</v>
      </c>
      <c r="W51" s="10">
        <f>-'Table 5C1H-Southwest LA Charter'!L51</f>
        <v>0</v>
      </c>
      <c r="X51" s="10">
        <f>-'Table 5C1I-LA Key Academy'!L51</f>
        <v>0</v>
      </c>
      <c r="Y51" s="10">
        <f>-'Table 5C1J-Jefferson Chamber'!L51</f>
        <v>-2808.0072499469102</v>
      </c>
      <c r="Z51" s="10">
        <f>-'Table 5C1K-Tallulah Charter'!L51</f>
        <v>0</v>
      </c>
      <c r="AA51" s="10">
        <f>-'Table 5C1L-Northshore Charter'!L51</f>
        <v>0</v>
      </c>
      <c r="AB51" s="10">
        <f>-'Table 5C1M-B.R. Charter'!L51</f>
        <v>0</v>
      </c>
      <c r="AC51" s="10">
        <f>-'Table 5C1N-Delta Charter'!L51</f>
        <v>0</v>
      </c>
      <c r="AD51" s="10">
        <f>-('Table 5C2 - LA Virtual Admy'!M51+'Table 5C2 - LA Virtual Admy'!I51)</f>
        <v>-29624.4764869399</v>
      </c>
      <c r="AE51" s="10">
        <f>-('Table 5C3 - LA Connections EBR'!M51+'Table 5C3 - LA Connections EBR'!I51)</f>
        <v>-55458.143186451482</v>
      </c>
      <c r="AF51" s="10">
        <f t="shared" si="32"/>
        <v>-99122.655923125931</v>
      </c>
      <c r="AG51" s="10">
        <f>+'Table 4 Level 4'!E49</f>
        <v>0</v>
      </c>
      <c r="AH51" s="10">
        <f>+'Table 4 Level 4'!O49</f>
        <v>113516</v>
      </c>
      <c r="AI51" s="985">
        <f t="shared" si="33"/>
        <v>26571964</v>
      </c>
      <c r="AJ51" s="10">
        <f>4*'[2]Table 2_State Distrib and Adjs'!AL51+(2*'[3]Table 2_State Distrib and Adjs'!AL51)+(2*'[4]Table 2_State Distrib and Adjs'!AL51)</f>
        <v>17655674</v>
      </c>
      <c r="AK51" s="10">
        <f t="shared" si="30"/>
        <v>8916290</v>
      </c>
      <c r="AL51" s="10">
        <f t="shared" si="34"/>
        <v>2229073</v>
      </c>
      <c r="AM51" s="10">
        <f>+'Table 4 Level 4'!J49</f>
        <v>0</v>
      </c>
      <c r="AN51" s="10">
        <f>+'Table 4 Level 4'!L49</f>
        <v>75684</v>
      </c>
      <c r="AO51" s="10">
        <f>+'Table 4 Level 4'!M49</f>
        <v>271362</v>
      </c>
      <c r="AP51" s="985">
        <f t="shared" si="31"/>
        <v>26919010</v>
      </c>
      <c r="AQ51" s="41"/>
    </row>
    <row r="52" spans="1:43" ht="14.45" customHeight="1">
      <c r="A52" s="224">
        <v>46</v>
      </c>
      <c r="B52" s="225" t="s">
        <v>118</v>
      </c>
      <c r="C52" s="227">
        <f>'Table 3 Levels 1&amp;2'!AO49</f>
        <v>7057224.6991280001</v>
      </c>
      <c r="D52" s="227">
        <v>-3255.836422890301</v>
      </c>
      <c r="E52" s="227">
        <v>1309.1445986099598</v>
      </c>
      <c r="F52" s="227">
        <f t="shared" si="26"/>
        <v>-1946.6918242803413</v>
      </c>
      <c r="G52" s="227">
        <f t="shared" si="22"/>
        <v>0</v>
      </c>
      <c r="H52" s="227">
        <f t="shared" si="27"/>
        <v>-1946.6918242803413</v>
      </c>
      <c r="I52" s="227">
        <f>'[1]October midyear adj'!K49</f>
        <v>189819.68451064749</v>
      </c>
      <c r="J52" s="227">
        <f>'[1]February midyear adj'!K49</f>
        <v>30506.735010639772</v>
      </c>
      <c r="K52" s="227">
        <f t="shared" si="28"/>
        <v>220326.41952128726</v>
      </c>
      <c r="L52" s="227">
        <f>'[1]Oct midyear Madison Prep'!K49+'[1]Oct midyear DArbonne'!K49+'[1]Oct midyear Intl_VIBE'!K49+'[1]Oct midyear NOMMA'!K49+'[1]Oct midyear LFNO'!K49+'[1]Oct midyear Lake Charles Chtr'!K49+'[1]Oct midyear JS Clark'!K49+'[1]Oct midyear Southwest'!K49+'[1]Oct midyear LA Key'!K49+'[1]Oct midyear Jefferson Cham'!K49+'[1]Oct midyear Tallulah'!K49+'[1]Oct midyear Northshore'!K49+'[1]Oct midyear B.R. Charter'!K49+'[1]Oct midyear Delta'!K49+'[1]Oct midyear LAVCA'!K49+'[1]Oct midyear LA Conn'!K49</f>
        <v>24405.388008511818</v>
      </c>
      <c r="M52" s="227">
        <f>'[1]Feb midyear Madison Prep'!K49+'[1]Feb midyear DArbonne'!K49+'[1]Feb midyear Intl_VIBE'!K49+'[1]Feb midyear NOMMA'!K49+'[1]Feb midyear LFNO'!K49+'[1]Feb midyear Lake Charles Chtr'!K49+'[1]Feb midyear JS Clark'!K49+'[1]Feb midyear Southwest'!K49+'[1]Feb midyear LA Key'!K49+'[1]Feb midyear Jefferson Cham'!K49+'[1]Feb midyear Tallulah'!K49+'[1]Feb midyear Northshore'!K49+'[1]Feb midyear B.R. Charter'!K49+'[1]Feb midyear Delta'!K49+'[1]Feb midyear LAVCA'!K49+'[1]Feb midyear LA Conn'!K49</f>
        <v>3050.6735010639773</v>
      </c>
      <c r="N52" s="227">
        <f t="shared" si="29"/>
        <v>27456.061509575797</v>
      </c>
      <c r="O52" s="227">
        <v>0</v>
      </c>
      <c r="P52" s="227">
        <f>-'Table 5C1A-Madison Prep'!L52</f>
        <v>0</v>
      </c>
      <c r="Q52" s="227">
        <f>-'Table 5C1B-DArbonne'!L52</f>
        <v>0</v>
      </c>
      <c r="R52" s="227">
        <f>-'Table 5C1C-Intl_VIBE'!L52</f>
        <v>0</v>
      </c>
      <c r="S52" s="227">
        <f>-'Table 5C1D-NOMMA'!L52</f>
        <v>0</v>
      </c>
      <c r="T52" s="227">
        <f>-'Table 5C1E-LFNO'!L52</f>
        <v>0</v>
      </c>
      <c r="U52" s="227">
        <f>-'Table 5C1F-Lake Charles Charter'!L52</f>
        <v>0</v>
      </c>
      <c r="V52" s="227">
        <f>-'Table 5C1G-JS Clark Academy'!L52</f>
        <v>0</v>
      </c>
      <c r="W52" s="227">
        <f>-'Table 5C1H-Southwest LA Charter'!L52</f>
        <v>0</v>
      </c>
      <c r="X52" s="227">
        <f>-'Table 5C1I-LA Key Academy'!L52</f>
        <v>0</v>
      </c>
      <c r="Y52" s="227">
        <f>-'Table 5C1J-Jefferson Chamber'!L52</f>
        <v>0</v>
      </c>
      <c r="Z52" s="227">
        <f>-'Table 5C1K-Tallulah Charter'!L52</f>
        <v>0</v>
      </c>
      <c r="AA52" s="227">
        <f>-'Table 5C1L-Northshore Charter'!L52</f>
        <v>0</v>
      </c>
      <c r="AB52" s="227">
        <f>-'Table 5C1M-B.R. Charter'!L52</f>
        <v>0</v>
      </c>
      <c r="AC52" s="227">
        <f>-'Table 5C1N-Delta Charter'!L52</f>
        <v>0</v>
      </c>
      <c r="AD52" s="227">
        <f>-('Table 5C2 - LA Virtual Admy'!M52+'Table 5C2 - LA Virtual Admy'!I52)</f>
        <v>-51183.522073406726</v>
      </c>
      <c r="AE52" s="227">
        <f>-('Table 5C3 - LA Connections EBR'!M52+'Table 5C3 - LA Connections EBR'!I52)</f>
        <v>-71182.381691492788</v>
      </c>
      <c r="AF52" s="227">
        <f t="shared" si="32"/>
        <v>-122365.90376489951</v>
      </c>
      <c r="AG52" s="227">
        <f>+'Table 4 Level 4'!E50</f>
        <v>0</v>
      </c>
      <c r="AH52" s="227">
        <f>+'Table 4 Level 4'!O50</f>
        <v>7332</v>
      </c>
      <c r="AI52" s="983">
        <f t="shared" si="33"/>
        <v>7188027</v>
      </c>
      <c r="AJ52" s="227">
        <f>4*'[2]Table 2_State Distrib and Adjs'!AL52+(2*'[3]Table 2_State Distrib and Adjs'!AL52)+(2*'[4]Table 2_State Distrib and Adjs'!AL52)</f>
        <v>4645134</v>
      </c>
      <c r="AK52" s="227">
        <f t="shared" si="30"/>
        <v>2542893</v>
      </c>
      <c r="AL52" s="227">
        <f t="shared" si="34"/>
        <v>635723</v>
      </c>
      <c r="AM52" s="227">
        <f>+'Table 4 Level 4'!J50</f>
        <v>0</v>
      </c>
      <c r="AN52" s="227">
        <f>+'Table 4 Level 4'!L50</f>
        <v>25000</v>
      </c>
      <c r="AO52" s="227">
        <f>+'Table 4 Level 4'!M50</f>
        <v>0</v>
      </c>
      <c r="AP52" s="983">
        <f t="shared" si="31"/>
        <v>7213027</v>
      </c>
      <c r="AQ52" s="41"/>
    </row>
    <row r="53" spans="1:43" ht="14.45" customHeight="1">
      <c r="A53" s="228">
        <v>47</v>
      </c>
      <c r="B53" s="229" t="s">
        <v>119</v>
      </c>
      <c r="C53" s="231">
        <f>'Table 3 Levels 1&amp;2'!AO50</f>
        <v>12465283.039999999</v>
      </c>
      <c r="D53" s="231">
        <v>0</v>
      </c>
      <c r="E53" s="231">
        <v>0</v>
      </c>
      <c r="F53" s="231">
        <f t="shared" si="26"/>
        <v>0</v>
      </c>
      <c r="G53" s="231">
        <f t="shared" si="22"/>
        <v>0</v>
      </c>
      <c r="H53" s="231">
        <f t="shared" si="27"/>
        <v>0</v>
      </c>
      <c r="I53" s="231">
        <f>'[1]October midyear adj'!K50</f>
        <v>68698.170515293474</v>
      </c>
      <c r="J53" s="231">
        <f>'[1]February midyear adj'!K50</f>
        <v>-6869.8170515293477</v>
      </c>
      <c r="K53" s="231">
        <f t="shared" si="28"/>
        <v>61828.353463764128</v>
      </c>
      <c r="L53" s="231">
        <f>'[1]Oct midyear Madison Prep'!K50+'[1]Oct midyear DArbonne'!K50+'[1]Oct midyear Intl_VIBE'!K50+'[1]Oct midyear NOMMA'!K50+'[1]Oct midyear LFNO'!K50+'[1]Oct midyear Lake Charles Chtr'!K50+'[1]Oct midyear JS Clark'!K50+'[1]Oct midyear Southwest'!K50+'[1]Oct midyear LA Key'!K50+'[1]Oct midyear Jefferson Cham'!K50+'[1]Oct midyear Tallulah'!K50+'[1]Oct midyear Northshore'!K50+'[1]Oct midyear B.R. Charter'!K50+'[1]Oct midyear Delta'!K50+'[1]Oct midyear LAVCA'!K50+'[1]Oct midyear LA Conn'!K50</f>
        <v>0</v>
      </c>
      <c r="M53" s="231">
        <f>'[1]Feb midyear Madison Prep'!K50+'[1]Feb midyear DArbonne'!K50+'[1]Feb midyear Intl_VIBE'!K50+'[1]Feb midyear NOMMA'!K50+'[1]Feb midyear LFNO'!K50+'[1]Feb midyear Lake Charles Chtr'!K50+'[1]Feb midyear JS Clark'!K50+'[1]Feb midyear Southwest'!K50+'[1]Feb midyear LA Key'!K50+'[1]Feb midyear Jefferson Cham'!K50+'[1]Feb midyear Tallulah'!K50+'[1]Feb midyear Northshore'!K50+'[1]Feb midyear B.R. Charter'!K50+'[1]Feb midyear Delta'!K50+'[1]Feb midyear LAVCA'!K50+'[1]Feb midyear LA Conn'!K50</f>
        <v>3091.4176731882062</v>
      </c>
      <c r="N53" s="231">
        <f t="shared" si="29"/>
        <v>3091.4176731882062</v>
      </c>
      <c r="O53" s="231">
        <v>0</v>
      </c>
      <c r="P53" s="231">
        <f>-'Table 5C1A-Madison Prep'!L53</f>
        <v>0</v>
      </c>
      <c r="Q53" s="231">
        <f>-'Table 5C1B-DArbonne'!L53</f>
        <v>0</v>
      </c>
      <c r="R53" s="231">
        <f>-'Table 5C1C-Intl_VIBE'!L53</f>
        <v>0</v>
      </c>
      <c r="S53" s="231">
        <f>-'Table 5C1D-NOMMA'!L53</f>
        <v>0</v>
      </c>
      <c r="T53" s="231">
        <f>-'Table 5C1E-LFNO'!L53</f>
        <v>0</v>
      </c>
      <c r="U53" s="231">
        <f>-'Table 5C1F-Lake Charles Charter'!L53</f>
        <v>0</v>
      </c>
      <c r="V53" s="231">
        <f>-'Table 5C1G-JS Clark Academy'!L53</f>
        <v>0</v>
      </c>
      <c r="W53" s="231">
        <f>-'Table 5C1H-Southwest LA Charter'!L53</f>
        <v>0</v>
      </c>
      <c r="X53" s="231">
        <f>-'Table 5C1I-LA Key Academy'!L53</f>
        <v>0</v>
      </c>
      <c r="Y53" s="231">
        <f>-'Table 5C1J-Jefferson Chamber'!L53</f>
        <v>0</v>
      </c>
      <c r="Z53" s="231">
        <f>-'Table 5C1K-Tallulah Charter'!L53</f>
        <v>0</v>
      </c>
      <c r="AA53" s="231">
        <f>-'Table 5C1L-Northshore Charter'!L53</f>
        <v>0</v>
      </c>
      <c r="AB53" s="231">
        <f>-'Table 5C1M-B.R. Charter'!L53</f>
        <v>0</v>
      </c>
      <c r="AC53" s="231">
        <f>-'Table 5C1N-Delta Charter'!L53</f>
        <v>0</v>
      </c>
      <c r="AD53" s="231">
        <f>-('Table 5C2 - LA Virtual Admy'!M53+'Table 5C2 - LA Virtual Admy'!I53)</f>
        <v>-6869.8170515293468</v>
      </c>
      <c r="AE53" s="231">
        <f>-('Table 5C3 - LA Connections EBR'!M53+'Table 5C3 - LA Connections EBR'!I53)</f>
        <v>-6526.3261989528801</v>
      </c>
      <c r="AF53" s="231">
        <f t="shared" si="32"/>
        <v>-13396.143250482226</v>
      </c>
      <c r="AG53" s="231">
        <f>+'Table 4 Level 4'!E51</f>
        <v>0</v>
      </c>
      <c r="AH53" s="231">
        <f>+'Table 4 Level 4'!O51</f>
        <v>42224</v>
      </c>
      <c r="AI53" s="984">
        <f t="shared" si="33"/>
        <v>12559031</v>
      </c>
      <c r="AJ53" s="231">
        <f>4*'[2]Table 2_State Distrib and Adjs'!AL53+(2*'[3]Table 2_State Distrib and Adjs'!AL53)+(2*'[4]Table 2_State Distrib and Adjs'!AL53)</f>
        <v>8331470</v>
      </c>
      <c r="AK53" s="231">
        <f t="shared" si="30"/>
        <v>4227561</v>
      </c>
      <c r="AL53" s="231">
        <f t="shared" si="34"/>
        <v>1056890</v>
      </c>
      <c r="AM53" s="231">
        <f>+'Table 4 Level 4'!J51</f>
        <v>0</v>
      </c>
      <c r="AN53" s="231">
        <f>+'Table 4 Level 4'!L51</f>
        <v>46648</v>
      </c>
      <c r="AO53" s="231">
        <f>+'Table 4 Level 4'!M51</f>
        <v>72154</v>
      </c>
      <c r="AP53" s="984">
        <f t="shared" si="31"/>
        <v>12677833</v>
      </c>
      <c r="AQ53" s="41"/>
    </row>
    <row r="54" spans="1:43" ht="14.45" customHeight="1">
      <c r="A54" s="228">
        <v>48</v>
      </c>
      <c r="B54" s="229" t="s">
        <v>144</v>
      </c>
      <c r="C54" s="231">
        <f>'Table 3 Levels 1&amp;2'!AO51</f>
        <v>28131411.726019517</v>
      </c>
      <c r="D54" s="231">
        <v>-2574.6328386365917</v>
      </c>
      <c r="E54" s="231">
        <v>0</v>
      </c>
      <c r="F54" s="231">
        <f t="shared" si="26"/>
        <v>-2574.6328386365917</v>
      </c>
      <c r="G54" s="231">
        <f t="shared" si="22"/>
        <v>0</v>
      </c>
      <c r="H54" s="231">
        <f t="shared" si="27"/>
        <v>-2574.6328386365917</v>
      </c>
      <c r="I54" s="231">
        <f>'[1]October midyear adj'!K51</f>
        <v>-320392.26469668478</v>
      </c>
      <c r="J54" s="231">
        <f>'[1]February midyear adj'!K51</f>
        <v>106797.42156556158</v>
      </c>
      <c r="K54" s="231">
        <f t="shared" si="28"/>
        <v>-213594.8431311232</v>
      </c>
      <c r="L54" s="231">
        <f>'[1]Oct midyear Madison Prep'!K51+'[1]Oct midyear DArbonne'!K51+'[1]Oct midyear Intl_VIBE'!K51+'[1]Oct midyear NOMMA'!K51+'[1]Oct midyear LFNO'!K51+'[1]Oct midyear Lake Charles Chtr'!K51+'[1]Oct midyear JS Clark'!K51+'[1]Oct midyear Southwest'!K51+'[1]Oct midyear LA Key'!K51+'[1]Oct midyear Jefferson Cham'!K51+'[1]Oct midyear Tallulah'!K51+'[1]Oct midyear Northshore'!K51+'[1]Oct midyear B.R. Charter'!K51+'[1]Oct midyear Delta'!K51+'[1]Oct midyear LAVCA'!K51+'[1]Oct midyear LA Conn'!K51</f>
        <v>-4854.4282529800721</v>
      </c>
      <c r="M54" s="231">
        <f>'[1]Feb midyear Madison Prep'!K51+'[1]Feb midyear DArbonne'!K51+'[1]Feb midyear Intl_VIBE'!K51+'[1]Feb midyear NOMMA'!K51+'[1]Feb midyear LFNO'!K51+'[1]Feb midyear Lake Charles Chtr'!K51+'[1]Feb midyear JS Clark'!K51+'[1]Feb midyear Southwest'!K51+'[1]Feb midyear LA Key'!K51+'[1]Feb midyear Jefferson Cham'!K51+'[1]Feb midyear Tallulah'!K51+'[1]Feb midyear Northshore'!K51+'[1]Feb midyear B.R. Charter'!K51+'[1]Feb midyear Delta'!K51+'[1]Feb midyear LAVCA'!K51+'[1]Feb midyear LA Conn'!K51</f>
        <v>-12621.513457748188</v>
      </c>
      <c r="N54" s="231">
        <f t="shared" si="29"/>
        <v>-17475.941710728261</v>
      </c>
      <c r="O54" s="231">
        <v>0</v>
      </c>
      <c r="P54" s="231">
        <f>-'Table 5C1A-Madison Prep'!L54</f>
        <v>0</v>
      </c>
      <c r="Q54" s="231">
        <f>-'Table 5C1B-DArbonne'!L54</f>
        <v>0</v>
      </c>
      <c r="R54" s="231">
        <f>-'Table 5C1C-Intl_VIBE'!L54</f>
        <v>0</v>
      </c>
      <c r="S54" s="231">
        <f>-'Table 5C1D-NOMMA'!L54</f>
        <v>0</v>
      </c>
      <c r="T54" s="231">
        <f>-'Table 5C1E-LFNO'!L54</f>
        <v>-4854.4282529800721</v>
      </c>
      <c r="U54" s="231">
        <f>-'Table 5C1F-Lake Charles Charter'!L54</f>
        <v>0</v>
      </c>
      <c r="V54" s="231">
        <f>-'Table 5C1G-JS Clark Academy'!L54</f>
        <v>0</v>
      </c>
      <c r="W54" s="231">
        <f>-'Table 5C1H-Southwest LA Charter'!L54</f>
        <v>0</v>
      </c>
      <c r="X54" s="231">
        <f>-'Table 5C1I-LA Key Academy'!L54</f>
        <v>0</v>
      </c>
      <c r="Y54" s="231">
        <f>-'Table 5C1J-Jefferson Chamber'!L54</f>
        <v>-9708.8565059601442</v>
      </c>
      <c r="Z54" s="231">
        <f>-'Table 5C1K-Tallulah Charter'!L54</f>
        <v>0</v>
      </c>
      <c r="AA54" s="231">
        <f>-'Table 5C1L-Northshore Charter'!L54</f>
        <v>0</v>
      </c>
      <c r="AB54" s="231">
        <f>-'Table 5C1M-B.R. Charter'!L54</f>
        <v>0</v>
      </c>
      <c r="AC54" s="231">
        <f>-'Table 5C1N-Delta Charter'!L54</f>
        <v>0</v>
      </c>
      <c r="AD54" s="231">
        <f>-('Table 5C2 - LA Virtual Admy'!M54+'Table 5C2 - LA Virtual Admy'!I54)</f>
        <v>-114807.2281829787</v>
      </c>
      <c r="AE54" s="231">
        <f>-('Table 5C3 - LA Connections EBR'!M54+'Table 5C3 - LA Connections EBR'!I54)</f>
        <v>-125001.52751423685</v>
      </c>
      <c r="AF54" s="231">
        <f t="shared" si="32"/>
        <v>-254372.04045615578</v>
      </c>
      <c r="AG54" s="231">
        <f>+'Table 4 Level 4'!E52</f>
        <v>0</v>
      </c>
      <c r="AH54" s="231">
        <f>+'Table 4 Level 4'!O52</f>
        <v>61490</v>
      </c>
      <c r="AI54" s="984">
        <f t="shared" si="33"/>
        <v>27704884</v>
      </c>
      <c r="AJ54" s="231">
        <f>4*'[2]Table 2_State Distrib and Adjs'!AL54+(2*'[3]Table 2_State Distrib and Adjs'!AL54)+(2*'[4]Table 2_State Distrib and Adjs'!AL54)</f>
        <v>18612320</v>
      </c>
      <c r="AK54" s="231">
        <f t="shared" si="30"/>
        <v>9092564</v>
      </c>
      <c r="AL54" s="231">
        <f t="shared" si="34"/>
        <v>2273141</v>
      </c>
      <c r="AM54" s="231">
        <f>+'Table 4 Level 4'!J52</f>
        <v>0</v>
      </c>
      <c r="AN54" s="231">
        <f>+'Table 4 Level 4'!L52</f>
        <v>85680</v>
      </c>
      <c r="AO54" s="231">
        <f>+'Table 4 Level 4'!M52</f>
        <v>85097</v>
      </c>
      <c r="AP54" s="984">
        <f t="shared" si="31"/>
        <v>27875661</v>
      </c>
      <c r="AQ54" s="41"/>
    </row>
    <row r="55" spans="1:43" ht="14.45" customHeight="1">
      <c r="A55" s="228">
        <v>49</v>
      </c>
      <c r="B55" s="229" t="s">
        <v>120</v>
      </c>
      <c r="C55" s="231">
        <f>'Table 3 Levels 1&amp;2'!AO52</f>
        <v>80741723.630047992</v>
      </c>
      <c r="D55" s="231">
        <v>2696.8060931985965</v>
      </c>
      <c r="E55" s="231">
        <v>0</v>
      </c>
      <c r="F55" s="231">
        <f t="shared" si="26"/>
        <v>2696.8060931985965</v>
      </c>
      <c r="G55" s="231">
        <f t="shared" si="22"/>
        <v>2696.8060931985965</v>
      </c>
      <c r="H55" s="231">
        <f t="shared" si="27"/>
        <v>0</v>
      </c>
      <c r="I55" s="231">
        <f>'[1]October midyear adj'!K52</f>
        <v>-891250.48505054694</v>
      </c>
      <c r="J55" s="231">
        <f>'[1]February midyear adj'!K52</f>
        <v>-389922.08720961428</v>
      </c>
      <c r="K55" s="231">
        <f t="shared" si="28"/>
        <v>-1281172.5722601612</v>
      </c>
      <c r="L55" s="231">
        <f>'[1]Oct midyear Madison Prep'!K52+'[1]Oct midyear DArbonne'!K52+'[1]Oct midyear Intl_VIBE'!K52+'[1]Oct midyear NOMMA'!K52+'[1]Oct midyear LFNO'!K52+'[1]Oct midyear Lake Charles Chtr'!K52+'[1]Oct midyear JS Clark'!K52+'[1]Oct midyear Southwest'!K52+'[1]Oct midyear LA Key'!K52+'[1]Oct midyear Jefferson Cham'!K52+'[1]Oct midyear Tallulah'!K52+'[1]Oct midyear Northshore'!K52+'[1]Oct midyear B.R. Charter'!K52+'[1]Oct midyear Delta'!K52+'[1]Oct midyear LAVCA'!K52+'[1]Oct midyear LA Conn'!K52</f>
        <v>333661.90034079854</v>
      </c>
      <c r="M55" s="231">
        <f>'[1]Feb midyear Madison Prep'!K52+'[1]Feb midyear DArbonne'!K52+'[1]Feb midyear Intl_VIBE'!K52+'[1]Feb midyear NOMMA'!K52+'[1]Feb midyear LFNO'!K52+'[1]Feb midyear Lake Charles Chtr'!K52+'[1]Feb midyear JS Clark'!K52+'[1]Feb midyear Southwest'!K52+'[1]Feb midyear LA Key'!K52+'[1]Feb midyear Jefferson Cham'!K52+'[1]Feb midyear Tallulah'!K52+'[1]Feb midyear Northshore'!K52+'[1]Feb midyear B.R. Charter'!K52+'[1]Feb midyear Delta'!K52+'[1]Feb midyear LAVCA'!K52+'[1]Feb midyear LA Conn'!K52</f>
        <v>-63223.081283273175</v>
      </c>
      <c r="N55" s="231">
        <f t="shared" si="29"/>
        <v>270438.81905752537</v>
      </c>
      <c r="O55" s="231">
        <v>0</v>
      </c>
      <c r="P55" s="231">
        <f>-'Table 5C1A-Madison Prep'!L55</f>
        <v>0</v>
      </c>
      <c r="Q55" s="231">
        <f>-'Table 5C1B-DArbonne'!L55</f>
        <v>0</v>
      </c>
      <c r="R55" s="231">
        <f>-'Table 5C1C-Intl_VIBE'!L55</f>
        <v>0</v>
      </c>
      <c r="S55" s="231">
        <f>-'Table 5C1D-NOMMA'!L55</f>
        <v>0</v>
      </c>
      <c r="T55" s="231">
        <f>-'Table 5C1E-LFNO'!L55</f>
        <v>0</v>
      </c>
      <c r="U55" s="231">
        <f>-'Table 5C1F-Lake Charles Charter'!L55</f>
        <v>0</v>
      </c>
      <c r="V55" s="231">
        <f>-'Table 5C1G-JS Clark Academy'!L55</f>
        <v>-1183692.0504577577</v>
      </c>
      <c r="W55" s="231">
        <f>-'Table 5C1H-Southwest LA Charter'!L55</f>
        <v>0</v>
      </c>
      <c r="X55" s="231">
        <f>-'Table 5C1I-LA Key Academy'!L55</f>
        <v>0</v>
      </c>
      <c r="Y55" s="231">
        <f>-'Table 5C1J-Jefferson Chamber'!L55</f>
        <v>0</v>
      </c>
      <c r="Z55" s="231">
        <f>-'Table 5C1K-Tallulah Charter'!L55</f>
        <v>0</v>
      </c>
      <c r="AA55" s="231">
        <f>-'Table 5C1L-Northshore Charter'!L55</f>
        <v>0</v>
      </c>
      <c r="AB55" s="231">
        <f>-'Table 5C1M-B.R. Charter'!L55</f>
        <v>0</v>
      </c>
      <c r="AC55" s="231">
        <f>-'Table 5C1N-Delta Charter'!L55</f>
        <v>0</v>
      </c>
      <c r="AD55" s="231">
        <f>-('Table 5C2 - LA Virtual Admy'!M55+'Table 5C2 - LA Virtual Admy'!I55)</f>
        <v>-493529.95609674044</v>
      </c>
      <c r="AE55" s="231">
        <f>-('Table 5C3 - LA Connections EBR'!M55+'Table 5C3 - LA Connections EBR'!I55)</f>
        <v>-247600.52537810509</v>
      </c>
      <c r="AF55" s="231">
        <f t="shared" si="32"/>
        <v>-1924822.5319326031</v>
      </c>
      <c r="AG55" s="231">
        <f>+'Table 4 Level 4'!E53</f>
        <v>84000</v>
      </c>
      <c r="AH55" s="231">
        <f>+'Table 4 Level 4'!O53</f>
        <v>147784</v>
      </c>
      <c r="AI55" s="984">
        <f t="shared" si="33"/>
        <v>78040648</v>
      </c>
      <c r="AJ55" s="231">
        <f>4*'[2]Table 2_State Distrib and Adjs'!AL55+(2*'[3]Table 2_State Distrib and Adjs'!AL55)+(2*'[4]Table 2_State Distrib and Adjs'!AL55)</f>
        <v>52881216</v>
      </c>
      <c r="AK55" s="231">
        <f t="shared" si="30"/>
        <v>25159432</v>
      </c>
      <c r="AL55" s="231">
        <f t="shared" si="34"/>
        <v>6289858</v>
      </c>
      <c r="AM55" s="231">
        <f>+'Table 4 Level 4'!J53</f>
        <v>0</v>
      </c>
      <c r="AN55" s="231">
        <f>+'Table 4 Level 4'!L53</f>
        <v>143514</v>
      </c>
      <c r="AO55" s="231">
        <f>+'Table 4 Level 4'!M53</f>
        <v>0</v>
      </c>
      <c r="AP55" s="984">
        <f t="shared" si="31"/>
        <v>78184162</v>
      </c>
      <c r="AQ55" s="41"/>
    </row>
    <row r="56" spans="1:43" ht="14.45" customHeight="1">
      <c r="A56" s="3">
        <v>50</v>
      </c>
      <c r="B56" s="7" t="s">
        <v>121</v>
      </c>
      <c r="C56" s="10">
        <f>'Table 3 Levels 1&amp;2'!AO53</f>
        <v>46038034.385652006</v>
      </c>
      <c r="D56" s="10">
        <v>0</v>
      </c>
      <c r="E56" s="10">
        <v>0</v>
      </c>
      <c r="F56" s="10">
        <f t="shared" si="26"/>
        <v>0</v>
      </c>
      <c r="G56" s="10">
        <f t="shared" si="22"/>
        <v>0</v>
      </c>
      <c r="H56" s="10">
        <f t="shared" si="27"/>
        <v>0</v>
      </c>
      <c r="I56" s="10">
        <f>'[1]October midyear adj'!K53</f>
        <v>587027.07649928692</v>
      </c>
      <c r="J56" s="10">
        <f>'[1]February midyear adj'!K53</f>
        <v>-168552.32889583486</v>
      </c>
      <c r="K56" s="10">
        <f t="shared" si="28"/>
        <v>418474.74760345207</v>
      </c>
      <c r="L56" s="10">
        <f>'[1]Oct midyear Madison Prep'!K53+'[1]Oct midyear DArbonne'!K53+'[1]Oct midyear Intl_VIBE'!K53+'[1]Oct midyear NOMMA'!K53+'[1]Oct midyear LFNO'!K53+'[1]Oct midyear Lake Charles Chtr'!K53+'[1]Oct midyear JS Clark'!K53+'[1]Oct midyear Southwest'!K53+'[1]Oct midyear LA Key'!K53+'[1]Oct midyear Jefferson Cham'!K53+'[1]Oct midyear Tallulah'!K53+'[1]Oct midyear Northshore'!K53+'[1]Oct midyear B.R. Charter'!K53+'[1]Oct midyear Delta'!K53+'[1]Oct midyear LAVCA'!K53+'[1]Oct midyear LA Conn'!K53</f>
        <v>10461.868690086307</v>
      </c>
      <c r="M56" s="10">
        <f>'[1]Feb midyear Madison Prep'!K53+'[1]Feb midyear DArbonne'!K53+'[1]Feb midyear Intl_VIBE'!K53+'[1]Feb midyear NOMMA'!K53+'[1]Feb midyear LFNO'!K53+'[1]Feb midyear Lake Charles Chtr'!K53+'[1]Feb midyear JS Clark'!K53+'[1]Feb midyear Southwest'!K53+'[1]Feb midyear LA Key'!K53+'[1]Feb midyear Jefferson Cham'!K53+'[1]Feb midyear Tallulah'!K53+'[1]Feb midyear Northshore'!K53+'[1]Feb midyear B.R. Charter'!K53+'[1]Feb midyear Delta'!K53+'[1]Feb midyear LAVCA'!K53+'[1]Feb midyear LA Conn'!K53</f>
        <v>-2615.4671725215758</v>
      </c>
      <c r="N56" s="10">
        <f t="shared" si="29"/>
        <v>7846.401517564731</v>
      </c>
      <c r="O56" s="10">
        <v>0</v>
      </c>
      <c r="P56" s="10">
        <f>-'Table 5C1A-Madison Prep'!L56</f>
        <v>0</v>
      </c>
      <c r="Q56" s="10">
        <f>-'Table 5C1B-DArbonne'!L56</f>
        <v>0</v>
      </c>
      <c r="R56" s="10">
        <f>-'Table 5C1C-Intl_VIBE'!L56</f>
        <v>0</v>
      </c>
      <c r="S56" s="10">
        <f>-'Table 5C1D-NOMMA'!L56</f>
        <v>0</v>
      </c>
      <c r="T56" s="10">
        <f>-'Table 5C1E-LFNO'!L56</f>
        <v>0</v>
      </c>
      <c r="U56" s="10">
        <f>-'Table 5C1F-Lake Charles Charter'!L56</f>
        <v>0</v>
      </c>
      <c r="V56" s="10">
        <f>-'Table 5C1G-JS Clark Academy'!L56</f>
        <v>0</v>
      </c>
      <c r="W56" s="10">
        <f>-'Table 5C1H-Southwest LA Charter'!L56</f>
        <v>0</v>
      </c>
      <c r="X56" s="10">
        <f>-'Table 5C1I-LA Key Academy'!L56</f>
        <v>0</v>
      </c>
      <c r="Y56" s="10">
        <f>-'Table 5C1J-Jefferson Chamber'!L56</f>
        <v>0</v>
      </c>
      <c r="Z56" s="10">
        <f>-'Table 5C1K-Tallulah Charter'!L56</f>
        <v>0</v>
      </c>
      <c r="AA56" s="10">
        <f>-'Table 5C1L-Northshore Charter'!L56</f>
        <v>0</v>
      </c>
      <c r="AB56" s="10">
        <f>-'Table 5C1M-B.R. Charter'!L56</f>
        <v>0</v>
      </c>
      <c r="AC56" s="10">
        <f>-'Table 5C1N-Delta Charter'!L56</f>
        <v>0</v>
      </c>
      <c r="AD56" s="10">
        <f>-('Table 5C2 - LA Virtual Admy'!M56+'Table 5C2 - LA Virtual Admy'!I56)</f>
        <v>-113336.91080926826</v>
      </c>
      <c r="AE56" s="10">
        <f>-('Table 5C3 - LA Connections EBR'!M56+'Table 5C3 - LA Connections EBR'!I56)</f>
        <v>-68873.968876401486</v>
      </c>
      <c r="AF56" s="10">
        <f t="shared" si="32"/>
        <v>-182210.87968566973</v>
      </c>
      <c r="AG56" s="10">
        <f>+'Table 4 Level 4'!E54</f>
        <v>189000</v>
      </c>
      <c r="AH56" s="10">
        <f>+'Table 4 Level 4'!O54</f>
        <v>89050</v>
      </c>
      <c r="AI56" s="985">
        <f t="shared" si="33"/>
        <v>46560195</v>
      </c>
      <c r="AJ56" s="10">
        <f>4*'[2]Table 2_State Distrib and Adjs'!AL56+(2*'[3]Table 2_State Distrib and Adjs'!AL56)+(2*'[4]Table 2_State Distrib and Adjs'!AL56)</f>
        <v>30761146</v>
      </c>
      <c r="AK56" s="10">
        <f t="shared" si="30"/>
        <v>15799049</v>
      </c>
      <c r="AL56" s="10">
        <f t="shared" si="34"/>
        <v>3949762</v>
      </c>
      <c r="AM56" s="10">
        <f>+'Table 4 Level 4'!J54</f>
        <v>28000</v>
      </c>
      <c r="AN56" s="10">
        <f>+'Table 4 Level 4'!L54</f>
        <v>63308</v>
      </c>
      <c r="AO56" s="10">
        <f>+'Table 4 Level 4'!M54</f>
        <v>11857</v>
      </c>
      <c r="AP56" s="985">
        <f t="shared" si="31"/>
        <v>46663360</v>
      </c>
      <c r="AQ56" s="41"/>
    </row>
    <row r="57" spans="1:43" ht="14.45" customHeight="1">
      <c r="A57" s="224">
        <v>51</v>
      </c>
      <c r="B57" s="225" t="s">
        <v>122</v>
      </c>
      <c r="C57" s="227">
        <f>'Table 3 Levels 1&amp;2'!AO54</f>
        <v>43232425.338777997</v>
      </c>
      <c r="D57" s="227">
        <v>-10069.069670736615</v>
      </c>
      <c r="E57" s="227">
        <v>-6485.5430765726924</v>
      </c>
      <c r="F57" s="227">
        <f t="shared" si="26"/>
        <v>-16554.612747309307</v>
      </c>
      <c r="G57" s="227">
        <f t="shared" si="22"/>
        <v>0</v>
      </c>
      <c r="H57" s="227">
        <f t="shared" si="27"/>
        <v>-16554.612747309307</v>
      </c>
      <c r="I57" s="227">
        <f>'[1]October midyear adj'!K54</f>
        <v>437476.75741961098</v>
      </c>
      <c r="J57" s="227">
        <f>'[1]February midyear adj'!K54</f>
        <v>-116660.46864522959</v>
      </c>
      <c r="K57" s="227">
        <f t="shared" si="28"/>
        <v>320816.28877438139</v>
      </c>
      <c r="L57" s="227">
        <f>'[1]Oct midyear Madison Prep'!K54+'[1]Oct midyear DArbonne'!K54+'[1]Oct midyear Intl_VIBE'!K54+'[1]Oct midyear NOMMA'!K54+'[1]Oct midyear LFNO'!K54+'[1]Oct midyear Lake Charles Chtr'!K54+'[1]Oct midyear JS Clark'!K54+'[1]Oct midyear Southwest'!K54+'[1]Oct midyear LA Key'!K54+'[1]Oct midyear Jefferson Cham'!K54+'[1]Oct midyear Tallulah'!K54+'[1]Oct midyear Northshore'!K54+'[1]Oct midyear B.R. Charter'!K54+'[1]Oct midyear Delta'!K54+'[1]Oct midyear LAVCA'!K54+'[1]Oct midyear LA Conn'!K54</f>
        <v>39372.908167764988</v>
      </c>
      <c r="M57" s="227">
        <f>'[1]Feb midyear Madison Prep'!K54+'[1]Feb midyear DArbonne'!K54+'[1]Feb midyear Intl_VIBE'!K54+'[1]Feb midyear NOMMA'!K54+'[1]Feb midyear LFNO'!K54+'[1]Feb midyear Lake Charles Chtr'!K54+'[1]Feb midyear JS Clark'!K54+'[1]Feb midyear Southwest'!K54+'[1]Feb midyear LA Key'!K54+'[1]Feb midyear Jefferson Cham'!K54+'[1]Feb midyear Tallulah'!K54+'[1]Feb midyear Northshore'!K54+'[1]Feb midyear B.R. Charter'!K54+'[1]Feb midyear Delta'!K54+'[1]Feb midyear LAVCA'!K54+'[1]Feb midyear LA Conn'!K54</f>
        <v>-8749.5351483922186</v>
      </c>
      <c r="N57" s="227">
        <f t="shared" si="29"/>
        <v>30623.373019372768</v>
      </c>
      <c r="O57" s="227">
        <v>0</v>
      </c>
      <c r="P57" s="227">
        <f>-'Table 5C1A-Madison Prep'!L57</f>
        <v>0</v>
      </c>
      <c r="Q57" s="227">
        <f>-'Table 5C1B-DArbonne'!L57</f>
        <v>0</v>
      </c>
      <c r="R57" s="227">
        <f>-'Table 5C1C-Intl_VIBE'!L57</f>
        <v>0</v>
      </c>
      <c r="S57" s="227">
        <f>-'Table 5C1D-NOMMA'!L57</f>
        <v>0</v>
      </c>
      <c r="T57" s="227">
        <f>-'Table 5C1E-LFNO'!L57</f>
        <v>0</v>
      </c>
      <c r="U57" s="227">
        <f>-'Table 5C1F-Lake Charles Charter'!L57</f>
        <v>0</v>
      </c>
      <c r="V57" s="227">
        <f>-'Table 5C1G-JS Clark Academy'!L57</f>
        <v>0</v>
      </c>
      <c r="W57" s="227">
        <f>-'Table 5C1H-Southwest LA Charter'!L57</f>
        <v>0</v>
      </c>
      <c r="X57" s="227">
        <f>-'Table 5C1I-LA Key Academy'!L57</f>
        <v>0</v>
      </c>
      <c r="Y57" s="227">
        <f>-'Table 5C1J-Jefferson Chamber'!L57</f>
        <v>0</v>
      </c>
      <c r="Z57" s="227">
        <f>-'Table 5C1K-Tallulah Charter'!L57</f>
        <v>0</v>
      </c>
      <c r="AA57" s="227">
        <f>-'Table 5C1L-Northshore Charter'!L57</f>
        <v>0</v>
      </c>
      <c r="AB57" s="227">
        <f>-'Table 5C1M-B.R. Charter'!L57</f>
        <v>0</v>
      </c>
      <c r="AC57" s="227">
        <f>-'Table 5C1N-Delta Charter'!L57</f>
        <v>0</v>
      </c>
      <c r="AD57" s="227">
        <f>-('Table 5C2 - LA Virtual Admy'!M57+'Table 5C2 - LA Virtual Admy'!I57)</f>
        <v>-72183.664974235799</v>
      </c>
      <c r="AE57" s="227">
        <f>-('Table 5C3 - LA Connections EBR'!M57+'Table 5C3 - LA Connections EBR'!I57)</f>
        <v>-65378.470969930742</v>
      </c>
      <c r="AF57" s="227">
        <f t="shared" si="32"/>
        <v>-137562.13594416654</v>
      </c>
      <c r="AG57" s="227">
        <f>+'Table 4 Level 4'!E55</f>
        <v>0</v>
      </c>
      <c r="AH57" s="227">
        <f>+'Table 4 Level 4'!O55</f>
        <v>101868</v>
      </c>
      <c r="AI57" s="983">
        <f t="shared" si="33"/>
        <v>43531616</v>
      </c>
      <c r="AJ57" s="227">
        <f>4*'[2]Table 2_State Distrib and Adjs'!AL57+(2*'[3]Table 2_State Distrib and Adjs'!AL57)+(2*'[4]Table 2_State Distrib and Adjs'!AL57)</f>
        <v>28807200</v>
      </c>
      <c r="AK57" s="227">
        <f t="shared" si="30"/>
        <v>14724416</v>
      </c>
      <c r="AL57" s="227">
        <f t="shared" si="34"/>
        <v>3681104</v>
      </c>
      <c r="AM57" s="227">
        <f>+'Table 4 Level 4'!J55</f>
        <v>0</v>
      </c>
      <c r="AN57" s="227">
        <f>+'Table 4 Level 4'!L55</f>
        <v>62594</v>
      </c>
      <c r="AO57" s="227">
        <f>+'Table 4 Level 4'!M55</f>
        <v>24324</v>
      </c>
      <c r="AP57" s="983">
        <f t="shared" si="31"/>
        <v>43618534</v>
      </c>
      <c r="AQ57" s="41"/>
    </row>
    <row r="58" spans="1:43" ht="14.45" customHeight="1">
      <c r="A58" s="228">
        <v>52</v>
      </c>
      <c r="B58" s="229" t="s">
        <v>123</v>
      </c>
      <c r="C58" s="231">
        <f>'Table 3 Levels 1&amp;2'!AO55</f>
        <v>212956715.30344641</v>
      </c>
      <c r="D58" s="231">
        <v>-11190.032351971196</v>
      </c>
      <c r="E58" s="231">
        <v>-60477.684267664823</v>
      </c>
      <c r="F58" s="231">
        <f t="shared" si="26"/>
        <v>-71667.716619636019</v>
      </c>
      <c r="G58" s="231">
        <f t="shared" si="22"/>
        <v>0</v>
      </c>
      <c r="H58" s="231">
        <f t="shared" si="27"/>
        <v>-71667.716619636019</v>
      </c>
      <c r="I58" s="231">
        <f>'[1]October midyear adj'!K55</f>
        <v>1041157.3143831528</v>
      </c>
      <c r="J58" s="231">
        <f>'[1]February midyear adj'!K55</f>
        <v>-165898.69295116171</v>
      </c>
      <c r="K58" s="231">
        <f t="shared" si="28"/>
        <v>875258.62143199099</v>
      </c>
      <c r="L58" s="231">
        <f>'[1]Oct midyear Madison Prep'!K55+'[1]Oct midyear DArbonne'!K55+'[1]Oct midyear Intl_VIBE'!K55+'[1]Oct midyear NOMMA'!K55+'[1]Oct midyear LFNO'!K55+'[1]Oct midyear Lake Charles Chtr'!K55+'[1]Oct midyear JS Clark'!K55+'[1]Oct midyear Southwest'!K55+'[1]Oct midyear LA Key'!K55+'[1]Oct midyear Jefferson Cham'!K55+'[1]Oct midyear Tallulah'!K55+'[1]Oct midyear Northshore'!K55+'[1]Oct midyear B.R. Charter'!K55+'[1]Oct midyear Delta'!K55+'[1]Oct midyear LAVCA'!K55+'[1]Oct midyear LA Conn'!K55</f>
        <v>268870.29547257244</v>
      </c>
      <c r="M58" s="231">
        <f>'[1]Feb midyear Madison Prep'!K55+'[1]Feb midyear DArbonne'!K55+'[1]Feb midyear Intl_VIBE'!K55+'[1]Feb midyear NOMMA'!K55+'[1]Feb midyear LFNO'!K55+'[1]Feb midyear Lake Charles Chtr'!K55+'[1]Feb midyear JS Clark'!K55+'[1]Feb midyear Southwest'!K55+'[1]Feb midyear LA Key'!K55+'[1]Feb midyear Jefferson Cham'!K55+'[1]Feb midyear Tallulah'!K55+'[1]Feb midyear Northshore'!K55+'[1]Feb midyear B.R. Charter'!K55+'[1]Feb midyear Delta'!K55+'[1]Feb midyear LAVCA'!K55+'[1]Feb midyear LA Conn'!K55</f>
        <v>-286.03222922614077</v>
      </c>
      <c r="N58" s="231">
        <f t="shared" si="29"/>
        <v>268584.2632433463</v>
      </c>
      <c r="O58" s="231">
        <v>0</v>
      </c>
      <c r="P58" s="231">
        <f>-'Table 5C1A-Madison Prep'!L58</f>
        <v>0</v>
      </c>
      <c r="Q58" s="231">
        <f>-'Table 5C1B-DArbonne'!L58</f>
        <v>0</v>
      </c>
      <c r="R58" s="231">
        <f>-'Table 5C1C-Intl_VIBE'!L58</f>
        <v>-2860.3222922614086</v>
      </c>
      <c r="S58" s="231">
        <f>-'Table 5C1D-NOMMA'!L58</f>
        <v>0</v>
      </c>
      <c r="T58" s="231">
        <f>-'Table 5C1E-LFNO'!L58</f>
        <v>-5720.6445845228172</v>
      </c>
      <c r="U58" s="231">
        <f>-'Table 5C1F-Lake Charles Charter'!L58</f>
        <v>0</v>
      </c>
      <c r="V58" s="231">
        <f>-'Table 5C1G-JS Clark Academy'!L58</f>
        <v>0</v>
      </c>
      <c r="W58" s="231">
        <f>-'Table 5C1H-Southwest LA Charter'!L58</f>
        <v>0</v>
      </c>
      <c r="X58" s="231">
        <f>-'Table 5C1I-LA Key Academy'!L58</f>
        <v>0</v>
      </c>
      <c r="Y58" s="231">
        <f>-'Table 5C1J-Jefferson Chamber'!L58</f>
        <v>0</v>
      </c>
      <c r="Z58" s="231">
        <f>-'Table 5C1K-Tallulah Charter'!L58</f>
        <v>0</v>
      </c>
      <c r="AA58" s="231">
        <f>-'Table 5C1L-Northshore Charter'!L58</f>
        <v>-5720.6445845228172</v>
      </c>
      <c r="AB58" s="231">
        <f>-'Table 5C1M-B.R. Charter'!L58</f>
        <v>0</v>
      </c>
      <c r="AC58" s="231">
        <f>-'Table 5C1N-Delta Charter'!L58</f>
        <v>0</v>
      </c>
      <c r="AD58" s="231">
        <f>-('Table 5C2 - LA Virtual Admy'!M58+'Table 5C2 - LA Virtual Admy'!I58)</f>
        <v>-665596.99740922975</v>
      </c>
      <c r="AE58" s="231">
        <f>-('Table 5C3 - LA Connections EBR'!M58+'Table 5C3 - LA Connections EBR'!I58)</f>
        <v>-721373.28210832714</v>
      </c>
      <c r="AF58" s="231">
        <f t="shared" si="32"/>
        <v>-1401271.8909788639</v>
      </c>
      <c r="AG58" s="231">
        <f>+'Table 4 Level 4'!E56</f>
        <v>0</v>
      </c>
      <c r="AH58" s="231">
        <f>+'Table 4 Level 4'!O56</f>
        <v>425282</v>
      </c>
      <c r="AI58" s="984">
        <f t="shared" si="33"/>
        <v>213052901</v>
      </c>
      <c r="AJ58" s="231">
        <f>4*'[2]Table 2_State Distrib and Adjs'!AL58+(2*'[3]Table 2_State Distrib and Adjs'!AL58)+(2*'[4]Table 2_State Distrib and Adjs'!AL58)</f>
        <v>141451760</v>
      </c>
      <c r="AK58" s="231">
        <f t="shared" si="30"/>
        <v>71601141</v>
      </c>
      <c r="AL58" s="231">
        <f t="shared" si="34"/>
        <v>17900285</v>
      </c>
      <c r="AM58" s="231">
        <f>+'Table 4 Level 4'!J56</f>
        <v>0</v>
      </c>
      <c r="AN58" s="231">
        <f>+'Table 4 Level 4'!L56</f>
        <v>511700</v>
      </c>
      <c r="AO58" s="231">
        <f>+'Table 4 Level 4'!M56</f>
        <v>148080</v>
      </c>
      <c r="AP58" s="984">
        <f t="shared" si="31"/>
        <v>213712681</v>
      </c>
      <c r="AQ58" s="41"/>
    </row>
    <row r="59" spans="1:43" ht="14.45" customHeight="1">
      <c r="A59" s="228">
        <v>53</v>
      </c>
      <c r="B59" s="229" t="s">
        <v>124</v>
      </c>
      <c r="C59" s="231">
        <f>'Table 3 Levels 1&amp;2'!AO56</f>
        <v>111743378.18430799</v>
      </c>
      <c r="D59" s="231">
        <v>0</v>
      </c>
      <c r="E59" s="231">
        <v>-5243.9590764460281</v>
      </c>
      <c r="F59" s="231">
        <f t="shared" si="26"/>
        <v>-5243.9590764460281</v>
      </c>
      <c r="G59" s="231">
        <f t="shared" si="22"/>
        <v>0</v>
      </c>
      <c r="H59" s="231">
        <f t="shared" si="27"/>
        <v>-5243.9590764460281</v>
      </c>
      <c r="I59" s="231">
        <f>'[1]October midyear adj'!K56</f>
        <v>298994.32260903652</v>
      </c>
      <c r="J59" s="231">
        <f>'[1]February midyear adj'!K56</f>
        <v>-365118.06703218882</v>
      </c>
      <c r="K59" s="231">
        <f t="shared" si="28"/>
        <v>-66123.744423152297</v>
      </c>
      <c r="L59" s="231">
        <f>'[1]Oct midyear Madison Prep'!K56+'[1]Oct midyear DArbonne'!K56+'[1]Oct midyear Intl_VIBE'!K56+'[1]Oct midyear NOMMA'!K56+'[1]Oct midyear LFNO'!K56+'[1]Oct midyear Lake Charles Chtr'!K56+'[1]Oct midyear JS Clark'!K56+'[1]Oct midyear Southwest'!K56+'[1]Oct midyear LA Key'!K56+'[1]Oct midyear Jefferson Cham'!K56+'[1]Oct midyear Tallulah'!K56+'[1]Oct midyear Northshore'!K56+'[1]Oct midyear B.R. Charter'!K56+'[1]Oct midyear Delta'!K56+'[1]Oct midyear LAVCA'!K56+'[1]Oct midyear LA Conn'!K56</f>
        <v>41399.213899712748</v>
      </c>
      <c r="M59" s="231">
        <f>'[1]Feb midyear Madison Prep'!K56+'[1]Feb midyear DArbonne'!K56+'[1]Feb midyear Intl_VIBE'!K56+'[1]Feb midyear NOMMA'!K56+'[1]Feb midyear LFNO'!K56+'[1]Feb midyear Lake Charles Chtr'!K56+'[1]Feb midyear JS Clark'!K56+'[1]Feb midyear Southwest'!K56+'[1]Feb midyear LA Key'!K56+'[1]Feb midyear Jefferson Cham'!K56+'[1]Feb midyear Tallulah'!K56+'[1]Feb midyear Northshore'!K56+'[1]Feb midyear B.R. Charter'!K56+'[1]Feb midyear Delta'!K56+'[1]Feb midyear LAVCA'!K56+'[1]Feb midyear LA Conn'!K56</f>
        <v>-18112.156081124325</v>
      </c>
      <c r="N59" s="231">
        <f t="shared" si="29"/>
        <v>23287.057818588422</v>
      </c>
      <c r="O59" s="231">
        <v>0</v>
      </c>
      <c r="P59" s="231">
        <f>-'Table 5C1A-Madison Prep'!L59</f>
        <v>0</v>
      </c>
      <c r="Q59" s="231">
        <f>-'Table 5C1B-DArbonne'!L59</f>
        <v>0</v>
      </c>
      <c r="R59" s="231">
        <f>-'Table 5C1C-Intl_VIBE'!L59</f>
        <v>0</v>
      </c>
      <c r="S59" s="231">
        <f>-'Table 5C1D-NOMMA'!L59</f>
        <v>0</v>
      </c>
      <c r="T59" s="231">
        <f>-'Table 5C1E-LFNO'!L59</f>
        <v>0</v>
      </c>
      <c r="U59" s="231">
        <f>-'Table 5C1F-Lake Charles Charter'!L59</f>
        <v>0</v>
      </c>
      <c r="V59" s="231">
        <f>-'Table 5C1G-JS Clark Academy'!L59</f>
        <v>0</v>
      </c>
      <c r="W59" s="231">
        <f>-'Table 5C1H-Southwest LA Charter'!L59</f>
        <v>0</v>
      </c>
      <c r="X59" s="231">
        <f>-'Table 5C1I-LA Key Academy'!L59</f>
        <v>0</v>
      </c>
      <c r="Y59" s="231">
        <f>-'Table 5C1J-Jefferson Chamber'!L59</f>
        <v>0</v>
      </c>
      <c r="Z59" s="231">
        <f>-'Table 5C1K-Tallulah Charter'!L59</f>
        <v>0</v>
      </c>
      <c r="AA59" s="231">
        <f>-'Table 5C1L-Northshore Charter'!L59</f>
        <v>0</v>
      </c>
      <c r="AB59" s="231">
        <f>-'Table 5C1M-B.R. Charter'!L59</f>
        <v>0</v>
      </c>
      <c r="AC59" s="231">
        <f>-'Table 5C1N-Delta Charter'!L59</f>
        <v>0</v>
      </c>
      <c r="AD59" s="231">
        <f>-('Table 5C2 - LA Virtual Admy'!M59+'Table 5C2 - LA Virtual Admy'!I59)</f>
        <v>-568951.69658008008</v>
      </c>
      <c r="AE59" s="231">
        <f>-('Table 5C3 - LA Connections EBR'!M59+'Table 5C3 - LA Connections EBR'!I59)</f>
        <v>-431816.80053728155</v>
      </c>
      <c r="AF59" s="231">
        <f t="shared" si="32"/>
        <v>-1000768.4971173616</v>
      </c>
      <c r="AG59" s="231">
        <f>+'Table 4 Level 4'!E57</f>
        <v>105000</v>
      </c>
      <c r="AH59" s="231">
        <f>+'Table 4 Level 4'!O57</f>
        <v>217776</v>
      </c>
      <c r="AI59" s="984">
        <f t="shared" si="33"/>
        <v>111017305</v>
      </c>
      <c r="AJ59" s="231">
        <f>4*'[2]Table 2_State Distrib and Adjs'!AL59+(2*'[3]Table 2_State Distrib and Adjs'!AL59)+(2*'[4]Table 2_State Distrib and Adjs'!AL59)</f>
        <v>74055618</v>
      </c>
      <c r="AK59" s="231">
        <f t="shared" si="30"/>
        <v>36961687</v>
      </c>
      <c r="AL59" s="231">
        <f t="shared" si="34"/>
        <v>9240422</v>
      </c>
      <c r="AM59" s="231">
        <f>+'Table 4 Level 4'!J57</f>
        <v>4000</v>
      </c>
      <c r="AN59" s="231">
        <f>+'Table 4 Level 4'!L57</f>
        <v>92820</v>
      </c>
      <c r="AO59" s="231">
        <f>+'Table 4 Level 4'!M57</f>
        <v>92353</v>
      </c>
      <c r="AP59" s="984">
        <f t="shared" si="31"/>
        <v>111206478</v>
      </c>
      <c r="AQ59" s="41"/>
    </row>
    <row r="60" spans="1:43" ht="14.45" customHeight="1">
      <c r="A60" s="228">
        <v>54</v>
      </c>
      <c r="B60" s="229" t="s">
        <v>125</v>
      </c>
      <c r="C60" s="231">
        <f>'Table 3 Levels 1&amp;2'!AO57</f>
        <v>4486592.6327799996</v>
      </c>
      <c r="D60" s="231">
        <v>0</v>
      </c>
      <c r="E60" s="231">
        <v>0</v>
      </c>
      <c r="F60" s="231">
        <f t="shared" si="26"/>
        <v>0</v>
      </c>
      <c r="G60" s="231">
        <f t="shared" si="22"/>
        <v>0</v>
      </c>
      <c r="H60" s="231">
        <f t="shared" si="27"/>
        <v>0</v>
      </c>
      <c r="I60" s="231">
        <f>'[1]October midyear adj'!K57</f>
        <v>-34092.649185258357</v>
      </c>
      <c r="J60" s="231">
        <f>'[1]February midyear adj'!K57</f>
        <v>-27274.119348206685</v>
      </c>
      <c r="K60" s="231">
        <f t="shared" si="28"/>
        <v>-61366.768533465045</v>
      </c>
      <c r="L60" s="231">
        <f>'[1]Oct midyear Madison Prep'!K57+'[1]Oct midyear DArbonne'!K57+'[1]Oct midyear Intl_VIBE'!K57+'[1]Oct midyear NOMMA'!K57+'[1]Oct midyear LFNO'!K57+'[1]Oct midyear Lake Charles Chtr'!K57+'[1]Oct midyear JS Clark'!K57+'[1]Oct midyear Southwest'!K57+'[1]Oct midyear LA Key'!K57+'[1]Oct midyear Jefferson Cham'!K57+'[1]Oct midyear Tallulah'!K57+'[1]Oct midyear Northshore'!K57+'[1]Oct midyear B.R. Charter'!K57+'[1]Oct midyear Delta'!K57+'[1]Oct midyear LAVCA'!K57+'[1]Oct midyear LA Conn'!K57</f>
        <v>30683.384266732523</v>
      </c>
      <c r="M60" s="231">
        <f>'[1]Feb midyear Madison Prep'!K57+'[1]Feb midyear DArbonne'!K57+'[1]Feb midyear Intl_VIBE'!K57+'[1]Feb midyear NOMMA'!K57+'[1]Feb midyear LFNO'!K57+'[1]Feb midyear Lake Charles Chtr'!K57+'[1]Feb midyear JS Clark'!K57+'[1]Feb midyear Southwest'!K57+'[1]Feb midyear LA Key'!K57+'[1]Feb midyear Jefferson Cham'!K57+'[1]Feb midyear Tallulah'!K57+'[1]Feb midyear Northshore'!K57+'[1]Feb midyear B.R. Charter'!K57+'[1]Feb midyear Delta'!K57+'[1]Feb midyear LAVCA'!K57+'[1]Feb midyear LA Conn'!K57</f>
        <v>340.92649185258324</v>
      </c>
      <c r="N60" s="231">
        <f t="shared" si="29"/>
        <v>31024.310758585107</v>
      </c>
      <c r="O60" s="231">
        <v>0</v>
      </c>
      <c r="P60" s="231">
        <f>-'Table 5C1A-Madison Prep'!L60</f>
        <v>0</v>
      </c>
      <c r="Q60" s="231">
        <f>-'Table 5C1B-DArbonne'!L60</f>
        <v>0</v>
      </c>
      <c r="R60" s="231">
        <f>-'Table 5C1C-Intl_VIBE'!L60</f>
        <v>0</v>
      </c>
      <c r="S60" s="231">
        <f>-'Table 5C1D-NOMMA'!L60</f>
        <v>0</v>
      </c>
      <c r="T60" s="231">
        <f>-'Table 5C1E-LFNO'!L60</f>
        <v>0</v>
      </c>
      <c r="U60" s="231">
        <f>-'Table 5C1F-Lake Charles Charter'!L60</f>
        <v>0</v>
      </c>
      <c r="V60" s="231">
        <f>-'Table 5C1G-JS Clark Academy'!L60</f>
        <v>0</v>
      </c>
      <c r="W60" s="231">
        <f>-'Table 5C1H-Southwest LA Charter'!L60</f>
        <v>0</v>
      </c>
      <c r="X60" s="231">
        <f>-'Table 5C1I-LA Key Academy'!L60</f>
        <v>0</v>
      </c>
      <c r="Y60" s="231">
        <f>-'Table 5C1J-Jefferson Chamber'!L60</f>
        <v>0</v>
      </c>
      <c r="Z60" s="231">
        <f>-'Table 5C1K-Tallulah Charter'!L60</f>
        <v>-3409.2649185258356</v>
      </c>
      <c r="AA60" s="231">
        <f>-'Table 5C1L-Northshore Charter'!L60</f>
        <v>0</v>
      </c>
      <c r="AB60" s="231">
        <f>-'Table 5C1M-B.R. Charter'!L60</f>
        <v>0</v>
      </c>
      <c r="AC60" s="231">
        <f>-'Table 5C1N-Delta Charter'!L60</f>
        <v>-54548.238696413369</v>
      </c>
      <c r="AD60" s="231">
        <f>-('Table 5C2 - LA Virtual Admy'!M60+'Table 5C2 - LA Virtual Admy'!I60)</f>
        <v>-3068.3384266732523</v>
      </c>
      <c r="AE60" s="231">
        <f>-('Table 5C3 - LA Connections EBR'!M60+'Table 5C3 - LA Connections EBR'!I60)</f>
        <v>-65457.886435696048</v>
      </c>
      <c r="AF60" s="231">
        <f t="shared" si="32"/>
        <v>-126483.7284773085</v>
      </c>
      <c r="AG60" s="231">
        <f>+'Table 4 Level 4'!E58</f>
        <v>0</v>
      </c>
      <c r="AH60" s="231">
        <f>+'Table 4 Level 4'!O58</f>
        <v>7202</v>
      </c>
      <c r="AI60" s="984">
        <f t="shared" si="33"/>
        <v>4336968</v>
      </c>
      <c r="AJ60" s="231">
        <f>4*'[2]Table 2_State Distrib and Adjs'!AL60+(2*'[3]Table 2_State Distrib and Adjs'!AL60)+(2*'[4]Table 2_State Distrib and Adjs'!AL60)</f>
        <v>2932224</v>
      </c>
      <c r="AK60" s="231">
        <f t="shared" si="30"/>
        <v>1404744</v>
      </c>
      <c r="AL60" s="231">
        <f t="shared" si="34"/>
        <v>351186</v>
      </c>
      <c r="AM60" s="231">
        <f>+'Table 4 Level 4'!J58</f>
        <v>0</v>
      </c>
      <c r="AN60" s="231">
        <f>+'Table 4 Level 4'!L58</f>
        <v>25000</v>
      </c>
      <c r="AO60" s="231">
        <f>+'Table 4 Level 4'!M58</f>
        <v>4464</v>
      </c>
      <c r="AP60" s="984">
        <f t="shared" si="31"/>
        <v>4366432</v>
      </c>
      <c r="AQ60" s="41"/>
    </row>
    <row r="61" spans="1:43" ht="14.45" customHeight="1">
      <c r="A61" s="3">
        <v>55</v>
      </c>
      <c r="B61" s="7" t="s">
        <v>126</v>
      </c>
      <c r="C61" s="10">
        <f>'Table 3 Levels 1&amp;2'!AO58</f>
        <v>90052313.74902001</v>
      </c>
      <c r="D61" s="10">
        <v>7348.328077695478</v>
      </c>
      <c r="E61" s="10">
        <v>0</v>
      </c>
      <c r="F61" s="10">
        <f t="shared" si="26"/>
        <v>7348.328077695478</v>
      </c>
      <c r="G61" s="10">
        <f t="shared" si="22"/>
        <v>7348.328077695478</v>
      </c>
      <c r="H61" s="10">
        <f t="shared" si="27"/>
        <v>0</v>
      </c>
      <c r="I61" s="10">
        <f>'[1]October midyear adj'!K58</f>
        <v>-288531.86530040135</v>
      </c>
      <c r="J61" s="10">
        <f>'[1]February midyear adj'!K58</f>
        <v>-359399.34098821925</v>
      </c>
      <c r="K61" s="10">
        <f t="shared" si="28"/>
        <v>-647931.2062886206</v>
      </c>
      <c r="L61" s="10">
        <f>'[1]Oct midyear Madison Prep'!K58+'[1]Oct midyear DArbonne'!K58+'[1]Oct midyear Intl_VIBE'!K58+'[1]Oct midyear NOMMA'!K58+'[1]Oct midyear LFNO'!K58+'[1]Oct midyear Lake Charles Chtr'!K58+'[1]Oct midyear JS Clark'!K58+'[1]Oct midyear Southwest'!K58+'[1]Oct midyear LA Key'!K58+'[1]Oct midyear Jefferson Cham'!K58+'[1]Oct midyear Tallulah'!K58+'[1]Oct midyear Northshore'!K58+'[1]Oct midyear B.R. Charter'!K58+'[1]Oct midyear Delta'!K58+'[1]Oct midyear LAVCA'!K58+'[1]Oct midyear LA Conn'!K58</f>
        <v>113894.15735542159</v>
      </c>
      <c r="M61" s="10">
        <f>'[1]Feb midyear Madison Prep'!K58+'[1]Feb midyear DArbonne'!K58+'[1]Feb midyear Intl_VIBE'!K58+'[1]Feb midyear NOMMA'!K58+'[1]Feb midyear LFNO'!K58+'[1]Feb midyear Lake Charles Chtr'!K58+'[1]Feb midyear JS Clark'!K58+'[1]Feb midyear Southwest'!K58+'[1]Feb midyear LA Key'!K58+'[1]Feb midyear Jefferson Cham'!K58+'[1]Feb midyear Tallulah'!K58+'[1]Feb midyear Northshore'!K58+'[1]Feb midyear B.R. Charter'!K58+'[1]Feb midyear Delta'!K58+'[1]Feb midyear LAVCA'!K58+'[1]Feb midyear LA Conn'!K58</f>
        <v>6833.6494413252949</v>
      </c>
      <c r="N61" s="10">
        <f t="shared" si="29"/>
        <v>120727.80679674688</v>
      </c>
      <c r="O61" s="10">
        <v>0</v>
      </c>
      <c r="P61" s="10">
        <f>-'Table 5C1A-Madison Prep'!L61</f>
        <v>0</v>
      </c>
      <c r="Q61" s="10">
        <f>-'Table 5C1B-DArbonne'!L61</f>
        <v>0</v>
      </c>
      <c r="R61" s="10">
        <f>-'Table 5C1C-Intl_VIBE'!L61</f>
        <v>0</v>
      </c>
      <c r="S61" s="10">
        <f>-'Table 5C1D-NOMMA'!L61</f>
        <v>0</v>
      </c>
      <c r="T61" s="10">
        <f>-'Table 5C1E-LFNO'!L61</f>
        <v>0</v>
      </c>
      <c r="U61" s="10">
        <f>-'Table 5C1F-Lake Charles Charter'!L61</f>
        <v>0</v>
      </c>
      <c r="V61" s="10">
        <f>-'Table 5C1G-JS Clark Academy'!L61</f>
        <v>0</v>
      </c>
      <c r="W61" s="10">
        <f>-'Table 5C1H-Southwest LA Charter'!L61</f>
        <v>0</v>
      </c>
      <c r="X61" s="10">
        <f>-'Table 5C1I-LA Key Academy'!L61</f>
        <v>0</v>
      </c>
      <c r="Y61" s="10">
        <f>-'Table 5C1J-Jefferson Chamber'!L61</f>
        <v>0</v>
      </c>
      <c r="Z61" s="10">
        <f>-'Table 5C1K-Tallulah Charter'!L61</f>
        <v>0</v>
      </c>
      <c r="AA61" s="10">
        <f>-'Table 5C1L-Northshore Charter'!L61</f>
        <v>0</v>
      </c>
      <c r="AB61" s="10">
        <f>-'Table 5C1M-B.R. Charter'!L61</f>
        <v>0</v>
      </c>
      <c r="AC61" s="10">
        <f>-'Table 5C1N-Delta Charter'!L61</f>
        <v>0</v>
      </c>
      <c r="AD61" s="10">
        <f>-('Table 5C2 - LA Virtual Admy'!M61+'Table 5C2 - LA Virtual Admy'!I61)</f>
        <v>-212349.32893599715</v>
      </c>
      <c r="AE61" s="10">
        <f>-('Table 5C3 - LA Connections EBR'!M61+'Table 5C3 - LA Connections EBR'!I61)</f>
        <v>-252591.9312015794</v>
      </c>
      <c r="AF61" s="10">
        <f t="shared" si="32"/>
        <v>-464941.26013757655</v>
      </c>
      <c r="AG61" s="10">
        <f>+'Table 4 Level 4'!E59</f>
        <v>0</v>
      </c>
      <c r="AH61" s="10">
        <f>+'Table 4 Level 4'!O59</f>
        <v>191880</v>
      </c>
      <c r="AI61" s="985">
        <f t="shared" si="33"/>
        <v>89259397</v>
      </c>
      <c r="AJ61" s="10">
        <f>4*'[2]Table 2_State Distrib and Adjs'!AL61+(2*'[3]Table 2_State Distrib and Adjs'!AL61)+(2*'[4]Table 2_State Distrib and Adjs'!AL61)</f>
        <v>59938218</v>
      </c>
      <c r="AK61" s="10">
        <f t="shared" si="30"/>
        <v>29321179</v>
      </c>
      <c r="AL61" s="10">
        <f t="shared" si="34"/>
        <v>7330295</v>
      </c>
      <c r="AM61" s="10">
        <f>+'Table 4 Level 4'!J59</f>
        <v>0</v>
      </c>
      <c r="AN61" s="10">
        <f>+'Table 4 Level 4'!L59</f>
        <v>189448</v>
      </c>
      <c r="AO61" s="10">
        <f>+'Table 4 Level 4'!M59</f>
        <v>261322</v>
      </c>
      <c r="AP61" s="985">
        <f t="shared" si="31"/>
        <v>89710167</v>
      </c>
      <c r="AQ61" s="41"/>
    </row>
    <row r="62" spans="1:43" ht="14.45" customHeight="1">
      <c r="A62" s="224">
        <v>56</v>
      </c>
      <c r="B62" s="225" t="s">
        <v>127</v>
      </c>
      <c r="C62" s="227">
        <f>'Table 3 Levels 1&amp;2'!AO59</f>
        <v>16286133.615232</v>
      </c>
      <c r="D62" s="227">
        <v>0</v>
      </c>
      <c r="E62" s="227">
        <v>0</v>
      </c>
      <c r="F62" s="227">
        <f t="shared" si="26"/>
        <v>0</v>
      </c>
      <c r="G62" s="227">
        <f t="shared" si="22"/>
        <v>0</v>
      </c>
      <c r="H62" s="227">
        <f t="shared" si="27"/>
        <v>0</v>
      </c>
      <c r="I62" s="227">
        <f>'[1]October midyear adj'!K59</f>
        <v>-355518.50927221618</v>
      </c>
      <c r="J62" s="227">
        <f>'[1]February midyear adj'!K59</f>
        <v>107219.86787574775</v>
      </c>
      <c r="K62" s="227">
        <f t="shared" si="28"/>
        <v>-248298.64139646845</v>
      </c>
      <c r="L62" s="227">
        <f>'[1]Oct midyear Madison Prep'!K59+'[1]Oct midyear DArbonne'!K59+'[1]Oct midyear Intl_VIBE'!K59+'[1]Oct midyear NOMMA'!K59+'[1]Oct midyear LFNO'!K59+'[1]Oct midyear Lake Charles Chtr'!K59+'[1]Oct midyear JS Clark'!K59+'[1]Oct midyear Southwest'!K59+'[1]Oct midyear LA Key'!K59+'[1]Oct midyear Jefferson Cham'!K59+'[1]Oct midyear Tallulah'!K59+'[1]Oct midyear Northshore'!K59+'[1]Oct midyear B.R. Charter'!K59+'[1]Oct midyear Delta'!K59+'[1]Oct midyear LAVCA'!K59+'[1]Oct midyear LA Conn'!K59</f>
        <v>510140.84505092609</v>
      </c>
      <c r="M62" s="227">
        <f>'[1]Feb midyear Madison Prep'!K59+'[1]Feb midyear DArbonne'!K59+'[1]Feb midyear Intl_VIBE'!K59+'[1]Feb midyear NOMMA'!K59+'[1]Feb midyear LFNO'!K59+'[1]Feb midyear Lake Charles Chtr'!K59+'[1]Feb midyear JS Clark'!K59+'[1]Feb midyear Southwest'!K59+'[1]Feb midyear LA Key'!K59+'[1]Feb midyear Jefferson Cham'!K59+'[1]Feb midyear Tallulah'!K59+'[1]Feb midyear Northshore'!K59+'[1]Feb midyear B.R. Charter'!K59+'[1]Feb midyear Delta'!K59+'[1]Feb midyear LAVCA'!K59+'[1]Feb midyear LA Conn'!K59+'[1]Feb midyear DArbonne'!K73</f>
        <v>-84929.421659473883</v>
      </c>
      <c r="N62" s="227">
        <f t="shared" si="29"/>
        <v>425211.42339145218</v>
      </c>
      <c r="O62" s="227">
        <v>0</v>
      </c>
      <c r="P62" s="227">
        <f>-'Table 5C1A-Madison Prep'!L62</f>
        <v>0</v>
      </c>
      <c r="Q62" s="227">
        <f>-'Table 5C1B-DArbonne'!L62-'Table 5C1B-DArbonne'!L76</f>
        <v>-4257757.3848553505</v>
      </c>
      <c r="R62" s="227">
        <f>-'Table 5C1C-Intl_VIBE'!L62</f>
        <v>0</v>
      </c>
      <c r="S62" s="227">
        <f>-'Table 5C1D-NOMMA'!L62</f>
        <v>0</v>
      </c>
      <c r="T62" s="227">
        <f>-'Table 5C1E-LFNO'!L62</f>
        <v>0</v>
      </c>
      <c r="U62" s="227">
        <f>-'Table 5C1F-Lake Charles Charter'!L62</f>
        <v>0</v>
      </c>
      <c r="V62" s="227">
        <f>-'Table 5C1G-JS Clark Academy'!L62</f>
        <v>0</v>
      </c>
      <c r="W62" s="227">
        <f>-'Table 5C1H-Southwest LA Charter'!L62</f>
        <v>0</v>
      </c>
      <c r="X62" s="227">
        <f>-'Table 5C1I-LA Key Academy'!L62</f>
        <v>0</v>
      </c>
      <c r="Y62" s="227">
        <f>-'Table 5C1J-Jefferson Chamber'!L62</f>
        <v>0</v>
      </c>
      <c r="Z62" s="227">
        <f>-'Table 5C1K-Tallulah Charter'!L62</f>
        <v>0</v>
      </c>
      <c r="AA62" s="227">
        <f>-'Table 5C1L-Northshore Charter'!L62</f>
        <v>0</v>
      </c>
      <c r="AB62" s="227">
        <f>-'Table 5C1M-B.R. Charter'!L62</f>
        <v>0</v>
      </c>
      <c r="AC62" s="227">
        <f>-'Table 5C1N-Delta Charter'!L62</f>
        <v>0</v>
      </c>
      <c r="AD62" s="227">
        <f>-('Table 5C2 - LA Virtual Admy'!M62+'Table 5C2 - LA Virtual Admy'!I62)</f>
        <v>-59253.084878702706</v>
      </c>
      <c r="AE62" s="227">
        <f>-('Table 5C3 - LA Connections EBR'!M62+'Table 5C3 - LA Connections EBR'!I62)</f>
        <v>-30190.857533434235</v>
      </c>
      <c r="AF62" s="227">
        <f t="shared" si="32"/>
        <v>-4347201.3272674875</v>
      </c>
      <c r="AG62" s="227">
        <f>+'Table 4 Level 4'!E60</f>
        <v>0</v>
      </c>
      <c r="AH62" s="227">
        <f>+'Table 4 Level 4'!O60</f>
        <v>26546</v>
      </c>
      <c r="AI62" s="983">
        <f t="shared" si="33"/>
        <v>12142391</v>
      </c>
      <c r="AJ62" s="227">
        <f>4*'[2]Table 2_State Distrib and Adjs'!AL62+(2*'[3]Table 2_State Distrib and Adjs'!AL62)+(2*'[4]Table 2_State Distrib and Adjs'!AL62)</f>
        <v>8260462</v>
      </c>
      <c r="AK62" s="227">
        <f t="shared" si="30"/>
        <v>3881929</v>
      </c>
      <c r="AL62" s="227">
        <f t="shared" si="34"/>
        <v>970482</v>
      </c>
      <c r="AM62" s="227">
        <f>+'Table 4 Level 4'!J60</f>
        <v>0</v>
      </c>
      <c r="AN62" s="227">
        <f>+'Table 4 Level 4'!L60</f>
        <v>25000</v>
      </c>
      <c r="AO62" s="227">
        <f>+'Table 4 Level 4'!M60</f>
        <v>18200</v>
      </c>
      <c r="AP62" s="983">
        <f t="shared" si="31"/>
        <v>12185591</v>
      </c>
      <c r="AQ62" s="41"/>
    </row>
    <row r="63" spans="1:43" ht="14.45" customHeight="1">
      <c r="A63" s="228">
        <v>57</v>
      </c>
      <c r="B63" s="229" t="s">
        <v>128</v>
      </c>
      <c r="C63" s="231">
        <f>'Table 3 Levels 1&amp;2'!AO60</f>
        <v>49188333.468548</v>
      </c>
      <c r="D63" s="231">
        <v>0</v>
      </c>
      <c r="E63" s="231">
        <v>0</v>
      </c>
      <c r="F63" s="231">
        <f t="shared" si="26"/>
        <v>0</v>
      </c>
      <c r="G63" s="231">
        <f t="shared" si="22"/>
        <v>0</v>
      </c>
      <c r="H63" s="231">
        <f t="shared" si="27"/>
        <v>0</v>
      </c>
      <c r="I63" s="231">
        <f>'[1]October midyear adj'!K60</f>
        <v>253353.60800238425</v>
      </c>
      <c r="J63" s="231">
        <f>'[1]February midyear adj'!K60</f>
        <v>-121286.30170326905</v>
      </c>
      <c r="K63" s="231">
        <f t="shared" si="28"/>
        <v>132067.30629911518</v>
      </c>
      <c r="L63" s="231">
        <f>'[1]Oct midyear Madison Prep'!K60+'[1]Oct midyear DArbonne'!K60+'[1]Oct midyear Intl_VIBE'!K60+'[1]Oct midyear NOMMA'!K60+'[1]Oct midyear LFNO'!K60+'[1]Oct midyear Lake Charles Chtr'!K60+'[1]Oct midyear JS Clark'!K60+'[1]Oct midyear Southwest'!K60+'[1]Oct midyear LA Key'!K60+'[1]Oct midyear Jefferson Cham'!K60+'[1]Oct midyear Tallulah'!K60+'[1]Oct midyear Northshore'!K60+'[1]Oct midyear B.R. Charter'!K60+'[1]Oct midyear Delta'!K60+'[1]Oct midyear LAVCA'!K60+'[1]Oct midyear LA Conn'!K60</f>
        <v>38811.616545046098</v>
      </c>
      <c r="M63" s="231">
        <f>'[1]Feb midyear Madison Prep'!K60+'[1]Feb midyear DArbonne'!K60+'[1]Feb midyear Intl_VIBE'!K60+'[1]Feb midyear NOMMA'!K60+'[1]Feb midyear LFNO'!K60+'[1]Feb midyear Lake Charles Chtr'!K60+'[1]Feb midyear JS Clark'!K60+'[1]Feb midyear Southwest'!K60+'[1]Feb midyear LA Key'!K60+'[1]Feb midyear Jefferson Cham'!K60+'[1]Feb midyear Tallulah'!K60+'[1]Feb midyear Northshore'!K60+'[1]Feb midyear B.R. Charter'!K60+'[1]Feb midyear Delta'!K60+'[1]Feb midyear LAVCA'!K60+'[1]Feb midyear LA Conn'!K60</f>
        <v>4851.4520681307622</v>
      </c>
      <c r="N63" s="231">
        <f t="shared" si="29"/>
        <v>43663.06861317686</v>
      </c>
      <c r="O63" s="231">
        <v>0</v>
      </c>
      <c r="P63" s="231">
        <f>-'Table 5C1A-Madison Prep'!L63</f>
        <v>0</v>
      </c>
      <c r="Q63" s="231">
        <f>-'Table 5C1B-DArbonne'!L63</f>
        <v>0</v>
      </c>
      <c r="R63" s="231">
        <f>-'Table 5C1C-Intl_VIBE'!L63</f>
        <v>0</v>
      </c>
      <c r="S63" s="231">
        <f>-'Table 5C1D-NOMMA'!L63</f>
        <v>0</v>
      </c>
      <c r="T63" s="231">
        <f>-'Table 5C1E-LFNO'!L63</f>
        <v>0</v>
      </c>
      <c r="U63" s="231">
        <f>-'Table 5C1F-Lake Charles Charter'!L63</f>
        <v>0</v>
      </c>
      <c r="V63" s="231">
        <f>-'Table 5C1G-JS Clark Academy'!L63</f>
        <v>0</v>
      </c>
      <c r="W63" s="231">
        <f>-'Table 5C1H-Southwest LA Charter'!L63</f>
        <v>0</v>
      </c>
      <c r="X63" s="231">
        <f>-'Table 5C1I-LA Key Academy'!L63</f>
        <v>0</v>
      </c>
      <c r="Y63" s="231">
        <f>-'Table 5C1J-Jefferson Chamber'!L63</f>
        <v>0</v>
      </c>
      <c r="Z63" s="231">
        <f>-'Table 5C1K-Tallulah Charter'!L63</f>
        <v>0</v>
      </c>
      <c r="AA63" s="231">
        <f>-'Table 5C1L-Northshore Charter'!L63</f>
        <v>0</v>
      </c>
      <c r="AB63" s="231">
        <f>-'Table 5C1M-B.R. Charter'!L63</f>
        <v>0</v>
      </c>
      <c r="AC63" s="231">
        <f>-'Table 5C1N-Delta Charter'!L63</f>
        <v>0</v>
      </c>
      <c r="AD63" s="231">
        <f>-('Table 5C2 - LA Virtual Admy'!M63+'Table 5C2 - LA Virtual Admy'!I63)</f>
        <v>-150664.5392269498</v>
      </c>
      <c r="AE63" s="231">
        <f>-('Table 5C3 - LA Connections EBR'!M63+'Table 5C3 - LA Connections EBR'!I63)</f>
        <v>-54713.598323919148</v>
      </c>
      <c r="AF63" s="231">
        <f t="shared" si="32"/>
        <v>-205378.13755086894</v>
      </c>
      <c r="AG63" s="231">
        <f>+'Table 4 Level 4'!E61</f>
        <v>0</v>
      </c>
      <c r="AH63" s="231">
        <f>+'Table 4 Level 4'!O61</f>
        <v>97500</v>
      </c>
      <c r="AI63" s="984">
        <f t="shared" si="33"/>
        <v>49256186</v>
      </c>
      <c r="AJ63" s="231">
        <f>4*'[2]Table 2_State Distrib and Adjs'!AL63+(2*'[3]Table 2_State Distrib and Adjs'!AL63)+(2*'[4]Table 2_State Distrib and Adjs'!AL63)</f>
        <v>32749414</v>
      </c>
      <c r="AK63" s="231">
        <f t="shared" si="30"/>
        <v>16506772</v>
      </c>
      <c r="AL63" s="231">
        <f t="shared" si="34"/>
        <v>4126693</v>
      </c>
      <c r="AM63" s="231">
        <f>+'Table 4 Level 4'!J61</f>
        <v>0</v>
      </c>
      <c r="AN63" s="231">
        <f>+'Table 4 Level 4'!L61</f>
        <v>72828</v>
      </c>
      <c r="AO63" s="231">
        <f>+'Table 4 Level 4'!M61</f>
        <v>38133</v>
      </c>
      <c r="AP63" s="984">
        <f t="shared" si="31"/>
        <v>49367147</v>
      </c>
      <c r="AQ63" s="41"/>
    </row>
    <row r="64" spans="1:43" ht="14.45" customHeight="1">
      <c r="A64" s="228">
        <v>58</v>
      </c>
      <c r="B64" s="229" t="s">
        <v>129</v>
      </c>
      <c r="C64" s="231">
        <f>'Table 3 Levels 1&amp;2'!AO61</f>
        <v>57388708.050768003</v>
      </c>
      <c r="D64" s="231">
        <v>0</v>
      </c>
      <c r="E64" s="231">
        <v>0</v>
      </c>
      <c r="F64" s="231">
        <f t="shared" si="26"/>
        <v>0</v>
      </c>
      <c r="G64" s="231">
        <f t="shared" si="22"/>
        <v>0</v>
      </c>
      <c r="H64" s="231">
        <f t="shared" si="27"/>
        <v>0</v>
      </c>
      <c r="I64" s="231">
        <f>'[1]October midyear adj'!K61</f>
        <v>-1210329.0631197602</v>
      </c>
      <c r="J64" s="231">
        <f>'[1]February midyear adj'!K61</f>
        <v>-480946.54876601003</v>
      </c>
      <c r="K64" s="231">
        <f t="shared" si="28"/>
        <v>-1691275.6118857702</v>
      </c>
      <c r="L64" s="231">
        <f>'[1]Oct midyear Madison Prep'!K61+'[1]Oct midyear DArbonne'!K61+'[1]Oct midyear Intl_VIBE'!K61+'[1]Oct midyear NOMMA'!K61+'[1]Oct midyear LFNO'!K61+'[1]Oct midyear Lake Charles Chtr'!K61+'[1]Oct midyear JS Clark'!K61+'[1]Oct midyear Southwest'!K61+'[1]Oct midyear LA Key'!K61+'[1]Oct midyear Jefferson Cham'!K61+'[1]Oct midyear Tallulah'!K61+'[1]Oct midyear Northshore'!K61+'[1]Oct midyear B.R. Charter'!K61+'[1]Oct midyear Delta'!K61+'[1]Oct midyear LAVCA'!K61+'[1]Oct midyear LA Conn'!K61</f>
        <v>-34398.82600445635</v>
      </c>
      <c r="M64" s="231">
        <f>'[1]Feb midyear Madison Prep'!K61+'[1]Feb midyear DArbonne'!K61+'[1]Feb midyear Intl_VIBE'!K61+'[1]Feb midyear NOMMA'!K61+'[1]Feb midyear LFNO'!K61+'[1]Feb midyear Lake Charles Chtr'!K61+'[1]Feb midyear JS Clark'!K61+'[1]Feb midyear Southwest'!K61+'[1]Feb midyear LA Key'!K61+'[1]Feb midyear Jefferson Cham'!K61+'[1]Feb midyear Tallulah'!K61+'[1]Feb midyear Northshore'!K61+'[1]Feb midyear B.R. Charter'!K61+'[1]Feb midyear Delta'!K61+'[1]Feb midyear LAVCA'!K61+'[1]Feb midyear LA Conn'!K61</f>
        <v>22932.550669637567</v>
      </c>
      <c r="N64" s="231">
        <f t="shared" si="29"/>
        <v>-11466.275334818783</v>
      </c>
      <c r="O64" s="231">
        <v>0</v>
      </c>
      <c r="P64" s="231">
        <f>-'Table 5C1A-Madison Prep'!L64</f>
        <v>0</v>
      </c>
      <c r="Q64" s="231">
        <f>-'Table 5C1B-DArbonne'!L64</f>
        <v>0</v>
      </c>
      <c r="R64" s="231">
        <f>-'Table 5C1C-Intl_VIBE'!L64</f>
        <v>0</v>
      </c>
      <c r="S64" s="231">
        <f>-'Table 5C1D-NOMMA'!L64</f>
        <v>0</v>
      </c>
      <c r="T64" s="231">
        <f>-'Table 5C1E-LFNO'!L64</f>
        <v>0</v>
      </c>
      <c r="U64" s="231">
        <f>-'Table 5C1F-Lake Charles Charter'!L64</f>
        <v>0</v>
      </c>
      <c r="V64" s="231">
        <f>-'Table 5C1G-JS Clark Academy'!L64</f>
        <v>0</v>
      </c>
      <c r="W64" s="231">
        <f>-'Table 5C1H-Southwest LA Charter'!L64</f>
        <v>0</v>
      </c>
      <c r="X64" s="231">
        <f>-'Table 5C1I-LA Key Academy'!L64</f>
        <v>0</v>
      </c>
      <c r="Y64" s="231">
        <f>-'Table 5C1J-Jefferson Chamber'!L64</f>
        <v>0</v>
      </c>
      <c r="Z64" s="231">
        <f>-'Table 5C1K-Tallulah Charter'!L64</f>
        <v>0</v>
      </c>
      <c r="AA64" s="231">
        <f>-'Table 5C1L-Northshore Charter'!L64</f>
        <v>0</v>
      </c>
      <c r="AB64" s="231">
        <f>-'Table 5C1M-B.R. Charter'!L64</f>
        <v>0</v>
      </c>
      <c r="AC64" s="231">
        <f>-'Table 5C1N-Delta Charter'!L64</f>
        <v>0</v>
      </c>
      <c r="AD64" s="231">
        <f>-('Table 5C2 - LA Virtual Admy'!M64+'Table 5C2 - LA Virtual Admy'!I64)</f>
        <v>-296849.12811253074</v>
      </c>
      <c r="AE64" s="231">
        <f>-('Table 5C3 - LA Connections EBR'!M64+'Table 5C3 - LA Connections EBR'!I64)</f>
        <v>-201296.83365570751</v>
      </c>
      <c r="AF64" s="231">
        <f t="shared" si="32"/>
        <v>-498145.96176823822</v>
      </c>
      <c r="AG64" s="231">
        <f>+'Table 4 Level 4'!E62</f>
        <v>0</v>
      </c>
      <c r="AH64" s="231">
        <f>+'Table 4 Level 4'!O62</f>
        <v>94172</v>
      </c>
      <c r="AI64" s="984">
        <f t="shared" si="33"/>
        <v>55281992</v>
      </c>
      <c r="AJ64" s="231">
        <f>4*'[2]Table 2_State Distrib and Adjs'!AL64+(2*'[3]Table 2_State Distrib and Adjs'!AL64)+(2*'[4]Table 2_State Distrib and Adjs'!AL64)</f>
        <v>37982178</v>
      </c>
      <c r="AK64" s="231">
        <f t="shared" si="30"/>
        <v>17299814</v>
      </c>
      <c r="AL64" s="231">
        <f t="shared" si="34"/>
        <v>4324954</v>
      </c>
      <c r="AM64" s="231">
        <f>+'Table 4 Level 4'!J62</f>
        <v>0</v>
      </c>
      <c r="AN64" s="231">
        <f>+'Table 4 Level 4'!L62</f>
        <v>76636</v>
      </c>
      <c r="AO64" s="231">
        <f>+'Table 4 Level 4'!M62</f>
        <v>0</v>
      </c>
      <c r="AP64" s="984">
        <f t="shared" si="31"/>
        <v>55358628</v>
      </c>
      <c r="AQ64" s="41"/>
    </row>
    <row r="65" spans="1:43" ht="14.45" customHeight="1">
      <c r="A65" s="228">
        <v>59</v>
      </c>
      <c r="B65" s="229" t="s">
        <v>130</v>
      </c>
      <c r="C65" s="231">
        <f>'Table 3 Levels 1&amp;2'!AO62</f>
        <v>37646739.945344001</v>
      </c>
      <c r="D65" s="231">
        <v>0</v>
      </c>
      <c r="E65" s="231">
        <v>0</v>
      </c>
      <c r="F65" s="231">
        <f t="shared" si="26"/>
        <v>0</v>
      </c>
      <c r="G65" s="231">
        <f t="shared" si="22"/>
        <v>0</v>
      </c>
      <c r="H65" s="231">
        <f t="shared" si="27"/>
        <v>0</v>
      </c>
      <c r="I65" s="231">
        <f>'[1]October midyear adj'!K62</f>
        <v>51180.264054652929</v>
      </c>
      <c r="J65" s="231">
        <f>'[1]February midyear adj'!K62</f>
        <v>3655.7331467609238</v>
      </c>
      <c r="K65" s="231">
        <f t="shared" si="28"/>
        <v>54835.997201413855</v>
      </c>
      <c r="L65" s="231">
        <f>'[1]Oct midyear Madison Prep'!K62+'[1]Oct midyear DArbonne'!K62+'[1]Oct midyear Intl_VIBE'!K62+'[1]Oct midyear NOMMA'!K62+'[1]Oct midyear LFNO'!K62+'[1]Oct midyear Lake Charles Chtr'!K62+'[1]Oct midyear JS Clark'!K62+'[1]Oct midyear Southwest'!K62+'[1]Oct midyear LA Key'!K62+'[1]Oct midyear Jefferson Cham'!K62+'[1]Oct midyear Tallulah'!K62+'[1]Oct midyear Northshore'!K62+'[1]Oct midyear B.R. Charter'!K62+'[1]Oct midyear Delta'!K62+'[1]Oct midyear LAVCA'!K62+'[1]Oct midyear LA Conn'!K62</f>
        <v>108209.70114412335</v>
      </c>
      <c r="M65" s="231">
        <f>'[1]Feb midyear Madison Prep'!K62+'[1]Feb midyear DArbonne'!K62+'[1]Feb midyear Intl_VIBE'!K62+'[1]Feb midyear NOMMA'!K62+'[1]Feb midyear LFNO'!K62+'[1]Feb midyear Lake Charles Chtr'!K62+'[1]Feb midyear JS Clark'!K62+'[1]Feb midyear Southwest'!K62+'[1]Feb midyear LA Key'!K62+'[1]Feb midyear Jefferson Cham'!K62+'[1]Feb midyear Tallulah'!K62+'[1]Feb midyear Northshore'!K62+'[1]Feb midyear B.R. Charter'!K62+'[1]Feb midyear Delta'!K62+'[1]Feb midyear LAVCA'!K62+'[1]Feb midyear LA Conn'!K62</f>
        <v>-9870.4794962544947</v>
      </c>
      <c r="N65" s="231">
        <f t="shared" si="29"/>
        <v>98339.22164786885</v>
      </c>
      <c r="O65" s="231">
        <v>0</v>
      </c>
      <c r="P65" s="231">
        <f>-'Table 5C1A-Madison Prep'!L65</f>
        <v>0</v>
      </c>
      <c r="Q65" s="231">
        <f>-'Table 5C1B-DArbonne'!L65</f>
        <v>0</v>
      </c>
      <c r="R65" s="231">
        <f>-'Table 5C1C-Intl_VIBE'!L65</f>
        <v>0</v>
      </c>
      <c r="S65" s="231">
        <f>-'Table 5C1D-NOMMA'!L65</f>
        <v>0</v>
      </c>
      <c r="T65" s="231">
        <f>-'Table 5C1E-LFNO'!L65</f>
        <v>0</v>
      </c>
      <c r="U65" s="231">
        <f>-'Table 5C1F-Lake Charles Charter'!L65</f>
        <v>0</v>
      </c>
      <c r="V65" s="231">
        <f>-'Table 5C1G-JS Clark Academy'!L65</f>
        <v>0</v>
      </c>
      <c r="W65" s="231">
        <f>-'Table 5C1H-Southwest LA Charter'!L65</f>
        <v>0</v>
      </c>
      <c r="X65" s="231">
        <f>-'Table 5C1I-LA Key Academy'!L65</f>
        <v>0</v>
      </c>
      <c r="Y65" s="231">
        <f>-'Table 5C1J-Jefferson Chamber'!L65</f>
        <v>-3655.7331467609238</v>
      </c>
      <c r="Z65" s="231">
        <f>-'Table 5C1K-Tallulah Charter'!L65</f>
        <v>0</v>
      </c>
      <c r="AA65" s="231">
        <f>-'Table 5C1L-Northshore Charter'!L65</f>
        <v>-113327.72754958866</v>
      </c>
      <c r="AB65" s="231">
        <f>-'Table 5C1M-B.R. Charter'!L65</f>
        <v>0</v>
      </c>
      <c r="AC65" s="231">
        <f>-'Table 5C1N-Delta Charter'!L65</f>
        <v>0</v>
      </c>
      <c r="AD65" s="231">
        <f>-('Table 5C2 - LA Virtual Admy'!M65+'Table 5C2 - LA Virtual Admy'!I65)</f>
        <v>-155734.23205201537</v>
      </c>
      <c r="AE65" s="231">
        <f>-('Table 5C3 - LA Connections EBR'!M65+'Table 5C3 - LA Connections EBR'!I65)</f>
        <v>-154637.51210798707</v>
      </c>
      <c r="AF65" s="231">
        <f t="shared" si="32"/>
        <v>-427355.20485635201</v>
      </c>
      <c r="AG65" s="231">
        <f>+'Table 4 Level 4'!E63</f>
        <v>0</v>
      </c>
      <c r="AH65" s="231">
        <f>+'Table 4 Level 4'!O63</f>
        <v>60034</v>
      </c>
      <c r="AI65" s="984">
        <f t="shared" si="33"/>
        <v>37432594</v>
      </c>
      <c r="AJ65" s="231">
        <f>4*'[2]Table 2_State Distrib and Adjs'!AL65+(2*'[3]Table 2_State Distrib and Adjs'!AL65)+(2*'[4]Table 2_State Distrib and Adjs'!AL65)</f>
        <v>24918504</v>
      </c>
      <c r="AK65" s="231">
        <f t="shared" si="30"/>
        <v>12514090</v>
      </c>
      <c r="AL65" s="231">
        <f t="shared" si="34"/>
        <v>3128523</v>
      </c>
      <c r="AM65" s="231">
        <f>+'Table 4 Level 4'!J63</f>
        <v>0</v>
      </c>
      <c r="AN65" s="231">
        <f>+'Table 4 Level 4'!L63</f>
        <v>42364</v>
      </c>
      <c r="AO65" s="231">
        <f>+'Table 4 Level 4'!M63</f>
        <v>35013</v>
      </c>
      <c r="AP65" s="984">
        <f t="shared" si="31"/>
        <v>37509971</v>
      </c>
      <c r="AQ65" s="41"/>
    </row>
    <row r="66" spans="1:43" ht="14.45" customHeight="1">
      <c r="A66" s="3">
        <v>60</v>
      </c>
      <c r="B66" s="7" t="s">
        <v>131</v>
      </c>
      <c r="C66" s="10">
        <f>'Table 3 Levels 1&amp;2'!AO63</f>
        <v>37971396.00410112</v>
      </c>
      <c r="D66" s="10">
        <v>0</v>
      </c>
      <c r="E66" s="10">
        <v>0</v>
      </c>
      <c r="F66" s="10">
        <f t="shared" si="26"/>
        <v>0</v>
      </c>
      <c r="G66" s="10">
        <f t="shared" si="22"/>
        <v>0</v>
      </c>
      <c r="H66" s="10">
        <f t="shared" si="27"/>
        <v>0</v>
      </c>
      <c r="I66" s="10">
        <f>'[1]October midyear adj'!K63</f>
        <v>-448040.07084485091</v>
      </c>
      <c r="J66" s="10">
        <f>'[1]February midyear adj'!K63</f>
        <v>-53057.376810574453</v>
      </c>
      <c r="K66" s="10">
        <f t="shared" si="28"/>
        <v>-501097.44765542535</v>
      </c>
      <c r="L66" s="10">
        <f>'[1]Oct midyear Madison Prep'!K63+'[1]Oct midyear DArbonne'!K63+'[1]Oct midyear Intl_VIBE'!K63+'[1]Oct midyear NOMMA'!K63+'[1]Oct midyear LFNO'!K63+'[1]Oct midyear Lake Charles Chtr'!K63+'[1]Oct midyear JS Clark'!K63+'[1]Oct midyear Southwest'!K63+'[1]Oct midyear LA Key'!K63+'[1]Oct midyear Jefferson Cham'!K63+'[1]Oct midyear Tallulah'!K63+'[1]Oct midyear Northshore'!K63+'[1]Oct midyear B.R. Charter'!K63+'[1]Oct midyear Delta'!K63+'[1]Oct midyear LAVCA'!K63+'[1]Oct midyear LA Conn'!K63</f>
        <v>-21222.950724229784</v>
      </c>
      <c r="M66" s="10">
        <f>'[1]Feb midyear Madison Prep'!K63+'[1]Feb midyear DArbonne'!K63+'[1]Feb midyear Intl_VIBE'!K63+'[1]Feb midyear NOMMA'!K63+'[1]Feb midyear LFNO'!K63+'[1]Feb midyear Lake Charles Chtr'!K63+'[1]Feb midyear JS Clark'!K63+'[1]Feb midyear Southwest'!K63+'[1]Feb midyear LA Key'!K63+'[1]Feb midyear Jefferson Cham'!K63+'[1]Feb midyear Tallulah'!K63+'[1]Feb midyear Northshore'!K63+'[1]Feb midyear B.R. Charter'!K63+'[1]Feb midyear Delta'!K63+'[1]Feb midyear LAVCA'!K63+'[1]Feb midyear LA Conn'!K63</f>
        <v>21222.950724229784</v>
      </c>
      <c r="N66" s="10">
        <f t="shared" si="29"/>
        <v>0</v>
      </c>
      <c r="O66" s="10">
        <v>0</v>
      </c>
      <c r="P66" s="10">
        <f>-'Table 5C1A-Madison Prep'!L66</f>
        <v>0</v>
      </c>
      <c r="Q66" s="10">
        <f>-'Table 5C1B-DArbonne'!L66</f>
        <v>0</v>
      </c>
      <c r="R66" s="10">
        <f>-'Table 5C1C-Intl_VIBE'!L66</f>
        <v>0</v>
      </c>
      <c r="S66" s="10">
        <f>-'Table 5C1D-NOMMA'!L66</f>
        <v>0</v>
      </c>
      <c r="T66" s="10">
        <f>-'Table 5C1E-LFNO'!L66</f>
        <v>0</v>
      </c>
      <c r="U66" s="10">
        <f>-'Table 5C1F-Lake Charles Charter'!L66</f>
        <v>0</v>
      </c>
      <c r="V66" s="10">
        <f>-'Table 5C1G-JS Clark Academy'!L66</f>
        <v>0</v>
      </c>
      <c r="W66" s="10">
        <f>-'Table 5C1H-Southwest LA Charter'!L66</f>
        <v>0</v>
      </c>
      <c r="X66" s="10">
        <f>-'Table 5C1I-LA Key Academy'!L66</f>
        <v>0</v>
      </c>
      <c r="Y66" s="10">
        <f>-'Table 5C1J-Jefferson Chamber'!L66</f>
        <v>0</v>
      </c>
      <c r="Z66" s="10">
        <f>-'Table 5C1K-Tallulah Charter'!L66</f>
        <v>0</v>
      </c>
      <c r="AA66" s="10">
        <f>-'Table 5C1L-Northshore Charter'!L66</f>
        <v>0</v>
      </c>
      <c r="AB66" s="10">
        <f>-'Table 5C1M-B.R. Charter'!L66</f>
        <v>0</v>
      </c>
      <c r="AC66" s="10">
        <f>-'Table 5C1N-Delta Charter'!L66</f>
        <v>0</v>
      </c>
      <c r="AD66" s="10">
        <f>-('Table 5C2 - LA Virtual Admy'!M66+'Table 5C2 - LA Virtual Admy'!I66)</f>
        <v>-61310.746536663806</v>
      </c>
      <c r="AE66" s="10">
        <f>-('Table 5C3 - LA Connections EBR'!M66+'Table 5C3 - LA Connections EBR'!I66)</f>
        <v>-133232.96843544251</v>
      </c>
      <c r="AF66" s="10">
        <f t="shared" si="32"/>
        <v>-194543.71497210633</v>
      </c>
      <c r="AG66" s="10">
        <f>+'Table 4 Level 4'!E64</f>
        <v>0</v>
      </c>
      <c r="AH66" s="10">
        <f>+'Table 4 Level 4'!O64</f>
        <v>72930</v>
      </c>
      <c r="AI66" s="985">
        <f t="shared" si="33"/>
        <v>37348685</v>
      </c>
      <c r="AJ66" s="10">
        <f>4*'[2]Table 2_State Distrib and Adjs'!AL66+(2*'[3]Table 2_State Distrib and Adjs'!AL66)+(2*'[4]Table 2_State Distrib and Adjs'!AL66)</f>
        <v>25233190</v>
      </c>
      <c r="AK66" s="10">
        <f t="shared" si="30"/>
        <v>12115495</v>
      </c>
      <c r="AL66" s="10">
        <f t="shared" si="34"/>
        <v>3028874</v>
      </c>
      <c r="AM66" s="10">
        <f>+'Table 4 Level 4'!J64</f>
        <v>0</v>
      </c>
      <c r="AN66" s="10">
        <f>+'Table 4 Level 4'!L64</f>
        <v>25000</v>
      </c>
      <c r="AO66" s="10">
        <f>+'Table 4 Level 4'!M64</f>
        <v>0</v>
      </c>
      <c r="AP66" s="985">
        <f t="shared" si="31"/>
        <v>37373685</v>
      </c>
      <c r="AQ66" s="41"/>
    </row>
    <row r="67" spans="1:43" ht="14.45" customHeight="1">
      <c r="A67" s="224">
        <v>61</v>
      </c>
      <c r="B67" s="225" t="s">
        <v>132</v>
      </c>
      <c r="C67" s="227">
        <f>'Table 3 Levels 1&amp;2'!AO64</f>
        <v>13353768.346541282</v>
      </c>
      <c r="D67" s="227">
        <v>0</v>
      </c>
      <c r="E67" s="227">
        <v>0</v>
      </c>
      <c r="F67" s="227">
        <f t="shared" si="26"/>
        <v>0</v>
      </c>
      <c r="G67" s="227">
        <f t="shared" si="22"/>
        <v>0</v>
      </c>
      <c r="H67" s="227">
        <f t="shared" si="27"/>
        <v>0</v>
      </c>
      <c r="I67" s="227">
        <f>'[1]October midyear adj'!K64</f>
        <v>140138.96635420292</v>
      </c>
      <c r="J67" s="227">
        <f>'[1]February midyear adj'!K64</f>
        <v>-79289.152016193751</v>
      </c>
      <c r="K67" s="227">
        <f t="shared" si="28"/>
        <v>60849.814338009164</v>
      </c>
      <c r="L67" s="227">
        <f>'[1]Oct midyear Madison Prep'!K64+'[1]Oct midyear DArbonne'!K64+'[1]Oct midyear Intl_VIBE'!K64+'[1]Oct midyear NOMMA'!K64+'[1]Oct midyear LFNO'!K64+'[1]Oct midyear Lake Charles Chtr'!K64+'[1]Oct midyear JS Clark'!K64+'[1]Oct midyear Southwest'!K64+'[1]Oct midyear LA Key'!K64+'[1]Oct midyear Jefferson Cham'!K64+'[1]Oct midyear Tallulah'!K64+'[1]Oct midyear Northshore'!K64+'[1]Oct midyear B.R. Charter'!K64+'[1]Oct midyear Delta'!K64+'[1]Oct midyear LAVCA'!K64+'[1]Oct midyear LA Conn'!K64</f>
        <v>31715.660806477499</v>
      </c>
      <c r="M67" s="227">
        <f>'[1]Feb midyear Madison Prep'!K64+'[1]Feb midyear DArbonne'!K64+'[1]Feb midyear Intl_VIBE'!K64+'[1]Feb midyear NOMMA'!K64+'[1]Feb midyear LFNO'!K64+'[1]Feb midyear Lake Charles Chtr'!K64+'[1]Feb midyear JS Clark'!K64+'[1]Feb midyear Southwest'!K64+'[1]Feb midyear LA Key'!K64+'[1]Feb midyear Jefferson Cham'!K64+'[1]Feb midyear Tallulah'!K64+'[1]Feb midyear Northshore'!K64+'[1]Feb midyear B.R. Charter'!K64+'[1]Feb midyear Delta'!K64+'[1]Feb midyear LAVCA'!K64+'[1]Feb midyear LA Conn'!K64</f>
        <v>10326.029099783371</v>
      </c>
      <c r="N67" s="227">
        <f t="shared" si="29"/>
        <v>42041.689906260872</v>
      </c>
      <c r="O67" s="227">
        <v>0</v>
      </c>
      <c r="P67" s="227">
        <f>-'Table 5C1A-Madison Prep'!L67</f>
        <v>-7375.7350712738371</v>
      </c>
      <c r="Q67" s="227">
        <f>-'Table 5C1B-DArbonne'!L67</f>
        <v>0</v>
      </c>
      <c r="R67" s="227">
        <f>-'Table 5C1C-Intl_VIBE'!L67</f>
        <v>0</v>
      </c>
      <c r="S67" s="227">
        <f>-'Table 5C1D-NOMMA'!L67</f>
        <v>0</v>
      </c>
      <c r="T67" s="227">
        <f>-'Table 5C1E-LFNO'!L67</f>
        <v>0</v>
      </c>
      <c r="U67" s="227">
        <f>-'Table 5C1F-Lake Charles Charter'!L67</f>
        <v>0</v>
      </c>
      <c r="V67" s="227">
        <f>-'Table 5C1G-JS Clark Academy'!L67</f>
        <v>0</v>
      </c>
      <c r="W67" s="227">
        <f>-'Table 5C1H-Southwest LA Charter'!L67</f>
        <v>0</v>
      </c>
      <c r="X67" s="227">
        <f>-'Table 5C1I-LA Key Academy'!L67</f>
        <v>-18439.337678184595</v>
      </c>
      <c r="Y67" s="227">
        <f>-'Table 5C1J-Jefferson Chamber'!L67</f>
        <v>0</v>
      </c>
      <c r="Z67" s="227">
        <f>-'Table 5C1K-Tallulah Charter'!L67</f>
        <v>0</v>
      </c>
      <c r="AA67" s="227">
        <f>-'Table 5C1L-Northshore Charter'!L67</f>
        <v>0</v>
      </c>
      <c r="AB67" s="227">
        <f>-'Table 5C1M-B.R. Charter'!L67</f>
        <v>-3687.8675356369185</v>
      </c>
      <c r="AC67" s="227">
        <f>-'Table 5C1N-Delta Charter'!L67</f>
        <v>0</v>
      </c>
      <c r="AD67" s="227">
        <f>-('Table 5C2 - LA Virtual Admy'!M67+'Table 5C2 - LA Virtual Admy'!I67)</f>
        <v>-28765.366777967964</v>
      </c>
      <c r="AE67" s="227">
        <f>-('Table 5C3 - LA Connections EBR'!M67+'Table 5C3 - LA Connections EBR'!I67)</f>
        <v>-50154.998484662094</v>
      </c>
      <c r="AF67" s="227">
        <f t="shared" si="32"/>
        <v>-108423.30554772541</v>
      </c>
      <c r="AG67" s="227">
        <f>+'Table 4 Level 4'!E65</f>
        <v>0</v>
      </c>
      <c r="AH67" s="227">
        <f>+'Table 4 Level 4'!O65</f>
        <v>40170</v>
      </c>
      <c r="AI67" s="983">
        <f t="shared" si="33"/>
        <v>13388407</v>
      </c>
      <c r="AJ67" s="227">
        <f>4*'[2]Table 2_State Distrib and Adjs'!AL67+(2*'[3]Table 2_State Distrib and Adjs'!AL67)+(2*'[4]Table 2_State Distrib and Adjs'!AL67)</f>
        <v>8885040</v>
      </c>
      <c r="AK67" s="227">
        <f t="shared" si="30"/>
        <v>4503367</v>
      </c>
      <c r="AL67" s="227">
        <f t="shared" si="34"/>
        <v>1125842</v>
      </c>
      <c r="AM67" s="227">
        <f>+'Table 4 Level 4'!J65</f>
        <v>0</v>
      </c>
      <c r="AN67" s="227">
        <f>+'Table 4 Level 4'!L65</f>
        <v>25000</v>
      </c>
      <c r="AO67" s="227">
        <f>+'Table 4 Level 4'!M65</f>
        <v>126725</v>
      </c>
      <c r="AP67" s="983">
        <f t="shared" si="31"/>
        <v>13540132</v>
      </c>
      <c r="AQ67" s="41"/>
    </row>
    <row r="68" spans="1:43" ht="14.45" customHeight="1">
      <c r="A68" s="228">
        <v>62</v>
      </c>
      <c r="B68" s="229" t="s">
        <v>133</v>
      </c>
      <c r="C68" s="231">
        <f>'Table 3 Levels 1&amp;2'!AO65</f>
        <v>13630036.239808001</v>
      </c>
      <c r="D68" s="231">
        <v>0</v>
      </c>
      <c r="E68" s="231">
        <v>0</v>
      </c>
      <c r="F68" s="231">
        <f t="shared" si="26"/>
        <v>0</v>
      </c>
      <c r="G68" s="231">
        <f t="shared" si="22"/>
        <v>0</v>
      </c>
      <c r="H68" s="231">
        <f t="shared" si="27"/>
        <v>0</v>
      </c>
      <c r="I68" s="231">
        <f>'[1]October midyear adj'!K65</f>
        <v>-500538.05400424864</v>
      </c>
      <c r="J68" s="231">
        <f>'[1]February midyear adj'!K65</f>
        <v>19251.463615548026</v>
      </c>
      <c r="K68" s="231">
        <f t="shared" si="28"/>
        <v>-481286.5903887006</v>
      </c>
      <c r="L68" s="231">
        <f>'[1]Oct midyear Madison Prep'!K65+'[1]Oct midyear DArbonne'!K65+'[1]Oct midyear Intl_VIBE'!K65+'[1]Oct midyear NOMMA'!K65+'[1]Oct midyear LFNO'!K65+'[1]Oct midyear Lake Charles Chtr'!K65+'[1]Oct midyear JS Clark'!K65+'[1]Oct midyear Southwest'!K65+'[1]Oct midyear LA Key'!K65+'[1]Oct midyear Jefferson Cham'!K65+'[1]Oct midyear Tallulah'!K65+'[1]Oct midyear Northshore'!K65+'[1]Oct midyear B.R. Charter'!K65+'[1]Oct midyear Delta'!K65+'[1]Oct midyear LAVCA'!K65+'[1]Oct midyear LA Conn'!K65</f>
        <v>-23101.756338657629</v>
      </c>
      <c r="M68" s="231">
        <f>'[1]Feb midyear Madison Prep'!K65+'[1]Feb midyear DArbonne'!K65+'[1]Feb midyear Intl_VIBE'!K65+'[1]Feb midyear NOMMA'!K65+'[1]Feb midyear LFNO'!K65+'[1]Feb midyear Lake Charles Chtr'!K65+'[1]Feb midyear JS Clark'!K65+'[1]Feb midyear Southwest'!K65+'[1]Feb midyear LA Key'!K65+'[1]Feb midyear Jefferson Cham'!K65+'[1]Feb midyear Tallulah'!K65+'[1]Feb midyear Northshore'!K65+'[1]Feb midyear B.R. Charter'!K65+'[1]Feb midyear Delta'!K65+'[1]Feb midyear LAVCA'!K65+'[1]Feb midyear LA Conn'!K65</f>
        <v>-8663.1586269966101</v>
      </c>
      <c r="N68" s="231">
        <f t="shared" si="29"/>
        <v>-31764.914965654239</v>
      </c>
      <c r="O68" s="231">
        <v>0</v>
      </c>
      <c r="P68" s="231">
        <f>-'Table 5C1A-Madison Prep'!L68</f>
        <v>0</v>
      </c>
      <c r="Q68" s="231">
        <f>-'Table 5C1B-DArbonne'!L68</f>
        <v>0</v>
      </c>
      <c r="R68" s="231">
        <f>-'Table 5C1C-Intl_VIBE'!L68</f>
        <v>0</v>
      </c>
      <c r="S68" s="231">
        <f>-'Table 5C1D-NOMMA'!L68</f>
        <v>0</v>
      </c>
      <c r="T68" s="231">
        <f>-'Table 5C1E-LFNO'!L68</f>
        <v>0</v>
      </c>
      <c r="U68" s="231">
        <f>-'Table 5C1F-Lake Charles Charter'!L68</f>
        <v>0</v>
      </c>
      <c r="V68" s="231">
        <f>-'Table 5C1G-JS Clark Academy'!L68</f>
        <v>0</v>
      </c>
      <c r="W68" s="231">
        <f>-'Table 5C1H-Southwest LA Charter'!L68</f>
        <v>0</v>
      </c>
      <c r="X68" s="231">
        <f>-'Table 5C1I-LA Key Academy'!L68</f>
        <v>0</v>
      </c>
      <c r="Y68" s="231">
        <f>-'Table 5C1J-Jefferson Chamber'!L68</f>
        <v>0</v>
      </c>
      <c r="Z68" s="231">
        <f>-'Table 5C1K-Tallulah Charter'!L68</f>
        <v>0</v>
      </c>
      <c r="AA68" s="231">
        <f>-'Table 5C1L-Northshore Charter'!L68</f>
        <v>0</v>
      </c>
      <c r="AB68" s="231">
        <f>-'Table 5C1M-B.R. Charter'!L68</f>
        <v>0</v>
      </c>
      <c r="AC68" s="231">
        <f>-'Table 5C1N-Delta Charter'!L68</f>
        <v>0</v>
      </c>
      <c r="AD68" s="231">
        <f>-('Table 5C2 - LA Virtual Admy'!M68+'Table 5C2 - LA Virtual Admy'!I68)</f>
        <v>-26631.191334841431</v>
      </c>
      <c r="AE68" s="231">
        <f>-('Table 5C3 - LA Connections EBR'!M68+'Table 5C3 - LA Connections EBR'!I68)</f>
        <v>-12192.593623180415</v>
      </c>
      <c r="AF68" s="231">
        <f t="shared" si="32"/>
        <v>-38823.784958021846</v>
      </c>
      <c r="AG68" s="231">
        <f>+'Table 4 Level 4'!E66</f>
        <v>0</v>
      </c>
      <c r="AH68" s="231">
        <f>+'Table 4 Level 4'!O66</f>
        <v>22854</v>
      </c>
      <c r="AI68" s="984">
        <f t="shared" si="33"/>
        <v>13101015</v>
      </c>
      <c r="AJ68" s="231">
        <f>4*'[2]Table 2_State Distrib and Adjs'!AL68+(2*'[3]Table 2_State Distrib and Adjs'!AL68)+(2*'[4]Table 2_State Distrib and Adjs'!AL68)</f>
        <v>9054870</v>
      </c>
      <c r="AK68" s="231">
        <f t="shared" si="30"/>
        <v>4046145</v>
      </c>
      <c r="AL68" s="231">
        <f t="shared" si="34"/>
        <v>1011536</v>
      </c>
      <c r="AM68" s="231">
        <f>+'Table 4 Level 4'!J66</f>
        <v>0</v>
      </c>
      <c r="AN68" s="231">
        <f>+'Table 4 Level 4'!L66</f>
        <v>25000</v>
      </c>
      <c r="AO68" s="231">
        <f>+'Table 4 Level 4'!M66</f>
        <v>0</v>
      </c>
      <c r="AP68" s="984">
        <f t="shared" si="31"/>
        <v>13126015</v>
      </c>
      <c r="AQ68" s="41"/>
    </row>
    <row r="69" spans="1:43" ht="14.45" customHeight="1">
      <c r="A69" s="228">
        <v>63</v>
      </c>
      <c r="B69" s="229" t="s">
        <v>134</v>
      </c>
      <c r="C69" s="231">
        <f>'Table 3 Levels 1&amp;2'!AO66</f>
        <v>9947827.2076006401</v>
      </c>
      <c r="D69" s="231">
        <v>0</v>
      </c>
      <c r="E69" s="231">
        <v>0</v>
      </c>
      <c r="F69" s="231">
        <f t="shared" si="26"/>
        <v>0</v>
      </c>
      <c r="G69" s="231">
        <f t="shared" si="22"/>
        <v>0</v>
      </c>
      <c r="H69" s="231">
        <f t="shared" si="27"/>
        <v>0</v>
      </c>
      <c r="I69" s="231">
        <f>'[1]October midyear adj'!K66</f>
        <v>-195246.85392739237</v>
      </c>
      <c r="J69" s="231">
        <f>'[1]February midyear adj'!K66</f>
        <v>-75658.15589686454</v>
      </c>
      <c r="K69" s="231">
        <f t="shared" si="28"/>
        <v>-270905.00982425688</v>
      </c>
      <c r="L69" s="231">
        <f>'[1]Oct midyear Madison Prep'!K66+'[1]Oct midyear DArbonne'!K66+'[1]Oct midyear Intl_VIBE'!K66+'[1]Oct midyear NOMMA'!K66+'[1]Oct midyear LFNO'!K66+'[1]Oct midyear Lake Charles Chtr'!K66+'[1]Oct midyear JS Clark'!K66+'[1]Oct midyear Southwest'!K66+'[1]Oct midyear LA Key'!K66+'[1]Oct midyear Jefferson Cham'!K66+'[1]Oct midyear Tallulah'!K66+'[1]Oct midyear Northshore'!K66+'[1]Oct midyear B.R. Charter'!K66+'[1]Oct midyear Delta'!K66+'[1]Oct midyear LAVCA'!K66+'[1]Oct midyear LA Conn'!K66</f>
        <v>26358.325280197969</v>
      </c>
      <c r="M69" s="231">
        <f>'[1]Feb midyear Madison Prep'!K66+'[1]Feb midyear DArbonne'!K66+'[1]Feb midyear Intl_VIBE'!K66+'[1]Feb midyear NOMMA'!K66+'[1]Feb midyear LFNO'!K66+'[1]Feb midyear Lake Charles Chtr'!K66+'[1]Feb midyear JS Clark'!K66+'[1]Feb midyear Southwest'!K66+'[1]Feb midyear LA Key'!K66+'[1]Feb midyear Jefferson Cham'!K66+'[1]Feb midyear Tallulah'!K66+'[1]Feb midyear Northshore'!K66+'[1]Feb midyear B.R. Charter'!K66+'[1]Feb midyear Delta'!K66+'[1]Feb midyear LAVCA'!K66+'[1]Feb midyear LA Conn'!K66</f>
        <v>15375.689746782151</v>
      </c>
      <c r="N69" s="231">
        <f t="shared" si="29"/>
        <v>41734.015026980123</v>
      </c>
      <c r="O69" s="231">
        <v>0</v>
      </c>
      <c r="P69" s="231">
        <f>-'Table 5C1A-Madison Prep'!L69</f>
        <v>0</v>
      </c>
      <c r="Q69" s="231">
        <f>-'Table 5C1B-DArbonne'!L69</f>
        <v>0</v>
      </c>
      <c r="R69" s="231">
        <f>-'Table 5C1C-Intl_VIBE'!L69</f>
        <v>0</v>
      </c>
      <c r="S69" s="231">
        <f>-'Table 5C1D-NOMMA'!L69</f>
        <v>0</v>
      </c>
      <c r="T69" s="231">
        <f>-'Table 5C1E-LFNO'!L69</f>
        <v>0</v>
      </c>
      <c r="U69" s="231">
        <f>-'Table 5C1F-Lake Charles Charter'!L69</f>
        <v>0</v>
      </c>
      <c r="V69" s="231">
        <f>-'Table 5C1G-JS Clark Academy'!L69</f>
        <v>0</v>
      </c>
      <c r="W69" s="231">
        <f>-'Table 5C1H-Southwest LA Charter'!L69</f>
        <v>0</v>
      </c>
      <c r="X69" s="231">
        <f>-'Table 5C1I-LA Key Academy'!L69</f>
        <v>0</v>
      </c>
      <c r="Y69" s="231">
        <f>-'Table 5C1J-Jefferson Chamber'!L69</f>
        <v>0</v>
      </c>
      <c r="Z69" s="231">
        <f>-'Table 5C1K-Tallulah Charter'!L69</f>
        <v>0</v>
      </c>
      <c r="AA69" s="231">
        <f>-'Table 5C1L-Northshore Charter'!L69</f>
        <v>0</v>
      </c>
      <c r="AB69" s="231">
        <f>-'Table 5C1M-B.R. Charter'!L69</f>
        <v>0</v>
      </c>
      <c r="AC69" s="231">
        <f>-'Table 5C1N-Delta Charter'!L69</f>
        <v>0</v>
      </c>
      <c r="AD69" s="231">
        <f>-('Table 5C2 - LA Virtual Admy'!M69+'Table 5C2 - LA Virtual Admy'!I69)</f>
        <v>-36608.785111386067</v>
      </c>
      <c r="AE69" s="231">
        <f>-('Table 5C3 - LA Connections EBR'!M69+'Table 5C3 - LA Connections EBR'!I69)</f>
        <v>-19768.74396014848</v>
      </c>
      <c r="AF69" s="231">
        <f t="shared" si="32"/>
        <v>-56377.529071534547</v>
      </c>
      <c r="AG69" s="231">
        <f>+'Table 4 Level 4'!E67</f>
        <v>0</v>
      </c>
      <c r="AH69" s="231">
        <f>+'Table 4 Level 4'!O67</f>
        <v>24596</v>
      </c>
      <c r="AI69" s="984">
        <f t="shared" si="33"/>
        <v>9686875</v>
      </c>
      <c r="AJ69" s="231">
        <f>4*'[2]Table 2_State Distrib and Adjs'!AL69+(2*'[3]Table 2_State Distrib and Adjs'!AL69)+(2*'[4]Table 2_State Distrib and Adjs'!AL69)</f>
        <v>6638520</v>
      </c>
      <c r="AK69" s="231">
        <f t="shared" si="30"/>
        <v>3048355</v>
      </c>
      <c r="AL69" s="231">
        <f t="shared" si="34"/>
        <v>762089</v>
      </c>
      <c r="AM69" s="231">
        <f>+'Table 4 Level 4'!J67</f>
        <v>0</v>
      </c>
      <c r="AN69" s="231">
        <f>+'Table 4 Level 4'!L67</f>
        <v>25000</v>
      </c>
      <c r="AO69" s="231">
        <f>+'Table 4 Level 4'!M67</f>
        <v>11004</v>
      </c>
      <c r="AP69" s="984">
        <f t="shared" si="31"/>
        <v>9722879</v>
      </c>
      <c r="AQ69" s="41"/>
    </row>
    <row r="70" spans="1:43" ht="14.45" customHeight="1">
      <c r="A70" s="228">
        <v>64</v>
      </c>
      <c r="B70" s="229" t="s">
        <v>135</v>
      </c>
      <c r="C70" s="231">
        <f>'Table 3 Levels 1&amp;2'!AO67</f>
        <v>16173135.233216001</v>
      </c>
      <c r="D70" s="231">
        <v>0</v>
      </c>
      <c r="E70" s="231">
        <v>0</v>
      </c>
      <c r="F70" s="231">
        <f t="shared" si="26"/>
        <v>0</v>
      </c>
      <c r="G70" s="231">
        <f t="shared" si="22"/>
        <v>0</v>
      </c>
      <c r="H70" s="231">
        <f t="shared" si="27"/>
        <v>0</v>
      </c>
      <c r="I70" s="231">
        <f>'[1]October midyear adj'!K67</f>
        <v>41222.944519666955</v>
      </c>
      <c r="J70" s="231">
        <f>'[1]February midyear adj'!K67</f>
        <v>-109927.8520524452</v>
      </c>
      <c r="K70" s="231">
        <f t="shared" si="28"/>
        <v>-68704.907532778248</v>
      </c>
      <c r="L70" s="231">
        <f>'[1]Oct midyear Madison Prep'!K67+'[1]Oct midyear DArbonne'!K67+'[1]Oct midyear Intl_VIBE'!K67+'[1]Oct midyear NOMMA'!K67+'[1]Oct midyear LFNO'!K67+'[1]Oct midyear Lake Charles Chtr'!K67+'[1]Oct midyear JS Clark'!K67+'[1]Oct midyear Southwest'!K67+'[1]Oct midyear LA Key'!K67+'[1]Oct midyear Jefferson Cham'!K67+'[1]Oct midyear Tallulah'!K67+'[1]Oct midyear Northshore'!K67+'[1]Oct midyear B.R. Charter'!K67+'[1]Oct midyear Delta'!K67+'[1]Oct midyear LAVCA'!K67+'[1]Oct midyear LA Conn'!K67</f>
        <v>30917.208389750216</v>
      </c>
      <c r="M70" s="231">
        <f>'[1]Feb midyear Madison Prep'!K67+'[1]Feb midyear DArbonne'!K67+'[1]Feb midyear Intl_VIBE'!K67+'[1]Feb midyear NOMMA'!K67+'[1]Feb midyear LFNO'!K67+'[1]Feb midyear Lake Charles Chtr'!K67+'[1]Feb midyear JS Clark'!K67+'[1]Feb midyear Southwest'!K67+'[1]Feb midyear LA Key'!K67+'[1]Feb midyear Jefferson Cham'!K67+'[1]Feb midyear Tallulah'!K67+'[1]Feb midyear Northshore'!K67+'[1]Feb midyear B.R. Charter'!K67+'[1]Feb midyear Delta'!K67+'[1]Feb midyear LAVCA'!K67+'[1]Feb midyear LA Conn'!K67</f>
        <v>-6183.4416779500434</v>
      </c>
      <c r="N70" s="231">
        <f t="shared" si="29"/>
        <v>24733.766711800174</v>
      </c>
      <c r="O70" s="231">
        <v>0</v>
      </c>
      <c r="P70" s="231">
        <f>-'Table 5C1A-Madison Prep'!L70</f>
        <v>0</v>
      </c>
      <c r="Q70" s="231">
        <f>-'Table 5C1B-DArbonne'!L70</f>
        <v>0</v>
      </c>
      <c r="R70" s="231">
        <f>-'Table 5C1C-Intl_VIBE'!L70</f>
        <v>0</v>
      </c>
      <c r="S70" s="231">
        <f>-'Table 5C1D-NOMMA'!L70</f>
        <v>0</v>
      </c>
      <c r="T70" s="231">
        <f>-'Table 5C1E-LFNO'!L70</f>
        <v>0</v>
      </c>
      <c r="U70" s="231">
        <f>-'Table 5C1F-Lake Charles Charter'!L70</f>
        <v>0</v>
      </c>
      <c r="V70" s="231">
        <f>-'Table 5C1G-JS Clark Academy'!L70</f>
        <v>0</v>
      </c>
      <c r="W70" s="231">
        <f>-'Table 5C1H-Southwest LA Charter'!L70</f>
        <v>0</v>
      </c>
      <c r="X70" s="231">
        <f>-'Table 5C1I-LA Key Academy'!L70</f>
        <v>0</v>
      </c>
      <c r="Y70" s="231">
        <f>-'Table 5C1J-Jefferson Chamber'!L70</f>
        <v>0</v>
      </c>
      <c r="Z70" s="231">
        <f>-'Table 5C1K-Tallulah Charter'!L70</f>
        <v>0</v>
      </c>
      <c r="AA70" s="231">
        <f>-'Table 5C1L-Northshore Charter'!L70</f>
        <v>0</v>
      </c>
      <c r="AB70" s="231">
        <f>-'Table 5C1M-B.R. Charter'!L70</f>
        <v>0</v>
      </c>
      <c r="AC70" s="231">
        <f>-'Table 5C1N-Delta Charter'!L70</f>
        <v>0</v>
      </c>
      <c r="AD70" s="231">
        <f>-('Table 5C2 - LA Virtual Admy'!M70+'Table 5C2 - LA Virtual Admy'!I70)</f>
        <v>-46719.337122289209</v>
      </c>
      <c r="AE70" s="231">
        <f>-('Table 5C3 - LA Connections EBR'!M70+'Table 5C3 - LA Connections EBR'!I70)</f>
        <v>-32978.35561573357</v>
      </c>
      <c r="AF70" s="231">
        <f t="shared" si="32"/>
        <v>-79697.692738022772</v>
      </c>
      <c r="AG70" s="231">
        <f>+'Table 4 Level 4'!E68</f>
        <v>0</v>
      </c>
      <c r="AH70" s="231">
        <f>+'Table 4 Level 4'!O68</f>
        <v>26884</v>
      </c>
      <c r="AI70" s="984">
        <f t="shared" si="33"/>
        <v>16076350</v>
      </c>
      <c r="AJ70" s="231">
        <f>4*'[2]Table 2_State Distrib and Adjs'!AL70+(2*'[3]Table 2_State Distrib and Adjs'!AL70)+(2*'[4]Table 2_State Distrib and Adjs'!AL70)</f>
        <v>10763370</v>
      </c>
      <c r="AK70" s="231">
        <f t="shared" si="30"/>
        <v>5312980</v>
      </c>
      <c r="AL70" s="231">
        <f t="shared" si="34"/>
        <v>1328245</v>
      </c>
      <c r="AM70" s="231">
        <f>+'Table 4 Level 4'!J68</f>
        <v>0</v>
      </c>
      <c r="AN70" s="231">
        <f>+'Table 4 Level 4'!L68</f>
        <v>25000.000000000004</v>
      </c>
      <c r="AO70" s="231">
        <f>+'Table 4 Level 4'!M68</f>
        <v>0</v>
      </c>
      <c r="AP70" s="984">
        <f t="shared" si="31"/>
        <v>16101350</v>
      </c>
      <c r="AQ70" s="41"/>
    </row>
    <row r="71" spans="1:43" ht="14.45" customHeight="1">
      <c r="A71" s="3">
        <v>65</v>
      </c>
      <c r="B71" s="7" t="s">
        <v>136</v>
      </c>
      <c r="C71" s="10">
        <f>'Table 3 Levels 1&amp;2'!AO68</f>
        <v>45820597.812728316</v>
      </c>
      <c r="D71" s="10">
        <v>0</v>
      </c>
      <c r="E71" s="10">
        <v>0</v>
      </c>
      <c r="F71" s="10">
        <f t="shared" si="26"/>
        <v>0</v>
      </c>
      <c r="G71" s="10">
        <f>IF(F71&gt;0,F71,0)</f>
        <v>0</v>
      </c>
      <c r="H71" s="10">
        <f t="shared" si="27"/>
        <v>0</v>
      </c>
      <c r="I71" s="10">
        <f>'[1]October midyear adj'!K68</f>
        <v>-919102.0109206757</v>
      </c>
      <c r="J71" s="10">
        <f>'[1]February midyear adj'!K68</f>
        <v>249390.48467054919</v>
      </c>
      <c r="K71" s="10">
        <f t="shared" si="28"/>
        <v>-669711.52625012654</v>
      </c>
      <c r="L71" s="10">
        <f>'[1]Oct midyear Madison Prep'!K68+'[1]Oct midyear DArbonne'!K68+'[1]Oct midyear Intl_VIBE'!K68+'[1]Oct midyear NOMMA'!K68+'[1]Oct midyear LFNO'!K68+'[1]Oct midyear Lake Charles Chtr'!K68+'[1]Oct midyear JS Clark'!K68+'[1]Oct midyear Southwest'!K68+'[1]Oct midyear LA Key'!K68+'[1]Oct midyear Jefferson Cham'!K68+'[1]Oct midyear Tallulah'!K68+'[1]Oct midyear Northshore'!K68+'[1]Oct midyear B.R. Charter'!K68+'[1]Oct midyear Delta'!K68+'[1]Oct midyear LAVCA'!K68+'[1]Oct midyear LA Conn'!K68</f>
        <v>29142.258882850692</v>
      </c>
      <c r="M71" s="10">
        <f>'[1]Feb midyear Madison Prep'!K68+'[1]Feb midyear DArbonne'!K68+'[1]Feb midyear Intl_VIBE'!K68+'[1]Feb midyear NOMMA'!K68+'[1]Feb midyear LFNO'!K68+'[1]Feb midyear Lake Charles Chtr'!K68+'[1]Feb midyear JS Clark'!K68+'[1]Feb midyear Southwest'!K68+'[1]Feb midyear LA Key'!K68+'[1]Feb midyear Jefferson Cham'!K68+'[1]Feb midyear Tallulah'!K68+'[1]Feb midyear Northshore'!K68+'[1]Feb midyear B.R. Charter'!K68+'[1]Feb midyear Delta'!K68+'[1]Feb midyear LAVCA'!K68+'[1]Feb midyear LA Conn'!K68</f>
        <v>-2802.1402771971821</v>
      </c>
      <c r="N71" s="10">
        <f t="shared" si="29"/>
        <v>26340.118605653512</v>
      </c>
      <c r="O71" s="10">
        <v>0</v>
      </c>
      <c r="P71" s="10">
        <f>-'Table 5C1A-Madison Prep'!L71</f>
        <v>0</v>
      </c>
      <c r="Q71" s="10">
        <f>-'Table 5C1B-DArbonne'!L71</f>
        <v>-2802.1402771971807</v>
      </c>
      <c r="R71" s="10">
        <f>-'Table 5C1C-Intl_VIBE'!L71</f>
        <v>0</v>
      </c>
      <c r="S71" s="10">
        <f>-'Table 5C1D-NOMMA'!L71</f>
        <v>0</v>
      </c>
      <c r="T71" s="10">
        <f>-'Table 5C1E-LFNO'!L71</f>
        <v>0</v>
      </c>
      <c r="U71" s="10">
        <f>-'Table 5C1F-Lake Charles Charter'!L71</f>
        <v>0</v>
      </c>
      <c r="V71" s="10">
        <f>-'Table 5C1G-JS Clark Academy'!L71</f>
        <v>0</v>
      </c>
      <c r="W71" s="10">
        <f>-'Table 5C1H-Southwest LA Charter'!L71</f>
        <v>0</v>
      </c>
      <c r="X71" s="10">
        <f>-'Table 5C1I-LA Key Academy'!L71</f>
        <v>0</v>
      </c>
      <c r="Y71" s="10">
        <f>-'Table 5C1J-Jefferson Chamber'!L71</f>
        <v>0</v>
      </c>
      <c r="Z71" s="10">
        <f>-'Table 5C1K-Tallulah Charter'!L71</f>
        <v>0</v>
      </c>
      <c r="AA71" s="10">
        <f>-'Table 5C1L-Northshore Charter'!L71</f>
        <v>0</v>
      </c>
      <c r="AB71" s="10">
        <f>-'Table 5C1M-B.R. Charter'!L71</f>
        <v>0</v>
      </c>
      <c r="AC71" s="10">
        <f>-'Table 5C1N-Delta Charter'!L71</f>
        <v>0</v>
      </c>
      <c r="AD71" s="10">
        <f>-('Table 5C2 - LA Virtual Admy'!M71+'Table 5C2 - LA Virtual Admy'!I71)</f>
        <v>-40350.819991639422</v>
      </c>
      <c r="AE71" s="10">
        <f>-('Table 5C3 - LA Connections EBR'!M71+'Table 5C3 - LA Connections EBR'!I71)</f>
        <v>0</v>
      </c>
      <c r="AF71" s="10">
        <f t="shared" ref="AF71:AF75" si="35">SUM(O71:AE71)</f>
        <v>-43152.960268836599</v>
      </c>
      <c r="AG71" s="10">
        <f>+'Table 4 Level 4'!E69</f>
        <v>0</v>
      </c>
      <c r="AH71" s="10">
        <f>+'Table 4 Level 4'!O69</f>
        <v>84838</v>
      </c>
      <c r="AI71" s="985">
        <f t="shared" ref="AI71:AI75" si="36">ROUND(C71+F71+K71+N71+AF71+AG71+AH71,0)</f>
        <v>45218911</v>
      </c>
      <c r="AJ71" s="10">
        <f>4*'[2]Table 2_State Distrib and Adjs'!AL71+(2*'[3]Table 2_State Distrib and Adjs'!AL71)+(2*'[4]Table 2_State Distrib and Adjs'!AL71)</f>
        <v>30592416</v>
      </c>
      <c r="AK71" s="10">
        <f t="shared" si="30"/>
        <v>14626495</v>
      </c>
      <c r="AL71" s="10">
        <f t="shared" ref="AL71:AL75" si="37">ROUND(AK71/$AL$77,0)</f>
        <v>3656624</v>
      </c>
      <c r="AM71" s="10">
        <f>+'Table 4 Level 4'!J69</f>
        <v>0</v>
      </c>
      <c r="AN71" s="10">
        <f>+'Table 4 Level 4'!L69</f>
        <v>25000</v>
      </c>
      <c r="AO71" s="10">
        <f>+'Table 4 Level 4'!M69</f>
        <v>30093</v>
      </c>
      <c r="AP71" s="985">
        <f t="shared" si="31"/>
        <v>45274004</v>
      </c>
      <c r="AQ71" s="41"/>
    </row>
    <row r="72" spans="1:43" ht="14.45" customHeight="1">
      <c r="A72" s="224">
        <v>66</v>
      </c>
      <c r="B72" s="225" t="s">
        <v>137</v>
      </c>
      <c r="C72" s="227">
        <f>'Table 3 Levels 1&amp;2'!AO69</f>
        <v>14755900.663279999</v>
      </c>
      <c r="D72" s="227">
        <v>0</v>
      </c>
      <c r="E72" s="227">
        <v>-10986.197378123818</v>
      </c>
      <c r="F72" s="227">
        <f>SUM(D72:E72)</f>
        <v>-10986.197378123818</v>
      </c>
      <c r="G72" s="227">
        <f>IF(F72&gt;0,F72,0)</f>
        <v>0</v>
      </c>
      <c r="H72" s="227">
        <f>IF(F72&lt;0,F72,0)</f>
        <v>-10986.197378123818</v>
      </c>
      <c r="I72" s="227">
        <f>'[1]October midyear adj'!K69</f>
        <v>-1663047.6278931489</v>
      </c>
      <c r="J72" s="227">
        <f>'[1]February midyear adj'!K69</f>
        <v>51058.479803737027</v>
      </c>
      <c r="K72" s="227">
        <f t="shared" ref="K72:K75" si="38">SUM(I72:J72)</f>
        <v>-1611989.1480894119</v>
      </c>
      <c r="L72" s="227">
        <f>'[1]Oct midyear Madison Prep'!K69+'[1]Oct midyear DArbonne'!K69+'[1]Oct midyear Intl_VIBE'!K69+'[1]Oct midyear NOMMA'!K69+'[1]Oct midyear LFNO'!K69+'[1]Oct midyear Lake Charles Chtr'!K69+'[1]Oct midyear JS Clark'!K69+'[1]Oct midyear Southwest'!K69+'[1]Oct midyear LA Key'!K69+'[1]Oct midyear Jefferson Cham'!K69+'[1]Oct midyear Tallulah'!K69+'[1]Oct midyear Northshore'!K69+'[1]Oct midyear B.R. Charter'!K69+'[1]Oct midyear Delta'!K69+'[1]Oct midyear LAVCA'!K69+'[1]Oct midyear LA Conn'!K69</f>
        <v>1593753.9767309343</v>
      </c>
      <c r="M72" s="227">
        <f>'[1]Feb midyear Madison Prep'!K69+'[1]Feb midyear DArbonne'!K69+'[1]Feb midyear Intl_VIBE'!K69+'[1]Feb midyear NOMMA'!K69+'[1]Feb midyear LFNO'!K69+'[1]Feb midyear Lake Charles Chtr'!K69+'[1]Feb midyear JS Clark'!K69+'[1]Feb midyear Southwest'!K69+'[1]Feb midyear LA Key'!K69+'[1]Feb midyear Jefferson Cham'!K69+'[1]Feb midyear Tallulah'!K69+'[1]Feb midyear Northshore'!K69+'[1]Feb midyear B.R. Charter'!K69+'[1]Feb midyear Delta'!K69+'[1]Feb midyear LAVCA'!K69+'[1]Feb midyear LA Conn'!K69</f>
        <v>59081.955201467135</v>
      </c>
      <c r="N72" s="227">
        <f t="shared" ref="N72:N75" si="39">SUM(L72:M72)</f>
        <v>1652835.9319324014</v>
      </c>
      <c r="O72" s="227">
        <v>0</v>
      </c>
      <c r="P72" s="227">
        <f>-'Table 5C1A-Madison Prep'!L72</f>
        <v>0</v>
      </c>
      <c r="Q72" s="227">
        <f>-'Table 5C1B-DArbonne'!L72</f>
        <v>0</v>
      </c>
      <c r="R72" s="227">
        <f>-'Table 5C1C-Intl_VIBE'!L72</f>
        <v>0</v>
      </c>
      <c r="S72" s="227">
        <f>-'Table 5C1D-NOMMA'!L72</f>
        <v>0</v>
      </c>
      <c r="T72" s="227">
        <f>-'Table 5C1E-LFNO'!L72</f>
        <v>0</v>
      </c>
      <c r="U72" s="227">
        <f>-'Table 5C1F-Lake Charles Charter'!L72</f>
        <v>0</v>
      </c>
      <c r="V72" s="227">
        <f>-'Table 5C1G-JS Clark Academy'!L72</f>
        <v>0</v>
      </c>
      <c r="W72" s="227">
        <f>-'Table 5C1H-Southwest LA Charter'!L72</f>
        <v>0</v>
      </c>
      <c r="X72" s="227">
        <f>-'Table 5C1I-LA Key Academy'!L72</f>
        <v>0</v>
      </c>
      <c r="Y72" s="227">
        <f>-'Table 5C1J-Jefferson Chamber'!L72</f>
        <v>0</v>
      </c>
      <c r="Z72" s="227">
        <f>-'Table 5C1K-Tallulah Charter'!L72</f>
        <v>0</v>
      </c>
      <c r="AA72" s="227">
        <f>-'Table 5C1L-Northshore Charter'!L72</f>
        <v>-2910333.3488130104</v>
      </c>
      <c r="AB72" s="227">
        <f>-'Table 5C1M-B.R. Charter'!L72</f>
        <v>0</v>
      </c>
      <c r="AC72" s="227">
        <f>-'Table 5C1N-Delta Charter'!L72</f>
        <v>0</v>
      </c>
      <c r="AD72" s="227">
        <f>-('Table 5C2 - LA Virtual Admy'!M72+'Table 5C2 - LA Virtual Admy'!I72)</f>
        <v>-37199.749571294102</v>
      </c>
      <c r="AE72" s="227">
        <f>-('Table 5C3 - LA Connections EBR'!M72+'Table 5C3 - LA Connections EBR'!I72)</f>
        <v>-3647.0342716955001</v>
      </c>
      <c r="AF72" s="227">
        <f t="shared" si="35"/>
        <v>-2951180.1326560001</v>
      </c>
      <c r="AG72" s="227">
        <f>+'Table 4 Level 4'!E70</f>
        <v>0</v>
      </c>
      <c r="AH72" s="227">
        <f>+'Table 4 Level 4'!O70</f>
        <v>20020</v>
      </c>
      <c r="AI72" s="983">
        <f t="shared" si="36"/>
        <v>11854601</v>
      </c>
      <c r="AJ72" s="227">
        <f>4*'[2]Table 2_State Distrib and Adjs'!AL72+(2*'[3]Table 2_State Distrib and Adjs'!AL72)+(2*'[4]Table 2_State Distrib and Adjs'!AL72)</f>
        <v>8423378</v>
      </c>
      <c r="AK72" s="227">
        <f t="shared" ref="AK72:AK75" si="40">AI72-AJ72</f>
        <v>3431223</v>
      </c>
      <c r="AL72" s="227">
        <f t="shared" si="37"/>
        <v>857806</v>
      </c>
      <c r="AM72" s="227">
        <f>+'Table 4 Level 4'!J70</f>
        <v>0</v>
      </c>
      <c r="AN72" s="227">
        <f>+'Table 4 Level 4'!L70</f>
        <v>25000</v>
      </c>
      <c r="AO72" s="227">
        <f>+'Table 4 Level 4'!M70</f>
        <v>5474</v>
      </c>
      <c r="AP72" s="983">
        <f t="shared" ref="AP72:AP75" si="41">+AI72+AM72+AN72+AO72</f>
        <v>11885075</v>
      </c>
      <c r="AQ72" s="41"/>
    </row>
    <row r="73" spans="1:43" ht="14.45" customHeight="1">
      <c r="A73" s="228">
        <v>67</v>
      </c>
      <c r="B73" s="229" t="s">
        <v>28</v>
      </c>
      <c r="C73" s="231">
        <f>'Table 3 Levels 1&amp;2'!AO70</f>
        <v>30223165.385980159</v>
      </c>
      <c r="D73" s="231">
        <v>0</v>
      </c>
      <c r="E73" s="231">
        <v>-5326.7009653160112</v>
      </c>
      <c r="F73" s="231">
        <f>SUM(D73:E73)</f>
        <v>-5326.7009653160112</v>
      </c>
      <c r="G73" s="231">
        <f>IF(F73&gt;0,F73,0)</f>
        <v>0</v>
      </c>
      <c r="H73" s="231">
        <f>IF(F73&lt;0,F73,0)</f>
        <v>-5326.7009653160112</v>
      </c>
      <c r="I73" s="231">
        <f>'[1]October midyear adj'!K70</f>
        <v>-258514.05481260351</v>
      </c>
      <c r="J73" s="231">
        <f>'[1]February midyear adj'!K70</f>
        <v>-57447.567736134115</v>
      </c>
      <c r="K73" s="231">
        <f t="shared" si="38"/>
        <v>-315961.62254873762</v>
      </c>
      <c r="L73" s="231">
        <f>'[1]Oct midyear Madison Prep'!K70+'[1]Oct midyear DArbonne'!K70+'[1]Oct midyear Intl_VIBE'!K70+'[1]Oct midyear NOMMA'!K70+'[1]Oct midyear LFNO'!K70+'[1]Oct midyear Lake Charles Chtr'!K70+'[1]Oct midyear JS Clark'!K70+'[1]Oct midyear Southwest'!K70+'[1]Oct midyear LA Key'!K70+'[1]Oct midyear Jefferson Cham'!K70+'[1]Oct midyear Tallulah'!K70+'[1]Oct midyear Northshore'!K70+'[1]Oct midyear B.R. Charter'!K70+'[1]Oct midyear Delta'!K70+'[1]Oct midyear LAVCA'!K70+'[1]Oct midyear LA Conn'!K70</f>
        <v>10340.562192504141</v>
      </c>
      <c r="M73" s="231">
        <f>'[1]Feb midyear Madison Prep'!K70+'[1]Feb midyear DArbonne'!K70+'[1]Feb midyear Intl_VIBE'!K70+'[1]Feb midyear NOMMA'!K70+'[1]Feb midyear LFNO'!K70+'[1]Feb midyear Lake Charles Chtr'!K70+'[1]Feb midyear JS Clark'!K70+'[1]Feb midyear Southwest'!K70+'[1]Feb midyear LA Key'!K70+'[1]Feb midyear Jefferson Cham'!K70+'[1]Feb midyear Tallulah'!K70+'[1]Feb midyear Northshore'!K70+'[1]Feb midyear B.R. Charter'!K70+'[1]Feb midyear Delta'!K70+'[1]Feb midyear LAVCA'!K70+'[1]Feb midyear LA Conn'!K70</f>
        <v>5170.2810962520707</v>
      </c>
      <c r="N73" s="231">
        <f t="shared" si="39"/>
        <v>15510.843288756212</v>
      </c>
      <c r="O73" s="231">
        <v>0</v>
      </c>
      <c r="P73" s="231">
        <f>-'Table 5C1A-Madison Prep'!L73</f>
        <v>-17234.270320840238</v>
      </c>
      <c r="Q73" s="231">
        <f>-'Table 5C1B-DArbonne'!L73</f>
        <v>0</v>
      </c>
      <c r="R73" s="231">
        <f>-'Table 5C1C-Intl_VIBE'!L73</f>
        <v>0</v>
      </c>
      <c r="S73" s="231">
        <f>-'Table 5C1D-NOMMA'!L73</f>
        <v>0</v>
      </c>
      <c r="T73" s="231">
        <f>-'Table 5C1E-LFNO'!L73</f>
        <v>0</v>
      </c>
      <c r="U73" s="231">
        <f>-'Table 5C1F-Lake Charles Charter'!L73</f>
        <v>0</v>
      </c>
      <c r="V73" s="231">
        <f>-'Table 5C1G-JS Clark Academy'!L73</f>
        <v>0</v>
      </c>
      <c r="W73" s="231">
        <f>-'Table 5C1H-Southwest LA Charter'!L73</f>
        <v>0</v>
      </c>
      <c r="X73" s="231">
        <f>-'Table 5C1I-LA Key Academy'!L73</f>
        <v>0</v>
      </c>
      <c r="Y73" s="231">
        <f>-'Table 5C1J-Jefferson Chamber'!L73</f>
        <v>0</v>
      </c>
      <c r="Z73" s="231">
        <f>-'Table 5C1K-Tallulah Charter'!L73</f>
        <v>0</v>
      </c>
      <c r="AA73" s="231">
        <f>-'Table 5C1L-Northshore Charter'!L73</f>
        <v>0</v>
      </c>
      <c r="AB73" s="231">
        <f>-'Table 5C1M-B.R. Charter'!L73</f>
        <v>0</v>
      </c>
      <c r="AC73" s="231">
        <f>-'Table 5C1N-Delta Charter'!L73</f>
        <v>0</v>
      </c>
      <c r="AD73" s="231">
        <f>-('Table 5C2 - LA Virtual Admy'!M73+'Table 5C2 - LA Virtual Admy'!I73)</f>
        <v>-38489.870383209854</v>
      </c>
      <c r="AE73" s="231">
        <f>-('Table 5C3 - LA Connections EBR'!M73+'Table 5C3 - LA Connections EBR'!I73)</f>
        <v>0</v>
      </c>
      <c r="AF73" s="231">
        <f t="shared" si="35"/>
        <v>-55724.140704050093</v>
      </c>
      <c r="AG73" s="231">
        <f>+'Table 4 Level 4'!E71</f>
        <v>0</v>
      </c>
      <c r="AH73" s="231">
        <f>+'Table 4 Level 4'!O71</f>
        <v>62322</v>
      </c>
      <c r="AI73" s="984">
        <f t="shared" si="36"/>
        <v>29923986</v>
      </c>
      <c r="AJ73" s="231">
        <f>4*'[2]Table 2_State Distrib and Adjs'!AL73+(2*'[3]Table 2_State Distrib and Adjs'!AL73)+(2*'[4]Table 2_State Distrib and Adjs'!AL73)</f>
        <v>20159966</v>
      </c>
      <c r="AK73" s="231">
        <f t="shared" si="40"/>
        <v>9764020</v>
      </c>
      <c r="AL73" s="231">
        <f t="shared" si="37"/>
        <v>2441005</v>
      </c>
      <c r="AM73" s="231">
        <f>+'Table 4 Level 4'!J71</f>
        <v>0</v>
      </c>
      <c r="AN73" s="231">
        <f>+'Table 4 Level 4'!L71</f>
        <v>51170</v>
      </c>
      <c r="AO73" s="231">
        <f>+'Table 4 Level 4'!M71</f>
        <v>0</v>
      </c>
      <c r="AP73" s="984">
        <f t="shared" si="41"/>
        <v>29975156</v>
      </c>
      <c r="AQ73" s="41"/>
    </row>
    <row r="74" spans="1:43" ht="14.45" customHeight="1">
      <c r="A74" s="228">
        <v>68</v>
      </c>
      <c r="B74" s="229" t="s">
        <v>27</v>
      </c>
      <c r="C74" s="231">
        <f>'Table 3 Levels 1&amp;2'!AO71</f>
        <v>11566882.852192001</v>
      </c>
      <c r="D74" s="231">
        <v>0</v>
      </c>
      <c r="E74" s="231">
        <v>0</v>
      </c>
      <c r="F74" s="231">
        <f>SUM(D74:E74)</f>
        <v>0</v>
      </c>
      <c r="G74" s="231">
        <f>IF(F74&gt;0,F74,0)</f>
        <v>0</v>
      </c>
      <c r="H74" s="231">
        <f>IF(F74&lt;0,F74,0)</f>
        <v>0</v>
      </c>
      <c r="I74" s="231">
        <f>'[1]October midyear adj'!K71</f>
        <v>-1423395.1552106999</v>
      </c>
      <c r="J74" s="231">
        <f>'[1]February midyear adj'!K71</f>
        <v>57510.915362048479</v>
      </c>
      <c r="K74" s="231">
        <f t="shared" si="38"/>
        <v>-1365884.2398486515</v>
      </c>
      <c r="L74" s="231">
        <f>'[1]Oct midyear Madison Prep'!K71+'[1]Oct midyear DArbonne'!K71+'[1]Oct midyear Intl_VIBE'!K71+'[1]Oct midyear NOMMA'!K71+'[1]Oct midyear LFNO'!K71+'[1]Oct midyear Lake Charles Chtr'!K71+'[1]Oct midyear JS Clark'!K71+'[1]Oct midyear Southwest'!K71+'[1]Oct midyear LA Key'!K71+'[1]Oct midyear Jefferson Cham'!K71+'[1]Oct midyear Tallulah'!K71+'[1]Oct midyear Northshore'!K71+'[1]Oct midyear B.R. Charter'!K71+'[1]Oct midyear Delta'!K71+'[1]Oct midyear LAVCA'!K71+'[1]Oct midyear LA Conn'!K71</f>
        <v>14377.72884051212</v>
      </c>
      <c r="M74" s="231">
        <f>'[1]Feb midyear Madison Prep'!K71+'[1]Feb midyear DArbonne'!K71+'[1]Feb midyear Intl_VIBE'!K71+'[1]Feb midyear NOMMA'!K71+'[1]Feb midyear LFNO'!K71+'[1]Feb midyear Lake Charles Chtr'!K71+'[1]Feb midyear JS Clark'!K71+'[1]Feb midyear Southwest'!K71+'[1]Feb midyear LA Key'!K71+'[1]Feb midyear Jefferson Cham'!K71+'[1]Feb midyear Tallulah'!K71+'[1]Feb midyear Northshore'!K71+'[1]Feb midyear B.R. Charter'!K71+'[1]Feb midyear Delta'!K71+'[1]Feb midyear LAVCA'!K71+'[1]Feb midyear LA Conn'!K71</f>
        <v>-6829.4211992432574</v>
      </c>
      <c r="N74" s="231">
        <f t="shared" si="39"/>
        <v>7548.3076412688624</v>
      </c>
      <c r="O74" s="231">
        <v>0</v>
      </c>
      <c r="P74" s="231">
        <f>-'Table 5C1A-Madison Prep'!L74</f>
        <v>-61105.347572176513</v>
      </c>
      <c r="Q74" s="231">
        <f>-'Table 5C1B-DArbonne'!L74</f>
        <v>0</v>
      </c>
      <c r="R74" s="231">
        <f>-'Table 5C1C-Intl_VIBE'!L74</f>
        <v>0</v>
      </c>
      <c r="S74" s="231">
        <f>-'Table 5C1D-NOMMA'!L74</f>
        <v>0</v>
      </c>
      <c r="T74" s="231">
        <f>-'Table 5C1E-LFNO'!L74</f>
        <v>0</v>
      </c>
      <c r="U74" s="231">
        <f>-'Table 5C1F-Lake Charles Charter'!L74</f>
        <v>0</v>
      </c>
      <c r="V74" s="231">
        <f>-'Table 5C1G-JS Clark Academy'!L74</f>
        <v>0</v>
      </c>
      <c r="W74" s="231">
        <f>-'Table 5C1H-Southwest LA Charter'!L74</f>
        <v>0</v>
      </c>
      <c r="X74" s="231">
        <f>-'Table 5C1I-LA Key Academy'!L74</f>
        <v>0</v>
      </c>
      <c r="Y74" s="231">
        <f>-'Table 5C1J-Jefferson Chamber'!L74</f>
        <v>0</v>
      </c>
      <c r="Z74" s="231">
        <f>-'Table 5C1K-Tallulah Charter'!L74</f>
        <v>0</v>
      </c>
      <c r="AA74" s="231">
        <f>-'Table 5C1L-Northshore Charter'!L74</f>
        <v>0</v>
      </c>
      <c r="AB74" s="231">
        <f>-'Table 5C1M-B.R. Charter'!L74</f>
        <v>0</v>
      </c>
      <c r="AC74" s="231">
        <f>-'Table 5C1N-Delta Charter'!L74</f>
        <v>0</v>
      </c>
      <c r="AD74" s="231">
        <f>-('Table 5C2 - LA Virtual Admy'!M74+'Table 5C2 - LA Virtual Admy'!I74)</f>
        <v>-32709.333112165074</v>
      </c>
      <c r="AE74" s="231">
        <f>-('Table 5C3 - LA Connections EBR'!M74+'Table 5C3 - LA Connections EBR'!I74)</f>
        <v>0</v>
      </c>
      <c r="AF74" s="231">
        <f t="shared" si="35"/>
        <v>-93814.680684341583</v>
      </c>
      <c r="AG74" s="231">
        <f>+'Table 4 Level 4'!E72</f>
        <v>0</v>
      </c>
      <c r="AH74" s="231">
        <f>+'Table 4 Level 4'!O72</f>
        <v>18460</v>
      </c>
      <c r="AI74" s="984">
        <f t="shared" si="36"/>
        <v>10133192</v>
      </c>
      <c r="AJ74" s="231">
        <f>4*'[2]Table 2_State Distrib and Adjs'!AL74+(2*'[3]Table 2_State Distrib and Adjs'!AL74)+(2*'[4]Table 2_State Distrib and Adjs'!AL74)</f>
        <v>7666050</v>
      </c>
      <c r="AK74" s="231">
        <f t="shared" si="40"/>
        <v>2467142</v>
      </c>
      <c r="AL74" s="231">
        <f t="shared" si="37"/>
        <v>616786</v>
      </c>
      <c r="AM74" s="231">
        <f>+'Table 4 Level 4'!J72</f>
        <v>0</v>
      </c>
      <c r="AN74" s="231">
        <f>+'Table 4 Level 4'!L72</f>
        <v>25000</v>
      </c>
      <c r="AO74" s="231">
        <f>+'Table 4 Level 4'!M72</f>
        <v>0</v>
      </c>
      <c r="AP74" s="984">
        <f t="shared" si="41"/>
        <v>10158192</v>
      </c>
      <c r="AQ74" s="41"/>
    </row>
    <row r="75" spans="1:43" ht="14.45" customHeight="1">
      <c r="A75" s="232">
        <v>69</v>
      </c>
      <c r="B75" s="233" t="s">
        <v>147</v>
      </c>
      <c r="C75" s="235">
        <f>'Table 3 Levels 1&amp;2'!AO72</f>
        <v>27724674.74844864</v>
      </c>
      <c r="D75" s="235">
        <v>0</v>
      </c>
      <c r="E75" s="235">
        <v>0</v>
      </c>
      <c r="F75" s="235">
        <f>SUM(D75:E75)</f>
        <v>0</v>
      </c>
      <c r="G75" s="235">
        <f>IF(F75&gt;0,F75,0)</f>
        <v>0</v>
      </c>
      <c r="H75" s="235">
        <f>IF(F75&lt;0,F75,0)</f>
        <v>0</v>
      </c>
      <c r="I75" s="45">
        <f>'[1]October midyear adj'!K72</f>
        <v>1034934.5315326295</v>
      </c>
      <c r="J75" s="45">
        <f>'[1]February midyear adj'!K72</f>
        <v>-64281.647921281336</v>
      </c>
      <c r="K75" s="45">
        <f t="shared" si="38"/>
        <v>970652.88361134822</v>
      </c>
      <c r="L75" s="45">
        <f>'[1]Oct midyear Madison Prep'!K72+'[1]Oct midyear DArbonne'!K72+'[1]Oct midyear Intl_VIBE'!K72+'[1]Oct midyear NOMMA'!K72+'[1]Oct midyear LFNO'!K72+'[1]Oct midyear Lake Charles Chtr'!K72+'[1]Oct midyear JS Clark'!K72+'[1]Oct midyear Southwest'!K72+'[1]Oct midyear LA Key'!K72+'[1]Oct midyear Jefferson Cham'!K72+'[1]Oct midyear Tallulah'!K72+'[1]Oct midyear Northshore'!K72+'[1]Oct midyear B.R. Charter'!K72+'[1]Oct midyear Delta'!K72+'[1]Oct midyear LAVCA'!K72+'[1]Oct midyear LA Conn'!K72</f>
        <v>0</v>
      </c>
      <c r="M75" s="45">
        <f>'[1]Feb midyear Madison Prep'!K72+'[1]Feb midyear DArbonne'!K72+'[1]Feb midyear Intl_VIBE'!K72+'[1]Feb midyear NOMMA'!K72+'[1]Feb midyear LFNO'!K72+'[1]Feb midyear Lake Charles Chtr'!K72+'[1]Feb midyear JS Clark'!K72+'[1]Feb midyear Southwest'!K72+'[1]Feb midyear LA Key'!K72+'[1]Feb midyear Jefferson Cham'!K72+'[1]Feb midyear Tallulah'!K72+'[1]Feb midyear Northshore'!K72+'[1]Feb midyear B.R. Charter'!K72+'[1]Feb midyear Delta'!K72+'[1]Feb midyear LAVCA'!K72+'[1]Feb midyear LA Conn'!K72</f>
        <v>-11570.69662583064</v>
      </c>
      <c r="N75" s="45">
        <f t="shared" si="39"/>
        <v>-11570.69662583064</v>
      </c>
      <c r="O75" s="45">
        <v>0</v>
      </c>
      <c r="P75" s="45">
        <f>-'Table 5C1A-Madison Prep'!L75</f>
        <v>0</v>
      </c>
      <c r="Q75" s="45">
        <f>-'Table 5C1B-DArbonne'!L75</f>
        <v>0</v>
      </c>
      <c r="R75" s="45">
        <f>-'Table 5C1C-Intl_VIBE'!L75</f>
        <v>0</v>
      </c>
      <c r="S75" s="45">
        <f>-'Table 5C1D-NOMMA'!L75</f>
        <v>0</v>
      </c>
      <c r="T75" s="45">
        <f>-'Table 5C1E-LFNO'!L75</f>
        <v>0</v>
      </c>
      <c r="U75" s="45">
        <f>-'Table 5C1F-Lake Charles Charter'!L75</f>
        <v>0</v>
      </c>
      <c r="V75" s="45">
        <f>-'Table 5C1G-JS Clark Academy'!L75</f>
        <v>0</v>
      </c>
      <c r="W75" s="45">
        <f>-'Table 5C1H-Southwest LA Charter'!L75</f>
        <v>0</v>
      </c>
      <c r="X75" s="45">
        <f>-'Table 5C1I-LA Key Academy'!L75</f>
        <v>-12856.329584256267</v>
      </c>
      <c r="Y75" s="45">
        <f>-'Table 5C1J-Jefferson Chamber'!L75</f>
        <v>0</v>
      </c>
      <c r="Z75" s="45">
        <f>-'Table 5C1K-Tallulah Charter'!L75</f>
        <v>0</v>
      </c>
      <c r="AA75" s="45">
        <f>-'Table 5C1L-Northshore Charter'!L75</f>
        <v>0</v>
      </c>
      <c r="AB75" s="45">
        <f>-'Table 5C1M-B.R. Charter'!L75</f>
        <v>0</v>
      </c>
      <c r="AC75" s="45">
        <f>-'Table 5C1N-Delta Charter'!L75</f>
        <v>0</v>
      </c>
      <c r="AD75" s="45">
        <f>-('Table 5C2 - LA Virtual Admy'!M75+'Table 5C2 - LA Virtual Admy'!I75)</f>
        <v>-65567.280879706959</v>
      </c>
      <c r="AE75" s="45">
        <f>-('Table 5C3 - LA Connections EBR'!M75+'Table 5C3 - LA Connections EBR'!I75)</f>
        <v>0</v>
      </c>
      <c r="AF75" s="45">
        <f t="shared" si="35"/>
        <v>-78423.610463963225</v>
      </c>
      <c r="AG75" s="45">
        <f>+'Table 4 Level 4'!E73</f>
        <v>0</v>
      </c>
      <c r="AH75" s="45">
        <f>+'Table 4 Level 4'!O73</f>
        <v>48594</v>
      </c>
      <c r="AI75" s="986">
        <f t="shared" si="36"/>
        <v>28653927</v>
      </c>
      <c r="AJ75" s="45">
        <f>4*'[2]Table 2_State Distrib and Adjs'!AL75+(2*'[3]Table 2_State Distrib and Adjs'!AL75)+(2*'[4]Table 2_State Distrib and Adjs'!AL75)</f>
        <v>18455518</v>
      </c>
      <c r="AK75" s="45">
        <f t="shared" si="40"/>
        <v>10198409</v>
      </c>
      <c r="AL75" s="45">
        <f t="shared" si="37"/>
        <v>2549602</v>
      </c>
      <c r="AM75" s="45">
        <f>+'Table 4 Level 4'!J73</f>
        <v>0</v>
      </c>
      <c r="AN75" s="45">
        <f>+'Table 4 Level 4'!L73</f>
        <v>41650</v>
      </c>
      <c r="AO75" s="45">
        <f>+'Table 4 Level 4'!M73</f>
        <v>6616</v>
      </c>
      <c r="AP75" s="986">
        <f t="shared" si="41"/>
        <v>28702193</v>
      </c>
      <c r="AQ75" s="41"/>
    </row>
    <row r="76" spans="1:43" ht="14.45" customHeight="1" thickBot="1">
      <c r="A76" s="236"/>
      <c r="B76" s="237" t="s">
        <v>138</v>
      </c>
      <c r="C76" s="238">
        <f t="shared" ref="C76:AO76" si="42">SUM(C7:C75)</f>
        <v>3518098430.5006294</v>
      </c>
      <c r="D76" s="238">
        <f>SUM(D7:D75)</f>
        <v>-332615.66358499625</v>
      </c>
      <c r="E76" s="238">
        <f>SUM(E7:E75)</f>
        <v>-804247.12557666202</v>
      </c>
      <c r="F76" s="238">
        <f>SUM(F7:F75)</f>
        <v>-1136862.7891616581</v>
      </c>
      <c r="G76" s="238">
        <f t="shared" si="42"/>
        <v>104928.18228220707</v>
      </c>
      <c r="H76" s="238">
        <f t="shared" si="42"/>
        <v>-1241790.9714438654</v>
      </c>
      <c r="I76" s="238">
        <f t="shared" si="42"/>
        <v>8841948.1170833446</v>
      </c>
      <c r="J76" s="238">
        <f t="shared" si="42"/>
        <v>-7631871.4591203937</v>
      </c>
      <c r="K76" s="238">
        <f t="shared" si="42"/>
        <v>1210076.6579629481</v>
      </c>
      <c r="L76" s="238">
        <f t="shared" si="42"/>
        <v>11629954.63459485</v>
      </c>
      <c r="M76" s="238">
        <f t="shared" si="42"/>
        <v>-107561.59349014625</v>
      </c>
      <c r="N76" s="238">
        <f t="shared" si="42"/>
        <v>11522393.041104706</v>
      </c>
      <c r="O76" s="238">
        <f t="shared" si="42"/>
        <v>-139784894.59876046</v>
      </c>
      <c r="P76" s="238">
        <f t="shared" si="42"/>
        <v>-1455326.093806322</v>
      </c>
      <c r="Q76" s="238">
        <f t="shared" si="42"/>
        <v>-4467129.689391464</v>
      </c>
      <c r="R76" s="238">
        <f t="shared" si="42"/>
        <v>-2340040.1129773576</v>
      </c>
      <c r="S76" s="238">
        <f t="shared" si="42"/>
        <v>-2272862.2616474824</v>
      </c>
      <c r="T76" s="238">
        <f t="shared" si="42"/>
        <v>-1852503.9221907931</v>
      </c>
      <c r="U76" s="238">
        <f t="shared" si="42"/>
        <v>-4290980.4638029262</v>
      </c>
      <c r="V76" s="238">
        <f t="shared" si="42"/>
        <v>-1187523.8663424146</v>
      </c>
      <c r="W76" s="238">
        <f t="shared" si="42"/>
        <v>-4357797.7632861957</v>
      </c>
      <c r="X76" s="238">
        <f>SUM(X7:X75)</f>
        <v>-780898.68789523956</v>
      </c>
      <c r="Y76" s="238">
        <f t="shared" si="42"/>
        <v>-455489.30962863559</v>
      </c>
      <c r="Z76" s="238">
        <f t="shared" si="42"/>
        <v>-2053829.4103422856</v>
      </c>
      <c r="AA76" s="238">
        <f>SUM(AA7:AA75)</f>
        <v>-3029381.7209471217</v>
      </c>
      <c r="AB76" s="238">
        <f t="shared" si="42"/>
        <v>-2513678.7202089592</v>
      </c>
      <c r="AC76" s="238">
        <f t="shared" si="42"/>
        <v>-2393086.9699747707</v>
      </c>
      <c r="AD76" s="238">
        <f>SUM(AD7:AD75)</f>
        <v>-10091551.321359167</v>
      </c>
      <c r="AE76" s="238">
        <f t="shared" si="42"/>
        <v>-8951284.2063987274</v>
      </c>
      <c r="AF76" s="238">
        <f t="shared" si="42"/>
        <v>-192278259.11896032</v>
      </c>
      <c r="AG76" s="238">
        <f t="shared" si="42"/>
        <v>4431000</v>
      </c>
      <c r="AH76" s="238">
        <f t="shared" si="42"/>
        <v>7103434</v>
      </c>
      <c r="AI76" s="239">
        <f>SUM(AI7:AI75)</f>
        <v>3348950210</v>
      </c>
      <c r="AJ76" s="238">
        <f t="shared" si="42"/>
        <v>2234113860</v>
      </c>
      <c r="AK76" s="238">
        <f t="shared" si="42"/>
        <v>1114836350</v>
      </c>
      <c r="AL76" s="238">
        <f t="shared" si="42"/>
        <v>278709094</v>
      </c>
      <c r="AM76" s="238">
        <f t="shared" si="42"/>
        <v>574000</v>
      </c>
      <c r="AN76" s="238">
        <f t="shared" si="42"/>
        <v>5047031</v>
      </c>
      <c r="AO76" s="238">
        <f t="shared" si="42"/>
        <v>2830382</v>
      </c>
      <c r="AP76" s="239">
        <f t="shared" ref="AP76" si="43">SUM(AP7:AP75)</f>
        <v>3357401623</v>
      </c>
      <c r="AQ76" s="20"/>
    </row>
    <row r="77" spans="1:43" ht="26.25" hidden="1" thickTop="1">
      <c r="AK77" s="629" t="s">
        <v>1043</v>
      </c>
      <c r="AL77" s="626">
        <v>4</v>
      </c>
    </row>
    <row r="78" spans="1:43" ht="13.5" thickTop="1"/>
  </sheetData>
  <mergeCells count="47">
    <mergeCell ref="AD2:AD4"/>
    <mergeCell ref="AE2:AE4"/>
    <mergeCell ref="W2:W4"/>
    <mergeCell ref="Y2:Y4"/>
    <mergeCell ref="AA2:AA4"/>
    <mergeCell ref="AC2:AC4"/>
    <mergeCell ref="X2:X4"/>
    <mergeCell ref="Z2:Z4"/>
    <mergeCell ref="A2:A4"/>
    <mergeCell ref="G2:H3"/>
    <mergeCell ref="C2:C4"/>
    <mergeCell ref="D2:D4"/>
    <mergeCell ref="E2:E4"/>
    <mergeCell ref="F2:F4"/>
    <mergeCell ref="B2:B4"/>
    <mergeCell ref="P2:P4"/>
    <mergeCell ref="Q2:Q4"/>
    <mergeCell ref="R2:R4"/>
    <mergeCell ref="S2:S4"/>
    <mergeCell ref="T2:T4"/>
    <mergeCell ref="D1:H1"/>
    <mergeCell ref="O2:O4"/>
    <mergeCell ref="AI2:AI4"/>
    <mergeCell ref="AF2:AF4"/>
    <mergeCell ref="I2:K2"/>
    <mergeCell ref="L2:N2"/>
    <mergeCell ref="I3:I4"/>
    <mergeCell ref="J3:J4"/>
    <mergeCell ref="K3:K4"/>
    <mergeCell ref="L3:L4"/>
    <mergeCell ref="M3:M4"/>
    <mergeCell ref="N3:N4"/>
    <mergeCell ref="AB2:AB4"/>
    <mergeCell ref="I1:N1"/>
    <mergeCell ref="U2:U4"/>
    <mergeCell ref="V2:V4"/>
    <mergeCell ref="AG3:AG4"/>
    <mergeCell ref="AH3:AH4"/>
    <mergeCell ref="AG2:AH2"/>
    <mergeCell ref="AP2:AP4"/>
    <mergeCell ref="AN3:AN4"/>
    <mergeCell ref="AO3:AO4"/>
    <mergeCell ref="AM2:AO2"/>
    <mergeCell ref="AM3:AM4"/>
    <mergeCell ref="AJ2:AJ4"/>
    <mergeCell ref="AK2:AK4"/>
    <mergeCell ref="AL2:AL4"/>
  </mergeCells>
  <phoneticPr fontId="41" type="noConversion"/>
  <printOptions horizontalCentered="1"/>
  <pageMargins left="0.25" right="0.2" top="1.1399999999999999" bottom="0.49" header="0.5" footer="0.25"/>
  <pageSetup paperSize="5" scale="75" firstPageNumber="3" fitToWidth="12" orientation="portrait" r:id="rId1"/>
  <headerFooter alignWithMargins="0">
    <oddHeader>&amp;L&amp;"Arial,Bold"&amp;18&amp;K000000Table 2:  FY2014-15 Budget Letter (March 2015) &amp;"Arial,Regular"&amp;10
&amp;"Arial,Bold"&amp;18Distribution and Adjustments</oddHeader>
    <oddFooter>&amp;R&amp;12&amp;P</oddFooter>
  </headerFooter>
  <colBreaks count="5" manualBreakCount="5">
    <brk id="8" max="75" man="1"/>
    <brk id="14" max="75" man="1"/>
    <brk id="23" max="75" man="1"/>
    <brk id="32" max="75" man="1"/>
    <brk id="38" max="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4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6.5703125" style="427" customWidth="1"/>
    <col min="2" max="2" width="37.5703125" style="427" customWidth="1"/>
    <col min="3" max="3" width="12.140625" style="427" bestFit="1" customWidth="1"/>
    <col min="4" max="5" width="10.28515625" style="427" bestFit="1" customWidth="1"/>
    <col min="6" max="7" width="12.28515625" style="427" bestFit="1" customWidth="1"/>
    <col min="8" max="8" width="11.5703125" style="427" bestFit="1" customWidth="1"/>
    <col min="9" max="9" width="12.28515625" style="427" bestFit="1" customWidth="1"/>
    <col min="10" max="10" width="13.42578125" style="427" bestFit="1" customWidth="1"/>
    <col min="11" max="12" width="11.85546875" style="427" bestFit="1" customWidth="1"/>
    <col min="13" max="13" width="13.42578125" style="427" bestFit="1" customWidth="1"/>
    <col min="14" max="14" width="14.7109375" style="427" customWidth="1"/>
    <col min="15" max="16" width="14" style="427" customWidth="1"/>
    <col min="17" max="17" width="10.7109375" style="427" customWidth="1"/>
    <col min="18" max="18" width="13.7109375" style="427" customWidth="1"/>
    <col min="19" max="16384" width="8.85546875" style="427"/>
  </cols>
  <sheetData>
    <row r="1" spans="1:18" ht="19.899999999999999" customHeight="1">
      <c r="A1" s="1447" t="s">
        <v>574</v>
      </c>
      <c r="B1" s="1447"/>
      <c r="C1" s="1434" t="s">
        <v>742</v>
      </c>
      <c r="D1" s="1435"/>
      <c r="E1" s="1435"/>
      <c r="F1" s="1435"/>
      <c r="G1" s="1435"/>
      <c r="H1" s="1435"/>
      <c r="I1" s="1435"/>
      <c r="J1" s="1435"/>
      <c r="K1" s="1436"/>
      <c r="L1" s="1434" t="s">
        <v>742</v>
      </c>
      <c r="M1" s="1435"/>
      <c r="N1" s="1435"/>
      <c r="O1" s="1435"/>
      <c r="P1" s="1435"/>
      <c r="Q1" s="1435"/>
      <c r="R1" s="1436"/>
    </row>
    <row r="2" spans="1:18" s="535" customFormat="1" ht="22.9" customHeight="1">
      <c r="A2" s="1447"/>
      <c r="B2" s="1447"/>
      <c r="C2" s="619"/>
      <c r="D2" s="620"/>
      <c r="E2" s="620"/>
      <c r="F2" s="620"/>
      <c r="G2" s="620"/>
      <c r="H2" s="620"/>
      <c r="I2" s="1448" t="s">
        <v>411</v>
      </c>
      <c r="J2" s="1449"/>
      <c r="K2" s="1450"/>
      <c r="L2" s="619"/>
      <c r="M2" s="620"/>
      <c r="N2" s="620"/>
      <c r="O2" s="620"/>
      <c r="P2" s="620"/>
      <c r="Q2" s="620"/>
      <c r="R2" s="621"/>
    </row>
    <row r="3" spans="1:18" ht="135" customHeight="1">
      <c r="A3" s="1447"/>
      <c r="B3" s="1447"/>
      <c r="C3" s="1451" t="s">
        <v>620</v>
      </c>
      <c r="D3" s="1441" t="s">
        <v>854</v>
      </c>
      <c r="E3" s="1441" t="s">
        <v>855</v>
      </c>
      <c r="F3" s="1441" t="s">
        <v>703</v>
      </c>
      <c r="G3" s="1441" t="s">
        <v>704</v>
      </c>
      <c r="H3" s="1441" t="s">
        <v>654</v>
      </c>
      <c r="I3" s="1440" t="s">
        <v>544</v>
      </c>
      <c r="J3" s="1440" t="s">
        <v>545</v>
      </c>
      <c r="K3" s="1440" t="s">
        <v>417</v>
      </c>
      <c r="L3" s="1441" t="s">
        <v>655</v>
      </c>
      <c r="M3" s="1440" t="s">
        <v>702</v>
      </c>
      <c r="N3" s="1441" t="s">
        <v>718</v>
      </c>
      <c r="O3" s="1445" t="s">
        <v>653</v>
      </c>
      <c r="P3" s="1445" t="s">
        <v>547</v>
      </c>
      <c r="Q3" s="1441" t="s">
        <v>656</v>
      </c>
      <c r="R3" s="1441" t="s">
        <v>719</v>
      </c>
    </row>
    <row r="4" spans="1:18" ht="22.15" customHeight="1">
      <c r="A4" s="1447"/>
      <c r="B4" s="1447"/>
      <c r="C4" s="1451"/>
      <c r="D4" s="1441"/>
      <c r="E4" s="1441"/>
      <c r="F4" s="1441"/>
      <c r="G4" s="1441"/>
      <c r="H4" s="1441"/>
      <c r="I4" s="1440"/>
      <c r="J4" s="1440"/>
      <c r="K4" s="1440"/>
      <c r="L4" s="1441"/>
      <c r="M4" s="1440"/>
      <c r="N4" s="1441"/>
      <c r="O4" s="1446"/>
      <c r="P4" s="1446"/>
      <c r="Q4" s="1441"/>
      <c r="R4" s="1441"/>
    </row>
    <row r="5" spans="1:18" ht="14.25" customHeight="1">
      <c r="A5" s="188"/>
      <c r="B5" s="189"/>
      <c r="C5" s="190">
        <v>1</v>
      </c>
      <c r="D5" s="190">
        <f t="shared" ref="D5" si="0">C5+1</f>
        <v>2</v>
      </c>
      <c r="E5" s="190">
        <f>D5+1</f>
        <v>3</v>
      </c>
      <c r="F5" s="190">
        <f t="shared" ref="F5:R5" si="1">E5+1</f>
        <v>4</v>
      </c>
      <c r="G5" s="190">
        <f t="shared" si="1"/>
        <v>5</v>
      </c>
      <c r="H5" s="190">
        <f t="shared" si="1"/>
        <v>6</v>
      </c>
      <c r="I5" s="190">
        <f t="shared" si="1"/>
        <v>7</v>
      </c>
      <c r="J5" s="190">
        <f t="shared" si="1"/>
        <v>8</v>
      </c>
      <c r="K5" s="190">
        <f t="shared" si="1"/>
        <v>9</v>
      </c>
      <c r="L5" s="190">
        <f t="shared" si="1"/>
        <v>10</v>
      </c>
      <c r="M5" s="190">
        <f t="shared" si="1"/>
        <v>11</v>
      </c>
      <c r="N5" s="190">
        <f t="shared" si="1"/>
        <v>12</v>
      </c>
      <c r="O5" s="190">
        <f t="shared" si="1"/>
        <v>13</v>
      </c>
      <c r="P5" s="190">
        <f t="shared" si="1"/>
        <v>14</v>
      </c>
      <c r="Q5" s="190">
        <f t="shared" si="1"/>
        <v>15</v>
      </c>
      <c r="R5" s="190">
        <f t="shared" si="1"/>
        <v>16</v>
      </c>
    </row>
    <row r="6" spans="1:18" ht="27" hidden="1" customHeight="1">
      <c r="A6" s="29"/>
      <c r="B6" s="30"/>
      <c r="C6" s="30"/>
      <c r="D6" s="30"/>
      <c r="E6" s="30"/>
      <c r="F6" s="30"/>
      <c r="G6" s="30"/>
      <c r="H6" s="30"/>
      <c r="I6" s="47"/>
      <c r="J6" s="47"/>
      <c r="K6" s="47"/>
      <c r="L6" s="47"/>
      <c r="M6" s="30"/>
      <c r="N6" s="30"/>
      <c r="O6" s="49"/>
      <c r="P6" s="49"/>
      <c r="Q6" s="30"/>
      <c r="R6" s="30"/>
    </row>
    <row r="7" spans="1:18" ht="16.149999999999999" customHeight="1">
      <c r="A7" s="205">
        <v>1</v>
      </c>
      <c r="B7" s="206" t="s">
        <v>73</v>
      </c>
      <c r="C7" s="207">
        <f>+'[16]Table 8 Membership 2.1.14'!X3</f>
        <v>0</v>
      </c>
      <c r="D7" s="208">
        <f>'Table 3 Levels 1&amp;2'!AL4+'Table 3 Levels 1&amp;2'!AT4</f>
        <v>6982.9784413349835</v>
      </c>
      <c r="E7" s="209">
        <f>C7*D7</f>
        <v>0</v>
      </c>
      <c r="F7" s="209">
        <f>'Table 3A Level 3'!C6</f>
        <v>777.48</v>
      </c>
      <c r="G7" s="209">
        <f>C7*F7</f>
        <v>0</v>
      </c>
      <c r="H7" s="344">
        <f>E7+G7</f>
        <v>0</v>
      </c>
      <c r="I7" s="210">
        <f>'[1]Oct midyear NOCCA'!K4</f>
        <v>0</v>
      </c>
      <c r="J7" s="210">
        <f>'[1]Feb midyear NOCCA'!K4</f>
        <v>0</v>
      </c>
      <c r="K7" s="211">
        <f>+I7+J7</f>
        <v>0</v>
      </c>
      <c r="L7" s="344">
        <f t="shared" ref="L7:L70" si="2">K7+H7</f>
        <v>0</v>
      </c>
      <c r="M7" s="208">
        <v>0</v>
      </c>
      <c r="N7" s="350">
        <f t="shared" ref="N7:N38" si="3">SUM(L7:M7)</f>
        <v>0</v>
      </c>
      <c r="O7" s="210">
        <f>8*'[2]Table 5A4_NOCCA'!Q7</f>
        <v>0</v>
      </c>
      <c r="P7" s="210">
        <f>N7-O7</f>
        <v>0</v>
      </c>
      <c r="Q7" s="350">
        <f>ROUND(P7/$Q$84,0)</f>
        <v>0</v>
      </c>
      <c r="R7" s="361">
        <f>+N7</f>
        <v>0</v>
      </c>
    </row>
    <row r="8" spans="1:18" ht="16.149999999999999" customHeight="1">
      <c r="A8" s="198">
        <v>2</v>
      </c>
      <c r="B8" s="199" t="s">
        <v>74</v>
      </c>
      <c r="C8" s="200">
        <f>+'[16]Table 8 Membership 2.1.14'!X4</f>
        <v>0</v>
      </c>
      <c r="D8" s="201">
        <f>'Table 3 Levels 1&amp;2'!AL5+'Table 3 Levels 1&amp;2'!AT5</f>
        <v>9065.5866417386642</v>
      </c>
      <c r="E8" s="202">
        <f t="shared" ref="E8:E71" si="4">C8*D8</f>
        <v>0</v>
      </c>
      <c r="F8" s="202">
        <f>'Table 3A Level 3'!C7</f>
        <v>842.32</v>
      </c>
      <c r="G8" s="202">
        <f t="shared" ref="G8:G71" si="5">C8*F8</f>
        <v>0</v>
      </c>
      <c r="H8" s="345">
        <f t="shared" ref="H8:H71" si="6">E8+G8</f>
        <v>0</v>
      </c>
      <c r="I8" s="203">
        <f>'[1]Oct midyear NOCCA'!K5</f>
        <v>0</v>
      </c>
      <c r="J8" s="203">
        <f>'[1]Feb midyear NOCCA'!K5</f>
        <v>0</v>
      </c>
      <c r="K8" s="204">
        <f t="shared" ref="K8:K71" si="7">+I8+J8</f>
        <v>0</v>
      </c>
      <c r="L8" s="345">
        <f t="shared" si="2"/>
        <v>0</v>
      </c>
      <c r="M8" s="201">
        <v>0</v>
      </c>
      <c r="N8" s="351">
        <f t="shared" si="3"/>
        <v>0</v>
      </c>
      <c r="O8" s="203">
        <f>8*'[2]Table 5A4_NOCCA'!Q8</f>
        <v>0</v>
      </c>
      <c r="P8" s="203">
        <f t="shared" ref="P8:P71" si="8">N8-O8</f>
        <v>0</v>
      </c>
      <c r="Q8" s="351">
        <f t="shared" ref="Q8:Q71" si="9">ROUND(P8/$Q$84,0)</f>
        <v>0</v>
      </c>
      <c r="R8" s="351">
        <f t="shared" ref="R8:R71" si="10">+N8</f>
        <v>0</v>
      </c>
    </row>
    <row r="9" spans="1:18" ht="16.149999999999999" customHeight="1">
      <c r="A9" s="198">
        <v>3</v>
      </c>
      <c r="B9" s="199" t="s">
        <v>75</v>
      </c>
      <c r="C9" s="200">
        <f>+'[16]Table 8 Membership 2.1.14'!X5</f>
        <v>1</v>
      </c>
      <c r="D9" s="201">
        <f>'Table 3 Levels 1&amp;2'!AL6+'Table 3 Levels 1&amp;2'!AT6</f>
        <v>7778.4862027396821</v>
      </c>
      <c r="E9" s="202">
        <f t="shared" si="4"/>
        <v>7778.4862027396821</v>
      </c>
      <c r="F9" s="202">
        <f>'Table 3A Level 3'!C8</f>
        <v>596.84</v>
      </c>
      <c r="G9" s="202">
        <f t="shared" si="5"/>
        <v>596.84</v>
      </c>
      <c r="H9" s="345">
        <f t="shared" si="6"/>
        <v>8375.3262027396813</v>
      </c>
      <c r="I9" s="203">
        <f>'[1]Oct midyear NOCCA'!K6</f>
        <v>0</v>
      </c>
      <c r="J9" s="203">
        <f>'[1]Feb midyear NOCCA'!K6</f>
        <v>0</v>
      </c>
      <c r="K9" s="204">
        <f t="shared" si="7"/>
        <v>0</v>
      </c>
      <c r="L9" s="345">
        <f t="shared" si="2"/>
        <v>8375.3262027396813</v>
      </c>
      <c r="M9" s="201">
        <v>0</v>
      </c>
      <c r="N9" s="351">
        <f t="shared" si="3"/>
        <v>8375.3262027396813</v>
      </c>
      <c r="O9" s="203">
        <f>8*'[2]Table 5A4_NOCCA'!Q9</f>
        <v>5584</v>
      </c>
      <c r="P9" s="203">
        <f t="shared" si="8"/>
        <v>2791.3262027396813</v>
      </c>
      <c r="Q9" s="351">
        <f t="shared" si="9"/>
        <v>698</v>
      </c>
      <c r="R9" s="351">
        <f t="shared" si="10"/>
        <v>8375.3262027396813</v>
      </c>
    </row>
    <row r="10" spans="1:18" ht="16.149999999999999" customHeight="1">
      <c r="A10" s="198">
        <v>4</v>
      </c>
      <c r="B10" s="199" t="s">
        <v>76</v>
      </c>
      <c r="C10" s="200">
        <f>+'[16]Table 8 Membership 2.1.14'!X6</f>
        <v>0</v>
      </c>
      <c r="D10" s="201">
        <f>'Table 3 Levels 1&amp;2'!AL7+'Table 3 Levels 1&amp;2'!AT7</f>
        <v>9351.9381446878579</v>
      </c>
      <c r="E10" s="202">
        <f t="shared" si="4"/>
        <v>0</v>
      </c>
      <c r="F10" s="202">
        <f>'Table 3A Level 3'!C9</f>
        <v>585.76</v>
      </c>
      <c r="G10" s="202">
        <f t="shared" si="5"/>
        <v>0</v>
      </c>
      <c r="H10" s="345">
        <f t="shared" si="6"/>
        <v>0</v>
      </c>
      <c r="I10" s="203">
        <f>'[1]Oct midyear NOCCA'!K7</f>
        <v>0</v>
      </c>
      <c r="J10" s="203">
        <f>'[1]Feb midyear NOCCA'!K7</f>
        <v>0</v>
      </c>
      <c r="K10" s="204">
        <f t="shared" si="7"/>
        <v>0</v>
      </c>
      <c r="L10" s="345">
        <f t="shared" si="2"/>
        <v>0</v>
      </c>
      <c r="M10" s="201">
        <v>0</v>
      </c>
      <c r="N10" s="351">
        <f t="shared" si="3"/>
        <v>0</v>
      </c>
      <c r="O10" s="203">
        <f>8*'[2]Table 5A4_NOCCA'!Q10</f>
        <v>0</v>
      </c>
      <c r="P10" s="203">
        <f t="shared" si="8"/>
        <v>0</v>
      </c>
      <c r="Q10" s="351">
        <f t="shared" si="9"/>
        <v>0</v>
      </c>
      <c r="R10" s="351">
        <f t="shared" si="10"/>
        <v>0</v>
      </c>
    </row>
    <row r="11" spans="1:18" ht="16.149999999999999" customHeight="1">
      <c r="A11" s="191">
        <v>5</v>
      </c>
      <c r="B11" s="192" t="s">
        <v>77</v>
      </c>
      <c r="C11" s="193">
        <f>+'[16]Table 8 Membership 2.1.14'!X7</f>
        <v>0</v>
      </c>
      <c r="D11" s="194">
        <f>'Table 3 Levels 1&amp;2'!AL8+'Table 3 Levels 1&amp;2'!AT8</f>
        <v>7328.2705660099109</v>
      </c>
      <c r="E11" s="195">
        <f t="shared" si="4"/>
        <v>0</v>
      </c>
      <c r="F11" s="195">
        <f>'Table 3A Level 3'!C10</f>
        <v>555.91</v>
      </c>
      <c r="G11" s="195">
        <f t="shared" si="5"/>
        <v>0</v>
      </c>
      <c r="H11" s="346">
        <f t="shared" si="6"/>
        <v>0</v>
      </c>
      <c r="I11" s="196">
        <f>'[1]Oct midyear NOCCA'!K8</f>
        <v>0</v>
      </c>
      <c r="J11" s="196">
        <f>'[1]Feb midyear NOCCA'!K8</f>
        <v>0</v>
      </c>
      <c r="K11" s="197">
        <f t="shared" si="7"/>
        <v>0</v>
      </c>
      <c r="L11" s="346">
        <f t="shared" si="2"/>
        <v>0</v>
      </c>
      <c r="M11" s="194">
        <v>0</v>
      </c>
      <c r="N11" s="352">
        <f t="shared" si="3"/>
        <v>0</v>
      </c>
      <c r="O11" s="622">
        <f>8*'[2]Table 5A4_NOCCA'!Q11</f>
        <v>0</v>
      </c>
      <c r="P11" s="196">
        <f t="shared" si="8"/>
        <v>0</v>
      </c>
      <c r="Q11" s="356">
        <f t="shared" si="9"/>
        <v>0</v>
      </c>
      <c r="R11" s="356">
        <f t="shared" si="10"/>
        <v>0</v>
      </c>
    </row>
    <row r="12" spans="1:18" ht="16.149999999999999" customHeight="1">
      <c r="A12" s="205">
        <v>6</v>
      </c>
      <c r="B12" s="206" t="s">
        <v>78</v>
      </c>
      <c r="C12" s="207">
        <f>+'[16]Table 8 Membership 2.1.14'!X8</f>
        <v>0</v>
      </c>
      <c r="D12" s="208">
        <f>'Table 3 Levels 1&amp;2'!AL9+'Table 3 Levels 1&amp;2'!AT9</f>
        <v>8698.058612495588</v>
      </c>
      <c r="E12" s="209">
        <f t="shared" si="4"/>
        <v>0</v>
      </c>
      <c r="F12" s="209">
        <f>'Table 3A Level 3'!C11</f>
        <v>545.4799999999999</v>
      </c>
      <c r="G12" s="209">
        <f t="shared" si="5"/>
        <v>0</v>
      </c>
      <c r="H12" s="344">
        <f t="shared" si="6"/>
        <v>0</v>
      </c>
      <c r="I12" s="210">
        <f>'[1]Oct midyear NOCCA'!K9</f>
        <v>0</v>
      </c>
      <c r="J12" s="210">
        <f>'[1]Feb midyear NOCCA'!K9</f>
        <v>0</v>
      </c>
      <c r="K12" s="211">
        <f t="shared" si="7"/>
        <v>0</v>
      </c>
      <c r="L12" s="344">
        <f t="shared" si="2"/>
        <v>0</v>
      </c>
      <c r="M12" s="208">
        <v>0</v>
      </c>
      <c r="N12" s="350">
        <f t="shared" si="3"/>
        <v>0</v>
      </c>
      <c r="O12" s="210">
        <f>8*'[2]Table 5A4_NOCCA'!Q12</f>
        <v>0</v>
      </c>
      <c r="P12" s="210">
        <f t="shared" si="8"/>
        <v>0</v>
      </c>
      <c r="Q12" s="350">
        <f t="shared" si="9"/>
        <v>0</v>
      </c>
      <c r="R12" s="361">
        <f t="shared" si="10"/>
        <v>0</v>
      </c>
    </row>
    <row r="13" spans="1:18" ht="16.149999999999999" customHeight="1">
      <c r="A13" s="198">
        <v>7</v>
      </c>
      <c r="B13" s="199" t="s">
        <v>79</v>
      </c>
      <c r="C13" s="200">
        <f>+'[16]Table 8 Membership 2.1.14'!X9</f>
        <v>0</v>
      </c>
      <c r="D13" s="201">
        <f>'Table 3 Levels 1&amp;2'!AL10+'Table 3 Levels 1&amp;2'!AT10</f>
        <v>7984.0231963470324</v>
      </c>
      <c r="E13" s="202">
        <f t="shared" si="4"/>
        <v>0</v>
      </c>
      <c r="F13" s="202">
        <f>'Table 3A Level 3'!C12</f>
        <v>756.91999999999985</v>
      </c>
      <c r="G13" s="202">
        <f t="shared" si="5"/>
        <v>0</v>
      </c>
      <c r="H13" s="345">
        <f t="shared" si="6"/>
        <v>0</v>
      </c>
      <c r="I13" s="203">
        <f>'[1]Oct midyear NOCCA'!K10</f>
        <v>0</v>
      </c>
      <c r="J13" s="203">
        <f>'[1]Feb midyear NOCCA'!K10</f>
        <v>0</v>
      </c>
      <c r="K13" s="204">
        <f t="shared" si="7"/>
        <v>0</v>
      </c>
      <c r="L13" s="345">
        <f t="shared" si="2"/>
        <v>0</v>
      </c>
      <c r="M13" s="201">
        <v>0</v>
      </c>
      <c r="N13" s="351">
        <f t="shared" si="3"/>
        <v>0</v>
      </c>
      <c r="O13" s="203">
        <f>8*'[2]Table 5A4_NOCCA'!Q13</f>
        <v>0</v>
      </c>
      <c r="P13" s="203">
        <f t="shared" si="8"/>
        <v>0</v>
      </c>
      <c r="Q13" s="351">
        <f t="shared" si="9"/>
        <v>0</v>
      </c>
      <c r="R13" s="351">
        <f t="shared" si="10"/>
        <v>0</v>
      </c>
    </row>
    <row r="14" spans="1:18" ht="16.149999999999999" customHeight="1">
      <c r="A14" s="198">
        <v>8</v>
      </c>
      <c r="B14" s="199" t="s">
        <v>80</v>
      </c>
      <c r="C14" s="200">
        <f>+'[16]Table 8 Membership 2.1.14'!X10</f>
        <v>0</v>
      </c>
      <c r="D14" s="201">
        <f>'Table 3 Levels 1&amp;2'!AL11+'Table 3 Levels 1&amp;2'!AT11</f>
        <v>8066.4624595588539</v>
      </c>
      <c r="E14" s="202">
        <f t="shared" si="4"/>
        <v>0</v>
      </c>
      <c r="F14" s="202">
        <f>'Table 3A Level 3'!C13</f>
        <v>725.76</v>
      </c>
      <c r="G14" s="202">
        <f t="shared" si="5"/>
        <v>0</v>
      </c>
      <c r="H14" s="345">
        <f t="shared" si="6"/>
        <v>0</v>
      </c>
      <c r="I14" s="203">
        <f>'[1]Oct midyear NOCCA'!K11</f>
        <v>0</v>
      </c>
      <c r="J14" s="203">
        <f>'[1]Feb midyear NOCCA'!K11</f>
        <v>0</v>
      </c>
      <c r="K14" s="204">
        <f t="shared" si="7"/>
        <v>0</v>
      </c>
      <c r="L14" s="345">
        <f t="shared" si="2"/>
        <v>0</v>
      </c>
      <c r="M14" s="201">
        <v>0</v>
      </c>
      <c r="N14" s="351">
        <f t="shared" si="3"/>
        <v>0</v>
      </c>
      <c r="O14" s="203">
        <f>8*'[2]Table 5A4_NOCCA'!Q14</f>
        <v>0</v>
      </c>
      <c r="P14" s="203">
        <f t="shared" si="8"/>
        <v>0</v>
      </c>
      <c r="Q14" s="351">
        <f t="shared" si="9"/>
        <v>0</v>
      </c>
      <c r="R14" s="351">
        <f t="shared" si="10"/>
        <v>0</v>
      </c>
    </row>
    <row r="15" spans="1:18" ht="16.149999999999999" customHeight="1">
      <c r="A15" s="198">
        <v>9</v>
      </c>
      <c r="B15" s="199" t="s">
        <v>81</v>
      </c>
      <c r="C15" s="200">
        <f>+'[16]Table 8 Membership 2.1.14'!X11</f>
        <v>0</v>
      </c>
      <c r="D15" s="201">
        <f>'Table 3 Levels 1&amp;2'!AL12+'Table 3 Levels 1&amp;2'!AT12</f>
        <v>8101.8015072045009</v>
      </c>
      <c r="E15" s="202">
        <f t="shared" si="4"/>
        <v>0</v>
      </c>
      <c r="F15" s="202">
        <f>'Table 3A Level 3'!C14</f>
        <v>744.76</v>
      </c>
      <c r="G15" s="202">
        <f t="shared" si="5"/>
        <v>0</v>
      </c>
      <c r="H15" s="345">
        <f t="shared" si="6"/>
        <v>0</v>
      </c>
      <c r="I15" s="203">
        <f>'[1]Oct midyear NOCCA'!K12</f>
        <v>0</v>
      </c>
      <c r="J15" s="203">
        <f>'[1]Feb midyear NOCCA'!K12</f>
        <v>0</v>
      </c>
      <c r="K15" s="204">
        <f t="shared" si="7"/>
        <v>0</v>
      </c>
      <c r="L15" s="345">
        <f t="shared" si="2"/>
        <v>0</v>
      </c>
      <c r="M15" s="201">
        <v>0</v>
      </c>
      <c r="N15" s="351">
        <f t="shared" si="3"/>
        <v>0</v>
      </c>
      <c r="O15" s="203">
        <f>8*'[2]Table 5A4_NOCCA'!Q15</f>
        <v>0</v>
      </c>
      <c r="P15" s="203">
        <f t="shared" si="8"/>
        <v>0</v>
      </c>
      <c r="Q15" s="351">
        <f t="shared" si="9"/>
        <v>0</v>
      </c>
      <c r="R15" s="351">
        <f t="shared" si="10"/>
        <v>0</v>
      </c>
    </row>
    <row r="16" spans="1:18" ht="16.149999999999999" customHeight="1">
      <c r="A16" s="191">
        <v>10</v>
      </c>
      <c r="B16" s="192" t="s">
        <v>82</v>
      </c>
      <c r="C16" s="193">
        <f>+'[16]Table 8 Membership 2.1.14'!X12</f>
        <v>0</v>
      </c>
      <c r="D16" s="194">
        <f>'Table 3 Levels 1&amp;2'!AL13+'Table 3 Levels 1&amp;2'!AT13</f>
        <v>8319.3647339184718</v>
      </c>
      <c r="E16" s="195">
        <f t="shared" si="4"/>
        <v>0</v>
      </c>
      <c r="F16" s="195">
        <f>'Table 3A Level 3'!C15</f>
        <v>608.04000000000008</v>
      </c>
      <c r="G16" s="195">
        <f t="shared" si="5"/>
        <v>0</v>
      </c>
      <c r="H16" s="346">
        <f t="shared" si="6"/>
        <v>0</v>
      </c>
      <c r="I16" s="196">
        <f>'[1]Oct midyear NOCCA'!K13</f>
        <v>0</v>
      </c>
      <c r="J16" s="196">
        <f>'[1]Feb midyear NOCCA'!K13</f>
        <v>0</v>
      </c>
      <c r="K16" s="197">
        <f t="shared" si="7"/>
        <v>0</v>
      </c>
      <c r="L16" s="346">
        <f t="shared" si="2"/>
        <v>0</v>
      </c>
      <c r="M16" s="194">
        <v>0</v>
      </c>
      <c r="N16" s="352">
        <f t="shared" si="3"/>
        <v>0</v>
      </c>
      <c r="O16" s="622">
        <f>8*'[2]Table 5A4_NOCCA'!Q16</f>
        <v>0</v>
      </c>
      <c r="P16" s="196">
        <f t="shared" si="8"/>
        <v>0</v>
      </c>
      <c r="Q16" s="356">
        <f t="shared" si="9"/>
        <v>0</v>
      </c>
      <c r="R16" s="356">
        <f t="shared" si="10"/>
        <v>0</v>
      </c>
    </row>
    <row r="17" spans="1:18" ht="16.149999999999999" customHeight="1">
      <c r="A17" s="205">
        <v>11</v>
      </c>
      <c r="B17" s="206" t="s">
        <v>83</v>
      </c>
      <c r="C17" s="207">
        <f>+'[16]Table 8 Membership 2.1.14'!X13</f>
        <v>0</v>
      </c>
      <c r="D17" s="208">
        <f>'Table 3 Levels 1&amp;2'!AL14+'Table 3 Levels 1&amp;2'!AT14</f>
        <v>10505.297223635334</v>
      </c>
      <c r="E17" s="209">
        <f t="shared" si="4"/>
        <v>0</v>
      </c>
      <c r="F17" s="209">
        <f>'Table 3A Level 3'!C16</f>
        <v>706.55</v>
      </c>
      <c r="G17" s="209">
        <f t="shared" si="5"/>
        <v>0</v>
      </c>
      <c r="H17" s="344">
        <f t="shared" si="6"/>
        <v>0</v>
      </c>
      <c r="I17" s="210">
        <f>'[1]Oct midyear NOCCA'!K14</f>
        <v>0</v>
      </c>
      <c r="J17" s="210">
        <f>'[1]Feb midyear NOCCA'!K14</f>
        <v>0</v>
      </c>
      <c r="K17" s="211">
        <f t="shared" si="7"/>
        <v>0</v>
      </c>
      <c r="L17" s="344">
        <f t="shared" si="2"/>
        <v>0</v>
      </c>
      <c r="M17" s="208">
        <v>0</v>
      </c>
      <c r="N17" s="350">
        <f t="shared" si="3"/>
        <v>0</v>
      </c>
      <c r="O17" s="210">
        <f>8*'[2]Table 5A4_NOCCA'!Q17</f>
        <v>0</v>
      </c>
      <c r="P17" s="210">
        <f t="shared" si="8"/>
        <v>0</v>
      </c>
      <c r="Q17" s="350">
        <f t="shared" si="9"/>
        <v>0</v>
      </c>
      <c r="R17" s="361">
        <f t="shared" si="10"/>
        <v>0</v>
      </c>
    </row>
    <row r="18" spans="1:18" ht="16.149999999999999" customHeight="1">
      <c r="A18" s="198">
        <v>12</v>
      </c>
      <c r="B18" s="199" t="s">
        <v>84</v>
      </c>
      <c r="C18" s="200">
        <f>+'[16]Table 8 Membership 2.1.14'!X14</f>
        <v>0</v>
      </c>
      <c r="D18" s="201">
        <f>'Table 3 Levels 1&amp;2'!AL15+'Table 3 Levels 1&amp;2'!AT15</f>
        <v>8147.7840983606566</v>
      </c>
      <c r="E18" s="202">
        <f t="shared" si="4"/>
        <v>0</v>
      </c>
      <c r="F18" s="202">
        <f>'Table 3A Level 3'!C17</f>
        <v>1063.31</v>
      </c>
      <c r="G18" s="202">
        <f t="shared" si="5"/>
        <v>0</v>
      </c>
      <c r="H18" s="345">
        <f t="shared" si="6"/>
        <v>0</v>
      </c>
      <c r="I18" s="203">
        <f>'[1]Oct midyear NOCCA'!K15</f>
        <v>0</v>
      </c>
      <c r="J18" s="203">
        <f>'[1]Feb midyear NOCCA'!K15</f>
        <v>0</v>
      </c>
      <c r="K18" s="204">
        <f t="shared" si="7"/>
        <v>0</v>
      </c>
      <c r="L18" s="345">
        <f t="shared" si="2"/>
        <v>0</v>
      </c>
      <c r="M18" s="201">
        <v>0</v>
      </c>
      <c r="N18" s="351">
        <f t="shared" si="3"/>
        <v>0</v>
      </c>
      <c r="O18" s="203">
        <f>8*'[2]Table 5A4_NOCCA'!Q18</f>
        <v>0</v>
      </c>
      <c r="P18" s="203">
        <f t="shared" si="8"/>
        <v>0</v>
      </c>
      <c r="Q18" s="351">
        <f t="shared" si="9"/>
        <v>0</v>
      </c>
      <c r="R18" s="351">
        <f t="shared" si="10"/>
        <v>0</v>
      </c>
    </row>
    <row r="19" spans="1:18" ht="16.149999999999999" customHeight="1">
      <c r="A19" s="198">
        <v>13</v>
      </c>
      <c r="B19" s="199" t="s">
        <v>85</v>
      </c>
      <c r="C19" s="200">
        <f>+'[16]Table 8 Membership 2.1.14'!X15</f>
        <v>0</v>
      </c>
      <c r="D19" s="201">
        <f>'Table 3 Levels 1&amp;2'!AL16+'Table 3 Levels 1&amp;2'!AT16</f>
        <v>9171.2097758332202</v>
      </c>
      <c r="E19" s="202">
        <f t="shared" si="4"/>
        <v>0</v>
      </c>
      <c r="F19" s="202">
        <f>'Table 3A Level 3'!C18</f>
        <v>749.43000000000006</v>
      </c>
      <c r="G19" s="202">
        <f t="shared" si="5"/>
        <v>0</v>
      </c>
      <c r="H19" s="345">
        <f t="shared" si="6"/>
        <v>0</v>
      </c>
      <c r="I19" s="203">
        <f>'[1]Oct midyear NOCCA'!K16</f>
        <v>0</v>
      </c>
      <c r="J19" s="203">
        <f>'[1]Feb midyear NOCCA'!K16</f>
        <v>0</v>
      </c>
      <c r="K19" s="204">
        <f t="shared" si="7"/>
        <v>0</v>
      </c>
      <c r="L19" s="345">
        <f t="shared" si="2"/>
        <v>0</v>
      </c>
      <c r="M19" s="201">
        <v>0</v>
      </c>
      <c r="N19" s="351">
        <f t="shared" si="3"/>
        <v>0</v>
      </c>
      <c r="O19" s="203">
        <f>8*'[2]Table 5A4_NOCCA'!Q19</f>
        <v>0</v>
      </c>
      <c r="P19" s="203">
        <f t="shared" si="8"/>
        <v>0</v>
      </c>
      <c r="Q19" s="351">
        <f t="shared" si="9"/>
        <v>0</v>
      </c>
      <c r="R19" s="351">
        <f t="shared" si="10"/>
        <v>0</v>
      </c>
    </row>
    <row r="20" spans="1:18" ht="16.149999999999999" customHeight="1">
      <c r="A20" s="198">
        <v>14</v>
      </c>
      <c r="B20" s="199" t="s">
        <v>86</v>
      </c>
      <c r="C20" s="200">
        <f>+'[16]Table 8 Membership 2.1.14'!X16</f>
        <v>0</v>
      </c>
      <c r="D20" s="201">
        <f>'Table 3 Levels 1&amp;2'!AL17+'Table 3 Levels 1&amp;2'!AT17</f>
        <v>9902.1209412499993</v>
      </c>
      <c r="E20" s="202">
        <f t="shared" si="4"/>
        <v>0</v>
      </c>
      <c r="F20" s="202">
        <f>'Table 3A Level 3'!C19</f>
        <v>809.9799999999999</v>
      </c>
      <c r="G20" s="202">
        <f t="shared" si="5"/>
        <v>0</v>
      </c>
      <c r="H20" s="345">
        <f t="shared" si="6"/>
        <v>0</v>
      </c>
      <c r="I20" s="203">
        <f>'[1]Oct midyear NOCCA'!K17</f>
        <v>0</v>
      </c>
      <c r="J20" s="203">
        <f>'[1]Feb midyear NOCCA'!K17</f>
        <v>0</v>
      </c>
      <c r="K20" s="204">
        <f t="shared" si="7"/>
        <v>0</v>
      </c>
      <c r="L20" s="345">
        <f t="shared" si="2"/>
        <v>0</v>
      </c>
      <c r="M20" s="201">
        <v>0</v>
      </c>
      <c r="N20" s="351">
        <f t="shared" si="3"/>
        <v>0</v>
      </c>
      <c r="O20" s="203">
        <f>8*'[2]Table 5A4_NOCCA'!Q20</f>
        <v>0</v>
      </c>
      <c r="P20" s="203">
        <f t="shared" si="8"/>
        <v>0</v>
      </c>
      <c r="Q20" s="351">
        <f t="shared" si="9"/>
        <v>0</v>
      </c>
      <c r="R20" s="351">
        <f t="shared" si="10"/>
        <v>0</v>
      </c>
    </row>
    <row r="21" spans="1:18" ht="16.149999999999999" customHeight="1">
      <c r="A21" s="191">
        <v>15</v>
      </c>
      <c r="B21" s="192" t="s">
        <v>87</v>
      </c>
      <c r="C21" s="193">
        <f>+'[16]Table 8 Membership 2.1.14'!X17</f>
        <v>0</v>
      </c>
      <c r="D21" s="194">
        <f>'Table 3 Levels 1&amp;2'!AL18+'Table 3 Levels 1&amp;2'!AT18</f>
        <v>8626.4385214059948</v>
      </c>
      <c r="E21" s="195">
        <f t="shared" si="4"/>
        <v>0</v>
      </c>
      <c r="F21" s="195">
        <f>'Table 3A Level 3'!C20</f>
        <v>553.79999999999995</v>
      </c>
      <c r="G21" s="195">
        <f t="shared" si="5"/>
        <v>0</v>
      </c>
      <c r="H21" s="346">
        <f t="shared" si="6"/>
        <v>0</v>
      </c>
      <c r="I21" s="196">
        <f>'[1]Oct midyear NOCCA'!K18</f>
        <v>0</v>
      </c>
      <c r="J21" s="196">
        <f>'[1]Feb midyear NOCCA'!K18</f>
        <v>0</v>
      </c>
      <c r="K21" s="197">
        <f t="shared" si="7"/>
        <v>0</v>
      </c>
      <c r="L21" s="346">
        <f t="shared" si="2"/>
        <v>0</v>
      </c>
      <c r="M21" s="194">
        <v>0</v>
      </c>
      <c r="N21" s="352">
        <f t="shared" si="3"/>
        <v>0</v>
      </c>
      <c r="O21" s="622">
        <f>8*'[2]Table 5A4_NOCCA'!Q21</f>
        <v>0</v>
      </c>
      <c r="P21" s="196">
        <f t="shared" si="8"/>
        <v>0</v>
      </c>
      <c r="Q21" s="356">
        <f t="shared" si="9"/>
        <v>0</v>
      </c>
      <c r="R21" s="356">
        <f t="shared" si="10"/>
        <v>0</v>
      </c>
    </row>
    <row r="22" spans="1:18" ht="16.149999999999999" customHeight="1">
      <c r="A22" s="205">
        <v>16</v>
      </c>
      <c r="B22" s="206" t="s">
        <v>88</v>
      </c>
      <c r="C22" s="207">
        <f>+'[16]Table 8 Membership 2.1.14'!X18</f>
        <v>0</v>
      </c>
      <c r="D22" s="208">
        <f>'Table 3 Levels 1&amp;2'!AL19+'Table 3 Levels 1&amp;2'!AT19</f>
        <v>7692.8994354342021</v>
      </c>
      <c r="E22" s="209">
        <f t="shared" si="4"/>
        <v>0</v>
      </c>
      <c r="F22" s="209">
        <f>'Table 3A Level 3'!C21</f>
        <v>686.73</v>
      </c>
      <c r="G22" s="209">
        <f t="shared" si="5"/>
        <v>0</v>
      </c>
      <c r="H22" s="344">
        <f t="shared" si="6"/>
        <v>0</v>
      </c>
      <c r="I22" s="210">
        <f>'[1]Oct midyear NOCCA'!K19</f>
        <v>0</v>
      </c>
      <c r="J22" s="210">
        <f>'[1]Feb midyear NOCCA'!K19</f>
        <v>0</v>
      </c>
      <c r="K22" s="211">
        <f t="shared" si="7"/>
        <v>0</v>
      </c>
      <c r="L22" s="344">
        <f t="shared" si="2"/>
        <v>0</v>
      </c>
      <c r="M22" s="208">
        <v>0</v>
      </c>
      <c r="N22" s="350">
        <f t="shared" si="3"/>
        <v>0</v>
      </c>
      <c r="O22" s="210">
        <f>8*'[2]Table 5A4_NOCCA'!Q22</f>
        <v>0</v>
      </c>
      <c r="P22" s="210">
        <f t="shared" si="8"/>
        <v>0</v>
      </c>
      <c r="Q22" s="350">
        <f t="shared" si="9"/>
        <v>0</v>
      </c>
      <c r="R22" s="361">
        <f t="shared" si="10"/>
        <v>0</v>
      </c>
    </row>
    <row r="23" spans="1:18" ht="16.149999999999999" customHeight="1">
      <c r="A23" s="198">
        <v>17</v>
      </c>
      <c r="B23" s="199" t="s">
        <v>89</v>
      </c>
      <c r="C23" s="200">
        <f>+'[16]Table 8 Membership 2.1.14'!X19</f>
        <v>0</v>
      </c>
      <c r="D23" s="201">
        <f>'Table 3 Levels 1&amp;2'!AL20+'Table 3 Levels 1&amp;2'!AT20</f>
        <v>8082.3880368254495</v>
      </c>
      <c r="E23" s="202">
        <f t="shared" si="4"/>
        <v>0</v>
      </c>
      <c r="F23" s="202">
        <f>'Table 3A Level 3'!C22</f>
        <v>801.47762416806802</v>
      </c>
      <c r="G23" s="202">
        <f t="shared" si="5"/>
        <v>0</v>
      </c>
      <c r="H23" s="345">
        <f t="shared" si="6"/>
        <v>0</v>
      </c>
      <c r="I23" s="203">
        <f>'[1]Oct midyear NOCCA'!K20</f>
        <v>0</v>
      </c>
      <c r="J23" s="203">
        <f>'[1]Feb midyear NOCCA'!K20</f>
        <v>0</v>
      </c>
      <c r="K23" s="204">
        <f t="shared" si="7"/>
        <v>0</v>
      </c>
      <c r="L23" s="345">
        <f t="shared" si="2"/>
        <v>0</v>
      </c>
      <c r="M23" s="201">
        <v>0</v>
      </c>
      <c r="N23" s="351">
        <f t="shared" si="3"/>
        <v>0</v>
      </c>
      <c r="O23" s="203">
        <f>8*'[2]Table 5A4_NOCCA'!Q23</f>
        <v>0</v>
      </c>
      <c r="P23" s="203">
        <f t="shared" si="8"/>
        <v>0</v>
      </c>
      <c r="Q23" s="351">
        <f t="shared" si="9"/>
        <v>0</v>
      </c>
      <c r="R23" s="351">
        <f t="shared" si="10"/>
        <v>0</v>
      </c>
    </row>
    <row r="24" spans="1:18" ht="16.149999999999999" customHeight="1">
      <c r="A24" s="198">
        <v>18</v>
      </c>
      <c r="B24" s="199" t="s">
        <v>90</v>
      </c>
      <c r="C24" s="200">
        <f>+'[16]Table 8 Membership 2.1.14'!X20</f>
        <v>0</v>
      </c>
      <c r="D24" s="201">
        <f>'Table 3 Levels 1&amp;2'!AL21+'Table 3 Levels 1&amp;2'!AT21</f>
        <v>9645.2333500475725</v>
      </c>
      <c r="E24" s="202">
        <f t="shared" si="4"/>
        <v>0</v>
      </c>
      <c r="F24" s="202">
        <f>'Table 3A Level 3'!C23</f>
        <v>845.94999999999993</v>
      </c>
      <c r="G24" s="202">
        <f t="shared" si="5"/>
        <v>0</v>
      </c>
      <c r="H24" s="345">
        <f t="shared" si="6"/>
        <v>0</v>
      </c>
      <c r="I24" s="203">
        <f>'[1]Oct midyear NOCCA'!K21</f>
        <v>0</v>
      </c>
      <c r="J24" s="203">
        <f>'[1]Feb midyear NOCCA'!K21</f>
        <v>0</v>
      </c>
      <c r="K24" s="204">
        <f t="shared" si="7"/>
        <v>0</v>
      </c>
      <c r="L24" s="345">
        <f t="shared" si="2"/>
        <v>0</v>
      </c>
      <c r="M24" s="201">
        <v>0</v>
      </c>
      <c r="N24" s="351">
        <f t="shared" si="3"/>
        <v>0</v>
      </c>
      <c r="O24" s="203">
        <f>8*'[2]Table 5A4_NOCCA'!Q24</f>
        <v>0</v>
      </c>
      <c r="P24" s="203">
        <f t="shared" si="8"/>
        <v>0</v>
      </c>
      <c r="Q24" s="351">
        <f t="shared" si="9"/>
        <v>0</v>
      </c>
      <c r="R24" s="351">
        <f t="shared" si="10"/>
        <v>0</v>
      </c>
    </row>
    <row r="25" spans="1:18" ht="16.149999999999999" customHeight="1">
      <c r="A25" s="198">
        <v>19</v>
      </c>
      <c r="B25" s="199" t="s">
        <v>91</v>
      </c>
      <c r="C25" s="200">
        <f>+'[16]Table 8 Membership 2.1.14'!X21</f>
        <v>0</v>
      </c>
      <c r="D25" s="201">
        <f>'Table 3 Levels 1&amp;2'!AL22+'Table 3 Levels 1&amp;2'!AT22</f>
        <v>7915.8221869460449</v>
      </c>
      <c r="E25" s="202">
        <f t="shared" si="4"/>
        <v>0</v>
      </c>
      <c r="F25" s="202">
        <f>'Table 3A Level 3'!C24</f>
        <v>905.43</v>
      </c>
      <c r="G25" s="202">
        <f t="shared" si="5"/>
        <v>0</v>
      </c>
      <c r="H25" s="345">
        <f t="shared" si="6"/>
        <v>0</v>
      </c>
      <c r="I25" s="203">
        <f>'[1]Oct midyear NOCCA'!K22</f>
        <v>0</v>
      </c>
      <c r="J25" s="203">
        <f>'[1]Feb midyear NOCCA'!K22</f>
        <v>0</v>
      </c>
      <c r="K25" s="204">
        <f t="shared" si="7"/>
        <v>0</v>
      </c>
      <c r="L25" s="345">
        <f t="shared" si="2"/>
        <v>0</v>
      </c>
      <c r="M25" s="201">
        <v>0</v>
      </c>
      <c r="N25" s="351">
        <f t="shared" si="3"/>
        <v>0</v>
      </c>
      <c r="O25" s="203">
        <f>8*'[2]Table 5A4_NOCCA'!Q25</f>
        <v>0</v>
      </c>
      <c r="P25" s="203">
        <f t="shared" si="8"/>
        <v>0</v>
      </c>
      <c r="Q25" s="351">
        <f t="shared" si="9"/>
        <v>0</v>
      </c>
      <c r="R25" s="351">
        <f t="shared" si="10"/>
        <v>0</v>
      </c>
    </row>
    <row r="26" spans="1:18" ht="16.149999999999999" customHeight="1">
      <c r="A26" s="191">
        <v>20</v>
      </c>
      <c r="B26" s="192" t="s">
        <v>92</v>
      </c>
      <c r="C26" s="193">
        <f>+'[16]Table 8 Membership 2.1.14'!X22</f>
        <v>0</v>
      </c>
      <c r="D26" s="194">
        <f>'Table 3 Levels 1&amp;2'!AL23+'Table 3 Levels 1&amp;2'!AT23</f>
        <v>7983.350156556201</v>
      </c>
      <c r="E26" s="195">
        <f t="shared" si="4"/>
        <v>0</v>
      </c>
      <c r="F26" s="195">
        <f>'Table 3A Level 3'!C25</f>
        <v>586.16999999999996</v>
      </c>
      <c r="G26" s="195">
        <f t="shared" si="5"/>
        <v>0</v>
      </c>
      <c r="H26" s="346">
        <f t="shared" si="6"/>
        <v>0</v>
      </c>
      <c r="I26" s="196">
        <f>'[1]Oct midyear NOCCA'!K23</f>
        <v>0</v>
      </c>
      <c r="J26" s="196">
        <f>'[1]Feb midyear NOCCA'!K23</f>
        <v>0</v>
      </c>
      <c r="K26" s="197">
        <f t="shared" si="7"/>
        <v>0</v>
      </c>
      <c r="L26" s="346">
        <f t="shared" si="2"/>
        <v>0</v>
      </c>
      <c r="M26" s="194">
        <v>0</v>
      </c>
      <c r="N26" s="352">
        <f t="shared" si="3"/>
        <v>0</v>
      </c>
      <c r="O26" s="622">
        <f>8*'[2]Table 5A4_NOCCA'!Q26</f>
        <v>0</v>
      </c>
      <c r="P26" s="196">
        <f t="shared" si="8"/>
        <v>0</v>
      </c>
      <c r="Q26" s="356">
        <f t="shared" si="9"/>
        <v>0</v>
      </c>
      <c r="R26" s="356">
        <f t="shared" si="10"/>
        <v>0</v>
      </c>
    </row>
    <row r="27" spans="1:18" ht="16.149999999999999" customHeight="1">
      <c r="A27" s="205">
        <v>21</v>
      </c>
      <c r="B27" s="206" t="s">
        <v>93</v>
      </c>
      <c r="C27" s="207">
        <f>+'[16]Table 8 Membership 2.1.14'!X23</f>
        <v>0</v>
      </c>
      <c r="D27" s="208">
        <f>'Table 3 Levels 1&amp;2'!AL24+'Table 3 Levels 1&amp;2'!AT24</f>
        <v>8582.6142295867758</v>
      </c>
      <c r="E27" s="209">
        <f t="shared" si="4"/>
        <v>0</v>
      </c>
      <c r="F27" s="209">
        <f>'Table 3A Level 3'!C26</f>
        <v>610.35</v>
      </c>
      <c r="G27" s="209">
        <f t="shared" si="5"/>
        <v>0</v>
      </c>
      <c r="H27" s="344">
        <f t="shared" si="6"/>
        <v>0</v>
      </c>
      <c r="I27" s="210">
        <f>'[1]Oct midyear NOCCA'!K24</f>
        <v>0</v>
      </c>
      <c r="J27" s="210">
        <f>'[1]Feb midyear NOCCA'!K24</f>
        <v>0</v>
      </c>
      <c r="K27" s="211">
        <f t="shared" si="7"/>
        <v>0</v>
      </c>
      <c r="L27" s="344">
        <f t="shared" si="2"/>
        <v>0</v>
      </c>
      <c r="M27" s="208">
        <v>0</v>
      </c>
      <c r="N27" s="350">
        <f t="shared" si="3"/>
        <v>0</v>
      </c>
      <c r="O27" s="210">
        <f>8*'[2]Table 5A4_NOCCA'!Q27</f>
        <v>0</v>
      </c>
      <c r="P27" s="210">
        <f t="shared" si="8"/>
        <v>0</v>
      </c>
      <c r="Q27" s="350">
        <f t="shared" si="9"/>
        <v>0</v>
      </c>
      <c r="R27" s="361">
        <f t="shared" si="10"/>
        <v>0</v>
      </c>
    </row>
    <row r="28" spans="1:18" ht="16.149999999999999" customHeight="1">
      <c r="A28" s="198">
        <v>22</v>
      </c>
      <c r="B28" s="199" t="s">
        <v>94</v>
      </c>
      <c r="C28" s="200">
        <f>+'[16]Table 8 Membership 2.1.14'!X24</f>
        <v>0</v>
      </c>
      <c r="D28" s="201">
        <f>'Table 3 Levels 1&amp;2'!AL25+'Table 3 Levels 1&amp;2'!AT25</f>
        <v>8167.3099808195993</v>
      </c>
      <c r="E28" s="202">
        <f t="shared" si="4"/>
        <v>0</v>
      </c>
      <c r="F28" s="202">
        <f>'Table 3A Level 3'!C27</f>
        <v>496.36</v>
      </c>
      <c r="G28" s="202">
        <f t="shared" si="5"/>
        <v>0</v>
      </c>
      <c r="H28" s="345">
        <f t="shared" si="6"/>
        <v>0</v>
      </c>
      <c r="I28" s="203">
        <f>'[1]Oct midyear NOCCA'!K25</f>
        <v>0</v>
      </c>
      <c r="J28" s="203">
        <f>'[1]Feb midyear NOCCA'!K25</f>
        <v>0</v>
      </c>
      <c r="K28" s="204">
        <f t="shared" si="7"/>
        <v>0</v>
      </c>
      <c r="L28" s="345">
        <f t="shared" si="2"/>
        <v>0</v>
      </c>
      <c r="M28" s="201">
        <v>0</v>
      </c>
      <c r="N28" s="351">
        <f t="shared" si="3"/>
        <v>0</v>
      </c>
      <c r="O28" s="203">
        <f>8*'[2]Table 5A4_NOCCA'!Q28</f>
        <v>0</v>
      </c>
      <c r="P28" s="203">
        <f t="shared" si="8"/>
        <v>0</v>
      </c>
      <c r="Q28" s="351">
        <f t="shared" si="9"/>
        <v>0</v>
      </c>
      <c r="R28" s="351">
        <f t="shared" si="10"/>
        <v>0</v>
      </c>
    </row>
    <row r="29" spans="1:18" ht="16.149999999999999" customHeight="1">
      <c r="A29" s="198">
        <v>23</v>
      </c>
      <c r="B29" s="199" t="s">
        <v>95</v>
      </c>
      <c r="C29" s="200">
        <f>+'[16]Table 8 Membership 2.1.14'!X25</f>
        <v>0</v>
      </c>
      <c r="D29" s="201">
        <f>'Table 3 Levels 1&amp;2'!AL26+'Table 3 Levels 1&amp;2'!AT26</f>
        <v>8410.0315265979152</v>
      </c>
      <c r="E29" s="202">
        <f t="shared" si="4"/>
        <v>0</v>
      </c>
      <c r="F29" s="202">
        <f>'Table 3A Level 3'!C28</f>
        <v>688.58</v>
      </c>
      <c r="G29" s="202">
        <f t="shared" si="5"/>
        <v>0</v>
      </c>
      <c r="H29" s="345">
        <f t="shared" si="6"/>
        <v>0</v>
      </c>
      <c r="I29" s="203">
        <f>'[1]Oct midyear NOCCA'!K26</f>
        <v>0</v>
      </c>
      <c r="J29" s="203">
        <f>'[1]Feb midyear NOCCA'!K26</f>
        <v>0</v>
      </c>
      <c r="K29" s="204">
        <f t="shared" si="7"/>
        <v>0</v>
      </c>
      <c r="L29" s="345">
        <f t="shared" si="2"/>
        <v>0</v>
      </c>
      <c r="M29" s="201">
        <v>0</v>
      </c>
      <c r="N29" s="351">
        <f t="shared" si="3"/>
        <v>0</v>
      </c>
      <c r="O29" s="203">
        <f>8*'[2]Table 5A4_NOCCA'!Q29</f>
        <v>0</v>
      </c>
      <c r="P29" s="203">
        <f t="shared" si="8"/>
        <v>0</v>
      </c>
      <c r="Q29" s="351">
        <f t="shared" si="9"/>
        <v>0</v>
      </c>
      <c r="R29" s="351">
        <f t="shared" si="10"/>
        <v>0</v>
      </c>
    </row>
    <row r="30" spans="1:18" ht="16.149999999999999" customHeight="1">
      <c r="A30" s="198">
        <v>24</v>
      </c>
      <c r="B30" s="199" t="s">
        <v>96</v>
      </c>
      <c r="C30" s="200">
        <f>+'[16]Table 8 Membership 2.1.14'!X26</f>
        <v>0</v>
      </c>
      <c r="D30" s="201">
        <f>'Table 3 Levels 1&amp;2'!AL27+'Table 3 Levels 1&amp;2'!AT27</f>
        <v>8097.6440361577006</v>
      </c>
      <c r="E30" s="202">
        <f t="shared" si="4"/>
        <v>0</v>
      </c>
      <c r="F30" s="202">
        <f>'Table 3A Level 3'!C29</f>
        <v>854.24999999999989</v>
      </c>
      <c r="G30" s="202">
        <f t="shared" si="5"/>
        <v>0</v>
      </c>
      <c r="H30" s="345">
        <f t="shared" si="6"/>
        <v>0</v>
      </c>
      <c r="I30" s="203">
        <f>'[1]Oct midyear NOCCA'!K27</f>
        <v>0</v>
      </c>
      <c r="J30" s="203">
        <f>'[1]Feb midyear NOCCA'!K27</f>
        <v>0</v>
      </c>
      <c r="K30" s="204">
        <f t="shared" si="7"/>
        <v>0</v>
      </c>
      <c r="L30" s="345">
        <f t="shared" si="2"/>
        <v>0</v>
      </c>
      <c r="M30" s="201">
        <v>0</v>
      </c>
      <c r="N30" s="351">
        <f t="shared" si="3"/>
        <v>0</v>
      </c>
      <c r="O30" s="203">
        <f>8*'[2]Table 5A4_NOCCA'!Q30</f>
        <v>0</v>
      </c>
      <c r="P30" s="203">
        <f t="shared" si="8"/>
        <v>0</v>
      </c>
      <c r="Q30" s="351">
        <f t="shared" si="9"/>
        <v>0</v>
      </c>
      <c r="R30" s="351">
        <f t="shared" si="10"/>
        <v>0</v>
      </c>
    </row>
    <row r="31" spans="1:18" ht="16.149999999999999" customHeight="1">
      <c r="A31" s="191">
        <v>25</v>
      </c>
      <c r="B31" s="192" t="s">
        <v>97</v>
      </c>
      <c r="C31" s="193">
        <f>+'[16]Table 8 Membership 2.1.14'!X27</f>
        <v>0</v>
      </c>
      <c r="D31" s="194">
        <f>'Table 3 Levels 1&amp;2'!AL28+'Table 3 Levels 1&amp;2'!AT28</f>
        <v>8543.4620274945701</v>
      </c>
      <c r="E31" s="195">
        <f t="shared" si="4"/>
        <v>0</v>
      </c>
      <c r="F31" s="195">
        <f>'Table 3A Level 3'!C30</f>
        <v>653.73</v>
      </c>
      <c r="G31" s="195">
        <f t="shared" si="5"/>
        <v>0</v>
      </c>
      <c r="H31" s="346">
        <f t="shared" si="6"/>
        <v>0</v>
      </c>
      <c r="I31" s="196">
        <f>'[1]Oct midyear NOCCA'!K28</f>
        <v>0</v>
      </c>
      <c r="J31" s="196">
        <f>'[1]Feb midyear NOCCA'!K28</f>
        <v>0</v>
      </c>
      <c r="K31" s="197">
        <f t="shared" si="7"/>
        <v>0</v>
      </c>
      <c r="L31" s="346">
        <f t="shared" si="2"/>
        <v>0</v>
      </c>
      <c r="M31" s="194">
        <v>0</v>
      </c>
      <c r="N31" s="352">
        <f t="shared" si="3"/>
        <v>0</v>
      </c>
      <c r="O31" s="622">
        <f>8*'[2]Table 5A4_NOCCA'!Q31</f>
        <v>0</v>
      </c>
      <c r="P31" s="196">
        <f t="shared" si="8"/>
        <v>0</v>
      </c>
      <c r="Q31" s="356">
        <f t="shared" si="9"/>
        <v>0</v>
      </c>
      <c r="R31" s="356">
        <f t="shared" si="10"/>
        <v>0</v>
      </c>
    </row>
    <row r="32" spans="1:18" ht="16.149999999999999" customHeight="1">
      <c r="A32" s="205">
        <v>26</v>
      </c>
      <c r="B32" s="206" t="s">
        <v>98</v>
      </c>
      <c r="C32" s="207">
        <f>+'[16]Table 8 Membership 2.1.14'!X28</f>
        <v>48</v>
      </c>
      <c r="D32" s="208">
        <f>'Table 3 Levels 1&amp;2'!AL29+'Table 3 Levels 1&amp;2'!AT29</f>
        <v>8210.4549970570843</v>
      </c>
      <c r="E32" s="209">
        <f t="shared" si="4"/>
        <v>394101.83985874004</v>
      </c>
      <c r="F32" s="209">
        <f>'Table 3A Level 3'!C31</f>
        <v>836.83</v>
      </c>
      <c r="G32" s="209">
        <f t="shared" si="5"/>
        <v>40167.840000000004</v>
      </c>
      <c r="H32" s="344">
        <f t="shared" si="6"/>
        <v>434269.67985874007</v>
      </c>
      <c r="I32" s="210">
        <f>'[1]Oct midyear NOCCA'!K29</f>
        <v>189992.98493819876</v>
      </c>
      <c r="J32" s="210">
        <f>'[1]Feb midyear NOCCA'!K29</f>
        <v>0</v>
      </c>
      <c r="K32" s="211">
        <f t="shared" si="7"/>
        <v>189992.98493819876</v>
      </c>
      <c r="L32" s="344">
        <f t="shared" si="2"/>
        <v>624262.66479693889</v>
      </c>
      <c r="M32" s="208">
        <v>0</v>
      </c>
      <c r="N32" s="350">
        <f t="shared" si="3"/>
        <v>624262.66479693889</v>
      </c>
      <c r="O32" s="210">
        <f>8*'[2]Table 5A4_NOCCA'!Q32</f>
        <v>289512</v>
      </c>
      <c r="P32" s="210">
        <f t="shared" si="8"/>
        <v>334750.66479693889</v>
      </c>
      <c r="Q32" s="350">
        <f t="shared" si="9"/>
        <v>83688</v>
      </c>
      <c r="R32" s="361">
        <f t="shared" si="10"/>
        <v>624262.66479693889</v>
      </c>
    </row>
    <row r="33" spans="1:18" ht="16.149999999999999" customHeight="1">
      <c r="A33" s="198">
        <v>27</v>
      </c>
      <c r="B33" s="199" t="s">
        <v>99</v>
      </c>
      <c r="C33" s="200">
        <f>+'[16]Table 8 Membership 2.1.14'!X29</f>
        <v>0</v>
      </c>
      <c r="D33" s="201">
        <f>'Table 3 Levels 1&amp;2'!AL30+'Table 3 Levels 1&amp;2'!AT30</f>
        <v>8955.5713839976997</v>
      </c>
      <c r="E33" s="202">
        <f t="shared" si="4"/>
        <v>0</v>
      </c>
      <c r="F33" s="202">
        <f>'Table 3A Level 3'!C32</f>
        <v>693.06</v>
      </c>
      <c r="G33" s="202">
        <f t="shared" si="5"/>
        <v>0</v>
      </c>
      <c r="H33" s="345">
        <f t="shared" si="6"/>
        <v>0</v>
      </c>
      <c r="I33" s="203">
        <f>'[1]Oct midyear NOCCA'!K30</f>
        <v>0</v>
      </c>
      <c r="J33" s="203">
        <f>'[1]Feb midyear NOCCA'!K30</f>
        <v>0</v>
      </c>
      <c r="K33" s="204">
        <f t="shared" si="7"/>
        <v>0</v>
      </c>
      <c r="L33" s="345">
        <f t="shared" si="2"/>
        <v>0</v>
      </c>
      <c r="M33" s="201">
        <v>0</v>
      </c>
      <c r="N33" s="351">
        <f t="shared" si="3"/>
        <v>0</v>
      </c>
      <c r="O33" s="203">
        <f>8*'[2]Table 5A4_NOCCA'!Q33</f>
        <v>0</v>
      </c>
      <c r="P33" s="203">
        <f t="shared" si="8"/>
        <v>0</v>
      </c>
      <c r="Q33" s="351">
        <f t="shared" si="9"/>
        <v>0</v>
      </c>
      <c r="R33" s="351">
        <f t="shared" si="10"/>
        <v>0</v>
      </c>
    </row>
    <row r="34" spans="1:18" ht="16.149999999999999" customHeight="1">
      <c r="A34" s="198">
        <v>28</v>
      </c>
      <c r="B34" s="199" t="s">
        <v>100</v>
      </c>
      <c r="C34" s="200">
        <f>+'[16]Table 8 Membership 2.1.14'!X30</f>
        <v>0</v>
      </c>
      <c r="D34" s="201">
        <f>'Table 3 Levels 1&amp;2'!AL31+'Table 3 Levels 1&amp;2'!AT31</f>
        <v>7456.3358846568826</v>
      </c>
      <c r="E34" s="202">
        <f t="shared" si="4"/>
        <v>0</v>
      </c>
      <c r="F34" s="202">
        <f>'Table 3A Level 3'!C33</f>
        <v>694.4</v>
      </c>
      <c r="G34" s="202">
        <f t="shared" si="5"/>
        <v>0</v>
      </c>
      <c r="H34" s="345">
        <f t="shared" si="6"/>
        <v>0</v>
      </c>
      <c r="I34" s="203">
        <f>'[1]Oct midyear NOCCA'!K31</f>
        <v>0</v>
      </c>
      <c r="J34" s="203">
        <f>'[1]Feb midyear NOCCA'!K31</f>
        <v>0</v>
      </c>
      <c r="K34" s="204">
        <f t="shared" si="7"/>
        <v>0</v>
      </c>
      <c r="L34" s="345">
        <f t="shared" si="2"/>
        <v>0</v>
      </c>
      <c r="M34" s="201">
        <v>0</v>
      </c>
      <c r="N34" s="351">
        <f t="shared" si="3"/>
        <v>0</v>
      </c>
      <c r="O34" s="203">
        <f>8*'[2]Table 5A4_NOCCA'!Q34</f>
        <v>0</v>
      </c>
      <c r="P34" s="203">
        <f t="shared" si="8"/>
        <v>0</v>
      </c>
      <c r="Q34" s="351">
        <f t="shared" si="9"/>
        <v>0</v>
      </c>
      <c r="R34" s="351">
        <f t="shared" si="10"/>
        <v>0</v>
      </c>
    </row>
    <row r="35" spans="1:18" ht="16.149999999999999" customHeight="1">
      <c r="A35" s="198">
        <v>29</v>
      </c>
      <c r="B35" s="199" t="s">
        <v>101</v>
      </c>
      <c r="C35" s="200">
        <f>+'[16]Table 8 Membership 2.1.14'!X31</f>
        <v>1</v>
      </c>
      <c r="D35" s="201">
        <f>'Table 3 Levels 1&amp;2'!AL32+'Table 3 Levels 1&amp;2'!AT32</f>
        <v>7545.1123210173719</v>
      </c>
      <c r="E35" s="202">
        <f t="shared" si="4"/>
        <v>7545.1123210173719</v>
      </c>
      <c r="F35" s="202">
        <f>'Table 3A Level 3'!C34</f>
        <v>754.94999999999993</v>
      </c>
      <c r="G35" s="202">
        <f t="shared" si="5"/>
        <v>754.94999999999993</v>
      </c>
      <c r="H35" s="345">
        <f t="shared" si="6"/>
        <v>8300.0623210173726</v>
      </c>
      <c r="I35" s="203">
        <f>'[1]Oct midyear NOCCA'!K32</f>
        <v>0</v>
      </c>
      <c r="J35" s="203">
        <f>'[1]Feb midyear NOCCA'!K32</f>
        <v>0</v>
      </c>
      <c r="K35" s="204">
        <f t="shared" si="7"/>
        <v>0</v>
      </c>
      <c r="L35" s="345">
        <f t="shared" si="2"/>
        <v>8300.0623210173726</v>
      </c>
      <c r="M35" s="201">
        <v>0</v>
      </c>
      <c r="N35" s="351">
        <f t="shared" si="3"/>
        <v>8300.0623210173726</v>
      </c>
      <c r="O35" s="203">
        <f>8*'[2]Table 5A4_NOCCA'!Q35</f>
        <v>5536</v>
      </c>
      <c r="P35" s="203">
        <f t="shared" si="8"/>
        <v>2764.0623210173726</v>
      </c>
      <c r="Q35" s="351">
        <f t="shared" si="9"/>
        <v>691</v>
      </c>
      <c r="R35" s="351">
        <f t="shared" si="10"/>
        <v>8300.0623210173726</v>
      </c>
    </row>
    <row r="36" spans="1:18" ht="16.149999999999999" customHeight="1">
      <c r="A36" s="191">
        <v>30</v>
      </c>
      <c r="B36" s="192" t="s">
        <v>102</v>
      </c>
      <c r="C36" s="193">
        <f>+'[16]Table 8 Membership 2.1.14'!X32</f>
        <v>0</v>
      </c>
      <c r="D36" s="194">
        <f>'Table 3 Levels 1&amp;2'!AL33+'Table 3 Levels 1&amp;2'!AT33</f>
        <v>8956.7027273996755</v>
      </c>
      <c r="E36" s="195">
        <f t="shared" si="4"/>
        <v>0</v>
      </c>
      <c r="F36" s="195">
        <f>'Table 3A Level 3'!C35</f>
        <v>727.17</v>
      </c>
      <c r="G36" s="195">
        <f t="shared" si="5"/>
        <v>0</v>
      </c>
      <c r="H36" s="346">
        <f t="shared" si="6"/>
        <v>0</v>
      </c>
      <c r="I36" s="196">
        <f>'[1]Oct midyear NOCCA'!K33</f>
        <v>0</v>
      </c>
      <c r="J36" s="196">
        <f>'[1]Feb midyear NOCCA'!K33</f>
        <v>0</v>
      </c>
      <c r="K36" s="197">
        <f t="shared" si="7"/>
        <v>0</v>
      </c>
      <c r="L36" s="346">
        <f t="shared" si="2"/>
        <v>0</v>
      </c>
      <c r="M36" s="194">
        <v>0</v>
      </c>
      <c r="N36" s="352">
        <f t="shared" si="3"/>
        <v>0</v>
      </c>
      <c r="O36" s="622">
        <f>8*'[2]Table 5A4_NOCCA'!Q36</f>
        <v>0</v>
      </c>
      <c r="P36" s="196">
        <f t="shared" si="8"/>
        <v>0</v>
      </c>
      <c r="Q36" s="356">
        <f t="shared" si="9"/>
        <v>0</v>
      </c>
      <c r="R36" s="356">
        <f t="shared" si="10"/>
        <v>0</v>
      </c>
    </row>
    <row r="37" spans="1:18" ht="16.149999999999999" customHeight="1">
      <c r="A37" s="205">
        <v>31</v>
      </c>
      <c r="B37" s="206" t="s">
        <v>103</v>
      </c>
      <c r="C37" s="207">
        <f>+'[16]Table 8 Membership 2.1.14'!X33</f>
        <v>0</v>
      </c>
      <c r="D37" s="208">
        <f>'Table 3 Levels 1&amp;2'!AL34+'Table 3 Levels 1&amp;2'!AT34</f>
        <v>8360.1876716868537</v>
      </c>
      <c r="E37" s="209">
        <f t="shared" si="4"/>
        <v>0</v>
      </c>
      <c r="F37" s="209">
        <f>'Table 3A Level 3'!C36</f>
        <v>620.83000000000004</v>
      </c>
      <c r="G37" s="209">
        <f t="shared" si="5"/>
        <v>0</v>
      </c>
      <c r="H37" s="344">
        <f t="shared" si="6"/>
        <v>0</v>
      </c>
      <c r="I37" s="210">
        <f>'[1]Oct midyear NOCCA'!K34</f>
        <v>0</v>
      </c>
      <c r="J37" s="210">
        <f>'[1]Feb midyear NOCCA'!K34</f>
        <v>0</v>
      </c>
      <c r="K37" s="211">
        <f t="shared" si="7"/>
        <v>0</v>
      </c>
      <c r="L37" s="344">
        <f t="shared" si="2"/>
        <v>0</v>
      </c>
      <c r="M37" s="208">
        <v>0</v>
      </c>
      <c r="N37" s="350">
        <f t="shared" si="3"/>
        <v>0</v>
      </c>
      <c r="O37" s="210">
        <f>8*'[2]Table 5A4_NOCCA'!Q37</f>
        <v>0</v>
      </c>
      <c r="P37" s="210">
        <f t="shared" si="8"/>
        <v>0</v>
      </c>
      <c r="Q37" s="350">
        <f t="shared" si="9"/>
        <v>0</v>
      </c>
      <c r="R37" s="361">
        <f t="shared" si="10"/>
        <v>0</v>
      </c>
    </row>
    <row r="38" spans="1:18" ht="16.149999999999999" customHeight="1">
      <c r="A38" s="198">
        <v>32</v>
      </c>
      <c r="B38" s="199" t="s">
        <v>104</v>
      </c>
      <c r="C38" s="200">
        <f>+'[16]Table 8 Membership 2.1.14'!X34</f>
        <v>1</v>
      </c>
      <c r="D38" s="201">
        <f>'Table 3 Levels 1&amp;2'!AL35+'Table 3 Levels 1&amp;2'!AT35</f>
        <v>7725.779189061127</v>
      </c>
      <c r="E38" s="202">
        <f t="shared" si="4"/>
        <v>7725.779189061127</v>
      </c>
      <c r="F38" s="202">
        <f>'Table 3A Level 3'!C37</f>
        <v>559.77</v>
      </c>
      <c r="G38" s="202">
        <f t="shared" si="5"/>
        <v>559.77</v>
      </c>
      <c r="H38" s="345">
        <f t="shared" si="6"/>
        <v>8285.5491890611265</v>
      </c>
      <c r="I38" s="203">
        <f>'[1]Oct midyear NOCCA'!K35</f>
        <v>0</v>
      </c>
      <c r="J38" s="203">
        <f>'[1]Feb midyear NOCCA'!K35</f>
        <v>0</v>
      </c>
      <c r="K38" s="204">
        <f t="shared" si="7"/>
        <v>0</v>
      </c>
      <c r="L38" s="345">
        <f t="shared" si="2"/>
        <v>8285.5491890611265</v>
      </c>
      <c r="M38" s="201">
        <v>0</v>
      </c>
      <c r="N38" s="351">
        <f t="shared" si="3"/>
        <v>8285.5491890611265</v>
      </c>
      <c r="O38" s="203">
        <f>8*'[2]Table 5A4_NOCCA'!Q38</f>
        <v>5520</v>
      </c>
      <c r="P38" s="203">
        <f t="shared" si="8"/>
        <v>2765.5491890611265</v>
      </c>
      <c r="Q38" s="351">
        <f t="shared" si="9"/>
        <v>691</v>
      </c>
      <c r="R38" s="351">
        <f t="shared" si="10"/>
        <v>8285.5491890611265</v>
      </c>
    </row>
    <row r="39" spans="1:18" ht="16.149999999999999" customHeight="1">
      <c r="A39" s="198">
        <v>33</v>
      </c>
      <c r="B39" s="199" t="s">
        <v>105</v>
      </c>
      <c r="C39" s="200">
        <f>+'[16]Table 8 Membership 2.1.14'!X35</f>
        <v>0</v>
      </c>
      <c r="D39" s="201">
        <f>'Table 3 Levels 1&amp;2'!AL36+'Table 3 Levels 1&amp;2'!AT36</f>
        <v>8946.2054558085238</v>
      </c>
      <c r="E39" s="202">
        <f t="shared" si="4"/>
        <v>0</v>
      </c>
      <c r="F39" s="202">
        <f>'Table 3A Level 3'!C38</f>
        <v>655.31000000000006</v>
      </c>
      <c r="G39" s="202">
        <f t="shared" si="5"/>
        <v>0</v>
      </c>
      <c r="H39" s="345">
        <f t="shared" si="6"/>
        <v>0</v>
      </c>
      <c r="I39" s="203">
        <f>'[1]Oct midyear NOCCA'!K36</f>
        <v>0</v>
      </c>
      <c r="J39" s="203">
        <f>'[1]Feb midyear NOCCA'!K36</f>
        <v>0</v>
      </c>
      <c r="K39" s="204">
        <f t="shared" si="7"/>
        <v>0</v>
      </c>
      <c r="L39" s="345">
        <f t="shared" si="2"/>
        <v>0</v>
      </c>
      <c r="M39" s="201">
        <v>0</v>
      </c>
      <c r="N39" s="351">
        <f t="shared" ref="N39:N70" si="11">SUM(L39:M39)</f>
        <v>0</v>
      </c>
      <c r="O39" s="203">
        <f>8*'[2]Table 5A4_NOCCA'!Q39</f>
        <v>0</v>
      </c>
      <c r="P39" s="203">
        <f t="shared" si="8"/>
        <v>0</v>
      </c>
      <c r="Q39" s="351">
        <f t="shared" si="9"/>
        <v>0</v>
      </c>
      <c r="R39" s="351">
        <f t="shared" si="10"/>
        <v>0</v>
      </c>
    </row>
    <row r="40" spans="1:18" ht="16.149999999999999" customHeight="1">
      <c r="A40" s="198">
        <v>34</v>
      </c>
      <c r="B40" s="199" t="s">
        <v>106</v>
      </c>
      <c r="C40" s="200">
        <f>+'[16]Table 8 Membership 2.1.14'!X36</f>
        <v>0</v>
      </c>
      <c r="D40" s="201">
        <f>'Table 3 Levels 1&amp;2'!AL37+'Table 3 Levels 1&amp;2'!AT37</f>
        <v>9175.6276842789011</v>
      </c>
      <c r="E40" s="202">
        <f t="shared" si="4"/>
        <v>0</v>
      </c>
      <c r="F40" s="202">
        <f>'Table 3A Level 3'!C39</f>
        <v>644.11000000000013</v>
      </c>
      <c r="G40" s="202">
        <f t="shared" si="5"/>
        <v>0</v>
      </c>
      <c r="H40" s="345">
        <f t="shared" si="6"/>
        <v>0</v>
      </c>
      <c r="I40" s="203">
        <f>'[1]Oct midyear NOCCA'!K37</f>
        <v>0</v>
      </c>
      <c r="J40" s="203">
        <f>'[1]Feb midyear NOCCA'!K37</f>
        <v>0</v>
      </c>
      <c r="K40" s="204">
        <f t="shared" si="7"/>
        <v>0</v>
      </c>
      <c r="L40" s="345">
        <f t="shared" si="2"/>
        <v>0</v>
      </c>
      <c r="M40" s="201">
        <v>0</v>
      </c>
      <c r="N40" s="351">
        <f t="shared" si="11"/>
        <v>0</v>
      </c>
      <c r="O40" s="203">
        <f>8*'[2]Table 5A4_NOCCA'!Q40</f>
        <v>0</v>
      </c>
      <c r="P40" s="203">
        <f t="shared" si="8"/>
        <v>0</v>
      </c>
      <c r="Q40" s="351">
        <f t="shared" si="9"/>
        <v>0</v>
      </c>
      <c r="R40" s="351">
        <f t="shared" si="10"/>
        <v>0</v>
      </c>
    </row>
    <row r="41" spans="1:18" ht="16.149999999999999" customHeight="1">
      <c r="A41" s="191">
        <v>35</v>
      </c>
      <c r="B41" s="192" t="s">
        <v>107</v>
      </c>
      <c r="C41" s="193">
        <f>+'[16]Table 8 Membership 2.1.14'!X37</f>
        <v>0</v>
      </c>
      <c r="D41" s="194">
        <f>'Table 3 Levels 1&amp;2'!AL38+'Table 3 Levels 1&amp;2'!AT38</f>
        <v>8462.9982060477596</v>
      </c>
      <c r="E41" s="195">
        <f t="shared" si="4"/>
        <v>0</v>
      </c>
      <c r="F41" s="195">
        <f>'Table 3A Level 3'!C40</f>
        <v>537.96</v>
      </c>
      <c r="G41" s="195">
        <f t="shared" si="5"/>
        <v>0</v>
      </c>
      <c r="H41" s="346">
        <f t="shared" si="6"/>
        <v>0</v>
      </c>
      <c r="I41" s="196">
        <f>'[1]Oct midyear NOCCA'!K38</f>
        <v>0</v>
      </c>
      <c r="J41" s="196">
        <f>'[1]Feb midyear NOCCA'!K38</f>
        <v>0</v>
      </c>
      <c r="K41" s="197">
        <f t="shared" si="7"/>
        <v>0</v>
      </c>
      <c r="L41" s="346">
        <f t="shared" si="2"/>
        <v>0</v>
      </c>
      <c r="M41" s="194">
        <v>0</v>
      </c>
      <c r="N41" s="352">
        <f t="shared" si="11"/>
        <v>0</v>
      </c>
      <c r="O41" s="622">
        <f>8*'[2]Table 5A4_NOCCA'!Q41</f>
        <v>0</v>
      </c>
      <c r="P41" s="196">
        <f t="shared" si="8"/>
        <v>0</v>
      </c>
      <c r="Q41" s="356">
        <f t="shared" si="9"/>
        <v>0</v>
      </c>
      <c r="R41" s="356">
        <f t="shared" si="10"/>
        <v>0</v>
      </c>
    </row>
    <row r="42" spans="1:18" ht="16.149999999999999" customHeight="1">
      <c r="A42" s="205">
        <v>36</v>
      </c>
      <c r="B42" s="206" t="s">
        <v>108</v>
      </c>
      <c r="C42" s="207">
        <f>+'[16]Table 8 Membership 2.1.14'!X38</f>
        <v>76</v>
      </c>
      <c r="D42" s="208">
        <f>'Table 3 Levels 1&amp;2'!AL39+'Table 3 Levels 1&amp;2'!AT39</f>
        <v>8125.9709974327861</v>
      </c>
      <c r="E42" s="209">
        <f t="shared" si="4"/>
        <v>617573.79580489174</v>
      </c>
      <c r="F42" s="209">
        <f>'Table 5B1_RSD_Orleans'!F82</f>
        <v>746.0335616438357</v>
      </c>
      <c r="G42" s="209">
        <f t="shared" si="5"/>
        <v>56698.550684931513</v>
      </c>
      <c r="H42" s="344">
        <f t="shared" si="6"/>
        <v>674272.34648982319</v>
      </c>
      <c r="I42" s="210">
        <f>'[1]Oct midyear NOCCA'!K39</f>
        <v>221800.11397691554</v>
      </c>
      <c r="J42" s="210">
        <f>'[1]Feb midyear NOCCA'!K39</f>
        <v>-4436.0022795383111</v>
      </c>
      <c r="K42" s="211">
        <f t="shared" si="7"/>
        <v>217364.11169737723</v>
      </c>
      <c r="L42" s="344">
        <f t="shared" si="2"/>
        <v>891636.45818720036</v>
      </c>
      <c r="M42" s="208">
        <v>0</v>
      </c>
      <c r="N42" s="350">
        <f t="shared" si="11"/>
        <v>891636.45818720036</v>
      </c>
      <c r="O42" s="210">
        <f>8*'[2]Table 5A4_NOCCA'!Q42</f>
        <v>449512</v>
      </c>
      <c r="P42" s="210">
        <f t="shared" si="8"/>
        <v>442124.45818720036</v>
      </c>
      <c r="Q42" s="350">
        <f t="shared" si="9"/>
        <v>110531</v>
      </c>
      <c r="R42" s="361">
        <f t="shared" si="10"/>
        <v>891636.45818720036</v>
      </c>
    </row>
    <row r="43" spans="1:18" ht="16.149999999999999" customHeight="1">
      <c r="A43" s="198">
        <v>37</v>
      </c>
      <c r="B43" s="199" t="s">
        <v>109</v>
      </c>
      <c r="C43" s="200">
        <f>+'[16]Table 8 Membership 2.1.14'!X39</f>
        <v>0</v>
      </c>
      <c r="D43" s="201">
        <f>'Table 3 Levels 1&amp;2'!AL40+'Table 3 Levels 1&amp;2'!AT40</f>
        <v>8622.1539260317695</v>
      </c>
      <c r="E43" s="202">
        <f t="shared" si="4"/>
        <v>0</v>
      </c>
      <c r="F43" s="202">
        <f>'Table 3A Level 3'!C42</f>
        <v>653.61</v>
      </c>
      <c r="G43" s="202">
        <f t="shared" si="5"/>
        <v>0</v>
      </c>
      <c r="H43" s="345">
        <f t="shared" si="6"/>
        <v>0</v>
      </c>
      <c r="I43" s="203">
        <f>'[1]Oct midyear NOCCA'!K40</f>
        <v>0</v>
      </c>
      <c r="J43" s="203">
        <f>'[1]Feb midyear NOCCA'!K40</f>
        <v>0</v>
      </c>
      <c r="K43" s="204">
        <f t="shared" si="7"/>
        <v>0</v>
      </c>
      <c r="L43" s="345">
        <f t="shared" si="2"/>
        <v>0</v>
      </c>
      <c r="M43" s="201">
        <v>0</v>
      </c>
      <c r="N43" s="351">
        <f t="shared" si="11"/>
        <v>0</v>
      </c>
      <c r="O43" s="203">
        <f>8*'[2]Table 5A4_NOCCA'!Q43</f>
        <v>0</v>
      </c>
      <c r="P43" s="203">
        <f t="shared" si="8"/>
        <v>0</v>
      </c>
      <c r="Q43" s="351">
        <f t="shared" si="9"/>
        <v>0</v>
      </c>
      <c r="R43" s="351">
        <f t="shared" si="10"/>
        <v>0</v>
      </c>
    </row>
    <row r="44" spans="1:18" ht="16.149999999999999" customHeight="1">
      <c r="A44" s="198">
        <v>38</v>
      </c>
      <c r="B44" s="199" t="s">
        <v>110</v>
      </c>
      <c r="C44" s="200">
        <f>+'[16]Table 8 Membership 2.1.14'!X40</f>
        <v>2</v>
      </c>
      <c r="D44" s="201">
        <f>'Table 3 Levels 1&amp;2'!AL41+'Table 3 Levels 1&amp;2'!AT41</f>
        <v>8414.5817552916888</v>
      </c>
      <c r="E44" s="202">
        <f t="shared" si="4"/>
        <v>16829.163510583378</v>
      </c>
      <c r="F44" s="202">
        <f>'Table 3A Level 3'!C43</f>
        <v>829.92000000000007</v>
      </c>
      <c r="G44" s="202">
        <f t="shared" si="5"/>
        <v>1659.8400000000001</v>
      </c>
      <c r="H44" s="345">
        <f t="shared" si="6"/>
        <v>18489.003510583378</v>
      </c>
      <c r="I44" s="203">
        <f>'[1]Oct midyear NOCCA'!K41</f>
        <v>0</v>
      </c>
      <c r="J44" s="203">
        <f>'[1]Feb midyear NOCCA'!K41</f>
        <v>-4622.2508776458444</v>
      </c>
      <c r="K44" s="204">
        <f t="shared" si="7"/>
        <v>-4622.2508776458444</v>
      </c>
      <c r="L44" s="345">
        <f t="shared" si="2"/>
        <v>13866.752632937532</v>
      </c>
      <c r="M44" s="201">
        <v>0</v>
      </c>
      <c r="N44" s="351">
        <f t="shared" si="11"/>
        <v>13866.752632937532</v>
      </c>
      <c r="O44" s="203">
        <f>8*'[2]Table 5A4_NOCCA'!Q44</f>
        <v>12328</v>
      </c>
      <c r="P44" s="203">
        <f t="shared" si="8"/>
        <v>1538.7526329375323</v>
      </c>
      <c r="Q44" s="351">
        <f t="shared" si="9"/>
        <v>385</v>
      </c>
      <c r="R44" s="351">
        <f t="shared" si="10"/>
        <v>13866.752632937532</v>
      </c>
    </row>
    <row r="45" spans="1:18" ht="16.149999999999999" customHeight="1">
      <c r="A45" s="198">
        <v>39</v>
      </c>
      <c r="B45" s="199" t="s">
        <v>111</v>
      </c>
      <c r="C45" s="200">
        <f>+'[16]Table 8 Membership 2.1.14'!X41</f>
        <v>0</v>
      </c>
      <c r="D45" s="201">
        <f>'Table 3 Levels 1&amp;2'!AL42+'Table 3 Levels 1&amp;2'!AT42</f>
        <v>8239.3056809295667</v>
      </c>
      <c r="E45" s="202">
        <f t="shared" si="4"/>
        <v>0</v>
      </c>
      <c r="F45" s="202">
        <f>'Table 3A Level 3'!C44</f>
        <v>779.65573042776396</v>
      </c>
      <c r="G45" s="202">
        <f t="shared" si="5"/>
        <v>0</v>
      </c>
      <c r="H45" s="345">
        <f t="shared" si="6"/>
        <v>0</v>
      </c>
      <c r="I45" s="203">
        <f>'[1]Oct midyear NOCCA'!K42</f>
        <v>0</v>
      </c>
      <c r="J45" s="203">
        <f>'[1]Feb midyear NOCCA'!K42</f>
        <v>0</v>
      </c>
      <c r="K45" s="204">
        <f t="shared" si="7"/>
        <v>0</v>
      </c>
      <c r="L45" s="345">
        <f t="shared" si="2"/>
        <v>0</v>
      </c>
      <c r="M45" s="201">
        <v>0</v>
      </c>
      <c r="N45" s="351">
        <f t="shared" si="11"/>
        <v>0</v>
      </c>
      <c r="O45" s="203">
        <f>8*'[2]Table 5A4_NOCCA'!Q45</f>
        <v>0</v>
      </c>
      <c r="P45" s="203">
        <f t="shared" si="8"/>
        <v>0</v>
      </c>
      <c r="Q45" s="351">
        <f t="shared" si="9"/>
        <v>0</v>
      </c>
      <c r="R45" s="351">
        <f t="shared" si="10"/>
        <v>0</v>
      </c>
    </row>
    <row r="46" spans="1:18" ht="16.149999999999999" customHeight="1">
      <c r="A46" s="191">
        <v>40</v>
      </c>
      <c r="B46" s="192" t="s">
        <v>112</v>
      </c>
      <c r="C46" s="193">
        <f>+'[16]Table 8 Membership 2.1.14'!X42</f>
        <v>0</v>
      </c>
      <c r="D46" s="194">
        <f>'Table 3 Levels 1&amp;2'!AL43+'Table 3 Levels 1&amp;2'!AT43</f>
        <v>8217.96102856984</v>
      </c>
      <c r="E46" s="195">
        <f t="shared" si="4"/>
        <v>0</v>
      </c>
      <c r="F46" s="195">
        <f>'Table 3A Level 3'!C45</f>
        <v>700.2700000000001</v>
      </c>
      <c r="G46" s="195">
        <f t="shared" si="5"/>
        <v>0</v>
      </c>
      <c r="H46" s="346">
        <f t="shared" si="6"/>
        <v>0</v>
      </c>
      <c r="I46" s="196">
        <f>'[1]Oct midyear NOCCA'!K43</f>
        <v>0</v>
      </c>
      <c r="J46" s="196">
        <f>'[1]Feb midyear NOCCA'!K43</f>
        <v>0</v>
      </c>
      <c r="K46" s="197">
        <f t="shared" si="7"/>
        <v>0</v>
      </c>
      <c r="L46" s="346">
        <f t="shared" si="2"/>
        <v>0</v>
      </c>
      <c r="M46" s="194">
        <v>0</v>
      </c>
      <c r="N46" s="352">
        <f t="shared" si="11"/>
        <v>0</v>
      </c>
      <c r="O46" s="622">
        <f>8*'[2]Table 5A4_NOCCA'!Q46</f>
        <v>0</v>
      </c>
      <c r="P46" s="196">
        <f t="shared" si="8"/>
        <v>0</v>
      </c>
      <c r="Q46" s="356">
        <f t="shared" si="9"/>
        <v>0</v>
      </c>
      <c r="R46" s="356">
        <f t="shared" si="10"/>
        <v>0</v>
      </c>
    </row>
    <row r="47" spans="1:18" ht="16.149999999999999" customHeight="1">
      <c r="A47" s="205">
        <v>41</v>
      </c>
      <c r="B47" s="206" t="s">
        <v>113</v>
      </c>
      <c r="C47" s="207">
        <f>+'[16]Table 8 Membership 2.1.14'!X43</f>
        <v>0</v>
      </c>
      <c r="D47" s="208">
        <f>'Table 3 Levels 1&amp;2'!AL44+'Table 3 Levels 1&amp;2'!AT44</f>
        <v>8413.194857471648</v>
      </c>
      <c r="E47" s="209">
        <f t="shared" si="4"/>
        <v>0</v>
      </c>
      <c r="F47" s="209">
        <f>'Table 3A Level 3'!C46</f>
        <v>886.22</v>
      </c>
      <c r="G47" s="209">
        <f t="shared" si="5"/>
        <v>0</v>
      </c>
      <c r="H47" s="344">
        <f t="shared" si="6"/>
        <v>0</v>
      </c>
      <c r="I47" s="210">
        <f>'[1]Oct midyear NOCCA'!K44</f>
        <v>0</v>
      </c>
      <c r="J47" s="210">
        <f>'[1]Feb midyear NOCCA'!K44</f>
        <v>0</v>
      </c>
      <c r="K47" s="211">
        <f t="shared" si="7"/>
        <v>0</v>
      </c>
      <c r="L47" s="344">
        <f t="shared" si="2"/>
        <v>0</v>
      </c>
      <c r="M47" s="208">
        <v>0</v>
      </c>
      <c r="N47" s="350">
        <f t="shared" si="11"/>
        <v>0</v>
      </c>
      <c r="O47" s="210">
        <f>8*'[2]Table 5A4_NOCCA'!Q47</f>
        <v>0</v>
      </c>
      <c r="P47" s="210">
        <f t="shared" si="8"/>
        <v>0</v>
      </c>
      <c r="Q47" s="350">
        <f t="shared" si="9"/>
        <v>0</v>
      </c>
      <c r="R47" s="361">
        <f t="shared" si="10"/>
        <v>0</v>
      </c>
    </row>
    <row r="48" spans="1:18" ht="16.149999999999999" customHeight="1">
      <c r="A48" s="198">
        <v>42</v>
      </c>
      <c r="B48" s="199" t="s">
        <v>114</v>
      </c>
      <c r="C48" s="200">
        <f>+'[16]Table 8 Membership 2.1.14'!X44</f>
        <v>0</v>
      </c>
      <c r="D48" s="201">
        <f>'Table 3 Levels 1&amp;2'!AL45+'Table 3 Levels 1&amp;2'!AT45</f>
        <v>8785.2777751368685</v>
      </c>
      <c r="E48" s="202">
        <f t="shared" si="4"/>
        <v>0</v>
      </c>
      <c r="F48" s="202">
        <f>'Table 3A Level 3'!C47</f>
        <v>534.28</v>
      </c>
      <c r="G48" s="202">
        <f t="shared" si="5"/>
        <v>0</v>
      </c>
      <c r="H48" s="345">
        <f t="shared" si="6"/>
        <v>0</v>
      </c>
      <c r="I48" s="203">
        <f>'[1]Oct midyear NOCCA'!K45</f>
        <v>0</v>
      </c>
      <c r="J48" s="203">
        <f>'[1]Feb midyear NOCCA'!K45</f>
        <v>0</v>
      </c>
      <c r="K48" s="204">
        <f t="shared" si="7"/>
        <v>0</v>
      </c>
      <c r="L48" s="345">
        <f t="shared" si="2"/>
        <v>0</v>
      </c>
      <c r="M48" s="201">
        <v>0</v>
      </c>
      <c r="N48" s="351">
        <f t="shared" si="11"/>
        <v>0</v>
      </c>
      <c r="O48" s="203">
        <f>8*'[2]Table 5A4_NOCCA'!Q48</f>
        <v>0</v>
      </c>
      <c r="P48" s="203">
        <f t="shared" si="8"/>
        <v>0</v>
      </c>
      <c r="Q48" s="351">
        <f t="shared" si="9"/>
        <v>0</v>
      </c>
      <c r="R48" s="351">
        <f t="shared" si="10"/>
        <v>0</v>
      </c>
    </row>
    <row r="49" spans="1:18" ht="16.149999999999999" customHeight="1">
      <c r="A49" s="198">
        <v>43</v>
      </c>
      <c r="B49" s="199" t="s">
        <v>115</v>
      </c>
      <c r="C49" s="200">
        <f>+'[16]Table 8 Membership 2.1.14'!X45</f>
        <v>0</v>
      </c>
      <c r="D49" s="201">
        <f>'Table 3 Levels 1&amp;2'!AL46+'Table 3 Levels 1&amp;2'!AT46</f>
        <v>9151.8938720594706</v>
      </c>
      <c r="E49" s="202">
        <f t="shared" si="4"/>
        <v>0</v>
      </c>
      <c r="F49" s="202">
        <f>'Table 3A Level 3'!C48</f>
        <v>574.6099999999999</v>
      </c>
      <c r="G49" s="202">
        <f t="shared" si="5"/>
        <v>0</v>
      </c>
      <c r="H49" s="345">
        <f t="shared" si="6"/>
        <v>0</v>
      </c>
      <c r="I49" s="203">
        <f>'[1]Oct midyear NOCCA'!K46</f>
        <v>0</v>
      </c>
      <c r="J49" s="203">
        <f>'[1]Feb midyear NOCCA'!K46</f>
        <v>0</v>
      </c>
      <c r="K49" s="204">
        <f t="shared" si="7"/>
        <v>0</v>
      </c>
      <c r="L49" s="345">
        <f t="shared" si="2"/>
        <v>0</v>
      </c>
      <c r="M49" s="201">
        <v>0</v>
      </c>
      <c r="N49" s="351">
        <f t="shared" si="11"/>
        <v>0</v>
      </c>
      <c r="O49" s="203">
        <f>8*'[2]Table 5A4_NOCCA'!Q49</f>
        <v>0</v>
      </c>
      <c r="P49" s="203">
        <f t="shared" si="8"/>
        <v>0</v>
      </c>
      <c r="Q49" s="351">
        <f t="shared" si="9"/>
        <v>0</v>
      </c>
      <c r="R49" s="351">
        <f t="shared" si="10"/>
        <v>0</v>
      </c>
    </row>
    <row r="50" spans="1:18" ht="16.149999999999999" customHeight="1">
      <c r="A50" s="198">
        <v>44</v>
      </c>
      <c r="B50" s="199" t="s">
        <v>116</v>
      </c>
      <c r="C50" s="200">
        <f>+'[16]Table 8 Membership 2.1.14'!X46</f>
        <v>6</v>
      </c>
      <c r="D50" s="201">
        <f>'Table 3 Levels 1&amp;2'!AL47+'Table 3 Levels 1&amp;2'!AT47</f>
        <v>8460.7858151820365</v>
      </c>
      <c r="E50" s="202">
        <f t="shared" si="4"/>
        <v>50764.714891092219</v>
      </c>
      <c r="F50" s="202">
        <f>'Table 3A Level 3'!C49</f>
        <v>663.16000000000008</v>
      </c>
      <c r="G50" s="202">
        <f t="shared" si="5"/>
        <v>3978.9600000000005</v>
      </c>
      <c r="H50" s="345">
        <f t="shared" si="6"/>
        <v>54743.674891092218</v>
      </c>
      <c r="I50" s="203">
        <f>'[1]Oct midyear NOCCA'!K47</f>
        <v>18247.891630364073</v>
      </c>
      <c r="J50" s="203">
        <f>'[1]Feb midyear NOCCA'!K47</f>
        <v>0</v>
      </c>
      <c r="K50" s="204">
        <f t="shared" si="7"/>
        <v>18247.891630364073</v>
      </c>
      <c r="L50" s="345">
        <f t="shared" si="2"/>
        <v>72991.566521456291</v>
      </c>
      <c r="M50" s="201">
        <v>0</v>
      </c>
      <c r="N50" s="351">
        <f t="shared" si="11"/>
        <v>72991.566521456291</v>
      </c>
      <c r="O50" s="203">
        <f>8*'[2]Table 5A4_NOCCA'!Q50</f>
        <v>36496</v>
      </c>
      <c r="P50" s="203">
        <f t="shared" si="8"/>
        <v>36495.566521456291</v>
      </c>
      <c r="Q50" s="351">
        <f t="shared" si="9"/>
        <v>9124</v>
      </c>
      <c r="R50" s="351">
        <f t="shared" si="10"/>
        <v>72991.566521456291</v>
      </c>
    </row>
    <row r="51" spans="1:18" ht="16.149999999999999" customHeight="1">
      <c r="A51" s="191">
        <v>45</v>
      </c>
      <c r="B51" s="192" t="s">
        <v>117</v>
      </c>
      <c r="C51" s="193">
        <f>+'[16]Table 8 Membership 2.1.14'!X47</f>
        <v>9</v>
      </c>
      <c r="D51" s="194">
        <f>'Table 3 Levels 1&amp;2'!AL48+'Table 3 Levels 1&amp;2'!AT48</f>
        <v>7536.8772499469105</v>
      </c>
      <c r="E51" s="195">
        <f t="shared" si="4"/>
        <v>67831.895249522189</v>
      </c>
      <c r="F51" s="195">
        <f>'Table 3A Level 3'!C50</f>
        <v>753.96000000000015</v>
      </c>
      <c r="G51" s="195">
        <f t="shared" si="5"/>
        <v>6785.6400000000012</v>
      </c>
      <c r="H51" s="346">
        <f t="shared" si="6"/>
        <v>74617.535249522189</v>
      </c>
      <c r="I51" s="196">
        <f>'[1]Oct midyear NOCCA'!K48</f>
        <v>16581.674499893823</v>
      </c>
      <c r="J51" s="196">
        <f>'[1]Feb midyear NOCCA'!K48</f>
        <v>0</v>
      </c>
      <c r="K51" s="197">
        <f t="shared" si="7"/>
        <v>16581.674499893823</v>
      </c>
      <c r="L51" s="346">
        <f t="shared" si="2"/>
        <v>91199.209749416012</v>
      </c>
      <c r="M51" s="194">
        <v>0</v>
      </c>
      <c r="N51" s="352">
        <f t="shared" si="11"/>
        <v>91199.209749416012</v>
      </c>
      <c r="O51" s="622">
        <f>8*'[2]Table 5A4_NOCCA'!Q51</f>
        <v>49744</v>
      </c>
      <c r="P51" s="196">
        <f t="shared" si="8"/>
        <v>41455.209749416012</v>
      </c>
      <c r="Q51" s="356">
        <f t="shared" si="9"/>
        <v>10364</v>
      </c>
      <c r="R51" s="356">
        <f t="shared" si="10"/>
        <v>91199.209749416012</v>
      </c>
    </row>
    <row r="52" spans="1:18" ht="16.149999999999999" customHeight="1">
      <c r="A52" s="205">
        <v>46</v>
      </c>
      <c r="B52" s="206" t="s">
        <v>118</v>
      </c>
      <c r="C52" s="207">
        <f>+'[16]Table 8 Membership 2.1.14'!X48</f>
        <v>0</v>
      </c>
      <c r="D52" s="208">
        <f>'Table 3 Levels 1&amp;2'!AL49+'Table 3 Levels 1&amp;2'!AT49</f>
        <v>8543.9744468088393</v>
      </c>
      <c r="E52" s="209">
        <f t="shared" si="4"/>
        <v>0</v>
      </c>
      <c r="F52" s="209">
        <f>'Table 3A Level 3'!C51</f>
        <v>728.06</v>
      </c>
      <c r="G52" s="209">
        <f t="shared" si="5"/>
        <v>0</v>
      </c>
      <c r="H52" s="344">
        <f t="shared" si="6"/>
        <v>0</v>
      </c>
      <c r="I52" s="210">
        <f>'[1]Oct midyear NOCCA'!K49</f>
        <v>0</v>
      </c>
      <c r="J52" s="210">
        <f>'[1]Feb midyear NOCCA'!K49</f>
        <v>0</v>
      </c>
      <c r="K52" s="211">
        <f t="shared" si="7"/>
        <v>0</v>
      </c>
      <c r="L52" s="344">
        <f t="shared" si="2"/>
        <v>0</v>
      </c>
      <c r="M52" s="208">
        <v>0</v>
      </c>
      <c r="N52" s="350">
        <f t="shared" si="11"/>
        <v>0</v>
      </c>
      <c r="O52" s="210">
        <f>8*'[2]Table 5A4_NOCCA'!Q52</f>
        <v>0</v>
      </c>
      <c r="P52" s="210">
        <f t="shared" si="8"/>
        <v>0</v>
      </c>
      <c r="Q52" s="350">
        <f t="shared" si="9"/>
        <v>0</v>
      </c>
      <c r="R52" s="361">
        <f t="shared" si="10"/>
        <v>0</v>
      </c>
    </row>
    <row r="53" spans="1:18" ht="16.149999999999999" customHeight="1">
      <c r="A53" s="198">
        <v>47</v>
      </c>
      <c r="B53" s="199" t="s">
        <v>119</v>
      </c>
      <c r="C53" s="200">
        <f>+'[16]Table 8 Membership 2.1.14'!X49</f>
        <v>0</v>
      </c>
      <c r="D53" s="201">
        <f>'Table 3 Levels 1&amp;2'!AL50+'Table 3 Levels 1&amp;2'!AT50</f>
        <v>8496.158525764673</v>
      </c>
      <c r="E53" s="202">
        <f t="shared" si="4"/>
        <v>0</v>
      </c>
      <c r="F53" s="202">
        <f>'Table 3A Level 3'!C52</f>
        <v>910.76</v>
      </c>
      <c r="G53" s="202">
        <f t="shared" si="5"/>
        <v>0</v>
      </c>
      <c r="H53" s="345">
        <f t="shared" si="6"/>
        <v>0</v>
      </c>
      <c r="I53" s="203">
        <f>'[1]Oct midyear NOCCA'!K50</f>
        <v>0</v>
      </c>
      <c r="J53" s="203">
        <f>'[1]Feb midyear NOCCA'!K50</f>
        <v>0</v>
      </c>
      <c r="K53" s="204">
        <f t="shared" si="7"/>
        <v>0</v>
      </c>
      <c r="L53" s="345">
        <f t="shared" si="2"/>
        <v>0</v>
      </c>
      <c r="M53" s="201">
        <v>0</v>
      </c>
      <c r="N53" s="351">
        <f t="shared" si="11"/>
        <v>0</v>
      </c>
      <c r="O53" s="203">
        <f>8*'[2]Table 5A4_NOCCA'!Q53</f>
        <v>0</v>
      </c>
      <c r="P53" s="203">
        <f t="shared" si="8"/>
        <v>0</v>
      </c>
      <c r="Q53" s="351">
        <f t="shared" si="9"/>
        <v>0</v>
      </c>
      <c r="R53" s="351">
        <f t="shared" si="10"/>
        <v>0</v>
      </c>
    </row>
    <row r="54" spans="1:18" ht="16.149999999999999" customHeight="1">
      <c r="A54" s="198">
        <v>48</v>
      </c>
      <c r="B54" s="199" t="s">
        <v>144</v>
      </c>
      <c r="C54" s="200">
        <f>+'[16]Table 8 Membership 2.1.14'!X50</f>
        <v>1</v>
      </c>
      <c r="D54" s="201">
        <f>'Table 3 Levels 1&amp;2'!AL51+'Table 3 Levels 1&amp;2'!AT51</f>
        <v>8579.8882529800721</v>
      </c>
      <c r="E54" s="202">
        <f t="shared" si="4"/>
        <v>8579.8882529800721</v>
      </c>
      <c r="F54" s="202">
        <f>'Table 3A Level 3'!C53</f>
        <v>871.07</v>
      </c>
      <c r="G54" s="202">
        <f t="shared" si="5"/>
        <v>871.07</v>
      </c>
      <c r="H54" s="345">
        <f t="shared" si="6"/>
        <v>9450.9582529800718</v>
      </c>
      <c r="I54" s="203">
        <f>'[1]Oct midyear NOCCA'!K51</f>
        <v>0</v>
      </c>
      <c r="J54" s="203">
        <f>'[1]Feb midyear NOCCA'!K51</f>
        <v>0</v>
      </c>
      <c r="K54" s="204">
        <f t="shared" si="7"/>
        <v>0</v>
      </c>
      <c r="L54" s="345">
        <f t="shared" si="2"/>
        <v>9450.9582529800718</v>
      </c>
      <c r="M54" s="201">
        <v>0</v>
      </c>
      <c r="N54" s="351">
        <f t="shared" si="11"/>
        <v>9450.9582529800718</v>
      </c>
      <c r="O54" s="203">
        <f>8*'[2]Table 5A4_NOCCA'!Q54</f>
        <v>6304</v>
      </c>
      <c r="P54" s="203">
        <f t="shared" si="8"/>
        <v>3146.9582529800718</v>
      </c>
      <c r="Q54" s="351">
        <f t="shared" si="9"/>
        <v>787</v>
      </c>
      <c r="R54" s="351">
        <f t="shared" si="10"/>
        <v>9450.9582529800718</v>
      </c>
    </row>
    <row r="55" spans="1:18" ht="16.149999999999999" customHeight="1">
      <c r="A55" s="198">
        <v>49</v>
      </c>
      <c r="B55" s="199" t="s">
        <v>120</v>
      </c>
      <c r="C55" s="200">
        <f>+'[16]Table 8 Membership 2.1.14'!X51</f>
        <v>0</v>
      </c>
      <c r="D55" s="201">
        <f>'Table 3 Levels 1&amp;2'!AL52+'Table 3 Levels 1&amp;2'!AT52</f>
        <v>7455.4155315659191</v>
      </c>
      <c r="E55" s="202">
        <f t="shared" si="4"/>
        <v>0</v>
      </c>
      <c r="F55" s="202">
        <f>'Table 3A Level 3'!C54</f>
        <v>574.43999999999994</v>
      </c>
      <c r="G55" s="202">
        <f t="shared" si="5"/>
        <v>0</v>
      </c>
      <c r="H55" s="345">
        <f t="shared" si="6"/>
        <v>0</v>
      </c>
      <c r="I55" s="203">
        <f>'[1]Oct midyear NOCCA'!K52</f>
        <v>0</v>
      </c>
      <c r="J55" s="203">
        <f>'[1]Feb midyear NOCCA'!K52</f>
        <v>0</v>
      </c>
      <c r="K55" s="204">
        <f t="shared" si="7"/>
        <v>0</v>
      </c>
      <c r="L55" s="345">
        <f t="shared" si="2"/>
        <v>0</v>
      </c>
      <c r="M55" s="201">
        <v>0</v>
      </c>
      <c r="N55" s="351">
        <f t="shared" si="11"/>
        <v>0</v>
      </c>
      <c r="O55" s="203">
        <f>8*'[2]Table 5A4_NOCCA'!Q55</f>
        <v>0</v>
      </c>
      <c r="P55" s="203">
        <f t="shared" si="8"/>
        <v>0</v>
      </c>
      <c r="Q55" s="351">
        <f t="shared" si="9"/>
        <v>0</v>
      </c>
      <c r="R55" s="351">
        <f t="shared" si="10"/>
        <v>0</v>
      </c>
    </row>
    <row r="56" spans="1:18" ht="16.149999999999999" customHeight="1">
      <c r="A56" s="191">
        <v>50</v>
      </c>
      <c r="B56" s="192" t="s">
        <v>121</v>
      </c>
      <c r="C56" s="193">
        <f>+'[16]Table 8 Membership 2.1.14'!X52</f>
        <v>0</v>
      </c>
      <c r="D56" s="194">
        <f>'Table 3 Levels 1&amp;2'!AL53+'Table 3 Levels 1&amp;2'!AT53</f>
        <v>8390.1392722701676</v>
      </c>
      <c r="E56" s="195">
        <f t="shared" si="4"/>
        <v>0</v>
      </c>
      <c r="F56" s="195">
        <f>'Table 3A Level 3'!C55</f>
        <v>634.46</v>
      </c>
      <c r="G56" s="195">
        <f t="shared" si="5"/>
        <v>0</v>
      </c>
      <c r="H56" s="346">
        <f t="shared" si="6"/>
        <v>0</v>
      </c>
      <c r="I56" s="196">
        <f>'[1]Oct midyear NOCCA'!K53</f>
        <v>0</v>
      </c>
      <c r="J56" s="196">
        <f>'[1]Feb midyear NOCCA'!K53</f>
        <v>0</v>
      </c>
      <c r="K56" s="197">
        <f t="shared" si="7"/>
        <v>0</v>
      </c>
      <c r="L56" s="346">
        <f t="shared" si="2"/>
        <v>0</v>
      </c>
      <c r="M56" s="194">
        <v>0</v>
      </c>
      <c r="N56" s="352">
        <f t="shared" si="11"/>
        <v>0</v>
      </c>
      <c r="O56" s="622">
        <f>8*'[2]Table 5A4_NOCCA'!Q56</f>
        <v>0</v>
      </c>
      <c r="P56" s="196">
        <f t="shared" si="8"/>
        <v>0</v>
      </c>
      <c r="Q56" s="356">
        <f t="shared" si="9"/>
        <v>0</v>
      </c>
      <c r="R56" s="356">
        <f t="shared" si="10"/>
        <v>0</v>
      </c>
    </row>
    <row r="57" spans="1:18" ht="16.149999999999999" customHeight="1">
      <c r="A57" s="205">
        <v>51</v>
      </c>
      <c r="B57" s="206" t="s">
        <v>122</v>
      </c>
      <c r="C57" s="207">
        <f>+'[16]Table 8 Membership 2.1.14'!X53</f>
        <v>0</v>
      </c>
      <c r="D57" s="208">
        <f>'Table 3 Levels 1&amp;2'!AL54+'Table 3 Levels 1&amp;2'!AT54</f>
        <v>8413.1128602178997</v>
      </c>
      <c r="E57" s="209">
        <f t="shared" si="4"/>
        <v>0</v>
      </c>
      <c r="F57" s="209">
        <f>'Table 3A Level 3'!C56</f>
        <v>706.66</v>
      </c>
      <c r="G57" s="209">
        <f t="shared" si="5"/>
        <v>0</v>
      </c>
      <c r="H57" s="344">
        <f t="shared" si="6"/>
        <v>0</v>
      </c>
      <c r="I57" s="210">
        <f>'[1]Oct midyear NOCCA'!K54</f>
        <v>0</v>
      </c>
      <c r="J57" s="210">
        <f>'[1]Feb midyear NOCCA'!K54</f>
        <v>0</v>
      </c>
      <c r="K57" s="211">
        <f t="shared" si="7"/>
        <v>0</v>
      </c>
      <c r="L57" s="344">
        <f t="shared" si="2"/>
        <v>0</v>
      </c>
      <c r="M57" s="208">
        <v>0</v>
      </c>
      <c r="N57" s="350">
        <f t="shared" si="11"/>
        <v>0</v>
      </c>
      <c r="O57" s="210">
        <f>8*'[2]Table 5A4_NOCCA'!Q57</f>
        <v>0</v>
      </c>
      <c r="P57" s="210">
        <f t="shared" si="8"/>
        <v>0</v>
      </c>
      <c r="Q57" s="350">
        <f t="shared" si="9"/>
        <v>0</v>
      </c>
      <c r="R57" s="361">
        <f t="shared" si="10"/>
        <v>0</v>
      </c>
    </row>
    <row r="58" spans="1:18" ht="16.149999999999999" customHeight="1">
      <c r="A58" s="198">
        <v>52</v>
      </c>
      <c r="B58" s="199" t="s">
        <v>123</v>
      </c>
      <c r="C58" s="200">
        <f>+'[16]Table 8 Membership 2.1.14'!X54</f>
        <v>26</v>
      </c>
      <c r="D58" s="201">
        <f>'Table 3 Levels 1&amp;2'!AL55+'Table 3 Levels 1&amp;2'!AT55</f>
        <v>8676.264584522818</v>
      </c>
      <c r="E58" s="202">
        <f t="shared" si="4"/>
        <v>225582.87919759325</v>
      </c>
      <c r="F58" s="202">
        <f>'Table 3A Level 3'!C57</f>
        <v>658.37</v>
      </c>
      <c r="G58" s="202">
        <f t="shared" si="5"/>
        <v>17117.62</v>
      </c>
      <c r="H58" s="345">
        <f t="shared" si="6"/>
        <v>242700.49919759325</v>
      </c>
      <c r="I58" s="203">
        <f>'[1]Oct midyear NOCCA'!K55</f>
        <v>158688.78793688791</v>
      </c>
      <c r="J58" s="203">
        <f>'[1]Feb midyear NOCCA'!K55</f>
        <v>-4667.3172922614094</v>
      </c>
      <c r="K58" s="204">
        <f t="shared" si="7"/>
        <v>154021.4706446265</v>
      </c>
      <c r="L58" s="345">
        <f t="shared" si="2"/>
        <v>396721.96984221973</v>
      </c>
      <c r="M58" s="201">
        <v>0</v>
      </c>
      <c r="N58" s="351">
        <f t="shared" si="11"/>
        <v>396721.96984221973</v>
      </c>
      <c r="O58" s="203">
        <f>8*'[2]Table 5A4_NOCCA'!Q58</f>
        <v>161800</v>
      </c>
      <c r="P58" s="203">
        <f t="shared" si="8"/>
        <v>234921.96984221973</v>
      </c>
      <c r="Q58" s="351">
        <f t="shared" si="9"/>
        <v>58730</v>
      </c>
      <c r="R58" s="351">
        <f t="shared" si="10"/>
        <v>396721.96984221973</v>
      </c>
    </row>
    <row r="59" spans="1:18" ht="16.149999999999999" customHeight="1">
      <c r="A59" s="198">
        <v>53</v>
      </c>
      <c r="B59" s="199" t="s">
        <v>124</v>
      </c>
      <c r="C59" s="200">
        <f>+'[16]Table 8 Membership 2.1.14'!X55</f>
        <v>3</v>
      </c>
      <c r="D59" s="201">
        <f>'Table 3 Levels 1&amp;2'!AL56+'Table 3 Levels 1&amp;2'!AT56</f>
        <v>7191.4708194045488</v>
      </c>
      <c r="E59" s="202">
        <f t="shared" si="4"/>
        <v>21574.412458213646</v>
      </c>
      <c r="F59" s="202">
        <f>'Table 3A Level 3'!C58</f>
        <v>689.74</v>
      </c>
      <c r="G59" s="202">
        <f t="shared" si="5"/>
        <v>2069.2200000000003</v>
      </c>
      <c r="H59" s="345">
        <f t="shared" si="6"/>
        <v>23643.632458213648</v>
      </c>
      <c r="I59" s="203">
        <f>'[1]Oct midyear NOCCA'!K56</f>
        <v>7881.2108194045486</v>
      </c>
      <c r="J59" s="203">
        <f>'[1]Feb midyear NOCCA'!K56</f>
        <v>0</v>
      </c>
      <c r="K59" s="204">
        <f t="shared" si="7"/>
        <v>7881.2108194045486</v>
      </c>
      <c r="L59" s="345">
        <f t="shared" si="2"/>
        <v>31524.843277618194</v>
      </c>
      <c r="M59" s="201">
        <v>0</v>
      </c>
      <c r="N59" s="351">
        <f t="shared" si="11"/>
        <v>31524.843277618194</v>
      </c>
      <c r="O59" s="203">
        <f>8*'[2]Table 5A4_NOCCA'!Q59</f>
        <v>15760</v>
      </c>
      <c r="P59" s="203">
        <f t="shared" si="8"/>
        <v>15764.843277618194</v>
      </c>
      <c r="Q59" s="351">
        <f t="shared" si="9"/>
        <v>3941</v>
      </c>
      <c r="R59" s="351">
        <f t="shared" si="10"/>
        <v>31524.843277618194</v>
      </c>
    </row>
    <row r="60" spans="1:18" ht="16.149999999999999" customHeight="1">
      <c r="A60" s="198">
        <v>54</v>
      </c>
      <c r="B60" s="199" t="s">
        <v>125</v>
      </c>
      <c r="C60" s="200">
        <f>+'[16]Table 8 Membership 2.1.14'!X56</f>
        <v>0</v>
      </c>
      <c r="D60" s="201">
        <f>'Table 3 Levels 1&amp;2'!AL57+'Table 3 Levels 1&amp;2'!AT57</f>
        <v>9815.1598370516713</v>
      </c>
      <c r="E60" s="202">
        <f t="shared" si="4"/>
        <v>0</v>
      </c>
      <c r="F60" s="202">
        <f>'Table 3A Level 3'!C59</f>
        <v>951.45</v>
      </c>
      <c r="G60" s="202">
        <f t="shared" si="5"/>
        <v>0</v>
      </c>
      <c r="H60" s="345">
        <f t="shared" si="6"/>
        <v>0</v>
      </c>
      <c r="I60" s="203">
        <f>'[1]Oct midyear NOCCA'!K57</f>
        <v>0</v>
      </c>
      <c r="J60" s="203">
        <f>'[1]Feb midyear NOCCA'!K57</f>
        <v>0</v>
      </c>
      <c r="K60" s="204">
        <f t="shared" si="7"/>
        <v>0</v>
      </c>
      <c r="L60" s="345">
        <f t="shared" si="2"/>
        <v>0</v>
      </c>
      <c r="M60" s="201">
        <v>0</v>
      </c>
      <c r="N60" s="351">
        <f t="shared" si="11"/>
        <v>0</v>
      </c>
      <c r="O60" s="203">
        <f>8*'[2]Table 5A4_NOCCA'!Q60</f>
        <v>0</v>
      </c>
      <c r="P60" s="203">
        <f t="shared" si="8"/>
        <v>0</v>
      </c>
      <c r="Q60" s="351">
        <f t="shared" si="9"/>
        <v>0</v>
      </c>
      <c r="R60" s="351">
        <f t="shared" si="10"/>
        <v>0</v>
      </c>
    </row>
    <row r="61" spans="1:18" ht="16.149999999999999" customHeight="1">
      <c r="A61" s="191">
        <v>55</v>
      </c>
      <c r="B61" s="192" t="s">
        <v>126</v>
      </c>
      <c r="C61" s="193">
        <f>+'[16]Table 8 Membership 2.1.14'!X57</f>
        <v>1</v>
      </c>
      <c r="D61" s="194">
        <f>'Table 3 Levels 1&amp;2'!AL58+'Table 3 Levels 1&amp;2'!AT58</f>
        <v>7649.3925491298487</v>
      </c>
      <c r="E61" s="195">
        <f t="shared" si="4"/>
        <v>7649.3925491298487</v>
      </c>
      <c r="F61" s="195">
        <f>'Table 3A Level 3'!C60</f>
        <v>795.14</v>
      </c>
      <c r="G61" s="195">
        <f t="shared" si="5"/>
        <v>795.14</v>
      </c>
      <c r="H61" s="346">
        <f t="shared" si="6"/>
        <v>8444.5325491298481</v>
      </c>
      <c r="I61" s="196">
        <f>'[1]Oct midyear NOCCA'!K58</f>
        <v>-8444.5325491298481</v>
      </c>
      <c r="J61" s="196">
        <f>'[1]Feb midyear NOCCA'!K58</f>
        <v>0</v>
      </c>
      <c r="K61" s="197">
        <f t="shared" si="7"/>
        <v>-8444.5325491298481</v>
      </c>
      <c r="L61" s="346">
        <f t="shared" si="2"/>
        <v>0</v>
      </c>
      <c r="M61" s="194">
        <v>0</v>
      </c>
      <c r="N61" s="352">
        <f t="shared" si="11"/>
        <v>0</v>
      </c>
      <c r="O61" s="622">
        <f>8*'[2]Table 5A4_NOCCA'!Q61</f>
        <v>5632</v>
      </c>
      <c r="P61" s="196">
        <f t="shared" si="8"/>
        <v>-5632</v>
      </c>
      <c r="Q61" s="356">
        <f t="shared" si="9"/>
        <v>-1408</v>
      </c>
      <c r="R61" s="356">
        <f t="shared" si="10"/>
        <v>0</v>
      </c>
    </row>
    <row r="62" spans="1:18" ht="16.149999999999999" customHeight="1">
      <c r="A62" s="205">
        <v>56</v>
      </c>
      <c r="B62" s="206" t="s">
        <v>127</v>
      </c>
      <c r="C62" s="207">
        <f>+'[16]Table 8 Membership 2.1.14'!X58</f>
        <v>0</v>
      </c>
      <c r="D62" s="208">
        <f>'Table 3 Levels 1&amp;2'!AL59+'Table 3 Levels 1&amp;2'!AT59</f>
        <v>8002.4309408288282</v>
      </c>
      <c r="E62" s="209">
        <f t="shared" si="4"/>
        <v>0</v>
      </c>
      <c r="F62" s="209">
        <f>'Table 3A Level 3'!C61</f>
        <v>614.66000000000008</v>
      </c>
      <c r="G62" s="209">
        <f t="shared" si="5"/>
        <v>0</v>
      </c>
      <c r="H62" s="344">
        <f t="shared" si="6"/>
        <v>0</v>
      </c>
      <c r="I62" s="210">
        <f>'[1]Oct midyear NOCCA'!K59</f>
        <v>0</v>
      </c>
      <c r="J62" s="210">
        <f>'[1]Feb midyear NOCCA'!K59</f>
        <v>0</v>
      </c>
      <c r="K62" s="211">
        <f t="shared" si="7"/>
        <v>0</v>
      </c>
      <c r="L62" s="344">
        <f t="shared" si="2"/>
        <v>0</v>
      </c>
      <c r="M62" s="208">
        <v>0</v>
      </c>
      <c r="N62" s="350">
        <f t="shared" si="11"/>
        <v>0</v>
      </c>
      <c r="O62" s="210">
        <f>8*'[2]Table 5A4_NOCCA'!Q62</f>
        <v>0</v>
      </c>
      <c r="P62" s="210">
        <f t="shared" si="8"/>
        <v>0</v>
      </c>
      <c r="Q62" s="350">
        <f t="shared" si="9"/>
        <v>0</v>
      </c>
      <c r="R62" s="361">
        <f t="shared" si="10"/>
        <v>0</v>
      </c>
    </row>
    <row r="63" spans="1:18" ht="16.149999999999999" customHeight="1">
      <c r="A63" s="198">
        <v>57</v>
      </c>
      <c r="B63" s="199" t="s">
        <v>128</v>
      </c>
      <c r="C63" s="200">
        <f>+'[16]Table 8 Membership 2.1.14'!X59</f>
        <v>0</v>
      </c>
      <c r="D63" s="201">
        <f>'Table 3 Levels 1&amp;2'!AL60+'Table 3 Levels 1&amp;2'!AT60</f>
        <v>7676.0622979230684</v>
      </c>
      <c r="E63" s="202">
        <f t="shared" si="4"/>
        <v>0</v>
      </c>
      <c r="F63" s="202">
        <f>'Table 3A Level 3'!C62</f>
        <v>764.51</v>
      </c>
      <c r="G63" s="202">
        <f t="shared" si="5"/>
        <v>0</v>
      </c>
      <c r="H63" s="345">
        <f t="shared" si="6"/>
        <v>0</v>
      </c>
      <c r="I63" s="203">
        <f>'[1]Oct midyear NOCCA'!K60</f>
        <v>0</v>
      </c>
      <c r="J63" s="203">
        <f>'[1]Feb midyear NOCCA'!K60</f>
        <v>0</v>
      </c>
      <c r="K63" s="204">
        <f t="shared" si="7"/>
        <v>0</v>
      </c>
      <c r="L63" s="345">
        <f t="shared" si="2"/>
        <v>0</v>
      </c>
      <c r="M63" s="201">
        <v>0</v>
      </c>
      <c r="N63" s="351">
        <f t="shared" si="11"/>
        <v>0</v>
      </c>
      <c r="O63" s="203">
        <f>8*'[2]Table 5A4_NOCCA'!Q63</f>
        <v>0</v>
      </c>
      <c r="P63" s="203">
        <f t="shared" si="8"/>
        <v>0</v>
      </c>
      <c r="Q63" s="351">
        <f t="shared" si="9"/>
        <v>0</v>
      </c>
      <c r="R63" s="351">
        <f t="shared" si="10"/>
        <v>0</v>
      </c>
    </row>
    <row r="64" spans="1:18" ht="16.149999999999999" customHeight="1">
      <c r="A64" s="198">
        <v>58</v>
      </c>
      <c r="B64" s="199" t="s">
        <v>129</v>
      </c>
      <c r="C64" s="200">
        <f>+'[16]Table 8 Membership 2.1.14'!X60</f>
        <v>0</v>
      </c>
      <c r="D64" s="201">
        <f>'Table 3 Levels 1&amp;2'!AL61+'Table 3 Levels 1&amp;2'!AT61</f>
        <v>7917.3129637882121</v>
      </c>
      <c r="E64" s="202">
        <f t="shared" si="4"/>
        <v>0</v>
      </c>
      <c r="F64" s="202">
        <f>'Table 3A Level 3'!C63</f>
        <v>697.04</v>
      </c>
      <c r="G64" s="202">
        <f t="shared" si="5"/>
        <v>0</v>
      </c>
      <c r="H64" s="345">
        <f t="shared" si="6"/>
        <v>0</v>
      </c>
      <c r="I64" s="203">
        <f>'[1]Oct midyear NOCCA'!K61</f>
        <v>0</v>
      </c>
      <c r="J64" s="203">
        <f>'[1]Feb midyear NOCCA'!K61</f>
        <v>0</v>
      </c>
      <c r="K64" s="204">
        <f t="shared" si="7"/>
        <v>0</v>
      </c>
      <c r="L64" s="345">
        <f t="shared" si="2"/>
        <v>0</v>
      </c>
      <c r="M64" s="201">
        <v>0</v>
      </c>
      <c r="N64" s="351">
        <f t="shared" si="11"/>
        <v>0</v>
      </c>
      <c r="O64" s="203">
        <f>8*'[2]Table 5A4_NOCCA'!Q64</f>
        <v>0</v>
      </c>
      <c r="P64" s="203">
        <f t="shared" si="8"/>
        <v>0</v>
      </c>
      <c r="Q64" s="351">
        <f t="shared" si="9"/>
        <v>0</v>
      </c>
      <c r="R64" s="351">
        <f t="shared" si="10"/>
        <v>0</v>
      </c>
    </row>
    <row r="65" spans="1:18" ht="16.149999999999999" customHeight="1">
      <c r="A65" s="198">
        <v>59</v>
      </c>
      <c r="B65" s="199" t="s">
        <v>130</v>
      </c>
      <c r="C65" s="200">
        <f>+'[16]Table 8 Membership 2.1.14'!X61</f>
        <v>0</v>
      </c>
      <c r="D65" s="201">
        <f>'Table 3 Levels 1&amp;2'!AL62+'Table 3 Levels 1&amp;2'!AT62</f>
        <v>8409.2162935218475</v>
      </c>
      <c r="E65" s="202">
        <f t="shared" si="4"/>
        <v>0</v>
      </c>
      <c r="F65" s="202">
        <f>'Table 3A Level 3'!C64</f>
        <v>689.52</v>
      </c>
      <c r="G65" s="202">
        <f t="shared" si="5"/>
        <v>0</v>
      </c>
      <c r="H65" s="345">
        <f t="shared" si="6"/>
        <v>0</v>
      </c>
      <c r="I65" s="203">
        <f>'[1]Oct midyear NOCCA'!K62</f>
        <v>0</v>
      </c>
      <c r="J65" s="203">
        <f>'[1]Feb midyear NOCCA'!K62</f>
        <v>0</v>
      </c>
      <c r="K65" s="204">
        <f t="shared" si="7"/>
        <v>0</v>
      </c>
      <c r="L65" s="345">
        <f t="shared" si="2"/>
        <v>0</v>
      </c>
      <c r="M65" s="201">
        <v>0</v>
      </c>
      <c r="N65" s="351">
        <f t="shared" si="11"/>
        <v>0</v>
      </c>
      <c r="O65" s="203">
        <f>8*'[2]Table 5A4_NOCCA'!Q65</f>
        <v>0</v>
      </c>
      <c r="P65" s="203">
        <f t="shared" si="8"/>
        <v>0</v>
      </c>
      <c r="Q65" s="351">
        <f t="shared" si="9"/>
        <v>0</v>
      </c>
      <c r="R65" s="351">
        <f t="shared" si="10"/>
        <v>0</v>
      </c>
    </row>
    <row r="66" spans="1:18" ht="16.149999999999999" customHeight="1">
      <c r="A66" s="191">
        <v>60</v>
      </c>
      <c r="B66" s="192" t="s">
        <v>131</v>
      </c>
      <c r="C66" s="193">
        <f>+'[16]Table 8 Membership 2.1.14'!X62</f>
        <v>0</v>
      </c>
      <c r="D66" s="194">
        <f>'Table 3 Levels 1&amp;2'!AL63+'Table 3 Levels 1&amp;2'!AT63</f>
        <v>8655.3940900638281</v>
      </c>
      <c r="E66" s="195">
        <f t="shared" si="4"/>
        <v>0</v>
      </c>
      <c r="F66" s="195">
        <f>'Table 3A Level 3'!C65</f>
        <v>594.04</v>
      </c>
      <c r="G66" s="195">
        <f t="shared" si="5"/>
        <v>0</v>
      </c>
      <c r="H66" s="346">
        <f t="shared" si="6"/>
        <v>0</v>
      </c>
      <c r="I66" s="196">
        <f>'[1]Oct midyear NOCCA'!K63</f>
        <v>0</v>
      </c>
      <c r="J66" s="196">
        <f>'[1]Feb midyear NOCCA'!K63</f>
        <v>0</v>
      </c>
      <c r="K66" s="197">
        <f t="shared" si="7"/>
        <v>0</v>
      </c>
      <c r="L66" s="346">
        <f t="shared" si="2"/>
        <v>0</v>
      </c>
      <c r="M66" s="194">
        <v>0</v>
      </c>
      <c r="N66" s="352">
        <f t="shared" si="11"/>
        <v>0</v>
      </c>
      <c r="O66" s="622">
        <f>8*'[2]Table 5A4_NOCCA'!Q66</f>
        <v>0</v>
      </c>
      <c r="P66" s="196">
        <f t="shared" si="8"/>
        <v>0</v>
      </c>
      <c r="Q66" s="356">
        <f t="shared" si="9"/>
        <v>0</v>
      </c>
      <c r="R66" s="356">
        <f t="shared" si="10"/>
        <v>0</v>
      </c>
    </row>
    <row r="67" spans="1:18" ht="16.149999999999999" customHeight="1">
      <c r="A67" s="205">
        <v>61</v>
      </c>
      <c r="B67" s="206" t="s">
        <v>132</v>
      </c>
      <c r="C67" s="207">
        <f>+'[16]Table 8 Membership 2.1.14'!X63</f>
        <v>0</v>
      </c>
      <c r="D67" s="208">
        <f>'Table 3 Levels 1&amp;2'!AL64+'Table 3 Levels 1&amp;2'!AT64</f>
        <v>7976.7075356369187</v>
      </c>
      <c r="E67" s="209">
        <f t="shared" si="4"/>
        <v>0</v>
      </c>
      <c r="F67" s="209">
        <f>'Table 3A Level 3'!C66</f>
        <v>833.70999999999992</v>
      </c>
      <c r="G67" s="209">
        <f t="shared" si="5"/>
        <v>0</v>
      </c>
      <c r="H67" s="344">
        <f t="shared" si="6"/>
        <v>0</v>
      </c>
      <c r="I67" s="210">
        <f>'[1]Oct midyear NOCCA'!K64</f>
        <v>0</v>
      </c>
      <c r="J67" s="210">
        <f>'[1]Feb midyear NOCCA'!K64</f>
        <v>0</v>
      </c>
      <c r="K67" s="211">
        <f t="shared" si="7"/>
        <v>0</v>
      </c>
      <c r="L67" s="344">
        <f t="shared" si="2"/>
        <v>0</v>
      </c>
      <c r="M67" s="208">
        <v>0</v>
      </c>
      <c r="N67" s="350">
        <f t="shared" si="11"/>
        <v>0</v>
      </c>
      <c r="O67" s="210">
        <f>8*'[2]Table 5A4_NOCCA'!Q67</f>
        <v>0</v>
      </c>
      <c r="P67" s="210">
        <f t="shared" si="8"/>
        <v>0</v>
      </c>
      <c r="Q67" s="350">
        <f t="shared" si="9"/>
        <v>0</v>
      </c>
      <c r="R67" s="361">
        <f t="shared" si="10"/>
        <v>0</v>
      </c>
    </row>
    <row r="68" spans="1:18" ht="16.149999999999999" customHeight="1">
      <c r="A68" s="198">
        <v>62</v>
      </c>
      <c r="B68" s="199" t="s">
        <v>133</v>
      </c>
      <c r="C68" s="200">
        <f>+'[16]Table 8 Membership 2.1.14'!X64</f>
        <v>0</v>
      </c>
      <c r="D68" s="201">
        <f>'Table 3 Levels 1&amp;2'!AL65+'Table 3 Levels 1&amp;2'!AT65</f>
        <v>7937.3045385160076</v>
      </c>
      <c r="E68" s="202">
        <f t="shared" si="4"/>
        <v>0</v>
      </c>
      <c r="F68" s="202">
        <f>'Table 3A Level 3'!C67</f>
        <v>516.08000000000004</v>
      </c>
      <c r="G68" s="202">
        <f t="shared" si="5"/>
        <v>0</v>
      </c>
      <c r="H68" s="345">
        <f t="shared" si="6"/>
        <v>0</v>
      </c>
      <c r="I68" s="203">
        <f>'[1]Oct midyear NOCCA'!K65</f>
        <v>0</v>
      </c>
      <c r="J68" s="203">
        <f>'[1]Feb midyear NOCCA'!K65</f>
        <v>0</v>
      </c>
      <c r="K68" s="204">
        <f t="shared" si="7"/>
        <v>0</v>
      </c>
      <c r="L68" s="345">
        <f t="shared" si="2"/>
        <v>0</v>
      </c>
      <c r="M68" s="201">
        <v>0</v>
      </c>
      <c r="N68" s="351">
        <f t="shared" si="11"/>
        <v>0</v>
      </c>
      <c r="O68" s="203">
        <f>8*'[2]Table 5A4_NOCCA'!Q68</f>
        <v>0</v>
      </c>
      <c r="P68" s="203">
        <f t="shared" si="8"/>
        <v>0</v>
      </c>
      <c r="Q68" s="351">
        <f t="shared" si="9"/>
        <v>0</v>
      </c>
      <c r="R68" s="351">
        <f t="shared" si="10"/>
        <v>0</v>
      </c>
    </row>
    <row r="69" spans="1:18" ht="16.149999999999999" customHeight="1">
      <c r="A69" s="198">
        <v>63</v>
      </c>
      <c r="B69" s="199" t="s">
        <v>134</v>
      </c>
      <c r="C69" s="200">
        <f>+'[16]Table 8 Membership 2.1.14'!X65</f>
        <v>0</v>
      </c>
      <c r="D69" s="201">
        <f>'Table 3 Levels 1&amp;2'!AL66+'Table 3 Levels 1&amp;2'!AT66</f>
        <v>9211.4813481848105</v>
      </c>
      <c r="E69" s="202">
        <f t="shared" si="4"/>
        <v>0</v>
      </c>
      <c r="F69" s="202">
        <f>'Table 3A Level 3'!C68</f>
        <v>756.79</v>
      </c>
      <c r="G69" s="202">
        <f t="shared" si="5"/>
        <v>0</v>
      </c>
      <c r="H69" s="345">
        <f t="shared" si="6"/>
        <v>0</v>
      </c>
      <c r="I69" s="203">
        <f>'[1]Oct midyear NOCCA'!K66</f>
        <v>0</v>
      </c>
      <c r="J69" s="203">
        <f>'[1]Feb midyear NOCCA'!K66</f>
        <v>0</v>
      </c>
      <c r="K69" s="204">
        <f t="shared" si="7"/>
        <v>0</v>
      </c>
      <c r="L69" s="345">
        <f t="shared" si="2"/>
        <v>0</v>
      </c>
      <c r="M69" s="201">
        <v>0</v>
      </c>
      <c r="N69" s="351">
        <f t="shared" si="11"/>
        <v>0</v>
      </c>
      <c r="O69" s="203">
        <f>8*'[2]Table 5A4_NOCCA'!Q69</f>
        <v>0</v>
      </c>
      <c r="P69" s="203">
        <f t="shared" si="8"/>
        <v>0</v>
      </c>
      <c r="Q69" s="351">
        <f t="shared" si="9"/>
        <v>0</v>
      </c>
      <c r="R69" s="351">
        <f t="shared" si="10"/>
        <v>0</v>
      </c>
    </row>
    <row r="70" spans="1:18" ht="16.149999999999999" customHeight="1">
      <c r="A70" s="198">
        <v>64</v>
      </c>
      <c r="B70" s="199" t="s">
        <v>135</v>
      </c>
      <c r="C70" s="200">
        <f>+'[16]Table 8 Membership 2.1.14'!X66</f>
        <v>0</v>
      </c>
      <c r="D70" s="201">
        <f>'Table 3 Levels 1&amp;2'!AL67+'Table 3 Levels 1&amp;2'!AT67</f>
        <v>9420.8507532778258</v>
      </c>
      <c r="E70" s="202">
        <f t="shared" si="4"/>
        <v>0</v>
      </c>
      <c r="F70" s="202">
        <f>'Table 3A Level 3'!C69</f>
        <v>592.66</v>
      </c>
      <c r="G70" s="202">
        <f t="shared" si="5"/>
        <v>0</v>
      </c>
      <c r="H70" s="345">
        <f t="shared" si="6"/>
        <v>0</v>
      </c>
      <c r="I70" s="203">
        <f>'[1]Oct midyear NOCCA'!K67</f>
        <v>0</v>
      </c>
      <c r="J70" s="203">
        <f>'[1]Feb midyear NOCCA'!K67</f>
        <v>0</v>
      </c>
      <c r="K70" s="204">
        <f t="shared" si="7"/>
        <v>0</v>
      </c>
      <c r="L70" s="345">
        <f t="shared" si="2"/>
        <v>0</v>
      </c>
      <c r="M70" s="201">
        <v>0</v>
      </c>
      <c r="N70" s="351">
        <f t="shared" si="11"/>
        <v>0</v>
      </c>
      <c r="O70" s="203">
        <f>8*'[2]Table 5A4_NOCCA'!Q70</f>
        <v>0</v>
      </c>
      <c r="P70" s="203">
        <f t="shared" si="8"/>
        <v>0</v>
      </c>
      <c r="Q70" s="351">
        <f t="shared" si="9"/>
        <v>0</v>
      </c>
      <c r="R70" s="351">
        <f t="shared" si="10"/>
        <v>0</v>
      </c>
    </row>
    <row r="71" spans="1:18" ht="16.149999999999999" customHeight="1">
      <c r="A71" s="191">
        <v>65</v>
      </c>
      <c r="B71" s="192" t="s">
        <v>136</v>
      </c>
      <c r="C71" s="193">
        <f>+'[16]Table 8 Membership 2.1.14'!X67</f>
        <v>0</v>
      </c>
      <c r="D71" s="194">
        <f>'Table 3 Levels 1&amp;2'!AL68+'Table 3 Levels 1&amp;2'!AT68</f>
        <v>8794.3905543943638</v>
      </c>
      <c r="E71" s="195">
        <f t="shared" si="4"/>
        <v>0</v>
      </c>
      <c r="F71" s="195">
        <f>'Table 3A Level 3'!C70</f>
        <v>829.12</v>
      </c>
      <c r="G71" s="195">
        <f t="shared" si="5"/>
        <v>0</v>
      </c>
      <c r="H71" s="346">
        <f t="shared" si="6"/>
        <v>0</v>
      </c>
      <c r="I71" s="196">
        <f>'[1]Oct midyear NOCCA'!K68</f>
        <v>0</v>
      </c>
      <c r="J71" s="196">
        <f>'[1]Feb midyear NOCCA'!K68</f>
        <v>0</v>
      </c>
      <c r="K71" s="197">
        <f t="shared" si="7"/>
        <v>0</v>
      </c>
      <c r="L71" s="346">
        <f t="shared" ref="L71:L75" si="12">K71+H71</f>
        <v>0</v>
      </c>
      <c r="M71" s="194">
        <v>0</v>
      </c>
      <c r="N71" s="352">
        <f t="shared" ref="N71:N75" si="13">SUM(L71:M71)</f>
        <v>0</v>
      </c>
      <c r="O71" s="622">
        <f>8*'[2]Table 5A4_NOCCA'!Q71</f>
        <v>0</v>
      </c>
      <c r="P71" s="196">
        <f t="shared" si="8"/>
        <v>0</v>
      </c>
      <c r="Q71" s="356">
        <f t="shared" si="9"/>
        <v>0</v>
      </c>
      <c r="R71" s="356">
        <f t="shared" si="10"/>
        <v>0</v>
      </c>
    </row>
    <row r="72" spans="1:18" ht="16.149999999999999" customHeight="1">
      <c r="A72" s="198">
        <v>66</v>
      </c>
      <c r="B72" s="199" t="s">
        <v>137</v>
      </c>
      <c r="C72" s="219">
        <f>+'[16]Table 8 Membership 2.1.14'!X68</f>
        <v>0</v>
      </c>
      <c r="D72" s="220">
        <f>'Table 3 Levels 1&amp;2'!AL69+'Table 3 Levels 1&amp;2'!AT69</f>
        <v>10218.278543391003</v>
      </c>
      <c r="E72" s="221">
        <f t="shared" ref="E72:E75" si="14">C72*D72</f>
        <v>0</v>
      </c>
      <c r="F72" s="221">
        <f>'Table 3A Level 3'!C71</f>
        <v>730.06</v>
      </c>
      <c r="G72" s="221">
        <f t="shared" ref="G72:G75" si="15">C72*F72</f>
        <v>0</v>
      </c>
      <c r="H72" s="299">
        <f t="shared" ref="H72:H75" si="16">E72+G72</f>
        <v>0</v>
      </c>
      <c r="I72" s="222">
        <f>'[1]Oct midyear NOCCA'!K69</f>
        <v>0</v>
      </c>
      <c r="J72" s="222">
        <f>'[1]Feb midyear NOCCA'!K69</f>
        <v>0</v>
      </c>
      <c r="K72" s="223">
        <f t="shared" ref="K72:K75" si="17">+I72+J72</f>
        <v>0</v>
      </c>
      <c r="L72" s="299">
        <f t="shared" si="12"/>
        <v>0</v>
      </c>
      <c r="M72" s="220">
        <v>0</v>
      </c>
      <c r="N72" s="295">
        <f t="shared" si="13"/>
        <v>0</v>
      </c>
      <c r="O72" s="203">
        <f>8*'[2]Table 5A4_NOCCA'!Q72</f>
        <v>0</v>
      </c>
      <c r="P72" s="222">
        <f t="shared" ref="P72:P75" si="18">N72-O72</f>
        <v>0</v>
      </c>
      <c r="Q72" s="351">
        <f t="shared" ref="Q72:Q75" si="19">ROUND(P72/$Q$84,0)</f>
        <v>0</v>
      </c>
      <c r="R72" s="351">
        <f t="shared" ref="R72:R75" si="20">+N72</f>
        <v>0</v>
      </c>
    </row>
    <row r="73" spans="1:18" ht="16.149999999999999" customHeight="1">
      <c r="A73" s="198">
        <v>67</v>
      </c>
      <c r="B73" s="199" t="s">
        <v>28</v>
      </c>
      <c r="C73" s="219">
        <f>+'[16]Table 8 Membership 2.1.14'!X69</f>
        <v>0</v>
      </c>
      <c r="D73" s="220">
        <f>'Table 3 Levels 1&amp;2'!AL70+'Table 3 Levels 1&amp;2'!AT70</f>
        <v>8312.8467736134116</v>
      </c>
      <c r="E73" s="221">
        <f t="shared" si="14"/>
        <v>0</v>
      </c>
      <c r="F73" s="221">
        <f>'Table 3A Level 3'!C72</f>
        <v>715.61</v>
      </c>
      <c r="G73" s="221">
        <f t="shared" si="15"/>
        <v>0</v>
      </c>
      <c r="H73" s="299">
        <f t="shared" si="16"/>
        <v>0</v>
      </c>
      <c r="I73" s="222">
        <f>'[1]Oct midyear NOCCA'!K70</f>
        <v>0</v>
      </c>
      <c r="J73" s="222">
        <f>'[1]Feb midyear NOCCA'!K70</f>
        <v>0</v>
      </c>
      <c r="K73" s="223">
        <f t="shared" si="17"/>
        <v>0</v>
      </c>
      <c r="L73" s="299">
        <f t="shared" si="12"/>
        <v>0</v>
      </c>
      <c r="M73" s="220">
        <v>0</v>
      </c>
      <c r="N73" s="295">
        <f t="shared" si="13"/>
        <v>0</v>
      </c>
      <c r="O73" s="203">
        <f>8*'[2]Table 5A4_NOCCA'!Q73</f>
        <v>0</v>
      </c>
      <c r="P73" s="222">
        <f t="shared" si="18"/>
        <v>0</v>
      </c>
      <c r="Q73" s="351">
        <f t="shared" si="19"/>
        <v>0</v>
      </c>
      <c r="R73" s="351">
        <f t="shared" si="20"/>
        <v>0</v>
      </c>
    </row>
    <row r="74" spans="1:18" ht="16.149999999999999" customHeight="1">
      <c r="A74" s="198">
        <v>68</v>
      </c>
      <c r="B74" s="199" t="s">
        <v>27</v>
      </c>
      <c r="C74" s="219">
        <f>+'[16]Table 8 Membership 2.1.14'!X70</f>
        <v>0</v>
      </c>
      <c r="D74" s="220">
        <f>'Table 3 Levels 1&amp;2'!AL71+'Table 3 Levels 1&amp;2'!AT71</f>
        <v>9395.5244202560607</v>
      </c>
      <c r="E74" s="221">
        <f t="shared" si="14"/>
        <v>0</v>
      </c>
      <c r="F74" s="221">
        <f>'Table 3A Level 3'!C73</f>
        <v>798.7</v>
      </c>
      <c r="G74" s="221">
        <f t="shared" si="15"/>
        <v>0</v>
      </c>
      <c r="H74" s="299">
        <f t="shared" si="16"/>
        <v>0</v>
      </c>
      <c r="I74" s="222">
        <f>'[1]Oct midyear NOCCA'!K71</f>
        <v>0</v>
      </c>
      <c r="J74" s="222">
        <f>'[1]Feb midyear NOCCA'!K71</f>
        <v>0</v>
      </c>
      <c r="K74" s="223">
        <f t="shared" si="17"/>
        <v>0</v>
      </c>
      <c r="L74" s="299">
        <f t="shared" si="12"/>
        <v>0</v>
      </c>
      <c r="M74" s="220">
        <v>0</v>
      </c>
      <c r="N74" s="295">
        <f t="shared" si="13"/>
        <v>0</v>
      </c>
      <c r="O74" s="203">
        <f>8*'[2]Table 5A4_NOCCA'!Q74</f>
        <v>0</v>
      </c>
      <c r="P74" s="222">
        <f t="shared" si="18"/>
        <v>0</v>
      </c>
      <c r="Q74" s="351">
        <f t="shared" si="19"/>
        <v>0</v>
      </c>
      <c r="R74" s="351">
        <f t="shared" si="20"/>
        <v>0</v>
      </c>
    </row>
    <row r="75" spans="1:18" ht="16.149999999999999" customHeight="1">
      <c r="A75" s="212">
        <v>69</v>
      </c>
      <c r="B75" s="213" t="s">
        <v>147</v>
      </c>
      <c r="C75" s="214">
        <f>+'[16]Table 8 Membership 2.1.14'!X71</f>
        <v>0</v>
      </c>
      <c r="D75" s="215">
        <f>'Table 3 Levels 1&amp;2'!AL72+'Table 3 Levels 1&amp;2'!AT72</f>
        <v>8597.8147921281343</v>
      </c>
      <c r="E75" s="216">
        <f t="shared" si="14"/>
        <v>0</v>
      </c>
      <c r="F75" s="216">
        <f>'Table 3A Level 3'!C74</f>
        <v>705.67</v>
      </c>
      <c r="G75" s="216">
        <f t="shared" si="15"/>
        <v>0</v>
      </c>
      <c r="H75" s="347">
        <f t="shared" si="16"/>
        <v>0</v>
      </c>
      <c r="I75" s="217">
        <f>'[1]Oct midyear NOCCA'!K72</f>
        <v>0</v>
      </c>
      <c r="J75" s="217">
        <f>'[1]Feb midyear NOCCA'!K72</f>
        <v>0</v>
      </c>
      <c r="K75" s="218">
        <f t="shared" si="17"/>
        <v>0</v>
      </c>
      <c r="L75" s="347">
        <f t="shared" si="12"/>
        <v>0</v>
      </c>
      <c r="M75" s="215">
        <v>0</v>
      </c>
      <c r="N75" s="353">
        <f t="shared" si="13"/>
        <v>0</v>
      </c>
      <c r="O75" s="64">
        <f>8*'[2]Table 5A4_NOCCA'!Q75</f>
        <v>0</v>
      </c>
      <c r="P75" s="217">
        <f t="shared" si="18"/>
        <v>0</v>
      </c>
      <c r="Q75" s="357">
        <f t="shared" si="19"/>
        <v>0</v>
      </c>
      <c r="R75" s="357">
        <f t="shared" si="20"/>
        <v>0</v>
      </c>
    </row>
    <row r="76" spans="1:18" ht="16.149999999999999" customHeight="1" thickBot="1">
      <c r="A76" s="1442" t="s">
        <v>711</v>
      </c>
      <c r="B76" s="1415"/>
      <c r="C76" s="27">
        <f>SUM(C7:C75)</f>
        <v>175</v>
      </c>
      <c r="D76" s="28"/>
      <c r="E76" s="35">
        <f>SUM(E7:E75)</f>
        <v>1433537.3594855648</v>
      </c>
      <c r="F76" s="35">
        <f>'Table 3A Level 3'!C75</f>
        <v>704.64781030742063</v>
      </c>
      <c r="G76" s="35">
        <f t="shared" ref="G76:O76" si="21">SUM(G7:G75)</f>
        <v>132055.44068493153</v>
      </c>
      <c r="H76" s="348">
        <f t="shared" si="21"/>
        <v>1565592.8001704959</v>
      </c>
      <c r="I76" s="69">
        <f t="shared" si="21"/>
        <v>604748.13125253492</v>
      </c>
      <c r="J76" s="69">
        <f t="shared" si="21"/>
        <v>-13725.570449445564</v>
      </c>
      <c r="K76" s="62">
        <f t="shared" si="21"/>
        <v>591022.56080308929</v>
      </c>
      <c r="L76" s="368">
        <f>SUM(L7:L75)</f>
        <v>2156615.3609735854</v>
      </c>
      <c r="M76" s="36">
        <f t="shared" si="21"/>
        <v>0</v>
      </c>
      <c r="N76" s="348">
        <f t="shared" si="21"/>
        <v>2156615.3609735854</v>
      </c>
      <c r="O76" s="36">
        <f t="shared" si="21"/>
        <v>1043728</v>
      </c>
      <c r="P76" s="36">
        <f>SUM(P7:P75)</f>
        <v>1112887.3609735854</v>
      </c>
      <c r="Q76" s="354">
        <f>SUM(Q7:Q75)</f>
        <v>278222</v>
      </c>
      <c r="R76" s="354">
        <f>SUM(R7:R75)</f>
        <v>2156615.3609735854</v>
      </c>
    </row>
    <row r="77" spans="1:18" ht="16.149999999999999" customHeight="1" thickTop="1">
      <c r="A77" s="1443" t="s">
        <v>705</v>
      </c>
      <c r="B77" s="1444"/>
      <c r="C77" s="40"/>
      <c r="D77" s="26"/>
      <c r="E77" s="34"/>
      <c r="F77" s="34"/>
      <c r="G77" s="34"/>
      <c r="H77" s="34"/>
      <c r="I77" s="65"/>
      <c r="J77" s="65"/>
      <c r="K77" s="65"/>
      <c r="L77" s="65"/>
      <c r="M77" s="65"/>
      <c r="N77" s="357">
        <f>+'Table 4 Level 4'!$E$81</f>
        <v>0</v>
      </c>
      <c r="O77" s="65">
        <f>8*'[2]Table 5A4_NOCCA'!Q77</f>
        <v>0</v>
      </c>
      <c r="P77" s="65">
        <f t="shared" ref="P77:P81" si="22">N77-O77</f>
        <v>0</v>
      </c>
      <c r="Q77" s="357">
        <f t="shared" ref="Q77:Q81" si="23">ROUND(P77/$Q$84,0)</f>
        <v>0</v>
      </c>
      <c r="R77" s="357">
        <f>'Table 4 Level 4'!$E81</f>
        <v>0</v>
      </c>
    </row>
    <row r="78" spans="1:18" ht="16.149999999999999" customHeight="1">
      <c r="A78" s="1420" t="s">
        <v>706</v>
      </c>
      <c r="B78" s="1437"/>
      <c r="C78" s="38"/>
      <c r="D78" s="24"/>
      <c r="E78" s="32"/>
      <c r="F78" s="32"/>
      <c r="G78" s="32"/>
      <c r="H78" s="32"/>
      <c r="I78" s="67"/>
      <c r="J78" s="67"/>
      <c r="K78" s="67"/>
      <c r="L78" s="67"/>
      <c r="M78" s="67"/>
      <c r="N78" s="64"/>
      <c r="O78" s="67"/>
      <c r="P78" s="67"/>
      <c r="Q78" s="64">
        <f t="shared" si="23"/>
        <v>0</v>
      </c>
      <c r="R78" s="357">
        <f>'Table 4 Level 4'!$J81</f>
        <v>0</v>
      </c>
    </row>
    <row r="79" spans="1:18" ht="16.149999999999999" customHeight="1">
      <c r="A79" s="1420" t="s">
        <v>707</v>
      </c>
      <c r="B79" s="1437"/>
      <c r="C79" s="38"/>
      <c r="D79" s="24"/>
      <c r="E79" s="32"/>
      <c r="F79" s="32"/>
      <c r="G79" s="32"/>
      <c r="H79" s="32"/>
      <c r="I79" s="67"/>
      <c r="J79" s="67"/>
      <c r="K79" s="67"/>
      <c r="L79" s="67"/>
      <c r="M79" s="67"/>
      <c r="N79" s="64"/>
      <c r="O79" s="67"/>
      <c r="P79" s="67"/>
      <c r="Q79" s="64">
        <f t="shared" si="23"/>
        <v>0</v>
      </c>
      <c r="R79" s="357">
        <f>'Table 4 Level 4'!$L81</f>
        <v>10000</v>
      </c>
    </row>
    <row r="80" spans="1:18" ht="16.149999999999999" customHeight="1">
      <c r="A80" s="1420" t="s">
        <v>708</v>
      </c>
      <c r="B80" s="1437"/>
      <c r="C80" s="38"/>
      <c r="D80" s="24"/>
      <c r="E80" s="32"/>
      <c r="F80" s="32"/>
      <c r="G80" s="32"/>
      <c r="H80" s="32"/>
      <c r="I80" s="67"/>
      <c r="J80" s="67"/>
      <c r="K80" s="67"/>
      <c r="L80" s="67"/>
      <c r="M80" s="67"/>
      <c r="N80" s="64"/>
      <c r="O80" s="67"/>
      <c r="P80" s="67"/>
      <c r="Q80" s="64">
        <f t="shared" si="23"/>
        <v>0</v>
      </c>
      <c r="R80" s="357">
        <f>'Table 4 Level 4'!$M81</f>
        <v>0</v>
      </c>
    </row>
    <row r="81" spans="1:18" ht="16.149999999999999" customHeight="1">
      <c r="A81" s="1438" t="s">
        <v>709</v>
      </c>
      <c r="B81" s="1439"/>
      <c r="C81" s="39"/>
      <c r="D81" s="25"/>
      <c r="E81" s="33"/>
      <c r="F81" s="33"/>
      <c r="G81" s="33"/>
      <c r="H81" s="33"/>
      <c r="I81" s="68"/>
      <c r="J81" s="68"/>
      <c r="K81" s="68"/>
      <c r="L81" s="68"/>
      <c r="M81" s="68"/>
      <c r="N81" s="400">
        <f>+'Table 4 Level 4'!$O$81</f>
        <v>4550</v>
      </c>
      <c r="O81" s="68">
        <f>8*'[2]Table 5A4_NOCCA'!Q81</f>
        <v>3032</v>
      </c>
      <c r="P81" s="68">
        <f t="shared" si="22"/>
        <v>1518</v>
      </c>
      <c r="Q81" s="400">
        <f t="shared" si="23"/>
        <v>380</v>
      </c>
      <c r="R81" s="400">
        <f>'Table 4 Level 4'!O81</f>
        <v>4550</v>
      </c>
    </row>
    <row r="82" spans="1:18" ht="16.149999999999999" customHeight="1" thickBot="1">
      <c r="A82" s="1442" t="s">
        <v>710</v>
      </c>
      <c r="B82" s="1415"/>
      <c r="C82" s="27">
        <f>SUM(C76)</f>
        <v>175</v>
      </c>
      <c r="D82" s="28"/>
      <c r="E82" s="35">
        <f>SUM(E76:E81)</f>
        <v>1433537.3594855648</v>
      </c>
      <c r="F82" s="35">
        <f t="shared" ref="F82:R82" si="24">SUM(F76:F81)</f>
        <v>704.64781030742063</v>
      </c>
      <c r="G82" s="35">
        <f t="shared" si="24"/>
        <v>132055.44068493153</v>
      </c>
      <c r="H82" s="28">
        <f t="shared" si="24"/>
        <v>1565592.8001704959</v>
      </c>
      <c r="I82" s="69">
        <f t="shared" si="24"/>
        <v>604748.13125253492</v>
      </c>
      <c r="J82" s="69">
        <f t="shared" si="24"/>
        <v>-13725.570449445564</v>
      </c>
      <c r="K82" s="69">
        <f t="shared" si="24"/>
        <v>591022.56080308929</v>
      </c>
      <c r="L82" s="116">
        <f t="shared" si="24"/>
        <v>2156615.3609735854</v>
      </c>
      <c r="M82" s="66">
        <f t="shared" si="24"/>
        <v>0</v>
      </c>
      <c r="N82" s="354">
        <f t="shared" si="24"/>
        <v>2161165.3609735854</v>
      </c>
      <c r="O82" s="36">
        <f t="shared" si="24"/>
        <v>1046760</v>
      </c>
      <c r="P82" s="36">
        <f t="shared" si="24"/>
        <v>1114405.3609735854</v>
      </c>
      <c r="Q82" s="354">
        <f t="shared" si="24"/>
        <v>278602</v>
      </c>
      <c r="R82" s="354">
        <f t="shared" si="24"/>
        <v>2171165.3609735854</v>
      </c>
    </row>
    <row r="83" spans="1:18" ht="13.5" thickTop="1"/>
    <row r="84" spans="1:18" hidden="1">
      <c r="P84" s="427" t="str">
        <f>'Table 2_State Distrib and Adjs'!$AK$77</f>
        <v>Monthly Pmts Remaining</v>
      </c>
      <c r="Q84" s="427">
        <f>'Table 2_State Distrib and Adjs'!$AL$77</f>
        <v>4</v>
      </c>
    </row>
  </sheetData>
  <mergeCells count="27">
    <mergeCell ref="A82:B82"/>
    <mergeCell ref="R3:R4"/>
    <mergeCell ref="L3:L4"/>
    <mergeCell ref="M3:M4"/>
    <mergeCell ref="A76:B76"/>
    <mergeCell ref="A77:B77"/>
    <mergeCell ref="A78:B78"/>
    <mergeCell ref="N3:N4"/>
    <mergeCell ref="Q3:Q4"/>
    <mergeCell ref="O3:O4"/>
    <mergeCell ref="P3:P4"/>
    <mergeCell ref="A1:B4"/>
    <mergeCell ref="I2:K2"/>
    <mergeCell ref="C3:C4"/>
    <mergeCell ref="D3:D4"/>
    <mergeCell ref="E3:E4"/>
    <mergeCell ref="C1:K1"/>
    <mergeCell ref="L1:R1"/>
    <mergeCell ref="A79:B79"/>
    <mergeCell ref="A80:B80"/>
    <mergeCell ref="A81:B81"/>
    <mergeCell ref="K3:K4"/>
    <mergeCell ref="J3:J4"/>
    <mergeCell ref="F3:F4"/>
    <mergeCell ref="G3:G4"/>
    <mergeCell ref="H3:H4"/>
    <mergeCell ref="I3:I4"/>
  </mergeCells>
  <printOptions horizontalCentered="1"/>
  <pageMargins left="0.32" right="0.32" top="0.75" bottom="0.75" header="0.3" footer="0.3"/>
  <pageSetup paperSize="5" scale="60" firstPageNumber="50" orientation="portrait" r:id="rId1"/>
  <headerFooter>
    <oddHeader>&amp;L&amp;"Arial,Bold"&amp;20&amp;K000000Table 5A4: FY2014-15 MFP Budget Letter (March 2015)
New Orleans Center for Creative Arts (NOCCA)</oddHeader>
    <oddFooter>&amp;R&amp;P</oddFooter>
  </headerFooter>
  <colBreaks count="1" manualBreakCount="1">
    <brk id="11" max="8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4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6.28515625" style="427" customWidth="1"/>
    <col min="2" max="2" width="37.5703125" style="427" customWidth="1"/>
    <col min="3" max="3" width="13.7109375" style="427" customWidth="1"/>
    <col min="4" max="4" width="14" style="427" customWidth="1"/>
    <col min="5" max="5" width="10.7109375" style="427" customWidth="1"/>
    <col min="6" max="6" width="13" style="427" customWidth="1"/>
    <col min="7" max="7" width="13.42578125" style="427" customWidth="1"/>
    <col min="8" max="8" width="12.85546875" style="427" customWidth="1"/>
    <col min="9" max="9" width="12.5703125" style="427" customWidth="1"/>
    <col min="10" max="10" width="13.42578125" style="427" bestFit="1" customWidth="1"/>
    <col min="11" max="11" width="12.5703125" style="427" customWidth="1"/>
    <col min="12" max="12" width="15.140625" style="427" customWidth="1"/>
    <col min="13" max="13" width="13.42578125" style="427" bestFit="1" customWidth="1"/>
    <col min="14" max="14" width="14.7109375" style="427" customWidth="1"/>
    <col min="15" max="16" width="14" style="427" customWidth="1"/>
    <col min="17" max="17" width="10.7109375" style="427" customWidth="1"/>
    <col min="18" max="18" width="14.7109375" style="427" customWidth="1"/>
    <col min="19" max="16384" width="8.85546875" style="427"/>
  </cols>
  <sheetData>
    <row r="1" spans="1:18" ht="19.899999999999999" customHeight="1">
      <c r="A1" s="1452" t="s">
        <v>575</v>
      </c>
      <c r="B1" s="1453"/>
      <c r="C1" s="1434" t="s">
        <v>742</v>
      </c>
      <c r="D1" s="1435"/>
      <c r="E1" s="1435"/>
      <c r="F1" s="1435"/>
      <c r="G1" s="1435"/>
      <c r="H1" s="1435"/>
      <c r="I1" s="1435"/>
      <c r="J1" s="1435"/>
      <c r="K1" s="1436"/>
      <c r="L1" s="1434" t="s">
        <v>742</v>
      </c>
      <c r="M1" s="1435"/>
      <c r="N1" s="1435"/>
      <c r="O1" s="1435"/>
      <c r="P1" s="1435"/>
      <c r="Q1" s="1435"/>
      <c r="R1" s="1436"/>
    </row>
    <row r="2" spans="1:18" s="535" customFormat="1" ht="22.9" customHeight="1">
      <c r="A2" s="1454"/>
      <c r="B2" s="1455"/>
      <c r="C2" s="619"/>
      <c r="D2" s="620"/>
      <c r="E2" s="620"/>
      <c r="F2" s="620"/>
      <c r="G2" s="620"/>
      <c r="H2" s="620"/>
      <c r="I2" s="1448" t="s">
        <v>411</v>
      </c>
      <c r="J2" s="1449"/>
      <c r="K2" s="1450"/>
      <c r="L2" s="619"/>
      <c r="M2" s="620"/>
      <c r="N2" s="620"/>
      <c r="O2" s="620"/>
      <c r="P2" s="620"/>
      <c r="Q2" s="620"/>
      <c r="R2" s="621"/>
    </row>
    <row r="3" spans="1:18" ht="135" customHeight="1">
      <c r="A3" s="1454"/>
      <c r="B3" s="1455"/>
      <c r="C3" s="1441" t="s">
        <v>620</v>
      </c>
      <c r="D3" s="1441" t="s">
        <v>854</v>
      </c>
      <c r="E3" s="1441" t="s">
        <v>855</v>
      </c>
      <c r="F3" s="1441" t="s">
        <v>703</v>
      </c>
      <c r="G3" s="1441" t="s">
        <v>704</v>
      </c>
      <c r="H3" s="1441" t="s">
        <v>654</v>
      </c>
      <c r="I3" s="1440" t="s">
        <v>544</v>
      </c>
      <c r="J3" s="1440" t="s">
        <v>545</v>
      </c>
      <c r="K3" s="1440" t="s">
        <v>417</v>
      </c>
      <c r="L3" s="1441" t="s">
        <v>655</v>
      </c>
      <c r="M3" s="1440" t="s">
        <v>702</v>
      </c>
      <c r="N3" s="1441" t="s">
        <v>718</v>
      </c>
      <c r="O3" s="1445" t="s">
        <v>653</v>
      </c>
      <c r="P3" s="1445" t="s">
        <v>547</v>
      </c>
      <c r="Q3" s="1441" t="s">
        <v>656</v>
      </c>
      <c r="R3" s="1441" t="s">
        <v>719</v>
      </c>
    </row>
    <row r="4" spans="1:18" ht="22.15" customHeight="1">
      <c r="A4" s="1456"/>
      <c r="B4" s="1457"/>
      <c r="C4" s="1441"/>
      <c r="D4" s="1441"/>
      <c r="E4" s="1441"/>
      <c r="F4" s="1441"/>
      <c r="G4" s="1441"/>
      <c r="H4" s="1441"/>
      <c r="I4" s="1440"/>
      <c r="J4" s="1440"/>
      <c r="K4" s="1440"/>
      <c r="L4" s="1441"/>
      <c r="M4" s="1440"/>
      <c r="N4" s="1441"/>
      <c r="O4" s="1446"/>
      <c r="P4" s="1446"/>
      <c r="Q4" s="1441"/>
      <c r="R4" s="1441"/>
    </row>
    <row r="5" spans="1:18" ht="14.25" customHeight="1">
      <c r="A5" s="188"/>
      <c r="B5" s="189"/>
      <c r="C5" s="190">
        <v>1</v>
      </c>
      <c r="D5" s="190">
        <f t="shared" ref="D5" si="0">C5+1</f>
        <v>2</v>
      </c>
      <c r="E5" s="190">
        <f>D5+1</f>
        <v>3</v>
      </c>
      <c r="F5" s="190">
        <f t="shared" ref="F5:M5" si="1">E5+1</f>
        <v>4</v>
      </c>
      <c r="G5" s="190">
        <f t="shared" si="1"/>
        <v>5</v>
      </c>
      <c r="H5" s="190">
        <f t="shared" si="1"/>
        <v>6</v>
      </c>
      <c r="I5" s="190">
        <f t="shared" si="1"/>
        <v>7</v>
      </c>
      <c r="J5" s="190">
        <f t="shared" si="1"/>
        <v>8</v>
      </c>
      <c r="K5" s="190">
        <f t="shared" si="1"/>
        <v>9</v>
      </c>
      <c r="L5" s="190">
        <f t="shared" si="1"/>
        <v>10</v>
      </c>
      <c r="M5" s="190">
        <f t="shared" si="1"/>
        <v>11</v>
      </c>
      <c r="N5" s="190">
        <f t="shared" ref="N5" si="2">M5+1</f>
        <v>12</v>
      </c>
      <c r="O5" s="190">
        <f t="shared" ref="O5" si="3">N5+1</f>
        <v>13</v>
      </c>
      <c r="P5" s="190">
        <f t="shared" ref="P5" si="4">O5+1</f>
        <v>14</v>
      </c>
      <c r="Q5" s="190">
        <f t="shared" ref="Q5:R5" si="5">P5+1</f>
        <v>15</v>
      </c>
      <c r="R5" s="190">
        <f t="shared" si="5"/>
        <v>16</v>
      </c>
    </row>
    <row r="6" spans="1:18" ht="27" hidden="1" customHeight="1">
      <c r="A6" s="29"/>
      <c r="B6" s="30"/>
      <c r="C6" s="30"/>
      <c r="D6" s="30"/>
      <c r="E6" s="30"/>
      <c r="F6" s="30"/>
      <c r="G6" s="30"/>
      <c r="H6" s="30"/>
      <c r="I6" s="47"/>
      <c r="J6" s="47"/>
      <c r="K6" s="47"/>
      <c r="L6" s="47"/>
      <c r="M6" s="30"/>
      <c r="N6" s="30"/>
      <c r="O6" s="49"/>
      <c r="P6" s="49"/>
      <c r="Q6" s="30"/>
      <c r="R6" s="30"/>
    </row>
    <row r="7" spans="1:18" ht="16.149999999999999" customHeight="1">
      <c r="A7" s="205">
        <v>1</v>
      </c>
      <c r="B7" s="206" t="s">
        <v>73</v>
      </c>
      <c r="C7" s="207">
        <f>+'[16]Table 8 Membership 2.1.14'!W3</f>
        <v>7</v>
      </c>
      <c r="D7" s="208">
        <f>'Table 3 Levels 1&amp;2'!AL4+'Table 3 Levels 1&amp;2'!AT4</f>
        <v>6982.9784413349835</v>
      </c>
      <c r="E7" s="209">
        <f>C7*D7</f>
        <v>48880.849089344883</v>
      </c>
      <c r="F7" s="209">
        <f>'Table 3A Level 3'!C6</f>
        <v>777.48</v>
      </c>
      <c r="G7" s="209">
        <f>C7*F7</f>
        <v>5442.3600000000006</v>
      </c>
      <c r="H7" s="344">
        <f>E7+G7</f>
        <v>54323.209089344884</v>
      </c>
      <c r="I7" s="210">
        <f>'[1]Oct midyear LSMSA'!K4</f>
        <v>0</v>
      </c>
      <c r="J7" s="210">
        <f>'[1]Feb midyear LSMSA'!K4</f>
        <v>-3880.229220667492</v>
      </c>
      <c r="K7" s="211">
        <f>+I7+J7</f>
        <v>-3880.229220667492</v>
      </c>
      <c r="L7" s="344">
        <f t="shared" ref="L7:L70" si="6">K7+H7</f>
        <v>50442.979868677394</v>
      </c>
      <c r="M7" s="208">
        <v>0</v>
      </c>
      <c r="N7" s="350">
        <f t="shared" ref="N7:N38" si="7">SUM(L7:M7)</f>
        <v>50442.979868677394</v>
      </c>
      <c r="O7" s="210">
        <f>8*'[2]Table 5A5_LSMSA'!Q7</f>
        <v>36216</v>
      </c>
      <c r="P7" s="210">
        <f>N7-O7</f>
        <v>14226.979868677394</v>
      </c>
      <c r="Q7" s="350">
        <f>ROUND(P7/$Q$84,0)</f>
        <v>3557</v>
      </c>
      <c r="R7" s="361">
        <f>+N7</f>
        <v>50442.979868677394</v>
      </c>
    </row>
    <row r="8" spans="1:18" ht="16.149999999999999" customHeight="1">
      <c r="A8" s="198">
        <v>2</v>
      </c>
      <c r="B8" s="199" t="s">
        <v>74</v>
      </c>
      <c r="C8" s="200">
        <f>+'[16]Table 8 Membership 2.1.14'!W4</f>
        <v>1</v>
      </c>
      <c r="D8" s="201">
        <f>'Table 3 Levels 1&amp;2'!AL5+'Table 3 Levels 1&amp;2'!AT5</f>
        <v>9065.5866417386642</v>
      </c>
      <c r="E8" s="202">
        <f t="shared" ref="E8:E71" si="8">C8*D8</f>
        <v>9065.5866417386642</v>
      </c>
      <c r="F8" s="202">
        <f>'Table 3A Level 3'!C7</f>
        <v>842.32</v>
      </c>
      <c r="G8" s="202">
        <f t="shared" ref="G8:G71" si="9">C8*F8</f>
        <v>842.32</v>
      </c>
      <c r="H8" s="345">
        <f t="shared" ref="H8:H71" si="10">E8+G8</f>
        <v>9907.9066417386639</v>
      </c>
      <c r="I8" s="203">
        <f>'[1]Oct midyear LSMSA'!K5</f>
        <v>0</v>
      </c>
      <c r="J8" s="203">
        <f>'[1]Feb midyear LSMSA'!K5</f>
        <v>0</v>
      </c>
      <c r="K8" s="204">
        <f t="shared" ref="K8:K71" si="11">+I8+J8</f>
        <v>0</v>
      </c>
      <c r="L8" s="345">
        <f t="shared" si="6"/>
        <v>9907.9066417386639</v>
      </c>
      <c r="M8" s="201">
        <v>0</v>
      </c>
      <c r="N8" s="351">
        <f t="shared" si="7"/>
        <v>9907.9066417386639</v>
      </c>
      <c r="O8" s="203">
        <f>8*'[2]Table 5A5_LSMSA'!Q8</f>
        <v>6608</v>
      </c>
      <c r="P8" s="203">
        <f t="shared" ref="P8:P71" si="12">N8-O8</f>
        <v>3299.9066417386639</v>
      </c>
      <c r="Q8" s="351">
        <f t="shared" ref="Q8:Q71" si="13">ROUND(P8/$Q$84,0)</f>
        <v>825</v>
      </c>
      <c r="R8" s="351">
        <f t="shared" ref="R8:R71" si="14">+N8</f>
        <v>9907.9066417386639</v>
      </c>
    </row>
    <row r="9" spans="1:18" ht="16.149999999999999" customHeight="1">
      <c r="A9" s="198">
        <v>3</v>
      </c>
      <c r="B9" s="199" t="s">
        <v>75</v>
      </c>
      <c r="C9" s="200">
        <f>+'[16]Table 8 Membership 2.1.14'!W5</f>
        <v>14</v>
      </c>
      <c r="D9" s="201">
        <f>'Table 3 Levels 1&amp;2'!AL6+'Table 3 Levels 1&amp;2'!AT6</f>
        <v>7778.4862027396821</v>
      </c>
      <c r="E9" s="202">
        <f t="shared" si="8"/>
        <v>108898.80683835555</v>
      </c>
      <c r="F9" s="202">
        <f>'Table 3A Level 3'!C8</f>
        <v>596.84</v>
      </c>
      <c r="G9" s="202">
        <f t="shared" si="9"/>
        <v>8355.76</v>
      </c>
      <c r="H9" s="345">
        <f t="shared" si="10"/>
        <v>117254.56683835555</v>
      </c>
      <c r="I9" s="203">
        <f>'[1]Oct midyear LSMSA'!K6</f>
        <v>0</v>
      </c>
      <c r="J9" s="203">
        <f>'[1]Feb midyear LSMSA'!K6</f>
        <v>-8375.3262027396813</v>
      </c>
      <c r="K9" s="204">
        <f t="shared" si="11"/>
        <v>-8375.3262027396813</v>
      </c>
      <c r="L9" s="345">
        <f t="shared" si="6"/>
        <v>108879.24063561586</v>
      </c>
      <c r="M9" s="201">
        <v>0</v>
      </c>
      <c r="N9" s="351">
        <f t="shared" si="7"/>
        <v>108879.24063561586</v>
      </c>
      <c r="O9" s="203">
        <f>8*'[2]Table 5A5_LSMSA'!Q9</f>
        <v>78168</v>
      </c>
      <c r="P9" s="203">
        <f t="shared" si="12"/>
        <v>30711.240635615861</v>
      </c>
      <c r="Q9" s="351">
        <f t="shared" si="13"/>
        <v>7678</v>
      </c>
      <c r="R9" s="351">
        <f t="shared" si="14"/>
        <v>108879.24063561586</v>
      </c>
    </row>
    <row r="10" spans="1:18" ht="16.149999999999999" customHeight="1">
      <c r="A10" s="198">
        <v>4</v>
      </c>
      <c r="B10" s="199" t="s">
        <v>76</v>
      </c>
      <c r="C10" s="200">
        <f>+'[16]Table 8 Membership 2.1.14'!W6</f>
        <v>0</v>
      </c>
      <c r="D10" s="201">
        <f>'Table 3 Levels 1&amp;2'!AL7+'Table 3 Levels 1&amp;2'!AT7</f>
        <v>9351.9381446878579</v>
      </c>
      <c r="E10" s="202">
        <f t="shared" si="8"/>
        <v>0</v>
      </c>
      <c r="F10" s="202">
        <f>'Table 3A Level 3'!C9</f>
        <v>585.76</v>
      </c>
      <c r="G10" s="202">
        <f t="shared" si="9"/>
        <v>0</v>
      </c>
      <c r="H10" s="345">
        <f t="shared" si="10"/>
        <v>0</v>
      </c>
      <c r="I10" s="203">
        <f>'[1]Oct midyear LSMSA'!K7</f>
        <v>0</v>
      </c>
      <c r="J10" s="203">
        <f>'[1]Feb midyear LSMSA'!K7</f>
        <v>0</v>
      </c>
      <c r="K10" s="204">
        <f t="shared" si="11"/>
        <v>0</v>
      </c>
      <c r="L10" s="345">
        <f t="shared" si="6"/>
        <v>0</v>
      </c>
      <c r="M10" s="201">
        <v>0</v>
      </c>
      <c r="N10" s="351">
        <f t="shared" si="7"/>
        <v>0</v>
      </c>
      <c r="O10" s="203">
        <f>8*'[2]Table 5A5_LSMSA'!Q10</f>
        <v>0</v>
      </c>
      <c r="P10" s="203">
        <f t="shared" si="12"/>
        <v>0</v>
      </c>
      <c r="Q10" s="351">
        <f t="shared" si="13"/>
        <v>0</v>
      </c>
      <c r="R10" s="351">
        <f t="shared" si="14"/>
        <v>0</v>
      </c>
    </row>
    <row r="11" spans="1:18" ht="16.149999999999999" customHeight="1">
      <c r="A11" s="191">
        <v>5</v>
      </c>
      <c r="B11" s="192" t="s">
        <v>77</v>
      </c>
      <c r="C11" s="193">
        <f>+'[16]Table 8 Membership 2.1.14'!W7</f>
        <v>3</v>
      </c>
      <c r="D11" s="194">
        <f>'Table 3 Levels 1&amp;2'!AL8+'Table 3 Levels 1&amp;2'!AT8</f>
        <v>7328.2705660099109</v>
      </c>
      <c r="E11" s="195">
        <f t="shared" si="8"/>
        <v>21984.811698029735</v>
      </c>
      <c r="F11" s="195">
        <f>'Table 3A Level 3'!C10</f>
        <v>555.91</v>
      </c>
      <c r="G11" s="195">
        <f t="shared" si="9"/>
        <v>1667.73</v>
      </c>
      <c r="H11" s="346">
        <f t="shared" si="10"/>
        <v>23652.541698029734</v>
      </c>
      <c r="I11" s="196">
        <f>'[1]Oct midyear LSMSA'!K8</f>
        <v>7884.1805660099108</v>
      </c>
      <c r="J11" s="196">
        <f>'[1]Feb midyear LSMSA'!K8</f>
        <v>0</v>
      </c>
      <c r="K11" s="197">
        <f t="shared" si="11"/>
        <v>7884.1805660099108</v>
      </c>
      <c r="L11" s="346">
        <f t="shared" si="6"/>
        <v>31536.722264039643</v>
      </c>
      <c r="M11" s="194">
        <v>0</v>
      </c>
      <c r="N11" s="352">
        <f t="shared" si="7"/>
        <v>31536.722264039643</v>
      </c>
      <c r="O11" s="622">
        <f>8*'[2]Table 5A5_LSMSA'!Q11</f>
        <v>15768</v>
      </c>
      <c r="P11" s="196">
        <f t="shared" si="12"/>
        <v>15768.722264039643</v>
      </c>
      <c r="Q11" s="356">
        <f t="shared" si="13"/>
        <v>3942</v>
      </c>
      <c r="R11" s="352">
        <f t="shared" si="14"/>
        <v>31536.722264039643</v>
      </c>
    </row>
    <row r="12" spans="1:18" ht="16.149999999999999" customHeight="1">
      <c r="A12" s="205">
        <v>6</v>
      </c>
      <c r="B12" s="206" t="s">
        <v>78</v>
      </c>
      <c r="C12" s="207">
        <f>+'[16]Table 8 Membership 2.1.14'!W8</f>
        <v>4</v>
      </c>
      <c r="D12" s="208">
        <f>'Table 3 Levels 1&amp;2'!AL9+'Table 3 Levels 1&amp;2'!AT9</f>
        <v>8698.058612495588</v>
      </c>
      <c r="E12" s="209">
        <f t="shared" si="8"/>
        <v>34792.234449982352</v>
      </c>
      <c r="F12" s="209">
        <f>'Table 3A Level 3'!C11</f>
        <v>545.4799999999999</v>
      </c>
      <c r="G12" s="209">
        <f t="shared" si="9"/>
        <v>2181.9199999999996</v>
      </c>
      <c r="H12" s="344">
        <f t="shared" si="10"/>
        <v>36974.15444998235</v>
      </c>
      <c r="I12" s="210">
        <f>'[1]Oct midyear LSMSA'!K9</f>
        <v>-27730.615837486763</v>
      </c>
      <c r="J12" s="210">
        <f>'[1]Feb midyear LSMSA'!K9</f>
        <v>0</v>
      </c>
      <c r="K12" s="211">
        <f t="shared" si="11"/>
        <v>-27730.615837486763</v>
      </c>
      <c r="L12" s="344">
        <f t="shared" si="6"/>
        <v>9243.5386124955876</v>
      </c>
      <c r="M12" s="208">
        <v>0</v>
      </c>
      <c r="N12" s="350">
        <f t="shared" si="7"/>
        <v>9243.5386124955876</v>
      </c>
      <c r="O12" s="210">
        <f>8*'[2]Table 5A5_LSMSA'!Q12</f>
        <v>24648</v>
      </c>
      <c r="P12" s="210">
        <f t="shared" si="12"/>
        <v>-15404.461387504412</v>
      </c>
      <c r="Q12" s="350">
        <f t="shared" si="13"/>
        <v>-3851</v>
      </c>
      <c r="R12" s="361">
        <f t="shared" si="14"/>
        <v>9243.5386124955876</v>
      </c>
    </row>
    <row r="13" spans="1:18" ht="16.149999999999999" customHeight="1">
      <c r="A13" s="198">
        <v>7</v>
      </c>
      <c r="B13" s="199" t="s">
        <v>79</v>
      </c>
      <c r="C13" s="200">
        <f>+'[16]Table 8 Membership 2.1.14'!W9</f>
        <v>0</v>
      </c>
      <c r="D13" s="201">
        <f>'Table 3 Levels 1&amp;2'!AL10+'Table 3 Levels 1&amp;2'!AT10</f>
        <v>7984.0231963470324</v>
      </c>
      <c r="E13" s="202">
        <f t="shared" si="8"/>
        <v>0</v>
      </c>
      <c r="F13" s="202">
        <f>'Table 3A Level 3'!C12</f>
        <v>756.91999999999985</v>
      </c>
      <c r="G13" s="202">
        <f t="shared" si="9"/>
        <v>0</v>
      </c>
      <c r="H13" s="345">
        <f t="shared" si="10"/>
        <v>0</v>
      </c>
      <c r="I13" s="203">
        <f>'[1]Oct midyear LSMSA'!K10</f>
        <v>8740.9431963470324</v>
      </c>
      <c r="J13" s="203">
        <f>'[1]Feb midyear LSMSA'!K10</f>
        <v>0</v>
      </c>
      <c r="K13" s="204">
        <f t="shared" si="11"/>
        <v>8740.9431963470324</v>
      </c>
      <c r="L13" s="345">
        <f t="shared" si="6"/>
        <v>8740.9431963470324</v>
      </c>
      <c r="M13" s="201">
        <v>0</v>
      </c>
      <c r="N13" s="351">
        <f t="shared" si="7"/>
        <v>8740.9431963470324</v>
      </c>
      <c r="O13" s="203">
        <f>8*'[2]Table 5A5_LSMSA'!Q13</f>
        <v>0</v>
      </c>
      <c r="P13" s="203">
        <f t="shared" si="12"/>
        <v>8740.9431963470324</v>
      </c>
      <c r="Q13" s="351">
        <f t="shared" si="13"/>
        <v>2185</v>
      </c>
      <c r="R13" s="351">
        <f t="shared" si="14"/>
        <v>8740.9431963470324</v>
      </c>
    </row>
    <row r="14" spans="1:18" ht="16.149999999999999" customHeight="1">
      <c r="A14" s="198">
        <v>8</v>
      </c>
      <c r="B14" s="199" t="s">
        <v>80</v>
      </c>
      <c r="C14" s="200">
        <f>+'[16]Table 8 Membership 2.1.14'!W10</f>
        <v>12</v>
      </c>
      <c r="D14" s="201">
        <f>'Table 3 Levels 1&amp;2'!AL11+'Table 3 Levels 1&amp;2'!AT11</f>
        <v>8066.4624595588539</v>
      </c>
      <c r="E14" s="202">
        <f t="shared" si="8"/>
        <v>96797.549514706247</v>
      </c>
      <c r="F14" s="202">
        <f>'Table 3A Level 3'!C13</f>
        <v>725.76</v>
      </c>
      <c r="G14" s="202">
        <f t="shared" si="9"/>
        <v>8709.119999999999</v>
      </c>
      <c r="H14" s="345">
        <f t="shared" si="10"/>
        <v>105506.66951470624</v>
      </c>
      <c r="I14" s="203">
        <f>'[1]Oct midyear LSMSA'!K11</f>
        <v>43961.112297794272</v>
      </c>
      <c r="J14" s="203">
        <f>'[1]Feb midyear LSMSA'!K11</f>
        <v>-8792.2224595588541</v>
      </c>
      <c r="K14" s="204">
        <f t="shared" si="11"/>
        <v>35168.889838235416</v>
      </c>
      <c r="L14" s="345">
        <f t="shared" si="6"/>
        <v>140675.55935294167</v>
      </c>
      <c r="M14" s="201">
        <v>0</v>
      </c>
      <c r="N14" s="351">
        <f t="shared" si="7"/>
        <v>140675.55935294167</v>
      </c>
      <c r="O14" s="203">
        <f>8*'[2]Table 5A5_LSMSA'!Q14</f>
        <v>70336</v>
      </c>
      <c r="P14" s="203">
        <f t="shared" si="12"/>
        <v>70339.559352941666</v>
      </c>
      <c r="Q14" s="351">
        <f t="shared" si="13"/>
        <v>17585</v>
      </c>
      <c r="R14" s="351">
        <f t="shared" si="14"/>
        <v>140675.55935294167</v>
      </c>
    </row>
    <row r="15" spans="1:18" ht="16.149999999999999" customHeight="1">
      <c r="A15" s="198">
        <v>9</v>
      </c>
      <c r="B15" s="199" t="s">
        <v>81</v>
      </c>
      <c r="C15" s="200">
        <f>+'[16]Table 8 Membership 2.1.14'!W11</f>
        <v>2</v>
      </c>
      <c r="D15" s="201">
        <f>'Table 3 Levels 1&amp;2'!AL12+'Table 3 Levels 1&amp;2'!AT12</f>
        <v>8101.8015072045009</v>
      </c>
      <c r="E15" s="202">
        <f t="shared" si="8"/>
        <v>16203.603014409002</v>
      </c>
      <c r="F15" s="202">
        <f>'Table 3A Level 3'!C14</f>
        <v>744.76</v>
      </c>
      <c r="G15" s="202">
        <f t="shared" si="9"/>
        <v>1489.52</v>
      </c>
      <c r="H15" s="345">
        <f t="shared" si="10"/>
        <v>17693.123014409</v>
      </c>
      <c r="I15" s="203">
        <f>'[1]Oct midyear LSMSA'!K12</f>
        <v>17693.123014409</v>
      </c>
      <c r="J15" s="203">
        <f>'[1]Feb midyear LSMSA'!K12</f>
        <v>0</v>
      </c>
      <c r="K15" s="204">
        <f t="shared" si="11"/>
        <v>17693.123014409</v>
      </c>
      <c r="L15" s="345">
        <f t="shared" si="6"/>
        <v>35386.246028818001</v>
      </c>
      <c r="M15" s="201">
        <v>0</v>
      </c>
      <c r="N15" s="351">
        <f t="shared" si="7"/>
        <v>35386.246028818001</v>
      </c>
      <c r="O15" s="203">
        <f>8*'[2]Table 5A5_LSMSA'!Q15</f>
        <v>11792</v>
      </c>
      <c r="P15" s="203">
        <f t="shared" si="12"/>
        <v>23594.246028818001</v>
      </c>
      <c r="Q15" s="351">
        <f t="shared" si="13"/>
        <v>5899</v>
      </c>
      <c r="R15" s="351">
        <f t="shared" si="14"/>
        <v>35386.246028818001</v>
      </c>
    </row>
    <row r="16" spans="1:18" ht="16.149999999999999" customHeight="1">
      <c r="A16" s="191">
        <v>10</v>
      </c>
      <c r="B16" s="192" t="s">
        <v>82</v>
      </c>
      <c r="C16" s="193">
        <f>+'[16]Table 8 Membership 2.1.14'!W12</f>
        <v>9</v>
      </c>
      <c r="D16" s="194">
        <f>'Table 3 Levels 1&amp;2'!AL13+'Table 3 Levels 1&amp;2'!AT13</f>
        <v>8319.3647339184718</v>
      </c>
      <c r="E16" s="195">
        <f t="shared" si="8"/>
        <v>74874.282605266242</v>
      </c>
      <c r="F16" s="195">
        <f>'Table 3A Level 3'!C15</f>
        <v>608.04000000000008</v>
      </c>
      <c r="G16" s="195">
        <f t="shared" si="9"/>
        <v>5472.3600000000006</v>
      </c>
      <c r="H16" s="346">
        <f t="shared" si="10"/>
        <v>80346.642605266243</v>
      </c>
      <c r="I16" s="196">
        <f>'[1]Oct midyear LSMSA'!K13</f>
        <v>71419.237871347781</v>
      </c>
      <c r="J16" s="196">
        <f>'[1]Feb midyear LSMSA'!K13</f>
        <v>-4463.7023669592363</v>
      </c>
      <c r="K16" s="197">
        <f t="shared" si="11"/>
        <v>66955.53550438855</v>
      </c>
      <c r="L16" s="346">
        <f t="shared" si="6"/>
        <v>147302.17810965481</v>
      </c>
      <c r="M16" s="194">
        <v>0</v>
      </c>
      <c r="N16" s="352">
        <f t="shared" si="7"/>
        <v>147302.17810965481</v>
      </c>
      <c r="O16" s="622">
        <f>8*'[2]Table 5A5_LSMSA'!Q16</f>
        <v>53568</v>
      </c>
      <c r="P16" s="196">
        <f t="shared" si="12"/>
        <v>93734.178109654807</v>
      </c>
      <c r="Q16" s="356">
        <f t="shared" si="13"/>
        <v>23434</v>
      </c>
      <c r="R16" s="352">
        <f t="shared" si="14"/>
        <v>147302.17810965481</v>
      </c>
    </row>
    <row r="17" spans="1:18" ht="16.149999999999999" customHeight="1">
      <c r="A17" s="205">
        <v>11</v>
      </c>
      <c r="B17" s="206" t="s">
        <v>83</v>
      </c>
      <c r="C17" s="207">
        <f>+'[16]Table 8 Membership 2.1.14'!W13</f>
        <v>1</v>
      </c>
      <c r="D17" s="208">
        <f>'Table 3 Levels 1&amp;2'!AL14+'Table 3 Levels 1&amp;2'!AT14</f>
        <v>10505.297223635334</v>
      </c>
      <c r="E17" s="209">
        <f t="shared" si="8"/>
        <v>10505.297223635334</v>
      </c>
      <c r="F17" s="209">
        <f>'Table 3A Level 3'!C16</f>
        <v>706.55</v>
      </c>
      <c r="G17" s="209">
        <f t="shared" si="9"/>
        <v>706.55</v>
      </c>
      <c r="H17" s="344">
        <f t="shared" si="10"/>
        <v>11211.847223635334</v>
      </c>
      <c r="I17" s="210">
        <f>'[1]Oct midyear LSMSA'!K14</f>
        <v>-11211.847223635334</v>
      </c>
      <c r="J17" s="210">
        <f>'[1]Feb midyear LSMSA'!K14</f>
        <v>0</v>
      </c>
      <c r="K17" s="211">
        <f t="shared" si="11"/>
        <v>-11211.847223635334</v>
      </c>
      <c r="L17" s="344">
        <f t="shared" si="6"/>
        <v>0</v>
      </c>
      <c r="M17" s="208">
        <v>0</v>
      </c>
      <c r="N17" s="350">
        <f t="shared" si="7"/>
        <v>0</v>
      </c>
      <c r="O17" s="210">
        <f>8*'[2]Table 5A5_LSMSA'!Q17</f>
        <v>7472</v>
      </c>
      <c r="P17" s="210">
        <f t="shared" si="12"/>
        <v>-7472</v>
      </c>
      <c r="Q17" s="350">
        <f t="shared" si="13"/>
        <v>-1868</v>
      </c>
      <c r="R17" s="361">
        <f t="shared" si="14"/>
        <v>0</v>
      </c>
    </row>
    <row r="18" spans="1:18" ht="16.149999999999999" customHeight="1">
      <c r="A18" s="198">
        <v>12</v>
      </c>
      <c r="B18" s="199" t="s">
        <v>84</v>
      </c>
      <c r="C18" s="200">
        <f>+'[16]Table 8 Membership 2.1.14'!W14</f>
        <v>0</v>
      </c>
      <c r="D18" s="201">
        <f>'Table 3 Levels 1&amp;2'!AL15+'Table 3 Levels 1&amp;2'!AT15</f>
        <v>8147.7840983606566</v>
      </c>
      <c r="E18" s="202">
        <f t="shared" si="8"/>
        <v>0</v>
      </c>
      <c r="F18" s="202">
        <f>'Table 3A Level 3'!C17</f>
        <v>1063.31</v>
      </c>
      <c r="G18" s="202">
        <f t="shared" si="9"/>
        <v>0</v>
      </c>
      <c r="H18" s="345">
        <f t="shared" si="10"/>
        <v>0</v>
      </c>
      <c r="I18" s="203">
        <f>'[1]Oct midyear LSMSA'!K15</f>
        <v>0</v>
      </c>
      <c r="J18" s="203">
        <f>'[1]Feb midyear LSMSA'!K15</f>
        <v>0</v>
      </c>
      <c r="K18" s="204">
        <f t="shared" si="11"/>
        <v>0</v>
      </c>
      <c r="L18" s="345">
        <f t="shared" si="6"/>
        <v>0</v>
      </c>
      <c r="M18" s="201">
        <v>0</v>
      </c>
      <c r="N18" s="351">
        <f t="shared" si="7"/>
        <v>0</v>
      </c>
      <c r="O18" s="203">
        <f>8*'[2]Table 5A5_LSMSA'!Q18</f>
        <v>0</v>
      </c>
      <c r="P18" s="203">
        <f t="shared" si="12"/>
        <v>0</v>
      </c>
      <c r="Q18" s="351">
        <f t="shared" si="13"/>
        <v>0</v>
      </c>
      <c r="R18" s="351">
        <f t="shared" si="14"/>
        <v>0</v>
      </c>
    </row>
    <row r="19" spans="1:18" ht="16.149999999999999" customHeight="1">
      <c r="A19" s="198">
        <v>13</v>
      </c>
      <c r="B19" s="199" t="s">
        <v>85</v>
      </c>
      <c r="C19" s="200">
        <f>+'[16]Table 8 Membership 2.1.14'!W15</f>
        <v>0</v>
      </c>
      <c r="D19" s="201">
        <f>'Table 3 Levels 1&amp;2'!AL16+'Table 3 Levels 1&amp;2'!AT16</f>
        <v>9171.2097758332202</v>
      </c>
      <c r="E19" s="202">
        <f t="shared" si="8"/>
        <v>0</v>
      </c>
      <c r="F19" s="202">
        <f>'Table 3A Level 3'!C18</f>
        <v>749.43000000000006</v>
      </c>
      <c r="G19" s="202">
        <f t="shared" si="9"/>
        <v>0</v>
      </c>
      <c r="H19" s="345">
        <f t="shared" si="10"/>
        <v>0</v>
      </c>
      <c r="I19" s="203">
        <f>'[1]Oct midyear LSMSA'!K16</f>
        <v>0</v>
      </c>
      <c r="J19" s="203">
        <f>'[1]Feb midyear LSMSA'!K16</f>
        <v>0</v>
      </c>
      <c r="K19" s="204">
        <f t="shared" si="11"/>
        <v>0</v>
      </c>
      <c r="L19" s="345">
        <f t="shared" si="6"/>
        <v>0</v>
      </c>
      <c r="M19" s="201">
        <v>0</v>
      </c>
      <c r="N19" s="351">
        <f t="shared" si="7"/>
        <v>0</v>
      </c>
      <c r="O19" s="203">
        <f>8*'[2]Table 5A5_LSMSA'!Q19</f>
        <v>0</v>
      </c>
      <c r="P19" s="203">
        <f t="shared" si="12"/>
        <v>0</v>
      </c>
      <c r="Q19" s="351">
        <f t="shared" si="13"/>
        <v>0</v>
      </c>
      <c r="R19" s="351">
        <f t="shared" si="14"/>
        <v>0</v>
      </c>
    </row>
    <row r="20" spans="1:18" ht="16.149999999999999" customHeight="1">
      <c r="A20" s="198">
        <v>14</v>
      </c>
      <c r="B20" s="199" t="s">
        <v>86</v>
      </c>
      <c r="C20" s="200">
        <f>+'[16]Table 8 Membership 2.1.14'!W16</f>
        <v>0</v>
      </c>
      <c r="D20" s="201">
        <f>'Table 3 Levels 1&amp;2'!AL17+'Table 3 Levels 1&amp;2'!AT17</f>
        <v>9902.1209412499993</v>
      </c>
      <c r="E20" s="202">
        <f t="shared" si="8"/>
        <v>0</v>
      </c>
      <c r="F20" s="202">
        <f>'Table 3A Level 3'!C19</f>
        <v>809.9799999999999</v>
      </c>
      <c r="G20" s="202">
        <f t="shared" si="9"/>
        <v>0</v>
      </c>
      <c r="H20" s="345">
        <f t="shared" si="10"/>
        <v>0</v>
      </c>
      <c r="I20" s="203">
        <f>'[1]Oct midyear LSMSA'!K17</f>
        <v>10712.100941249999</v>
      </c>
      <c r="J20" s="203">
        <f>'[1]Feb midyear LSMSA'!K17</f>
        <v>0</v>
      </c>
      <c r="K20" s="204">
        <f t="shared" si="11"/>
        <v>10712.100941249999</v>
      </c>
      <c r="L20" s="345">
        <f t="shared" si="6"/>
        <v>10712.100941249999</v>
      </c>
      <c r="M20" s="201">
        <v>0</v>
      </c>
      <c r="N20" s="351">
        <f t="shared" si="7"/>
        <v>10712.100941249999</v>
      </c>
      <c r="O20" s="203">
        <f>8*'[2]Table 5A5_LSMSA'!Q20</f>
        <v>0</v>
      </c>
      <c r="P20" s="203">
        <f t="shared" si="12"/>
        <v>10712.100941249999</v>
      </c>
      <c r="Q20" s="351">
        <f t="shared" si="13"/>
        <v>2678</v>
      </c>
      <c r="R20" s="351">
        <f t="shared" si="14"/>
        <v>10712.100941249999</v>
      </c>
    </row>
    <row r="21" spans="1:18" ht="16.149999999999999" customHeight="1">
      <c r="A21" s="191">
        <v>15</v>
      </c>
      <c r="B21" s="192" t="s">
        <v>87</v>
      </c>
      <c r="C21" s="193">
        <f>+'[16]Table 8 Membership 2.1.14'!W17</f>
        <v>1</v>
      </c>
      <c r="D21" s="194">
        <f>'Table 3 Levels 1&amp;2'!AL18+'Table 3 Levels 1&amp;2'!AT18</f>
        <v>8626.4385214059948</v>
      </c>
      <c r="E21" s="195">
        <f t="shared" si="8"/>
        <v>8626.4385214059948</v>
      </c>
      <c r="F21" s="195">
        <f>'Table 3A Level 3'!C20</f>
        <v>553.79999999999995</v>
      </c>
      <c r="G21" s="195">
        <f t="shared" si="9"/>
        <v>553.79999999999995</v>
      </c>
      <c r="H21" s="346">
        <f t="shared" si="10"/>
        <v>9180.2385214059941</v>
      </c>
      <c r="I21" s="196">
        <f>'[1]Oct midyear LSMSA'!K18</f>
        <v>-9180.2385214059941</v>
      </c>
      <c r="J21" s="196">
        <f>'[1]Feb midyear LSMSA'!K18</f>
        <v>0</v>
      </c>
      <c r="K21" s="197">
        <f t="shared" si="11"/>
        <v>-9180.2385214059941</v>
      </c>
      <c r="L21" s="346">
        <f t="shared" si="6"/>
        <v>0</v>
      </c>
      <c r="M21" s="194">
        <v>0</v>
      </c>
      <c r="N21" s="352">
        <f t="shared" si="7"/>
        <v>0</v>
      </c>
      <c r="O21" s="622">
        <f>8*'[2]Table 5A5_LSMSA'!Q21</f>
        <v>6120</v>
      </c>
      <c r="P21" s="196">
        <f t="shared" si="12"/>
        <v>-6120</v>
      </c>
      <c r="Q21" s="356">
        <f t="shared" si="13"/>
        <v>-1530</v>
      </c>
      <c r="R21" s="352">
        <f t="shared" si="14"/>
        <v>0</v>
      </c>
    </row>
    <row r="22" spans="1:18" ht="16.149999999999999" customHeight="1">
      <c r="A22" s="205">
        <v>16</v>
      </c>
      <c r="B22" s="206" t="s">
        <v>88</v>
      </c>
      <c r="C22" s="207">
        <f>+'[16]Table 8 Membership 2.1.14'!W18</f>
        <v>2</v>
      </c>
      <c r="D22" s="208">
        <f>'Table 3 Levels 1&amp;2'!AL19+'Table 3 Levels 1&amp;2'!AT19</f>
        <v>7692.8994354342021</v>
      </c>
      <c r="E22" s="209">
        <f t="shared" si="8"/>
        <v>15385.798870868404</v>
      </c>
      <c r="F22" s="209">
        <f>'Table 3A Level 3'!C21</f>
        <v>686.73</v>
      </c>
      <c r="G22" s="209">
        <f t="shared" si="9"/>
        <v>1373.46</v>
      </c>
      <c r="H22" s="344">
        <f t="shared" si="10"/>
        <v>16759.258870868405</v>
      </c>
      <c r="I22" s="210">
        <f>'[1]Oct midyear LSMSA'!K19</f>
        <v>8379.6294354342026</v>
      </c>
      <c r="J22" s="210">
        <f>'[1]Feb midyear LSMSA'!K19</f>
        <v>0</v>
      </c>
      <c r="K22" s="211">
        <f t="shared" si="11"/>
        <v>8379.6294354342026</v>
      </c>
      <c r="L22" s="344">
        <f t="shared" si="6"/>
        <v>25138.888306302608</v>
      </c>
      <c r="M22" s="208">
        <v>0</v>
      </c>
      <c r="N22" s="350">
        <f t="shared" si="7"/>
        <v>25138.888306302608</v>
      </c>
      <c r="O22" s="210">
        <f>8*'[2]Table 5A5_LSMSA'!Q22</f>
        <v>11176</v>
      </c>
      <c r="P22" s="210">
        <f t="shared" si="12"/>
        <v>13962.888306302608</v>
      </c>
      <c r="Q22" s="350">
        <f t="shared" si="13"/>
        <v>3491</v>
      </c>
      <c r="R22" s="361">
        <f t="shared" si="14"/>
        <v>25138.888306302608</v>
      </c>
    </row>
    <row r="23" spans="1:18" ht="16.149999999999999" customHeight="1">
      <c r="A23" s="198">
        <v>17</v>
      </c>
      <c r="B23" s="199" t="s">
        <v>89</v>
      </c>
      <c r="C23" s="200">
        <f>+'[16]Table 8 Membership 2.1.14'!W19</f>
        <v>25</v>
      </c>
      <c r="D23" s="201">
        <f>'Table 3 Levels 1&amp;2'!AL20+'Table 3 Levels 1&amp;2'!AT20</f>
        <v>8082.3880368254495</v>
      </c>
      <c r="E23" s="202">
        <f t="shared" si="8"/>
        <v>202059.70092063624</v>
      </c>
      <c r="F23" s="202">
        <f>'Table 3A Level 3'!C22</f>
        <v>801.47762416806802</v>
      </c>
      <c r="G23" s="202">
        <f t="shared" si="9"/>
        <v>20036.9406042017</v>
      </c>
      <c r="H23" s="345">
        <f t="shared" si="10"/>
        <v>222096.64152483793</v>
      </c>
      <c r="I23" s="203">
        <f>'[1]Oct midyear LSMSA'!K20</f>
        <v>8883.8656609935169</v>
      </c>
      <c r="J23" s="203">
        <f>'[1]Feb midyear LSMSA'!K20</f>
        <v>-4441.9328304967585</v>
      </c>
      <c r="K23" s="204">
        <f t="shared" si="11"/>
        <v>4441.9328304967585</v>
      </c>
      <c r="L23" s="345">
        <f t="shared" si="6"/>
        <v>226538.57435533468</v>
      </c>
      <c r="M23" s="201">
        <v>0</v>
      </c>
      <c r="N23" s="351">
        <f t="shared" si="7"/>
        <v>226538.57435533468</v>
      </c>
      <c r="O23" s="203">
        <f>8*'[2]Table 5A5_LSMSA'!Q23</f>
        <v>148064</v>
      </c>
      <c r="P23" s="203">
        <f t="shared" si="12"/>
        <v>78474.574355334684</v>
      </c>
      <c r="Q23" s="351">
        <f t="shared" si="13"/>
        <v>19619</v>
      </c>
      <c r="R23" s="351">
        <f t="shared" si="14"/>
        <v>226538.57435533468</v>
      </c>
    </row>
    <row r="24" spans="1:18" ht="16.149999999999999" customHeight="1">
      <c r="A24" s="198">
        <v>18</v>
      </c>
      <c r="B24" s="199" t="s">
        <v>90</v>
      </c>
      <c r="C24" s="200">
        <f>+'[16]Table 8 Membership 2.1.14'!W20</f>
        <v>0</v>
      </c>
      <c r="D24" s="201">
        <f>'Table 3 Levels 1&amp;2'!AL21+'Table 3 Levels 1&amp;2'!AT21</f>
        <v>9645.2333500475725</v>
      </c>
      <c r="E24" s="202">
        <f t="shared" si="8"/>
        <v>0</v>
      </c>
      <c r="F24" s="202">
        <f>'Table 3A Level 3'!C23</f>
        <v>845.94999999999993</v>
      </c>
      <c r="G24" s="202">
        <f t="shared" si="9"/>
        <v>0</v>
      </c>
      <c r="H24" s="345">
        <f t="shared" si="10"/>
        <v>0</v>
      </c>
      <c r="I24" s="203">
        <f>'[1]Oct midyear LSMSA'!K21</f>
        <v>0</v>
      </c>
      <c r="J24" s="203">
        <f>'[1]Feb midyear LSMSA'!K21</f>
        <v>0</v>
      </c>
      <c r="K24" s="204">
        <f t="shared" si="11"/>
        <v>0</v>
      </c>
      <c r="L24" s="345">
        <f t="shared" si="6"/>
        <v>0</v>
      </c>
      <c r="M24" s="201">
        <v>0</v>
      </c>
      <c r="N24" s="351">
        <f t="shared" si="7"/>
        <v>0</v>
      </c>
      <c r="O24" s="203">
        <f>8*'[2]Table 5A5_LSMSA'!Q24</f>
        <v>0</v>
      </c>
      <c r="P24" s="203">
        <f t="shared" si="12"/>
        <v>0</v>
      </c>
      <c r="Q24" s="351">
        <f t="shared" si="13"/>
        <v>0</v>
      </c>
      <c r="R24" s="351">
        <f t="shared" si="14"/>
        <v>0</v>
      </c>
    </row>
    <row r="25" spans="1:18" ht="16.149999999999999" customHeight="1">
      <c r="A25" s="198">
        <v>19</v>
      </c>
      <c r="B25" s="199" t="s">
        <v>91</v>
      </c>
      <c r="C25" s="200">
        <f>+'[16]Table 8 Membership 2.1.14'!W21</f>
        <v>0</v>
      </c>
      <c r="D25" s="201">
        <f>'Table 3 Levels 1&amp;2'!AL22+'Table 3 Levels 1&amp;2'!AT22</f>
        <v>7915.8221869460449</v>
      </c>
      <c r="E25" s="202">
        <f t="shared" si="8"/>
        <v>0</v>
      </c>
      <c r="F25" s="202">
        <f>'Table 3A Level 3'!C24</f>
        <v>905.43</v>
      </c>
      <c r="G25" s="202">
        <f t="shared" si="9"/>
        <v>0</v>
      </c>
      <c r="H25" s="345">
        <f t="shared" si="10"/>
        <v>0</v>
      </c>
      <c r="I25" s="203">
        <f>'[1]Oct midyear LSMSA'!K22</f>
        <v>8821.2521869460452</v>
      </c>
      <c r="J25" s="203">
        <f>'[1]Feb midyear LSMSA'!K22</f>
        <v>0</v>
      </c>
      <c r="K25" s="204">
        <f t="shared" si="11"/>
        <v>8821.2521869460452</v>
      </c>
      <c r="L25" s="345">
        <f t="shared" si="6"/>
        <v>8821.2521869460452</v>
      </c>
      <c r="M25" s="201">
        <v>0</v>
      </c>
      <c r="N25" s="351">
        <f t="shared" si="7"/>
        <v>8821.2521869460452</v>
      </c>
      <c r="O25" s="203">
        <f>8*'[2]Table 5A5_LSMSA'!Q25</f>
        <v>0</v>
      </c>
      <c r="P25" s="203">
        <f t="shared" si="12"/>
        <v>8821.2521869460452</v>
      </c>
      <c r="Q25" s="351">
        <f t="shared" si="13"/>
        <v>2205</v>
      </c>
      <c r="R25" s="351">
        <f t="shared" si="14"/>
        <v>8821.2521869460452</v>
      </c>
    </row>
    <row r="26" spans="1:18" ht="16.149999999999999" customHeight="1">
      <c r="A26" s="191">
        <v>20</v>
      </c>
      <c r="B26" s="192" t="s">
        <v>92</v>
      </c>
      <c r="C26" s="193">
        <f>+'[16]Table 8 Membership 2.1.14'!W22</f>
        <v>2</v>
      </c>
      <c r="D26" s="194">
        <f>'Table 3 Levels 1&amp;2'!AL23+'Table 3 Levels 1&amp;2'!AT23</f>
        <v>7983.350156556201</v>
      </c>
      <c r="E26" s="195">
        <f t="shared" si="8"/>
        <v>15966.700313112402</v>
      </c>
      <c r="F26" s="195">
        <f>'Table 3A Level 3'!C25</f>
        <v>586.16999999999996</v>
      </c>
      <c r="G26" s="195">
        <f t="shared" si="9"/>
        <v>1172.3399999999999</v>
      </c>
      <c r="H26" s="346">
        <f t="shared" si="10"/>
        <v>17139.0403131124</v>
      </c>
      <c r="I26" s="196">
        <f>'[1]Oct midyear LSMSA'!K23</f>
        <v>17139.0403131124</v>
      </c>
      <c r="J26" s="196">
        <f>'[1]Feb midyear LSMSA'!K23</f>
        <v>0</v>
      </c>
      <c r="K26" s="197">
        <f t="shared" si="11"/>
        <v>17139.0403131124</v>
      </c>
      <c r="L26" s="346">
        <f t="shared" si="6"/>
        <v>34278.080626224801</v>
      </c>
      <c r="M26" s="194">
        <v>0</v>
      </c>
      <c r="N26" s="352">
        <f t="shared" si="7"/>
        <v>34278.080626224801</v>
      </c>
      <c r="O26" s="622">
        <f>8*'[2]Table 5A5_LSMSA'!Q26</f>
        <v>11424</v>
      </c>
      <c r="P26" s="196">
        <f t="shared" si="12"/>
        <v>22854.080626224801</v>
      </c>
      <c r="Q26" s="356">
        <f t="shared" si="13"/>
        <v>5714</v>
      </c>
      <c r="R26" s="352">
        <f t="shared" si="14"/>
        <v>34278.080626224801</v>
      </c>
    </row>
    <row r="27" spans="1:18" ht="16.149999999999999" customHeight="1">
      <c r="A27" s="205">
        <v>21</v>
      </c>
      <c r="B27" s="206" t="s">
        <v>93</v>
      </c>
      <c r="C27" s="207">
        <f>+'[16]Table 8 Membership 2.1.14'!W23</f>
        <v>2</v>
      </c>
      <c r="D27" s="208">
        <f>'Table 3 Levels 1&amp;2'!AL24+'Table 3 Levels 1&amp;2'!AT24</f>
        <v>8582.6142295867758</v>
      </c>
      <c r="E27" s="209">
        <f t="shared" si="8"/>
        <v>17165.228459173552</v>
      </c>
      <c r="F27" s="209">
        <f>'Table 3A Level 3'!C26</f>
        <v>610.35</v>
      </c>
      <c r="G27" s="209">
        <f t="shared" si="9"/>
        <v>1220.7</v>
      </c>
      <c r="H27" s="344">
        <f t="shared" si="10"/>
        <v>18385.928459173552</v>
      </c>
      <c r="I27" s="210">
        <f>'[1]Oct midyear LSMSA'!K24</f>
        <v>0</v>
      </c>
      <c r="J27" s="210">
        <f>'[1]Feb midyear LSMSA'!K24</f>
        <v>0</v>
      </c>
      <c r="K27" s="211">
        <f t="shared" si="11"/>
        <v>0</v>
      </c>
      <c r="L27" s="344">
        <f t="shared" si="6"/>
        <v>18385.928459173552</v>
      </c>
      <c r="M27" s="208">
        <v>0</v>
      </c>
      <c r="N27" s="350">
        <f t="shared" si="7"/>
        <v>18385.928459173552</v>
      </c>
      <c r="O27" s="210">
        <f>8*'[2]Table 5A5_LSMSA'!Q27</f>
        <v>12256</v>
      </c>
      <c r="P27" s="210">
        <f t="shared" si="12"/>
        <v>6129.9284591735523</v>
      </c>
      <c r="Q27" s="350">
        <f t="shared" si="13"/>
        <v>1532</v>
      </c>
      <c r="R27" s="361">
        <f t="shared" si="14"/>
        <v>18385.928459173552</v>
      </c>
    </row>
    <row r="28" spans="1:18" ht="16.149999999999999" customHeight="1">
      <c r="A28" s="198">
        <v>22</v>
      </c>
      <c r="B28" s="199" t="s">
        <v>94</v>
      </c>
      <c r="C28" s="200">
        <f>+'[16]Table 8 Membership 2.1.14'!W24</f>
        <v>0</v>
      </c>
      <c r="D28" s="201">
        <f>'Table 3 Levels 1&amp;2'!AL25+'Table 3 Levels 1&amp;2'!AT25</f>
        <v>8167.3099808195993</v>
      </c>
      <c r="E28" s="202">
        <f t="shared" si="8"/>
        <v>0</v>
      </c>
      <c r="F28" s="202">
        <f>'Table 3A Level 3'!C27</f>
        <v>496.36</v>
      </c>
      <c r="G28" s="202">
        <f t="shared" si="9"/>
        <v>0</v>
      </c>
      <c r="H28" s="345">
        <f t="shared" si="10"/>
        <v>0</v>
      </c>
      <c r="I28" s="203">
        <f>'[1]Oct midyear LSMSA'!K25</f>
        <v>0</v>
      </c>
      <c r="J28" s="203">
        <f>'[1]Feb midyear LSMSA'!K25</f>
        <v>0</v>
      </c>
      <c r="K28" s="204">
        <f t="shared" si="11"/>
        <v>0</v>
      </c>
      <c r="L28" s="345">
        <f t="shared" si="6"/>
        <v>0</v>
      </c>
      <c r="M28" s="201">
        <v>0</v>
      </c>
      <c r="N28" s="351">
        <f t="shared" si="7"/>
        <v>0</v>
      </c>
      <c r="O28" s="203">
        <f>8*'[2]Table 5A5_LSMSA'!Q28</f>
        <v>0</v>
      </c>
      <c r="P28" s="203">
        <f t="shared" si="12"/>
        <v>0</v>
      </c>
      <c r="Q28" s="351">
        <f t="shared" si="13"/>
        <v>0</v>
      </c>
      <c r="R28" s="351">
        <f t="shared" si="14"/>
        <v>0</v>
      </c>
    </row>
    <row r="29" spans="1:18" ht="16.149999999999999" customHeight="1">
      <c r="A29" s="198">
        <v>23</v>
      </c>
      <c r="B29" s="199" t="s">
        <v>95</v>
      </c>
      <c r="C29" s="200">
        <f>+'[16]Table 8 Membership 2.1.14'!W25</f>
        <v>6</v>
      </c>
      <c r="D29" s="201">
        <f>'Table 3 Levels 1&amp;2'!AL26+'Table 3 Levels 1&amp;2'!AT26</f>
        <v>8410.0315265979152</v>
      </c>
      <c r="E29" s="202">
        <f t="shared" si="8"/>
        <v>50460.189159587491</v>
      </c>
      <c r="F29" s="202">
        <f>'Table 3A Level 3'!C28</f>
        <v>688.58</v>
      </c>
      <c r="G29" s="202">
        <f t="shared" si="9"/>
        <v>4131.4800000000005</v>
      </c>
      <c r="H29" s="345">
        <f t="shared" si="10"/>
        <v>54591.669159587495</v>
      </c>
      <c r="I29" s="203">
        <f>'[1]Oct midyear LSMSA'!K26</f>
        <v>-9098.6115265979151</v>
      </c>
      <c r="J29" s="203">
        <f>'[1]Feb midyear LSMSA'!K26</f>
        <v>0</v>
      </c>
      <c r="K29" s="204">
        <f t="shared" si="11"/>
        <v>-9098.6115265979151</v>
      </c>
      <c r="L29" s="345">
        <f t="shared" si="6"/>
        <v>45493.057632989578</v>
      </c>
      <c r="M29" s="201">
        <v>0</v>
      </c>
      <c r="N29" s="351">
        <f t="shared" si="7"/>
        <v>45493.057632989578</v>
      </c>
      <c r="O29" s="203">
        <f>8*'[2]Table 5A5_LSMSA'!Q29</f>
        <v>36392</v>
      </c>
      <c r="P29" s="203">
        <f t="shared" si="12"/>
        <v>9101.0576329895775</v>
      </c>
      <c r="Q29" s="351">
        <f t="shared" si="13"/>
        <v>2275</v>
      </c>
      <c r="R29" s="351">
        <f t="shared" si="14"/>
        <v>45493.057632989578</v>
      </c>
    </row>
    <row r="30" spans="1:18" ht="16.149999999999999" customHeight="1">
      <c r="A30" s="198">
        <v>24</v>
      </c>
      <c r="B30" s="199" t="s">
        <v>96</v>
      </c>
      <c r="C30" s="200">
        <f>+'[16]Table 8 Membership 2.1.14'!W26</f>
        <v>3</v>
      </c>
      <c r="D30" s="201">
        <f>'Table 3 Levels 1&amp;2'!AL27+'Table 3 Levels 1&amp;2'!AT27</f>
        <v>8097.6440361577006</v>
      </c>
      <c r="E30" s="202">
        <f t="shared" si="8"/>
        <v>24292.932108473102</v>
      </c>
      <c r="F30" s="202">
        <f>'Table 3A Level 3'!C29</f>
        <v>854.24999999999989</v>
      </c>
      <c r="G30" s="202">
        <f t="shared" si="9"/>
        <v>2562.7499999999995</v>
      </c>
      <c r="H30" s="345">
        <f t="shared" si="10"/>
        <v>26855.682108473102</v>
      </c>
      <c r="I30" s="203">
        <f>'[1]Oct midyear LSMSA'!K27</f>
        <v>-17903.788072315401</v>
      </c>
      <c r="J30" s="203">
        <f>'[1]Feb midyear LSMSA'!K27</f>
        <v>0</v>
      </c>
      <c r="K30" s="204">
        <f t="shared" si="11"/>
        <v>-17903.788072315401</v>
      </c>
      <c r="L30" s="345">
        <f t="shared" si="6"/>
        <v>8951.8940361577006</v>
      </c>
      <c r="M30" s="201">
        <v>0</v>
      </c>
      <c r="N30" s="351">
        <f t="shared" si="7"/>
        <v>8951.8940361577006</v>
      </c>
      <c r="O30" s="203">
        <f>8*'[2]Table 5A5_LSMSA'!Q30</f>
        <v>17904</v>
      </c>
      <c r="P30" s="203">
        <f t="shared" si="12"/>
        <v>-8952.1059638422994</v>
      </c>
      <c r="Q30" s="351">
        <f t="shared" si="13"/>
        <v>-2238</v>
      </c>
      <c r="R30" s="351">
        <f t="shared" si="14"/>
        <v>8951.8940361577006</v>
      </c>
    </row>
    <row r="31" spans="1:18" ht="16.149999999999999" customHeight="1">
      <c r="A31" s="191">
        <v>25</v>
      </c>
      <c r="B31" s="192" t="s">
        <v>97</v>
      </c>
      <c r="C31" s="193">
        <f>+'[16]Table 8 Membership 2.1.14'!W27</f>
        <v>0</v>
      </c>
      <c r="D31" s="194">
        <f>'Table 3 Levels 1&amp;2'!AL28+'Table 3 Levels 1&amp;2'!AT28</f>
        <v>8543.4620274945701</v>
      </c>
      <c r="E31" s="195">
        <f t="shared" si="8"/>
        <v>0</v>
      </c>
      <c r="F31" s="195">
        <f>'Table 3A Level 3'!C30</f>
        <v>653.73</v>
      </c>
      <c r="G31" s="195">
        <f t="shared" si="9"/>
        <v>0</v>
      </c>
      <c r="H31" s="346">
        <f t="shared" si="10"/>
        <v>0</v>
      </c>
      <c r="I31" s="196">
        <f>'[1]Oct midyear LSMSA'!K28</f>
        <v>0</v>
      </c>
      <c r="J31" s="196">
        <f>'[1]Feb midyear LSMSA'!K28</f>
        <v>0</v>
      </c>
      <c r="K31" s="197">
        <f t="shared" si="11"/>
        <v>0</v>
      </c>
      <c r="L31" s="346">
        <f t="shared" si="6"/>
        <v>0</v>
      </c>
      <c r="M31" s="194">
        <v>0</v>
      </c>
      <c r="N31" s="352">
        <f t="shared" si="7"/>
        <v>0</v>
      </c>
      <c r="O31" s="622">
        <f>8*'[2]Table 5A5_LSMSA'!Q31</f>
        <v>0</v>
      </c>
      <c r="P31" s="196">
        <f t="shared" si="12"/>
        <v>0</v>
      </c>
      <c r="Q31" s="356">
        <f t="shared" si="13"/>
        <v>0</v>
      </c>
      <c r="R31" s="352">
        <f t="shared" si="14"/>
        <v>0</v>
      </c>
    </row>
    <row r="32" spans="1:18" ht="16.149999999999999" customHeight="1">
      <c r="A32" s="205">
        <v>26</v>
      </c>
      <c r="B32" s="206" t="s">
        <v>98</v>
      </c>
      <c r="C32" s="207">
        <f>+'[16]Table 8 Membership 2.1.14'!W28</f>
        <v>6</v>
      </c>
      <c r="D32" s="208">
        <f>'Table 3 Levels 1&amp;2'!AL29+'Table 3 Levels 1&amp;2'!AT29</f>
        <v>8210.4549970570843</v>
      </c>
      <c r="E32" s="209">
        <f t="shared" si="8"/>
        <v>49262.729982342506</v>
      </c>
      <c r="F32" s="209">
        <f>'Table 3A Level 3'!C31</f>
        <v>836.83</v>
      </c>
      <c r="G32" s="209">
        <f t="shared" si="9"/>
        <v>5020.9800000000005</v>
      </c>
      <c r="H32" s="344">
        <f t="shared" si="10"/>
        <v>54283.709982342509</v>
      </c>
      <c r="I32" s="210">
        <f>'[1]Oct midyear LSMSA'!K29</f>
        <v>36189.139988228337</v>
      </c>
      <c r="J32" s="210">
        <f>'[1]Feb midyear LSMSA'!K29</f>
        <v>0</v>
      </c>
      <c r="K32" s="211">
        <f t="shared" si="11"/>
        <v>36189.139988228337</v>
      </c>
      <c r="L32" s="344">
        <f t="shared" si="6"/>
        <v>90472.849970570853</v>
      </c>
      <c r="M32" s="208">
        <v>0</v>
      </c>
      <c r="N32" s="350">
        <f t="shared" si="7"/>
        <v>90472.849970570853</v>
      </c>
      <c r="O32" s="210">
        <f>8*'[2]Table 5A5_LSMSA'!Q32</f>
        <v>36192</v>
      </c>
      <c r="P32" s="210">
        <f t="shared" si="12"/>
        <v>54280.849970570853</v>
      </c>
      <c r="Q32" s="350">
        <f t="shared" si="13"/>
        <v>13570</v>
      </c>
      <c r="R32" s="361">
        <f t="shared" si="14"/>
        <v>90472.849970570853</v>
      </c>
    </row>
    <row r="33" spans="1:18" ht="16.149999999999999" customHeight="1">
      <c r="A33" s="198">
        <v>27</v>
      </c>
      <c r="B33" s="199" t="s">
        <v>99</v>
      </c>
      <c r="C33" s="200">
        <f>+'[16]Table 8 Membership 2.1.14'!W29</f>
        <v>0</v>
      </c>
      <c r="D33" s="201">
        <f>'Table 3 Levels 1&amp;2'!AL30+'Table 3 Levels 1&amp;2'!AT30</f>
        <v>8955.5713839976997</v>
      </c>
      <c r="E33" s="202">
        <f t="shared" si="8"/>
        <v>0</v>
      </c>
      <c r="F33" s="202">
        <f>'Table 3A Level 3'!C32</f>
        <v>693.06</v>
      </c>
      <c r="G33" s="202">
        <f t="shared" si="9"/>
        <v>0</v>
      </c>
      <c r="H33" s="345">
        <f t="shared" si="10"/>
        <v>0</v>
      </c>
      <c r="I33" s="203">
        <f>'[1]Oct midyear LSMSA'!K30</f>
        <v>9648.6313839976992</v>
      </c>
      <c r="J33" s="203">
        <f>'[1]Feb midyear LSMSA'!K30</f>
        <v>0</v>
      </c>
      <c r="K33" s="204">
        <f t="shared" si="11"/>
        <v>9648.6313839976992</v>
      </c>
      <c r="L33" s="345">
        <f t="shared" si="6"/>
        <v>9648.6313839976992</v>
      </c>
      <c r="M33" s="201">
        <v>0</v>
      </c>
      <c r="N33" s="351">
        <f t="shared" si="7"/>
        <v>9648.6313839976992</v>
      </c>
      <c r="O33" s="203">
        <f>8*'[2]Table 5A5_LSMSA'!Q33</f>
        <v>0</v>
      </c>
      <c r="P33" s="203">
        <f t="shared" si="12"/>
        <v>9648.6313839976992</v>
      </c>
      <c r="Q33" s="351">
        <f t="shared" si="13"/>
        <v>2412</v>
      </c>
      <c r="R33" s="351">
        <f t="shared" si="14"/>
        <v>9648.6313839976992</v>
      </c>
    </row>
    <row r="34" spans="1:18" ht="16.149999999999999" customHeight="1">
      <c r="A34" s="198">
        <v>28</v>
      </c>
      <c r="B34" s="199" t="s">
        <v>100</v>
      </c>
      <c r="C34" s="200">
        <f>+'[16]Table 8 Membership 2.1.14'!W30</f>
        <v>12</v>
      </c>
      <c r="D34" s="201">
        <f>'Table 3 Levels 1&amp;2'!AL31+'Table 3 Levels 1&amp;2'!AT31</f>
        <v>7456.3358846568826</v>
      </c>
      <c r="E34" s="202">
        <f t="shared" si="8"/>
        <v>89476.030615882599</v>
      </c>
      <c r="F34" s="202">
        <f>'Table 3A Level 3'!C33</f>
        <v>694.4</v>
      </c>
      <c r="G34" s="202">
        <f t="shared" si="9"/>
        <v>8332.7999999999993</v>
      </c>
      <c r="H34" s="345">
        <f t="shared" si="10"/>
        <v>97808.830615882602</v>
      </c>
      <c r="I34" s="203">
        <f>'[1]Oct midyear LSMSA'!K31</f>
        <v>-24452.207653970647</v>
      </c>
      <c r="J34" s="203">
        <f>'[1]Feb midyear LSMSA'!K31</f>
        <v>0</v>
      </c>
      <c r="K34" s="204">
        <f t="shared" si="11"/>
        <v>-24452.207653970647</v>
      </c>
      <c r="L34" s="345">
        <f t="shared" si="6"/>
        <v>73356.622961911955</v>
      </c>
      <c r="M34" s="201">
        <v>0</v>
      </c>
      <c r="N34" s="351">
        <f t="shared" si="7"/>
        <v>73356.622961911955</v>
      </c>
      <c r="O34" s="203">
        <f>8*'[2]Table 5A5_LSMSA'!Q34</f>
        <v>65208</v>
      </c>
      <c r="P34" s="203">
        <f t="shared" si="12"/>
        <v>8148.6229619119549</v>
      </c>
      <c r="Q34" s="351">
        <f t="shared" si="13"/>
        <v>2037</v>
      </c>
      <c r="R34" s="351">
        <f t="shared" si="14"/>
        <v>73356.622961911955</v>
      </c>
    </row>
    <row r="35" spans="1:18" ht="16.149999999999999" customHeight="1">
      <c r="A35" s="198">
        <v>29</v>
      </c>
      <c r="B35" s="199" t="s">
        <v>101</v>
      </c>
      <c r="C35" s="200">
        <f>+'[16]Table 8 Membership 2.1.14'!W31</f>
        <v>3</v>
      </c>
      <c r="D35" s="201">
        <f>'Table 3 Levels 1&amp;2'!AL32+'Table 3 Levels 1&amp;2'!AT32</f>
        <v>7545.1123210173719</v>
      </c>
      <c r="E35" s="202">
        <f t="shared" si="8"/>
        <v>22635.336963052116</v>
      </c>
      <c r="F35" s="202">
        <f>'Table 3A Level 3'!C34</f>
        <v>754.94999999999993</v>
      </c>
      <c r="G35" s="202">
        <f t="shared" si="9"/>
        <v>2264.85</v>
      </c>
      <c r="H35" s="345">
        <f t="shared" si="10"/>
        <v>24900.186963052114</v>
      </c>
      <c r="I35" s="203">
        <f>'[1]Oct midyear LSMSA'!K32</f>
        <v>16600.124642034745</v>
      </c>
      <c r="J35" s="203">
        <f>'[1]Feb midyear LSMSA'!K32</f>
        <v>0</v>
      </c>
      <c r="K35" s="204">
        <f t="shared" si="11"/>
        <v>16600.124642034745</v>
      </c>
      <c r="L35" s="345">
        <f t="shared" si="6"/>
        <v>41500.311605086856</v>
      </c>
      <c r="M35" s="201">
        <v>0</v>
      </c>
      <c r="N35" s="351">
        <f t="shared" si="7"/>
        <v>41500.311605086856</v>
      </c>
      <c r="O35" s="203">
        <f>8*'[2]Table 5A5_LSMSA'!Q35</f>
        <v>16600</v>
      </c>
      <c r="P35" s="203">
        <f t="shared" si="12"/>
        <v>24900.311605086856</v>
      </c>
      <c r="Q35" s="351">
        <f t="shared" si="13"/>
        <v>6225</v>
      </c>
      <c r="R35" s="351">
        <f t="shared" si="14"/>
        <v>41500.311605086856</v>
      </c>
    </row>
    <row r="36" spans="1:18" ht="16.149999999999999" customHeight="1">
      <c r="A36" s="191">
        <v>30</v>
      </c>
      <c r="B36" s="192" t="s">
        <v>102</v>
      </c>
      <c r="C36" s="193">
        <f>+'[16]Table 8 Membership 2.1.14'!W32</f>
        <v>0</v>
      </c>
      <c r="D36" s="194">
        <f>'Table 3 Levels 1&amp;2'!AL33+'Table 3 Levels 1&amp;2'!AT33</f>
        <v>8956.7027273996755</v>
      </c>
      <c r="E36" s="195">
        <f t="shared" si="8"/>
        <v>0</v>
      </c>
      <c r="F36" s="195">
        <f>'Table 3A Level 3'!C35</f>
        <v>727.17</v>
      </c>
      <c r="G36" s="195">
        <f t="shared" si="9"/>
        <v>0</v>
      </c>
      <c r="H36" s="346">
        <f t="shared" si="10"/>
        <v>0</v>
      </c>
      <c r="I36" s="196">
        <f>'[1]Oct midyear LSMSA'!K33</f>
        <v>9683.8727273996756</v>
      </c>
      <c r="J36" s="196">
        <f>'[1]Feb midyear LSMSA'!K33</f>
        <v>0</v>
      </c>
      <c r="K36" s="197">
        <f t="shared" si="11"/>
        <v>9683.8727273996756</v>
      </c>
      <c r="L36" s="346">
        <f t="shared" si="6"/>
        <v>9683.8727273996756</v>
      </c>
      <c r="M36" s="194">
        <v>0</v>
      </c>
      <c r="N36" s="352">
        <f t="shared" si="7"/>
        <v>9683.8727273996756</v>
      </c>
      <c r="O36" s="622">
        <f>8*'[2]Table 5A5_LSMSA'!Q36</f>
        <v>0</v>
      </c>
      <c r="P36" s="196">
        <f t="shared" si="12"/>
        <v>9683.8727273996756</v>
      </c>
      <c r="Q36" s="356">
        <f t="shared" si="13"/>
        <v>2421</v>
      </c>
      <c r="R36" s="352">
        <f t="shared" si="14"/>
        <v>9683.8727273996756</v>
      </c>
    </row>
    <row r="37" spans="1:18" ht="16.149999999999999" customHeight="1">
      <c r="A37" s="205">
        <v>31</v>
      </c>
      <c r="B37" s="206" t="s">
        <v>103</v>
      </c>
      <c r="C37" s="207">
        <f>+'[16]Table 8 Membership 2.1.14'!W33</f>
        <v>3</v>
      </c>
      <c r="D37" s="208">
        <f>'Table 3 Levels 1&amp;2'!AL34+'Table 3 Levels 1&amp;2'!AT34</f>
        <v>8360.1876716868537</v>
      </c>
      <c r="E37" s="209">
        <f t="shared" si="8"/>
        <v>25080.563015060561</v>
      </c>
      <c r="F37" s="209">
        <f>'Table 3A Level 3'!C36</f>
        <v>620.83000000000004</v>
      </c>
      <c r="G37" s="209">
        <f t="shared" si="9"/>
        <v>1862.4900000000002</v>
      </c>
      <c r="H37" s="344">
        <f t="shared" si="10"/>
        <v>26943.053015060563</v>
      </c>
      <c r="I37" s="210">
        <f>'[1]Oct midyear LSMSA'!K34</f>
        <v>-8981.0176716868536</v>
      </c>
      <c r="J37" s="210">
        <f>'[1]Feb midyear LSMSA'!K34</f>
        <v>0</v>
      </c>
      <c r="K37" s="211">
        <f t="shared" si="11"/>
        <v>-8981.0176716868536</v>
      </c>
      <c r="L37" s="344">
        <f t="shared" si="6"/>
        <v>17962.035343373711</v>
      </c>
      <c r="M37" s="208">
        <v>0</v>
      </c>
      <c r="N37" s="350">
        <f t="shared" si="7"/>
        <v>17962.035343373711</v>
      </c>
      <c r="O37" s="210">
        <f>8*'[2]Table 5A5_LSMSA'!Q37</f>
        <v>17960</v>
      </c>
      <c r="P37" s="210">
        <f t="shared" si="12"/>
        <v>2.0353433737109299</v>
      </c>
      <c r="Q37" s="350">
        <f t="shared" si="13"/>
        <v>1</v>
      </c>
      <c r="R37" s="361">
        <f t="shared" si="14"/>
        <v>17962.035343373711</v>
      </c>
    </row>
    <row r="38" spans="1:18" ht="16.149999999999999" customHeight="1">
      <c r="A38" s="198">
        <v>32</v>
      </c>
      <c r="B38" s="199" t="s">
        <v>104</v>
      </c>
      <c r="C38" s="200">
        <f>+'[16]Table 8 Membership 2.1.14'!W34</f>
        <v>17</v>
      </c>
      <c r="D38" s="201">
        <f>'Table 3 Levels 1&amp;2'!AL35+'Table 3 Levels 1&amp;2'!AT35</f>
        <v>7725.779189061127</v>
      </c>
      <c r="E38" s="202">
        <f t="shared" si="8"/>
        <v>131338.24621403916</v>
      </c>
      <c r="F38" s="202">
        <f>'Table 3A Level 3'!C37</f>
        <v>559.77</v>
      </c>
      <c r="G38" s="202">
        <f t="shared" si="9"/>
        <v>9516.09</v>
      </c>
      <c r="H38" s="345">
        <f t="shared" si="10"/>
        <v>140854.33621403915</v>
      </c>
      <c r="I38" s="203">
        <f>'[1]Oct midyear LSMSA'!K35</f>
        <v>74569.942701550142</v>
      </c>
      <c r="J38" s="203">
        <f>'[1]Feb midyear LSMSA'!K35</f>
        <v>-8285.5491890611265</v>
      </c>
      <c r="K38" s="204">
        <f t="shared" si="11"/>
        <v>66284.393512489012</v>
      </c>
      <c r="L38" s="345">
        <f t="shared" si="6"/>
        <v>207138.72972652817</v>
      </c>
      <c r="M38" s="201">
        <v>0</v>
      </c>
      <c r="N38" s="351">
        <f t="shared" si="7"/>
        <v>207138.72972652817</v>
      </c>
      <c r="O38" s="203">
        <f>8*'[2]Table 5A5_LSMSA'!Q38</f>
        <v>93904</v>
      </c>
      <c r="P38" s="203">
        <f t="shared" si="12"/>
        <v>113234.72972652817</v>
      </c>
      <c r="Q38" s="351">
        <f t="shared" si="13"/>
        <v>28309</v>
      </c>
      <c r="R38" s="351">
        <f t="shared" si="14"/>
        <v>207138.72972652817</v>
      </c>
    </row>
    <row r="39" spans="1:18" ht="16.149999999999999" customHeight="1">
      <c r="A39" s="198">
        <v>33</v>
      </c>
      <c r="B39" s="199" t="s">
        <v>105</v>
      </c>
      <c r="C39" s="200">
        <f>+'[16]Table 8 Membership 2.1.14'!W35</f>
        <v>0</v>
      </c>
      <c r="D39" s="201">
        <f>'Table 3 Levels 1&amp;2'!AL36+'Table 3 Levels 1&amp;2'!AT36</f>
        <v>8946.2054558085238</v>
      </c>
      <c r="E39" s="202">
        <f t="shared" si="8"/>
        <v>0</v>
      </c>
      <c r="F39" s="202">
        <f>'Table 3A Level 3'!C38</f>
        <v>655.31000000000006</v>
      </c>
      <c r="G39" s="202">
        <f t="shared" si="9"/>
        <v>0</v>
      </c>
      <c r="H39" s="345">
        <f t="shared" si="10"/>
        <v>0</v>
      </c>
      <c r="I39" s="203">
        <f>'[1]Oct midyear LSMSA'!K36</f>
        <v>0</v>
      </c>
      <c r="J39" s="203">
        <f>'[1]Feb midyear LSMSA'!K36</f>
        <v>0</v>
      </c>
      <c r="K39" s="204">
        <f t="shared" si="11"/>
        <v>0</v>
      </c>
      <c r="L39" s="345">
        <f t="shared" si="6"/>
        <v>0</v>
      </c>
      <c r="M39" s="201">
        <v>0</v>
      </c>
      <c r="N39" s="351">
        <f t="shared" ref="N39:N70" si="15">SUM(L39:M39)</f>
        <v>0</v>
      </c>
      <c r="O39" s="203">
        <f>8*'[2]Table 5A5_LSMSA'!Q39</f>
        <v>0</v>
      </c>
      <c r="P39" s="203">
        <f t="shared" si="12"/>
        <v>0</v>
      </c>
      <c r="Q39" s="351">
        <f t="shared" si="13"/>
        <v>0</v>
      </c>
      <c r="R39" s="351">
        <f t="shared" si="14"/>
        <v>0</v>
      </c>
    </row>
    <row r="40" spans="1:18" ht="16.149999999999999" customHeight="1">
      <c r="A40" s="198">
        <v>34</v>
      </c>
      <c r="B40" s="199" t="s">
        <v>106</v>
      </c>
      <c r="C40" s="200">
        <f>+'[16]Table 8 Membership 2.1.14'!W36</f>
        <v>1</v>
      </c>
      <c r="D40" s="201">
        <f>'Table 3 Levels 1&amp;2'!AL37+'Table 3 Levels 1&amp;2'!AT37</f>
        <v>9175.6276842789011</v>
      </c>
      <c r="E40" s="202">
        <f t="shared" si="8"/>
        <v>9175.6276842789011</v>
      </c>
      <c r="F40" s="202">
        <f>'Table 3A Level 3'!C39</f>
        <v>644.11000000000013</v>
      </c>
      <c r="G40" s="202">
        <f t="shared" si="9"/>
        <v>644.11000000000013</v>
      </c>
      <c r="H40" s="345">
        <f t="shared" si="10"/>
        <v>9819.7376842789017</v>
      </c>
      <c r="I40" s="203">
        <f>'[1]Oct midyear LSMSA'!K37</f>
        <v>9819.7376842789017</v>
      </c>
      <c r="J40" s="203">
        <f>'[1]Feb midyear LSMSA'!K37</f>
        <v>0</v>
      </c>
      <c r="K40" s="204">
        <f t="shared" si="11"/>
        <v>9819.7376842789017</v>
      </c>
      <c r="L40" s="345">
        <f t="shared" si="6"/>
        <v>19639.475368557803</v>
      </c>
      <c r="M40" s="201">
        <v>0</v>
      </c>
      <c r="N40" s="351">
        <f t="shared" si="15"/>
        <v>19639.475368557803</v>
      </c>
      <c r="O40" s="203">
        <f>8*'[2]Table 5A5_LSMSA'!Q40</f>
        <v>6544</v>
      </c>
      <c r="P40" s="203">
        <f t="shared" si="12"/>
        <v>13095.475368557803</v>
      </c>
      <c r="Q40" s="351">
        <f t="shared" si="13"/>
        <v>3274</v>
      </c>
      <c r="R40" s="351">
        <f t="shared" si="14"/>
        <v>19639.475368557803</v>
      </c>
    </row>
    <row r="41" spans="1:18" ht="16.149999999999999" customHeight="1">
      <c r="A41" s="191">
        <v>35</v>
      </c>
      <c r="B41" s="192" t="s">
        <v>107</v>
      </c>
      <c r="C41" s="193">
        <f>+'[16]Table 8 Membership 2.1.14'!W37</f>
        <v>17</v>
      </c>
      <c r="D41" s="194">
        <f>'Table 3 Levels 1&amp;2'!AL38+'Table 3 Levels 1&amp;2'!AT38</f>
        <v>8462.9982060477596</v>
      </c>
      <c r="E41" s="195">
        <f t="shared" si="8"/>
        <v>143870.9695028119</v>
      </c>
      <c r="F41" s="195">
        <f>'Table 3A Level 3'!C40</f>
        <v>537.96</v>
      </c>
      <c r="G41" s="195">
        <f t="shared" si="9"/>
        <v>9145.32</v>
      </c>
      <c r="H41" s="346">
        <f t="shared" si="10"/>
        <v>153016.28950281191</v>
      </c>
      <c r="I41" s="196">
        <f>'[1]Oct midyear LSMSA'!K38</f>
        <v>36003.832824191035</v>
      </c>
      <c r="J41" s="196">
        <f>'[1]Feb midyear LSMSA'!K38</f>
        <v>0</v>
      </c>
      <c r="K41" s="197">
        <f t="shared" si="11"/>
        <v>36003.832824191035</v>
      </c>
      <c r="L41" s="346">
        <f t="shared" si="6"/>
        <v>189020.12232700293</v>
      </c>
      <c r="M41" s="194">
        <v>0</v>
      </c>
      <c r="N41" s="352">
        <f t="shared" si="15"/>
        <v>189020.12232700293</v>
      </c>
      <c r="O41" s="622">
        <f>8*'[2]Table 5A5_LSMSA'!Q41</f>
        <v>102008</v>
      </c>
      <c r="P41" s="196">
        <f t="shared" si="12"/>
        <v>87012.12232700293</v>
      </c>
      <c r="Q41" s="356">
        <f t="shared" si="13"/>
        <v>21753</v>
      </c>
      <c r="R41" s="352">
        <f t="shared" si="14"/>
        <v>189020.12232700293</v>
      </c>
    </row>
    <row r="42" spans="1:18" ht="16.149999999999999" customHeight="1">
      <c r="A42" s="205">
        <v>36</v>
      </c>
      <c r="B42" s="206" t="s">
        <v>108</v>
      </c>
      <c r="C42" s="207">
        <f>+'[16]Table 8 Membership 2.1.14'!W38</f>
        <v>2</v>
      </c>
      <c r="D42" s="208">
        <f>'Table 3 Levels 1&amp;2'!AL39+'Table 3 Levels 1&amp;2'!AT39</f>
        <v>8125.9709974327861</v>
      </c>
      <c r="E42" s="209">
        <f t="shared" si="8"/>
        <v>16251.941994865572</v>
      </c>
      <c r="F42" s="209">
        <f>'Table 5B1_RSD_Orleans'!F82</f>
        <v>746.0335616438357</v>
      </c>
      <c r="G42" s="209">
        <f t="shared" si="9"/>
        <v>1492.0671232876714</v>
      </c>
      <c r="H42" s="344">
        <f t="shared" si="10"/>
        <v>17744.009118153244</v>
      </c>
      <c r="I42" s="210">
        <f>'[1]Oct midyear LSMSA'!K39</f>
        <v>8872.0045590766222</v>
      </c>
      <c r="J42" s="210">
        <f>'[1]Feb midyear LSMSA'!K39</f>
        <v>0</v>
      </c>
      <c r="K42" s="211">
        <f t="shared" si="11"/>
        <v>8872.0045590766222</v>
      </c>
      <c r="L42" s="344">
        <f t="shared" si="6"/>
        <v>26616.013677229865</v>
      </c>
      <c r="M42" s="208">
        <v>0</v>
      </c>
      <c r="N42" s="350">
        <f t="shared" si="15"/>
        <v>26616.013677229865</v>
      </c>
      <c r="O42" s="210">
        <f>8*'[2]Table 5A5_LSMSA'!Q42</f>
        <v>11832</v>
      </c>
      <c r="P42" s="210">
        <f t="shared" si="12"/>
        <v>14784.013677229865</v>
      </c>
      <c r="Q42" s="350">
        <f t="shared" si="13"/>
        <v>3696</v>
      </c>
      <c r="R42" s="361">
        <f t="shared" si="14"/>
        <v>26616.013677229865</v>
      </c>
    </row>
    <row r="43" spans="1:18" ht="16.149999999999999" customHeight="1">
      <c r="A43" s="198">
        <v>37</v>
      </c>
      <c r="B43" s="199" t="s">
        <v>109</v>
      </c>
      <c r="C43" s="200">
        <f>+'[16]Table 8 Membership 2.1.14'!W39</f>
        <v>7</v>
      </c>
      <c r="D43" s="201">
        <f>'Table 3 Levels 1&amp;2'!AL40+'Table 3 Levels 1&amp;2'!AT40</f>
        <v>8622.1539260317695</v>
      </c>
      <c r="E43" s="202">
        <f t="shared" si="8"/>
        <v>60355.07748222239</v>
      </c>
      <c r="F43" s="202">
        <f>'Table 3A Level 3'!C42</f>
        <v>653.61</v>
      </c>
      <c r="G43" s="202">
        <f t="shared" si="9"/>
        <v>4575.2700000000004</v>
      </c>
      <c r="H43" s="345">
        <f t="shared" si="10"/>
        <v>64930.347482222394</v>
      </c>
      <c r="I43" s="203">
        <f>'[1]Oct midyear LSMSA'!K40</f>
        <v>-9275.7639260317701</v>
      </c>
      <c r="J43" s="203">
        <f>'[1]Feb midyear LSMSA'!K40</f>
        <v>0</v>
      </c>
      <c r="K43" s="204">
        <f t="shared" si="11"/>
        <v>-9275.7639260317701</v>
      </c>
      <c r="L43" s="345">
        <f t="shared" si="6"/>
        <v>55654.583556190628</v>
      </c>
      <c r="M43" s="201">
        <v>0</v>
      </c>
      <c r="N43" s="351">
        <f t="shared" si="15"/>
        <v>55654.583556190628</v>
      </c>
      <c r="O43" s="203">
        <f>8*'[2]Table 5A5_LSMSA'!Q43</f>
        <v>43288</v>
      </c>
      <c r="P43" s="203">
        <f t="shared" si="12"/>
        <v>12366.583556190628</v>
      </c>
      <c r="Q43" s="351">
        <f t="shared" si="13"/>
        <v>3092</v>
      </c>
      <c r="R43" s="351">
        <f t="shared" si="14"/>
        <v>55654.583556190628</v>
      </c>
    </row>
    <row r="44" spans="1:18" ht="16.149999999999999" customHeight="1">
      <c r="A44" s="198">
        <v>38</v>
      </c>
      <c r="B44" s="199" t="s">
        <v>110</v>
      </c>
      <c r="C44" s="200">
        <f>+'[16]Table 8 Membership 2.1.14'!W40</f>
        <v>1</v>
      </c>
      <c r="D44" s="201">
        <f>'Table 3 Levels 1&amp;2'!AL41+'Table 3 Levels 1&amp;2'!AT41</f>
        <v>8414.5817552916888</v>
      </c>
      <c r="E44" s="202">
        <f t="shared" si="8"/>
        <v>8414.5817552916888</v>
      </c>
      <c r="F44" s="202">
        <f>'Table 3A Level 3'!C43</f>
        <v>829.92000000000007</v>
      </c>
      <c r="G44" s="202">
        <f t="shared" si="9"/>
        <v>829.92000000000007</v>
      </c>
      <c r="H44" s="345">
        <f t="shared" si="10"/>
        <v>9244.5017552916888</v>
      </c>
      <c r="I44" s="203">
        <f>'[1]Oct midyear LSMSA'!K41</f>
        <v>9244.5017552916888</v>
      </c>
      <c r="J44" s="203">
        <f>'[1]Feb midyear LSMSA'!K41</f>
        <v>0</v>
      </c>
      <c r="K44" s="204">
        <f t="shared" si="11"/>
        <v>9244.5017552916888</v>
      </c>
      <c r="L44" s="345">
        <f t="shared" si="6"/>
        <v>18489.003510583378</v>
      </c>
      <c r="M44" s="201">
        <v>0</v>
      </c>
      <c r="N44" s="351">
        <f t="shared" si="15"/>
        <v>18489.003510583378</v>
      </c>
      <c r="O44" s="203">
        <f>8*'[2]Table 5A5_LSMSA'!Q44</f>
        <v>6160</v>
      </c>
      <c r="P44" s="203">
        <f t="shared" si="12"/>
        <v>12329.003510583378</v>
      </c>
      <c r="Q44" s="351">
        <f t="shared" si="13"/>
        <v>3082</v>
      </c>
      <c r="R44" s="351">
        <f t="shared" si="14"/>
        <v>18489.003510583378</v>
      </c>
    </row>
    <row r="45" spans="1:18" ht="16.149999999999999" customHeight="1">
      <c r="A45" s="198">
        <v>39</v>
      </c>
      <c r="B45" s="199" t="s">
        <v>111</v>
      </c>
      <c r="C45" s="200">
        <f>+'[16]Table 8 Membership 2.1.14'!W41</f>
        <v>6</v>
      </c>
      <c r="D45" s="201">
        <f>'Table 3 Levels 1&amp;2'!AL42+'Table 3 Levels 1&amp;2'!AT42</f>
        <v>8239.3056809295667</v>
      </c>
      <c r="E45" s="202">
        <f t="shared" si="8"/>
        <v>49435.8340855774</v>
      </c>
      <c r="F45" s="202">
        <f>'Table 3A Level 3'!C44</f>
        <v>779.65573042776396</v>
      </c>
      <c r="G45" s="202">
        <f t="shared" si="9"/>
        <v>4677.9343825665837</v>
      </c>
      <c r="H45" s="345">
        <f t="shared" si="10"/>
        <v>54113.768468143986</v>
      </c>
      <c r="I45" s="203">
        <f>'[1]Oct midyear LSMSA'!K42</f>
        <v>0</v>
      </c>
      <c r="J45" s="203">
        <f>'[1]Feb midyear LSMSA'!K42</f>
        <v>0</v>
      </c>
      <c r="K45" s="204">
        <f t="shared" si="11"/>
        <v>0</v>
      </c>
      <c r="L45" s="345">
        <f t="shared" si="6"/>
        <v>54113.768468143986</v>
      </c>
      <c r="M45" s="201">
        <v>0</v>
      </c>
      <c r="N45" s="351">
        <f t="shared" si="15"/>
        <v>54113.768468143986</v>
      </c>
      <c r="O45" s="203">
        <f>8*'[2]Table 5A5_LSMSA'!Q45</f>
        <v>36072</v>
      </c>
      <c r="P45" s="203">
        <f t="shared" si="12"/>
        <v>18041.768468143986</v>
      </c>
      <c r="Q45" s="351">
        <f t="shared" si="13"/>
        <v>4510</v>
      </c>
      <c r="R45" s="351">
        <f t="shared" si="14"/>
        <v>54113.768468143986</v>
      </c>
    </row>
    <row r="46" spans="1:18" ht="16.149999999999999" customHeight="1">
      <c r="A46" s="191">
        <v>40</v>
      </c>
      <c r="B46" s="192" t="s">
        <v>112</v>
      </c>
      <c r="C46" s="193">
        <f>+'[16]Table 8 Membership 2.1.14'!W42</f>
        <v>16</v>
      </c>
      <c r="D46" s="194">
        <f>'Table 3 Levels 1&amp;2'!AL43+'Table 3 Levels 1&amp;2'!AT43</f>
        <v>8217.96102856984</v>
      </c>
      <c r="E46" s="195">
        <f t="shared" si="8"/>
        <v>131487.37645711744</v>
      </c>
      <c r="F46" s="195">
        <f>'Table 3A Level 3'!C45</f>
        <v>700.2700000000001</v>
      </c>
      <c r="G46" s="195">
        <f t="shared" si="9"/>
        <v>11204.320000000002</v>
      </c>
      <c r="H46" s="346">
        <f t="shared" si="10"/>
        <v>142691.69645711745</v>
      </c>
      <c r="I46" s="196">
        <f>'[1]Oct midyear LSMSA'!K43</f>
        <v>0</v>
      </c>
      <c r="J46" s="196">
        <f>'[1]Feb midyear LSMSA'!K43</f>
        <v>-8918.2310285698404</v>
      </c>
      <c r="K46" s="197">
        <f t="shared" si="11"/>
        <v>-8918.2310285698404</v>
      </c>
      <c r="L46" s="346">
        <f t="shared" si="6"/>
        <v>133773.46542854761</v>
      </c>
      <c r="M46" s="194">
        <v>0</v>
      </c>
      <c r="N46" s="352">
        <f t="shared" si="15"/>
        <v>133773.46542854761</v>
      </c>
      <c r="O46" s="622">
        <f>8*'[2]Table 5A5_LSMSA'!Q46</f>
        <v>95128</v>
      </c>
      <c r="P46" s="196">
        <f t="shared" si="12"/>
        <v>38645.465428547614</v>
      </c>
      <c r="Q46" s="356">
        <f t="shared" si="13"/>
        <v>9661</v>
      </c>
      <c r="R46" s="352">
        <f t="shared" si="14"/>
        <v>133773.46542854761</v>
      </c>
    </row>
    <row r="47" spans="1:18" ht="16.149999999999999" customHeight="1">
      <c r="A47" s="205">
        <v>41</v>
      </c>
      <c r="B47" s="206" t="s">
        <v>113</v>
      </c>
      <c r="C47" s="207">
        <f>+'[16]Table 8 Membership 2.1.14'!W43</f>
        <v>1</v>
      </c>
      <c r="D47" s="208">
        <f>'Table 3 Levels 1&amp;2'!AL44+'Table 3 Levels 1&amp;2'!AT44</f>
        <v>8413.194857471648</v>
      </c>
      <c r="E47" s="209">
        <f t="shared" si="8"/>
        <v>8413.194857471648</v>
      </c>
      <c r="F47" s="209">
        <f>'Table 3A Level 3'!C46</f>
        <v>886.22</v>
      </c>
      <c r="G47" s="209">
        <f t="shared" si="9"/>
        <v>886.22</v>
      </c>
      <c r="H47" s="344">
        <f t="shared" si="10"/>
        <v>9299.4148574716473</v>
      </c>
      <c r="I47" s="210">
        <f>'[1]Oct midyear LSMSA'!K44</f>
        <v>9299.4148574716473</v>
      </c>
      <c r="J47" s="210">
        <f>'[1]Feb midyear LSMSA'!K44</f>
        <v>0</v>
      </c>
      <c r="K47" s="211">
        <f t="shared" si="11"/>
        <v>9299.4148574716473</v>
      </c>
      <c r="L47" s="344">
        <f t="shared" si="6"/>
        <v>18598.829714943295</v>
      </c>
      <c r="M47" s="208">
        <v>0</v>
      </c>
      <c r="N47" s="350">
        <f t="shared" si="15"/>
        <v>18598.829714943295</v>
      </c>
      <c r="O47" s="210">
        <f>8*'[2]Table 5A5_LSMSA'!Q47</f>
        <v>6200</v>
      </c>
      <c r="P47" s="210">
        <f t="shared" si="12"/>
        <v>12398.829714943295</v>
      </c>
      <c r="Q47" s="350">
        <f t="shared" si="13"/>
        <v>3100</v>
      </c>
      <c r="R47" s="361">
        <f t="shared" si="14"/>
        <v>18598.829714943295</v>
      </c>
    </row>
    <row r="48" spans="1:18" ht="16.149999999999999" customHeight="1">
      <c r="A48" s="198">
        <v>42</v>
      </c>
      <c r="B48" s="199" t="s">
        <v>114</v>
      </c>
      <c r="C48" s="200">
        <f>+'[16]Table 8 Membership 2.1.14'!W44</f>
        <v>0</v>
      </c>
      <c r="D48" s="201">
        <f>'Table 3 Levels 1&amp;2'!AL45+'Table 3 Levels 1&amp;2'!AT45</f>
        <v>8785.2777751368685</v>
      </c>
      <c r="E48" s="202">
        <f t="shared" si="8"/>
        <v>0</v>
      </c>
      <c r="F48" s="202">
        <f>'Table 3A Level 3'!C47</f>
        <v>534.28</v>
      </c>
      <c r="G48" s="202">
        <f t="shared" si="9"/>
        <v>0</v>
      </c>
      <c r="H48" s="345">
        <f t="shared" si="10"/>
        <v>0</v>
      </c>
      <c r="I48" s="203">
        <f>'[1]Oct midyear LSMSA'!K45</f>
        <v>9319.5577751368692</v>
      </c>
      <c r="J48" s="203">
        <f>'[1]Feb midyear LSMSA'!K45</f>
        <v>0</v>
      </c>
      <c r="K48" s="204">
        <f t="shared" si="11"/>
        <v>9319.5577751368692</v>
      </c>
      <c r="L48" s="345">
        <f t="shared" si="6"/>
        <v>9319.5577751368692</v>
      </c>
      <c r="M48" s="201">
        <v>0</v>
      </c>
      <c r="N48" s="351">
        <f t="shared" si="15"/>
        <v>9319.5577751368692</v>
      </c>
      <c r="O48" s="203">
        <f>8*'[2]Table 5A5_LSMSA'!Q48</f>
        <v>0</v>
      </c>
      <c r="P48" s="203">
        <f t="shared" si="12"/>
        <v>9319.5577751368692</v>
      </c>
      <c r="Q48" s="351">
        <f t="shared" si="13"/>
        <v>2330</v>
      </c>
      <c r="R48" s="351">
        <f t="shared" si="14"/>
        <v>9319.5577751368692</v>
      </c>
    </row>
    <row r="49" spans="1:18" ht="16.149999999999999" customHeight="1">
      <c r="A49" s="198">
        <v>43</v>
      </c>
      <c r="B49" s="199" t="s">
        <v>115</v>
      </c>
      <c r="C49" s="200">
        <f>+'[16]Table 8 Membership 2.1.14'!W45</f>
        <v>3</v>
      </c>
      <c r="D49" s="201">
        <f>'Table 3 Levels 1&amp;2'!AL46+'Table 3 Levels 1&amp;2'!AT46</f>
        <v>9151.8938720594706</v>
      </c>
      <c r="E49" s="202">
        <f t="shared" si="8"/>
        <v>27455.681616178412</v>
      </c>
      <c r="F49" s="202">
        <f>'Table 3A Level 3'!C48</f>
        <v>574.6099999999999</v>
      </c>
      <c r="G49" s="202">
        <f t="shared" si="9"/>
        <v>1723.8299999999997</v>
      </c>
      <c r="H49" s="345">
        <f t="shared" si="10"/>
        <v>29179.51161617841</v>
      </c>
      <c r="I49" s="203">
        <f>'[1]Oct midyear LSMSA'!K46</f>
        <v>-19453.007744118942</v>
      </c>
      <c r="J49" s="203">
        <f>'[1]Feb midyear LSMSA'!K46</f>
        <v>0</v>
      </c>
      <c r="K49" s="204">
        <f t="shared" si="11"/>
        <v>-19453.007744118942</v>
      </c>
      <c r="L49" s="345">
        <f t="shared" si="6"/>
        <v>9726.5038720594675</v>
      </c>
      <c r="M49" s="201">
        <v>0</v>
      </c>
      <c r="N49" s="351">
        <f t="shared" si="15"/>
        <v>9726.5038720594675</v>
      </c>
      <c r="O49" s="203">
        <f>8*'[2]Table 5A5_LSMSA'!Q49</f>
        <v>19456</v>
      </c>
      <c r="P49" s="203">
        <f t="shared" si="12"/>
        <v>-9729.4961279405325</v>
      </c>
      <c r="Q49" s="351">
        <f t="shared" si="13"/>
        <v>-2432</v>
      </c>
      <c r="R49" s="351">
        <f t="shared" si="14"/>
        <v>9726.5038720594675</v>
      </c>
    </row>
    <row r="50" spans="1:18" ht="16.149999999999999" customHeight="1">
      <c r="A50" s="198">
        <v>44</v>
      </c>
      <c r="B50" s="199" t="s">
        <v>116</v>
      </c>
      <c r="C50" s="200">
        <f>+'[16]Table 8 Membership 2.1.14'!W46</f>
        <v>2</v>
      </c>
      <c r="D50" s="201">
        <f>'Table 3 Levels 1&amp;2'!AL47+'Table 3 Levels 1&amp;2'!AT47</f>
        <v>8460.7858151820365</v>
      </c>
      <c r="E50" s="202">
        <f t="shared" si="8"/>
        <v>16921.571630364073</v>
      </c>
      <c r="F50" s="202">
        <f>'Table 3A Level 3'!C49</f>
        <v>663.16000000000008</v>
      </c>
      <c r="G50" s="202">
        <f t="shared" si="9"/>
        <v>1326.3200000000002</v>
      </c>
      <c r="H50" s="345">
        <f t="shared" si="10"/>
        <v>18247.891630364073</v>
      </c>
      <c r="I50" s="203">
        <f>'[1]Oct midyear LSMSA'!K47</f>
        <v>-18247.891630364073</v>
      </c>
      <c r="J50" s="203">
        <f>'[1]Feb midyear LSMSA'!K47</f>
        <v>0</v>
      </c>
      <c r="K50" s="204">
        <f t="shared" si="11"/>
        <v>-18247.891630364073</v>
      </c>
      <c r="L50" s="345">
        <f t="shared" si="6"/>
        <v>0</v>
      </c>
      <c r="M50" s="201">
        <v>0</v>
      </c>
      <c r="N50" s="351">
        <f t="shared" si="15"/>
        <v>0</v>
      </c>
      <c r="O50" s="203">
        <f>8*'[2]Table 5A5_LSMSA'!Q50</f>
        <v>12168</v>
      </c>
      <c r="P50" s="203">
        <f t="shared" si="12"/>
        <v>-12168</v>
      </c>
      <c r="Q50" s="351">
        <f t="shared" si="13"/>
        <v>-3042</v>
      </c>
      <c r="R50" s="351">
        <f t="shared" si="14"/>
        <v>0</v>
      </c>
    </row>
    <row r="51" spans="1:18" ht="16.149999999999999" customHeight="1">
      <c r="A51" s="191">
        <v>45</v>
      </c>
      <c r="B51" s="192" t="s">
        <v>117</v>
      </c>
      <c r="C51" s="193">
        <f>+'[16]Table 8 Membership 2.1.14'!W47</f>
        <v>3</v>
      </c>
      <c r="D51" s="194">
        <f>'Table 3 Levels 1&amp;2'!AL48+'Table 3 Levels 1&amp;2'!AT48</f>
        <v>7536.8772499469105</v>
      </c>
      <c r="E51" s="195">
        <f t="shared" si="8"/>
        <v>22610.63174984073</v>
      </c>
      <c r="F51" s="195">
        <f>'Table 3A Level 3'!C50</f>
        <v>753.96000000000015</v>
      </c>
      <c r="G51" s="195">
        <f t="shared" si="9"/>
        <v>2261.8800000000006</v>
      </c>
      <c r="H51" s="346">
        <f t="shared" si="10"/>
        <v>24872.511749840731</v>
      </c>
      <c r="I51" s="196">
        <f>'[1]Oct midyear LSMSA'!K48</f>
        <v>-8290.8372499469115</v>
      </c>
      <c r="J51" s="196">
        <f>'[1]Feb midyear LSMSA'!K48</f>
        <v>0</v>
      </c>
      <c r="K51" s="197">
        <f t="shared" si="11"/>
        <v>-8290.8372499469115</v>
      </c>
      <c r="L51" s="346">
        <f t="shared" si="6"/>
        <v>16581.674499893819</v>
      </c>
      <c r="M51" s="194">
        <v>0</v>
      </c>
      <c r="N51" s="352">
        <f t="shared" si="15"/>
        <v>16581.674499893819</v>
      </c>
      <c r="O51" s="622">
        <f>8*'[2]Table 5A5_LSMSA'!Q51</f>
        <v>16584</v>
      </c>
      <c r="P51" s="196">
        <f t="shared" si="12"/>
        <v>-2.3255001061806979</v>
      </c>
      <c r="Q51" s="356">
        <f t="shared" si="13"/>
        <v>-1</v>
      </c>
      <c r="R51" s="352">
        <f t="shared" si="14"/>
        <v>16581.674499893819</v>
      </c>
    </row>
    <row r="52" spans="1:18" ht="16.149999999999999" customHeight="1">
      <c r="A52" s="205">
        <v>46</v>
      </c>
      <c r="B52" s="206" t="s">
        <v>118</v>
      </c>
      <c r="C52" s="207">
        <f>+'[16]Table 8 Membership 2.1.14'!W48</f>
        <v>0</v>
      </c>
      <c r="D52" s="208">
        <f>'Table 3 Levels 1&amp;2'!AL49+'Table 3 Levels 1&amp;2'!AT49</f>
        <v>8543.9744468088393</v>
      </c>
      <c r="E52" s="209">
        <f t="shared" si="8"/>
        <v>0</v>
      </c>
      <c r="F52" s="209">
        <f>'Table 3A Level 3'!C51</f>
        <v>728.06</v>
      </c>
      <c r="G52" s="209">
        <f t="shared" si="9"/>
        <v>0</v>
      </c>
      <c r="H52" s="344">
        <f t="shared" si="10"/>
        <v>0</v>
      </c>
      <c r="I52" s="210">
        <f>'[1]Oct midyear LSMSA'!K49</f>
        <v>0</v>
      </c>
      <c r="J52" s="210">
        <f>'[1]Feb midyear LSMSA'!K49</f>
        <v>0</v>
      </c>
      <c r="K52" s="211">
        <f t="shared" si="11"/>
        <v>0</v>
      </c>
      <c r="L52" s="344">
        <f t="shared" si="6"/>
        <v>0</v>
      </c>
      <c r="M52" s="208">
        <v>0</v>
      </c>
      <c r="N52" s="350">
        <f t="shared" si="15"/>
        <v>0</v>
      </c>
      <c r="O52" s="210">
        <f>8*'[2]Table 5A5_LSMSA'!Q52</f>
        <v>0</v>
      </c>
      <c r="P52" s="210">
        <f t="shared" si="12"/>
        <v>0</v>
      </c>
      <c r="Q52" s="350">
        <f t="shared" si="13"/>
        <v>0</v>
      </c>
      <c r="R52" s="361">
        <f t="shared" si="14"/>
        <v>0</v>
      </c>
    </row>
    <row r="53" spans="1:18" ht="16.149999999999999" customHeight="1">
      <c r="A53" s="198">
        <v>47</v>
      </c>
      <c r="B53" s="199" t="s">
        <v>119</v>
      </c>
      <c r="C53" s="200">
        <f>+'[16]Table 8 Membership 2.1.14'!W49</f>
        <v>5</v>
      </c>
      <c r="D53" s="201">
        <f>'Table 3 Levels 1&amp;2'!AL50+'Table 3 Levels 1&amp;2'!AT50</f>
        <v>8496.158525764673</v>
      </c>
      <c r="E53" s="202">
        <f t="shared" si="8"/>
        <v>42480.792628823365</v>
      </c>
      <c r="F53" s="202">
        <f>'Table 3A Level 3'!C52</f>
        <v>910.76</v>
      </c>
      <c r="G53" s="202">
        <f t="shared" si="9"/>
        <v>4553.8</v>
      </c>
      <c r="H53" s="345">
        <f t="shared" si="10"/>
        <v>47034.592628823368</v>
      </c>
      <c r="I53" s="203">
        <f>'[1]Oct midyear LSMSA'!K50</f>
        <v>-9406.9185257646732</v>
      </c>
      <c r="J53" s="203">
        <f>'[1]Feb midyear LSMSA'!K50</f>
        <v>0</v>
      </c>
      <c r="K53" s="204">
        <f t="shared" si="11"/>
        <v>-9406.9185257646732</v>
      </c>
      <c r="L53" s="345">
        <f t="shared" si="6"/>
        <v>37627.674103058693</v>
      </c>
      <c r="M53" s="201">
        <v>0</v>
      </c>
      <c r="N53" s="351">
        <f t="shared" si="15"/>
        <v>37627.674103058693</v>
      </c>
      <c r="O53" s="203">
        <f>8*'[2]Table 5A5_LSMSA'!Q53</f>
        <v>31360</v>
      </c>
      <c r="P53" s="203">
        <f t="shared" si="12"/>
        <v>6267.6741030586927</v>
      </c>
      <c r="Q53" s="351">
        <f t="shared" si="13"/>
        <v>1567</v>
      </c>
      <c r="R53" s="351">
        <f t="shared" si="14"/>
        <v>37627.674103058693</v>
      </c>
    </row>
    <row r="54" spans="1:18" ht="16.149999999999999" customHeight="1">
      <c r="A54" s="198">
        <v>48</v>
      </c>
      <c r="B54" s="199" t="s">
        <v>144</v>
      </c>
      <c r="C54" s="200">
        <f>+'[16]Table 8 Membership 2.1.14'!W50</f>
        <v>1</v>
      </c>
      <c r="D54" s="201">
        <f>'Table 3 Levels 1&amp;2'!AL51+'Table 3 Levels 1&amp;2'!AT51</f>
        <v>8579.8882529800721</v>
      </c>
      <c r="E54" s="202">
        <f t="shared" si="8"/>
        <v>8579.8882529800721</v>
      </c>
      <c r="F54" s="202">
        <f>'Table 3A Level 3'!C53</f>
        <v>871.07</v>
      </c>
      <c r="G54" s="202">
        <f t="shared" si="9"/>
        <v>871.07</v>
      </c>
      <c r="H54" s="345">
        <f t="shared" si="10"/>
        <v>9450.9582529800718</v>
      </c>
      <c r="I54" s="203">
        <f>'[1]Oct midyear LSMSA'!K51</f>
        <v>9450.9582529800718</v>
      </c>
      <c r="J54" s="203">
        <f>'[1]Feb midyear LSMSA'!K51</f>
        <v>0</v>
      </c>
      <c r="K54" s="204">
        <f t="shared" si="11"/>
        <v>9450.9582529800718</v>
      </c>
      <c r="L54" s="345">
        <f t="shared" si="6"/>
        <v>18901.916505960144</v>
      </c>
      <c r="M54" s="201">
        <v>0</v>
      </c>
      <c r="N54" s="351">
        <f t="shared" si="15"/>
        <v>18901.916505960144</v>
      </c>
      <c r="O54" s="203">
        <f>8*'[2]Table 5A5_LSMSA'!Q54</f>
        <v>6304</v>
      </c>
      <c r="P54" s="203">
        <f t="shared" si="12"/>
        <v>12597.916505960144</v>
      </c>
      <c r="Q54" s="351">
        <f t="shared" si="13"/>
        <v>3149</v>
      </c>
      <c r="R54" s="351">
        <f t="shared" si="14"/>
        <v>18901.916505960144</v>
      </c>
    </row>
    <row r="55" spans="1:18" ht="16.149999999999999" customHeight="1">
      <c r="A55" s="198">
        <v>49</v>
      </c>
      <c r="B55" s="199" t="s">
        <v>120</v>
      </c>
      <c r="C55" s="200">
        <f>+'[16]Table 8 Membership 2.1.14'!W51</f>
        <v>7</v>
      </c>
      <c r="D55" s="201">
        <f>'Table 3 Levels 1&amp;2'!AL52+'Table 3 Levels 1&amp;2'!AT52</f>
        <v>7455.4155315659191</v>
      </c>
      <c r="E55" s="202">
        <f t="shared" si="8"/>
        <v>52187.908720961437</v>
      </c>
      <c r="F55" s="202">
        <f>'Table 3A Level 3'!C54</f>
        <v>574.43999999999994</v>
      </c>
      <c r="G55" s="202">
        <f t="shared" si="9"/>
        <v>4021.0799999999995</v>
      </c>
      <c r="H55" s="345">
        <f t="shared" si="10"/>
        <v>56208.988720961439</v>
      </c>
      <c r="I55" s="203">
        <f>'[1]Oct midyear LSMSA'!K52</f>
        <v>0</v>
      </c>
      <c r="J55" s="203">
        <f>'[1]Feb midyear LSMSA'!K52</f>
        <v>-4014.9277657829593</v>
      </c>
      <c r="K55" s="204">
        <f t="shared" si="11"/>
        <v>-4014.9277657829593</v>
      </c>
      <c r="L55" s="345">
        <f t="shared" si="6"/>
        <v>52194.06095517848</v>
      </c>
      <c r="M55" s="201">
        <v>0</v>
      </c>
      <c r="N55" s="351">
        <f t="shared" si="15"/>
        <v>52194.06095517848</v>
      </c>
      <c r="O55" s="203">
        <f>8*'[2]Table 5A5_LSMSA'!Q55</f>
        <v>37472</v>
      </c>
      <c r="P55" s="203">
        <f t="shared" si="12"/>
        <v>14722.06095517848</v>
      </c>
      <c r="Q55" s="351">
        <f t="shared" si="13"/>
        <v>3681</v>
      </c>
      <c r="R55" s="351">
        <f t="shared" si="14"/>
        <v>52194.06095517848</v>
      </c>
    </row>
    <row r="56" spans="1:18" ht="16.149999999999999" customHeight="1">
      <c r="A56" s="191">
        <v>50</v>
      </c>
      <c r="B56" s="192" t="s">
        <v>121</v>
      </c>
      <c r="C56" s="193">
        <f>+'[16]Table 8 Membership 2.1.14'!W52</f>
        <v>7</v>
      </c>
      <c r="D56" s="194">
        <f>'Table 3 Levels 1&amp;2'!AL53+'Table 3 Levels 1&amp;2'!AT53</f>
        <v>8390.1392722701676</v>
      </c>
      <c r="E56" s="195">
        <f t="shared" si="8"/>
        <v>58730.974905891169</v>
      </c>
      <c r="F56" s="195">
        <f>'Table 3A Level 3'!C55</f>
        <v>634.46</v>
      </c>
      <c r="G56" s="195">
        <f t="shared" si="9"/>
        <v>4441.22</v>
      </c>
      <c r="H56" s="346">
        <f t="shared" si="10"/>
        <v>63172.19490589117</v>
      </c>
      <c r="I56" s="196">
        <f>'[1]Oct midyear LSMSA'!K53</f>
        <v>27073.7978168105</v>
      </c>
      <c r="J56" s="196">
        <f>'[1]Feb midyear LSMSA'!K53</f>
        <v>-9024.5992722701667</v>
      </c>
      <c r="K56" s="197">
        <f t="shared" si="11"/>
        <v>18049.198544540333</v>
      </c>
      <c r="L56" s="346">
        <f t="shared" si="6"/>
        <v>81221.393450431497</v>
      </c>
      <c r="M56" s="194">
        <v>0</v>
      </c>
      <c r="N56" s="352">
        <f t="shared" si="15"/>
        <v>81221.393450431497</v>
      </c>
      <c r="O56" s="622">
        <f>8*'[2]Table 5A5_LSMSA'!Q56</f>
        <v>42112</v>
      </c>
      <c r="P56" s="196">
        <f t="shared" si="12"/>
        <v>39109.393450431497</v>
      </c>
      <c r="Q56" s="356">
        <f t="shared" si="13"/>
        <v>9777</v>
      </c>
      <c r="R56" s="352">
        <f t="shared" si="14"/>
        <v>81221.393450431497</v>
      </c>
    </row>
    <row r="57" spans="1:18" ht="16.149999999999999" customHeight="1">
      <c r="A57" s="205">
        <v>51</v>
      </c>
      <c r="B57" s="206" t="s">
        <v>122</v>
      </c>
      <c r="C57" s="207">
        <f>+'[16]Table 8 Membership 2.1.14'!W53</f>
        <v>5</v>
      </c>
      <c r="D57" s="208">
        <f>'Table 3 Levels 1&amp;2'!AL54+'Table 3 Levels 1&amp;2'!AT54</f>
        <v>8413.1128602178997</v>
      </c>
      <c r="E57" s="209">
        <f t="shared" si="8"/>
        <v>42065.5643010895</v>
      </c>
      <c r="F57" s="209">
        <f>'Table 3A Level 3'!C56</f>
        <v>706.66</v>
      </c>
      <c r="G57" s="209">
        <f t="shared" si="9"/>
        <v>3533.2999999999997</v>
      </c>
      <c r="H57" s="344">
        <f t="shared" si="10"/>
        <v>45598.864301089503</v>
      </c>
      <c r="I57" s="210">
        <f>'[1]Oct midyear LSMSA'!K54</f>
        <v>-18239.545720435799</v>
      </c>
      <c r="J57" s="210">
        <f>'[1]Feb midyear LSMSA'!K54</f>
        <v>0</v>
      </c>
      <c r="K57" s="211">
        <f t="shared" si="11"/>
        <v>-18239.545720435799</v>
      </c>
      <c r="L57" s="344">
        <f t="shared" si="6"/>
        <v>27359.318580653704</v>
      </c>
      <c r="M57" s="208">
        <v>0</v>
      </c>
      <c r="N57" s="350">
        <f t="shared" si="15"/>
        <v>27359.318580653704</v>
      </c>
      <c r="O57" s="210">
        <f>8*'[2]Table 5A5_LSMSA'!Q57</f>
        <v>30400</v>
      </c>
      <c r="P57" s="210">
        <f t="shared" si="12"/>
        <v>-3040.681419346296</v>
      </c>
      <c r="Q57" s="350">
        <f t="shared" si="13"/>
        <v>-760</v>
      </c>
      <c r="R57" s="361">
        <f t="shared" si="14"/>
        <v>27359.318580653704</v>
      </c>
    </row>
    <row r="58" spans="1:18" ht="16.149999999999999" customHeight="1">
      <c r="A58" s="198">
        <v>52</v>
      </c>
      <c r="B58" s="199" t="s">
        <v>123</v>
      </c>
      <c r="C58" s="200">
        <f>+'[16]Table 8 Membership 2.1.14'!W54</f>
        <v>10</v>
      </c>
      <c r="D58" s="201">
        <f>'Table 3 Levels 1&amp;2'!AL55+'Table 3 Levels 1&amp;2'!AT55</f>
        <v>8676.264584522818</v>
      </c>
      <c r="E58" s="202">
        <f t="shared" si="8"/>
        <v>86762.64584522818</v>
      </c>
      <c r="F58" s="202">
        <f>'Table 3A Level 3'!C57</f>
        <v>658.37</v>
      </c>
      <c r="G58" s="202">
        <f t="shared" si="9"/>
        <v>6583.7</v>
      </c>
      <c r="H58" s="345">
        <f t="shared" si="10"/>
        <v>93346.345845228177</v>
      </c>
      <c r="I58" s="203">
        <f>'[1]Oct midyear LSMSA'!K55</f>
        <v>65342.44209165973</v>
      </c>
      <c r="J58" s="203">
        <f>'[1]Feb midyear LSMSA'!K55</f>
        <v>-4667.3172922614094</v>
      </c>
      <c r="K58" s="204">
        <f t="shared" si="11"/>
        <v>60675.12479939832</v>
      </c>
      <c r="L58" s="345">
        <f t="shared" si="6"/>
        <v>154021.4706446265</v>
      </c>
      <c r="M58" s="201">
        <v>0</v>
      </c>
      <c r="N58" s="351">
        <f t="shared" si="15"/>
        <v>154021.4706446265</v>
      </c>
      <c r="O58" s="203">
        <f>8*'[2]Table 5A5_LSMSA'!Q58</f>
        <v>62232</v>
      </c>
      <c r="P58" s="203">
        <f t="shared" si="12"/>
        <v>91789.470644626505</v>
      </c>
      <c r="Q58" s="351">
        <f t="shared" si="13"/>
        <v>22947</v>
      </c>
      <c r="R58" s="351">
        <f t="shared" si="14"/>
        <v>154021.4706446265</v>
      </c>
    </row>
    <row r="59" spans="1:18" ht="16.149999999999999" customHeight="1">
      <c r="A59" s="198">
        <v>53</v>
      </c>
      <c r="B59" s="199" t="s">
        <v>124</v>
      </c>
      <c r="C59" s="200">
        <f>+'[16]Table 8 Membership 2.1.14'!W55</f>
        <v>6</v>
      </c>
      <c r="D59" s="201">
        <f>'Table 3 Levels 1&amp;2'!AL56+'Table 3 Levels 1&amp;2'!AT56</f>
        <v>7191.4708194045488</v>
      </c>
      <c r="E59" s="202">
        <f t="shared" si="8"/>
        <v>43148.824916427293</v>
      </c>
      <c r="F59" s="202">
        <f>'Table 3A Level 3'!C58</f>
        <v>689.74</v>
      </c>
      <c r="G59" s="202">
        <f t="shared" si="9"/>
        <v>4138.4400000000005</v>
      </c>
      <c r="H59" s="345">
        <f t="shared" si="10"/>
        <v>47287.264916427295</v>
      </c>
      <c r="I59" s="203">
        <f>'[1]Oct midyear LSMSA'!K56</f>
        <v>-31524.843277618194</v>
      </c>
      <c r="J59" s="203">
        <f>'[1]Feb midyear LSMSA'!K56</f>
        <v>0</v>
      </c>
      <c r="K59" s="204">
        <f t="shared" si="11"/>
        <v>-31524.843277618194</v>
      </c>
      <c r="L59" s="345">
        <f t="shared" si="6"/>
        <v>15762.421638809101</v>
      </c>
      <c r="M59" s="201">
        <v>0</v>
      </c>
      <c r="N59" s="351">
        <f t="shared" si="15"/>
        <v>15762.421638809101</v>
      </c>
      <c r="O59" s="203">
        <f>8*'[2]Table 5A5_LSMSA'!Q59</f>
        <v>31528</v>
      </c>
      <c r="P59" s="203">
        <f t="shared" si="12"/>
        <v>-15765.578361190899</v>
      </c>
      <c r="Q59" s="351">
        <f t="shared" si="13"/>
        <v>-3941</v>
      </c>
      <c r="R59" s="351">
        <f t="shared" si="14"/>
        <v>15762.421638809101</v>
      </c>
    </row>
    <row r="60" spans="1:18" ht="16.149999999999999" customHeight="1">
      <c r="A60" s="198">
        <v>54</v>
      </c>
      <c r="B60" s="199" t="s">
        <v>125</v>
      </c>
      <c r="C60" s="200">
        <f>+'[16]Table 8 Membership 2.1.14'!W56</f>
        <v>0</v>
      </c>
      <c r="D60" s="201">
        <f>'Table 3 Levels 1&amp;2'!AL57+'Table 3 Levels 1&amp;2'!AT57</f>
        <v>9815.1598370516713</v>
      </c>
      <c r="E60" s="202">
        <f t="shared" si="8"/>
        <v>0</v>
      </c>
      <c r="F60" s="202">
        <f>'Table 3A Level 3'!C59</f>
        <v>951.45</v>
      </c>
      <c r="G60" s="202">
        <f t="shared" si="9"/>
        <v>0</v>
      </c>
      <c r="H60" s="345">
        <f t="shared" si="10"/>
        <v>0</v>
      </c>
      <c r="I60" s="203">
        <f>'[1]Oct midyear LSMSA'!K57</f>
        <v>0</v>
      </c>
      <c r="J60" s="203">
        <f>'[1]Feb midyear LSMSA'!K57</f>
        <v>0</v>
      </c>
      <c r="K60" s="204">
        <f t="shared" si="11"/>
        <v>0</v>
      </c>
      <c r="L60" s="345">
        <f t="shared" si="6"/>
        <v>0</v>
      </c>
      <c r="M60" s="201">
        <v>0</v>
      </c>
      <c r="N60" s="351">
        <f t="shared" si="15"/>
        <v>0</v>
      </c>
      <c r="O60" s="203">
        <f>8*'[2]Table 5A5_LSMSA'!Q60</f>
        <v>0</v>
      </c>
      <c r="P60" s="203">
        <f t="shared" si="12"/>
        <v>0</v>
      </c>
      <c r="Q60" s="351">
        <f t="shared" si="13"/>
        <v>0</v>
      </c>
      <c r="R60" s="351">
        <f t="shared" si="14"/>
        <v>0</v>
      </c>
    </row>
    <row r="61" spans="1:18" ht="16.149999999999999" customHeight="1">
      <c r="A61" s="191">
        <v>55</v>
      </c>
      <c r="B61" s="192" t="s">
        <v>126</v>
      </c>
      <c r="C61" s="193">
        <f>+'[16]Table 8 Membership 2.1.14'!W57</f>
        <v>18</v>
      </c>
      <c r="D61" s="194">
        <f>'Table 3 Levels 1&amp;2'!AL58+'Table 3 Levels 1&amp;2'!AT58</f>
        <v>7649.3925491298487</v>
      </c>
      <c r="E61" s="195">
        <f t="shared" si="8"/>
        <v>137689.06588433727</v>
      </c>
      <c r="F61" s="195">
        <f>'Table 3A Level 3'!C60</f>
        <v>795.14</v>
      </c>
      <c r="G61" s="195">
        <f t="shared" si="9"/>
        <v>14312.52</v>
      </c>
      <c r="H61" s="346">
        <f t="shared" si="10"/>
        <v>152001.58588433726</v>
      </c>
      <c r="I61" s="196">
        <f>'[1]Oct midyear LSMSA'!K58</f>
        <v>0</v>
      </c>
      <c r="J61" s="196">
        <f>'[1]Feb midyear LSMSA'!K58</f>
        <v>-4222.2662745649241</v>
      </c>
      <c r="K61" s="197">
        <f t="shared" si="11"/>
        <v>-4222.2662745649241</v>
      </c>
      <c r="L61" s="346">
        <f t="shared" si="6"/>
        <v>147779.31960977233</v>
      </c>
      <c r="M61" s="194">
        <v>0</v>
      </c>
      <c r="N61" s="352">
        <f t="shared" si="15"/>
        <v>147779.31960977233</v>
      </c>
      <c r="O61" s="622">
        <f>8*'[2]Table 5A5_LSMSA'!Q61</f>
        <v>101336</v>
      </c>
      <c r="P61" s="196">
        <f t="shared" si="12"/>
        <v>46443.319609772327</v>
      </c>
      <c r="Q61" s="356">
        <f t="shared" si="13"/>
        <v>11611</v>
      </c>
      <c r="R61" s="352">
        <f t="shared" si="14"/>
        <v>147779.31960977233</v>
      </c>
    </row>
    <row r="62" spans="1:18" ht="16.149999999999999" customHeight="1">
      <c r="A62" s="205">
        <v>56</v>
      </c>
      <c r="B62" s="206" t="s">
        <v>127</v>
      </c>
      <c r="C62" s="207">
        <f>+'[16]Table 8 Membership 2.1.14'!W58</f>
        <v>0</v>
      </c>
      <c r="D62" s="208">
        <f>'Table 3 Levels 1&amp;2'!AL59+'Table 3 Levels 1&amp;2'!AT59</f>
        <v>8002.4309408288282</v>
      </c>
      <c r="E62" s="209">
        <f t="shared" si="8"/>
        <v>0</v>
      </c>
      <c r="F62" s="209">
        <f>'Table 3A Level 3'!C61</f>
        <v>614.66000000000008</v>
      </c>
      <c r="G62" s="209">
        <f t="shared" si="9"/>
        <v>0</v>
      </c>
      <c r="H62" s="344">
        <f t="shared" si="10"/>
        <v>0</v>
      </c>
      <c r="I62" s="210">
        <f>'[1]Oct midyear LSMSA'!K59</f>
        <v>0</v>
      </c>
      <c r="J62" s="210">
        <f>'[1]Feb midyear LSMSA'!K59</f>
        <v>0</v>
      </c>
      <c r="K62" s="211">
        <f t="shared" si="11"/>
        <v>0</v>
      </c>
      <c r="L62" s="344">
        <f t="shared" si="6"/>
        <v>0</v>
      </c>
      <c r="M62" s="208">
        <v>0</v>
      </c>
      <c r="N62" s="350">
        <f t="shared" si="15"/>
        <v>0</v>
      </c>
      <c r="O62" s="210">
        <f>8*'[2]Table 5A5_LSMSA'!Q62</f>
        <v>0</v>
      </c>
      <c r="P62" s="210">
        <f t="shared" si="12"/>
        <v>0</v>
      </c>
      <c r="Q62" s="350">
        <f t="shared" si="13"/>
        <v>0</v>
      </c>
      <c r="R62" s="361">
        <f t="shared" si="14"/>
        <v>0</v>
      </c>
    </row>
    <row r="63" spans="1:18" ht="16.149999999999999" customHeight="1">
      <c r="A63" s="198">
        <v>57</v>
      </c>
      <c r="B63" s="199" t="s">
        <v>128</v>
      </c>
      <c r="C63" s="200">
        <f>+'[16]Table 8 Membership 2.1.14'!W59</f>
        <v>1</v>
      </c>
      <c r="D63" s="201">
        <f>'Table 3 Levels 1&amp;2'!AL60+'Table 3 Levels 1&amp;2'!AT60</f>
        <v>7676.0622979230684</v>
      </c>
      <c r="E63" s="202">
        <f t="shared" si="8"/>
        <v>7676.0622979230684</v>
      </c>
      <c r="F63" s="202">
        <f>'Table 3A Level 3'!C62</f>
        <v>764.51</v>
      </c>
      <c r="G63" s="202">
        <f t="shared" si="9"/>
        <v>764.51</v>
      </c>
      <c r="H63" s="345">
        <f t="shared" si="10"/>
        <v>8440.5722979230686</v>
      </c>
      <c r="I63" s="203">
        <f>'[1]Oct midyear LSMSA'!K60</f>
        <v>0</v>
      </c>
      <c r="J63" s="203">
        <f>'[1]Feb midyear LSMSA'!K60</f>
        <v>0</v>
      </c>
      <c r="K63" s="204">
        <f t="shared" si="11"/>
        <v>0</v>
      </c>
      <c r="L63" s="345">
        <f t="shared" si="6"/>
        <v>8440.5722979230686</v>
      </c>
      <c r="M63" s="201">
        <v>0</v>
      </c>
      <c r="N63" s="351">
        <f t="shared" si="15"/>
        <v>8440.5722979230686</v>
      </c>
      <c r="O63" s="203">
        <f>8*'[2]Table 5A5_LSMSA'!Q63</f>
        <v>5624</v>
      </c>
      <c r="P63" s="203">
        <f t="shared" si="12"/>
        <v>2816.5722979230686</v>
      </c>
      <c r="Q63" s="351">
        <f t="shared" si="13"/>
        <v>704</v>
      </c>
      <c r="R63" s="351">
        <f t="shared" si="14"/>
        <v>8440.5722979230686</v>
      </c>
    </row>
    <row r="64" spans="1:18" ht="16.149999999999999" customHeight="1">
      <c r="A64" s="198">
        <v>58</v>
      </c>
      <c r="B64" s="199" t="s">
        <v>129</v>
      </c>
      <c r="C64" s="200">
        <f>+'[16]Table 8 Membership 2.1.14'!W60</f>
        <v>14</v>
      </c>
      <c r="D64" s="201">
        <f>'Table 3 Levels 1&amp;2'!AL61+'Table 3 Levels 1&amp;2'!AT61</f>
        <v>7917.3129637882121</v>
      </c>
      <c r="E64" s="202">
        <f t="shared" si="8"/>
        <v>110842.38149303498</v>
      </c>
      <c r="F64" s="202">
        <f>'Table 3A Level 3'!C63</f>
        <v>697.04</v>
      </c>
      <c r="G64" s="202">
        <f t="shared" si="9"/>
        <v>9758.56</v>
      </c>
      <c r="H64" s="345">
        <f t="shared" si="10"/>
        <v>120600.94149303497</v>
      </c>
      <c r="I64" s="203">
        <f>'[1]Oct midyear LSMSA'!K61</f>
        <v>-34457.411855152852</v>
      </c>
      <c r="J64" s="203">
        <f>'[1]Feb midyear LSMSA'!K61</f>
        <v>0</v>
      </c>
      <c r="K64" s="204">
        <f t="shared" si="11"/>
        <v>-34457.411855152852</v>
      </c>
      <c r="L64" s="345">
        <f t="shared" si="6"/>
        <v>86143.529637882122</v>
      </c>
      <c r="M64" s="201">
        <v>0</v>
      </c>
      <c r="N64" s="351">
        <f t="shared" si="15"/>
        <v>86143.529637882122</v>
      </c>
      <c r="O64" s="203">
        <f>8*'[2]Table 5A5_LSMSA'!Q64</f>
        <v>80400</v>
      </c>
      <c r="P64" s="203">
        <f t="shared" si="12"/>
        <v>5743.5296378821222</v>
      </c>
      <c r="Q64" s="351">
        <f t="shared" si="13"/>
        <v>1436</v>
      </c>
      <c r="R64" s="351">
        <f t="shared" si="14"/>
        <v>86143.529637882122</v>
      </c>
    </row>
    <row r="65" spans="1:18" ht="16.149999999999999" customHeight="1">
      <c r="A65" s="198">
        <v>59</v>
      </c>
      <c r="B65" s="199" t="s">
        <v>130</v>
      </c>
      <c r="C65" s="200">
        <f>+'[16]Table 8 Membership 2.1.14'!W61</f>
        <v>0</v>
      </c>
      <c r="D65" s="201">
        <f>'Table 3 Levels 1&amp;2'!AL62+'Table 3 Levels 1&amp;2'!AT62</f>
        <v>8409.2162935218475</v>
      </c>
      <c r="E65" s="202">
        <f t="shared" si="8"/>
        <v>0</v>
      </c>
      <c r="F65" s="202">
        <f>'Table 3A Level 3'!C64</f>
        <v>689.52</v>
      </c>
      <c r="G65" s="202">
        <f t="shared" si="9"/>
        <v>0</v>
      </c>
      <c r="H65" s="345">
        <f t="shared" si="10"/>
        <v>0</v>
      </c>
      <c r="I65" s="203">
        <f>'[1]Oct midyear LSMSA'!K62</f>
        <v>9098.736293521848</v>
      </c>
      <c r="J65" s="203">
        <f>'[1]Feb midyear LSMSA'!K62</f>
        <v>-4549.368146760924</v>
      </c>
      <c r="K65" s="204">
        <f t="shared" si="11"/>
        <v>4549.368146760924</v>
      </c>
      <c r="L65" s="345">
        <f t="shared" si="6"/>
        <v>4549.368146760924</v>
      </c>
      <c r="M65" s="201">
        <v>0</v>
      </c>
      <c r="N65" s="351">
        <f t="shared" si="15"/>
        <v>4549.368146760924</v>
      </c>
      <c r="O65" s="203">
        <f>8*'[2]Table 5A5_LSMSA'!Q65</f>
        <v>0</v>
      </c>
      <c r="P65" s="203">
        <f t="shared" si="12"/>
        <v>4549.368146760924</v>
      </c>
      <c r="Q65" s="351">
        <f t="shared" si="13"/>
        <v>1137</v>
      </c>
      <c r="R65" s="351">
        <f t="shared" si="14"/>
        <v>4549.368146760924</v>
      </c>
    </row>
    <row r="66" spans="1:18" ht="16.149999999999999" customHeight="1">
      <c r="A66" s="191">
        <v>60</v>
      </c>
      <c r="B66" s="192" t="s">
        <v>131</v>
      </c>
      <c r="C66" s="193">
        <f>+'[16]Table 8 Membership 2.1.14'!W62</f>
        <v>4</v>
      </c>
      <c r="D66" s="194">
        <f>'Table 3 Levels 1&amp;2'!AL63+'Table 3 Levels 1&amp;2'!AT63</f>
        <v>8655.3940900638281</v>
      </c>
      <c r="E66" s="195">
        <f t="shared" si="8"/>
        <v>34621.576360255312</v>
      </c>
      <c r="F66" s="195">
        <f>'Table 3A Level 3'!C65</f>
        <v>594.04</v>
      </c>
      <c r="G66" s="195">
        <f t="shared" si="9"/>
        <v>2376.16</v>
      </c>
      <c r="H66" s="346">
        <f t="shared" si="10"/>
        <v>36997.736360255309</v>
      </c>
      <c r="I66" s="196">
        <f>'[1]Oct midyear LSMSA'!K63</f>
        <v>0</v>
      </c>
      <c r="J66" s="196">
        <f>'[1]Feb midyear LSMSA'!K63</f>
        <v>0</v>
      </c>
      <c r="K66" s="197">
        <f t="shared" si="11"/>
        <v>0</v>
      </c>
      <c r="L66" s="346">
        <f t="shared" si="6"/>
        <v>36997.736360255309</v>
      </c>
      <c r="M66" s="194">
        <v>0</v>
      </c>
      <c r="N66" s="352">
        <f t="shared" si="15"/>
        <v>36997.736360255309</v>
      </c>
      <c r="O66" s="622">
        <f>8*'[2]Table 5A5_LSMSA'!Q66</f>
        <v>24664</v>
      </c>
      <c r="P66" s="196">
        <f t="shared" si="12"/>
        <v>12333.736360255309</v>
      </c>
      <c r="Q66" s="356">
        <f t="shared" si="13"/>
        <v>3083</v>
      </c>
      <c r="R66" s="352">
        <f t="shared" si="14"/>
        <v>36997.736360255309</v>
      </c>
    </row>
    <row r="67" spans="1:18" ht="16.149999999999999" customHeight="1">
      <c r="A67" s="205">
        <v>61</v>
      </c>
      <c r="B67" s="206" t="s">
        <v>132</v>
      </c>
      <c r="C67" s="207">
        <f>+'[16]Table 8 Membership 2.1.14'!W63</f>
        <v>0</v>
      </c>
      <c r="D67" s="208">
        <f>'Table 3 Levels 1&amp;2'!AL64+'Table 3 Levels 1&amp;2'!AT64</f>
        <v>7976.7075356369187</v>
      </c>
      <c r="E67" s="209">
        <f t="shared" si="8"/>
        <v>0</v>
      </c>
      <c r="F67" s="209">
        <f>'Table 3A Level 3'!C66</f>
        <v>833.70999999999992</v>
      </c>
      <c r="G67" s="209">
        <f t="shared" si="9"/>
        <v>0</v>
      </c>
      <c r="H67" s="344">
        <f t="shared" si="10"/>
        <v>0</v>
      </c>
      <c r="I67" s="210">
        <f>'[1]Oct midyear LSMSA'!K64</f>
        <v>0</v>
      </c>
      <c r="J67" s="210">
        <f>'[1]Feb midyear LSMSA'!K64</f>
        <v>0</v>
      </c>
      <c r="K67" s="211">
        <f t="shared" si="11"/>
        <v>0</v>
      </c>
      <c r="L67" s="344">
        <f t="shared" si="6"/>
        <v>0</v>
      </c>
      <c r="M67" s="208">
        <v>0</v>
      </c>
      <c r="N67" s="350">
        <f t="shared" si="15"/>
        <v>0</v>
      </c>
      <c r="O67" s="210">
        <f>8*'[2]Table 5A5_LSMSA'!Q67</f>
        <v>0</v>
      </c>
      <c r="P67" s="210">
        <f t="shared" si="12"/>
        <v>0</v>
      </c>
      <c r="Q67" s="350">
        <f t="shared" si="13"/>
        <v>0</v>
      </c>
      <c r="R67" s="361">
        <f t="shared" si="14"/>
        <v>0</v>
      </c>
    </row>
    <row r="68" spans="1:18" ht="16.149999999999999" customHeight="1">
      <c r="A68" s="198">
        <v>62</v>
      </c>
      <c r="B68" s="199" t="s">
        <v>133</v>
      </c>
      <c r="C68" s="200">
        <f>+'[16]Table 8 Membership 2.1.14'!W64</f>
        <v>1</v>
      </c>
      <c r="D68" s="201">
        <f>'Table 3 Levels 1&amp;2'!AL65+'Table 3 Levels 1&amp;2'!AT65</f>
        <v>7937.3045385160076</v>
      </c>
      <c r="E68" s="202">
        <f t="shared" si="8"/>
        <v>7937.3045385160076</v>
      </c>
      <c r="F68" s="202">
        <f>'Table 3A Level 3'!C67</f>
        <v>516.08000000000004</v>
      </c>
      <c r="G68" s="202">
        <f t="shared" si="9"/>
        <v>516.08000000000004</v>
      </c>
      <c r="H68" s="345">
        <f t="shared" si="10"/>
        <v>8453.3845385160075</v>
      </c>
      <c r="I68" s="203">
        <f>'[1]Oct midyear LSMSA'!K65</f>
        <v>0</v>
      </c>
      <c r="J68" s="203">
        <f>'[1]Feb midyear LSMSA'!K65</f>
        <v>0</v>
      </c>
      <c r="K68" s="204">
        <f t="shared" si="11"/>
        <v>0</v>
      </c>
      <c r="L68" s="345">
        <f t="shared" si="6"/>
        <v>8453.3845385160075</v>
      </c>
      <c r="M68" s="201">
        <v>0</v>
      </c>
      <c r="N68" s="351">
        <f t="shared" si="15"/>
        <v>8453.3845385160075</v>
      </c>
      <c r="O68" s="203">
        <f>8*'[2]Table 5A5_LSMSA'!Q68</f>
        <v>5632</v>
      </c>
      <c r="P68" s="203">
        <f t="shared" si="12"/>
        <v>2821.3845385160075</v>
      </c>
      <c r="Q68" s="351">
        <f t="shared" si="13"/>
        <v>705</v>
      </c>
      <c r="R68" s="351">
        <f t="shared" si="14"/>
        <v>8453.3845385160075</v>
      </c>
    </row>
    <row r="69" spans="1:18" ht="16.149999999999999" customHeight="1">
      <c r="A69" s="198">
        <v>63</v>
      </c>
      <c r="B69" s="199" t="s">
        <v>134</v>
      </c>
      <c r="C69" s="200">
        <f>+'[16]Table 8 Membership 2.1.14'!W65</f>
        <v>4</v>
      </c>
      <c r="D69" s="201">
        <f>'Table 3 Levels 1&amp;2'!AL66+'Table 3 Levels 1&amp;2'!AT66</f>
        <v>9211.4813481848105</v>
      </c>
      <c r="E69" s="202">
        <f t="shared" si="8"/>
        <v>36845.925392739242</v>
      </c>
      <c r="F69" s="202">
        <f>'Table 3A Level 3'!C68</f>
        <v>756.79</v>
      </c>
      <c r="G69" s="202">
        <f t="shared" si="9"/>
        <v>3027.16</v>
      </c>
      <c r="H69" s="345">
        <f t="shared" si="10"/>
        <v>39873.085392739245</v>
      </c>
      <c r="I69" s="203">
        <f>'[1]Oct midyear LSMSA'!K66</f>
        <v>-19936.542696369623</v>
      </c>
      <c r="J69" s="203">
        <f>'[1]Feb midyear LSMSA'!K66</f>
        <v>0</v>
      </c>
      <c r="K69" s="204">
        <f t="shared" si="11"/>
        <v>-19936.542696369623</v>
      </c>
      <c r="L69" s="345">
        <f t="shared" si="6"/>
        <v>19936.542696369623</v>
      </c>
      <c r="M69" s="201">
        <v>0</v>
      </c>
      <c r="N69" s="351">
        <f t="shared" si="15"/>
        <v>19936.542696369623</v>
      </c>
      <c r="O69" s="203">
        <f>8*'[2]Table 5A5_LSMSA'!Q69</f>
        <v>26584</v>
      </c>
      <c r="P69" s="203">
        <f t="shared" si="12"/>
        <v>-6647.4573036303773</v>
      </c>
      <c r="Q69" s="351">
        <f t="shared" si="13"/>
        <v>-1662</v>
      </c>
      <c r="R69" s="351">
        <f t="shared" si="14"/>
        <v>19936.542696369623</v>
      </c>
    </row>
    <row r="70" spans="1:18" ht="16.149999999999999" customHeight="1">
      <c r="A70" s="198">
        <v>64</v>
      </c>
      <c r="B70" s="199" t="s">
        <v>135</v>
      </c>
      <c r="C70" s="200">
        <f>+'[16]Table 8 Membership 2.1.14'!W66</f>
        <v>1</v>
      </c>
      <c r="D70" s="201">
        <f>'Table 3 Levels 1&amp;2'!AL67+'Table 3 Levels 1&amp;2'!AT67</f>
        <v>9420.8507532778258</v>
      </c>
      <c r="E70" s="202">
        <f t="shared" si="8"/>
        <v>9420.8507532778258</v>
      </c>
      <c r="F70" s="202">
        <f>'Table 3A Level 3'!C69</f>
        <v>592.66</v>
      </c>
      <c r="G70" s="202">
        <f t="shared" si="9"/>
        <v>592.66</v>
      </c>
      <c r="H70" s="345">
        <f t="shared" si="10"/>
        <v>10013.510753277826</v>
      </c>
      <c r="I70" s="203">
        <f>'[1]Oct midyear LSMSA'!K67</f>
        <v>0</v>
      </c>
      <c r="J70" s="203">
        <f>'[1]Feb midyear LSMSA'!K67</f>
        <v>0</v>
      </c>
      <c r="K70" s="204">
        <f t="shared" si="11"/>
        <v>0</v>
      </c>
      <c r="L70" s="345">
        <f t="shared" si="6"/>
        <v>10013.510753277826</v>
      </c>
      <c r="M70" s="201">
        <v>0</v>
      </c>
      <c r="N70" s="351">
        <f t="shared" si="15"/>
        <v>10013.510753277826</v>
      </c>
      <c r="O70" s="203">
        <f>8*'[2]Table 5A5_LSMSA'!Q70</f>
        <v>6672</v>
      </c>
      <c r="P70" s="203">
        <f t="shared" si="12"/>
        <v>3341.5107532778256</v>
      </c>
      <c r="Q70" s="351">
        <f t="shared" si="13"/>
        <v>835</v>
      </c>
      <c r="R70" s="351">
        <f t="shared" si="14"/>
        <v>10013.510753277826</v>
      </c>
    </row>
    <row r="71" spans="1:18" ht="16.149999999999999" customHeight="1">
      <c r="A71" s="191">
        <v>65</v>
      </c>
      <c r="B71" s="192" t="s">
        <v>136</v>
      </c>
      <c r="C71" s="193">
        <f>+'[16]Table 8 Membership 2.1.14'!W67</f>
        <v>0</v>
      </c>
      <c r="D71" s="194">
        <f>'Table 3 Levels 1&amp;2'!AL68+'Table 3 Levels 1&amp;2'!AT68</f>
        <v>8794.3905543943638</v>
      </c>
      <c r="E71" s="195">
        <f t="shared" si="8"/>
        <v>0</v>
      </c>
      <c r="F71" s="195">
        <f>'Table 3A Level 3'!C70</f>
        <v>829.12</v>
      </c>
      <c r="G71" s="195">
        <f t="shared" si="9"/>
        <v>0</v>
      </c>
      <c r="H71" s="346">
        <f t="shared" si="10"/>
        <v>0</v>
      </c>
      <c r="I71" s="196">
        <f>'[1]Oct midyear LSMSA'!K68</f>
        <v>0</v>
      </c>
      <c r="J71" s="196">
        <f>'[1]Feb midyear LSMSA'!K68</f>
        <v>0</v>
      </c>
      <c r="K71" s="197">
        <f t="shared" si="11"/>
        <v>0</v>
      </c>
      <c r="L71" s="346">
        <f t="shared" ref="L71:L75" si="16">K71+H71</f>
        <v>0</v>
      </c>
      <c r="M71" s="194">
        <v>0</v>
      </c>
      <c r="N71" s="352">
        <f t="shared" ref="N71:N75" si="17">SUM(L71:M71)</f>
        <v>0</v>
      </c>
      <c r="O71" s="622">
        <f>8*'[2]Table 5A5_LSMSA'!Q71</f>
        <v>0</v>
      </c>
      <c r="P71" s="196">
        <f t="shared" si="12"/>
        <v>0</v>
      </c>
      <c r="Q71" s="356">
        <f t="shared" si="13"/>
        <v>0</v>
      </c>
      <c r="R71" s="352">
        <f t="shared" si="14"/>
        <v>0</v>
      </c>
    </row>
    <row r="72" spans="1:18" ht="16.149999999999999" customHeight="1">
      <c r="A72" s="198">
        <v>66</v>
      </c>
      <c r="B72" s="199" t="s">
        <v>137</v>
      </c>
      <c r="C72" s="219">
        <f>+'[16]Table 8 Membership 2.1.14'!W68</f>
        <v>0</v>
      </c>
      <c r="D72" s="220">
        <f>'Table 3 Levels 1&amp;2'!AL69+'Table 3 Levels 1&amp;2'!AT69</f>
        <v>10218.278543391003</v>
      </c>
      <c r="E72" s="221">
        <f t="shared" ref="E72:E75" si="18">C72*D72</f>
        <v>0</v>
      </c>
      <c r="F72" s="221">
        <f>'Table 3A Level 3'!C71</f>
        <v>730.06</v>
      </c>
      <c r="G72" s="221">
        <f t="shared" ref="G72:G75" si="19">C72*F72</f>
        <v>0</v>
      </c>
      <c r="H72" s="299">
        <f t="shared" ref="H72:H75" si="20">E72+G72</f>
        <v>0</v>
      </c>
      <c r="I72" s="222">
        <f>'[1]Oct midyear LSMSA'!K69</f>
        <v>0</v>
      </c>
      <c r="J72" s="222">
        <f>'[1]Feb midyear LSMSA'!K69</f>
        <v>0</v>
      </c>
      <c r="K72" s="223">
        <f t="shared" ref="K72:K75" si="21">+I72+J72</f>
        <v>0</v>
      </c>
      <c r="L72" s="299">
        <f t="shared" si="16"/>
        <v>0</v>
      </c>
      <c r="M72" s="220">
        <v>0</v>
      </c>
      <c r="N72" s="295">
        <f t="shared" si="17"/>
        <v>0</v>
      </c>
      <c r="O72" s="203">
        <f>8*'[2]Table 5A5_LSMSA'!Q72</f>
        <v>0</v>
      </c>
      <c r="P72" s="222">
        <f t="shared" ref="P72:P75" si="22">N72-O72</f>
        <v>0</v>
      </c>
      <c r="Q72" s="351">
        <f t="shared" ref="Q72:Q75" si="23">ROUND(P72/$Q$84,0)</f>
        <v>0</v>
      </c>
      <c r="R72" s="295">
        <f t="shared" ref="R72:R75" si="24">+N72</f>
        <v>0</v>
      </c>
    </row>
    <row r="73" spans="1:18" ht="16.149999999999999" customHeight="1">
      <c r="A73" s="198">
        <v>67</v>
      </c>
      <c r="B73" s="199" t="s">
        <v>28</v>
      </c>
      <c r="C73" s="219">
        <f>+'[16]Table 8 Membership 2.1.14'!W69</f>
        <v>0</v>
      </c>
      <c r="D73" s="220">
        <f>'Table 3 Levels 1&amp;2'!AL70+'Table 3 Levels 1&amp;2'!AT70</f>
        <v>8312.8467736134116</v>
      </c>
      <c r="E73" s="221">
        <f t="shared" si="18"/>
        <v>0</v>
      </c>
      <c r="F73" s="221">
        <f>'Table 3A Level 3'!C72</f>
        <v>715.61</v>
      </c>
      <c r="G73" s="221">
        <f t="shared" si="19"/>
        <v>0</v>
      </c>
      <c r="H73" s="299">
        <f t="shared" si="20"/>
        <v>0</v>
      </c>
      <c r="I73" s="222">
        <f>'[1]Oct midyear LSMSA'!K70</f>
        <v>0</v>
      </c>
      <c r="J73" s="222">
        <f>'[1]Feb midyear LSMSA'!K70</f>
        <v>0</v>
      </c>
      <c r="K73" s="223">
        <f t="shared" si="21"/>
        <v>0</v>
      </c>
      <c r="L73" s="299">
        <f t="shared" si="16"/>
        <v>0</v>
      </c>
      <c r="M73" s="220">
        <v>0</v>
      </c>
      <c r="N73" s="295">
        <f t="shared" si="17"/>
        <v>0</v>
      </c>
      <c r="O73" s="203">
        <f>8*'[2]Table 5A5_LSMSA'!Q73</f>
        <v>0</v>
      </c>
      <c r="P73" s="222">
        <f t="shared" si="22"/>
        <v>0</v>
      </c>
      <c r="Q73" s="351">
        <f t="shared" si="23"/>
        <v>0</v>
      </c>
      <c r="R73" s="295">
        <f t="shared" si="24"/>
        <v>0</v>
      </c>
    </row>
    <row r="74" spans="1:18" ht="16.149999999999999" customHeight="1">
      <c r="A74" s="198">
        <v>68</v>
      </c>
      <c r="B74" s="199" t="s">
        <v>27</v>
      </c>
      <c r="C74" s="219">
        <f>+'[16]Table 8 Membership 2.1.14'!W70</f>
        <v>0</v>
      </c>
      <c r="D74" s="220">
        <f>'Table 3 Levels 1&amp;2'!AL71+'Table 3 Levels 1&amp;2'!AT71</f>
        <v>9395.5244202560607</v>
      </c>
      <c r="E74" s="221">
        <f t="shared" si="18"/>
        <v>0</v>
      </c>
      <c r="F74" s="221">
        <f>'Table 3A Level 3'!C73</f>
        <v>798.7</v>
      </c>
      <c r="G74" s="221">
        <f t="shared" si="19"/>
        <v>0</v>
      </c>
      <c r="H74" s="299">
        <f t="shared" si="20"/>
        <v>0</v>
      </c>
      <c r="I74" s="222">
        <f>'[1]Oct midyear LSMSA'!K71</f>
        <v>0</v>
      </c>
      <c r="J74" s="222">
        <f>'[1]Feb midyear LSMSA'!K71</f>
        <v>0</v>
      </c>
      <c r="K74" s="223">
        <f t="shared" si="21"/>
        <v>0</v>
      </c>
      <c r="L74" s="299">
        <f t="shared" si="16"/>
        <v>0</v>
      </c>
      <c r="M74" s="220">
        <v>0</v>
      </c>
      <c r="N74" s="295">
        <f t="shared" si="17"/>
        <v>0</v>
      </c>
      <c r="O74" s="203">
        <f>8*'[2]Table 5A5_LSMSA'!Q74</f>
        <v>0</v>
      </c>
      <c r="P74" s="222">
        <f t="shared" si="22"/>
        <v>0</v>
      </c>
      <c r="Q74" s="351">
        <f t="shared" si="23"/>
        <v>0</v>
      </c>
      <c r="R74" s="295">
        <f t="shared" si="24"/>
        <v>0</v>
      </c>
    </row>
    <row r="75" spans="1:18" ht="16.149999999999999" customHeight="1">
      <c r="A75" s="212">
        <v>69</v>
      </c>
      <c r="B75" s="213" t="s">
        <v>147</v>
      </c>
      <c r="C75" s="214">
        <f>+'[16]Table 8 Membership 2.1.14'!W71</f>
        <v>0</v>
      </c>
      <c r="D75" s="215">
        <f>'Table 3 Levels 1&amp;2'!AL72+'Table 3 Levels 1&amp;2'!AT72</f>
        <v>8597.8147921281343</v>
      </c>
      <c r="E75" s="216">
        <f t="shared" si="18"/>
        <v>0</v>
      </c>
      <c r="F75" s="216">
        <f>'Table 3A Level 3'!C74</f>
        <v>705.67</v>
      </c>
      <c r="G75" s="216">
        <f t="shared" si="19"/>
        <v>0</v>
      </c>
      <c r="H75" s="347">
        <f t="shared" si="20"/>
        <v>0</v>
      </c>
      <c r="I75" s="217">
        <f>'[1]Oct midyear LSMSA'!K72</f>
        <v>0</v>
      </c>
      <c r="J75" s="217">
        <f>'[1]Feb midyear LSMSA'!K72</f>
        <v>0</v>
      </c>
      <c r="K75" s="218">
        <f t="shared" si="21"/>
        <v>0</v>
      </c>
      <c r="L75" s="347">
        <f t="shared" si="16"/>
        <v>0</v>
      </c>
      <c r="M75" s="215">
        <v>0</v>
      </c>
      <c r="N75" s="353">
        <f t="shared" si="17"/>
        <v>0</v>
      </c>
      <c r="O75" s="64">
        <f>8*'[2]Table 5A5_LSMSA'!Q75</f>
        <v>0</v>
      </c>
      <c r="P75" s="217">
        <f t="shared" si="22"/>
        <v>0</v>
      </c>
      <c r="Q75" s="357">
        <f t="shared" si="23"/>
        <v>0</v>
      </c>
      <c r="R75" s="353">
        <f t="shared" si="24"/>
        <v>0</v>
      </c>
    </row>
    <row r="76" spans="1:18" ht="16.149999999999999" customHeight="1" thickBot="1">
      <c r="A76" s="1442" t="s">
        <v>711</v>
      </c>
      <c r="B76" s="1415"/>
      <c r="C76" s="27">
        <f>SUM(C7:C75)</f>
        <v>278</v>
      </c>
      <c r="D76" s="28"/>
      <c r="E76" s="35">
        <f>SUM(E7:E75)</f>
        <v>2247135.171326607</v>
      </c>
      <c r="F76" s="35">
        <f>'Table 3A Level 3'!C75</f>
        <v>704.64781030742063</v>
      </c>
      <c r="G76" s="35">
        <f t="shared" ref="G76:O76" si="25">SUM(G7:G75)</f>
        <v>191173.77211005596</v>
      </c>
      <c r="H76" s="348">
        <f t="shared" si="25"/>
        <v>2438308.9434366622</v>
      </c>
      <c r="I76" s="69">
        <f t="shared" si="25"/>
        <v>266460.09170437208</v>
      </c>
      <c r="J76" s="69">
        <f t="shared" si="25"/>
        <v>-73635.67204969337</v>
      </c>
      <c r="K76" s="62">
        <f t="shared" si="25"/>
        <v>192824.4196546785</v>
      </c>
      <c r="L76" s="368">
        <f>SUM(L7:L75)</f>
        <v>2631133.3630913408</v>
      </c>
      <c r="M76" s="36">
        <f t="shared" si="25"/>
        <v>0</v>
      </c>
      <c r="N76" s="348">
        <f t="shared" si="25"/>
        <v>2631133.3630913408</v>
      </c>
      <c r="O76" s="36">
        <f t="shared" si="25"/>
        <v>1625536</v>
      </c>
      <c r="P76" s="36">
        <f>SUM(P7:P75)</f>
        <v>1005597.3630913417</v>
      </c>
      <c r="Q76" s="354">
        <f>SUM(Q7:Q75)</f>
        <v>251399</v>
      </c>
      <c r="R76" s="348">
        <f>SUM(R7:R75)</f>
        <v>2631133.3630913408</v>
      </c>
    </row>
    <row r="77" spans="1:18" ht="16.149999999999999" customHeight="1" thickTop="1">
      <c r="A77" s="1443" t="s">
        <v>705</v>
      </c>
      <c r="B77" s="1444"/>
      <c r="C77" s="40"/>
      <c r="D77" s="26"/>
      <c r="E77" s="34"/>
      <c r="F77" s="34"/>
      <c r="G77" s="34"/>
      <c r="H77" s="34"/>
      <c r="I77" s="65"/>
      <c r="J77" s="65"/>
      <c r="K77" s="65"/>
      <c r="L77" s="65"/>
      <c r="M77" s="65"/>
      <c r="N77" s="125">
        <f>+'Table 4 Level 4'!$E$80</f>
        <v>0</v>
      </c>
      <c r="O77" s="65">
        <f>8*'[2]Table 5A5_LSMSA'!Q77</f>
        <v>0</v>
      </c>
      <c r="P77" s="65">
        <f t="shared" ref="P77:P81" si="26">N77-O77</f>
        <v>0</v>
      </c>
      <c r="Q77" s="357">
        <f t="shared" ref="Q77:Q81" si="27">ROUND(P77/$Q$84,0)</f>
        <v>0</v>
      </c>
      <c r="R77" s="125">
        <f>'Table 4 Level 4'!$E80</f>
        <v>0</v>
      </c>
    </row>
    <row r="78" spans="1:18" ht="16.149999999999999" customHeight="1">
      <c r="A78" s="1420" t="s">
        <v>706</v>
      </c>
      <c r="B78" s="1437"/>
      <c r="C78" s="38"/>
      <c r="D78" s="24"/>
      <c r="E78" s="32"/>
      <c r="F78" s="32"/>
      <c r="G78" s="32"/>
      <c r="H78" s="32"/>
      <c r="I78" s="67"/>
      <c r="J78" s="67"/>
      <c r="K78" s="67"/>
      <c r="L78" s="67"/>
      <c r="M78" s="67"/>
      <c r="N78" s="67"/>
      <c r="O78" s="67"/>
      <c r="P78" s="67"/>
      <c r="Q78" s="64">
        <f t="shared" si="27"/>
        <v>0</v>
      </c>
      <c r="R78" s="126">
        <f>'Table 4 Level 4'!$J80</f>
        <v>0</v>
      </c>
    </row>
    <row r="79" spans="1:18" ht="16.149999999999999" customHeight="1">
      <c r="A79" s="1420" t="s">
        <v>707</v>
      </c>
      <c r="B79" s="1437"/>
      <c r="C79" s="38"/>
      <c r="D79" s="24"/>
      <c r="E79" s="32"/>
      <c r="F79" s="32"/>
      <c r="G79" s="32"/>
      <c r="H79" s="32"/>
      <c r="I79" s="67"/>
      <c r="J79" s="67"/>
      <c r="K79" s="67"/>
      <c r="L79" s="67"/>
      <c r="M79" s="67"/>
      <c r="N79" s="67"/>
      <c r="O79" s="67"/>
      <c r="P79" s="67"/>
      <c r="Q79" s="64">
        <f t="shared" si="27"/>
        <v>0</v>
      </c>
      <c r="R79" s="126">
        <f>'Table 4 Level 4'!$L80</f>
        <v>10000</v>
      </c>
    </row>
    <row r="80" spans="1:18" ht="16.149999999999999" customHeight="1">
      <c r="A80" s="1420" t="s">
        <v>708</v>
      </c>
      <c r="B80" s="1437"/>
      <c r="C80" s="38"/>
      <c r="D80" s="24"/>
      <c r="E80" s="32"/>
      <c r="F80" s="32"/>
      <c r="G80" s="32"/>
      <c r="H80" s="32"/>
      <c r="I80" s="67"/>
      <c r="J80" s="67"/>
      <c r="K80" s="67"/>
      <c r="L80" s="67"/>
      <c r="M80" s="67"/>
      <c r="N80" s="67"/>
      <c r="O80" s="67"/>
      <c r="P80" s="67"/>
      <c r="Q80" s="64">
        <f t="shared" si="27"/>
        <v>0</v>
      </c>
      <c r="R80" s="126">
        <f>'Table 4 Level 4'!$M80</f>
        <v>0</v>
      </c>
    </row>
    <row r="81" spans="1:18" ht="16.149999999999999" customHeight="1">
      <c r="A81" s="1438" t="s">
        <v>709</v>
      </c>
      <c r="B81" s="1439"/>
      <c r="C81" s="39"/>
      <c r="D81" s="25"/>
      <c r="E81" s="33"/>
      <c r="F81" s="33"/>
      <c r="G81" s="33"/>
      <c r="H81" s="33"/>
      <c r="I81" s="68"/>
      <c r="J81" s="68"/>
      <c r="K81" s="68"/>
      <c r="L81" s="68"/>
      <c r="M81" s="68"/>
      <c r="N81" s="127">
        <f>+'Table 4 Level 4'!$O$80</f>
        <v>7228</v>
      </c>
      <c r="O81" s="68">
        <f>8*'[2]Table 5A5_LSMSA'!Q81</f>
        <v>4816</v>
      </c>
      <c r="P81" s="68">
        <f t="shared" si="26"/>
        <v>2412</v>
      </c>
      <c r="Q81" s="400">
        <f t="shared" si="27"/>
        <v>603</v>
      </c>
      <c r="R81" s="127">
        <f>+'Table 4 Level 4'!O80</f>
        <v>7228</v>
      </c>
    </row>
    <row r="82" spans="1:18" ht="16.149999999999999" customHeight="1" thickBot="1">
      <c r="A82" s="1442" t="s">
        <v>710</v>
      </c>
      <c r="B82" s="1415"/>
      <c r="C82" s="27">
        <f>SUM(C76:C81)</f>
        <v>278</v>
      </c>
      <c r="D82" s="28"/>
      <c r="E82" s="35">
        <f t="shared" ref="E82:R82" si="28">SUM(E76:E81)</f>
        <v>2247135.171326607</v>
      </c>
      <c r="F82" s="35">
        <f t="shared" si="28"/>
        <v>704.64781030742063</v>
      </c>
      <c r="G82" s="35">
        <f t="shared" si="28"/>
        <v>191173.77211005596</v>
      </c>
      <c r="H82" s="28">
        <f t="shared" si="28"/>
        <v>2438308.9434366622</v>
      </c>
      <c r="I82" s="69">
        <f t="shared" si="28"/>
        <v>266460.09170437208</v>
      </c>
      <c r="J82" s="69">
        <f t="shared" si="28"/>
        <v>-73635.67204969337</v>
      </c>
      <c r="K82" s="69">
        <f t="shared" si="28"/>
        <v>192824.4196546785</v>
      </c>
      <c r="L82" s="116">
        <f t="shared" si="28"/>
        <v>2631133.3630913408</v>
      </c>
      <c r="M82" s="66">
        <f t="shared" si="28"/>
        <v>0</v>
      </c>
      <c r="N82" s="348">
        <f t="shared" si="28"/>
        <v>2638361.3630913408</v>
      </c>
      <c r="O82" s="36">
        <f t="shared" si="28"/>
        <v>1630352</v>
      </c>
      <c r="P82" s="36">
        <f t="shared" si="28"/>
        <v>1008009.3630913417</v>
      </c>
      <c r="Q82" s="354">
        <f t="shared" si="28"/>
        <v>252002</v>
      </c>
      <c r="R82" s="348">
        <f t="shared" si="28"/>
        <v>2648361.3630913408</v>
      </c>
    </row>
    <row r="83" spans="1:18" ht="13.5" thickTop="1"/>
    <row r="84" spans="1:18" hidden="1">
      <c r="P84" s="427" t="str">
        <f>'Table 2_State Distrib and Adjs'!$AK$77</f>
        <v>Monthly Pmts Remaining</v>
      </c>
      <c r="Q84" s="427">
        <f>'Table 2_State Distrib and Adjs'!$AL$77</f>
        <v>4</v>
      </c>
    </row>
  </sheetData>
  <mergeCells count="27">
    <mergeCell ref="A82:B82"/>
    <mergeCell ref="R3:R4"/>
    <mergeCell ref="L3:L4"/>
    <mergeCell ref="M3:M4"/>
    <mergeCell ref="A76:B76"/>
    <mergeCell ref="A77:B77"/>
    <mergeCell ref="A78:B78"/>
    <mergeCell ref="N3:N4"/>
    <mergeCell ref="Q3:Q4"/>
    <mergeCell ref="O3:O4"/>
    <mergeCell ref="P3:P4"/>
    <mergeCell ref="A1:B4"/>
    <mergeCell ref="I2:K2"/>
    <mergeCell ref="C3:C4"/>
    <mergeCell ref="D3:D4"/>
    <mergeCell ref="E3:E4"/>
    <mergeCell ref="C1:K1"/>
    <mergeCell ref="L1:R1"/>
    <mergeCell ref="A79:B79"/>
    <mergeCell ref="A80:B80"/>
    <mergeCell ref="A81:B81"/>
    <mergeCell ref="K3:K4"/>
    <mergeCell ref="J3:J4"/>
    <mergeCell ref="F3:F4"/>
    <mergeCell ref="G3:G4"/>
    <mergeCell ref="H3:H4"/>
    <mergeCell ref="I3:I4"/>
  </mergeCells>
  <printOptions horizontalCentered="1"/>
  <pageMargins left="0.32" right="0.32" top="0.75" bottom="0.75" header="0.3" footer="0.3"/>
  <pageSetup paperSize="5" scale="60" firstPageNumber="50" orientation="portrait" r:id="rId1"/>
  <headerFooter>
    <oddHeader>&amp;L&amp;"Arial,Bold"&amp;20&amp;K000000Table 5A5: FY2014-15 MFP Budget Letter (March 2015)
LA School for Math, Science and the Arts (LSMSA)</oddHeader>
    <oddFooter>&amp;R&amp;P</oddFooter>
  </headerFooter>
  <colBreaks count="1" manualBreakCount="1">
    <brk id="11" max="8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Q82"/>
  <sheetViews>
    <sheetView view="pageBreakPreview" zoomScale="70" zoomScaleNormal="75" zoomScaleSheetLayoutView="70" workbookViewId="0">
      <pane xSplit="2" ySplit="5" topLeftCell="C6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9.140625" defaultRowHeight="12.75"/>
  <cols>
    <col min="1" max="1" width="9.7109375" style="1048" bestFit="1" customWidth="1"/>
    <col min="2" max="2" width="53" style="747" bestFit="1" customWidth="1"/>
    <col min="3" max="5" width="20.85546875" style="747" customWidth="1"/>
    <col min="6" max="6" width="20.85546875" style="1169" customWidth="1"/>
    <col min="7" max="8" width="20.85546875" style="747" customWidth="1"/>
    <col min="9" max="10" width="13.5703125" style="747" bestFit="1" customWidth="1"/>
    <col min="11" max="11" width="13.7109375" style="747" bestFit="1" customWidth="1"/>
    <col min="12" max="12" width="14.28515625" style="747" bestFit="1" customWidth="1"/>
    <col min="13" max="13" width="13" style="747" bestFit="1" customWidth="1"/>
    <col min="14" max="14" width="11.140625" style="747" bestFit="1" customWidth="1"/>
    <col min="15" max="15" width="12.42578125" style="747" bestFit="1" customWidth="1"/>
    <col min="16" max="16" width="14.42578125" style="747" bestFit="1" customWidth="1"/>
    <col min="17" max="17" width="13.7109375" style="747" bestFit="1" customWidth="1"/>
    <col min="18" max="18" width="14.42578125" style="747" bestFit="1" customWidth="1"/>
    <col min="19" max="19" width="18.42578125" style="747" customWidth="1"/>
    <col min="20" max="20" width="16.28515625" style="747" customWidth="1"/>
    <col min="21" max="21" width="18.7109375" style="747" customWidth="1"/>
    <col min="22" max="24" width="16.7109375" style="747" customWidth="1"/>
    <col min="25" max="25" width="19.5703125" style="747" customWidth="1"/>
    <col min="26" max="28" width="16.140625" style="747" bestFit="1" customWidth="1"/>
    <col min="29" max="33" width="12.42578125" style="747" bestFit="1" customWidth="1"/>
    <col min="34" max="34" width="16" style="747" customWidth="1"/>
    <col min="35" max="35" width="14.28515625" style="747" bestFit="1" customWidth="1"/>
    <col min="36" max="36" width="11.28515625" style="747" bestFit="1" customWidth="1"/>
    <col min="37" max="37" width="13.28515625" style="747" bestFit="1" customWidth="1"/>
    <col min="38" max="38" width="16.140625" style="747" bestFit="1" customWidth="1"/>
    <col min="39" max="39" width="13.7109375" style="747" bestFit="1" customWidth="1"/>
    <col min="40" max="40" width="16" style="747" bestFit="1" customWidth="1"/>
    <col min="41" max="41" width="13.28515625" style="747" bestFit="1" customWidth="1"/>
    <col min="42" max="42" width="14.42578125" style="747" bestFit="1" customWidth="1"/>
    <col min="43" max="43" width="16.140625" style="747" bestFit="1" customWidth="1"/>
    <col min="44" max="16384" width="9.140625" style="747"/>
  </cols>
  <sheetData>
    <row r="1" spans="1:43" ht="39" customHeight="1">
      <c r="A1" s="1400" t="s">
        <v>259</v>
      </c>
      <c r="B1" s="1400" t="s">
        <v>140</v>
      </c>
      <c r="C1" s="1459" t="s">
        <v>614</v>
      </c>
      <c r="D1" s="1460"/>
      <c r="E1" s="1460"/>
      <c r="F1" s="1460"/>
      <c r="G1" s="1460"/>
      <c r="H1" s="1461"/>
      <c r="I1" s="1459" t="s">
        <v>614</v>
      </c>
      <c r="J1" s="1460"/>
      <c r="K1" s="1460"/>
      <c r="L1" s="1460"/>
      <c r="M1" s="1460"/>
      <c r="N1" s="1460"/>
      <c r="O1" s="1460"/>
      <c r="P1" s="1460"/>
      <c r="Q1" s="1460"/>
      <c r="R1" s="1461"/>
      <c r="S1" s="1459" t="s">
        <v>614</v>
      </c>
      <c r="T1" s="1460"/>
      <c r="U1" s="1460"/>
      <c r="V1" s="1460"/>
      <c r="W1" s="1460"/>
      <c r="X1" s="1460"/>
      <c r="Y1" s="1461"/>
      <c r="Z1" s="1487" t="s">
        <v>856</v>
      </c>
      <c r="AA1" s="1487"/>
      <c r="AB1" s="1487"/>
      <c r="AC1" s="1487"/>
      <c r="AD1" s="1487"/>
      <c r="AE1" s="1487"/>
      <c r="AF1" s="1487"/>
      <c r="AG1" s="1487"/>
      <c r="AH1" s="1488"/>
      <c r="AI1" s="1489" t="s">
        <v>856</v>
      </c>
      <c r="AJ1" s="1487"/>
      <c r="AK1" s="1487"/>
      <c r="AL1" s="1487"/>
      <c r="AM1" s="1487"/>
      <c r="AN1" s="1487"/>
      <c r="AO1" s="1487"/>
      <c r="AP1" s="1487"/>
      <c r="AQ1" s="1488"/>
    </row>
    <row r="2" spans="1:43" ht="20.45" customHeight="1">
      <c r="A2" s="1401"/>
      <c r="B2" s="1401"/>
      <c r="C2" s="1015"/>
      <c r="D2" s="1016"/>
      <c r="E2" s="1016"/>
      <c r="F2" s="401"/>
      <c r="G2" s="402"/>
      <c r="H2" s="1017"/>
      <c r="I2" s="1490" t="s">
        <v>411</v>
      </c>
      <c r="J2" s="1491"/>
      <c r="K2" s="1492"/>
      <c r="L2" s="1016"/>
      <c r="M2" s="1018"/>
      <c r="N2" s="1018"/>
      <c r="O2" s="1018"/>
      <c r="P2" s="1019"/>
      <c r="Q2" s="1020"/>
      <c r="R2" s="1021"/>
      <c r="S2" s="1464" t="s">
        <v>725</v>
      </c>
      <c r="T2" s="1465"/>
      <c r="U2" s="1020"/>
      <c r="V2" s="1464" t="s">
        <v>732</v>
      </c>
      <c r="W2" s="1468"/>
      <c r="X2" s="1465"/>
      <c r="Y2" s="1022"/>
      <c r="Z2" s="1023"/>
      <c r="AA2" s="1023"/>
      <c r="AB2" s="1024"/>
      <c r="AC2" s="1490" t="s">
        <v>411</v>
      </c>
      <c r="AD2" s="1491"/>
      <c r="AE2" s="1491"/>
      <c r="AF2" s="1491"/>
      <c r="AG2" s="1492"/>
      <c r="AH2" s="1025"/>
      <c r="AI2" s="1026"/>
      <c r="AJ2" s="1023"/>
      <c r="AK2" s="1023"/>
      <c r="AL2" s="1023"/>
      <c r="AM2" s="1023"/>
      <c r="AN2" s="1023"/>
      <c r="AO2" s="1023"/>
      <c r="AP2" s="1023"/>
      <c r="AQ2" s="1024"/>
    </row>
    <row r="3" spans="1:43" ht="127.5">
      <c r="A3" s="1401"/>
      <c r="B3" s="1401"/>
      <c r="C3" s="1477" t="s">
        <v>621</v>
      </c>
      <c r="D3" s="1008" t="s">
        <v>760</v>
      </c>
      <c r="E3" s="1462" t="s">
        <v>278</v>
      </c>
      <c r="F3" s="1482" t="s">
        <v>246</v>
      </c>
      <c r="G3" s="1462" t="s">
        <v>245</v>
      </c>
      <c r="H3" s="1462" t="s">
        <v>426</v>
      </c>
      <c r="I3" s="1493" t="s">
        <v>555</v>
      </c>
      <c r="J3" s="1493" t="s">
        <v>554</v>
      </c>
      <c r="K3" s="1495" t="s">
        <v>463</v>
      </c>
      <c r="L3" s="1484" t="s">
        <v>462</v>
      </c>
      <c r="M3" s="1009" t="s">
        <v>256</v>
      </c>
      <c r="N3" s="1009" t="s">
        <v>460</v>
      </c>
      <c r="O3" s="1475" t="s">
        <v>457</v>
      </c>
      <c r="P3" s="1475" t="s">
        <v>461</v>
      </c>
      <c r="Q3" s="1480" t="s">
        <v>702</v>
      </c>
      <c r="R3" s="1475" t="s">
        <v>733</v>
      </c>
      <c r="S3" s="1466" t="s">
        <v>689</v>
      </c>
      <c r="T3" s="1466" t="s">
        <v>724</v>
      </c>
      <c r="U3" s="1462" t="s">
        <v>722</v>
      </c>
      <c r="V3" s="1466" t="s">
        <v>727</v>
      </c>
      <c r="W3" s="1466" t="s">
        <v>728</v>
      </c>
      <c r="X3" s="1466" t="s">
        <v>729</v>
      </c>
      <c r="Y3" s="1462" t="s">
        <v>723</v>
      </c>
      <c r="Z3" s="1027" t="s">
        <v>1053</v>
      </c>
      <c r="AA3" s="1027" t="s">
        <v>1054</v>
      </c>
      <c r="AB3" s="1485" t="s">
        <v>857</v>
      </c>
      <c r="AC3" s="1469" t="s">
        <v>860</v>
      </c>
      <c r="AD3" s="1469" t="s">
        <v>858</v>
      </c>
      <c r="AE3" s="1469" t="s">
        <v>861</v>
      </c>
      <c r="AF3" s="1469" t="s">
        <v>866</v>
      </c>
      <c r="AG3" s="1028" t="s">
        <v>430</v>
      </c>
      <c r="AH3" s="1498" t="s">
        <v>862</v>
      </c>
      <c r="AI3" s="1029" t="s">
        <v>743</v>
      </c>
      <c r="AJ3" s="1029" t="s">
        <v>744</v>
      </c>
      <c r="AK3" s="1485" t="s">
        <v>745</v>
      </c>
      <c r="AL3" s="1485" t="s">
        <v>863</v>
      </c>
      <c r="AM3" s="1480" t="s">
        <v>702</v>
      </c>
      <c r="AN3" s="1471" t="s">
        <v>864</v>
      </c>
      <c r="AO3" s="1497" t="s">
        <v>653</v>
      </c>
      <c r="AP3" s="1497" t="s">
        <v>547</v>
      </c>
      <c r="AQ3" s="1485" t="s">
        <v>865</v>
      </c>
    </row>
    <row r="4" spans="1:43" ht="23.45" customHeight="1">
      <c r="A4" s="1367"/>
      <c r="B4" s="1367"/>
      <c r="C4" s="1478"/>
      <c r="D4" s="1030">
        <f>'Table 3 Levels 1&amp;2'!AL39</f>
        <v>3602.7009974327857</v>
      </c>
      <c r="E4" s="1479"/>
      <c r="F4" s="1483"/>
      <c r="G4" s="1463"/>
      <c r="H4" s="1463"/>
      <c r="I4" s="1494"/>
      <c r="J4" s="1494"/>
      <c r="K4" s="1496"/>
      <c r="L4" s="1476"/>
      <c r="M4" s="1031">
        <v>1.7500000000000002E-2</v>
      </c>
      <c r="N4" s="1031">
        <v>2.5000000000000001E-3</v>
      </c>
      <c r="O4" s="1476"/>
      <c r="P4" s="1476"/>
      <c r="Q4" s="1481"/>
      <c r="R4" s="1476"/>
      <c r="S4" s="1467"/>
      <c r="T4" s="1467"/>
      <c r="U4" s="1463"/>
      <c r="V4" s="1467"/>
      <c r="W4" s="1467"/>
      <c r="X4" s="1467"/>
      <c r="Y4" s="1463"/>
      <c r="Z4" s="1032">
        <f>'[13]FY2014-15 Final'!$E$39</f>
        <v>4809</v>
      </c>
      <c r="AA4" s="1032">
        <f>'[13]FY2014-15 Final'!$L$39</f>
        <v>5469</v>
      </c>
      <c r="AB4" s="1486"/>
      <c r="AC4" s="1470"/>
      <c r="AD4" s="1470"/>
      <c r="AE4" s="1470"/>
      <c r="AF4" s="1470"/>
      <c r="AG4" s="1010"/>
      <c r="AH4" s="1499" t="s">
        <v>416</v>
      </c>
      <c r="AI4" s="1033">
        <v>1.7500000000000002E-2</v>
      </c>
      <c r="AJ4" s="1033">
        <v>2.5000000000000001E-3</v>
      </c>
      <c r="AK4" s="1486"/>
      <c r="AL4" s="1486"/>
      <c r="AM4" s="1481"/>
      <c r="AN4" s="1472"/>
      <c r="AO4" s="1472"/>
      <c r="AP4" s="1472"/>
      <c r="AQ4" s="1486"/>
    </row>
    <row r="5" spans="1:43">
      <c r="A5" s="1034"/>
      <c r="B5" s="1035"/>
      <c r="C5" s="763">
        <v>1</v>
      </c>
      <c r="D5" s="1036">
        <f t="shared" ref="D5:H5" si="0">C5+1</f>
        <v>2</v>
      </c>
      <c r="E5" s="763">
        <f t="shared" si="0"/>
        <v>3</v>
      </c>
      <c r="F5" s="763">
        <f t="shared" si="0"/>
        <v>4</v>
      </c>
      <c r="G5" s="763">
        <f t="shared" si="0"/>
        <v>5</v>
      </c>
      <c r="H5" s="763">
        <f t="shared" si="0"/>
        <v>6</v>
      </c>
      <c r="I5" s="763">
        <f t="shared" ref="I5" si="1">H5+1</f>
        <v>7</v>
      </c>
      <c r="J5" s="763">
        <f t="shared" ref="J5" si="2">I5+1</f>
        <v>8</v>
      </c>
      <c r="K5" s="763">
        <f t="shared" ref="K5" si="3">J5+1</f>
        <v>9</v>
      </c>
      <c r="L5" s="763">
        <f t="shared" ref="L5" si="4">K5+1</f>
        <v>10</v>
      </c>
      <c r="M5" s="763">
        <f t="shared" ref="M5" si="5">L5+1</f>
        <v>11</v>
      </c>
      <c r="N5" s="763">
        <f t="shared" ref="N5" si="6">M5+1</f>
        <v>12</v>
      </c>
      <c r="O5" s="763">
        <f t="shared" ref="O5" si="7">N5+1</f>
        <v>13</v>
      </c>
      <c r="P5" s="763">
        <f t="shared" ref="P5" si="8">O5+1</f>
        <v>14</v>
      </c>
      <c r="Q5" s="763">
        <f t="shared" ref="Q5" si="9">P5+1</f>
        <v>15</v>
      </c>
      <c r="R5" s="763">
        <f>Q5+1</f>
        <v>16</v>
      </c>
      <c r="S5" s="151">
        <f t="shared" ref="S5:AB5" si="10">R5+1</f>
        <v>17</v>
      </c>
      <c r="T5" s="763">
        <f t="shared" si="10"/>
        <v>18</v>
      </c>
      <c r="U5" s="763">
        <f t="shared" si="10"/>
        <v>19</v>
      </c>
      <c r="V5" s="763">
        <f t="shared" si="10"/>
        <v>20</v>
      </c>
      <c r="W5" s="763">
        <f t="shared" si="10"/>
        <v>21</v>
      </c>
      <c r="X5" s="763">
        <f t="shared" si="10"/>
        <v>22</v>
      </c>
      <c r="Y5" s="763">
        <f t="shared" si="10"/>
        <v>23</v>
      </c>
      <c r="Z5" s="763">
        <f t="shared" si="10"/>
        <v>24</v>
      </c>
      <c r="AA5" s="763">
        <f t="shared" si="10"/>
        <v>25</v>
      </c>
      <c r="AB5" s="763">
        <f t="shared" si="10"/>
        <v>26</v>
      </c>
      <c r="AC5" s="763">
        <f t="shared" ref="AC5" si="11">AB5+1</f>
        <v>27</v>
      </c>
      <c r="AD5" s="763">
        <f t="shared" ref="AD5" si="12">AC5+1</f>
        <v>28</v>
      </c>
      <c r="AE5" s="763">
        <f t="shared" ref="AE5" si="13">AD5+1</f>
        <v>29</v>
      </c>
      <c r="AF5" s="763">
        <f t="shared" ref="AF5" si="14">AE5+1</f>
        <v>30</v>
      </c>
      <c r="AG5" s="763">
        <f t="shared" ref="AG5" si="15">AF5+1</f>
        <v>31</v>
      </c>
      <c r="AH5" s="763">
        <f t="shared" ref="AH5" si="16">AG5+1</f>
        <v>32</v>
      </c>
      <c r="AI5" s="763">
        <f t="shared" ref="AI5" si="17">AH5+1</f>
        <v>33</v>
      </c>
      <c r="AJ5" s="763">
        <f t="shared" ref="AJ5" si="18">AI5+1</f>
        <v>34</v>
      </c>
      <c r="AK5" s="763">
        <f t="shared" ref="AK5" si="19">AJ5+1</f>
        <v>35</v>
      </c>
      <c r="AL5" s="763">
        <f t="shared" ref="AL5:AM5" si="20">AK5+1</f>
        <v>36</v>
      </c>
      <c r="AM5" s="763">
        <f t="shared" si="20"/>
        <v>37</v>
      </c>
      <c r="AN5" s="763">
        <f t="shared" ref="AN5" si="21">AM5+1</f>
        <v>38</v>
      </c>
      <c r="AO5" s="763">
        <f t="shared" ref="AO5" si="22">AN5+1</f>
        <v>39</v>
      </c>
      <c r="AP5" s="763">
        <f t="shared" ref="AP5:AQ5" si="23">AO5+1</f>
        <v>40</v>
      </c>
      <c r="AQ5" s="763">
        <f t="shared" si="23"/>
        <v>41</v>
      </c>
    </row>
    <row r="6" spans="1:43" s="1048" customFormat="1" ht="28.15" customHeight="1">
      <c r="A6" s="1037" t="s">
        <v>254</v>
      </c>
      <c r="B6" s="1038" t="s">
        <v>615</v>
      </c>
      <c r="C6" s="1039">
        <f>+'Table 8 Membership 2.1.14'!C38</f>
        <v>12073</v>
      </c>
      <c r="D6" s="1040">
        <f>$D$4</f>
        <v>3602.7009974327857</v>
      </c>
      <c r="E6" s="1040">
        <f>ROUND(C6*D6,0)</f>
        <v>43495409</v>
      </c>
      <c r="F6" s="1040">
        <v>727.23177743956114</v>
      </c>
      <c r="G6" s="1040">
        <f>F6*C6</f>
        <v>8779869.2490278222</v>
      </c>
      <c r="H6" s="1041">
        <f>E6+G6</f>
        <v>52275278.249027818</v>
      </c>
      <c r="I6" s="1042">
        <f>'Table 2_State Distrib and Adjs'!I42</f>
        <v>3520235.3459712183</v>
      </c>
      <c r="J6" s="1042">
        <f>'Table 2_State Distrib and Adjs'!J42</f>
        <v>-153712.61350796832</v>
      </c>
      <c r="K6" s="1043">
        <f>+I6+J6</f>
        <v>3366522.7324632499</v>
      </c>
      <c r="L6" s="1041">
        <f>+H6+K6</f>
        <v>55641800.981491067</v>
      </c>
      <c r="M6" s="1044"/>
      <c r="N6" s="1044"/>
      <c r="O6" s="1044"/>
      <c r="P6" s="1044"/>
      <c r="Q6" s="1045" t="s">
        <v>56</v>
      </c>
      <c r="R6" s="1046" t="s">
        <v>68</v>
      </c>
      <c r="S6" s="1045"/>
      <c r="T6" s="1045"/>
      <c r="U6" s="1046"/>
      <c r="V6" s="1045"/>
      <c r="W6" s="1045"/>
      <c r="X6" s="1045"/>
      <c r="Y6" s="1046"/>
      <c r="Z6" s="1046"/>
      <c r="AA6" s="1047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</row>
    <row r="7" spans="1:43" s="1048" customFormat="1" ht="16.899999999999999" customHeight="1">
      <c r="A7" s="1049"/>
      <c r="B7" s="1050"/>
      <c r="C7" s="1050"/>
      <c r="D7" s="1050"/>
      <c r="E7" s="1050"/>
      <c r="F7" s="1051"/>
      <c r="G7" s="1050"/>
      <c r="H7" s="1050"/>
      <c r="I7" s="1050"/>
      <c r="J7" s="1050"/>
      <c r="K7" s="1050"/>
      <c r="L7" s="1050"/>
      <c r="M7" s="1050"/>
      <c r="N7" s="1050"/>
      <c r="O7" s="1050"/>
      <c r="P7" s="1050"/>
      <c r="Q7" s="1050"/>
      <c r="R7" s="1050"/>
      <c r="S7" s="1050"/>
      <c r="T7" s="1050"/>
      <c r="U7" s="1050"/>
      <c r="V7" s="1050"/>
      <c r="W7" s="1050"/>
      <c r="X7" s="1050"/>
      <c r="Y7" s="1050"/>
      <c r="Z7" s="1052"/>
      <c r="AA7" s="1052"/>
      <c r="AB7" s="1050"/>
      <c r="AC7" s="1050"/>
      <c r="AD7" s="1050"/>
      <c r="AE7" s="1050"/>
      <c r="AF7" s="1050"/>
      <c r="AG7" s="1050"/>
      <c r="AH7" s="1050"/>
      <c r="AI7" s="1050"/>
      <c r="AJ7" s="1050"/>
      <c r="AK7" s="1050"/>
      <c r="AL7" s="1050"/>
      <c r="AM7" s="1050"/>
      <c r="AN7" s="1050"/>
      <c r="AO7" s="1050"/>
      <c r="AP7" s="1050"/>
      <c r="AQ7" s="1050"/>
    </row>
    <row r="8" spans="1:43" s="1048" customFormat="1" ht="16.899999999999999" customHeight="1">
      <c r="A8" s="1053"/>
      <c r="B8" s="1053" t="s">
        <v>715</v>
      </c>
      <c r="C8" s="1054">
        <v>1000</v>
      </c>
      <c r="D8" s="1055">
        <f>$D$4</f>
        <v>3602.7009974327857</v>
      </c>
      <c r="E8" s="1055">
        <f>ROUND(C8*D8,0)</f>
        <v>3602701</v>
      </c>
      <c r="F8" s="1055">
        <v>797.0524448632965</v>
      </c>
      <c r="G8" s="1055">
        <f>F8*C8</f>
        <v>797052.44486329646</v>
      </c>
      <c r="H8" s="1056">
        <f>E8+G8</f>
        <v>4399753.4448632961</v>
      </c>
      <c r="I8" s="1057">
        <f>'[1]October midyear adj'!K181</f>
        <v>-4399753.4422960822</v>
      </c>
      <c r="J8" s="1057">
        <f>'[1]February midyear adj'!K181</f>
        <v>0</v>
      </c>
      <c r="K8" s="1058">
        <f>+I8+J8</f>
        <v>-4399753.4422960822</v>
      </c>
      <c r="L8" s="1056">
        <f>+H8+K8</f>
        <v>2.5672139599919319E-3</v>
      </c>
      <c r="M8" s="1057"/>
      <c r="N8" s="1057"/>
      <c r="O8" s="1057"/>
      <c r="P8" s="1056"/>
      <c r="Q8" s="1055"/>
      <c r="R8" s="1056"/>
      <c r="S8" s="1055"/>
      <c r="T8" s="1055"/>
      <c r="U8" s="1056"/>
      <c r="V8" s="1055"/>
      <c r="W8" s="1055"/>
      <c r="X8" s="1055"/>
      <c r="Y8" s="1056"/>
      <c r="Z8" s="1055"/>
      <c r="AA8" s="1055"/>
      <c r="AB8" s="1059"/>
      <c r="AC8" s="1060"/>
      <c r="AD8" s="1057"/>
      <c r="AE8" s="1060"/>
      <c r="AF8" s="1057"/>
      <c r="AG8" s="1058"/>
      <c r="AH8" s="1059"/>
      <c r="AI8" s="1061"/>
      <c r="AJ8" s="1061"/>
      <c r="AK8" s="1061"/>
      <c r="AL8" s="1059"/>
      <c r="AM8" s="1055"/>
      <c r="AN8" s="1059"/>
      <c r="AO8" s="1057"/>
      <c r="AP8" s="1057"/>
      <c r="AQ8" s="1059"/>
    </row>
    <row r="9" spans="1:43" s="1048" customFormat="1" ht="25.5">
      <c r="A9" s="1053">
        <v>396</v>
      </c>
      <c r="B9" s="1053" t="s">
        <v>1055</v>
      </c>
      <c r="C9" s="1054">
        <v>201</v>
      </c>
      <c r="D9" s="1055">
        <f>$D$4</f>
        <v>3602.7009974327857</v>
      </c>
      <c r="E9" s="1055">
        <f>ROUND(C9*D9,0)</f>
        <v>724143</v>
      </c>
      <c r="F9" s="1055">
        <v>797.0524448632965</v>
      </c>
      <c r="G9" s="1055">
        <f>F9*C9</f>
        <v>160207.54141752259</v>
      </c>
      <c r="H9" s="1056">
        <f>E9+G9</f>
        <v>884350.54141752259</v>
      </c>
      <c r="I9" s="1057">
        <f>'[1]October midyear adj'!K182</f>
        <v>-259585.45309546887</v>
      </c>
      <c r="J9" s="1057">
        <f>'[1]February midyear adj'!K182</f>
        <v>114393.58949969815</v>
      </c>
      <c r="K9" s="1058">
        <f>+I9+J9</f>
        <v>-145191.86359577073</v>
      </c>
      <c r="L9" s="1056">
        <f>+H9+K9</f>
        <v>739158.67782175192</v>
      </c>
      <c r="M9" s="1057">
        <f>-$M$73</f>
        <v>2233888.6869310271</v>
      </c>
      <c r="N9" s="1057"/>
      <c r="O9" s="1057">
        <f>+M9+N9</f>
        <v>2233888.6869310271</v>
      </c>
      <c r="P9" s="1056">
        <f>+L9+O9</f>
        <v>2973047.3647527788</v>
      </c>
      <c r="Q9" s="1055">
        <v>0</v>
      </c>
      <c r="R9" s="1056">
        <f>P9+Q9</f>
        <v>2973047.3647527788</v>
      </c>
      <c r="S9" s="1055">
        <f>VLOOKUP($A9,'Table 4 Level 4'!$B$121:$O$180,4,FALSE)</f>
        <v>0</v>
      </c>
      <c r="T9" s="1055">
        <f>'Table 4 Level 4'!O180</f>
        <v>0</v>
      </c>
      <c r="U9" s="1056">
        <f>SUM(R9:T9)</f>
        <v>2973047.3647527788</v>
      </c>
      <c r="V9" s="1055">
        <f>VLOOKUP($A9,'Table 4 Level 4'!$B$121:$O$180,9,FALSE)</f>
        <v>0</v>
      </c>
      <c r="W9" s="1055">
        <f>VLOOKUP($A9,'Table 4 Level 4'!$B$121:$O$180,11,FALSE)</f>
        <v>0</v>
      </c>
      <c r="X9" s="1055">
        <f>VLOOKUP($A9,'Table 4 Level 4'!$B$121:$O$180,12,FALSE)</f>
        <v>44068</v>
      </c>
      <c r="Y9" s="1056">
        <f>SUM(U9:X9)</f>
        <v>3017115.3647527788</v>
      </c>
      <c r="Z9" s="1055"/>
      <c r="AA9" s="1055">
        <f>+$AA$4</f>
        <v>5469</v>
      </c>
      <c r="AB9" s="1059">
        <f>IF(Z9=0,AA9*C9,Z9*C9)</f>
        <v>1099269</v>
      </c>
      <c r="AC9" s="1060">
        <f>'[1]October midyear adj'!E182</f>
        <v>-59</v>
      </c>
      <c r="AD9" s="1057">
        <f>IF(Z9=0,AA9*AC9,Z9*AC9)</f>
        <v>-322671</v>
      </c>
      <c r="AE9" s="1060">
        <f>'[1]February midyear adj'!$E$182</f>
        <v>52</v>
      </c>
      <c r="AF9" s="1057">
        <f>IF(Z9=0,AA9*AE9*0.5,Z9*AE9*0.5)</f>
        <v>142194</v>
      </c>
      <c r="AG9" s="1058">
        <f>+AD9+AF9</f>
        <v>-180477</v>
      </c>
      <c r="AH9" s="1059">
        <f>+AB9+AG9</f>
        <v>918792</v>
      </c>
      <c r="AI9" s="1061">
        <f>-$AI$73</f>
        <v>2498065.8937500003</v>
      </c>
      <c r="AJ9" s="1061"/>
      <c r="AK9" s="1061">
        <f>AI9+AJ9</f>
        <v>2498065.8937500003</v>
      </c>
      <c r="AL9" s="1059">
        <f>AH9+AK9</f>
        <v>3416857.8937500003</v>
      </c>
      <c r="AM9" s="1055">
        <v>0</v>
      </c>
      <c r="AN9" s="1059">
        <f>SUM(AL9:AM9)</f>
        <v>3416857.8937500003</v>
      </c>
      <c r="AO9" s="1057">
        <f>'[17]RSD Orleans Allocation'!BF7</f>
        <v>2141386</v>
      </c>
      <c r="AP9" s="1057">
        <f>+AN9-AO9</f>
        <v>1275471.8937500003</v>
      </c>
      <c r="AQ9" s="1059">
        <f>ROUND(AP9/$AQ$81,0)</f>
        <v>318868</v>
      </c>
    </row>
    <row r="10" spans="1:43" s="1048" customFormat="1" ht="16.899999999999999" customHeight="1">
      <c r="A10" s="1062"/>
      <c r="B10" s="1063"/>
      <c r="C10" s="1063"/>
      <c r="D10" s="1063"/>
      <c r="E10" s="1063"/>
      <c r="F10" s="1064"/>
      <c r="G10" s="1063"/>
      <c r="H10" s="1063"/>
      <c r="I10" s="1063"/>
      <c r="J10" s="1063"/>
      <c r="K10" s="1063"/>
      <c r="L10" s="1063"/>
      <c r="M10" s="1063"/>
      <c r="N10" s="1063"/>
      <c r="O10" s="1063"/>
      <c r="P10" s="1063"/>
      <c r="Q10" s="1063"/>
      <c r="R10" s="1063"/>
      <c r="S10" s="1063"/>
      <c r="T10" s="1063"/>
      <c r="U10" s="1063"/>
      <c r="V10" s="1063"/>
      <c r="W10" s="1063"/>
      <c r="X10" s="1063"/>
      <c r="Y10" s="1063"/>
      <c r="Z10" s="1063"/>
      <c r="AA10" s="1063"/>
      <c r="AB10" s="1063"/>
      <c r="AC10" s="1063"/>
      <c r="AD10" s="1063"/>
      <c r="AE10" s="1063"/>
      <c r="AF10" s="1063"/>
      <c r="AG10" s="1063"/>
      <c r="AH10" s="1063"/>
      <c r="AI10" s="1063"/>
      <c r="AJ10" s="1063"/>
      <c r="AK10" s="1063"/>
      <c r="AL10" s="1063"/>
      <c r="AM10" s="1063"/>
      <c r="AN10" s="1063"/>
      <c r="AO10" s="1063"/>
      <c r="AP10" s="1063"/>
      <c r="AQ10" s="1063"/>
    </row>
    <row r="11" spans="1:43" s="1048" customFormat="1" ht="16.899999999999999" customHeight="1">
      <c r="A11" s="1065"/>
      <c r="B11" s="1065" t="s">
        <v>65</v>
      </c>
      <c r="C11" s="1066"/>
      <c r="D11" s="1055"/>
      <c r="E11" s="1055"/>
      <c r="F11" s="1055"/>
      <c r="G11" s="1055"/>
      <c r="H11" s="1056"/>
      <c r="I11" s="1057"/>
      <c r="J11" s="1057"/>
      <c r="K11" s="1058"/>
      <c r="L11" s="1056"/>
      <c r="M11" s="1057"/>
      <c r="N11" s="1057"/>
      <c r="O11" s="1057"/>
      <c r="P11" s="1056"/>
      <c r="Q11" s="1061"/>
      <c r="R11" s="1056"/>
      <c r="S11" s="1061"/>
      <c r="T11" s="1061"/>
      <c r="U11" s="1056"/>
      <c r="V11" s="1061"/>
      <c r="W11" s="1061"/>
      <c r="X11" s="1061"/>
      <c r="Y11" s="1056"/>
      <c r="Z11" s="1061"/>
      <c r="AA11" s="1061"/>
      <c r="AB11" s="1059"/>
      <c r="AC11" s="1060"/>
      <c r="AD11" s="1057"/>
      <c r="AE11" s="1060"/>
      <c r="AF11" s="1057"/>
      <c r="AG11" s="1058"/>
      <c r="AH11" s="1059"/>
      <c r="AI11" s="1061"/>
      <c r="AJ11" s="1061"/>
      <c r="AK11" s="1061"/>
      <c r="AL11" s="1059"/>
      <c r="AM11" s="1061"/>
      <c r="AN11" s="1059"/>
      <c r="AO11" s="1057"/>
      <c r="AP11" s="1057"/>
      <c r="AQ11" s="1059"/>
    </row>
    <row r="12" spans="1:43" s="1048" customFormat="1" ht="16.899999999999999" customHeight="1">
      <c r="A12" s="1067">
        <v>300001</v>
      </c>
      <c r="B12" s="1068" t="s">
        <v>512</v>
      </c>
      <c r="C12" s="1069">
        <f>IFERROR(VLOOKUP(A12,'[18]RSD-NO by Site'!$B$5:$D$62,3,FALSE),"na")</f>
        <v>376</v>
      </c>
      <c r="D12" s="1070">
        <f t="shared" ref="D12:D47" si="24">$D$4</f>
        <v>3602.7009974327857</v>
      </c>
      <c r="E12" s="1070">
        <f t="shared" ref="E12:E64" si="25">ROUND(C12*D12,0)</f>
        <v>1354616</v>
      </c>
      <c r="F12" s="1070">
        <v>767.72184717013943</v>
      </c>
      <c r="G12" s="1070">
        <f t="shared" ref="G12:G64" si="26">F12*C12</f>
        <v>288663.41453597241</v>
      </c>
      <c r="H12" s="1071">
        <f>E12+G12</f>
        <v>1643279.4145359723</v>
      </c>
      <c r="I12" s="1072">
        <f>VLOOKUP($A12,'[1]October midyear adj'!$A$122:$K$178,11,FALSE)</f>
        <v>126742.26249348481</v>
      </c>
      <c r="J12" s="1073">
        <f>VLOOKUP($A12,'[1]February midyear adj'!$A$122:$K$178,11,FALSE)</f>
        <v>-2185.2114223014623</v>
      </c>
      <c r="K12" s="1074">
        <f t="shared" ref="K12:K72" si="27">+I12+J12</f>
        <v>124557.05107118335</v>
      </c>
      <c r="L12" s="1071">
        <f t="shared" ref="L12:L72" si="28">+H12+K12</f>
        <v>1767836.4656071556</v>
      </c>
      <c r="M12" s="1073">
        <f>-L12*$M$4</f>
        <v>-30937.138148125225</v>
      </c>
      <c r="N12" s="1073">
        <f>-L12*$N$4</f>
        <v>-4419.5911640178892</v>
      </c>
      <c r="O12" s="1073">
        <f t="shared" ref="O12:O72" si="29">+M12+N12</f>
        <v>-35356.729312143114</v>
      </c>
      <c r="P12" s="1071">
        <f t="shared" ref="P12:P72" si="30">+L12+O12</f>
        <v>1732479.7362950125</v>
      </c>
      <c r="Q12" s="1075">
        <v>-1656.6922124065732</v>
      </c>
      <c r="R12" s="1071">
        <f t="shared" ref="R12:R47" si="31">P12+Q12</f>
        <v>1730823.044082606</v>
      </c>
      <c r="S12" s="1075">
        <f>VLOOKUP($A12,'Table 4 Level 4'!$B$121:$O$177,4,FALSE)</f>
        <v>0</v>
      </c>
      <c r="T12" s="1075">
        <f>'Table 4 Level 4'!O121</f>
        <v>2496</v>
      </c>
      <c r="U12" s="1071">
        <f t="shared" ref="U12" si="32">SUM(R12:T12)</f>
        <v>1733319.044082606</v>
      </c>
      <c r="V12" s="1075">
        <f>VLOOKUP($A12,'Table 4 Level 4'!$B$121:$O$177,9,FALSE)</f>
        <v>0</v>
      </c>
      <c r="W12" s="1075">
        <f>VLOOKUP($A12,'Table 4 Level 4'!$B$121:$O$177,11,FALSE)</f>
        <v>0</v>
      </c>
      <c r="X12" s="1075">
        <f>VLOOKUP($A12,'Table 4 Level 4'!$B$121:$O$177,12,FALSE)</f>
        <v>8141</v>
      </c>
      <c r="Y12" s="1071">
        <f t="shared" ref="Y12" si="33">SUM(U12:X12)</f>
        <v>1741460.044082606</v>
      </c>
      <c r="Z12" s="1075">
        <f t="shared" ref="Z12:Z18" si="34">+$Z$4</f>
        <v>4809</v>
      </c>
      <c r="AA12" s="1075"/>
      <c r="AB12" s="1076">
        <f t="shared" ref="AB12:AB47" si="35">IF(Z12=0,AA12*C12,Z12*C12)</f>
        <v>1808184</v>
      </c>
      <c r="AC12" s="1077">
        <f>VLOOKUP($A12,'[1]October midyear adj'!$A$122:$K$178,5,FALSE)</f>
        <v>29</v>
      </c>
      <c r="AD12" s="1073">
        <f t="shared" ref="AD12:AD47" si="36">IF(Z12=0,AA12*AC12,Z12*AC12)</f>
        <v>139461</v>
      </c>
      <c r="AE12" s="1077">
        <f>VLOOKUP($A12,'[1]February midyear adj'!$A$122:$K$178,5,FALSE)</f>
        <v>-1</v>
      </c>
      <c r="AF12" s="1073">
        <f t="shared" ref="AF12:AF47" si="37">IF(Z12=0,AA12*AE12*0.5,Z12*AE12*0.5)</f>
        <v>-2404.5</v>
      </c>
      <c r="AG12" s="1074">
        <f t="shared" ref="AG12:AG72" si="38">+AD12+AF12</f>
        <v>137056.5</v>
      </c>
      <c r="AH12" s="1078">
        <f t="shared" ref="AH12:AH72" si="39">+AB12+AG12</f>
        <v>1945240.5</v>
      </c>
      <c r="AI12" s="1075">
        <f>-$AI$4*AH12</f>
        <v>-34041.708750000005</v>
      </c>
      <c r="AJ12" s="1075">
        <f>-$AJ$4*AH12</f>
        <v>-4863.1012499999997</v>
      </c>
      <c r="AK12" s="1075">
        <f>AI12+AJ12</f>
        <v>-38904.810000000005</v>
      </c>
      <c r="AL12" s="1076">
        <f t="shared" ref="AL12:AL72" si="40">AH12+AK12</f>
        <v>1906335.69</v>
      </c>
      <c r="AM12" s="1075">
        <v>-2098</v>
      </c>
      <c r="AN12" s="1078">
        <f>SUM(AL12:AM12)</f>
        <v>1904237.69</v>
      </c>
      <c r="AO12" s="1073">
        <f>'[17]RSD Orleans Allocation'!BF10</f>
        <v>1145802</v>
      </c>
      <c r="AP12" s="1073">
        <f t="shared" ref="AP12:AP72" si="41">+AN12-AO12</f>
        <v>758435.69</v>
      </c>
      <c r="AQ12" s="1078">
        <f>ROUND(AP12/$AQ$81,0)</f>
        <v>189609</v>
      </c>
    </row>
    <row r="13" spans="1:43" s="1048" customFormat="1" ht="16.899999999999999" customHeight="1">
      <c r="A13" s="1079">
        <v>300002</v>
      </c>
      <c r="B13" s="1080" t="s">
        <v>513</v>
      </c>
      <c r="C13" s="1081">
        <f>IFERROR(VLOOKUP(A13,'[18]RSD-NO by Site'!$B$5:$D$62,3,FALSE),"na")</f>
        <v>492</v>
      </c>
      <c r="D13" s="1082">
        <f t="shared" si="24"/>
        <v>3602.7009974327857</v>
      </c>
      <c r="E13" s="1082">
        <f t="shared" si="25"/>
        <v>1772529</v>
      </c>
      <c r="F13" s="1082">
        <v>730.66950653120466</v>
      </c>
      <c r="G13" s="1082">
        <f t="shared" si="26"/>
        <v>359489.39721335267</v>
      </c>
      <c r="H13" s="1083">
        <f t="shared" ref="H13:H64" si="42">E13+G13</f>
        <v>2132018.3972133528</v>
      </c>
      <c r="I13" s="1084">
        <f>VLOOKUP($A13,'[1]October midyear adj'!$A$122:$K$178,11,FALSE)</f>
        <v>-52000.446047567879</v>
      </c>
      <c r="J13" s="1085">
        <f>VLOOKUP($A13,'[1]February midyear adj'!$A$122:$K$178,11,FALSE)</f>
        <v>17333.48201585596</v>
      </c>
      <c r="K13" s="1086">
        <f t="shared" si="27"/>
        <v>-34666.964031711919</v>
      </c>
      <c r="L13" s="1083">
        <f t="shared" si="28"/>
        <v>2097351.4331816407</v>
      </c>
      <c r="M13" s="1085">
        <f t="shared" ref="M13:M72" si="43">-L13*$M$4</f>
        <v>-36703.650080678715</v>
      </c>
      <c r="N13" s="1085">
        <f t="shared" ref="N13:N72" si="44">-L13*$N$4</f>
        <v>-5243.3785829541021</v>
      </c>
      <c r="O13" s="1085">
        <f t="shared" si="29"/>
        <v>-41947.028663632816</v>
      </c>
      <c r="P13" s="1083">
        <f t="shared" si="30"/>
        <v>2055404.4045180078</v>
      </c>
      <c r="Q13" s="1087">
        <v>-21411.940310500675</v>
      </c>
      <c r="R13" s="1083">
        <f t="shared" si="31"/>
        <v>2033992.4642075072</v>
      </c>
      <c r="S13" s="1087">
        <f>VLOOKUP($A13,'Table 4 Level 4'!$B$121:$O$177,4,FALSE)</f>
        <v>0</v>
      </c>
      <c r="T13" s="1087">
        <f>'Table 4 Level 4'!O122</f>
        <v>2808</v>
      </c>
      <c r="U13" s="1083">
        <f t="shared" ref="U13:U72" si="45">SUM(R13:T13)</f>
        <v>2036800.4642075072</v>
      </c>
      <c r="V13" s="1087">
        <f>VLOOKUP($A13,'Table 4 Level 4'!$B$121:$O$177,9,FALSE)</f>
        <v>0</v>
      </c>
      <c r="W13" s="1087">
        <f>VLOOKUP($A13,'Table 4 Level 4'!$B$121:$O$177,11,FALSE)</f>
        <v>0</v>
      </c>
      <c r="X13" s="1087">
        <f>VLOOKUP($A13,'Table 4 Level 4'!$B$121:$O$177,12,FALSE)</f>
        <v>31844</v>
      </c>
      <c r="Y13" s="1083">
        <f t="shared" ref="Y13:Y72" si="46">SUM(U13:X13)</f>
        <v>2068644.4642075072</v>
      </c>
      <c r="Z13" s="1087">
        <f t="shared" si="34"/>
        <v>4809</v>
      </c>
      <c r="AA13" s="1087"/>
      <c r="AB13" s="1088">
        <f t="shared" si="35"/>
        <v>2366028</v>
      </c>
      <c r="AC13" s="1089">
        <f>VLOOKUP($A13,'[1]October midyear adj'!$A$122:$K$178,5,FALSE)</f>
        <v>-12</v>
      </c>
      <c r="AD13" s="1085">
        <f t="shared" si="36"/>
        <v>-57708</v>
      </c>
      <c r="AE13" s="1089">
        <f>VLOOKUP($A13,'[1]February midyear adj'!$A$122:$K$178,5,FALSE)</f>
        <v>8</v>
      </c>
      <c r="AF13" s="1085">
        <f t="shared" si="37"/>
        <v>19236</v>
      </c>
      <c r="AG13" s="1086">
        <f t="shared" si="38"/>
        <v>-38472</v>
      </c>
      <c r="AH13" s="1090">
        <f t="shared" si="39"/>
        <v>2327556</v>
      </c>
      <c r="AI13" s="1087">
        <f t="shared" ref="AI13:AI72" si="47">-$AI$4*AH13</f>
        <v>-40732.230000000003</v>
      </c>
      <c r="AJ13" s="1087">
        <f t="shared" ref="AJ13:AJ72" si="48">-$AJ$4*AH13</f>
        <v>-5818.89</v>
      </c>
      <c r="AK13" s="1087">
        <f t="shared" ref="AK13:AK67" si="49">AI13+AJ13</f>
        <v>-46551.12</v>
      </c>
      <c r="AL13" s="1088">
        <f t="shared" si="40"/>
        <v>2281004.88</v>
      </c>
      <c r="AM13" s="1087">
        <v>0</v>
      </c>
      <c r="AN13" s="1090">
        <f>SUM(AL13:AM13)</f>
        <v>2281004.88</v>
      </c>
      <c r="AO13" s="1085">
        <f>'[17]RSD Orleans Allocation'!BF11</f>
        <v>1501126</v>
      </c>
      <c r="AP13" s="1085">
        <f t="shared" si="41"/>
        <v>779878.87999999989</v>
      </c>
      <c r="AQ13" s="1090">
        <f>ROUND(AP13/$AQ$81,0)</f>
        <v>194970</v>
      </c>
    </row>
    <row r="14" spans="1:43" s="1048" customFormat="1" ht="16.899999999999999" customHeight="1">
      <c r="A14" s="1079">
        <v>300003</v>
      </c>
      <c r="B14" s="1080" t="s">
        <v>514</v>
      </c>
      <c r="C14" s="1081">
        <f>IFERROR(VLOOKUP(A14,'[18]RSD-NO by Site'!$B$5:$D$62,3,FALSE),"na")</f>
        <v>660</v>
      </c>
      <c r="D14" s="1082">
        <f t="shared" si="24"/>
        <v>3602.7009974327857</v>
      </c>
      <c r="E14" s="1082">
        <f t="shared" si="25"/>
        <v>2377783</v>
      </c>
      <c r="F14" s="1082">
        <v>767.72184717013943</v>
      </c>
      <c r="G14" s="1082">
        <f t="shared" si="26"/>
        <v>506696.41913229204</v>
      </c>
      <c r="H14" s="1083">
        <f t="shared" si="42"/>
        <v>2884479.4191322923</v>
      </c>
      <c r="I14" s="1084">
        <f>VLOOKUP($A14,'[1]October midyear adj'!$A$122:$K$178,11,FALSE)</f>
        <v>166076.06809491114</v>
      </c>
      <c r="J14" s="1085">
        <f>VLOOKUP($A14,'[1]February midyear adj'!$A$122:$K$178,11,FALSE)</f>
        <v>-24037.325645316087</v>
      </c>
      <c r="K14" s="1086">
        <f t="shared" si="27"/>
        <v>142038.74244959507</v>
      </c>
      <c r="L14" s="1083">
        <f t="shared" si="28"/>
        <v>3026518.1615818874</v>
      </c>
      <c r="M14" s="1085">
        <f t="shared" si="43"/>
        <v>-52964.067827683037</v>
      </c>
      <c r="N14" s="1085">
        <f t="shared" si="44"/>
        <v>-7566.2954039547185</v>
      </c>
      <c r="O14" s="1085">
        <f t="shared" si="29"/>
        <v>-60530.363231637755</v>
      </c>
      <c r="P14" s="1083">
        <f t="shared" si="30"/>
        <v>2965987.7983502494</v>
      </c>
      <c r="Q14" s="1087">
        <v>-2890.8811407531866</v>
      </c>
      <c r="R14" s="1083">
        <f t="shared" si="31"/>
        <v>2963096.9172094963</v>
      </c>
      <c r="S14" s="1087">
        <f>VLOOKUP($A14,'Table 4 Level 4'!$B$121:$O$177,4,FALSE)</f>
        <v>0</v>
      </c>
      <c r="T14" s="1087">
        <f>'Table 4 Level 4'!O123</f>
        <v>17160</v>
      </c>
      <c r="U14" s="1083">
        <f t="shared" si="45"/>
        <v>2980256.9172094963</v>
      </c>
      <c r="V14" s="1087">
        <f>VLOOKUP($A14,'Table 4 Level 4'!$B$121:$O$177,9,FALSE)</f>
        <v>0</v>
      </c>
      <c r="W14" s="1087">
        <f>VLOOKUP($A14,'Table 4 Level 4'!$B$121:$O$177,11,FALSE)</f>
        <v>10000</v>
      </c>
      <c r="X14" s="1087">
        <f>VLOOKUP($A14,'Table 4 Level 4'!$B$121:$O$177,12,FALSE)</f>
        <v>141588</v>
      </c>
      <c r="Y14" s="1083">
        <f t="shared" si="46"/>
        <v>3131844.9172094963</v>
      </c>
      <c r="Z14" s="1087">
        <f t="shared" si="34"/>
        <v>4809</v>
      </c>
      <c r="AA14" s="1087"/>
      <c r="AB14" s="1088">
        <f t="shared" si="35"/>
        <v>3173940</v>
      </c>
      <c r="AC14" s="1089">
        <f>VLOOKUP($A14,'[1]October midyear adj'!$A$122:$K$178,5,FALSE)</f>
        <v>38</v>
      </c>
      <c r="AD14" s="1085">
        <f t="shared" si="36"/>
        <v>182742</v>
      </c>
      <c r="AE14" s="1089">
        <f>VLOOKUP($A14,'[1]February midyear adj'!$A$122:$K$178,5,FALSE)</f>
        <v>-11</v>
      </c>
      <c r="AF14" s="1085">
        <f t="shared" si="37"/>
        <v>-26449.5</v>
      </c>
      <c r="AG14" s="1086">
        <f t="shared" si="38"/>
        <v>156292.5</v>
      </c>
      <c r="AH14" s="1090">
        <f t="shared" si="39"/>
        <v>3330232.5</v>
      </c>
      <c r="AI14" s="1087">
        <f t="shared" si="47"/>
        <v>-58279.068750000006</v>
      </c>
      <c r="AJ14" s="1087">
        <f t="shared" si="48"/>
        <v>-8325.5812499999993</v>
      </c>
      <c r="AK14" s="1087">
        <f t="shared" si="49"/>
        <v>-66604.650000000009</v>
      </c>
      <c r="AL14" s="1088">
        <f t="shared" si="40"/>
        <v>3263627.85</v>
      </c>
      <c r="AM14" s="1087">
        <v>2098</v>
      </c>
      <c r="AN14" s="1090">
        <f>SUM(AL14:AM14)</f>
        <v>3265725.85</v>
      </c>
      <c r="AO14" s="1085">
        <f>'[17]RSD Orleans Allocation'!BF12</f>
        <v>2015104</v>
      </c>
      <c r="AP14" s="1085">
        <f t="shared" si="41"/>
        <v>1250621.8500000001</v>
      </c>
      <c r="AQ14" s="1090">
        <f>ROUND(AP14/$AQ$81,0)</f>
        <v>312655</v>
      </c>
    </row>
    <row r="15" spans="1:43" s="1048" customFormat="1" ht="16.899999999999999" customHeight="1">
      <c r="A15" s="1091">
        <v>300004</v>
      </c>
      <c r="B15" s="1092" t="s">
        <v>515</v>
      </c>
      <c r="C15" s="1081">
        <f>IFERROR(VLOOKUP(A15,'[18]RSD-NO by Site'!$B$5:$D$62,3,FALSE),"na")</f>
        <v>447</v>
      </c>
      <c r="D15" s="1082">
        <f t="shared" si="24"/>
        <v>3602.7009974327857</v>
      </c>
      <c r="E15" s="1082">
        <f t="shared" si="25"/>
        <v>1610407</v>
      </c>
      <c r="F15" s="1087">
        <v>746.0335616438357</v>
      </c>
      <c r="G15" s="1082">
        <f t="shared" si="26"/>
        <v>333477.00205479458</v>
      </c>
      <c r="H15" s="1083">
        <f t="shared" si="42"/>
        <v>1943884.0020547947</v>
      </c>
      <c r="I15" s="1084">
        <f>VLOOKUP($A15,'[1]October midyear adj'!$A$122:$K$178,11,FALSE)</f>
        <v>78277.222063379188</v>
      </c>
      <c r="J15" s="1085">
        <f>VLOOKUP($A15,'[1]February midyear adj'!$A$122:$K$178,11,FALSE)</f>
        <v>-2174.3672795383109</v>
      </c>
      <c r="K15" s="1086">
        <f t="shared" si="27"/>
        <v>76102.85478384087</v>
      </c>
      <c r="L15" s="1083">
        <f t="shared" si="28"/>
        <v>2019986.8568386356</v>
      </c>
      <c r="M15" s="1085">
        <f t="shared" si="43"/>
        <v>-35349.769994676128</v>
      </c>
      <c r="N15" s="1085">
        <f t="shared" si="44"/>
        <v>-5049.9671420965888</v>
      </c>
      <c r="O15" s="1085">
        <f t="shared" si="29"/>
        <v>-40399.737136772717</v>
      </c>
      <c r="P15" s="1083">
        <f t="shared" si="30"/>
        <v>1979587.1197018628</v>
      </c>
      <c r="Q15" s="1087">
        <v>4188.7882445342984</v>
      </c>
      <c r="R15" s="1083">
        <f t="shared" si="31"/>
        <v>1983775.9079463971</v>
      </c>
      <c r="S15" s="1087">
        <f>VLOOKUP($A15,'Table 4 Level 4'!$B$121:$O$177,4,FALSE)</f>
        <v>0</v>
      </c>
      <c r="T15" s="1087">
        <f>'Table 4 Level 4'!O124</f>
        <v>2860</v>
      </c>
      <c r="U15" s="1083">
        <f t="shared" si="45"/>
        <v>1986635.9079463971</v>
      </c>
      <c r="V15" s="1087">
        <f>VLOOKUP($A15,'Table 4 Level 4'!$B$121:$O$177,9,FALSE)</f>
        <v>0</v>
      </c>
      <c r="W15" s="1087">
        <f>VLOOKUP($A15,'Table 4 Level 4'!$B$121:$O$177,11,FALSE)</f>
        <v>0</v>
      </c>
      <c r="X15" s="1087">
        <f>VLOOKUP($A15,'Table 4 Level 4'!$B$121:$O$177,12,FALSE)</f>
        <v>22279</v>
      </c>
      <c r="Y15" s="1083">
        <f t="shared" si="46"/>
        <v>2008914.9079463971</v>
      </c>
      <c r="Z15" s="1087">
        <f t="shared" si="34"/>
        <v>4809</v>
      </c>
      <c r="AA15" s="1087"/>
      <c r="AB15" s="1088">
        <f t="shared" si="35"/>
        <v>2149623</v>
      </c>
      <c r="AC15" s="1089">
        <f>VLOOKUP($A15,'[1]October midyear adj'!$A$122:$K$178,5,FALSE)</f>
        <v>18</v>
      </c>
      <c r="AD15" s="1085">
        <f t="shared" si="36"/>
        <v>86562</v>
      </c>
      <c r="AE15" s="1089">
        <f>VLOOKUP($A15,'[1]February midyear adj'!$A$122:$K$178,5,FALSE)</f>
        <v>-1</v>
      </c>
      <c r="AF15" s="1085">
        <f t="shared" si="37"/>
        <v>-2404.5</v>
      </c>
      <c r="AG15" s="1086">
        <f t="shared" si="38"/>
        <v>84157.5</v>
      </c>
      <c r="AH15" s="1090">
        <f t="shared" si="39"/>
        <v>2233780.5</v>
      </c>
      <c r="AI15" s="1087">
        <f t="shared" si="47"/>
        <v>-39091.158750000002</v>
      </c>
      <c r="AJ15" s="1087">
        <f t="shared" si="48"/>
        <v>-5584.4512500000001</v>
      </c>
      <c r="AK15" s="1087">
        <f t="shared" si="49"/>
        <v>-44675.61</v>
      </c>
      <c r="AL15" s="1088">
        <f t="shared" si="40"/>
        <v>2189104.89</v>
      </c>
      <c r="AM15" s="1087">
        <v>4196</v>
      </c>
      <c r="AN15" s="1090">
        <f>SUM(AL15:AM15)</f>
        <v>2193300.89</v>
      </c>
      <c r="AO15" s="1085">
        <f>'[17]RSD Orleans Allocation'!BF13</f>
        <v>1366624</v>
      </c>
      <c r="AP15" s="1085">
        <f t="shared" si="41"/>
        <v>826676.89000000013</v>
      </c>
      <c r="AQ15" s="1090">
        <f>ROUND(AP15/$AQ$81,0)</f>
        <v>206669</v>
      </c>
    </row>
    <row r="16" spans="1:43" s="1048" customFormat="1" ht="28.15" customHeight="1">
      <c r="A16" s="1093">
        <v>360001</v>
      </c>
      <c r="B16" s="1094" t="s">
        <v>740</v>
      </c>
      <c r="C16" s="1095">
        <f>IFERROR(VLOOKUP(A16,'[18]RSD-NO by Site'!$B$5:$D$62,3,FALSE),"na")</f>
        <v>145</v>
      </c>
      <c r="D16" s="1096">
        <f t="shared" si="24"/>
        <v>3602.7009974327857</v>
      </c>
      <c r="E16" s="1096">
        <f t="shared" si="25"/>
        <v>522392</v>
      </c>
      <c r="F16" s="1097">
        <v>746.0335616438357</v>
      </c>
      <c r="G16" s="1096">
        <f t="shared" si="26"/>
        <v>108174.86643835617</v>
      </c>
      <c r="H16" s="1098">
        <f t="shared" si="42"/>
        <v>630566.86643835623</v>
      </c>
      <c r="I16" s="1099">
        <f>VLOOKUP($A16,'[1]October midyear adj'!$A$122:$K$178,11,FALSE)</f>
        <v>82625.956622455808</v>
      </c>
      <c r="J16" s="1100">
        <f>VLOOKUP($A16,'[1]February midyear adj'!$A$122:$K$178,11,FALSE)</f>
        <v>-2174.3672795383109</v>
      </c>
      <c r="K16" s="1101">
        <f t="shared" si="27"/>
        <v>80451.58934291749</v>
      </c>
      <c r="L16" s="1098">
        <f t="shared" si="28"/>
        <v>711018.45578127378</v>
      </c>
      <c r="M16" s="1100">
        <f t="shared" si="43"/>
        <v>-12442.822976172292</v>
      </c>
      <c r="N16" s="1100">
        <f t="shared" si="44"/>
        <v>-1777.5461394531844</v>
      </c>
      <c r="O16" s="1100">
        <f t="shared" si="29"/>
        <v>-14220.369115625477</v>
      </c>
      <c r="P16" s="1098">
        <f t="shared" si="30"/>
        <v>696798.08666564827</v>
      </c>
      <c r="Q16" s="1097">
        <v>-4266.5229954150109</v>
      </c>
      <c r="R16" s="1098">
        <f t="shared" si="31"/>
        <v>692531.56367023324</v>
      </c>
      <c r="S16" s="1097">
        <f>VLOOKUP($A16,'Table 4 Level 4'!$B$121:$O$177,4,FALSE)</f>
        <v>0</v>
      </c>
      <c r="T16" s="1097">
        <f>'Table 4 Level 4'!O125</f>
        <v>3770</v>
      </c>
      <c r="U16" s="1098">
        <f t="shared" si="45"/>
        <v>696301.56367023324</v>
      </c>
      <c r="V16" s="1097">
        <f>VLOOKUP($A16,'Table 4 Level 4'!$B$121:$O$177,9,FALSE)</f>
        <v>0</v>
      </c>
      <c r="W16" s="1097">
        <f>VLOOKUP($A16,'Table 4 Level 4'!$B$121:$O$177,11,FALSE)</f>
        <v>10000</v>
      </c>
      <c r="X16" s="1097">
        <f>VLOOKUP($A16,'Table 4 Level 4'!$B$121:$O$177,12,FALSE)</f>
        <v>0</v>
      </c>
      <c r="Y16" s="1098">
        <f t="shared" si="46"/>
        <v>706301.56367023324</v>
      </c>
      <c r="Z16" s="1097"/>
      <c r="AA16" s="1097">
        <f>+$AA$4</f>
        <v>5469</v>
      </c>
      <c r="AB16" s="1102">
        <f t="shared" si="35"/>
        <v>793005</v>
      </c>
      <c r="AC16" s="1103">
        <f>VLOOKUP($A16,'[1]October midyear adj'!$A$122:$K$178,5,FALSE)</f>
        <v>19</v>
      </c>
      <c r="AD16" s="1100">
        <f t="shared" si="36"/>
        <v>103911</v>
      </c>
      <c r="AE16" s="1103">
        <f>VLOOKUP($A16,'[1]February midyear adj'!$A$122:$K$178,5,FALSE)</f>
        <v>-1</v>
      </c>
      <c r="AF16" s="1100">
        <f t="shared" si="37"/>
        <v>-2734.5</v>
      </c>
      <c r="AG16" s="1101">
        <f t="shared" si="38"/>
        <v>101176.5</v>
      </c>
      <c r="AH16" s="1104">
        <f t="shared" si="39"/>
        <v>894181.5</v>
      </c>
      <c r="AI16" s="1097">
        <f t="shared" si="47"/>
        <v>-15648.176250000002</v>
      </c>
      <c r="AJ16" s="1097">
        <f t="shared" si="48"/>
        <v>-2235.4537500000001</v>
      </c>
      <c r="AK16" s="1097">
        <f t="shared" si="49"/>
        <v>-17883.63</v>
      </c>
      <c r="AL16" s="1102">
        <f t="shared" si="40"/>
        <v>876297.87</v>
      </c>
      <c r="AM16" s="1097">
        <v>-5433</v>
      </c>
      <c r="AN16" s="1104">
        <f>SUM(AL16:AM16)</f>
        <v>870864.87</v>
      </c>
      <c r="AO16" s="1100">
        <f>'[17]RSD Orleans Allocation'!BF14</f>
        <v>511254</v>
      </c>
      <c r="AP16" s="1100">
        <f t="shared" si="41"/>
        <v>359610.87</v>
      </c>
      <c r="AQ16" s="1104">
        <f>ROUND(AP16/$AQ$81,0)</f>
        <v>89903</v>
      </c>
    </row>
    <row r="17" spans="1:43" s="1048" customFormat="1" ht="28.15" customHeight="1">
      <c r="A17" s="1105">
        <v>361</v>
      </c>
      <c r="B17" s="1106" t="s">
        <v>757</v>
      </c>
      <c r="C17" s="1107">
        <v>128</v>
      </c>
      <c r="D17" s="1108"/>
      <c r="E17" s="1108"/>
      <c r="F17" s="1108"/>
      <c r="G17" s="1108"/>
      <c r="H17" s="1108"/>
      <c r="I17" s="1109"/>
      <c r="J17" s="1108"/>
      <c r="K17" s="1108"/>
      <c r="L17" s="1108"/>
      <c r="M17" s="1108"/>
      <c r="N17" s="1108"/>
      <c r="O17" s="1108"/>
      <c r="P17" s="1108"/>
      <c r="Q17" s="1108"/>
      <c r="R17" s="1108"/>
      <c r="S17" s="1108"/>
      <c r="T17" s="1108"/>
      <c r="U17" s="1108"/>
      <c r="V17" s="1108"/>
      <c r="W17" s="1108"/>
      <c r="X17" s="1108"/>
      <c r="Y17" s="1108"/>
      <c r="Z17" s="1108"/>
      <c r="AA17" s="1108">
        <f>+$AA$4</f>
        <v>5469</v>
      </c>
      <c r="AB17" s="1109">
        <f t="shared" si="35"/>
        <v>700032</v>
      </c>
      <c r="AC17" s="1110">
        <f>'[19]MER_Crescent Leadership'!E6</f>
        <v>-71</v>
      </c>
      <c r="AD17" s="1108">
        <f t="shared" si="36"/>
        <v>-388299</v>
      </c>
      <c r="AE17" s="1110">
        <v>110</v>
      </c>
      <c r="AF17" s="1108">
        <f t="shared" si="37"/>
        <v>300795</v>
      </c>
      <c r="AG17" s="1108"/>
      <c r="AH17" s="1108"/>
      <c r="AI17" s="1108"/>
      <c r="AJ17" s="1108"/>
      <c r="AK17" s="1108"/>
      <c r="AL17" s="1109"/>
      <c r="AM17" s="1108"/>
      <c r="AN17" s="1108"/>
      <c r="AO17" s="1108"/>
      <c r="AP17" s="1108"/>
      <c r="AQ17" s="1108"/>
    </row>
    <row r="18" spans="1:43" s="1048" customFormat="1" ht="28.15" customHeight="1" thickBot="1">
      <c r="A18" s="1105">
        <v>361</v>
      </c>
      <c r="B18" s="1106" t="s">
        <v>758</v>
      </c>
      <c r="C18" s="1107">
        <v>106</v>
      </c>
      <c r="D18" s="1108"/>
      <c r="E18" s="1108"/>
      <c r="F18" s="1108"/>
      <c r="G18" s="1108"/>
      <c r="H18" s="1108"/>
      <c r="I18" s="1109"/>
      <c r="J18" s="1108"/>
      <c r="K18" s="1108"/>
      <c r="L18" s="1108"/>
      <c r="M18" s="1108"/>
      <c r="N18" s="1108"/>
      <c r="O18" s="1108"/>
      <c r="P18" s="1108"/>
      <c r="Q18" s="1108"/>
      <c r="R18" s="1108"/>
      <c r="S18" s="1108"/>
      <c r="T18" s="1108"/>
      <c r="U18" s="1108"/>
      <c r="V18" s="1108"/>
      <c r="W18" s="1108"/>
      <c r="X18" s="1108"/>
      <c r="Y18" s="1108"/>
      <c r="Z18" s="1108">
        <f t="shared" si="34"/>
        <v>4809</v>
      </c>
      <c r="AA18" s="1108"/>
      <c r="AB18" s="1109">
        <f t="shared" si="35"/>
        <v>509754</v>
      </c>
      <c r="AC18" s="1110">
        <f>'[19]MER_Crescent Leadership'!E9</f>
        <v>-1</v>
      </c>
      <c r="AD18" s="1108">
        <f t="shared" si="36"/>
        <v>-4809</v>
      </c>
      <c r="AE18" s="1110">
        <v>-105</v>
      </c>
      <c r="AF18" s="1108">
        <f t="shared" si="37"/>
        <v>-252472.5</v>
      </c>
      <c r="AG18" s="1108"/>
      <c r="AH18" s="1108"/>
      <c r="AI18" s="1108"/>
      <c r="AJ18" s="1108"/>
      <c r="AK18" s="1108"/>
      <c r="AL18" s="1109"/>
      <c r="AM18" s="1108"/>
      <c r="AN18" s="1108"/>
      <c r="AO18" s="1108"/>
      <c r="AP18" s="1108"/>
      <c r="AQ18" s="1108"/>
    </row>
    <row r="19" spans="1:43" s="1048" customFormat="1" ht="28.15" customHeight="1" thickBot="1">
      <c r="A19" s="1111">
        <v>361001</v>
      </c>
      <c r="B19" s="1112" t="s">
        <v>756</v>
      </c>
      <c r="C19" s="1113">
        <f>+C17+C18</f>
        <v>234</v>
      </c>
      <c r="D19" s="1114">
        <f t="shared" si="24"/>
        <v>3602.7009974327857</v>
      </c>
      <c r="E19" s="1114">
        <f t="shared" si="25"/>
        <v>843032</v>
      </c>
      <c r="F19" s="1114">
        <v>746.0335616438357</v>
      </c>
      <c r="G19" s="1114">
        <f t="shared" si="26"/>
        <v>174571.85342465754</v>
      </c>
      <c r="H19" s="1114">
        <f t="shared" si="42"/>
        <v>1017603.8534246576</v>
      </c>
      <c r="I19" s="1115">
        <f>VLOOKUP($A19,'[1]October midyear adj'!$A$122:$K$178,11,FALSE)</f>
        <v>-313108.88825351675</v>
      </c>
      <c r="J19" s="1114">
        <f>VLOOKUP($A19,'[1]February midyear adj'!$A$122:$K$178,11,FALSE)</f>
        <v>10871.836397691553</v>
      </c>
      <c r="K19" s="1114">
        <f t="shared" si="27"/>
        <v>-302237.05185582518</v>
      </c>
      <c r="L19" s="1114">
        <f t="shared" si="28"/>
        <v>715366.80156883248</v>
      </c>
      <c r="M19" s="1114">
        <f t="shared" ref="M19" si="50">-L19*$M$4</f>
        <v>-12518.919027454569</v>
      </c>
      <c r="N19" s="1114">
        <f t="shared" ref="N19" si="51">-L19*$N$4</f>
        <v>-1788.4170039220812</v>
      </c>
      <c r="O19" s="1114">
        <f t="shared" ref="O19" si="52">+M19+N19</f>
        <v>-14307.33603137665</v>
      </c>
      <c r="P19" s="1114">
        <f t="shared" ref="P19" si="53">+L19+O19</f>
        <v>701059.46553745586</v>
      </c>
      <c r="Q19" s="1114">
        <v>-98130.028894545248</v>
      </c>
      <c r="R19" s="1114">
        <f t="shared" si="31"/>
        <v>602929.43664291059</v>
      </c>
      <c r="S19" s="1114">
        <f>VLOOKUP($A19,'Table 4 Level 4'!$B$121:$O$177,4,FALSE)</f>
        <v>0</v>
      </c>
      <c r="T19" s="1114">
        <f>'Table 4 Level 4'!O126</f>
        <v>6084</v>
      </c>
      <c r="U19" s="1114">
        <f>SUM(R19:T19)</f>
        <v>609013.43664291059</v>
      </c>
      <c r="V19" s="1114">
        <f>VLOOKUP($A19,'Table 4 Level 4'!$B$121:$O$177,9,FALSE)</f>
        <v>0</v>
      </c>
      <c r="W19" s="1114">
        <f>VLOOKUP($A19,'Table 4 Level 4'!$B$121:$O$177,11,FALSE)</f>
        <v>10000</v>
      </c>
      <c r="X19" s="1114">
        <f>VLOOKUP($A19,'Table 4 Level 4'!$B$121:$O$177,12,FALSE)</f>
        <v>0</v>
      </c>
      <c r="Y19" s="1114">
        <f t="shared" si="46"/>
        <v>619013.43664291059</v>
      </c>
      <c r="Z19" s="1114"/>
      <c r="AA19" s="1114"/>
      <c r="AB19" s="1115">
        <f>SUM(AB17:AB18)</f>
        <v>1209786</v>
      </c>
      <c r="AC19" s="1116">
        <f>VLOOKUP($A19,'[1]October midyear adj'!$A$122:$K$178,5,FALSE)</f>
        <v>-72</v>
      </c>
      <c r="AD19" s="1114">
        <f>SUM(AD17:AD18)</f>
        <v>-393108</v>
      </c>
      <c r="AE19" s="1116">
        <f>SUM(AE17:AE18)</f>
        <v>5</v>
      </c>
      <c r="AF19" s="1114">
        <f>SUM(AF17:AF18)</f>
        <v>48322.5</v>
      </c>
      <c r="AG19" s="1114">
        <f t="shared" si="38"/>
        <v>-344785.5</v>
      </c>
      <c r="AH19" s="1114">
        <f t="shared" si="39"/>
        <v>865000.5</v>
      </c>
      <c r="AI19" s="1114">
        <f t="shared" si="47"/>
        <v>-15137.508750000001</v>
      </c>
      <c r="AJ19" s="1114">
        <f t="shared" si="48"/>
        <v>-2162.5012500000003</v>
      </c>
      <c r="AK19" s="1114">
        <f>AI19+AJ19</f>
        <v>-17300.010000000002</v>
      </c>
      <c r="AL19" s="1115">
        <f t="shared" si="40"/>
        <v>847700.49</v>
      </c>
      <c r="AM19" s="1114">
        <v>-124959</v>
      </c>
      <c r="AN19" s="1114">
        <f t="shared" ref="AN19:AN24" si="54">SUM(AL19:AM19)</f>
        <v>722741.49</v>
      </c>
      <c r="AO19" s="1114">
        <f>'[17]RSD Orleans Allocation'!BF17</f>
        <v>567036</v>
      </c>
      <c r="AP19" s="1114">
        <f t="shared" si="41"/>
        <v>155705.49</v>
      </c>
      <c r="AQ19" s="1117">
        <f t="shared" ref="AQ19:AQ24" si="55">ROUND(AP19/$AQ$81,0)</f>
        <v>38926</v>
      </c>
    </row>
    <row r="20" spans="1:43" s="1048" customFormat="1" ht="16.899999999999999" customHeight="1">
      <c r="A20" s="1079">
        <v>363001</v>
      </c>
      <c r="B20" s="1080" t="s">
        <v>776</v>
      </c>
      <c r="C20" s="1081">
        <f>IFERROR(VLOOKUP(A20,'[18]RSD-NO by Site'!$B$5:$D$62,3,FALSE),"na")</f>
        <v>521</v>
      </c>
      <c r="D20" s="1082">
        <f t="shared" si="24"/>
        <v>3602.7009974327857</v>
      </c>
      <c r="E20" s="1082">
        <f t="shared" ref="E20:E32" si="56">ROUND(C20*D20,0)</f>
        <v>1877007</v>
      </c>
      <c r="F20" s="1082">
        <v>746.0335616438357</v>
      </c>
      <c r="G20" s="1082">
        <f t="shared" ref="G20:G32" si="57">F20*C20</f>
        <v>388683.48561643838</v>
      </c>
      <c r="H20" s="1083">
        <f t="shared" ref="H20:H32" si="58">E20+G20</f>
        <v>2265690.4856164386</v>
      </c>
      <c r="I20" s="1084">
        <f>VLOOKUP($A20,'[1]October midyear adj'!$A$122:$K$178,11,FALSE)</f>
        <v>95672.160299685682</v>
      </c>
      <c r="J20" s="1085">
        <f>VLOOKUP($A20,'[1]February midyear adj'!$A$122:$K$178,11,FALSE)</f>
        <v>-43487.345590766214</v>
      </c>
      <c r="K20" s="1086">
        <f t="shared" si="27"/>
        <v>52184.814708919468</v>
      </c>
      <c r="L20" s="1083">
        <f t="shared" si="28"/>
        <v>2317875.3003253578</v>
      </c>
      <c r="M20" s="1085">
        <f t="shared" si="43"/>
        <v>-40562.817755693766</v>
      </c>
      <c r="N20" s="1085">
        <f t="shared" si="44"/>
        <v>-5794.6882508133949</v>
      </c>
      <c r="O20" s="1085">
        <f t="shared" si="29"/>
        <v>-46357.506006507159</v>
      </c>
      <c r="P20" s="1083">
        <f t="shared" si="30"/>
        <v>2271517.7943188506</v>
      </c>
      <c r="Q20" s="1087">
        <v>5160.7468776235364</v>
      </c>
      <c r="R20" s="1083">
        <f t="shared" si="31"/>
        <v>2276678.5411964743</v>
      </c>
      <c r="S20" s="1087">
        <f>VLOOKUP($A20,'Table 4 Level 4'!$B$121:$O$177,4,FALSE)</f>
        <v>0</v>
      </c>
      <c r="T20" s="1087">
        <f>'Table 4 Level 4'!O127</f>
        <v>3068</v>
      </c>
      <c r="U20" s="1083">
        <f t="shared" si="45"/>
        <v>2279746.5411964743</v>
      </c>
      <c r="V20" s="1087">
        <f>VLOOKUP($A20,'Table 4 Level 4'!$B$121:$O$177,9,FALSE)</f>
        <v>0</v>
      </c>
      <c r="W20" s="1087">
        <f>VLOOKUP($A20,'Table 4 Level 4'!$B$121:$O$177,11,FALSE)</f>
        <v>0</v>
      </c>
      <c r="X20" s="1087">
        <f>VLOOKUP($A20,'Table 4 Level 4'!$B$121:$O$177,12,FALSE)</f>
        <v>10204</v>
      </c>
      <c r="Y20" s="1083">
        <f t="shared" si="46"/>
        <v>2289950.5411964743</v>
      </c>
      <c r="Z20" s="1087">
        <f t="shared" ref="Z20:Z22" si="59">+$Z$4</f>
        <v>4809</v>
      </c>
      <c r="AA20" s="1087"/>
      <c r="AB20" s="1088">
        <f t="shared" si="35"/>
        <v>2505489</v>
      </c>
      <c r="AC20" s="1089">
        <f>VLOOKUP($A20,'[1]October midyear adj'!$A$122:$K$178,5,FALSE)</f>
        <v>22</v>
      </c>
      <c r="AD20" s="1085">
        <f t="shared" si="36"/>
        <v>105798</v>
      </c>
      <c r="AE20" s="1089">
        <f>VLOOKUP($A20,'[1]February midyear adj'!$A$122:$K$178,5,FALSE)</f>
        <v>-20</v>
      </c>
      <c r="AF20" s="1085">
        <f t="shared" si="37"/>
        <v>-48090</v>
      </c>
      <c r="AG20" s="1086">
        <f t="shared" si="38"/>
        <v>57708</v>
      </c>
      <c r="AH20" s="1090">
        <f t="shared" si="39"/>
        <v>2563197</v>
      </c>
      <c r="AI20" s="1087">
        <f t="shared" si="47"/>
        <v>-44855.947500000002</v>
      </c>
      <c r="AJ20" s="1087">
        <f t="shared" si="48"/>
        <v>-6407.9925000000003</v>
      </c>
      <c r="AK20" s="1087">
        <f t="shared" si="49"/>
        <v>-51263.94</v>
      </c>
      <c r="AL20" s="1088">
        <f t="shared" si="40"/>
        <v>2511933.06</v>
      </c>
      <c r="AM20" s="1087">
        <v>4196</v>
      </c>
      <c r="AN20" s="1090">
        <f t="shared" si="54"/>
        <v>2516129.06</v>
      </c>
      <c r="AO20" s="1085">
        <f>'[17]RSD Orleans Allocation'!BF18</f>
        <v>1592402</v>
      </c>
      <c r="AP20" s="1085">
        <f t="shared" si="41"/>
        <v>923727.06</v>
      </c>
      <c r="AQ20" s="1090">
        <f t="shared" si="55"/>
        <v>230932</v>
      </c>
    </row>
    <row r="21" spans="1:43" s="1048" customFormat="1" ht="16.899999999999999" customHeight="1">
      <c r="A21" s="1079">
        <v>363002</v>
      </c>
      <c r="B21" s="1080" t="s">
        <v>516</v>
      </c>
      <c r="C21" s="1081">
        <f>IFERROR(VLOOKUP(A21,'[18]RSD-NO by Site'!$B$5:$D$62,3,FALSE),"na")</f>
        <v>369</v>
      </c>
      <c r="D21" s="1082">
        <f t="shared" si="24"/>
        <v>3602.7009974327857</v>
      </c>
      <c r="E21" s="1082">
        <f>ROUND(C21*D21,0)</f>
        <v>1329397</v>
      </c>
      <c r="F21" s="1082">
        <v>746.0335616438357</v>
      </c>
      <c r="G21" s="1082">
        <f>F21*C21</f>
        <v>275286.38424657536</v>
      </c>
      <c r="H21" s="1083">
        <f>E21+G21</f>
        <v>1604683.3842465754</v>
      </c>
      <c r="I21" s="1084">
        <f>VLOOKUP($A21,'[1]October midyear adj'!$A$122:$K$178,11,FALSE)</f>
        <v>195693.05515844797</v>
      </c>
      <c r="J21" s="1085">
        <f>VLOOKUP($A21,'[1]February midyear adj'!$A$122:$K$178,11,FALSE)</f>
        <v>6523.1018386149326</v>
      </c>
      <c r="K21" s="1086">
        <f t="shared" si="27"/>
        <v>202216.15699706291</v>
      </c>
      <c r="L21" s="1083">
        <f t="shared" si="28"/>
        <v>1806899.5412436384</v>
      </c>
      <c r="M21" s="1085">
        <f t="shared" si="43"/>
        <v>-31620.741971763673</v>
      </c>
      <c r="N21" s="1085">
        <f t="shared" si="44"/>
        <v>-4517.2488531090958</v>
      </c>
      <c r="O21" s="1085">
        <f t="shared" si="29"/>
        <v>-36137.990824872766</v>
      </c>
      <c r="P21" s="1083">
        <f t="shared" si="30"/>
        <v>1770761.5504187655</v>
      </c>
      <c r="Q21" s="1087">
        <v>0</v>
      </c>
      <c r="R21" s="1083">
        <f t="shared" si="31"/>
        <v>1770761.5504187655</v>
      </c>
      <c r="S21" s="1087">
        <f>VLOOKUP($A21,'Table 4 Level 4'!$B$121:$O$177,4,FALSE)</f>
        <v>0</v>
      </c>
      <c r="T21" s="1087">
        <f>'Table 4 Level 4'!O128</f>
        <v>0</v>
      </c>
      <c r="U21" s="1083">
        <f t="shared" si="45"/>
        <v>1770761.5504187655</v>
      </c>
      <c r="V21" s="1087">
        <f>VLOOKUP($A21,'Table 4 Level 4'!$B$121:$O$177,9,FALSE)</f>
        <v>0</v>
      </c>
      <c r="W21" s="1087">
        <f>VLOOKUP($A21,'Table 4 Level 4'!$B$121:$O$177,11,FALSE)</f>
        <v>0</v>
      </c>
      <c r="X21" s="1087">
        <f>VLOOKUP($A21,'Table 4 Level 4'!$B$121:$O$177,12,FALSE)</f>
        <v>24681</v>
      </c>
      <c r="Y21" s="1083">
        <f t="shared" si="46"/>
        <v>1795442.5504187655</v>
      </c>
      <c r="Z21" s="1087">
        <f t="shared" si="59"/>
        <v>4809</v>
      </c>
      <c r="AA21" s="1087"/>
      <c r="AB21" s="1088">
        <f t="shared" si="35"/>
        <v>1774521</v>
      </c>
      <c r="AC21" s="1089">
        <f>VLOOKUP($A21,'[1]October midyear adj'!$A$122:$K$178,5,FALSE)</f>
        <v>45</v>
      </c>
      <c r="AD21" s="1085">
        <f t="shared" si="36"/>
        <v>216405</v>
      </c>
      <c r="AE21" s="1089">
        <f>VLOOKUP($A21,'[1]February midyear adj'!$A$122:$K$178,5,FALSE)</f>
        <v>3</v>
      </c>
      <c r="AF21" s="1085">
        <f t="shared" si="37"/>
        <v>7213.5</v>
      </c>
      <c r="AG21" s="1086">
        <f t="shared" si="38"/>
        <v>223618.5</v>
      </c>
      <c r="AH21" s="1090">
        <f t="shared" si="39"/>
        <v>1998139.5</v>
      </c>
      <c r="AI21" s="1087">
        <f t="shared" si="47"/>
        <v>-34967.441250000003</v>
      </c>
      <c r="AJ21" s="1087">
        <f t="shared" si="48"/>
        <v>-4995.3487500000001</v>
      </c>
      <c r="AK21" s="1087">
        <f>AI21+AJ21</f>
        <v>-39962.79</v>
      </c>
      <c r="AL21" s="1088">
        <f t="shared" si="40"/>
        <v>1958176.71</v>
      </c>
      <c r="AM21" s="1087">
        <v>0</v>
      </c>
      <c r="AN21" s="1090">
        <f t="shared" si="54"/>
        <v>1958176.71</v>
      </c>
      <c r="AO21" s="1085">
        <f>'[17]RSD Orleans Allocation'!BF19</f>
        <v>1351927</v>
      </c>
      <c r="AP21" s="1085">
        <f t="shared" si="41"/>
        <v>606249.71</v>
      </c>
      <c r="AQ21" s="1090">
        <f t="shared" si="55"/>
        <v>151562</v>
      </c>
    </row>
    <row r="22" spans="1:43" s="1048" customFormat="1" ht="16.899999999999999" customHeight="1">
      <c r="A22" s="1091">
        <v>364001</v>
      </c>
      <c r="B22" s="1092" t="s">
        <v>777</v>
      </c>
      <c r="C22" s="1081">
        <f>IFERROR(VLOOKUP(A22,'[18]RSD-NO by Site'!$B$5:$D$62,3,FALSE),"na")</f>
        <v>548</v>
      </c>
      <c r="D22" s="1082">
        <f t="shared" si="24"/>
        <v>3602.7009974327857</v>
      </c>
      <c r="E22" s="1082">
        <f t="shared" si="56"/>
        <v>1974280</v>
      </c>
      <c r="F22" s="1087">
        <v>746.0335616438357</v>
      </c>
      <c r="G22" s="1082">
        <f t="shared" si="57"/>
        <v>408826.39178082196</v>
      </c>
      <c r="H22" s="1083">
        <f t="shared" si="58"/>
        <v>2383106.3917808221</v>
      </c>
      <c r="I22" s="1084">
        <f>VLOOKUP($A22,'[1]October midyear adj'!$A$122:$K$178,11,FALSE)</f>
        <v>43487.345590766214</v>
      </c>
      <c r="J22" s="1085">
        <f>VLOOKUP($A22,'[1]February midyear adj'!$A$122:$K$178,11,FALSE)</f>
        <v>13046.203677229865</v>
      </c>
      <c r="K22" s="1086">
        <f t="shared" si="27"/>
        <v>56533.549267996081</v>
      </c>
      <c r="L22" s="1083">
        <f t="shared" si="28"/>
        <v>2439639.9410488182</v>
      </c>
      <c r="M22" s="1085">
        <f t="shared" si="43"/>
        <v>-42693.698968354322</v>
      </c>
      <c r="N22" s="1085">
        <f t="shared" si="44"/>
        <v>-6099.0998526220455</v>
      </c>
      <c r="O22" s="1085">
        <f t="shared" si="29"/>
        <v>-48792.798820976364</v>
      </c>
      <c r="P22" s="1083">
        <f t="shared" si="30"/>
        <v>2390847.142227842</v>
      </c>
      <c r="Q22" s="1087">
        <v>0</v>
      </c>
      <c r="R22" s="1083">
        <f t="shared" si="31"/>
        <v>2390847.142227842</v>
      </c>
      <c r="S22" s="1087">
        <f>VLOOKUP($A22,'Table 4 Level 4'!$B$121:$O$177,4,FALSE)</f>
        <v>0</v>
      </c>
      <c r="T22" s="1087">
        <f>'Table 4 Level 4'!O129</f>
        <v>2678</v>
      </c>
      <c r="U22" s="1083">
        <f t="shared" si="45"/>
        <v>2393525.142227842</v>
      </c>
      <c r="V22" s="1087">
        <f>VLOOKUP($A22,'Table 4 Level 4'!$B$121:$O$177,9,FALSE)</f>
        <v>0</v>
      </c>
      <c r="W22" s="1087">
        <f>VLOOKUP($A22,'Table 4 Level 4'!$B$121:$O$177,11,FALSE)</f>
        <v>0</v>
      </c>
      <c r="X22" s="1087">
        <f>VLOOKUP($A22,'Table 4 Level 4'!$B$121:$O$177,12,FALSE)</f>
        <v>37971</v>
      </c>
      <c r="Y22" s="1083">
        <f t="shared" si="46"/>
        <v>2431496.142227842</v>
      </c>
      <c r="Z22" s="1087">
        <f t="shared" si="59"/>
        <v>4809</v>
      </c>
      <c r="AA22" s="1087"/>
      <c r="AB22" s="1088">
        <f t="shared" si="35"/>
        <v>2635332</v>
      </c>
      <c r="AC22" s="1089">
        <f>VLOOKUP($A22,'[1]October midyear adj'!$A$122:$K$178,5,FALSE)</f>
        <v>10</v>
      </c>
      <c r="AD22" s="1085">
        <f t="shared" si="36"/>
        <v>48090</v>
      </c>
      <c r="AE22" s="1089">
        <f>VLOOKUP($A22,'[1]February midyear adj'!$A$122:$K$178,5,FALSE)</f>
        <v>6</v>
      </c>
      <c r="AF22" s="1085">
        <f t="shared" si="37"/>
        <v>14427</v>
      </c>
      <c r="AG22" s="1086">
        <f t="shared" si="38"/>
        <v>62517</v>
      </c>
      <c r="AH22" s="1090">
        <f t="shared" si="39"/>
        <v>2697849</v>
      </c>
      <c r="AI22" s="1087">
        <f t="shared" si="47"/>
        <v>-47212.357500000006</v>
      </c>
      <c r="AJ22" s="1087">
        <f t="shared" si="48"/>
        <v>-6744.6225000000004</v>
      </c>
      <c r="AK22" s="1087">
        <f t="shared" si="49"/>
        <v>-53956.98</v>
      </c>
      <c r="AL22" s="1088">
        <f t="shared" si="40"/>
        <v>2643892.02</v>
      </c>
      <c r="AM22" s="1087">
        <v>0</v>
      </c>
      <c r="AN22" s="1090">
        <f t="shared" si="54"/>
        <v>2643892.02</v>
      </c>
      <c r="AO22" s="1085">
        <f>'[17]RSD Orleans Allocation'!BF20</f>
        <v>1671984</v>
      </c>
      <c r="AP22" s="1085">
        <f t="shared" si="41"/>
        <v>971908.02</v>
      </c>
      <c r="AQ22" s="1090">
        <f t="shared" si="55"/>
        <v>242977</v>
      </c>
    </row>
    <row r="23" spans="1:43" s="1048" customFormat="1" ht="28.15" customHeight="1">
      <c r="A23" s="1093">
        <v>366001</v>
      </c>
      <c r="B23" s="1094" t="s">
        <v>755</v>
      </c>
      <c r="C23" s="1095">
        <f>IFERROR(VLOOKUP(A23,'[18]RSD-NO by Site'!$B$5:$D$62,3,FALSE),"na")</f>
        <v>164</v>
      </c>
      <c r="D23" s="1096">
        <f t="shared" si="24"/>
        <v>3602.7009974327857</v>
      </c>
      <c r="E23" s="1096">
        <f t="shared" si="56"/>
        <v>590843</v>
      </c>
      <c r="F23" s="1097">
        <v>746.0335616438357</v>
      </c>
      <c r="G23" s="1096">
        <f t="shared" si="57"/>
        <v>122349.50410958905</v>
      </c>
      <c r="H23" s="1098">
        <f t="shared" si="58"/>
        <v>713192.50410958903</v>
      </c>
      <c r="I23" s="1099">
        <f>VLOOKUP($A23,'[1]October midyear adj'!$A$122:$K$178,11,FALSE)</f>
        <v>69579.752945225948</v>
      </c>
      <c r="J23" s="1100">
        <f>VLOOKUP($A23,'[1]February midyear adj'!$A$122:$K$178,11,FALSE)</f>
        <v>-6523.1018386149326</v>
      </c>
      <c r="K23" s="1101">
        <f t="shared" si="27"/>
        <v>63056.651106611018</v>
      </c>
      <c r="L23" s="1098">
        <f t="shared" si="28"/>
        <v>776249.15521620004</v>
      </c>
      <c r="M23" s="1100">
        <f t="shared" si="43"/>
        <v>-13584.360216283501</v>
      </c>
      <c r="N23" s="1100">
        <f t="shared" si="44"/>
        <v>-1940.6228880405001</v>
      </c>
      <c r="O23" s="1100">
        <f t="shared" si="29"/>
        <v>-15524.983104324001</v>
      </c>
      <c r="P23" s="1098">
        <f t="shared" si="30"/>
        <v>760724.17211187608</v>
      </c>
      <c r="Q23" s="1097">
        <v>-4414.1316284647837</v>
      </c>
      <c r="R23" s="1098">
        <f t="shared" si="31"/>
        <v>756310.04048341129</v>
      </c>
      <c r="S23" s="1097">
        <f>VLOOKUP($A23,'Table 4 Level 4'!$B$121:$O$177,4,FALSE)</f>
        <v>0</v>
      </c>
      <c r="T23" s="1097">
        <f>'Table 4 Level 4'!O130</f>
        <v>546</v>
      </c>
      <c r="U23" s="1098">
        <f t="shared" si="45"/>
        <v>756856.04048341129</v>
      </c>
      <c r="V23" s="1097">
        <f>VLOOKUP($A23,'Table 4 Level 4'!$B$121:$O$177,9,FALSE)</f>
        <v>0</v>
      </c>
      <c r="W23" s="1097">
        <f>VLOOKUP($A23,'Table 4 Level 4'!$B$121:$O$177,11,FALSE)</f>
        <v>0</v>
      </c>
      <c r="X23" s="1097">
        <f>VLOOKUP($A23,'Table 4 Level 4'!$B$121:$O$177,12,FALSE)</f>
        <v>0</v>
      </c>
      <c r="Y23" s="1098">
        <f t="shared" si="46"/>
        <v>756856.04048341129</v>
      </c>
      <c r="Z23" s="1097"/>
      <c r="AA23" s="1097">
        <f>+$AA$4</f>
        <v>5469</v>
      </c>
      <c r="AB23" s="1102">
        <f t="shared" si="35"/>
        <v>896916</v>
      </c>
      <c r="AC23" s="1103">
        <f>VLOOKUP($A23,'[1]October midyear adj'!$A$122:$K$178,5,FALSE)</f>
        <v>16</v>
      </c>
      <c r="AD23" s="1100">
        <f t="shared" si="36"/>
        <v>87504</v>
      </c>
      <c r="AE23" s="1103">
        <f>VLOOKUP($A23,'[1]February midyear adj'!$A$122:$K$178,5,FALSE)</f>
        <v>-3</v>
      </c>
      <c r="AF23" s="1100">
        <f t="shared" si="37"/>
        <v>-8203.5</v>
      </c>
      <c r="AG23" s="1101">
        <f t="shared" si="38"/>
        <v>79300.5</v>
      </c>
      <c r="AH23" s="1104">
        <f t="shared" si="39"/>
        <v>976216.5</v>
      </c>
      <c r="AI23" s="1097">
        <f t="shared" si="47"/>
        <v>-17083.788750000003</v>
      </c>
      <c r="AJ23" s="1097">
        <f t="shared" si="48"/>
        <v>-2440.5412500000002</v>
      </c>
      <c r="AK23" s="1097">
        <f t="shared" si="49"/>
        <v>-19524.330000000002</v>
      </c>
      <c r="AL23" s="1102">
        <f t="shared" si="40"/>
        <v>956692.17</v>
      </c>
      <c r="AM23" s="1097">
        <v>-7326</v>
      </c>
      <c r="AN23" s="1104">
        <f t="shared" si="54"/>
        <v>949366.17</v>
      </c>
      <c r="AO23" s="1100">
        <f>'[17]RSD Orleans Allocation'!BF21</f>
        <v>661419</v>
      </c>
      <c r="AP23" s="1100">
        <f t="shared" si="41"/>
        <v>287947.17000000004</v>
      </c>
      <c r="AQ23" s="1104">
        <f t="shared" si="55"/>
        <v>71987</v>
      </c>
    </row>
    <row r="24" spans="1:43" s="1048" customFormat="1" ht="16.899999999999999" customHeight="1">
      <c r="A24" s="1067">
        <v>367001</v>
      </c>
      <c r="B24" s="1068" t="s">
        <v>576</v>
      </c>
      <c r="C24" s="1069">
        <f>IFERROR(VLOOKUP(A24,'[18]RSD-NO by Site'!$B$5:$D$62,3,FALSE),"na")</f>
        <v>371</v>
      </c>
      <c r="D24" s="1070">
        <f t="shared" si="24"/>
        <v>3602.7009974327857</v>
      </c>
      <c r="E24" s="1070">
        <f t="shared" si="56"/>
        <v>1336602</v>
      </c>
      <c r="F24" s="1070">
        <v>746.0335616438357</v>
      </c>
      <c r="G24" s="1070">
        <f t="shared" si="57"/>
        <v>276778.45136986306</v>
      </c>
      <c r="H24" s="1071">
        <f t="shared" si="58"/>
        <v>1613380.451369863</v>
      </c>
      <c r="I24" s="1072">
        <f>VLOOKUP($A24,'[1]October midyear adj'!$A$122:$K$178,11,FALSE)</f>
        <v>69579.752945225948</v>
      </c>
      <c r="J24" s="1073">
        <f>VLOOKUP($A24,'[1]February midyear adj'!$A$122:$K$178,11,FALSE)</f>
        <v>-10871.836397691553</v>
      </c>
      <c r="K24" s="1074">
        <f t="shared" si="27"/>
        <v>58707.916547534391</v>
      </c>
      <c r="L24" s="1071">
        <f t="shared" si="28"/>
        <v>1672088.3679173973</v>
      </c>
      <c r="M24" s="1073">
        <f t="shared" si="43"/>
        <v>-29261.546438554455</v>
      </c>
      <c r="N24" s="1073">
        <f t="shared" si="44"/>
        <v>-4180.2209197934935</v>
      </c>
      <c r="O24" s="1073">
        <f t="shared" si="29"/>
        <v>-33441.767358347948</v>
      </c>
      <c r="P24" s="1071">
        <f t="shared" si="30"/>
        <v>1638646.6005590493</v>
      </c>
      <c r="Q24" s="1075">
        <v>-3568.6567184167793</v>
      </c>
      <c r="R24" s="1071">
        <f t="shared" si="31"/>
        <v>1635077.9438406324</v>
      </c>
      <c r="S24" s="1075">
        <f>VLOOKUP($A24,'Table 4 Level 4'!$B$121:$O$177,4,FALSE)</f>
        <v>0</v>
      </c>
      <c r="T24" s="1075">
        <f>'Table 4 Level 4'!O131</f>
        <v>1716</v>
      </c>
      <c r="U24" s="1071">
        <f t="shared" si="45"/>
        <v>1636793.9438406324</v>
      </c>
      <c r="V24" s="1075">
        <f>VLOOKUP($A24,'Table 4 Level 4'!$B$121:$O$177,9,FALSE)</f>
        <v>0</v>
      </c>
      <c r="W24" s="1075">
        <f>VLOOKUP($A24,'Table 4 Level 4'!$B$121:$O$177,11,FALSE)</f>
        <v>0</v>
      </c>
      <c r="X24" s="1075">
        <f>VLOOKUP($A24,'Table 4 Level 4'!$B$121:$O$177,12,FALSE)</f>
        <v>0</v>
      </c>
      <c r="Y24" s="1071">
        <f t="shared" si="46"/>
        <v>1636793.9438406324</v>
      </c>
      <c r="Z24" s="1075">
        <f>+$Z$4</f>
        <v>4809</v>
      </c>
      <c r="AA24" s="1075"/>
      <c r="AB24" s="1076">
        <f t="shared" si="35"/>
        <v>1784139</v>
      </c>
      <c r="AC24" s="1077">
        <f>VLOOKUP($A24,'[1]October midyear adj'!$A$122:$K$178,5,FALSE)</f>
        <v>16</v>
      </c>
      <c r="AD24" s="1073">
        <f t="shared" si="36"/>
        <v>76944</v>
      </c>
      <c r="AE24" s="1077">
        <f>VLOOKUP($A24,'[1]February midyear adj'!$A$122:$K$178,5,FALSE)</f>
        <v>-5</v>
      </c>
      <c r="AF24" s="1073">
        <f t="shared" si="37"/>
        <v>-12022.5</v>
      </c>
      <c r="AG24" s="1074">
        <f t="shared" si="38"/>
        <v>64921.5</v>
      </c>
      <c r="AH24" s="1078">
        <f t="shared" si="39"/>
        <v>1849060.5</v>
      </c>
      <c r="AI24" s="1075">
        <f t="shared" si="47"/>
        <v>-32358.558750000004</v>
      </c>
      <c r="AJ24" s="1075">
        <f t="shared" si="48"/>
        <v>-4622.6512499999999</v>
      </c>
      <c r="AK24" s="1075">
        <f t="shared" si="49"/>
        <v>-36981.210000000006</v>
      </c>
      <c r="AL24" s="1076">
        <f t="shared" si="40"/>
        <v>1812079.29</v>
      </c>
      <c r="AM24" s="1075">
        <v>0</v>
      </c>
      <c r="AN24" s="1078">
        <f t="shared" si="54"/>
        <v>1812079.29</v>
      </c>
      <c r="AO24" s="1073">
        <f>'[17]RSD Orleans Allocation'!BF22</f>
        <v>1131944</v>
      </c>
      <c r="AP24" s="1073">
        <f t="shared" si="41"/>
        <v>680135.29</v>
      </c>
      <c r="AQ24" s="1078">
        <f t="shared" si="55"/>
        <v>170034</v>
      </c>
    </row>
    <row r="25" spans="1:43" s="1048" customFormat="1" ht="28.15" customHeight="1">
      <c r="A25" s="1105">
        <v>368</v>
      </c>
      <c r="B25" s="1106" t="s">
        <v>739</v>
      </c>
      <c r="C25" s="1107">
        <v>369</v>
      </c>
      <c r="D25" s="1108"/>
      <c r="E25" s="1108"/>
      <c r="F25" s="1108"/>
      <c r="G25" s="1108"/>
      <c r="H25" s="1108"/>
      <c r="I25" s="1109"/>
      <c r="J25" s="1108"/>
      <c r="K25" s="1108"/>
      <c r="L25" s="1108"/>
      <c r="M25" s="1108"/>
      <c r="N25" s="1108"/>
      <c r="O25" s="1108"/>
      <c r="P25" s="1108"/>
      <c r="Q25" s="1108"/>
      <c r="R25" s="1108"/>
      <c r="S25" s="1108"/>
      <c r="T25" s="1108"/>
      <c r="U25" s="1108"/>
      <c r="V25" s="1108"/>
      <c r="W25" s="1108"/>
      <c r="X25" s="1108"/>
      <c r="Y25" s="1108"/>
      <c r="Z25" s="1108"/>
      <c r="AA25" s="1108">
        <f>+$AA$4</f>
        <v>5469</v>
      </c>
      <c r="AB25" s="1109">
        <f t="shared" si="35"/>
        <v>2018061</v>
      </c>
      <c r="AC25" s="1110">
        <v>98</v>
      </c>
      <c r="AD25" s="1108">
        <f t="shared" si="36"/>
        <v>535962</v>
      </c>
      <c r="AE25" s="1110">
        <v>-467</v>
      </c>
      <c r="AF25" s="1108">
        <f t="shared" si="37"/>
        <v>-1277011.5</v>
      </c>
      <c r="AG25" s="1108"/>
      <c r="AH25" s="1108"/>
      <c r="AI25" s="1108"/>
      <c r="AJ25" s="1108"/>
      <c r="AK25" s="1108"/>
      <c r="AL25" s="1109"/>
      <c r="AM25" s="1108"/>
      <c r="AN25" s="1108"/>
      <c r="AO25" s="1108"/>
      <c r="AP25" s="1108"/>
      <c r="AQ25" s="1108"/>
    </row>
    <row r="26" spans="1:43" s="1048" customFormat="1" ht="28.15" customHeight="1" thickBot="1">
      <c r="A26" s="1105">
        <v>368</v>
      </c>
      <c r="B26" s="1106" t="s">
        <v>1032</v>
      </c>
      <c r="C26" s="1107">
        <v>0</v>
      </c>
      <c r="D26" s="1108"/>
      <c r="E26" s="1108"/>
      <c r="F26" s="1108"/>
      <c r="G26" s="1108"/>
      <c r="H26" s="1108"/>
      <c r="I26" s="1109"/>
      <c r="J26" s="1108"/>
      <c r="K26" s="1108"/>
      <c r="L26" s="1108"/>
      <c r="M26" s="1108"/>
      <c r="N26" s="1108"/>
      <c r="O26" s="1108"/>
      <c r="P26" s="1108"/>
      <c r="Q26" s="1108"/>
      <c r="R26" s="1108"/>
      <c r="S26" s="1108"/>
      <c r="T26" s="1108"/>
      <c r="U26" s="1108"/>
      <c r="V26" s="1108"/>
      <c r="W26" s="1108"/>
      <c r="X26" s="1108"/>
      <c r="Y26" s="1108"/>
      <c r="Z26" s="1108">
        <f>+$Z$4</f>
        <v>4809</v>
      </c>
      <c r="AA26" s="1108"/>
      <c r="AB26" s="1109">
        <f t="shared" si="35"/>
        <v>0</v>
      </c>
      <c r="AC26" s="1110">
        <v>0</v>
      </c>
      <c r="AD26" s="1108">
        <f t="shared" si="36"/>
        <v>0</v>
      </c>
      <c r="AE26" s="1110">
        <f>'[1]February midyear adj'!$D$133</f>
        <v>464</v>
      </c>
      <c r="AF26" s="1108">
        <f t="shared" ref="AF26" si="60">IF(Z26=0,AA26*AE26*0.5,Z26*AE26*0.5)</f>
        <v>1115688</v>
      </c>
      <c r="AG26" s="1108"/>
      <c r="AH26" s="1108"/>
      <c r="AI26" s="1108"/>
      <c r="AJ26" s="1108"/>
      <c r="AK26" s="1108"/>
      <c r="AL26" s="1109"/>
      <c r="AM26" s="1108"/>
      <c r="AN26" s="1108"/>
      <c r="AO26" s="1108"/>
      <c r="AP26" s="1108"/>
      <c r="AQ26" s="1108"/>
    </row>
    <row r="27" spans="1:43" s="1048" customFormat="1" ht="28.15" customHeight="1" thickBot="1">
      <c r="A27" s="1111">
        <v>368001</v>
      </c>
      <c r="B27" s="1112" t="s">
        <v>1031</v>
      </c>
      <c r="C27" s="1113">
        <f>IFERROR(VLOOKUP(A27,'[18]RSD-NO by Site'!$B$5:$D$62,3,FALSE),"na")</f>
        <v>369</v>
      </c>
      <c r="D27" s="1114">
        <f t="shared" si="24"/>
        <v>3602.7009974327857</v>
      </c>
      <c r="E27" s="1114">
        <f t="shared" ref="E27" si="61">ROUND(C27*D27,0)</f>
        <v>1329397</v>
      </c>
      <c r="F27" s="1114">
        <v>746.03356164383604</v>
      </c>
      <c r="G27" s="1114">
        <f t="shared" ref="G27" si="62">F27*C27</f>
        <v>275286.38424657547</v>
      </c>
      <c r="H27" s="1114">
        <f t="shared" ref="H27" si="63">E27+G27</f>
        <v>1604683.3842465754</v>
      </c>
      <c r="I27" s="1115">
        <f>VLOOKUP($A27,'[1]October midyear adj'!$A$122:$K$178,11,FALSE)</f>
        <v>426175.98678950896</v>
      </c>
      <c r="J27" s="1114">
        <f>VLOOKUP($A27,'[1]February midyear adj'!$A$122:$K$178,11,FALSE)</f>
        <v>-6523.1018386149326</v>
      </c>
      <c r="K27" s="1114">
        <f t="shared" ref="K27" si="64">+I27+J27</f>
        <v>419652.88495089405</v>
      </c>
      <c r="L27" s="1114">
        <f t="shared" ref="L27" si="65">+H27+K27</f>
        <v>2024336.2691974696</v>
      </c>
      <c r="M27" s="1114">
        <f t="shared" ref="M27" si="66">-L27*$M$4</f>
        <v>-35425.884710955725</v>
      </c>
      <c r="N27" s="1114">
        <f t="shared" ref="N27" si="67">-L27*$N$4</f>
        <v>-5060.8406729936742</v>
      </c>
      <c r="O27" s="1114">
        <f t="shared" ref="O27" si="68">+M27+N27</f>
        <v>-40486.725383949401</v>
      </c>
      <c r="P27" s="1114">
        <f t="shared" ref="P27" si="69">+L27+O27</f>
        <v>1983849.5438135201</v>
      </c>
      <c r="Q27" s="1114">
        <v>-8879.8804521289858</v>
      </c>
      <c r="R27" s="1114">
        <f t="shared" ref="R27" si="70">P27+Q27</f>
        <v>1974969.6633613911</v>
      </c>
      <c r="S27" s="1114">
        <f>VLOOKUP($A27,'Table 4 Level 4'!$B$121:$O$177,4,FALSE)</f>
        <v>0</v>
      </c>
      <c r="T27" s="1114">
        <f>'Table 4 Level 4'!O132</f>
        <v>0</v>
      </c>
      <c r="U27" s="1114">
        <f>SUM(R27:T27)</f>
        <v>1974969.6633613911</v>
      </c>
      <c r="V27" s="1114">
        <f>VLOOKUP($A27,'Table 4 Level 4'!$B$121:$O$177,9,FALSE)</f>
        <v>0</v>
      </c>
      <c r="W27" s="1114">
        <f>VLOOKUP($A27,'Table 4 Level 4'!$B$121:$O$177,11,FALSE)</f>
        <v>0</v>
      </c>
      <c r="X27" s="1114">
        <f>VLOOKUP($A27,'Table 4 Level 4'!$B$121:$O$177,12,FALSE)</f>
        <v>29266</v>
      </c>
      <c r="Y27" s="1114">
        <f t="shared" ref="Y27" si="71">SUM(U27:X27)</f>
        <v>2004235.6633613911</v>
      </c>
      <c r="Z27" s="1114"/>
      <c r="AA27" s="1114"/>
      <c r="AB27" s="1115">
        <f>SUM(AB25:AB26)</f>
        <v>2018061</v>
      </c>
      <c r="AC27" s="1116">
        <f>VLOOKUP($A27,'[1]October midyear adj'!$A$122:$K$178,5,FALSE)</f>
        <v>98</v>
      </c>
      <c r="AD27" s="1114">
        <f>SUM(AD25:AD26)</f>
        <v>535962</v>
      </c>
      <c r="AE27" s="1116">
        <f>SUM(AE25:AE26)</f>
        <v>-3</v>
      </c>
      <c r="AF27" s="1114">
        <f>SUM(AF25:AF26)</f>
        <v>-161323.5</v>
      </c>
      <c r="AG27" s="1114">
        <f t="shared" ref="AG27" si="72">+AD27+AF27</f>
        <v>374638.5</v>
      </c>
      <c r="AH27" s="1114">
        <f t="shared" ref="AH27" si="73">+AB27+AG27</f>
        <v>2392699.5</v>
      </c>
      <c r="AI27" s="1114">
        <f t="shared" ref="AI27" si="74">-$AI$4*AH27</f>
        <v>-41872.241250000006</v>
      </c>
      <c r="AJ27" s="1114">
        <f t="shared" ref="AJ27" si="75">-$AJ$4*AH27</f>
        <v>-5981.7487499999997</v>
      </c>
      <c r="AK27" s="1114">
        <f>AI27+AJ27</f>
        <v>-47853.990000000005</v>
      </c>
      <c r="AL27" s="1115">
        <f t="shared" ref="AL27" si="76">AH27+AK27</f>
        <v>2344845.5099999998</v>
      </c>
      <c r="AM27" s="1114">
        <v>-6294</v>
      </c>
      <c r="AN27" s="1114">
        <f t="shared" ref="AN27:AN72" si="77">SUM(AL27:AM27)</f>
        <v>2338551.5099999998</v>
      </c>
      <c r="AO27" s="1114">
        <f>'[17]RSD Orleans Allocation'!BF25</f>
        <v>1526326</v>
      </c>
      <c r="AP27" s="1114">
        <f t="shared" ref="AP27" si="78">+AN27-AO27</f>
        <v>812225.50999999978</v>
      </c>
      <c r="AQ27" s="1117">
        <f t="shared" ref="AQ27:AQ72" si="79">ROUND(AP27/$AQ$81,0)</f>
        <v>203056</v>
      </c>
    </row>
    <row r="28" spans="1:43" s="1048" customFormat="1" ht="16.899999999999999" customHeight="1">
      <c r="A28" s="1079">
        <v>369001</v>
      </c>
      <c r="B28" s="1080" t="s">
        <v>585</v>
      </c>
      <c r="C28" s="1081">
        <f>IFERROR(VLOOKUP(A28,'[18]RSD-NO by Site'!$B$5:$D$62,3,FALSE),"na")</f>
        <v>611</v>
      </c>
      <c r="D28" s="1082">
        <f t="shared" si="24"/>
        <v>3602.7009974327857</v>
      </c>
      <c r="E28" s="1082">
        <f t="shared" si="56"/>
        <v>2201250</v>
      </c>
      <c r="F28" s="1082">
        <v>746.0335616438357</v>
      </c>
      <c r="G28" s="1082">
        <f t="shared" si="57"/>
        <v>455826.50616438361</v>
      </c>
      <c r="H28" s="1083">
        <f t="shared" si="58"/>
        <v>2657076.5061643836</v>
      </c>
      <c r="I28" s="1084">
        <f>VLOOKUP($A28,'[1]October midyear adj'!$A$122:$K$178,11,FALSE)</f>
        <v>139159.5058904519</v>
      </c>
      <c r="J28" s="1085">
        <f>VLOOKUP($A28,'[1]February midyear adj'!$A$122:$K$178,11,FALSE)</f>
        <v>-10871.836397691553</v>
      </c>
      <c r="K28" s="1086">
        <f t="shared" si="27"/>
        <v>128287.66949276034</v>
      </c>
      <c r="L28" s="1083">
        <f t="shared" si="28"/>
        <v>2785364.1756571438</v>
      </c>
      <c r="M28" s="1085">
        <f t="shared" si="43"/>
        <v>-48743.873074000025</v>
      </c>
      <c r="N28" s="1085">
        <f t="shared" si="44"/>
        <v>-6963.41043914286</v>
      </c>
      <c r="O28" s="1085">
        <f t="shared" si="29"/>
        <v>-55707.283513142887</v>
      </c>
      <c r="P28" s="1083">
        <f t="shared" si="30"/>
        <v>2729656.8921440011</v>
      </c>
      <c r="Q28" s="1087">
        <v>-12133.432842617049</v>
      </c>
      <c r="R28" s="1083">
        <f t="shared" si="31"/>
        <v>2717523.4593013842</v>
      </c>
      <c r="S28" s="1087">
        <f>VLOOKUP($A28,'Table 4 Level 4'!$B$121:$O$177,4,FALSE)</f>
        <v>0</v>
      </c>
      <c r="T28" s="1087">
        <f>'Table 4 Level 4'!O133</f>
        <v>3588</v>
      </c>
      <c r="U28" s="1083">
        <f t="shared" si="45"/>
        <v>2721111.4593013842</v>
      </c>
      <c r="V28" s="1087">
        <f>VLOOKUP($A28,'Table 4 Level 4'!$B$121:$O$177,9,FALSE)</f>
        <v>0</v>
      </c>
      <c r="W28" s="1087">
        <f>VLOOKUP($A28,'Table 4 Level 4'!$B$121:$O$177,11,FALSE)</f>
        <v>0</v>
      </c>
      <c r="X28" s="1087">
        <f>VLOOKUP($A28,'Table 4 Level 4'!$B$121:$O$177,12,FALSE)</f>
        <v>15840</v>
      </c>
      <c r="Y28" s="1083">
        <f t="shared" si="46"/>
        <v>2736951.4593013842</v>
      </c>
      <c r="Z28" s="1087">
        <f t="shared" ref="Z28:Z45" si="80">+$Z$4</f>
        <v>4809</v>
      </c>
      <c r="AA28" s="1087"/>
      <c r="AB28" s="1088">
        <f t="shared" si="35"/>
        <v>2938299</v>
      </c>
      <c r="AC28" s="1089">
        <f>VLOOKUP($A28,'[1]October midyear adj'!$A$122:$K$178,5,FALSE)</f>
        <v>32</v>
      </c>
      <c r="AD28" s="1085">
        <f t="shared" si="36"/>
        <v>153888</v>
      </c>
      <c r="AE28" s="1089">
        <f>VLOOKUP($A28,'[1]February midyear adj'!$A$122:$K$178,5,FALSE)</f>
        <v>-5</v>
      </c>
      <c r="AF28" s="1085">
        <f t="shared" si="37"/>
        <v>-12022.5</v>
      </c>
      <c r="AG28" s="1086">
        <f t="shared" si="38"/>
        <v>141865.5</v>
      </c>
      <c r="AH28" s="1090">
        <f t="shared" si="39"/>
        <v>3080164.5</v>
      </c>
      <c r="AI28" s="1087">
        <f t="shared" si="47"/>
        <v>-53902.878750000003</v>
      </c>
      <c r="AJ28" s="1087">
        <f t="shared" si="48"/>
        <v>-7700.4112500000001</v>
      </c>
      <c r="AK28" s="1087">
        <f t="shared" si="49"/>
        <v>-61603.29</v>
      </c>
      <c r="AL28" s="1088">
        <f t="shared" si="40"/>
        <v>3018561.21</v>
      </c>
      <c r="AM28" s="1087">
        <v>0</v>
      </c>
      <c r="AN28" s="1090">
        <f t="shared" si="77"/>
        <v>3018561.21</v>
      </c>
      <c r="AO28" s="1085">
        <f>'[17]RSD Orleans Allocation'!BF26</f>
        <v>1864200</v>
      </c>
      <c r="AP28" s="1085">
        <f t="shared" si="41"/>
        <v>1154361.21</v>
      </c>
      <c r="AQ28" s="1090">
        <f t="shared" si="79"/>
        <v>288590</v>
      </c>
    </row>
    <row r="29" spans="1:43" s="1048" customFormat="1" ht="16.899999999999999" customHeight="1">
      <c r="A29" s="1091">
        <v>369002</v>
      </c>
      <c r="B29" s="1092" t="s">
        <v>586</v>
      </c>
      <c r="C29" s="1081">
        <f>IFERROR(VLOOKUP(A29,'[18]RSD-NO by Site'!$B$5:$D$62,3,FALSE),"na")</f>
        <v>692</v>
      </c>
      <c r="D29" s="1082">
        <f t="shared" si="24"/>
        <v>3602.7009974327857</v>
      </c>
      <c r="E29" s="1082">
        <f t="shared" si="56"/>
        <v>2493069</v>
      </c>
      <c r="F29" s="1087">
        <v>746.0335616438357</v>
      </c>
      <c r="G29" s="1082">
        <f t="shared" si="57"/>
        <v>516255.22465753433</v>
      </c>
      <c r="H29" s="1083">
        <f t="shared" si="58"/>
        <v>3009324.2246575342</v>
      </c>
      <c r="I29" s="1084">
        <f>VLOOKUP($A29,'[1]October midyear adj'!$A$122:$K$178,11,FALSE)</f>
        <v>-17394.938236306487</v>
      </c>
      <c r="J29" s="1085">
        <f>VLOOKUP($A29,'[1]February midyear adj'!$A$122:$K$178,11,FALSE)</f>
        <v>-28266.77463399804</v>
      </c>
      <c r="K29" s="1086">
        <f t="shared" si="27"/>
        <v>-45661.712870304531</v>
      </c>
      <c r="L29" s="1083">
        <f t="shared" si="28"/>
        <v>2963662.5117872297</v>
      </c>
      <c r="M29" s="1085">
        <f t="shared" si="43"/>
        <v>-51864.093956276527</v>
      </c>
      <c r="N29" s="1085">
        <f t="shared" si="44"/>
        <v>-7409.156279468074</v>
      </c>
      <c r="O29" s="1085">
        <f t="shared" si="29"/>
        <v>-59273.250235744599</v>
      </c>
      <c r="P29" s="1083">
        <f t="shared" si="30"/>
        <v>2904389.2615514849</v>
      </c>
      <c r="Q29" s="1087">
        <v>-17843.283592083895</v>
      </c>
      <c r="R29" s="1083">
        <f t="shared" si="31"/>
        <v>2886545.977959401</v>
      </c>
      <c r="S29" s="1087">
        <f>VLOOKUP($A29,'Table 4 Level 4'!$B$121:$O$177,4,FALSE)</f>
        <v>0</v>
      </c>
      <c r="T29" s="1087">
        <f>'Table 4 Level 4'!O134</f>
        <v>3432</v>
      </c>
      <c r="U29" s="1083">
        <f t="shared" si="45"/>
        <v>2889977.977959401</v>
      </c>
      <c r="V29" s="1087">
        <f>VLOOKUP($A29,'Table 4 Level 4'!$B$121:$O$177,9,FALSE)</f>
        <v>0</v>
      </c>
      <c r="W29" s="1087">
        <f>VLOOKUP($A29,'Table 4 Level 4'!$B$121:$O$177,11,FALSE)</f>
        <v>0</v>
      </c>
      <c r="X29" s="1087">
        <f>VLOOKUP($A29,'Table 4 Level 4'!$B$121:$O$177,12,FALSE)</f>
        <v>91436</v>
      </c>
      <c r="Y29" s="1083">
        <f t="shared" si="46"/>
        <v>2981413.977959401</v>
      </c>
      <c r="Z29" s="1087">
        <f t="shared" si="80"/>
        <v>4809</v>
      </c>
      <c r="AA29" s="1087"/>
      <c r="AB29" s="1088">
        <f t="shared" si="35"/>
        <v>3327828</v>
      </c>
      <c r="AC29" s="1089">
        <f>VLOOKUP($A29,'[1]October midyear adj'!$A$122:$K$178,5,FALSE)</f>
        <v>-4</v>
      </c>
      <c r="AD29" s="1085">
        <f t="shared" si="36"/>
        <v>-19236</v>
      </c>
      <c r="AE29" s="1089">
        <f>VLOOKUP($A29,'[1]February midyear adj'!$A$122:$K$178,5,FALSE)</f>
        <v>-13</v>
      </c>
      <c r="AF29" s="1085">
        <f t="shared" si="37"/>
        <v>-31258.5</v>
      </c>
      <c r="AG29" s="1086">
        <f t="shared" si="38"/>
        <v>-50494.5</v>
      </c>
      <c r="AH29" s="1090">
        <f t="shared" si="39"/>
        <v>3277333.5</v>
      </c>
      <c r="AI29" s="1087">
        <f t="shared" si="47"/>
        <v>-57353.336250000008</v>
      </c>
      <c r="AJ29" s="1087">
        <f t="shared" si="48"/>
        <v>-8193.3337499999998</v>
      </c>
      <c r="AK29" s="1087">
        <f t="shared" si="49"/>
        <v>-65546.670000000013</v>
      </c>
      <c r="AL29" s="1088">
        <f t="shared" si="40"/>
        <v>3211786.83</v>
      </c>
      <c r="AM29" s="1087">
        <v>0</v>
      </c>
      <c r="AN29" s="1090">
        <f t="shared" si="77"/>
        <v>3211786.83</v>
      </c>
      <c r="AO29" s="1085">
        <f>'[17]RSD Orleans Allocation'!BF27</f>
        <v>2111338</v>
      </c>
      <c r="AP29" s="1085">
        <f t="shared" si="41"/>
        <v>1100448.83</v>
      </c>
      <c r="AQ29" s="1090">
        <f t="shared" si="79"/>
        <v>275112</v>
      </c>
    </row>
    <row r="30" spans="1:43" s="1048" customFormat="1" ht="16.899999999999999" customHeight="1">
      <c r="A30" s="1093">
        <v>369003</v>
      </c>
      <c r="B30" s="1094" t="s">
        <v>587</v>
      </c>
      <c r="C30" s="1095">
        <f>IFERROR(VLOOKUP(A30,'[18]RSD-NO by Site'!$B$5:$D$62,3,FALSE),"na")</f>
        <v>708</v>
      </c>
      <c r="D30" s="1096">
        <f t="shared" si="24"/>
        <v>3602.7009974327857</v>
      </c>
      <c r="E30" s="1096">
        <f t="shared" si="56"/>
        <v>2550712</v>
      </c>
      <c r="F30" s="1097">
        <v>746.0335616438357</v>
      </c>
      <c r="G30" s="1096">
        <f t="shared" si="57"/>
        <v>528191.76164383569</v>
      </c>
      <c r="H30" s="1098">
        <f t="shared" si="58"/>
        <v>3078903.7616438358</v>
      </c>
      <c r="I30" s="1099">
        <f>VLOOKUP($A30,'[1]October midyear adj'!$A$122:$K$178,11,FALSE)</f>
        <v>117415.83309506878</v>
      </c>
      <c r="J30" s="1100">
        <f>VLOOKUP($A30,'[1]February midyear adj'!$A$122:$K$178,11,FALSE)</f>
        <v>-8697.4691181532435</v>
      </c>
      <c r="K30" s="1101">
        <f t="shared" si="27"/>
        <v>108718.36397691554</v>
      </c>
      <c r="L30" s="1098">
        <f t="shared" si="28"/>
        <v>3187622.1256207512</v>
      </c>
      <c r="M30" s="1100">
        <f t="shared" si="43"/>
        <v>-55783.387198363154</v>
      </c>
      <c r="N30" s="1100">
        <f t="shared" si="44"/>
        <v>-7969.0553140518778</v>
      </c>
      <c r="O30" s="1100">
        <f t="shared" si="29"/>
        <v>-63752.442512415029</v>
      </c>
      <c r="P30" s="1098">
        <f t="shared" si="30"/>
        <v>3123869.6831083363</v>
      </c>
      <c r="Q30" s="1097">
        <v>0</v>
      </c>
      <c r="R30" s="1098">
        <f t="shared" si="31"/>
        <v>3123869.6831083363</v>
      </c>
      <c r="S30" s="1097">
        <f>VLOOKUP($A30,'Table 4 Level 4'!$B$121:$O$177,4,FALSE)</f>
        <v>0</v>
      </c>
      <c r="T30" s="1097">
        <f>'Table 4 Level 4'!O135</f>
        <v>3224</v>
      </c>
      <c r="U30" s="1098">
        <f t="shared" si="45"/>
        <v>3127093.6831083363</v>
      </c>
      <c r="V30" s="1097">
        <f>VLOOKUP($A30,'Table 4 Level 4'!$B$121:$O$177,9,FALSE)</f>
        <v>0</v>
      </c>
      <c r="W30" s="1097">
        <f>VLOOKUP($A30,'Table 4 Level 4'!$B$121:$O$177,11,FALSE)</f>
        <v>0</v>
      </c>
      <c r="X30" s="1097">
        <f>VLOOKUP($A30,'Table 4 Level 4'!$B$121:$O$177,12,FALSE)</f>
        <v>0</v>
      </c>
      <c r="Y30" s="1098">
        <f t="shared" si="46"/>
        <v>3127093.6831083363</v>
      </c>
      <c r="Z30" s="1097">
        <f t="shared" si="80"/>
        <v>4809</v>
      </c>
      <c r="AA30" s="1097"/>
      <c r="AB30" s="1102">
        <f t="shared" si="35"/>
        <v>3404772</v>
      </c>
      <c r="AC30" s="1103">
        <f>VLOOKUP($A30,'[1]October midyear adj'!$A$122:$K$178,5,FALSE)</f>
        <v>27</v>
      </c>
      <c r="AD30" s="1100">
        <f t="shared" si="36"/>
        <v>129843</v>
      </c>
      <c r="AE30" s="1103">
        <f>VLOOKUP($A30,'[1]February midyear adj'!$A$122:$K$178,5,FALSE)</f>
        <v>-4</v>
      </c>
      <c r="AF30" s="1100">
        <f t="shared" si="37"/>
        <v>-9618</v>
      </c>
      <c r="AG30" s="1101">
        <f t="shared" si="38"/>
        <v>120225</v>
      </c>
      <c r="AH30" s="1104">
        <f t="shared" si="39"/>
        <v>3524997</v>
      </c>
      <c r="AI30" s="1097">
        <f t="shared" si="47"/>
        <v>-61687.447500000009</v>
      </c>
      <c r="AJ30" s="1097">
        <f t="shared" si="48"/>
        <v>-8812.4925000000003</v>
      </c>
      <c r="AK30" s="1097">
        <f t="shared" si="49"/>
        <v>-70499.94</v>
      </c>
      <c r="AL30" s="1102">
        <f t="shared" si="40"/>
        <v>3454497.06</v>
      </c>
      <c r="AM30" s="1097">
        <v>0</v>
      </c>
      <c r="AN30" s="1104">
        <f t="shared" si="77"/>
        <v>3454497.06</v>
      </c>
      <c r="AO30" s="1100">
        <f>'[17]RSD Orleans Allocation'!BF28</f>
        <v>2160154</v>
      </c>
      <c r="AP30" s="1100">
        <f t="shared" si="41"/>
        <v>1294343.06</v>
      </c>
      <c r="AQ30" s="1104">
        <f t="shared" si="79"/>
        <v>323586</v>
      </c>
    </row>
    <row r="31" spans="1:43" s="1048" customFormat="1" ht="16.899999999999999" customHeight="1">
      <c r="A31" s="1067">
        <v>369004</v>
      </c>
      <c r="B31" s="1068" t="s">
        <v>778</v>
      </c>
      <c r="C31" s="1069">
        <f>IFERROR(VLOOKUP(A31,'[18]RSD-NO by Site'!$B$5:$D$62,3,FALSE),"na")</f>
        <v>174</v>
      </c>
      <c r="D31" s="1070">
        <f t="shared" si="24"/>
        <v>3602.7009974327857</v>
      </c>
      <c r="E31" s="1070">
        <f t="shared" si="56"/>
        <v>626870</v>
      </c>
      <c r="F31" s="1070">
        <v>746.0335616438357</v>
      </c>
      <c r="G31" s="1070">
        <f t="shared" si="57"/>
        <v>129809.83972602741</v>
      </c>
      <c r="H31" s="1071">
        <f t="shared" si="58"/>
        <v>756679.83972602745</v>
      </c>
      <c r="I31" s="1072">
        <f>VLOOKUP($A31,'[1]October midyear adj'!$A$122:$K$178,11,FALSE)</f>
        <v>17394.938236306487</v>
      </c>
      <c r="J31" s="1073">
        <f>VLOOKUP($A31,'[1]February midyear adj'!$A$122:$K$178,11,FALSE)</f>
        <v>-45661.712870304531</v>
      </c>
      <c r="K31" s="1074">
        <f t="shared" si="27"/>
        <v>-28266.774633998044</v>
      </c>
      <c r="L31" s="1071">
        <f t="shared" si="28"/>
        <v>728413.0650920294</v>
      </c>
      <c r="M31" s="1073">
        <f t="shared" si="43"/>
        <v>-12747.228639110515</v>
      </c>
      <c r="N31" s="1073">
        <f t="shared" si="44"/>
        <v>-1821.0326627300735</v>
      </c>
      <c r="O31" s="1073">
        <f t="shared" si="29"/>
        <v>-14568.261301840588</v>
      </c>
      <c r="P31" s="1071">
        <f t="shared" si="30"/>
        <v>713844.80379018886</v>
      </c>
      <c r="Q31" s="1075">
        <v>-5439.8481719906813</v>
      </c>
      <c r="R31" s="1071">
        <f t="shared" si="31"/>
        <v>708404.95561819815</v>
      </c>
      <c r="S31" s="1075">
        <f>VLOOKUP($A31,'Table 4 Level 4'!$B$121:$O$177,4,FALSE)</f>
        <v>0</v>
      </c>
      <c r="T31" s="1075">
        <f>'Table 4 Level 4'!O136</f>
        <v>4524</v>
      </c>
      <c r="U31" s="1071">
        <f t="shared" si="45"/>
        <v>712928.95561819815</v>
      </c>
      <c r="V31" s="1075">
        <f>VLOOKUP($A31,'Table 4 Level 4'!$B$121:$O$177,9,FALSE)</f>
        <v>0</v>
      </c>
      <c r="W31" s="1075">
        <f>VLOOKUP($A31,'Table 4 Level 4'!$B$121:$O$177,11,FALSE)</f>
        <v>10000</v>
      </c>
      <c r="X31" s="1075">
        <f>VLOOKUP($A31,'Table 4 Level 4'!$B$121:$O$177,12,FALSE)</f>
        <v>0</v>
      </c>
      <c r="Y31" s="1071">
        <f t="shared" si="46"/>
        <v>722928.95561819815</v>
      </c>
      <c r="Z31" s="1075">
        <f t="shared" si="80"/>
        <v>4809</v>
      </c>
      <c r="AA31" s="1075"/>
      <c r="AB31" s="1076">
        <f t="shared" si="35"/>
        <v>836766</v>
      </c>
      <c r="AC31" s="1077">
        <f>VLOOKUP($A31,'[1]October midyear adj'!$A$122:$K$178,5,FALSE)</f>
        <v>4</v>
      </c>
      <c r="AD31" s="1073">
        <f t="shared" si="36"/>
        <v>19236</v>
      </c>
      <c r="AE31" s="1077">
        <f>VLOOKUP($A31,'[1]February midyear adj'!$A$122:$K$178,5,FALSE)</f>
        <v>-21</v>
      </c>
      <c r="AF31" s="1073">
        <f t="shared" si="37"/>
        <v>-50494.5</v>
      </c>
      <c r="AG31" s="1074">
        <f t="shared" si="38"/>
        <v>-31258.5</v>
      </c>
      <c r="AH31" s="1078">
        <f t="shared" si="39"/>
        <v>805507.5</v>
      </c>
      <c r="AI31" s="1075">
        <f t="shared" si="47"/>
        <v>-14096.381250000002</v>
      </c>
      <c r="AJ31" s="1075">
        <f t="shared" si="48"/>
        <v>-2013.76875</v>
      </c>
      <c r="AK31" s="1075">
        <f t="shared" si="49"/>
        <v>-16110.150000000001</v>
      </c>
      <c r="AL31" s="1076">
        <f t="shared" si="40"/>
        <v>789397.35</v>
      </c>
      <c r="AM31" s="1075">
        <v>-4196</v>
      </c>
      <c r="AN31" s="1078">
        <f t="shared" si="77"/>
        <v>785201.35</v>
      </c>
      <c r="AO31" s="1073">
        <f>'[17]RSD Orleans Allocation'!BF29</f>
        <v>528088</v>
      </c>
      <c r="AP31" s="1073">
        <f t="shared" si="41"/>
        <v>257113.34999999998</v>
      </c>
      <c r="AQ31" s="1078">
        <f t="shared" si="79"/>
        <v>64278</v>
      </c>
    </row>
    <row r="32" spans="1:43" s="1048" customFormat="1" ht="16.899999999999999" customHeight="1">
      <c r="A32" s="1079">
        <v>369005</v>
      </c>
      <c r="B32" s="1080" t="s">
        <v>589</v>
      </c>
      <c r="C32" s="1081">
        <f>IFERROR(VLOOKUP(A32,'[18]RSD-NO by Site'!$B$5:$D$62,3,FALSE),"na")</f>
        <v>177</v>
      </c>
      <c r="D32" s="1082">
        <f t="shared" si="24"/>
        <v>3602.7009974327857</v>
      </c>
      <c r="E32" s="1082">
        <f t="shared" si="56"/>
        <v>637678</v>
      </c>
      <c r="F32" s="1082">
        <v>746.0335616438357</v>
      </c>
      <c r="G32" s="1082">
        <f t="shared" si="57"/>
        <v>132047.94041095892</v>
      </c>
      <c r="H32" s="1083">
        <f t="shared" si="58"/>
        <v>769725.94041095895</v>
      </c>
      <c r="I32" s="1084">
        <f>VLOOKUP($A32,'[1]October midyear adj'!$A$122:$K$178,11,FALSE)</f>
        <v>-60882.283827072708</v>
      </c>
      <c r="J32" s="1085">
        <f>VLOOKUP($A32,'[1]February midyear adj'!$A$122:$K$178,11,FALSE)</f>
        <v>34789.876472612974</v>
      </c>
      <c r="K32" s="1086">
        <f t="shared" si="27"/>
        <v>-26092.407354459734</v>
      </c>
      <c r="L32" s="1083">
        <f t="shared" si="28"/>
        <v>743633.5330564992</v>
      </c>
      <c r="M32" s="1085">
        <f t="shared" si="43"/>
        <v>-13013.586828488737</v>
      </c>
      <c r="N32" s="1085">
        <f t="shared" si="44"/>
        <v>-1859.0838326412481</v>
      </c>
      <c r="O32" s="1085">
        <f t="shared" si="29"/>
        <v>-14872.670661129985</v>
      </c>
      <c r="P32" s="1083">
        <f t="shared" si="30"/>
        <v>728760.86239536921</v>
      </c>
      <c r="Q32" s="1087">
        <v>-15310.42054693297</v>
      </c>
      <c r="R32" s="1083">
        <f t="shared" si="31"/>
        <v>713450.44184843625</v>
      </c>
      <c r="S32" s="1087">
        <f>VLOOKUP($A32,'Table 4 Level 4'!$B$121:$O$177,4,FALSE)</f>
        <v>0</v>
      </c>
      <c r="T32" s="1087">
        <f>'Table 4 Level 4'!O137</f>
        <v>4602</v>
      </c>
      <c r="U32" s="1083">
        <f t="shared" si="45"/>
        <v>718052.44184843625</v>
      </c>
      <c r="V32" s="1087">
        <f>VLOOKUP($A32,'Table 4 Level 4'!$B$121:$O$177,9,FALSE)</f>
        <v>0</v>
      </c>
      <c r="W32" s="1087">
        <f>VLOOKUP($A32,'Table 4 Level 4'!$B$121:$O$177,11,FALSE)</f>
        <v>10000</v>
      </c>
      <c r="X32" s="1087">
        <f>VLOOKUP($A32,'Table 4 Level 4'!$B$121:$O$177,12,FALSE)</f>
        <v>0</v>
      </c>
      <c r="Y32" s="1083">
        <f t="shared" si="46"/>
        <v>728052.44184843625</v>
      </c>
      <c r="Z32" s="1087">
        <f t="shared" si="80"/>
        <v>4809</v>
      </c>
      <c r="AA32" s="1087"/>
      <c r="AB32" s="1088">
        <f t="shared" si="35"/>
        <v>851193</v>
      </c>
      <c r="AC32" s="1089">
        <f>VLOOKUP($A32,'[1]October midyear adj'!$A$122:$K$178,5,FALSE)</f>
        <v>-14</v>
      </c>
      <c r="AD32" s="1085">
        <f t="shared" si="36"/>
        <v>-67326</v>
      </c>
      <c r="AE32" s="1089">
        <f>VLOOKUP($A32,'[1]February midyear adj'!$A$122:$K$178,5,FALSE)</f>
        <v>16</v>
      </c>
      <c r="AF32" s="1085">
        <f t="shared" si="37"/>
        <v>38472</v>
      </c>
      <c r="AG32" s="1086">
        <f t="shared" si="38"/>
        <v>-28854</v>
      </c>
      <c r="AH32" s="1090">
        <f t="shared" si="39"/>
        <v>822339</v>
      </c>
      <c r="AI32" s="1087">
        <f t="shared" si="47"/>
        <v>-14390.932500000001</v>
      </c>
      <c r="AJ32" s="1087">
        <f t="shared" si="48"/>
        <v>-2055.8474999999999</v>
      </c>
      <c r="AK32" s="1087">
        <f t="shared" si="49"/>
        <v>-16446.78</v>
      </c>
      <c r="AL32" s="1088">
        <f t="shared" si="40"/>
        <v>805892.22</v>
      </c>
      <c r="AM32" s="1087">
        <v>-6294</v>
      </c>
      <c r="AN32" s="1090">
        <f t="shared" si="77"/>
        <v>799598.22</v>
      </c>
      <c r="AO32" s="1085">
        <f>'[17]RSD Orleans Allocation'!BF30</f>
        <v>535842</v>
      </c>
      <c r="AP32" s="1085">
        <f t="shared" si="41"/>
        <v>263756.21999999997</v>
      </c>
      <c r="AQ32" s="1090">
        <f t="shared" si="79"/>
        <v>65939</v>
      </c>
    </row>
    <row r="33" spans="1:43" s="1048" customFormat="1" ht="16.899999999999999" customHeight="1">
      <c r="A33" s="1079">
        <v>369006</v>
      </c>
      <c r="B33" s="1080" t="s">
        <v>588</v>
      </c>
      <c r="C33" s="1081">
        <f>IFERROR(VLOOKUP(A33,'[18]RSD-NO by Site'!$B$5:$D$62,3,FALSE),"na")</f>
        <v>777</v>
      </c>
      <c r="D33" s="1082">
        <f t="shared" si="24"/>
        <v>3602.7009974327857</v>
      </c>
      <c r="E33" s="1082">
        <f t="shared" si="25"/>
        <v>2799299</v>
      </c>
      <c r="F33" s="1082">
        <v>746.0335616438357</v>
      </c>
      <c r="G33" s="1082">
        <f t="shared" si="26"/>
        <v>579668.07739726035</v>
      </c>
      <c r="H33" s="1083">
        <f t="shared" si="42"/>
        <v>3378967.0773972603</v>
      </c>
      <c r="I33" s="1084">
        <f>VLOOKUP($A33,'[1]October midyear adj'!$A$122:$K$178,11,FALSE)</f>
        <v>26092.40735445973</v>
      </c>
      <c r="J33" s="1085">
        <f>VLOOKUP($A33,'[1]February midyear adj'!$A$122:$K$178,11,FALSE)</f>
        <v>-2174.3672795383109</v>
      </c>
      <c r="K33" s="1086">
        <f t="shared" si="27"/>
        <v>23918.04007492142</v>
      </c>
      <c r="L33" s="1083">
        <f t="shared" si="28"/>
        <v>3402885.1174721816</v>
      </c>
      <c r="M33" s="1085">
        <f t="shared" si="43"/>
        <v>-59550.489555763183</v>
      </c>
      <c r="N33" s="1085">
        <f t="shared" si="44"/>
        <v>-8507.2127936804536</v>
      </c>
      <c r="O33" s="1085">
        <f t="shared" si="29"/>
        <v>-68057.702349443629</v>
      </c>
      <c r="P33" s="1083">
        <f t="shared" si="30"/>
        <v>3334827.4151227381</v>
      </c>
      <c r="Q33" s="1087">
        <v>0</v>
      </c>
      <c r="R33" s="1083">
        <f t="shared" si="31"/>
        <v>3334827.4151227381</v>
      </c>
      <c r="S33" s="1087">
        <f>VLOOKUP($A33,'Table 4 Level 4'!$B$121:$O$177,4,FALSE)</f>
        <v>0</v>
      </c>
      <c r="T33" s="1087">
        <f>'Table 4 Level 4'!O138</f>
        <v>4342</v>
      </c>
      <c r="U33" s="1083">
        <f t="shared" si="45"/>
        <v>3339169.4151227381</v>
      </c>
      <c r="V33" s="1087">
        <f>VLOOKUP($A33,'Table 4 Level 4'!$B$121:$O$177,9,FALSE)</f>
        <v>0</v>
      </c>
      <c r="W33" s="1087">
        <f>VLOOKUP($A33,'Table 4 Level 4'!$B$121:$O$177,11,FALSE)</f>
        <v>0</v>
      </c>
      <c r="X33" s="1087">
        <f>VLOOKUP($A33,'Table 4 Level 4'!$B$121:$O$177,12,FALSE)</f>
        <v>31948</v>
      </c>
      <c r="Y33" s="1083">
        <f t="shared" si="46"/>
        <v>3371117.4151227381</v>
      </c>
      <c r="Z33" s="1087">
        <f t="shared" si="80"/>
        <v>4809</v>
      </c>
      <c r="AA33" s="1087"/>
      <c r="AB33" s="1088">
        <f t="shared" si="35"/>
        <v>3736593</v>
      </c>
      <c r="AC33" s="1089">
        <f>VLOOKUP($A33,'[1]October midyear adj'!$A$122:$K$178,5,FALSE)</f>
        <v>6</v>
      </c>
      <c r="AD33" s="1085">
        <f t="shared" si="36"/>
        <v>28854</v>
      </c>
      <c r="AE33" s="1089">
        <f>VLOOKUP($A33,'[1]February midyear adj'!$A$122:$K$178,5,FALSE)</f>
        <v>-1</v>
      </c>
      <c r="AF33" s="1085">
        <f t="shared" si="37"/>
        <v>-2404.5</v>
      </c>
      <c r="AG33" s="1086">
        <f t="shared" si="38"/>
        <v>26449.5</v>
      </c>
      <c r="AH33" s="1090">
        <f t="shared" si="39"/>
        <v>3763042.5</v>
      </c>
      <c r="AI33" s="1087">
        <f t="shared" si="47"/>
        <v>-65853.243750000009</v>
      </c>
      <c r="AJ33" s="1087">
        <f t="shared" si="48"/>
        <v>-9407.6062500000007</v>
      </c>
      <c r="AK33" s="1087">
        <f t="shared" si="49"/>
        <v>-75260.850000000006</v>
      </c>
      <c r="AL33" s="1088">
        <f t="shared" si="40"/>
        <v>3687781.65</v>
      </c>
      <c r="AM33" s="1087">
        <v>0</v>
      </c>
      <c r="AN33" s="1090">
        <f t="shared" si="77"/>
        <v>3687781.65</v>
      </c>
      <c r="AO33" s="1085">
        <f>'[17]RSD Orleans Allocation'!BF31</f>
        <v>2370680</v>
      </c>
      <c r="AP33" s="1085">
        <f t="shared" si="41"/>
        <v>1317101.6499999999</v>
      </c>
      <c r="AQ33" s="1090">
        <f t="shared" si="79"/>
        <v>329275</v>
      </c>
    </row>
    <row r="34" spans="1:43" s="1048" customFormat="1" ht="16.899999999999999" customHeight="1">
      <c r="A34" s="1091">
        <v>373001</v>
      </c>
      <c r="B34" s="1092" t="s">
        <v>517</v>
      </c>
      <c r="C34" s="1081">
        <f>IFERROR(VLOOKUP(A34,'[18]RSD-NO by Site'!$B$5:$D$62,3,FALSE),"na")</f>
        <v>450</v>
      </c>
      <c r="D34" s="1082">
        <f t="shared" si="24"/>
        <v>3602.7009974327857</v>
      </c>
      <c r="E34" s="1082">
        <f t="shared" si="25"/>
        <v>1621215</v>
      </c>
      <c r="F34" s="1087">
        <v>746.0335616438357</v>
      </c>
      <c r="G34" s="1082">
        <f t="shared" si="26"/>
        <v>335715.10273972608</v>
      </c>
      <c r="H34" s="1083">
        <f t="shared" si="42"/>
        <v>1956930.1027397262</v>
      </c>
      <c r="I34" s="1084">
        <f>VLOOKUP($A34,'[1]October midyear adj'!$A$122:$K$178,11,FALSE)</f>
        <v>-108718.36397691554</v>
      </c>
      <c r="J34" s="1085">
        <f>VLOOKUP($A34,'[1]February midyear adj'!$A$122:$K$178,11,FALSE)</f>
        <v>19569.305515844797</v>
      </c>
      <c r="K34" s="1086">
        <f t="shared" si="27"/>
        <v>-89149.058461070745</v>
      </c>
      <c r="L34" s="1083">
        <f t="shared" si="28"/>
        <v>1867781.0442786554</v>
      </c>
      <c r="M34" s="1085">
        <f t="shared" si="43"/>
        <v>-32686.168274876472</v>
      </c>
      <c r="N34" s="1085">
        <f t="shared" si="44"/>
        <v>-4669.4526106966387</v>
      </c>
      <c r="O34" s="1085">
        <f t="shared" si="29"/>
        <v>-37355.620885573109</v>
      </c>
      <c r="P34" s="1083">
        <f t="shared" si="30"/>
        <v>1830425.4233930823</v>
      </c>
      <c r="Q34" s="1087">
        <v>0</v>
      </c>
      <c r="R34" s="1083">
        <f t="shared" si="31"/>
        <v>1830425.4233930823</v>
      </c>
      <c r="S34" s="1087">
        <f>VLOOKUP($A34,'Table 4 Level 4'!$B$121:$O$177,4,FALSE)</f>
        <v>0</v>
      </c>
      <c r="T34" s="1087">
        <f>'Table 4 Level 4'!O139</f>
        <v>0</v>
      </c>
      <c r="U34" s="1083">
        <f t="shared" si="45"/>
        <v>1830425.4233930823</v>
      </c>
      <c r="V34" s="1087">
        <f>VLOOKUP($A34,'Table 4 Level 4'!$B$121:$O$177,9,FALSE)</f>
        <v>0</v>
      </c>
      <c r="W34" s="1087">
        <f>VLOOKUP($A34,'Table 4 Level 4'!$B$121:$O$177,11,FALSE)</f>
        <v>0</v>
      </c>
      <c r="X34" s="1087">
        <f>VLOOKUP($A34,'Table 4 Level 4'!$B$121:$O$177,12,FALSE)</f>
        <v>0</v>
      </c>
      <c r="Y34" s="1083">
        <f t="shared" si="46"/>
        <v>1830425.4233930823</v>
      </c>
      <c r="Z34" s="1087">
        <f t="shared" si="80"/>
        <v>4809</v>
      </c>
      <c r="AA34" s="1087"/>
      <c r="AB34" s="1088">
        <f t="shared" si="35"/>
        <v>2164050</v>
      </c>
      <c r="AC34" s="1089">
        <f>VLOOKUP($A34,'[1]October midyear adj'!$A$122:$K$178,5,FALSE)</f>
        <v>-25</v>
      </c>
      <c r="AD34" s="1085">
        <f t="shared" si="36"/>
        <v>-120225</v>
      </c>
      <c r="AE34" s="1089">
        <f>VLOOKUP($A34,'[1]February midyear adj'!$A$122:$K$178,5,FALSE)</f>
        <v>9</v>
      </c>
      <c r="AF34" s="1085">
        <f t="shared" si="37"/>
        <v>21640.5</v>
      </c>
      <c r="AG34" s="1086">
        <f t="shared" si="38"/>
        <v>-98584.5</v>
      </c>
      <c r="AH34" s="1090">
        <f t="shared" si="39"/>
        <v>2065465.5</v>
      </c>
      <c r="AI34" s="1087">
        <f t="shared" si="47"/>
        <v>-36145.646250000005</v>
      </c>
      <c r="AJ34" s="1087">
        <f t="shared" si="48"/>
        <v>-5163.6637499999997</v>
      </c>
      <c r="AK34" s="1087">
        <f t="shared" si="49"/>
        <v>-41309.310000000005</v>
      </c>
      <c r="AL34" s="1088">
        <f t="shared" si="40"/>
        <v>2024156.19</v>
      </c>
      <c r="AM34" s="1087">
        <v>0</v>
      </c>
      <c r="AN34" s="1090">
        <f t="shared" si="77"/>
        <v>2024156.19</v>
      </c>
      <c r="AO34" s="1085">
        <f>'[17]RSD Orleans Allocation'!BF32</f>
        <v>1372981</v>
      </c>
      <c r="AP34" s="1085">
        <f t="shared" si="41"/>
        <v>651175.18999999994</v>
      </c>
      <c r="AQ34" s="1090">
        <f t="shared" si="79"/>
        <v>162794</v>
      </c>
    </row>
    <row r="35" spans="1:43" s="1048" customFormat="1" ht="16.899999999999999" customHeight="1">
      <c r="A35" s="1093">
        <v>373002</v>
      </c>
      <c r="B35" s="1094" t="s">
        <v>518</v>
      </c>
      <c r="C35" s="1095">
        <f>IFERROR(VLOOKUP(A35,'[18]RSD-NO by Site'!$B$5:$D$62,3,FALSE),"na")</f>
        <v>379</v>
      </c>
      <c r="D35" s="1096">
        <f t="shared" si="24"/>
        <v>3602.7009974327857</v>
      </c>
      <c r="E35" s="1096">
        <f t="shared" si="25"/>
        <v>1365424</v>
      </c>
      <c r="F35" s="1097">
        <v>746.0335616438357</v>
      </c>
      <c r="G35" s="1096">
        <f t="shared" si="26"/>
        <v>282746.71986301371</v>
      </c>
      <c r="H35" s="1098">
        <f t="shared" si="42"/>
        <v>1648170.7198630138</v>
      </c>
      <c r="I35" s="1099">
        <f>VLOOKUP($A35,'[1]October midyear adj'!$A$122:$K$178,11,FALSE)</f>
        <v>191344.32059937136</v>
      </c>
      <c r="J35" s="1100">
        <f>VLOOKUP($A35,'[1]February midyear adj'!$A$122:$K$178,11,FALSE)</f>
        <v>30441.141913536354</v>
      </c>
      <c r="K35" s="1101">
        <f t="shared" si="27"/>
        <v>221785.46251290772</v>
      </c>
      <c r="L35" s="1098">
        <f t="shared" si="28"/>
        <v>1869956.1823759216</v>
      </c>
      <c r="M35" s="1100">
        <f t="shared" si="43"/>
        <v>-32724.233191578631</v>
      </c>
      <c r="N35" s="1100">
        <f t="shared" si="44"/>
        <v>-4674.8904559398043</v>
      </c>
      <c r="O35" s="1100">
        <f t="shared" si="29"/>
        <v>-37399.123647518434</v>
      </c>
      <c r="P35" s="1098">
        <f t="shared" si="30"/>
        <v>1832557.0587284032</v>
      </c>
      <c r="Q35" s="1097">
        <v>0</v>
      </c>
      <c r="R35" s="1098">
        <f t="shared" si="31"/>
        <v>1832557.0587284032</v>
      </c>
      <c r="S35" s="1097">
        <f>VLOOKUP($A35,'Table 4 Level 4'!$B$121:$O$177,4,FALSE)</f>
        <v>0</v>
      </c>
      <c r="T35" s="1097">
        <f>'Table 4 Level 4'!O140</f>
        <v>0</v>
      </c>
      <c r="U35" s="1098">
        <f t="shared" si="45"/>
        <v>1832557.0587284032</v>
      </c>
      <c r="V35" s="1097">
        <f>VLOOKUP($A35,'Table 4 Level 4'!$B$121:$O$177,9,FALSE)</f>
        <v>0</v>
      </c>
      <c r="W35" s="1097">
        <f>VLOOKUP($A35,'Table 4 Level 4'!$B$121:$O$177,11,FALSE)</f>
        <v>0</v>
      </c>
      <c r="X35" s="1097">
        <f>VLOOKUP($A35,'Table 4 Level 4'!$B$121:$O$177,12,FALSE)</f>
        <v>0</v>
      </c>
      <c r="Y35" s="1098">
        <f t="shared" si="46"/>
        <v>1832557.0587284032</v>
      </c>
      <c r="Z35" s="1097">
        <f t="shared" si="80"/>
        <v>4809</v>
      </c>
      <c r="AA35" s="1097"/>
      <c r="AB35" s="1102">
        <f t="shared" si="35"/>
        <v>1822611</v>
      </c>
      <c r="AC35" s="1103">
        <f>VLOOKUP($A35,'[1]October midyear adj'!$A$122:$K$178,5,FALSE)</f>
        <v>44</v>
      </c>
      <c r="AD35" s="1100">
        <f t="shared" si="36"/>
        <v>211596</v>
      </c>
      <c r="AE35" s="1103">
        <f>VLOOKUP($A35,'[1]February midyear adj'!$A$122:$K$178,5,FALSE)</f>
        <v>14</v>
      </c>
      <c r="AF35" s="1100">
        <f t="shared" si="37"/>
        <v>33663</v>
      </c>
      <c r="AG35" s="1101">
        <f t="shared" si="38"/>
        <v>245259</v>
      </c>
      <c r="AH35" s="1104">
        <f t="shared" si="39"/>
        <v>2067870</v>
      </c>
      <c r="AI35" s="1097">
        <f t="shared" si="47"/>
        <v>-36187.725000000006</v>
      </c>
      <c r="AJ35" s="1097">
        <f t="shared" si="48"/>
        <v>-5169.6750000000002</v>
      </c>
      <c r="AK35" s="1097">
        <f t="shared" si="49"/>
        <v>-41357.400000000009</v>
      </c>
      <c r="AL35" s="1102">
        <f t="shared" si="40"/>
        <v>2026512.6</v>
      </c>
      <c r="AM35" s="1097">
        <v>0</v>
      </c>
      <c r="AN35" s="1104">
        <f t="shared" si="77"/>
        <v>2026512.6</v>
      </c>
      <c r="AO35" s="1100">
        <f>'[17]RSD Orleans Allocation'!BF33</f>
        <v>1156354</v>
      </c>
      <c r="AP35" s="1100">
        <f t="shared" si="41"/>
        <v>870158.60000000009</v>
      </c>
      <c r="AQ35" s="1104">
        <f t="shared" si="79"/>
        <v>217540</v>
      </c>
    </row>
    <row r="36" spans="1:43" s="1048" customFormat="1" ht="16.899999999999999" customHeight="1">
      <c r="A36" s="1067">
        <v>374001</v>
      </c>
      <c r="B36" s="1068" t="s">
        <v>519</v>
      </c>
      <c r="C36" s="1069">
        <f>IFERROR(VLOOKUP(A36,'[18]RSD-NO by Site'!$B$5:$D$62,3,FALSE),"na")</f>
        <v>467</v>
      </c>
      <c r="D36" s="1070">
        <f t="shared" si="24"/>
        <v>3602.7009974327857</v>
      </c>
      <c r="E36" s="1070">
        <f t="shared" si="25"/>
        <v>1682461</v>
      </c>
      <c r="F36" s="1070">
        <v>746.0335616438357</v>
      </c>
      <c r="G36" s="1070">
        <f t="shared" si="26"/>
        <v>348397.67328767129</v>
      </c>
      <c r="H36" s="1071">
        <f t="shared" si="42"/>
        <v>2030858.6732876713</v>
      </c>
      <c r="I36" s="1072">
        <f>VLOOKUP($A36,'[1]October midyear adj'!$A$122:$K$178,11,FALSE)</f>
        <v>169600.64780398825</v>
      </c>
      <c r="J36" s="1073">
        <f>VLOOKUP($A36,'[1]February midyear adj'!$A$122:$K$178,11,FALSE)</f>
        <v>52184.814708919461</v>
      </c>
      <c r="K36" s="1074">
        <f t="shared" si="27"/>
        <v>221785.46251290772</v>
      </c>
      <c r="L36" s="1071">
        <f t="shared" si="28"/>
        <v>2252644.1358005791</v>
      </c>
      <c r="M36" s="1073">
        <f t="shared" si="43"/>
        <v>-39421.27237651014</v>
      </c>
      <c r="N36" s="1073">
        <f t="shared" si="44"/>
        <v>-5631.6103395014479</v>
      </c>
      <c r="O36" s="1073">
        <f t="shared" si="29"/>
        <v>-45052.882716011591</v>
      </c>
      <c r="P36" s="1071">
        <f t="shared" si="30"/>
        <v>2207591.2530845674</v>
      </c>
      <c r="Q36" s="1075">
        <v>0</v>
      </c>
      <c r="R36" s="1071">
        <f t="shared" si="31"/>
        <v>2207591.2530845674</v>
      </c>
      <c r="S36" s="1075">
        <f>VLOOKUP($A36,'Table 4 Level 4'!$B$121:$O$177,4,FALSE)</f>
        <v>0</v>
      </c>
      <c r="T36" s="1075">
        <f>'Table 4 Level 4'!O141</f>
        <v>1716</v>
      </c>
      <c r="U36" s="1071">
        <f t="shared" si="45"/>
        <v>2209307.2530845674</v>
      </c>
      <c r="V36" s="1075">
        <f>VLOOKUP($A36,'Table 4 Level 4'!$B$121:$O$177,9,FALSE)</f>
        <v>0</v>
      </c>
      <c r="W36" s="1075">
        <f>VLOOKUP($A36,'Table 4 Level 4'!$B$121:$O$177,11,FALSE)</f>
        <v>0</v>
      </c>
      <c r="X36" s="1075">
        <f>VLOOKUP($A36,'Table 4 Level 4'!$B$121:$O$177,12,FALSE)</f>
        <v>0</v>
      </c>
      <c r="Y36" s="1071">
        <f t="shared" si="46"/>
        <v>2209307.2530845674</v>
      </c>
      <c r="Z36" s="1075">
        <f t="shared" si="80"/>
        <v>4809</v>
      </c>
      <c r="AA36" s="1075"/>
      <c r="AB36" s="1076">
        <f t="shared" si="35"/>
        <v>2245803</v>
      </c>
      <c r="AC36" s="1077">
        <f>VLOOKUP($A36,'[1]October midyear adj'!$A$122:$K$178,5,FALSE)</f>
        <v>39</v>
      </c>
      <c r="AD36" s="1073">
        <f t="shared" si="36"/>
        <v>187551</v>
      </c>
      <c r="AE36" s="1077">
        <f>VLOOKUP($A36,'[1]February midyear adj'!$A$122:$K$178,5,FALSE)</f>
        <v>24</v>
      </c>
      <c r="AF36" s="1073">
        <f t="shared" si="37"/>
        <v>57708</v>
      </c>
      <c r="AG36" s="1074">
        <f t="shared" si="38"/>
        <v>245259</v>
      </c>
      <c r="AH36" s="1078">
        <f t="shared" si="39"/>
        <v>2491062</v>
      </c>
      <c r="AI36" s="1075">
        <f t="shared" si="47"/>
        <v>-43593.585000000006</v>
      </c>
      <c r="AJ36" s="1075">
        <f t="shared" si="48"/>
        <v>-6227.6549999999997</v>
      </c>
      <c r="AK36" s="1075">
        <f t="shared" si="49"/>
        <v>-49821.240000000005</v>
      </c>
      <c r="AL36" s="1076">
        <f t="shared" si="40"/>
        <v>2441240.7599999998</v>
      </c>
      <c r="AM36" s="1075">
        <v>0</v>
      </c>
      <c r="AN36" s="1078">
        <f t="shared" si="77"/>
        <v>2441240.7599999998</v>
      </c>
      <c r="AO36" s="1073">
        <f>'[17]RSD Orleans Allocation'!BF34</f>
        <v>1424848</v>
      </c>
      <c r="AP36" s="1073">
        <f t="shared" si="41"/>
        <v>1016392.7599999998</v>
      </c>
      <c r="AQ36" s="1078">
        <f t="shared" si="79"/>
        <v>254098</v>
      </c>
    </row>
    <row r="37" spans="1:43" s="1048" customFormat="1" ht="16.899999999999999" customHeight="1">
      <c r="A37" s="1079">
        <v>381001</v>
      </c>
      <c r="B37" s="1080" t="s">
        <v>520</v>
      </c>
      <c r="C37" s="1081">
        <f>IFERROR(VLOOKUP(A37,'[18]RSD-NO by Site'!$B$5:$D$62,3,FALSE),"na")</f>
        <v>482</v>
      </c>
      <c r="D37" s="1082">
        <f t="shared" si="24"/>
        <v>3602.7009974327857</v>
      </c>
      <c r="E37" s="1082">
        <f t="shared" ref="E37:E38" si="81">ROUND(C37*D37,0)</f>
        <v>1736502</v>
      </c>
      <c r="F37" s="1082">
        <v>743.65689655172423</v>
      </c>
      <c r="G37" s="1082">
        <f t="shared" ref="G37:G38" si="82">F37*C37</f>
        <v>358442.6241379311</v>
      </c>
      <c r="H37" s="1083">
        <f t="shared" ref="H37:H38" si="83">E37+G37</f>
        <v>2094944.624137931</v>
      </c>
      <c r="I37" s="1084">
        <f>VLOOKUP($A37,'[1]October midyear adj'!$A$122:$K$178,11,FALSE)</f>
        <v>21731.789469922551</v>
      </c>
      <c r="J37" s="1085">
        <f>VLOOKUP($A37,'[1]February midyear adj'!$A$122:$K$178,11,FALSE)</f>
        <v>39117.221045860591</v>
      </c>
      <c r="K37" s="1086">
        <f t="shared" si="27"/>
        <v>60849.010515783142</v>
      </c>
      <c r="L37" s="1083">
        <f t="shared" si="28"/>
        <v>2155793.634653714</v>
      </c>
      <c r="M37" s="1085">
        <f t="shared" si="43"/>
        <v>-37726.388606439999</v>
      </c>
      <c r="N37" s="1085">
        <f t="shared" si="44"/>
        <v>-5389.4840866342847</v>
      </c>
      <c r="O37" s="1085">
        <f t="shared" si="29"/>
        <v>-43115.872693074285</v>
      </c>
      <c r="P37" s="1083">
        <f t="shared" si="30"/>
        <v>2112677.7619606396</v>
      </c>
      <c r="Q37" s="1087">
        <v>0</v>
      </c>
      <c r="R37" s="1083">
        <f t="shared" si="31"/>
        <v>2112677.7619606396</v>
      </c>
      <c r="S37" s="1087">
        <f>VLOOKUP($A37,'Table 4 Level 4'!$B$121:$O$177,4,FALSE)</f>
        <v>0</v>
      </c>
      <c r="T37" s="1087">
        <f>'Table 4 Level 4'!O142</f>
        <v>0</v>
      </c>
      <c r="U37" s="1083">
        <f t="shared" si="45"/>
        <v>2112677.7619606396</v>
      </c>
      <c r="V37" s="1087">
        <f>VLOOKUP($A37,'Table 4 Level 4'!$B$121:$O$177,9,FALSE)</f>
        <v>0</v>
      </c>
      <c r="W37" s="1087">
        <f>VLOOKUP($A37,'Table 4 Level 4'!$B$121:$O$177,11,FALSE)</f>
        <v>0</v>
      </c>
      <c r="X37" s="1087">
        <f>VLOOKUP($A37,'Table 4 Level 4'!$B$121:$O$177,12,FALSE)</f>
        <v>27295</v>
      </c>
      <c r="Y37" s="1083">
        <f t="shared" si="46"/>
        <v>2139972.7619606396</v>
      </c>
      <c r="Z37" s="1087">
        <f t="shared" si="80"/>
        <v>4809</v>
      </c>
      <c r="AA37" s="1087"/>
      <c r="AB37" s="1088">
        <f t="shared" si="35"/>
        <v>2317938</v>
      </c>
      <c r="AC37" s="1089">
        <f>VLOOKUP($A37,'[1]October midyear adj'!$A$122:$K$178,5,FALSE)</f>
        <v>5</v>
      </c>
      <c r="AD37" s="1085">
        <f t="shared" si="36"/>
        <v>24045</v>
      </c>
      <c r="AE37" s="1089">
        <f>VLOOKUP($A37,'[1]February midyear adj'!$A$122:$K$178,5,FALSE)</f>
        <v>18</v>
      </c>
      <c r="AF37" s="1085">
        <f t="shared" si="37"/>
        <v>43281</v>
      </c>
      <c r="AG37" s="1086">
        <f t="shared" si="38"/>
        <v>67326</v>
      </c>
      <c r="AH37" s="1090">
        <f t="shared" si="39"/>
        <v>2385264</v>
      </c>
      <c r="AI37" s="1087">
        <f t="shared" si="47"/>
        <v>-41742.120000000003</v>
      </c>
      <c r="AJ37" s="1087">
        <f t="shared" si="48"/>
        <v>-5963.16</v>
      </c>
      <c r="AK37" s="1087">
        <f>AI37+AJ37</f>
        <v>-47705.279999999999</v>
      </c>
      <c r="AL37" s="1088">
        <f t="shared" si="40"/>
        <v>2337558.7200000002</v>
      </c>
      <c r="AM37" s="1087">
        <v>0</v>
      </c>
      <c r="AN37" s="1090">
        <f t="shared" si="77"/>
        <v>2337558.7200000002</v>
      </c>
      <c r="AO37" s="1085">
        <f>'[17]RSD Orleans Allocation'!BF35</f>
        <v>1455302</v>
      </c>
      <c r="AP37" s="1085">
        <f t="shared" si="41"/>
        <v>882256.7200000002</v>
      </c>
      <c r="AQ37" s="1090">
        <f t="shared" si="79"/>
        <v>220564</v>
      </c>
    </row>
    <row r="38" spans="1:43" s="1048" customFormat="1" ht="16.899999999999999" customHeight="1">
      <c r="A38" s="1079">
        <v>382001</v>
      </c>
      <c r="B38" s="1080" t="s">
        <v>521</v>
      </c>
      <c r="C38" s="1081">
        <f>IFERROR(VLOOKUP(A38,'[18]RSD-NO by Site'!$B$5:$D$62,3,FALSE),"na")</f>
        <v>433</v>
      </c>
      <c r="D38" s="1082">
        <f t="shared" si="24"/>
        <v>3602.7009974327857</v>
      </c>
      <c r="E38" s="1082">
        <f t="shared" si="81"/>
        <v>1559970</v>
      </c>
      <c r="F38" s="1082">
        <v>783.54939759036142</v>
      </c>
      <c r="G38" s="1082">
        <f t="shared" si="82"/>
        <v>339276.88915662648</v>
      </c>
      <c r="H38" s="1083">
        <f t="shared" si="83"/>
        <v>1899246.8891566265</v>
      </c>
      <c r="I38" s="1084">
        <f>VLOOKUP($A38,'[1]October midyear adj'!$A$122:$K$178,11,FALSE)</f>
        <v>118428.76066562498</v>
      </c>
      <c r="J38" s="1085">
        <f>VLOOKUP($A38,'[1]February midyear adj'!$A$122:$K$178,11,FALSE)</f>
        <v>-13158.751185069443</v>
      </c>
      <c r="K38" s="1086">
        <f t="shared" si="27"/>
        <v>105270.00948055554</v>
      </c>
      <c r="L38" s="1083">
        <f t="shared" si="28"/>
        <v>2004516.8986371821</v>
      </c>
      <c r="M38" s="1085">
        <f t="shared" si="43"/>
        <v>-35079.045726150689</v>
      </c>
      <c r="N38" s="1085">
        <f t="shared" si="44"/>
        <v>-5011.2922465929551</v>
      </c>
      <c r="O38" s="1085">
        <f t="shared" si="29"/>
        <v>-40090.33797274364</v>
      </c>
      <c r="P38" s="1083">
        <f t="shared" si="30"/>
        <v>1964426.5606644384</v>
      </c>
      <c r="Q38" s="1087">
        <v>-8971.1541985122094</v>
      </c>
      <c r="R38" s="1083">
        <f t="shared" si="31"/>
        <v>1955455.4064659262</v>
      </c>
      <c r="S38" s="1087">
        <f>VLOOKUP($A38,'Table 4 Level 4'!$B$121:$O$177,4,FALSE)</f>
        <v>0</v>
      </c>
      <c r="T38" s="1087">
        <f>'Table 4 Level 4'!O143</f>
        <v>11258</v>
      </c>
      <c r="U38" s="1083">
        <f t="shared" si="45"/>
        <v>1966713.4064659262</v>
      </c>
      <c r="V38" s="1087">
        <f>VLOOKUP($A38,'Table 4 Level 4'!$B$121:$O$177,9,FALSE)</f>
        <v>0</v>
      </c>
      <c r="W38" s="1087">
        <f>VLOOKUP($A38,'Table 4 Level 4'!$B$121:$O$177,11,FALSE)</f>
        <v>10000</v>
      </c>
      <c r="X38" s="1087">
        <f>VLOOKUP($A38,'Table 4 Level 4'!$B$121:$O$177,12,FALSE)</f>
        <v>24819</v>
      </c>
      <c r="Y38" s="1083">
        <f t="shared" si="46"/>
        <v>2001532.4064659262</v>
      </c>
      <c r="Z38" s="1087">
        <f t="shared" si="80"/>
        <v>4809</v>
      </c>
      <c r="AA38" s="1087"/>
      <c r="AB38" s="1088">
        <f t="shared" si="35"/>
        <v>2082297</v>
      </c>
      <c r="AC38" s="1089">
        <f>VLOOKUP($A38,'[1]October midyear adj'!$A$122:$K$178,5,FALSE)</f>
        <v>27</v>
      </c>
      <c r="AD38" s="1085">
        <f t="shared" si="36"/>
        <v>129843</v>
      </c>
      <c r="AE38" s="1089">
        <f>VLOOKUP($A38,'[1]February midyear adj'!$A$122:$K$178,5,FALSE)</f>
        <v>-6</v>
      </c>
      <c r="AF38" s="1085">
        <f t="shared" si="37"/>
        <v>-14427</v>
      </c>
      <c r="AG38" s="1086">
        <f t="shared" si="38"/>
        <v>115416</v>
      </c>
      <c r="AH38" s="1090">
        <f t="shared" si="39"/>
        <v>2197713</v>
      </c>
      <c r="AI38" s="1087">
        <f t="shared" si="47"/>
        <v>-38459.977500000001</v>
      </c>
      <c r="AJ38" s="1087">
        <f t="shared" si="48"/>
        <v>-5494.2825000000003</v>
      </c>
      <c r="AK38" s="1087">
        <f>AI38+AJ38</f>
        <v>-43954.26</v>
      </c>
      <c r="AL38" s="1088">
        <f t="shared" si="40"/>
        <v>2153758.7400000002</v>
      </c>
      <c r="AM38" s="1087">
        <v>-4196</v>
      </c>
      <c r="AN38" s="1090">
        <f t="shared" si="77"/>
        <v>2149562.7400000002</v>
      </c>
      <c r="AO38" s="1085">
        <f>'[17]RSD Orleans Allocation'!BF36</f>
        <v>1403272</v>
      </c>
      <c r="AP38" s="1085">
        <f t="shared" si="41"/>
        <v>746290.74000000022</v>
      </c>
      <c r="AQ38" s="1090">
        <f t="shared" si="79"/>
        <v>186573</v>
      </c>
    </row>
    <row r="39" spans="1:43" s="1048" customFormat="1" ht="16.899999999999999" customHeight="1">
      <c r="A39" s="1091">
        <v>382002</v>
      </c>
      <c r="B39" s="1092" t="s">
        <v>522</v>
      </c>
      <c r="C39" s="1081">
        <f>IFERROR(VLOOKUP(A39,'[18]RSD-NO by Site'!$B$5:$D$62,3,FALSE),"na")</f>
        <v>202</v>
      </c>
      <c r="D39" s="1082">
        <f t="shared" si="24"/>
        <v>3602.7009974327857</v>
      </c>
      <c r="E39" s="1082">
        <f t="shared" si="25"/>
        <v>727746</v>
      </c>
      <c r="F39" s="1087">
        <v>746.0335616438357</v>
      </c>
      <c r="G39" s="1082">
        <f t="shared" si="26"/>
        <v>150698.77945205482</v>
      </c>
      <c r="H39" s="1083">
        <f t="shared" si="42"/>
        <v>878444.77945205476</v>
      </c>
      <c r="I39" s="1084">
        <f>VLOOKUP($A39,'[1]October midyear adj'!$A$122:$K$178,11,FALSE)</f>
        <v>447919.65958489204</v>
      </c>
      <c r="J39" s="1085">
        <f>VLOOKUP($A39,'[1]February midyear adj'!$A$122:$K$178,11,FALSE)</f>
        <v>-26092.40735445973</v>
      </c>
      <c r="K39" s="1086">
        <f t="shared" si="27"/>
        <v>421827.25223043229</v>
      </c>
      <c r="L39" s="1083">
        <f t="shared" si="28"/>
        <v>1300272.0316824871</v>
      </c>
      <c r="M39" s="1085">
        <f t="shared" si="43"/>
        <v>-22754.760554443528</v>
      </c>
      <c r="N39" s="1085">
        <f t="shared" si="44"/>
        <v>-3250.6800792062177</v>
      </c>
      <c r="O39" s="1085">
        <f t="shared" si="29"/>
        <v>-26005.440633649745</v>
      </c>
      <c r="P39" s="1083">
        <f t="shared" si="30"/>
        <v>1274266.5910488374</v>
      </c>
      <c r="Q39" s="1087">
        <v>-3291.6961392868261</v>
      </c>
      <c r="R39" s="1083">
        <f t="shared" si="31"/>
        <v>1270974.8949095507</v>
      </c>
      <c r="S39" s="1087">
        <f>VLOOKUP($A39,'Table 4 Level 4'!$B$121:$O$177,4,FALSE)</f>
        <v>0</v>
      </c>
      <c r="T39" s="1087">
        <f>'Table 4 Level 4'!O144</f>
        <v>5252</v>
      </c>
      <c r="U39" s="1083">
        <f t="shared" si="45"/>
        <v>1276226.8949095507</v>
      </c>
      <c r="V39" s="1087">
        <f>VLOOKUP($A39,'Table 4 Level 4'!$B$121:$O$177,9,FALSE)</f>
        <v>0</v>
      </c>
      <c r="W39" s="1087">
        <f>VLOOKUP($A39,'Table 4 Level 4'!$B$121:$O$177,11,FALSE)</f>
        <v>10000</v>
      </c>
      <c r="X39" s="1087">
        <f>VLOOKUP($A39,'Table 4 Level 4'!$B$121:$O$177,12,FALSE)</f>
        <v>99206</v>
      </c>
      <c r="Y39" s="1083">
        <f t="shared" si="46"/>
        <v>1385432.8949095507</v>
      </c>
      <c r="Z39" s="1087">
        <f t="shared" si="80"/>
        <v>4809</v>
      </c>
      <c r="AA39" s="1087"/>
      <c r="AB39" s="1088">
        <f t="shared" si="35"/>
        <v>971418</v>
      </c>
      <c r="AC39" s="1089">
        <f>VLOOKUP($A39,'[1]October midyear adj'!$A$122:$K$178,5,FALSE)</f>
        <v>103</v>
      </c>
      <c r="AD39" s="1085">
        <f t="shared" si="36"/>
        <v>495327</v>
      </c>
      <c r="AE39" s="1089">
        <f>VLOOKUP($A39,'[1]February midyear adj'!$A$122:$K$178,5,FALSE)</f>
        <v>-12</v>
      </c>
      <c r="AF39" s="1085">
        <f t="shared" si="37"/>
        <v>-28854</v>
      </c>
      <c r="AG39" s="1086">
        <f t="shared" si="38"/>
        <v>466473</v>
      </c>
      <c r="AH39" s="1090">
        <f t="shared" si="39"/>
        <v>1437891</v>
      </c>
      <c r="AI39" s="1087">
        <f t="shared" si="47"/>
        <v>-25163.092500000002</v>
      </c>
      <c r="AJ39" s="1087">
        <f t="shared" si="48"/>
        <v>-3594.7275</v>
      </c>
      <c r="AK39" s="1087">
        <f t="shared" si="49"/>
        <v>-28757.820000000003</v>
      </c>
      <c r="AL39" s="1088">
        <f t="shared" si="40"/>
        <v>1409133.18</v>
      </c>
      <c r="AM39" s="1087">
        <v>-4196</v>
      </c>
      <c r="AN39" s="1090">
        <f t="shared" si="77"/>
        <v>1404937.18</v>
      </c>
      <c r="AO39" s="1085">
        <f>'[17]RSD Orleans Allocation'!BF37</f>
        <v>954683</v>
      </c>
      <c r="AP39" s="1085">
        <f t="shared" si="41"/>
        <v>450254.17999999993</v>
      </c>
      <c r="AQ39" s="1090">
        <f t="shared" si="79"/>
        <v>112564</v>
      </c>
    </row>
    <row r="40" spans="1:43" s="1048" customFormat="1" ht="16.899999999999999" customHeight="1">
      <c r="A40" s="1093">
        <v>382003</v>
      </c>
      <c r="B40" s="1094" t="s">
        <v>523</v>
      </c>
      <c r="C40" s="1095">
        <f>IFERROR(VLOOKUP(A40,'[18]RSD-NO by Site'!$B$5:$D$62,3,FALSE),"na")</f>
        <v>186</v>
      </c>
      <c r="D40" s="1096">
        <f t="shared" si="24"/>
        <v>3602.7009974327857</v>
      </c>
      <c r="E40" s="1096">
        <f t="shared" si="25"/>
        <v>670102</v>
      </c>
      <c r="F40" s="1097">
        <v>746.0335616438357</v>
      </c>
      <c r="G40" s="1096">
        <f t="shared" si="26"/>
        <v>138762.24246575343</v>
      </c>
      <c r="H40" s="1098">
        <f t="shared" si="42"/>
        <v>808864.24246575346</v>
      </c>
      <c r="I40" s="1099">
        <f>VLOOKUP($A40,'[1]October midyear adj'!$A$122:$K$178,11,FALSE)</f>
        <v>439222.19046673877</v>
      </c>
      <c r="J40" s="1100">
        <f>VLOOKUP($A40,'[1]February midyear adj'!$A$122:$K$178,11,FALSE)</f>
        <v>-13046.203677229865</v>
      </c>
      <c r="K40" s="1101">
        <f t="shared" si="27"/>
        <v>426175.9867895089</v>
      </c>
      <c r="L40" s="1098">
        <f t="shared" si="28"/>
        <v>1235040.2292552623</v>
      </c>
      <c r="M40" s="1100">
        <f t="shared" si="43"/>
        <v>-21613.204011967093</v>
      </c>
      <c r="N40" s="1100">
        <f t="shared" si="44"/>
        <v>-3087.6005731381556</v>
      </c>
      <c r="O40" s="1100">
        <f t="shared" si="29"/>
        <v>-24700.804585105248</v>
      </c>
      <c r="P40" s="1098">
        <f t="shared" si="30"/>
        <v>1210339.424670157</v>
      </c>
      <c r="Q40" s="1097">
        <v>-1645.8480696434717</v>
      </c>
      <c r="R40" s="1098">
        <f t="shared" si="31"/>
        <v>1208693.5766005137</v>
      </c>
      <c r="S40" s="1097">
        <f>VLOOKUP($A40,'Table 4 Level 4'!$B$121:$O$177,4,FALSE)</f>
        <v>0</v>
      </c>
      <c r="T40" s="1097">
        <f>'Table 4 Level 4'!O145</f>
        <v>4836</v>
      </c>
      <c r="U40" s="1098">
        <f t="shared" si="45"/>
        <v>1213529.5766005137</v>
      </c>
      <c r="V40" s="1097">
        <f>VLOOKUP($A40,'Table 4 Level 4'!$B$121:$O$177,9,FALSE)</f>
        <v>0</v>
      </c>
      <c r="W40" s="1097">
        <f>VLOOKUP($A40,'Table 4 Level 4'!$B$121:$O$177,11,FALSE)</f>
        <v>10000</v>
      </c>
      <c r="X40" s="1097">
        <f>VLOOKUP($A40,'Table 4 Level 4'!$B$121:$O$177,12,FALSE)</f>
        <v>37914</v>
      </c>
      <c r="Y40" s="1098">
        <f t="shared" si="46"/>
        <v>1261443.5766005137</v>
      </c>
      <c r="Z40" s="1097">
        <f t="shared" si="80"/>
        <v>4809</v>
      </c>
      <c r="AA40" s="1097"/>
      <c r="AB40" s="1102">
        <f t="shared" si="35"/>
        <v>894474</v>
      </c>
      <c r="AC40" s="1103">
        <f>VLOOKUP($A40,'[1]October midyear adj'!$A$122:$K$178,5,FALSE)</f>
        <v>101</v>
      </c>
      <c r="AD40" s="1100">
        <f t="shared" si="36"/>
        <v>485709</v>
      </c>
      <c r="AE40" s="1103">
        <f>VLOOKUP($A40,'[1]February midyear adj'!$A$122:$K$178,5,FALSE)</f>
        <v>-6</v>
      </c>
      <c r="AF40" s="1100">
        <f t="shared" si="37"/>
        <v>-14427</v>
      </c>
      <c r="AG40" s="1101">
        <f t="shared" si="38"/>
        <v>471282</v>
      </c>
      <c r="AH40" s="1104">
        <f t="shared" si="39"/>
        <v>1365756</v>
      </c>
      <c r="AI40" s="1097">
        <f t="shared" si="47"/>
        <v>-23900.730000000003</v>
      </c>
      <c r="AJ40" s="1097">
        <f t="shared" si="48"/>
        <v>-3414.39</v>
      </c>
      <c r="AK40" s="1097">
        <f t="shared" si="49"/>
        <v>-27315.120000000003</v>
      </c>
      <c r="AL40" s="1102">
        <f t="shared" si="40"/>
        <v>1338440.8799999999</v>
      </c>
      <c r="AM40" s="1097">
        <v>-2098</v>
      </c>
      <c r="AN40" s="1104">
        <f t="shared" si="77"/>
        <v>1336342.8799999999</v>
      </c>
      <c r="AO40" s="1100">
        <f>'[17]RSD Orleans Allocation'!BF38</f>
        <v>889290</v>
      </c>
      <c r="AP40" s="1100">
        <f t="shared" si="41"/>
        <v>447052.87999999989</v>
      </c>
      <c r="AQ40" s="1104">
        <f t="shared" si="79"/>
        <v>111763</v>
      </c>
    </row>
    <row r="41" spans="1:43" s="1048" customFormat="1" ht="16.899999999999999" customHeight="1">
      <c r="A41" s="1067">
        <v>384001</v>
      </c>
      <c r="B41" s="1068" t="s">
        <v>524</v>
      </c>
      <c r="C41" s="1069">
        <f>IFERROR(VLOOKUP(A41,'[18]RSD-NO by Site'!$B$5:$D$62,3,FALSE),"na")</f>
        <v>326</v>
      </c>
      <c r="D41" s="1070">
        <f t="shared" si="24"/>
        <v>3602.7009974327857</v>
      </c>
      <c r="E41" s="1070">
        <f t="shared" si="25"/>
        <v>1174481</v>
      </c>
      <c r="F41" s="1070">
        <v>735.82244897959185</v>
      </c>
      <c r="G41" s="1070">
        <f t="shared" si="26"/>
        <v>239878.11836734693</v>
      </c>
      <c r="H41" s="1071">
        <f t="shared" si="42"/>
        <v>1414359.1183673469</v>
      </c>
      <c r="I41" s="1072">
        <f>VLOOKUP($A41,'[1]October midyear adj'!$A$122:$K$178,11,FALSE)</f>
        <v>169202.41441008274</v>
      </c>
      <c r="J41" s="1073">
        <f>VLOOKUP($A41,'[1]February midyear adj'!$A$122:$K$178,11,FALSE)</f>
        <v>-75924.160312216613</v>
      </c>
      <c r="K41" s="1074">
        <f t="shared" si="27"/>
        <v>93278.254097866127</v>
      </c>
      <c r="L41" s="1071">
        <f t="shared" si="28"/>
        <v>1507637.3724652131</v>
      </c>
      <c r="M41" s="1073">
        <f t="shared" si="43"/>
        <v>-26383.654018141231</v>
      </c>
      <c r="N41" s="1073">
        <f t="shared" si="44"/>
        <v>-3769.0934311630326</v>
      </c>
      <c r="O41" s="1073">
        <f t="shared" si="29"/>
        <v>-30152.747449304265</v>
      </c>
      <c r="P41" s="1071">
        <f t="shared" si="30"/>
        <v>1477484.6250159089</v>
      </c>
      <c r="Q41" s="1075">
        <v>-35790.306013039779</v>
      </c>
      <c r="R41" s="1071">
        <f t="shared" si="31"/>
        <v>1441694.3190028691</v>
      </c>
      <c r="S41" s="1075">
        <f>VLOOKUP($A41,'Table 4 Level 4'!$B$121:$O$177,4,FALSE)</f>
        <v>0</v>
      </c>
      <c r="T41" s="1075">
        <f>'Table 4 Level 4'!O146</f>
        <v>7332</v>
      </c>
      <c r="U41" s="1071">
        <f t="shared" si="45"/>
        <v>1449026.3190028691</v>
      </c>
      <c r="V41" s="1075">
        <f>VLOOKUP($A41,'Table 4 Level 4'!$B$121:$O$177,9,FALSE)</f>
        <v>0</v>
      </c>
      <c r="W41" s="1075">
        <f>VLOOKUP($A41,'Table 4 Level 4'!$B$121:$O$177,11,FALSE)</f>
        <v>10000</v>
      </c>
      <c r="X41" s="1075">
        <f>VLOOKUP($A41,'Table 4 Level 4'!$B$121:$O$177,12,FALSE)</f>
        <v>13353</v>
      </c>
      <c r="Y41" s="1071">
        <f t="shared" si="46"/>
        <v>1472379.3190028691</v>
      </c>
      <c r="Z41" s="1075">
        <f t="shared" si="80"/>
        <v>4809</v>
      </c>
      <c r="AA41" s="1075"/>
      <c r="AB41" s="1076">
        <f t="shared" si="35"/>
        <v>1567734</v>
      </c>
      <c r="AC41" s="1077">
        <f>VLOOKUP($A41,'[1]October midyear adj'!$A$122:$K$178,5,FALSE)</f>
        <v>39</v>
      </c>
      <c r="AD41" s="1073">
        <f t="shared" si="36"/>
        <v>187551</v>
      </c>
      <c r="AE41" s="1077">
        <f>VLOOKUP($A41,'[1]February midyear adj'!$A$122:$K$178,5,FALSE)</f>
        <v>-35</v>
      </c>
      <c r="AF41" s="1073">
        <f t="shared" si="37"/>
        <v>-84157.5</v>
      </c>
      <c r="AG41" s="1074">
        <f t="shared" si="38"/>
        <v>103393.5</v>
      </c>
      <c r="AH41" s="1078">
        <f t="shared" si="39"/>
        <v>1671127.5</v>
      </c>
      <c r="AI41" s="1075">
        <f t="shared" si="47"/>
        <v>-29244.731250000004</v>
      </c>
      <c r="AJ41" s="1075">
        <f t="shared" si="48"/>
        <v>-4177.8187500000004</v>
      </c>
      <c r="AK41" s="1075">
        <f t="shared" si="49"/>
        <v>-33422.550000000003</v>
      </c>
      <c r="AL41" s="1076">
        <f t="shared" si="40"/>
        <v>1637704.95</v>
      </c>
      <c r="AM41" s="1075">
        <v>4196</v>
      </c>
      <c r="AN41" s="1078">
        <f t="shared" si="77"/>
        <v>1641900.95</v>
      </c>
      <c r="AO41" s="1073">
        <f>'[17]RSD Orleans Allocation'!BF39</f>
        <v>997446</v>
      </c>
      <c r="AP41" s="1073">
        <f t="shared" si="41"/>
        <v>644454.94999999995</v>
      </c>
      <c r="AQ41" s="1078">
        <f t="shared" si="79"/>
        <v>161114</v>
      </c>
    </row>
    <row r="42" spans="1:43" s="1048" customFormat="1" ht="16.899999999999999" customHeight="1">
      <c r="A42" s="1079">
        <v>385001</v>
      </c>
      <c r="B42" s="1080" t="s">
        <v>525</v>
      </c>
      <c r="C42" s="1081">
        <f>IFERROR(VLOOKUP(A42,'[18]RSD-NO by Site'!$B$5:$D$62,3,FALSE),"na")</f>
        <v>322</v>
      </c>
      <c r="D42" s="1082">
        <f t="shared" si="24"/>
        <v>3602.7009974327857</v>
      </c>
      <c r="E42" s="1082">
        <f t="shared" si="25"/>
        <v>1160070</v>
      </c>
      <c r="F42" s="1082">
        <v>618.75651162790689</v>
      </c>
      <c r="G42" s="1082">
        <f t="shared" si="26"/>
        <v>199239.59674418601</v>
      </c>
      <c r="H42" s="1083">
        <f t="shared" si="42"/>
        <v>1359309.596744186</v>
      </c>
      <c r="I42" s="1084">
        <f>VLOOKUP($A42,'[1]October midyear adj'!$A$122:$K$178,11,FALSE)</f>
        <v>80207.692672153149</v>
      </c>
      <c r="J42" s="1085">
        <f>VLOOKUP($A42,'[1]February midyear adj'!$A$122:$K$178,11,FALSE)</f>
        <v>31660.93131795519</v>
      </c>
      <c r="K42" s="1086">
        <f t="shared" si="27"/>
        <v>111868.62399010835</v>
      </c>
      <c r="L42" s="1083">
        <f t="shared" si="28"/>
        <v>1471178.2207342943</v>
      </c>
      <c r="M42" s="1085">
        <f t="shared" si="43"/>
        <v>-25745.618862850151</v>
      </c>
      <c r="N42" s="1085">
        <f t="shared" si="44"/>
        <v>-3677.9455518357358</v>
      </c>
      <c r="O42" s="1085">
        <f t="shared" si="29"/>
        <v>-29423.564414685887</v>
      </c>
      <c r="P42" s="1083">
        <f t="shared" si="30"/>
        <v>1441754.6563196084</v>
      </c>
      <c r="Q42" s="1087">
        <v>0</v>
      </c>
      <c r="R42" s="1083">
        <f t="shared" si="31"/>
        <v>1441754.6563196084</v>
      </c>
      <c r="S42" s="1087">
        <f>VLOOKUP($A42,'Table 4 Level 4'!$B$121:$O$177,4,FALSE)</f>
        <v>0</v>
      </c>
      <c r="T42" s="1087">
        <f>'Table 4 Level 4'!O147</f>
        <v>0</v>
      </c>
      <c r="U42" s="1083">
        <f t="shared" si="45"/>
        <v>1441754.6563196084</v>
      </c>
      <c r="V42" s="1087">
        <f>VLOOKUP($A42,'Table 4 Level 4'!$B$121:$O$177,9,FALSE)</f>
        <v>0</v>
      </c>
      <c r="W42" s="1087">
        <f>VLOOKUP($A42,'Table 4 Level 4'!$B$121:$O$177,11,FALSE)</f>
        <v>0</v>
      </c>
      <c r="X42" s="1087">
        <f>VLOOKUP($A42,'Table 4 Level 4'!$B$121:$O$177,12,FALSE)</f>
        <v>26900</v>
      </c>
      <c r="Y42" s="1083">
        <f t="shared" si="46"/>
        <v>1468654.6563196084</v>
      </c>
      <c r="Z42" s="1087">
        <f t="shared" si="80"/>
        <v>4809</v>
      </c>
      <c r="AA42" s="1087"/>
      <c r="AB42" s="1088">
        <f t="shared" si="35"/>
        <v>1548498</v>
      </c>
      <c r="AC42" s="1089">
        <f>VLOOKUP($A42,'[1]October midyear adj'!$A$122:$K$178,5,FALSE)</f>
        <v>19</v>
      </c>
      <c r="AD42" s="1085">
        <f t="shared" si="36"/>
        <v>91371</v>
      </c>
      <c r="AE42" s="1089">
        <f>VLOOKUP($A42,'[1]February midyear adj'!$A$122:$K$178,5,FALSE)</f>
        <v>15</v>
      </c>
      <c r="AF42" s="1085">
        <f t="shared" si="37"/>
        <v>36067.5</v>
      </c>
      <c r="AG42" s="1086">
        <f t="shared" si="38"/>
        <v>127438.5</v>
      </c>
      <c r="AH42" s="1090">
        <f t="shared" si="39"/>
        <v>1675936.5</v>
      </c>
      <c r="AI42" s="1087">
        <f t="shared" si="47"/>
        <v>-29328.888750000002</v>
      </c>
      <c r="AJ42" s="1087">
        <f t="shared" si="48"/>
        <v>-4189.8412500000004</v>
      </c>
      <c r="AK42" s="1087">
        <f t="shared" si="49"/>
        <v>-33518.730000000003</v>
      </c>
      <c r="AL42" s="1088">
        <f t="shared" si="40"/>
        <v>1642417.77</v>
      </c>
      <c r="AM42" s="1087">
        <v>0</v>
      </c>
      <c r="AN42" s="1090">
        <f t="shared" si="77"/>
        <v>1642417.77</v>
      </c>
      <c r="AO42" s="1085">
        <f>'[17]RSD Orleans Allocation'!BF40</f>
        <v>982444</v>
      </c>
      <c r="AP42" s="1085">
        <f t="shared" si="41"/>
        <v>659973.77</v>
      </c>
      <c r="AQ42" s="1090">
        <f t="shared" si="79"/>
        <v>164993</v>
      </c>
    </row>
    <row r="43" spans="1:43" s="1048" customFormat="1" ht="16.899999999999999" customHeight="1">
      <c r="A43" s="1079">
        <v>385002</v>
      </c>
      <c r="B43" s="1080" t="s">
        <v>526</v>
      </c>
      <c r="C43" s="1081">
        <f>IFERROR(VLOOKUP(A43,'[18]RSD-NO by Site'!$B$5:$D$62,3,FALSE),"na")</f>
        <v>493</v>
      </c>
      <c r="D43" s="1082">
        <f t="shared" si="24"/>
        <v>3602.7009974327857</v>
      </c>
      <c r="E43" s="1082">
        <f t="shared" si="25"/>
        <v>1776132</v>
      </c>
      <c r="F43" s="1082">
        <v>746.0335616438357</v>
      </c>
      <c r="G43" s="1082">
        <f t="shared" si="26"/>
        <v>367794.54589041101</v>
      </c>
      <c r="H43" s="1083">
        <f t="shared" si="42"/>
        <v>2143926.5458904109</v>
      </c>
      <c r="I43" s="1084">
        <f>VLOOKUP($A43,'[1]October midyear adj'!$A$122:$K$178,11,FALSE)</f>
        <v>-126113.30221322204</v>
      </c>
      <c r="J43" s="1085">
        <f>VLOOKUP($A43,'[1]February midyear adj'!$A$122:$K$178,11,FALSE)</f>
        <v>0</v>
      </c>
      <c r="K43" s="1086">
        <f t="shared" si="27"/>
        <v>-126113.30221322204</v>
      </c>
      <c r="L43" s="1083">
        <f t="shared" si="28"/>
        <v>2017813.2436771889</v>
      </c>
      <c r="M43" s="1085">
        <f t="shared" si="43"/>
        <v>-35311.731764350807</v>
      </c>
      <c r="N43" s="1085">
        <f t="shared" si="44"/>
        <v>-5044.533109192972</v>
      </c>
      <c r="O43" s="1085">
        <f t="shared" si="29"/>
        <v>-40356.264873543776</v>
      </c>
      <c r="P43" s="1083">
        <f t="shared" si="30"/>
        <v>1977456.9788036451</v>
      </c>
      <c r="Q43" s="1087">
        <v>0</v>
      </c>
      <c r="R43" s="1083">
        <f t="shared" si="31"/>
        <v>1977456.9788036451</v>
      </c>
      <c r="S43" s="1087">
        <f>VLOOKUP($A43,'Table 4 Level 4'!$B$121:$O$177,4,FALSE)</f>
        <v>0</v>
      </c>
      <c r="T43" s="1087">
        <f>'Table 4 Level 4'!O148</f>
        <v>11518</v>
      </c>
      <c r="U43" s="1083">
        <f t="shared" si="45"/>
        <v>1988974.9788036451</v>
      </c>
      <c r="V43" s="1087">
        <f>VLOOKUP($A43,'Table 4 Level 4'!$B$121:$O$177,9,FALSE)</f>
        <v>0</v>
      </c>
      <c r="W43" s="1087">
        <f>VLOOKUP($A43,'Table 4 Level 4'!$B$121:$O$177,11,FALSE)</f>
        <v>10000</v>
      </c>
      <c r="X43" s="1087">
        <f>VLOOKUP($A43,'Table 4 Level 4'!$B$121:$O$177,12,FALSE)</f>
        <v>35644</v>
      </c>
      <c r="Y43" s="1083">
        <f t="shared" si="46"/>
        <v>2034618.9788036451</v>
      </c>
      <c r="Z43" s="1087">
        <f t="shared" si="80"/>
        <v>4809</v>
      </c>
      <c r="AA43" s="1087"/>
      <c r="AB43" s="1088">
        <f t="shared" si="35"/>
        <v>2370837</v>
      </c>
      <c r="AC43" s="1089">
        <f>VLOOKUP($A43,'[1]October midyear adj'!$A$122:$K$178,5,FALSE)</f>
        <v>-29</v>
      </c>
      <c r="AD43" s="1085">
        <f t="shared" si="36"/>
        <v>-139461</v>
      </c>
      <c r="AE43" s="1089">
        <f>VLOOKUP($A43,'[1]February midyear adj'!$A$122:$K$178,5,FALSE)</f>
        <v>0</v>
      </c>
      <c r="AF43" s="1085">
        <f t="shared" si="37"/>
        <v>0</v>
      </c>
      <c r="AG43" s="1086">
        <f t="shared" si="38"/>
        <v>-139461</v>
      </c>
      <c r="AH43" s="1090">
        <f t="shared" si="39"/>
        <v>2231376</v>
      </c>
      <c r="AI43" s="1087">
        <f t="shared" si="47"/>
        <v>-39049.08</v>
      </c>
      <c r="AJ43" s="1087">
        <f t="shared" si="48"/>
        <v>-5578.4400000000005</v>
      </c>
      <c r="AK43" s="1087">
        <f t="shared" si="49"/>
        <v>-44627.520000000004</v>
      </c>
      <c r="AL43" s="1088">
        <f t="shared" si="40"/>
        <v>2186748.48</v>
      </c>
      <c r="AM43" s="1087">
        <v>0</v>
      </c>
      <c r="AN43" s="1090">
        <f t="shared" si="77"/>
        <v>2186748.48</v>
      </c>
      <c r="AO43" s="1085">
        <f>'[17]RSD Orleans Allocation'!BF41</f>
        <v>1504176</v>
      </c>
      <c r="AP43" s="1085">
        <f t="shared" si="41"/>
        <v>682572.48</v>
      </c>
      <c r="AQ43" s="1090">
        <f t="shared" si="79"/>
        <v>170643</v>
      </c>
    </row>
    <row r="44" spans="1:43" s="1048" customFormat="1" ht="16.899999999999999" customHeight="1">
      <c r="A44" s="1091">
        <v>385003</v>
      </c>
      <c r="B44" s="1092" t="s">
        <v>779</v>
      </c>
      <c r="C44" s="1081">
        <f>IFERROR(VLOOKUP(A44,'[18]RSD-NO by Site'!$B$5:$D$62,3,FALSE),"na")</f>
        <v>278</v>
      </c>
      <c r="D44" s="1082">
        <f t="shared" si="24"/>
        <v>3602.7009974327857</v>
      </c>
      <c r="E44" s="1082">
        <f t="shared" si="25"/>
        <v>1001551</v>
      </c>
      <c r="F44" s="1087">
        <v>746.0335616438357</v>
      </c>
      <c r="G44" s="1082">
        <f t="shared" si="26"/>
        <v>207397.33013698633</v>
      </c>
      <c r="H44" s="1083">
        <f t="shared" si="42"/>
        <v>1208948.3301369864</v>
      </c>
      <c r="I44" s="1084">
        <f>VLOOKUP($A44,'[1]October midyear adj'!$A$122:$K$178,11,FALSE)</f>
        <v>482709.536057505</v>
      </c>
      <c r="J44" s="1085">
        <f>VLOOKUP($A44,'[1]February midyear adj'!$A$122:$K$178,11,FALSE)</f>
        <v>6523.1018386149326</v>
      </c>
      <c r="K44" s="1086">
        <f t="shared" si="27"/>
        <v>489232.63789611991</v>
      </c>
      <c r="L44" s="1083">
        <f t="shared" si="28"/>
        <v>1698180.9680331063</v>
      </c>
      <c r="M44" s="1085">
        <f t="shared" si="43"/>
        <v>-29718.166940579362</v>
      </c>
      <c r="N44" s="1085">
        <f t="shared" si="44"/>
        <v>-4245.4524200827655</v>
      </c>
      <c r="O44" s="1085">
        <f t="shared" si="29"/>
        <v>-33963.619360662124</v>
      </c>
      <c r="P44" s="1083">
        <f t="shared" si="30"/>
        <v>1664217.3486724442</v>
      </c>
      <c r="Q44" s="1087">
        <v>0</v>
      </c>
      <c r="R44" s="1083">
        <f t="shared" si="31"/>
        <v>1664217.3486724442</v>
      </c>
      <c r="S44" s="1087">
        <f>VLOOKUP($A44,'Table 4 Level 4'!$B$121:$O$177,4,FALSE)</f>
        <v>0</v>
      </c>
      <c r="T44" s="1087">
        <f>'Table 4 Level 4'!O149</f>
        <v>0</v>
      </c>
      <c r="U44" s="1083">
        <f t="shared" si="45"/>
        <v>1664217.3486724442</v>
      </c>
      <c r="V44" s="1087">
        <f>VLOOKUP($A44,'Table 4 Level 4'!$B$121:$O$177,9,FALSE)</f>
        <v>0</v>
      </c>
      <c r="W44" s="1087">
        <f>VLOOKUP($A44,'Table 4 Level 4'!$B$121:$O$177,11,FALSE)</f>
        <v>0</v>
      </c>
      <c r="X44" s="1087">
        <f>VLOOKUP($A44,'Table 4 Level 4'!$B$121:$O$177,12,FALSE)</f>
        <v>12057</v>
      </c>
      <c r="Y44" s="1083">
        <f t="shared" si="46"/>
        <v>1676274.3486724442</v>
      </c>
      <c r="Z44" s="1087">
        <f t="shared" si="80"/>
        <v>4809</v>
      </c>
      <c r="AA44" s="1087"/>
      <c r="AB44" s="1088">
        <f t="shared" si="35"/>
        <v>1336902</v>
      </c>
      <c r="AC44" s="1089">
        <f>VLOOKUP($A44,'[1]October midyear adj'!$A$122:$K$178,5,FALSE)</f>
        <v>111</v>
      </c>
      <c r="AD44" s="1085">
        <f t="shared" si="36"/>
        <v>533799</v>
      </c>
      <c r="AE44" s="1089">
        <f>VLOOKUP($A44,'[1]February midyear adj'!$A$122:$K$178,5,FALSE)</f>
        <v>3</v>
      </c>
      <c r="AF44" s="1085">
        <f t="shared" si="37"/>
        <v>7213.5</v>
      </c>
      <c r="AG44" s="1086">
        <f t="shared" si="38"/>
        <v>541012.5</v>
      </c>
      <c r="AH44" s="1090">
        <f t="shared" si="39"/>
        <v>1877914.5</v>
      </c>
      <c r="AI44" s="1087">
        <f t="shared" si="47"/>
        <v>-32863.503750000003</v>
      </c>
      <c r="AJ44" s="1087">
        <f t="shared" si="48"/>
        <v>-4694.7862500000001</v>
      </c>
      <c r="AK44" s="1087">
        <f t="shared" si="49"/>
        <v>-37558.29</v>
      </c>
      <c r="AL44" s="1088">
        <f t="shared" si="40"/>
        <v>1840356.21</v>
      </c>
      <c r="AM44" s="1087">
        <v>0</v>
      </c>
      <c r="AN44" s="1090">
        <f t="shared" si="77"/>
        <v>1840356.21</v>
      </c>
      <c r="AO44" s="1085">
        <f>'[17]RSD Orleans Allocation'!BF42</f>
        <v>848196</v>
      </c>
      <c r="AP44" s="1085">
        <f t="shared" si="41"/>
        <v>992160.21</v>
      </c>
      <c r="AQ44" s="1090">
        <f t="shared" si="79"/>
        <v>248040</v>
      </c>
    </row>
    <row r="45" spans="1:43" s="1048" customFormat="1" ht="16.899999999999999" customHeight="1">
      <c r="A45" s="1093">
        <v>388001</v>
      </c>
      <c r="B45" s="1094" t="s">
        <v>527</v>
      </c>
      <c r="C45" s="1095">
        <f>IFERROR(VLOOKUP(A45,'[18]RSD-NO by Site'!$B$5:$D$62,3,FALSE),"na")</f>
        <v>599</v>
      </c>
      <c r="D45" s="1096">
        <f t="shared" si="24"/>
        <v>3602.7009974327857</v>
      </c>
      <c r="E45" s="1096">
        <f t="shared" si="25"/>
        <v>2158018</v>
      </c>
      <c r="F45" s="1097">
        <v>708.2132751810401</v>
      </c>
      <c r="G45" s="1096">
        <f t="shared" ref="G45" si="84">F45*C45</f>
        <v>424219.75183344301</v>
      </c>
      <c r="H45" s="1098">
        <f t="shared" ref="H45" si="85">E45+G45</f>
        <v>2582237.7518334431</v>
      </c>
      <c r="I45" s="1099">
        <f>VLOOKUP($A45,'[1]October midyear adj'!$A$122:$K$178,11,FALSE)</f>
        <v>38798.228453524433</v>
      </c>
      <c r="J45" s="1100">
        <f>VLOOKUP($A45,'[1]February midyear adj'!$A$122:$K$178,11,FALSE)</f>
        <v>4310.9142726138261</v>
      </c>
      <c r="K45" s="1101">
        <f t="shared" si="27"/>
        <v>43109.142726138256</v>
      </c>
      <c r="L45" s="1098">
        <f t="shared" si="28"/>
        <v>2625346.8945595813</v>
      </c>
      <c r="M45" s="1100">
        <f t="shared" si="43"/>
        <v>-45943.570654792675</v>
      </c>
      <c r="N45" s="1100">
        <f t="shared" si="44"/>
        <v>-6563.3672363989535</v>
      </c>
      <c r="O45" s="1100">
        <f t="shared" si="29"/>
        <v>-52506.937891191628</v>
      </c>
      <c r="P45" s="1098">
        <f t="shared" si="30"/>
        <v>2572839.9566683895</v>
      </c>
      <c r="Q45" s="1097">
        <v>0</v>
      </c>
      <c r="R45" s="1098">
        <f t="shared" si="31"/>
        <v>2572839.9566683895</v>
      </c>
      <c r="S45" s="1097">
        <f>VLOOKUP($A45,'Table 4 Level 4'!$B$121:$O$177,4,FALSE)</f>
        <v>0</v>
      </c>
      <c r="T45" s="1097">
        <f>'Table 4 Level 4'!O150</f>
        <v>3640</v>
      </c>
      <c r="U45" s="1098">
        <f t="shared" si="45"/>
        <v>2576479.9566683895</v>
      </c>
      <c r="V45" s="1097">
        <f>VLOOKUP($A45,'Table 4 Level 4'!$B$121:$O$177,9,FALSE)</f>
        <v>0</v>
      </c>
      <c r="W45" s="1097">
        <f>VLOOKUP($A45,'Table 4 Level 4'!$B$121:$O$177,11,FALSE)</f>
        <v>0</v>
      </c>
      <c r="X45" s="1097">
        <f>VLOOKUP($A45,'Table 4 Level 4'!$B$121:$O$177,12,FALSE)</f>
        <v>61536</v>
      </c>
      <c r="Y45" s="1098">
        <f t="shared" si="46"/>
        <v>2638015.9566683895</v>
      </c>
      <c r="Z45" s="1097">
        <f t="shared" si="80"/>
        <v>4809</v>
      </c>
      <c r="AA45" s="1097"/>
      <c r="AB45" s="1102">
        <f t="shared" si="35"/>
        <v>2880591</v>
      </c>
      <c r="AC45" s="1103">
        <f>VLOOKUP($A45,'[1]October midyear adj'!$A$122:$K$178,5,FALSE)</f>
        <v>9</v>
      </c>
      <c r="AD45" s="1100">
        <f t="shared" si="36"/>
        <v>43281</v>
      </c>
      <c r="AE45" s="1103">
        <f>VLOOKUP($A45,'[1]February midyear adj'!$A$122:$K$178,5,FALSE)</f>
        <v>2</v>
      </c>
      <c r="AF45" s="1100">
        <f t="shared" si="37"/>
        <v>4809</v>
      </c>
      <c r="AG45" s="1101">
        <f t="shared" si="38"/>
        <v>48090</v>
      </c>
      <c r="AH45" s="1104">
        <f t="shared" si="39"/>
        <v>2928681</v>
      </c>
      <c r="AI45" s="1097">
        <f t="shared" si="47"/>
        <v>-51251.917500000003</v>
      </c>
      <c r="AJ45" s="1097">
        <f t="shared" si="48"/>
        <v>-7321.7025000000003</v>
      </c>
      <c r="AK45" s="1097">
        <f t="shared" si="49"/>
        <v>-58573.62</v>
      </c>
      <c r="AL45" s="1102">
        <f t="shared" si="40"/>
        <v>2870107.38</v>
      </c>
      <c r="AM45" s="1097">
        <v>0</v>
      </c>
      <c r="AN45" s="1104">
        <f t="shared" si="77"/>
        <v>2870107.38</v>
      </c>
      <c r="AO45" s="1100">
        <f>'[17]RSD Orleans Allocation'!BF43</f>
        <v>1827590</v>
      </c>
      <c r="AP45" s="1100">
        <f t="shared" si="41"/>
        <v>1042517.3799999999</v>
      </c>
      <c r="AQ45" s="1104">
        <f t="shared" si="79"/>
        <v>260629</v>
      </c>
    </row>
    <row r="46" spans="1:43" s="1048" customFormat="1" ht="28.15" customHeight="1">
      <c r="A46" s="1067">
        <v>390001</v>
      </c>
      <c r="B46" s="1068" t="s">
        <v>738</v>
      </c>
      <c r="C46" s="1069">
        <f>IFERROR(VLOOKUP(A46,'[18]RSD-NO by Site'!$B$5:$D$62,3,FALSE),"na")</f>
        <v>511</v>
      </c>
      <c r="D46" s="1070">
        <f t="shared" si="24"/>
        <v>3602.7009974327857</v>
      </c>
      <c r="E46" s="1070">
        <f t="shared" si="25"/>
        <v>1840980</v>
      </c>
      <c r="F46" s="1070">
        <v>650.55234865477053</v>
      </c>
      <c r="G46" s="1070">
        <f t="shared" si="26"/>
        <v>332432.25016258773</v>
      </c>
      <c r="H46" s="1071">
        <f t="shared" si="42"/>
        <v>2173412.2501625875</v>
      </c>
      <c r="I46" s="1072">
        <f>VLOOKUP($A46,'[1]October midyear adj'!$A$122:$K$178,11,FALSE)</f>
        <v>-148863.86711306448</v>
      </c>
      <c r="J46" s="1073">
        <f>VLOOKUP($A46,'[1]February midyear adj'!$A$122:$K$178,11,FALSE)</f>
        <v>10633.133365218891</v>
      </c>
      <c r="K46" s="1074">
        <f t="shared" si="27"/>
        <v>-138230.73374784557</v>
      </c>
      <c r="L46" s="1071">
        <f t="shared" si="28"/>
        <v>2035181.516414742</v>
      </c>
      <c r="M46" s="1073">
        <f t="shared" si="43"/>
        <v>-35615.67653725799</v>
      </c>
      <c r="N46" s="1073">
        <f t="shared" si="44"/>
        <v>-5087.9537910368554</v>
      </c>
      <c r="O46" s="1073">
        <f t="shared" si="29"/>
        <v>-40703.630328294843</v>
      </c>
      <c r="P46" s="1071">
        <f t="shared" si="30"/>
        <v>1994477.8860864472</v>
      </c>
      <c r="Q46" s="1075">
        <v>0</v>
      </c>
      <c r="R46" s="1071">
        <f t="shared" si="31"/>
        <v>1994477.8860864472</v>
      </c>
      <c r="S46" s="1075">
        <f>VLOOKUP($A46,'Table 4 Level 4'!$B$121:$O$177,4,FALSE)</f>
        <v>0</v>
      </c>
      <c r="T46" s="1075">
        <f>'Table 4 Level 4'!O151</f>
        <v>2522</v>
      </c>
      <c r="U46" s="1071">
        <f t="shared" si="45"/>
        <v>1996999.8860864472</v>
      </c>
      <c r="V46" s="1075">
        <f>VLOOKUP($A46,'Table 4 Level 4'!$B$121:$O$177,9,FALSE)</f>
        <v>0</v>
      </c>
      <c r="W46" s="1075">
        <f>VLOOKUP($A46,'Table 4 Level 4'!$B$121:$O$177,11,FALSE)</f>
        <v>0</v>
      </c>
      <c r="X46" s="1075">
        <f>VLOOKUP($A46,'Table 4 Level 4'!$B$121:$O$177,12,FALSE)</f>
        <v>0</v>
      </c>
      <c r="Y46" s="1071">
        <f t="shared" si="46"/>
        <v>1996999.8860864472</v>
      </c>
      <c r="Z46" s="1075"/>
      <c r="AA46" s="1075">
        <f>+$AA$4</f>
        <v>5469</v>
      </c>
      <c r="AB46" s="1076">
        <f t="shared" si="35"/>
        <v>2794659</v>
      </c>
      <c r="AC46" s="1077">
        <f>VLOOKUP($A46,'[1]October midyear adj'!$A$122:$K$178,5,FALSE)</f>
        <v>-35</v>
      </c>
      <c r="AD46" s="1073">
        <f t="shared" si="36"/>
        <v>-191415</v>
      </c>
      <c r="AE46" s="1077">
        <f>VLOOKUP($A46,'[1]February midyear adj'!$A$122:$K$178,5,FALSE)</f>
        <v>5</v>
      </c>
      <c r="AF46" s="1073">
        <f t="shared" si="37"/>
        <v>13672.5</v>
      </c>
      <c r="AG46" s="1074">
        <f t="shared" si="38"/>
        <v>-177742.5</v>
      </c>
      <c r="AH46" s="1078">
        <f t="shared" si="39"/>
        <v>2616916.5</v>
      </c>
      <c r="AI46" s="1075">
        <f t="shared" si="47"/>
        <v>-45796.038750000007</v>
      </c>
      <c r="AJ46" s="1075">
        <f t="shared" si="48"/>
        <v>-6542.2912500000002</v>
      </c>
      <c r="AK46" s="1075">
        <f t="shared" si="49"/>
        <v>-52338.330000000009</v>
      </c>
      <c r="AL46" s="1076">
        <f t="shared" si="40"/>
        <v>2564578.17</v>
      </c>
      <c r="AM46" s="1075">
        <v>0</v>
      </c>
      <c r="AN46" s="1078">
        <f t="shared" si="77"/>
        <v>2564578.17</v>
      </c>
      <c r="AO46" s="1073">
        <f>'[17]RSD Orleans Allocation'!BF44</f>
        <v>1814494</v>
      </c>
      <c r="AP46" s="1073">
        <f t="shared" si="41"/>
        <v>750084.16999999993</v>
      </c>
      <c r="AQ46" s="1078">
        <f t="shared" si="79"/>
        <v>187521</v>
      </c>
    </row>
    <row r="47" spans="1:43" s="1048" customFormat="1" ht="16.899999999999999" customHeight="1">
      <c r="A47" s="1079">
        <v>391001</v>
      </c>
      <c r="B47" s="1080" t="s">
        <v>583</v>
      </c>
      <c r="C47" s="1081">
        <f>IFERROR(VLOOKUP(A47,'[18]RSD-NO by Site'!$B$5:$D$62,3,FALSE),"na")</f>
        <v>738</v>
      </c>
      <c r="D47" s="1082">
        <f t="shared" si="24"/>
        <v>3602.7009974327857</v>
      </c>
      <c r="E47" s="1082">
        <f t="shared" si="25"/>
        <v>2658793</v>
      </c>
      <c r="F47" s="1082">
        <v>721.28337970262919</v>
      </c>
      <c r="G47" s="1082">
        <f t="shared" si="26"/>
        <v>532307.13422054029</v>
      </c>
      <c r="H47" s="1083">
        <f t="shared" si="42"/>
        <v>3191100.1342205405</v>
      </c>
      <c r="I47" s="1084">
        <f>VLOOKUP($A47,'[1]October midyear adj'!$A$122:$K$178,11,FALSE)</f>
        <v>-51887.812525624984</v>
      </c>
      <c r="J47" s="1085">
        <f>VLOOKUP($A47,'[1]February midyear adj'!$A$122:$K$178,11,FALSE)</f>
        <v>-10809.960942838537</v>
      </c>
      <c r="K47" s="1086">
        <f t="shared" si="27"/>
        <v>-62697.773468463522</v>
      </c>
      <c r="L47" s="1083">
        <f t="shared" si="28"/>
        <v>3128402.3607520768</v>
      </c>
      <c r="M47" s="1085">
        <f t="shared" si="43"/>
        <v>-54747.041313161353</v>
      </c>
      <c r="N47" s="1085">
        <f t="shared" si="44"/>
        <v>-7821.0059018801921</v>
      </c>
      <c r="O47" s="1085">
        <f t="shared" si="29"/>
        <v>-62568.047215041544</v>
      </c>
      <c r="P47" s="1083">
        <f t="shared" si="30"/>
        <v>3065834.3135370351</v>
      </c>
      <c r="Q47" s="1087">
        <v>0</v>
      </c>
      <c r="R47" s="1083">
        <f t="shared" si="31"/>
        <v>3065834.3135370351</v>
      </c>
      <c r="S47" s="1087">
        <f>VLOOKUP($A47,'Table 4 Level 4'!$B$121:$O$177,4,FALSE)</f>
        <v>0</v>
      </c>
      <c r="T47" s="1087">
        <f>'Table 4 Level 4'!O152</f>
        <v>6942</v>
      </c>
      <c r="U47" s="1083">
        <f t="shared" si="45"/>
        <v>3072776.3135370351</v>
      </c>
      <c r="V47" s="1087">
        <f>VLOOKUP($A47,'Table 4 Level 4'!$B$121:$O$177,9,FALSE)</f>
        <v>0</v>
      </c>
      <c r="W47" s="1087">
        <f>VLOOKUP($A47,'Table 4 Level 4'!$B$121:$O$177,11,FALSE)</f>
        <v>10000</v>
      </c>
      <c r="X47" s="1087">
        <f>VLOOKUP($A47,'Table 4 Level 4'!$B$121:$O$177,12,FALSE)</f>
        <v>0</v>
      </c>
      <c r="Y47" s="1083">
        <f t="shared" si="46"/>
        <v>3082776.3135370351</v>
      </c>
      <c r="Z47" s="1087">
        <f t="shared" ref="Z47:Z72" si="86">+$Z$4</f>
        <v>4809</v>
      </c>
      <c r="AA47" s="1087"/>
      <c r="AB47" s="1088">
        <f t="shared" si="35"/>
        <v>3549042</v>
      </c>
      <c r="AC47" s="1089">
        <f>VLOOKUP($A47,'[1]October midyear adj'!$A$122:$K$178,5,FALSE)</f>
        <v>-12</v>
      </c>
      <c r="AD47" s="1085">
        <f t="shared" si="36"/>
        <v>-57708</v>
      </c>
      <c r="AE47" s="1089">
        <f>VLOOKUP($A47,'[1]February midyear adj'!$A$122:$K$178,5,FALSE)</f>
        <v>-5</v>
      </c>
      <c r="AF47" s="1085">
        <f t="shared" si="37"/>
        <v>-12022.5</v>
      </c>
      <c r="AG47" s="1086">
        <f t="shared" si="38"/>
        <v>-69730.5</v>
      </c>
      <c r="AH47" s="1090">
        <f t="shared" si="39"/>
        <v>3479311.5</v>
      </c>
      <c r="AI47" s="1087">
        <f t="shared" si="47"/>
        <v>-60887.951250000006</v>
      </c>
      <c r="AJ47" s="1087">
        <f t="shared" si="48"/>
        <v>-8698.2787499999995</v>
      </c>
      <c r="AK47" s="1087">
        <f t="shared" si="49"/>
        <v>-69586.23000000001</v>
      </c>
      <c r="AL47" s="1088">
        <f t="shared" si="40"/>
        <v>3409725.27</v>
      </c>
      <c r="AM47" s="1087">
        <v>0</v>
      </c>
      <c r="AN47" s="1090">
        <f t="shared" si="77"/>
        <v>3409725.27</v>
      </c>
      <c r="AO47" s="1085">
        <f>'[17]RSD Orleans Allocation'!BF45</f>
        <v>2251688</v>
      </c>
      <c r="AP47" s="1085">
        <f t="shared" si="41"/>
        <v>1158037.27</v>
      </c>
      <c r="AQ47" s="1090">
        <f t="shared" si="79"/>
        <v>289509</v>
      </c>
    </row>
    <row r="48" spans="1:43" s="1048" customFormat="1" ht="16.899999999999999" customHeight="1">
      <c r="A48" s="1079">
        <v>391002</v>
      </c>
      <c r="B48" s="1080" t="s">
        <v>528</v>
      </c>
      <c r="C48" s="1081">
        <f>IFERROR(VLOOKUP(A48,'[18]RSD-NO by Site'!$B$5:$D$62,3,FALSE),"na")</f>
        <v>377</v>
      </c>
      <c r="D48" s="1082">
        <f t="shared" ref="D48:D72" si="87">$D$4</f>
        <v>3602.7009974327857</v>
      </c>
      <c r="E48" s="1082">
        <f>ROUND(C48*D48,0)</f>
        <v>1358218</v>
      </c>
      <c r="F48" s="1082">
        <v>746.0335616438357</v>
      </c>
      <c r="G48" s="1082">
        <f>F48*C48</f>
        <v>281254.65273972607</v>
      </c>
      <c r="H48" s="1083">
        <f>E48+G48</f>
        <v>1639472.652739726</v>
      </c>
      <c r="I48" s="1084">
        <f>VLOOKUP($A48,'[1]October midyear adj'!$A$122:$K$178,11,FALSE)</f>
        <v>56533.549267996081</v>
      </c>
      <c r="J48" s="1085">
        <f>VLOOKUP($A48,'[1]February midyear adj'!$A$122:$K$178,11,FALSE)</f>
        <v>-63056.651106611018</v>
      </c>
      <c r="K48" s="1086">
        <f t="shared" si="27"/>
        <v>-6523.1018386149372</v>
      </c>
      <c r="L48" s="1083">
        <f t="shared" si="28"/>
        <v>1632949.550901111</v>
      </c>
      <c r="M48" s="1085">
        <f t="shared" si="43"/>
        <v>-28576.617140769446</v>
      </c>
      <c r="N48" s="1085">
        <f t="shared" si="44"/>
        <v>-4082.3738772527777</v>
      </c>
      <c r="O48" s="1085">
        <f t="shared" si="29"/>
        <v>-32658.991018022221</v>
      </c>
      <c r="P48" s="1083">
        <f t="shared" si="30"/>
        <v>1600290.5598830888</v>
      </c>
      <c r="Q48" s="1087">
        <v>0</v>
      </c>
      <c r="R48" s="1083">
        <f t="shared" ref="R48:R72" si="88">P48+Q48</f>
        <v>1600290.5598830888</v>
      </c>
      <c r="S48" s="1087">
        <f>VLOOKUP($A48,'Table 4 Level 4'!$B$121:$O$177,4,FALSE)</f>
        <v>0</v>
      </c>
      <c r="T48" s="1087">
        <f>'Table 4 Level 4'!O153</f>
        <v>2054</v>
      </c>
      <c r="U48" s="1083">
        <f t="shared" si="45"/>
        <v>1602344.5598830888</v>
      </c>
      <c r="V48" s="1087">
        <f>VLOOKUP($A48,'Table 4 Level 4'!$B$121:$O$177,9,FALSE)</f>
        <v>0</v>
      </c>
      <c r="W48" s="1087">
        <f>VLOOKUP($A48,'Table 4 Level 4'!$B$121:$O$177,11,FALSE)</f>
        <v>0</v>
      </c>
      <c r="X48" s="1087">
        <f>VLOOKUP($A48,'Table 4 Level 4'!$B$121:$O$177,12,FALSE)</f>
        <v>29395</v>
      </c>
      <c r="Y48" s="1083">
        <f t="shared" si="46"/>
        <v>1631739.5598830888</v>
      </c>
      <c r="Z48" s="1087">
        <f t="shared" si="86"/>
        <v>4809</v>
      </c>
      <c r="AA48" s="1087"/>
      <c r="AB48" s="1088">
        <f t="shared" ref="AB48:AB72" si="89">IF(Z48=0,AA48*C48,Z48*C48)</f>
        <v>1812993</v>
      </c>
      <c r="AC48" s="1089">
        <f>VLOOKUP($A48,'[1]October midyear adj'!$A$122:$K$178,5,FALSE)</f>
        <v>13</v>
      </c>
      <c r="AD48" s="1085">
        <f t="shared" ref="AD48:AD72" si="90">IF(Z48=0,AA48*AC48,Z48*AC48)</f>
        <v>62517</v>
      </c>
      <c r="AE48" s="1089">
        <f>VLOOKUP($A48,'[1]February midyear adj'!$A$122:$K$178,5,FALSE)</f>
        <v>-29</v>
      </c>
      <c r="AF48" s="1085">
        <f t="shared" ref="AF48:AF72" si="91">IF(Z48=0,AA48*AE48*0.5,Z48*AE48*0.5)</f>
        <v>-69730.5</v>
      </c>
      <c r="AG48" s="1086">
        <f t="shared" si="38"/>
        <v>-7213.5</v>
      </c>
      <c r="AH48" s="1090">
        <f t="shared" si="39"/>
        <v>1805779.5</v>
      </c>
      <c r="AI48" s="1087">
        <f t="shared" si="47"/>
        <v>-31601.141250000004</v>
      </c>
      <c r="AJ48" s="1087">
        <f t="shared" si="48"/>
        <v>-4514.4487500000005</v>
      </c>
      <c r="AK48" s="1087">
        <f t="shared" si="49"/>
        <v>-36115.590000000004</v>
      </c>
      <c r="AL48" s="1088">
        <f t="shared" si="40"/>
        <v>1769663.91</v>
      </c>
      <c r="AM48" s="1087">
        <v>0</v>
      </c>
      <c r="AN48" s="1090">
        <f t="shared" si="77"/>
        <v>1769663.91</v>
      </c>
      <c r="AO48" s="1085">
        <f>'[17]RSD Orleans Allocation'!BF46</f>
        <v>1150253</v>
      </c>
      <c r="AP48" s="1085">
        <f t="shared" si="41"/>
        <v>619410.90999999992</v>
      </c>
      <c r="AQ48" s="1090">
        <f t="shared" si="79"/>
        <v>154853</v>
      </c>
    </row>
    <row r="49" spans="1:43" s="1118" customFormat="1" ht="16.899999999999999" customHeight="1">
      <c r="A49" s="1091">
        <v>392001</v>
      </c>
      <c r="B49" s="1092" t="s">
        <v>584</v>
      </c>
      <c r="C49" s="1081">
        <f>IFERROR(VLOOKUP(A49,'[18]RSD-NO by Site'!$B$5:$D$62,3,FALSE),"na")</f>
        <v>449</v>
      </c>
      <c r="D49" s="1082">
        <f t="shared" si="87"/>
        <v>3602.7009974327857</v>
      </c>
      <c r="E49" s="1082">
        <f t="shared" si="25"/>
        <v>1617613</v>
      </c>
      <c r="F49" s="1087">
        <v>600.21655982905986</v>
      </c>
      <c r="G49" s="1082">
        <f t="shared" si="26"/>
        <v>269497.23536324786</v>
      </c>
      <c r="H49" s="1083">
        <f t="shared" si="42"/>
        <v>1887110.2353632478</v>
      </c>
      <c r="I49" s="1084">
        <f>VLOOKUP($A49,'[1]October midyear adj'!$A$122:$K$178,11,FALSE)</f>
        <v>-4202.917557261846</v>
      </c>
      <c r="J49" s="1085">
        <f>VLOOKUP($A49,'[1]February midyear adj'!$A$122:$K$178,11,FALSE)</f>
        <v>12608.752671785538</v>
      </c>
      <c r="K49" s="1086">
        <f t="shared" si="27"/>
        <v>8405.835114523692</v>
      </c>
      <c r="L49" s="1083">
        <f t="shared" si="28"/>
        <v>1895516.0704777716</v>
      </c>
      <c r="M49" s="1085">
        <f t="shared" si="43"/>
        <v>-33171.531233361005</v>
      </c>
      <c r="N49" s="1085">
        <f t="shared" si="44"/>
        <v>-4738.7901761944295</v>
      </c>
      <c r="O49" s="1085">
        <f t="shared" si="29"/>
        <v>-37910.321409555436</v>
      </c>
      <c r="P49" s="1083">
        <f t="shared" si="30"/>
        <v>1857605.7490682162</v>
      </c>
      <c r="Q49" s="1087">
        <v>0</v>
      </c>
      <c r="R49" s="1083">
        <f t="shared" si="88"/>
        <v>1857605.7490682162</v>
      </c>
      <c r="S49" s="1087">
        <f>VLOOKUP($A49,'Table 4 Level 4'!$B$121:$O$177,4,FALSE)</f>
        <v>0</v>
      </c>
      <c r="T49" s="1087">
        <f>'Table 4 Level 4'!O154</f>
        <v>2678</v>
      </c>
      <c r="U49" s="1083">
        <f t="shared" si="45"/>
        <v>1860283.7490682162</v>
      </c>
      <c r="V49" s="1087">
        <f>VLOOKUP($A49,'Table 4 Level 4'!$B$121:$O$177,9,FALSE)</f>
        <v>0</v>
      </c>
      <c r="W49" s="1087">
        <f>VLOOKUP($A49,'Table 4 Level 4'!$B$121:$O$177,11,FALSE)</f>
        <v>0</v>
      </c>
      <c r="X49" s="1087">
        <f>VLOOKUP($A49,'Table 4 Level 4'!$B$121:$O$177,12,FALSE)</f>
        <v>0</v>
      </c>
      <c r="Y49" s="1083">
        <f t="shared" si="46"/>
        <v>1860283.7490682162</v>
      </c>
      <c r="Z49" s="1087">
        <f t="shared" si="86"/>
        <v>4809</v>
      </c>
      <c r="AA49" s="1087"/>
      <c r="AB49" s="1088">
        <f t="shared" si="89"/>
        <v>2159241</v>
      </c>
      <c r="AC49" s="1089">
        <f>VLOOKUP($A49,'[1]October midyear adj'!$A$122:$K$178,5,FALSE)</f>
        <v>-1</v>
      </c>
      <c r="AD49" s="1085">
        <f t="shared" si="90"/>
        <v>-4809</v>
      </c>
      <c r="AE49" s="1089">
        <f>VLOOKUP($A49,'[1]February midyear adj'!$A$122:$K$178,5,FALSE)</f>
        <v>6</v>
      </c>
      <c r="AF49" s="1085">
        <f t="shared" si="91"/>
        <v>14427</v>
      </c>
      <c r="AG49" s="1086">
        <f t="shared" si="38"/>
        <v>9618</v>
      </c>
      <c r="AH49" s="1090">
        <f t="shared" si="39"/>
        <v>2168859</v>
      </c>
      <c r="AI49" s="1087">
        <f t="shared" si="47"/>
        <v>-37955.032500000001</v>
      </c>
      <c r="AJ49" s="1087">
        <f t="shared" si="48"/>
        <v>-5422.1475</v>
      </c>
      <c r="AK49" s="1087">
        <f t="shared" si="49"/>
        <v>-43377.18</v>
      </c>
      <c r="AL49" s="1088">
        <f t="shared" si="40"/>
        <v>2125481.8199999998</v>
      </c>
      <c r="AM49" s="1087">
        <v>0</v>
      </c>
      <c r="AN49" s="1090">
        <f t="shared" si="77"/>
        <v>2125481.8199999998</v>
      </c>
      <c r="AO49" s="1085">
        <f>'[17]RSD Orleans Allocation'!BF47</f>
        <v>1369928</v>
      </c>
      <c r="AP49" s="1085">
        <f t="shared" si="41"/>
        <v>755553.81999999983</v>
      </c>
      <c r="AQ49" s="1090">
        <f t="shared" si="79"/>
        <v>188888</v>
      </c>
    </row>
    <row r="50" spans="1:43" s="1048" customFormat="1" ht="16.899999999999999" customHeight="1">
      <c r="A50" s="1093">
        <v>393001</v>
      </c>
      <c r="B50" s="1094" t="s">
        <v>529</v>
      </c>
      <c r="C50" s="1095">
        <f>IFERROR(VLOOKUP(A50,'[18]RSD-NO by Site'!$B$5:$D$62,3,FALSE),"na")</f>
        <v>880</v>
      </c>
      <c r="D50" s="1096">
        <f t="shared" si="87"/>
        <v>3602.7009974327857</v>
      </c>
      <c r="E50" s="1096">
        <f t="shared" si="25"/>
        <v>3170377</v>
      </c>
      <c r="F50" s="1097">
        <v>776.90344307346322</v>
      </c>
      <c r="G50" s="1096">
        <f t="shared" si="26"/>
        <v>683675.02990464761</v>
      </c>
      <c r="H50" s="1098">
        <f t="shared" si="42"/>
        <v>3854052.0299046477</v>
      </c>
      <c r="I50" s="1099">
        <f>VLOOKUP($A50,'[1]October midyear adj'!$A$122:$K$178,11,FALSE)</f>
        <v>157665.75985822498</v>
      </c>
      <c r="J50" s="1100">
        <f>VLOOKUP($A50,'[1]February midyear adj'!$A$122:$K$178,11,FALSE)</f>
        <v>-26277.626643037496</v>
      </c>
      <c r="K50" s="1101">
        <f t="shared" si="27"/>
        <v>131388.13321518747</v>
      </c>
      <c r="L50" s="1098">
        <f t="shared" si="28"/>
        <v>3985440.1631198353</v>
      </c>
      <c r="M50" s="1100">
        <f t="shared" si="43"/>
        <v>-69745.202854597126</v>
      </c>
      <c r="N50" s="1100">
        <f t="shared" si="44"/>
        <v>-9963.6004077995876</v>
      </c>
      <c r="O50" s="1100">
        <f t="shared" si="29"/>
        <v>-79708.803262396716</v>
      </c>
      <c r="P50" s="1098">
        <f t="shared" si="30"/>
        <v>3905731.3598574386</v>
      </c>
      <c r="Q50" s="1097">
        <v>0</v>
      </c>
      <c r="R50" s="1098">
        <f t="shared" si="88"/>
        <v>3905731.3598574386</v>
      </c>
      <c r="S50" s="1097">
        <f>VLOOKUP($A50,'Table 4 Level 4'!$B$121:$O$177,4,FALSE)</f>
        <v>0</v>
      </c>
      <c r="T50" s="1097">
        <f>'Table 4 Level 4'!O155</f>
        <v>5122</v>
      </c>
      <c r="U50" s="1098">
        <f t="shared" si="45"/>
        <v>3910853.3598574386</v>
      </c>
      <c r="V50" s="1097">
        <f>VLOOKUP($A50,'Table 4 Level 4'!$B$121:$O$177,9,FALSE)</f>
        <v>0</v>
      </c>
      <c r="W50" s="1097">
        <f>VLOOKUP($A50,'Table 4 Level 4'!$B$121:$O$177,11,FALSE)</f>
        <v>0</v>
      </c>
      <c r="X50" s="1097">
        <f>VLOOKUP($A50,'Table 4 Level 4'!$B$121:$O$177,12,FALSE)</f>
        <v>17598</v>
      </c>
      <c r="Y50" s="1098">
        <f t="shared" si="46"/>
        <v>3928451.3598574386</v>
      </c>
      <c r="Z50" s="1097">
        <f t="shared" si="86"/>
        <v>4809</v>
      </c>
      <c r="AA50" s="1097"/>
      <c r="AB50" s="1102">
        <f t="shared" si="89"/>
        <v>4231920</v>
      </c>
      <c r="AC50" s="1103">
        <f>VLOOKUP($A50,'[1]October midyear adj'!$A$122:$K$178,5,FALSE)</f>
        <v>36</v>
      </c>
      <c r="AD50" s="1100">
        <f t="shared" si="90"/>
        <v>173124</v>
      </c>
      <c r="AE50" s="1103">
        <f>VLOOKUP($A50,'[1]February midyear adj'!$A$122:$K$178,5,FALSE)</f>
        <v>-12</v>
      </c>
      <c r="AF50" s="1100">
        <f t="shared" si="91"/>
        <v>-28854</v>
      </c>
      <c r="AG50" s="1101">
        <f t="shared" si="38"/>
        <v>144270</v>
      </c>
      <c r="AH50" s="1104">
        <f t="shared" si="39"/>
        <v>4376190</v>
      </c>
      <c r="AI50" s="1097">
        <f t="shared" si="47"/>
        <v>-76583.325000000012</v>
      </c>
      <c r="AJ50" s="1097">
        <f t="shared" si="48"/>
        <v>-10940.475</v>
      </c>
      <c r="AK50" s="1097">
        <f t="shared" si="49"/>
        <v>-87523.800000000017</v>
      </c>
      <c r="AL50" s="1102">
        <f t="shared" si="40"/>
        <v>4288666.2</v>
      </c>
      <c r="AM50" s="1097">
        <v>0</v>
      </c>
      <c r="AN50" s="1104">
        <f t="shared" si="77"/>
        <v>4288666.2</v>
      </c>
      <c r="AO50" s="1100">
        <f>'[17]RSD Orleans Allocation'!BF48</f>
        <v>2684938</v>
      </c>
      <c r="AP50" s="1100">
        <f t="shared" si="41"/>
        <v>1603728.2000000002</v>
      </c>
      <c r="AQ50" s="1104">
        <f t="shared" si="79"/>
        <v>400932</v>
      </c>
    </row>
    <row r="51" spans="1:43" s="1048" customFormat="1" ht="16.899999999999999" customHeight="1">
      <c r="A51" s="1067">
        <v>393002</v>
      </c>
      <c r="B51" s="1068" t="s">
        <v>530</v>
      </c>
      <c r="C51" s="1069">
        <f>IFERROR(VLOOKUP(A51,'[18]RSD-NO by Site'!$B$5:$D$62,3,FALSE),"na")</f>
        <v>484</v>
      </c>
      <c r="D51" s="1070">
        <f t="shared" si="87"/>
        <v>3602.7009974327857</v>
      </c>
      <c r="E51" s="1070">
        <f t="shared" si="25"/>
        <v>1743707</v>
      </c>
      <c r="F51" s="1070">
        <v>642.89065513553726</v>
      </c>
      <c r="G51" s="1070">
        <f t="shared" si="26"/>
        <v>311159.07708560006</v>
      </c>
      <c r="H51" s="1071">
        <f t="shared" si="42"/>
        <v>2054866.0770856</v>
      </c>
      <c r="I51" s="1072">
        <f>VLOOKUP($A51,'[1]October midyear adj'!$A$122:$K$178,11,FALSE)</f>
        <v>-131613.34122961803</v>
      </c>
      <c r="J51" s="1073">
        <f>VLOOKUP($A51,'[1]February midyear adj'!$A$122:$K$178,11,FALSE)</f>
        <v>70052.262267377329</v>
      </c>
      <c r="K51" s="1074">
        <f t="shared" si="27"/>
        <v>-61561.078962240703</v>
      </c>
      <c r="L51" s="1071">
        <f t="shared" si="28"/>
        <v>1993304.9981233594</v>
      </c>
      <c r="M51" s="1073">
        <f t="shared" si="43"/>
        <v>-34882.837467158795</v>
      </c>
      <c r="N51" s="1073">
        <f t="shared" si="44"/>
        <v>-4983.2624953083987</v>
      </c>
      <c r="O51" s="1073">
        <f t="shared" si="29"/>
        <v>-39866.099962467197</v>
      </c>
      <c r="P51" s="1071">
        <f t="shared" si="30"/>
        <v>1953438.8981608923</v>
      </c>
      <c r="Q51" s="1075">
        <v>0</v>
      </c>
      <c r="R51" s="1071">
        <f t="shared" si="88"/>
        <v>1953438.8981608923</v>
      </c>
      <c r="S51" s="1075">
        <f>VLOOKUP($A51,'Table 4 Level 4'!$B$121:$O$177,4,FALSE)</f>
        <v>0</v>
      </c>
      <c r="T51" s="1075">
        <f>'Table 4 Level 4'!O156</f>
        <v>2860</v>
      </c>
      <c r="U51" s="1071">
        <f t="shared" si="45"/>
        <v>1956298.8981608923</v>
      </c>
      <c r="V51" s="1075">
        <f>VLOOKUP($A51,'Table 4 Level 4'!$B$121:$O$177,9,FALSE)</f>
        <v>0</v>
      </c>
      <c r="W51" s="1075">
        <f>VLOOKUP($A51,'Table 4 Level 4'!$B$121:$O$177,11,FALSE)</f>
        <v>0</v>
      </c>
      <c r="X51" s="1075">
        <f>VLOOKUP($A51,'Table 4 Level 4'!$B$121:$O$177,12,FALSE)</f>
        <v>15666</v>
      </c>
      <c r="Y51" s="1071">
        <f t="shared" si="46"/>
        <v>1971964.8981608923</v>
      </c>
      <c r="Z51" s="1075">
        <f t="shared" si="86"/>
        <v>4809</v>
      </c>
      <c r="AA51" s="1075"/>
      <c r="AB51" s="1076">
        <f t="shared" si="89"/>
        <v>2327556</v>
      </c>
      <c r="AC51" s="1077">
        <f>VLOOKUP($A51,'[1]October midyear adj'!$A$122:$K$178,5,FALSE)</f>
        <v>-31</v>
      </c>
      <c r="AD51" s="1073">
        <f t="shared" si="90"/>
        <v>-149079</v>
      </c>
      <c r="AE51" s="1077">
        <f>VLOOKUP($A51,'[1]February midyear adj'!$A$122:$K$178,5,FALSE)</f>
        <v>33</v>
      </c>
      <c r="AF51" s="1073">
        <f t="shared" si="91"/>
        <v>79348.5</v>
      </c>
      <c r="AG51" s="1074">
        <f t="shared" si="38"/>
        <v>-69730.5</v>
      </c>
      <c r="AH51" s="1078">
        <f t="shared" si="39"/>
        <v>2257825.5</v>
      </c>
      <c r="AI51" s="1075">
        <f t="shared" si="47"/>
        <v>-39511.946250000001</v>
      </c>
      <c r="AJ51" s="1075">
        <f t="shared" si="48"/>
        <v>-5644.5637500000003</v>
      </c>
      <c r="AK51" s="1075">
        <f t="shared" si="49"/>
        <v>-45156.51</v>
      </c>
      <c r="AL51" s="1076">
        <f t="shared" si="40"/>
        <v>2212668.9900000002</v>
      </c>
      <c r="AM51" s="1075">
        <v>0</v>
      </c>
      <c r="AN51" s="1078">
        <f t="shared" si="77"/>
        <v>2212668.9900000002</v>
      </c>
      <c r="AO51" s="1073">
        <f>'[17]RSD Orleans Allocation'!BF49</f>
        <v>1476717</v>
      </c>
      <c r="AP51" s="1073">
        <f t="shared" si="41"/>
        <v>735951.99000000022</v>
      </c>
      <c r="AQ51" s="1078">
        <f t="shared" si="79"/>
        <v>183988</v>
      </c>
    </row>
    <row r="52" spans="1:43" s="1048" customFormat="1" ht="16.899999999999999" customHeight="1">
      <c r="A52" s="1079">
        <v>393003</v>
      </c>
      <c r="B52" s="1080" t="s">
        <v>531</v>
      </c>
      <c r="C52" s="1081">
        <f>IFERROR(VLOOKUP(A52,'[18]RSD-NO by Site'!$B$5:$D$62,3,FALSE),"na")</f>
        <v>439</v>
      </c>
      <c r="D52" s="1082">
        <f t="shared" si="87"/>
        <v>3602.7009974327857</v>
      </c>
      <c r="E52" s="1082">
        <f t="shared" si="25"/>
        <v>1581586</v>
      </c>
      <c r="F52" s="1082">
        <v>746.0335616438357</v>
      </c>
      <c r="G52" s="1082">
        <f t="shared" si="26"/>
        <v>327508.73356164386</v>
      </c>
      <c r="H52" s="1083">
        <f t="shared" si="42"/>
        <v>1909094.7335616439</v>
      </c>
      <c r="I52" s="1084">
        <f>VLOOKUP($A52,'[1]October midyear adj'!$A$122:$K$178,11,FALSE)</f>
        <v>-104369.62941783892</v>
      </c>
      <c r="J52" s="1085">
        <f>VLOOKUP($A52,'[1]February midyear adj'!$A$122:$K$178,11,FALSE)</f>
        <v>56533.549267996081</v>
      </c>
      <c r="K52" s="1086">
        <f t="shared" si="27"/>
        <v>-47836.080149842841</v>
      </c>
      <c r="L52" s="1083">
        <f t="shared" si="28"/>
        <v>1861258.653411801</v>
      </c>
      <c r="M52" s="1085">
        <f t="shared" si="43"/>
        <v>-32572.02643470652</v>
      </c>
      <c r="N52" s="1085">
        <f t="shared" si="44"/>
        <v>-4653.1466335295027</v>
      </c>
      <c r="O52" s="1085">
        <f t="shared" si="29"/>
        <v>-37225.173068236021</v>
      </c>
      <c r="P52" s="1083">
        <f t="shared" si="30"/>
        <v>1824033.4803435649</v>
      </c>
      <c r="Q52" s="1087">
        <v>0</v>
      </c>
      <c r="R52" s="1083">
        <f t="shared" si="88"/>
        <v>1824033.4803435649</v>
      </c>
      <c r="S52" s="1087">
        <f>VLOOKUP($A52,'Table 4 Level 4'!$B$121:$O$177,4,FALSE)</f>
        <v>0</v>
      </c>
      <c r="T52" s="1087">
        <f>'Table 4 Level 4'!O157</f>
        <v>2366</v>
      </c>
      <c r="U52" s="1083">
        <f t="shared" si="45"/>
        <v>1826399.4803435649</v>
      </c>
      <c r="V52" s="1087">
        <f>VLOOKUP($A52,'Table 4 Level 4'!$B$121:$O$177,9,FALSE)</f>
        <v>0</v>
      </c>
      <c r="W52" s="1087">
        <f>VLOOKUP($A52,'Table 4 Level 4'!$B$121:$O$177,11,FALSE)</f>
        <v>0</v>
      </c>
      <c r="X52" s="1087">
        <f>VLOOKUP($A52,'Table 4 Level 4'!$B$121:$O$177,12,FALSE)</f>
        <v>5542</v>
      </c>
      <c r="Y52" s="1083">
        <f t="shared" si="46"/>
        <v>1831941.4803435649</v>
      </c>
      <c r="Z52" s="1087">
        <f t="shared" si="86"/>
        <v>4809</v>
      </c>
      <c r="AA52" s="1087"/>
      <c r="AB52" s="1088">
        <f t="shared" si="89"/>
        <v>2111151</v>
      </c>
      <c r="AC52" s="1089">
        <f>VLOOKUP($A52,'[1]October midyear adj'!$A$122:$K$178,5,FALSE)</f>
        <v>-24</v>
      </c>
      <c r="AD52" s="1085">
        <f t="shared" si="90"/>
        <v>-115416</v>
      </c>
      <c r="AE52" s="1089">
        <f>VLOOKUP($A52,'[1]February midyear adj'!$A$122:$K$178,5,FALSE)</f>
        <v>26</v>
      </c>
      <c r="AF52" s="1085">
        <f t="shared" si="91"/>
        <v>62517</v>
      </c>
      <c r="AG52" s="1086">
        <f t="shared" si="38"/>
        <v>-52899</v>
      </c>
      <c r="AH52" s="1090">
        <f t="shared" si="39"/>
        <v>2058252</v>
      </c>
      <c r="AI52" s="1087">
        <f t="shared" si="47"/>
        <v>-36019.410000000003</v>
      </c>
      <c r="AJ52" s="1087">
        <f t="shared" si="48"/>
        <v>-5145.63</v>
      </c>
      <c r="AK52" s="1087">
        <f t="shared" si="49"/>
        <v>-41165.040000000001</v>
      </c>
      <c r="AL52" s="1088">
        <f t="shared" si="40"/>
        <v>2017086.96</v>
      </c>
      <c r="AM52" s="1087">
        <v>0</v>
      </c>
      <c r="AN52" s="1090">
        <f t="shared" si="77"/>
        <v>2017086.96</v>
      </c>
      <c r="AO52" s="1085">
        <f>'[17]RSD Orleans Allocation'!BF50</f>
        <v>1339418</v>
      </c>
      <c r="AP52" s="1085">
        <f t="shared" si="41"/>
        <v>677668.96</v>
      </c>
      <c r="AQ52" s="1090">
        <f t="shared" si="79"/>
        <v>169417</v>
      </c>
    </row>
    <row r="53" spans="1:43" s="1048" customFormat="1" ht="16.899999999999999" customHeight="1">
      <c r="A53" s="1079">
        <v>395001</v>
      </c>
      <c r="B53" s="1080" t="s">
        <v>581</v>
      </c>
      <c r="C53" s="1081">
        <f>IFERROR(VLOOKUP(A53,'[18]RSD-NO by Site'!$B$5:$D$62,3,FALSE),"na")</f>
        <v>686</v>
      </c>
      <c r="D53" s="1082">
        <f t="shared" si="87"/>
        <v>3602.7009974327857</v>
      </c>
      <c r="E53" s="1082">
        <f t="shared" si="25"/>
        <v>2471453</v>
      </c>
      <c r="F53" s="1082">
        <v>678.38194087511556</v>
      </c>
      <c r="G53" s="1082">
        <f t="shared" si="26"/>
        <v>465370.01144032925</v>
      </c>
      <c r="H53" s="1083">
        <f t="shared" si="42"/>
        <v>2936823.0114403293</v>
      </c>
      <c r="I53" s="1084">
        <f>VLOOKUP($A53,'[1]October midyear adj'!$A$122:$K$178,11,FALSE)</f>
        <v>-12843.248814923705</v>
      </c>
      <c r="J53" s="1085">
        <f>VLOOKUP($A53,'[1]February midyear adj'!$A$122:$K$178,11,FALSE)</f>
        <v>19264.873222385559</v>
      </c>
      <c r="K53" s="1086">
        <f t="shared" si="27"/>
        <v>6421.6244074618535</v>
      </c>
      <c r="L53" s="1083">
        <f t="shared" si="28"/>
        <v>2943244.6358477911</v>
      </c>
      <c r="M53" s="1085">
        <f t="shared" si="43"/>
        <v>-51506.781127336348</v>
      </c>
      <c r="N53" s="1085">
        <f t="shared" si="44"/>
        <v>-7358.1115896194779</v>
      </c>
      <c r="O53" s="1085">
        <f t="shared" si="29"/>
        <v>-58864.892716955823</v>
      </c>
      <c r="P53" s="1083">
        <f t="shared" si="30"/>
        <v>2884379.7431308352</v>
      </c>
      <c r="Q53" s="1087">
        <v>-1686.8887871008565</v>
      </c>
      <c r="R53" s="1083">
        <f t="shared" si="88"/>
        <v>2882692.8543437342</v>
      </c>
      <c r="S53" s="1087">
        <f>VLOOKUP($A53,'Table 4 Level 4'!$B$121:$O$177,4,FALSE)</f>
        <v>0</v>
      </c>
      <c r="T53" s="1087">
        <f>'Table 4 Level 4'!O158</f>
        <v>3770</v>
      </c>
      <c r="U53" s="1083">
        <f t="shared" si="45"/>
        <v>2886462.8543437342</v>
      </c>
      <c r="V53" s="1087">
        <f>VLOOKUP($A53,'Table 4 Level 4'!$B$121:$O$177,9,FALSE)</f>
        <v>0</v>
      </c>
      <c r="W53" s="1087">
        <f>VLOOKUP($A53,'Table 4 Level 4'!$B$121:$O$177,11,FALSE)</f>
        <v>0</v>
      </c>
      <c r="X53" s="1087">
        <f>VLOOKUP($A53,'Table 4 Level 4'!$B$121:$O$177,12,FALSE)</f>
        <v>5561</v>
      </c>
      <c r="Y53" s="1083">
        <f t="shared" si="46"/>
        <v>2892023.8543437342</v>
      </c>
      <c r="Z53" s="1087">
        <f t="shared" si="86"/>
        <v>4809</v>
      </c>
      <c r="AA53" s="1087"/>
      <c r="AB53" s="1088">
        <f t="shared" si="89"/>
        <v>3298974</v>
      </c>
      <c r="AC53" s="1089">
        <f>VLOOKUP($A53,'[1]October midyear adj'!$A$122:$K$178,5,FALSE)</f>
        <v>-3</v>
      </c>
      <c r="AD53" s="1085">
        <f t="shared" si="90"/>
        <v>-14427</v>
      </c>
      <c r="AE53" s="1089">
        <f>VLOOKUP($A53,'[1]February midyear adj'!$A$122:$K$178,5,FALSE)</f>
        <v>9</v>
      </c>
      <c r="AF53" s="1085">
        <f t="shared" si="91"/>
        <v>21640.5</v>
      </c>
      <c r="AG53" s="1086">
        <f t="shared" si="38"/>
        <v>7213.5</v>
      </c>
      <c r="AH53" s="1090">
        <f t="shared" si="39"/>
        <v>3306187.5</v>
      </c>
      <c r="AI53" s="1087">
        <f t="shared" si="47"/>
        <v>-57858.281250000007</v>
      </c>
      <c r="AJ53" s="1087">
        <f t="shared" si="48"/>
        <v>-8265.46875</v>
      </c>
      <c r="AK53" s="1087">
        <f t="shared" si="49"/>
        <v>-66123.75</v>
      </c>
      <c r="AL53" s="1088">
        <f t="shared" si="40"/>
        <v>3240063.75</v>
      </c>
      <c r="AM53" s="1087">
        <v>-2098</v>
      </c>
      <c r="AN53" s="1090">
        <f t="shared" si="77"/>
        <v>3237965.75</v>
      </c>
      <c r="AO53" s="1085">
        <f>'[17]RSD Orleans Allocation'!BF51</f>
        <v>2091632</v>
      </c>
      <c r="AP53" s="1085">
        <f t="shared" si="41"/>
        <v>1146333.75</v>
      </c>
      <c r="AQ53" s="1090">
        <f t="shared" si="79"/>
        <v>286583</v>
      </c>
    </row>
    <row r="54" spans="1:43" s="1048" customFormat="1" ht="16.899999999999999" customHeight="1">
      <c r="A54" s="1091">
        <v>395002</v>
      </c>
      <c r="B54" s="1092" t="s">
        <v>578</v>
      </c>
      <c r="C54" s="1081">
        <f>IFERROR(VLOOKUP(A54,'[18]RSD-NO by Site'!$B$5:$D$62,3,FALSE),"na")</f>
        <v>778</v>
      </c>
      <c r="D54" s="1082">
        <f t="shared" si="87"/>
        <v>3602.7009974327857</v>
      </c>
      <c r="E54" s="1082">
        <f t="shared" si="25"/>
        <v>2802901</v>
      </c>
      <c r="F54" s="1087">
        <v>686.92241021135874</v>
      </c>
      <c r="G54" s="1082">
        <f t="shared" si="26"/>
        <v>534425.63514443708</v>
      </c>
      <c r="H54" s="1083">
        <f t="shared" si="42"/>
        <v>3337326.6351444372</v>
      </c>
      <c r="I54" s="1084">
        <f>VLOOKUP($A54,'[1]October midyear adj'!$A$122:$K$178,11,FALSE)</f>
        <v>-12868.870222932434</v>
      </c>
      <c r="J54" s="1085">
        <f>VLOOKUP($A54,'[1]February midyear adj'!$A$122:$K$178,11,FALSE)</f>
        <v>4289.6234076441442</v>
      </c>
      <c r="K54" s="1086">
        <f t="shared" si="27"/>
        <v>-8579.2468152882902</v>
      </c>
      <c r="L54" s="1083">
        <f t="shared" si="28"/>
        <v>3328747.3883291488</v>
      </c>
      <c r="M54" s="1085">
        <f t="shared" si="43"/>
        <v>-58253.079295760108</v>
      </c>
      <c r="N54" s="1085">
        <f t="shared" si="44"/>
        <v>-8321.868470822872</v>
      </c>
      <c r="O54" s="1085">
        <f t="shared" si="29"/>
        <v>-66574.947766582976</v>
      </c>
      <c r="P54" s="1083">
        <f t="shared" si="30"/>
        <v>3262172.4405625658</v>
      </c>
      <c r="Q54" s="1087">
        <v>1943.9172661784505</v>
      </c>
      <c r="R54" s="1083">
        <f t="shared" si="88"/>
        <v>3264116.3578287442</v>
      </c>
      <c r="S54" s="1087">
        <f>VLOOKUP($A54,'Table 4 Level 4'!$B$121:$O$177,4,FALSE)</f>
        <v>0</v>
      </c>
      <c r="T54" s="1087">
        <f>'Table 4 Level 4'!O159</f>
        <v>4940</v>
      </c>
      <c r="U54" s="1083">
        <f t="shared" si="45"/>
        <v>3269056.3578287442</v>
      </c>
      <c r="V54" s="1087">
        <f>VLOOKUP($A54,'Table 4 Level 4'!$B$121:$O$177,9,FALSE)</f>
        <v>0</v>
      </c>
      <c r="W54" s="1087">
        <f>VLOOKUP($A54,'Table 4 Level 4'!$B$121:$O$177,11,FALSE)</f>
        <v>0</v>
      </c>
      <c r="X54" s="1087">
        <f>VLOOKUP($A54,'Table 4 Level 4'!$B$121:$O$177,12,FALSE)</f>
        <v>5478</v>
      </c>
      <c r="Y54" s="1083">
        <f t="shared" si="46"/>
        <v>3274534.3578287442</v>
      </c>
      <c r="Z54" s="1087">
        <f t="shared" si="86"/>
        <v>4809</v>
      </c>
      <c r="AA54" s="1087"/>
      <c r="AB54" s="1088">
        <f t="shared" si="89"/>
        <v>3741402</v>
      </c>
      <c r="AC54" s="1089">
        <f>VLOOKUP($A54,'[1]October midyear adj'!$A$122:$K$178,5,FALSE)</f>
        <v>-3</v>
      </c>
      <c r="AD54" s="1085">
        <f t="shared" si="90"/>
        <v>-14427</v>
      </c>
      <c r="AE54" s="1089">
        <f>VLOOKUP($A54,'[1]February midyear adj'!$A$122:$K$178,5,FALSE)</f>
        <v>2</v>
      </c>
      <c r="AF54" s="1085">
        <f t="shared" si="91"/>
        <v>4809</v>
      </c>
      <c r="AG54" s="1086">
        <f t="shared" si="38"/>
        <v>-9618</v>
      </c>
      <c r="AH54" s="1090">
        <f t="shared" si="39"/>
        <v>3731784</v>
      </c>
      <c r="AI54" s="1087">
        <f t="shared" si="47"/>
        <v>-65306.220000000008</v>
      </c>
      <c r="AJ54" s="1087">
        <f t="shared" si="48"/>
        <v>-9329.4600000000009</v>
      </c>
      <c r="AK54" s="1087">
        <f t="shared" si="49"/>
        <v>-74635.680000000008</v>
      </c>
      <c r="AL54" s="1088">
        <f t="shared" si="40"/>
        <v>3657148.32</v>
      </c>
      <c r="AM54" s="1087">
        <v>0</v>
      </c>
      <c r="AN54" s="1090">
        <f t="shared" si="77"/>
        <v>3657148.32</v>
      </c>
      <c r="AO54" s="1085">
        <f>'[17]RSD Orleans Allocation'!BF52</f>
        <v>2373728</v>
      </c>
      <c r="AP54" s="1085">
        <f t="shared" si="41"/>
        <v>1283420.3199999998</v>
      </c>
      <c r="AQ54" s="1090">
        <f t="shared" si="79"/>
        <v>320855</v>
      </c>
    </row>
    <row r="55" spans="1:43" s="1048" customFormat="1" ht="16.899999999999999" customHeight="1">
      <c r="A55" s="1093">
        <v>395003</v>
      </c>
      <c r="B55" s="1094" t="s">
        <v>579</v>
      </c>
      <c r="C55" s="1095">
        <f>IFERROR(VLOOKUP(A55,'[18]RSD-NO by Site'!$B$5:$D$62,3,FALSE),"na")</f>
        <v>616</v>
      </c>
      <c r="D55" s="1096">
        <f t="shared" si="87"/>
        <v>3602.7009974327857</v>
      </c>
      <c r="E55" s="1096">
        <f t="shared" si="25"/>
        <v>2219264</v>
      </c>
      <c r="F55" s="1097">
        <v>761.3587570202327</v>
      </c>
      <c r="G55" s="1096">
        <f t="shared" si="26"/>
        <v>468996.99432446336</v>
      </c>
      <c r="H55" s="1098">
        <f t="shared" si="42"/>
        <v>2688260.9943244634</v>
      </c>
      <c r="I55" s="1099">
        <f>VLOOKUP($A55,'[1]October midyear adj'!$A$122:$K$178,11,FALSE)</f>
        <v>-13092.179263359056</v>
      </c>
      <c r="J55" s="1100">
        <f>VLOOKUP($A55,'[1]February midyear adj'!$A$122:$K$178,11,FALSE)</f>
        <v>24002.328649491599</v>
      </c>
      <c r="K55" s="1101">
        <f t="shared" si="27"/>
        <v>10910.149386132543</v>
      </c>
      <c r="L55" s="1098">
        <f t="shared" si="28"/>
        <v>2699171.143710596</v>
      </c>
      <c r="M55" s="1100">
        <f t="shared" si="43"/>
        <v>-47235.495014935434</v>
      </c>
      <c r="N55" s="1100">
        <f t="shared" si="44"/>
        <v>-6747.9278592764904</v>
      </c>
      <c r="O55" s="1100">
        <f t="shared" si="29"/>
        <v>-53983.422874211923</v>
      </c>
      <c r="P55" s="1098">
        <f t="shared" si="30"/>
        <v>2645187.7208363842</v>
      </c>
      <c r="Q55" s="1097">
        <v>23797.217952097504</v>
      </c>
      <c r="R55" s="1098">
        <f t="shared" si="88"/>
        <v>2668984.9387884815</v>
      </c>
      <c r="S55" s="1097">
        <f>VLOOKUP($A55,'Table 4 Level 4'!$B$121:$O$177,4,FALSE)</f>
        <v>0</v>
      </c>
      <c r="T55" s="1097">
        <f>'Table 4 Level 4'!O160</f>
        <v>3172</v>
      </c>
      <c r="U55" s="1098">
        <f t="shared" si="45"/>
        <v>2672156.9387884815</v>
      </c>
      <c r="V55" s="1097">
        <f>VLOOKUP($A55,'Table 4 Level 4'!$B$121:$O$177,9,FALSE)</f>
        <v>0</v>
      </c>
      <c r="W55" s="1097">
        <f>VLOOKUP($A55,'Table 4 Level 4'!$B$121:$O$177,11,FALSE)</f>
        <v>0</v>
      </c>
      <c r="X55" s="1097">
        <f>VLOOKUP($A55,'Table 4 Level 4'!$B$121:$O$177,12,FALSE)</f>
        <v>5748</v>
      </c>
      <c r="Y55" s="1098">
        <f t="shared" si="46"/>
        <v>2677904.9387884815</v>
      </c>
      <c r="Z55" s="1097">
        <f t="shared" si="86"/>
        <v>4809</v>
      </c>
      <c r="AA55" s="1097"/>
      <c r="AB55" s="1102">
        <f t="shared" si="89"/>
        <v>2962344</v>
      </c>
      <c r="AC55" s="1103">
        <f>VLOOKUP($A55,'[1]October midyear adj'!$A$122:$K$178,5,FALSE)</f>
        <v>-3</v>
      </c>
      <c r="AD55" s="1100">
        <f t="shared" si="90"/>
        <v>-14427</v>
      </c>
      <c r="AE55" s="1103">
        <f>VLOOKUP($A55,'[1]February midyear adj'!$A$122:$K$178,5,FALSE)</f>
        <v>11</v>
      </c>
      <c r="AF55" s="1100">
        <f t="shared" si="91"/>
        <v>26449.5</v>
      </c>
      <c r="AG55" s="1101">
        <f t="shared" si="38"/>
        <v>12022.5</v>
      </c>
      <c r="AH55" s="1104">
        <f t="shared" si="39"/>
        <v>2974366.5</v>
      </c>
      <c r="AI55" s="1097">
        <f t="shared" si="47"/>
        <v>-52051.413750000007</v>
      </c>
      <c r="AJ55" s="1097">
        <f t="shared" si="48"/>
        <v>-7435.9162500000002</v>
      </c>
      <c r="AK55" s="1097">
        <f t="shared" si="49"/>
        <v>-59487.330000000009</v>
      </c>
      <c r="AL55" s="1102">
        <f t="shared" si="40"/>
        <v>2914879.17</v>
      </c>
      <c r="AM55" s="1097">
        <v>25176</v>
      </c>
      <c r="AN55" s="1104">
        <f t="shared" si="77"/>
        <v>2940055.17</v>
      </c>
      <c r="AO55" s="1100">
        <f>'[17]RSD Orleans Allocation'!BF53</f>
        <v>1896240</v>
      </c>
      <c r="AP55" s="1100">
        <f t="shared" si="41"/>
        <v>1043815.1699999999</v>
      </c>
      <c r="AQ55" s="1104">
        <f t="shared" si="79"/>
        <v>260954</v>
      </c>
    </row>
    <row r="56" spans="1:43" s="1048" customFormat="1" ht="16.899999999999999" customHeight="1">
      <c r="A56" s="1067">
        <v>395004</v>
      </c>
      <c r="B56" s="1068" t="s">
        <v>580</v>
      </c>
      <c r="C56" s="1069">
        <f>IFERROR(VLOOKUP(A56,'[18]RSD-NO by Site'!$B$5:$D$62,3,FALSE),"na")</f>
        <v>564</v>
      </c>
      <c r="D56" s="1070">
        <f t="shared" si="87"/>
        <v>3602.7009974327857</v>
      </c>
      <c r="E56" s="1070">
        <f t="shared" si="25"/>
        <v>2031923</v>
      </c>
      <c r="F56" s="1070">
        <v>1003.4698393033485</v>
      </c>
      <c r="G56" s="1070">
        <f t="shared" si="26"/>
        <v>565956.98936708854</v>
      </c>
      <c r="H56" s="1071">
        <f t="shared" si="42"/>
        <v>2597879.9893670883</v>
      </c>
      <c r="I56" s="1072">
        <f>VLOOKUP($A56,'[1]October midyear adj'!$A$122:$K$178,11,FALSE)</f>
        <v>313219.61689805711</v>
      </c>
      <c r="J56" s="1073">
        <f>VLOOKUP($A56,'[1]February midyear adj'!$A$122:$K$178,11,FALSE)</f>
        <v>0</v>
      </c>
      <c r="K56" s="1074">
        <f t="shared" si="27"/>
        <v>313219.61689805711</v>
      </c>
      <c r="L56" s="1071">
        <f t="shared" si="28"/>
        <v>2911099.6062651454</v>
      </c>
      <c r="M56" s="1073">
        <f t="shared" si="43"/>
        <v>-50944.243109640047</v>
      </c>
      <c r="N56" s="1073">
        <f t="shared" si="44"/>
        <v>-7277.7490156628637</v>
      </c>
      <c r="O56" s="1073">
        <f t="shared" si="29"/>
        <v>-58221.99212530291</v>
      </c>
      <c r="P56" s="1071">
        <f t="shared" si="30"/>
        <v>2852877.6141398423</v>
      </c>
      <c r="Q56" s="1075">
        <v>11993.129109261587</v>
      </c>
      <c r="R56" s="1071">
        <f t="shared" si="88"/>
        <v>2864870.7432491039</v>
      </c>
      <c r="S56" s="1075">
        <f>VLOOKUP($A56,'Table 4 Level 4'!$B$121:$O$177,4,FALSE)</f>
        <v>0</v>
      </c>
      <c r="T56" s="1075">
        <f>'Table 4 Level 4'!O161</f>
        <v>3302</v>
      </c>
      <c r="U56" s="1071">
        <f t="shared" si="45"/>
        <v>2868172.7432491039</v>
      </c>
      <c r="V56" s="1075">
        <f>VLOOKUP($A56,'Table 4 Level 4'!$B$121:$O$177,9,FALSE)</f>
        <v>0</v>
      </c>
      <c r="W56" s="1075">
        <f>VLOOKUP($A56,'Table 4 Level 4'!$B$121:$O$177,11,FALSE)</f>
        <v>0</v>
      </c>
      <c r="X56" s="1075">
        <f>VLOOKUP($A56,'Table 4 Level 4'!$B$121:$O$177,12,FALSE)</f>
        <v>5408</v>
      </c>
      <c r="Y56" s="1071">
        <f t="shared" si="46"/>
        <v>2873580.7432491039</v>
      </c>
      <c r="Z56" s="1075">
        <f t="shared" si="86"/>
        <v>4809</v>
      </c>
      <c r="AA56" s="1075"/>
      <c r="AB56" s="1076">
        <f t="shared" si="89"/>
        <v>2712276</v>
      </c>
      <c r="AC56" s="1077">
        <f>VLOOKUP($A56,'[1]October midyear adj'!$A$122:$K$178,5,FALSE)</f>
        <v>68</v>
      </c>
      <c r="AD56" s="1073">
        <f t="shared" si="90"/>
        <v>327012</v>
      </c>
      <c r="AE56" s="1077">
        <f>VLOOKUP($A56,'[1]February midyear adj'!$A$122:$K$178,5,FALSE)</f>
        <v>0</v>
      </c>
      <c r="AF56" s="1073">
        <f t="shared" si="91"/>
        <v>0</v>
      </c>
      <c r="AG56" s="1074">
        <f t="shared" si="38"/>
        <v>327012</v>
      </c>
      <c r="AH56" s="1078">
        <f t="shared" si="39"/>
        <v>3039288</v>
      </c>
      <c r="AI56" s="1075">
        <f t="shared" si="47"/>
        <v>-53187.540000000008</v>
      </c>
      <c r="AJ56" s="1075">
        <f t="shared" si="48"/>
        <v>-7598.22</v>
      </c>
      <c r="AK56" s="1075">
        <f t="shared" si="49"/>
        <v>-60785.760000000009</v>
      </c>
      <c r="AL56" s="1076">
        <f t="shared" si="40"/>
        <v>2978502.24</v>
      </c>
      <c r="AM56" s="1075">
        <v>14686</v>
      </c>
      <c r="AN56" s="1078">
        <f t="shared" si="77"/>
        <v>2993188.24</v>
      </c>
      <c r="AO56" s="1073">
        <f>'[17]RSD Orleans Allocation'!BF54</f>
        <v>1730592</v>
      </c>
      <c r="AP56" s="1073">
        <f t="shared" si="41"/>
        <v>1262596.2400000002</v>
      </c>
      <c r="AQ56" s="1078">
        <f t="shared" si="79"/>
        <v>315649</v>
      </c>
    </row>
    <row r="57" spans="1:43" s="1048" customFormat="1" ht="16.899999999999999" customHeight="1">
      <c r="A57" s="1079">
        <v>395005</v>
      </c>
      <c r="B57" s="1080" t="s">
        <v>577</v>
      </c>
      <c r="C57" s="1081">
        <f>IFERROR(VLOOKUP(A57,'[18]RSD-NO by Site'!$B$5:$D$62,3,FALSE),"na")</f>
        <v>1170</v>
      </c>
      <c r="D57" s="1082">
        <f t="shared" si="87"/>
        <v>3602.7009974327857</v>
      </c>
      <c r="E57" s="1082">
        <f t="shared" si="25"/>
        <v>4215160</v>
      </c>
      <c r="F57" s="1082">
        <v>592.05529010815155</v>
      </c>
      <c r="G57" s="1082">
        <f t="shared" si="26"/>
        <v>692704.68942653737</v>
      </c>
      <c r="H57" s="1083">
        <f t="shared" si="42"/>
        <v>4907864.6894265376</v>
      </c>
      <c r="I57" s="1084">
        <f>VLOOKUP($A57,'[1]October midyear adj'!$A$122:$K$178,11,FALSE)</f>
        <v>612434.41798097687</v>
      </c>
      <c r="J57" s="1085">
        <f>VLOOKUP($A57,'[1]February midyear adj'!$A$122:$K$178,11,FALSE)</f>
        <v>-16779.02515016375</v>
      </c>
      <c r="K57" s="1086">
        <f t="shared" si="27"/>
        <v>595655.39283081307</v>
      </c>
      <c r="L57" s="1083">
        <f t="shared" si="28"/>
        <v>5503520.0822573509</v>
      </c>
      <c r="M57" s="1085">
        <f t="shared" si="43"/>
        <v>-96311.601439503647</v>
      </c>
      <c r="N57" s="1085">
        <f t="shared" si="44"/>
        <v>-13758.800205643378</v>
      </c>
      <c r="O57" s="1085">
        <f t="shared" si="29"/>
        <v>-110070.40164514702</v>
      </c>
      <c r="P57" s="1083">
        <f t="shared" si="30"/>
        <v>5393449.6806122037</v>
      </c>
      <c r="Q57" s="1087">
        <v>-26456.954103553915</v>
      </c>
      <c r="R57" s="1083">
        <f t="shared" si="88"/>
        <v>5366992.72650865</v>
      </c>
      <c r="S57" s="1087">
        <f>VLOOKUP($A57,'Table 4 Level 4'!$B$121:$O$177,4,FALSE)</f>
        <v>0</v>
      </c>
      <c r="T57" s="1087">
        <f>'Table 4 Level 4'!O162</f>
        <v>30420</v>
      </c>
      <c r="U57" s="1083">
        <f t="shared" si="45"/>
        <v>5397412.72650865</v>
      </c>
      <c r="V57" s="1087">
        <f>VLOOKUP($A57,'Table 4 Level 4'!$B$121:$O$177,9,FALSE)</f>
        <v>0</v>
      </c>
      <c r="W57" s="1087">
        <f>VLOOKUP($A57,'Table 4 Level 4'!$B$121:$O$177,11,FALSE)</f>
        <v>17136</v>
      </c>
      <c r="X57" s="1087">
        <f>VLOOKUP($A57,'Table 4 Level 4'!$B$121:$O$177,12,FALSE)</f>
        <v>5405</v>
      </c>
      <c r="Y57" s="1083">
        <f t="shared" si="46"/>
        <v>5419953.72650865</v>
      </c>
      <c r="Z57" s="1087">
        <f t="shared" si="86"/>
        <v>4809</v>
      </c>
      <c r="AA57" s="1087"/>
      <c r="AB57" s="1088">
        <f t="shared" si="89"/>
        <v>5626530</v>
      </c>
      <c r="AC57" s="1089">
        <f>VLOOKUP($A57,'[1]October midyear adj'!$A$122:$K$178,5,FALSE)</f>
        <v>146</v>
      </c>
      <c r="AD57" s="1085">
        <f t="shared" si="90"/>
        <v>702114</v>
      </c>
      <c r="AE57" s="1089">
        <f>VLOOKUP($A57,'[1]February midyear adj'!$A$122:$K$178,5,FALSE)</f>
        <v>-8</v>
      </c>
      <c r="AF57" s="1085">
        <f t="shared" si="91"/>
        <v>-19236</v>
      </c>
      <c r="AG57" s="1086">
        <f t="shared" si="38"/>
        <v>682878</v>
      </c>
      <c r="AH57" s="1090">
        <f t="shared" si="39"/>
        <v>6309408</v>
      </c>
      <c r="AI57" s="1087">
        <f t="shared" si="47"/>
        <v>-110414.64000000001</v>
      </c>
      <c r="AJ57" s="1087">
        <f t="shared" si="48"/>
        <v>-15773.52</v>
      </c>
      <c r="AK57" s="1087">
        <f t="shared" si="49"/>
        <v>-126188.16000000002</v>
      </c>
      <c r="AL57" s="1088">
        <f t="shared" si="40"/>
        <v>6183219.8399999999</v>
      </c>
      <c r="AM57" s="1087">
        <v>-26644</v>
      </c>
      <c r="AN57" s="1090">
        <f t="shared" si="77"/>
        <v>6156575.8399999999</v>
      </c>
      <c r="AO57" s="1085">
        <f>'[17]RSD Orleans Allocation'!BF55</f>
        <v>3551984</v>
      </c>
      <c r="AP57" s="1085">
        <f t="shared" si="41"/>
        <v>2604591.84</v>
      </c>
      <c r="AQ57" s="1090">
        <f t="shared" si="79"/>
        <v>651148</v>
      </c>
    </row>
    <row r="58" spans="1:43" s="1048" customFormat="1" ht="16.899999999999999" customHeight="1">
      <c r="A58" s="1079">
        <v>395007</v>
      </c>
      <c r="B58" s="1080" t="s">
        <v>780</v>
      </c>
      <c r="C58" s="1081">
        <f>IFERROR(VLOOKUP(A58,'[18]RSD-NO by Site'!$B$5:$D$62,3,FALSE),"na")</f>
        <v>234</v>
      </c>
      <c r="D58" s="1082">
        <f t="shared" si="87"/>
        <v>3602.7009974327857</v>
      </c>
      <c r="E58" s="1082">
        <f t="shared" si="25"/>
        <v>843032</v>
      </c>
      <c r="F58" s="1082">
        <v>907.69666061705993</v>
      </c>
      <c r="G58" s="1082">
        <f t="shared" si="26"/>
        <v>212401.01858439203</v>
      </c>
      <c r="H58" s="1083">
        <f t="shared" si="42"/>
        <v>1055433.018584392</v>
      </c>
      <c r="I58" s="1084">
        <f>VLOOKUP($A58,'[1]October midyear adj'!$A$122:$K$178,11,FALSE)</f>
        <v>293175.84777323995</v>
      </c>
      <c r="J58" s="1085">
        <f>VLOOKUP($A58,'[1]February midyear adj'!$A$122:$K$178,11,FALSE)</f>
        <v>54124.771896598148</v>
      </c>
      <c r="K58" s="1086">
        <f t="shared" si="27"/>
        <v>347300.61966983811</v>
      </c>
      <c r="L58" s="1083">
        <f t="shared" si="28"/>
        <v>1402733.6382542301</v>
      </c>
      <c r="M58" s="1085">
        <f t="shared" si="43"/>
        <v>-24547.838669449029</v>
      </c>
      <c r="N58" s="1085">
        <f t="shared" si="44"/>
        <v>-3506.8340956355755</v>
      </c>
      <c r="O58" s="1085">
        <f t="shared" si="29"/>
        <v>-28054.672765084604</v>
      </c>
      <c r="P58" s="1083">
        <f t="shared" si="30"/>
        <v>1374678.9654891456</v>
      </c>
      <c r="Q58" s="1087">
        <v>-12061.838472637377</v>
      </c>
      <c r="R58" s="1083">
        <f t="shared" si="88"/>
        <v>1362617.1270165083</v>
      </c>
      <c r="S58" s="1087">
        <f>VLOOKUP($A58,'Table 4 Level 4'!$B$121:$O$177,4,FALSE)</f>
        <v>0</v>
      </c>
      <c r="T58" s="1087">
        <f>'Table 4 Level 4'!O163</f>
        <v>6084</v>
      </c>
      <c r="U58" s="1083">
        <f t="shared" si="45"/>
        <v>1368701.1270165083</v>
      </c>
      <c r="V58" s="1087">
        <f>VLOOKUP($A58,'Table 4 Level 4'!$B$121:$O$177,9,FALSE)</f>
        <v>0</v>
      </c>
      <c r="W58" s="1087">
        <f>VLOOKUP($A58,'Table 4 Level 4'!$B$121:$O$177,11,FALSE)</f>
        <v>10000</v>
      </c>
      <c r="X58" s="1087">
        <f>VLOOKUP($A58,'Table 4 Level 4'!$B$121:$O$177,12,FALSE)</f>
        <v>5718</v>
      </c>
      <c r="Y58" s="1083">
        <f t="shared" si="46"/>
        <v>1384419.1270165083</v>
      </c>
      <c r="Z58" s="1087">
        <f t="shared" si="86"/>
        <v>4809</v>
      </c>
      <c r="AA58" s="1087"/>
      <c r="AB58" s="1088">
        <f t="shared" si="89"/>
        <v>1125306</v>
      </c>
      <c r="AC58" s="1089">
        <f>VLOOKUP($A58,'[1]October midyear adj'!$A$122:$K$178,5,FALSE)</f>
        <v>65</v>
      </c>
      <c r="AD58" s="1085">
        <f t="shared" si="90"/>
        <v>312585</v>
      </c>
      <c r="AE58" s="1089">
        <f>VLOOKUP($A58,'[1]February midyear adj'!$A$122:$K$178,5,FALSE)</f>
        <v>24</v>
      </c>
      <c r="AF58" s="1085">
        <f t="shared" si="91"/>
        <v>57708</v>
      </c>
      <c r="AG58" s="1086">
        <f t="shared" si="38"/>
        <v>370293</v>
      </c>
      <c r="AH58" s="1090">
        <f t="shared" si="39"/>
        <v>1495599</v>
      </c>
      <c r="AI58" s="1087">
        <f t="shared" si="47"/>
        <v>-26172.982500000002</v>
      </c>
      <c r="AJ58" s="1087">
        <f t="shared" si="48"/>
        <v>-3738.9974999999999</v>
      </c>
      <c r="AK58" s="1087">
        <f t="shared" si="49"/>
        <v>-29911.980000000003</v>
      </c>
      <c r="AL58" s="1088">
        <f t="shared" si="40"/>
        <v>1465687.02</v>
      </c>
      <c r="AM58" s="1087">
        <v>-2570</v>
      </c>
      <c r="AN58" s="1090">
        <f t="shared" si="77"/>
        <v>1463117.02</v>
      </c>
      <c r="AO58" s="1085">
        <f>'[17]RSD Orleans Allocation'!BF56</f>
        <v>712237</v>
      </c>
      <c r="AP58" s="1085">
        <f t="shared" si="41"/>
        <v>750880.02</v>
      </c>
      <c r="AQ58" s="1090">
        <f t="shared" si="79"/>
        <v>187720</v>
      </c>
    </row>
    <row r="59" spans="1:43" s="1048" customFormat="1" ht="16.899999999999999" customHeight="1">
      <c r="A59" s="1091">
        <v>397001</v>
      </c>
      <c r="B59" s="1092" t="s">
        <v>582</v>
      </c>
      <c r="C59" s="1081">
        <f>IFERROR(VLOOKUP(A59,'[18]RSD-NO by Site'!$B$5:$D$62,3,FALSE),"na")</f>
        <v>447</v>
      </c>
      <c r="D59" s="1082">
        <f t="shared" si="87"/>
        <v>3602.7009974327857</v>
      </c>
      <c r="E59" s="1082">
        <f t="shared" si="25"/>
        <v>1610407</v>
      </c>
      <c r="F59" s="1087">
        <v>741.72363820787723</v>
      </c>
      <c r="G59" s="1082">
        <f t="shared" si="26"/>
        <v>331550.46627892111</v>
      </c>
      <c r="H59" s="1083">
        <f t="shared" si="42"/>
        <v>1941957.4662789211</v>
      </c>
      <c r="I59" s="1084">
        <f>VLOOKUP($A59,'[1]October midyear adj'!$A$122:$K$178,11,FALSE)</f>
        <v>-208532.38251075184</v>
      </c>
      <c r="J59" s="1085">
        <f>VLOOKUP($A59,'[1]February midyear adj'!$A$122:$K$178,11,FALSE)</f>
        <v>2172.2123178203315</v>
      </c>
      <c r="K59" s="1086">
        <f t="shared" si="27"/>
        <v>-206360.17019293152</v>
      </c>
      <c r="L59" s="1083">
        <f t="shared" si="28"/>
        <v>1735597.2960859896</v>
      </c>
      <c r="M59" s="1085">
        <f t="shared" si="43"/>
        <v>-30372.952681504819</v>
      </c>
      <c r="N59" s="1085">
        <f t="shared" si="44"/>
        <v>-4338.9932402149743</v>
      </c>
      <c r="O59" s="1085">
        <f t="shared" si="29"/>
        <v>-34711.945921719795</v>
      </c>
      <c r="P59" s="1083">
        <f t="shared" si="30"/>
        <v>1700885.3501642698</v>
      </c>
      <c r="Q59" s="1087">
        <v>0</v>
      </c>
      <c r="R59" s="1083">
        <f t="shared" si="88"/>
        <v>1700885.3501642698</v>
      </c>
      <c r="S59" s="1087">
        <f>VLOOKUP($A59,'Table 4 Level 4'!$B$121:$O$177,4,FALSE)</f>
        <v>0</v>
      </c>
      <c r="T59" s="1087">
        <f>'Table 4 Level 4'!O164</f>
        <v>10998</v>
      </c>
      <c r="U59" s="1083">
        <f t="shared" si="45"/>
        <v>1711883.3501642698</v>
      </c>
      <c r="V59" s="1087">
        <f>VLOOKUP($A59,'Table 4 Level 4'!$B$121:$O$177,9,FALSE)</f>
        <v>0</v>
      </c>
      <c r="W59" s="1087">
        <f>VLOOKUP($A59,'Table 4 Level 4'!$B$121:$O$177,11,FALSE)</f>
        <v>10000</v>
      </c>
      <c r="X59" s="1087">
        <f>VLOOKUP($A59,'Table 4 Level 4'!$B$121:$O$177,12,FALSE)</f>
        <v>0</v>
      </c>
      <c r="Y59" s="1083">
        <f t="shared" si="46"/>
        <v>1721883.3501642698</v>
      </c>
      <c r="Z59" s="1087">
        <f t="shared" si="86"/>
        <v>4809</v>
      </c>
      <c r="AA59" s="1087"/>
      <c r="AB59" s="1088">
        <f t="shared" si="89"/>
        <v>2149623</v>
      </c>
      <c r="AC59" s="1089">
        <f>VLOOKUP($A59,'[1]October midyear adj'!$A$122:$K$178,5,FALSE)</f>
        <v>-48</v>
      </c>
      <c r="AD59" s="1085">
        <f t="shared" si="90"/>
        <v>-230832</v>
      </c>
      <c r="AE59" s="1089">
        <f>VLOOKUP($A59,'[1]February midyear adj'!$A$122:$K$178,5,FALSE)</f>
        <v>1</v>
      </c>
      <c r="AF59" s="1085">
        <f t="shared" si="91"/>
        <v>2404.5</v>
      </c>
      <c r="AG59" s="1086">
        <f t="shared" si="38"/>
        <v>-228427.5</v>
      </c>
      <c r="AH59" s="1090">
        <f t="shared" si="39"/>
        <v>1921195.5</v>
      </c>
      <c r="AI59" s="1087">
        <f t="shared" si="47"/>
        <v>-33620.921250000007</v>
      </c>
      <c r="AJ59" s="1087">
        <f t="shared" si="48"/>
        <v>-4802.9887500000004</v>
      </c>
      <c r="AK59" s="1087">
        <f t="shared" si="49"/>
        <v>-38423.910000000003</v>
      </c>
      <c r="AL59" s="1088">
        <f t="shared" si="40"/>
        <v>1882771.59</v>
      </c>
      <c r="AM59" s="1087">
        <v>0</v>
      </c>
      <c r="AN59" s="1090">
        <f t="shared" si="77"/>
        <v>1882771.59</v>
      </c>
      <c r="AO59" s="1085">
        <f>'[17]RSD Orleans Allocation'!BF57</f>
        <v>1290600</v>
      </c>
      <c r="AP59" s="1085">
        <f t="shared" si="41"/>
        <v>592171.59000000008</v>
      </c>
      <c r="AQ59" s="1090">
        <f t="shared" si="79"/>
        <v>148043</v>
      </c>
    </row>
    <row r="60" spans="1:43" s="1048" customFormat="1" ht="16.899999999999999" customHeight="1">
      <c r="A60" s="1093">
        <v>398001</v>
      </c>
      <c r="B60" s="1094" t="s">
        <v>532</v>
      </c>
      <c r="C60" s="1095">
        <f>IFERROR(VLOOKUP(A60,'[18]RSD-NO by Site'!$B$5:$D$62,3,FALSE),"na")</f>
        <v>714</v>
      </c>
      <c r="D60" s="1096">
        <f t="shared" si="87"/>
        <v>3602.7009974327857</v>
      </c>
      <c r="E60" s="1096">
        <f t="shared" si="25"/>
        <v>2572329</v>
      </c>
      <c r="F60" s="1097">
        <v>643.94778836855926</v>
      </c>
      <c r="G60" s="1096">
        <f t="shared" si="26"/>
        <v>459778.72089515132</v>
      </c>
      <c r="H60" s="1098">
        <f t="shared" si="42"/>
        <v>3032107.7208951511</v>
      </c>
      <c r="I60" s="1099">
        <f>VLOOKUP($A60,'[1]October midyear adj'!$A$122:$K$178,11,FALSE)</f>
        <v>352471.84922151163</v>
      </c>
      <c r="J60" s="1100">
        <f>VLOOKUP($A60,'[1]February midyear adj'!$A$122:$K$178,11,FALSE)</f>
        <v>14863.270750304708</v>
      </c>
      <c r="K60" s="1101">
        <f t="shared" si="27"/>
        <v>367335.11997181631</v>
      </c>
      <c r="L60" s="1098">
        <f t="shared" si="28"/>
        <v>3399442.8408669676</v>
      </c>
      <c r="M60" s="1100">
        <f t="shared" si="43"/>
        <v>-59490.249715171936</v>
      </c>
      <c r="N60" s="1100">
        <f t="shared" si="44"/>
        <v>-8498.6071021674197</v>
      </c>
      <c r="O60" s="1100">
        <f t="shared" si="29"/>
        <v>-67988.856817339358</v>
      </c>
      <c r="P60" s="1098">
        <f t="shared" si="30"/>
        <v>3331453.984049628</v>
      </c>
      <c r="Q60" s="1097">
        <v>-3568.6567184167793</v>
      </c>
      <c r="R60" s="1098">
        <f t="shared" si="88"/>
        <v>3327885.3273312114</v>
      </c>
      <c r="S60" s="1097">
        <f>VLOOKUP($A60,'Table 4 Level 4'!$B$121:$O$177,4,FALSE)</f>
        <v>0</v>
      </c>
      <c r="T60" s="1097">
        <f>'Table 4 Level 4'!O165</f>
        <v>5278</v>
      </c>
      <c r="U60" s="1098">
        <f t="shared" si="45"/>
        <v>3333163.3273312114</v>
      </c>
      <c r="V60" s="1097">
        <f>VLOOKUP($A60,'Table 4 Level 4'!$B$121:$O$177,9,FALSE)</f>
        <v>0</v>
      </c>
      <c r="W60" s="1097">
        <f>VLOOKUP($A60,'Table 4 Level 4'!$B$121:$O$177,11,FALSE)</f>
        <v>0</v>
      </c>
      <c r="X60" s="1097">
        <f>VLOOKUP($A60,'Table 4 Level 4'!$B$121:$O$177,12,FALSE)</f>
        <v>0</v>
      </c>
      <c r="Y60" s="1098">
        <f t="shared" si="46"/>
        <v>3333163.3273312114</v>
      </c>
      <c r="Z60" s="1097">
        <f t="shared" si="86"/>
        <v>4809</v>
      </c>
      <c r="AA60" s="1097"/>
      <c r="AB60" s="1102">
        <f t="shared" si="89"/>
        <v>3433626</v>
      </c>
      <c r="AC60" s="1103">
        <f>VLOOKUP($A60,'[1]October midyear adj'!$A$122:$K$178,5,FALSE)</f>
        <v>83</v>
      </c>
      <c r="AD60" s="1100">
        <f t="shared" si="90"/>
        <v>399147</v>
      </c>
      <c r="AE60" s="1103">
        <f>VLOOKUP($A60,'[1]February midyear adj'!$A$122:$K$178,5,FALSE)</f>
        <v>7</v>
      </c>
      <c r="AF60" s="1100">
        <f t="shared" si="91"/>
        <v>16831.5</v>
      </c>
      <c r="AG60" s="1101">
        <f t="shared" si="38"/>
        <v>415978.5</v>
      </c>
      <c r="AH60" s="1104">
        <f t="shared" si="39"/>
        <v>3849604.5</v>
      </c>
      <c r="AI60" s="1097">
        <f t="shared" si="47"/>
        <v>-67368.078750000001</v>
      </c>
      <c r="AJ60" s="1097">
        <f t="shared" si="48"/>
        <v>-9624.0112499999996</v>
      </c>
      <c r="AK60" s="1097">
        <f t="shared" si="49"/>
        <v>-76992.09</v>
      </c>
      <c r="AL60" s="1102">
        <f t="shared" si="40"/>
        <v>3772612.41</v>
      </c>
      <c r="AM60" s="1097">
        <v>0</v>
      </c>
      <c r="AN60" s="1104">
        <f t="shared" si="77"/>
        <v>3772612.41</v>
      </c>
      <c r="AO60" s="1100">
        <f>'[17]RSD Orleans Allocation'!BF58</f>
        <v>2178462</v>
      </c>
      <c r="AP60" s="1100">
        <f t="shared" si="41"/>
        <v>1594150.4100000001</v>
      </c>
      <c r="AQ60" s="1104">
        <f t="shared" si="79"/>
        <v>398538</v>
      </c>
    </row>
    <row r="61" spans="1:43" s="1048" customFormat="1" ht="16.899999999999999" customHeight="1">
      <c r="A61" s="1067">
        <v>398002</v>
      </c>
      <c r="B61" s="1068" t="s">
        <v>786</v>
      </c>
      <c r="C61" s="1069">
        <f>IFERROR(VLOOKUP(A61,'[18]RSD-NO by Site'!$B$5:$D$62,3,FALSE),"na")</f>
        <v>878</v>
      </c>
      <c r="D61" s="1070">
        <f t="shared" si="87"/>
        <v>3602.7009974327857</v>
      </c>
      <c r="E61" s="1070">
        <f t="shared" si="25"/>
        <v>3163171</v>
      </c>
      <c r="F61" s="1070">
        <v>724.79250196607131</v>
      </c>
      <c r="G61" s="1070">
        <f t="shared" si="26"/>
        <v>636367.81672621064</v>
      </c>
      <c r="H61" s="1071">
        <f t="shared" si="42"/>
        <v>3799538.8167262105</v>
      </c>
      <c r="I61" s="1072">
        <f>VLOOKUP($A61,'[1]October midyear adj'!$A$122:$K$178,11,FALSE)</f>
        <v>173099.73997595429</v>
      </c>
      <c r="J61" s="1073">
        <f>VLOOKUP($A61,'[1]February midyear adj'!$A$122:$K$178,11,FALSE)</f>
        <v>41111.188244289144</v>
      </c>
      <c r="K61" s="1074">
        <f t="shared" si="27"/>
        <v>214210.92822024343</v>
      </c>
      <c r="L61" s="1071">
        <f t="shared" si="28"/>
        <v>4013749.7449464537</v>
      </c>
      <c r="M61" s="1073">
        <f t="shared" si="43"/>
        <v>-70240.620536562943</v>
      </c>
      <c r="N61" s="1073">
        <f t="shared" si="44"/>
        <v>-10034.374362366134</v>
      </c>
      <c r="O61" s="1073">
        <f t="shared" si="29"/>
        <v>-80274.994898929071</v>
      </c>
      <c r="P61" s="1071">
        <f t="shared" si="30"/>
        <v>3933474.7500475245</v>
      </c>
      <c r="Q61" s="1075">
        <v>0</v>
      </c>
      <c r="R61" s="1071">
        <f t="shared" si="88"/>
        <v>3933474.7500475245</v>
      </c>
      <c r="S61" s="1075">
        <f>VLOOKUP($A61,'Table 4 Level 4'!$B$121:$O$177,4,FALSE)</f>
        <v>0</v>
      </c>
      <c r="T61" s="1075">
        <f>'Table 4 Level 4'!O166</f>
        <v>5538</v>
      </c>
      <c r="U61" s="1071">
        <f t="shared" si="45"/>
        <v>3939012.7500475245</v>
      </c>
      <c r="V61" s="1075">
        <f>VLOOKUP($A61,'Table 4 Level 4'!$B$121:$O$177,9,FALSE)</f>
        <v>0</v>
      </c>
      <c r="W61" s="1075">
        <f>VLOOKUP($A61,'Table 4 Level 4'!$B$121:$O$177,11,FALSE)</f>
        <v>0</v>
      </c>
      <c r="X61" s="1075">
        <f>VLOOKUP($A61,'Table 4 Level 4'!$B$121:$O$177,12,FALSE)</f>
        <v>52292</v>
      </c>
      <c r="Y61" s="1071">
        <f t="shared" si="46"/>
        <v>3991304.7500475245</v>
      </c>
      <c r="Z61" s="1075">
        <f t="shared" si="86"/>
        <v>4809</v>
      </c>
      <c r="AA61" s="1075"/>
      <c r="AB61" s="1076">
        <f t="shared" si="89"/>
        <v>4222302</v>
      </c>
      <c r="AC61" s="1077">
        <f>VLOOKUP($A61,'[1]October midyear adj'!$A$122:$K$178,5,FALSE)</f>
        <v>40</v>
      </c>
      <c r="AD61" s="1073">
        <f t="shared" si="90"/>
        <v>192360</v>
      </c>
      <c r="AE61" s="1077">
        <f>VLOOKUP($A61,'[1]February midyear adj'!$A$122:$K$178,5,FALSE)</f>
        <v>19</v>
      </c>
      <c r="AF61" s="1073">
        <f t="shared" si="91"/>
        <v>45685.5</v>
      </c>
      <c r="AG61" s="1074">
        <f t="shared" si="38"/>
        <v>238045.5</v>
      </c>
      <c r="AH61" s="1078">
        <f t="shared" si="39"/>
        <v>4460347.5</v>
      </c>
      <c r="AI61" s="1075">
        <f t="shared" si="47"/>
        <v>-78056.081250000003</v>
      </c>
      <c r="AJ61" s="1075">
        <f t="shared" si="48"/>
        <v>-11150.86875</v>
      </c>
      <c r="AK61" s="1075">
        <f t="shared" si="49"/>
        <v>-89206.95</v>
      </c>
      <c r="AL61" s="1076">
        <f t="shared" si="40"/>
        <v>4371140.55</v>
      </c>
      <c r="AM61" s="1075">
        <v>0</v>
      </c>
      <c r="AN61" s="1078">
        <f t="shared" si="77"/>
        <v>4371140.55</v>
      </c>
      <c r="AO61" s="1073">
        <f>'[17]RSD Orleans Allocation'!BF59</f>
        <v>2678836</v>
      </c>
      <c r="AP61" s="1073">
        <f t="shared" si="41"/>
        <v>1692304.5499999998</v>
      </c>
      <c r="AQ61" s="1078">
        <f t="shared" si="79"/>
        <v>423076</v>
      </c>
    </row>
    <row r="62" spans="1:43" s="1048" customFormat="1" ht="16.899999999999999" customHeight="1">
      <c r="A62" s="1079">
        <v>398003</v>
      </c>
      <c r="B62" s="1080" t="s">
        <v>533</v>
      </c>
      <c r="C62" s="1081">
        <f>IFERROR(VLOOKUP(A62,'[18]RSD-NO by Site'!$B$5:$D$62,3,FALSE),"na")</f>
        <v>430</v>
      </c>
      <c r="D62" s="1082">
        <f t="shared" si="87"/>
        <v>3602.7009974327857</v>
      </c>
      <c r="E62" s="1082">
        <f t="shared" si="25"/>
        <v>1549161</v>
      </c>
      <c r="F62" s="1082">
        <v>592.5310423197493</v>
      </c>
      <c r="G62" s="1082">
        <f t="shared" si="26"/>
        <v>254788.34819749219</v>
      </c>
      <c r="H62" s="1083">
        <f t="shared" si="42"/>
        <v>1803949.3481974923</v>
      </c>
      <c r="I62" s="1084">
        <f>VLOOKUP($A62,'[1]October midyear adj'!$A$122:$K$178,11,FALSE)</f>
        <v>-50342.784477030415</v>
      </c>
      <c r="J62" s="1085">
        <f>VLOOKUP($A62,'[1]February midyear adj'!$A$122:$K$178,11,FALSE)</f>
        <v>6292.8480596288018</v>
      </c>
      <c r="K62" s="1086">
        <f t="shared" si="27"/>
        <v>-44049.936417401615</v>
      </c>
      <c r="L62" s="1083">
        <f t="shared" si="28"/>
        <v>1759899.4117800908</v>
      </c>
      <c r="M62" s="1085">
        <f t="shared" si="43"/>
        <v>-30798.239706151591</v>
      </c>
      <c r="N62" s="1085">
        <f t="shared" si="44"/>
        <v>-4399.7485294502267</v>
      </c>
      <c r="O62" s="1085">
        <f t="shared" si="29"/>
        <v>-35197.988235601821</v>
      </c>
      <c r="P62" s="1083">
        <f t="shared" si="30"/>
        <v>1724701.4235444888</v>
      </c>
      <c r="Q62" s="1087">
        <v>0</v>
      </c>
      <c r="R62" s="1083">
        <f t="shared" si="88"/>
        <v>1724701.4235444888</v>
      </c>
      <c r="S62" s="1087">
        <f>VLOOKUP($A62,'Table 4 Level 4'!$B$121:$O$177,4,FALSE)</f>
        <v>0</v>
      </c>
      <c r="T62" s="1087">
        <f>'Table 4 Level 4'!O167</f>
        <v>5538</v>
      </c>
      <c r="U62" s="1083">
        <f t="shared" si="45"/>
        <v>1730239.4235444888</v>
      </c>
      <c r="V62" s="1087">
        <f>VLOOKUP($A62,'Table 4 Level 4'!$B$121:$O$177,9,FALSE)</f>
        <v>0</v>
      </c>
      <c r="W62" s="1087">
        <f>VLOOKUP($A62,'Table 4 Level 4'!$B$121:$O$177,11,FALSE)</f>
        <v>0</v>
      </c>
      <c r="X62" s="1087">
        <f>VLOOKUP($A62,'Table 4 Level 4'!$B$121:$O$177,12,FALSE)</f>
        <v>8587</v>
      </c>
      <c r="Y62" s="1083">
        <f t="shared" si="46"/>
        <v>1738826.4235444888</v>
      </c>
      <c r="Z62" s="1087">
        <f t="shared" si="86"/>
        <v>4809</v>
      </c>
      <c r="AA62" s="1087"/>
      <c r="AB62" s="1088">
        <f t="shared" si="89"/>
        <v>2067870</v>
      </c>
      <c r="AC62" s="1089">
        <f>VLOOKUP($A62,'[1]October midyear adj'!$A$122:$K$178,5,FALSE)</f>
        <v>-12</v>
      </c>
      <c r="AD62" s="1085">
        <f t="shared" si="90"/>
        <v>-57708</v>
      </c>
      <c r="AE62" s="1089">
        <f>VLOOKUP($A62,'[1]February midyear adj'!$A$122:$K$178,5,FALSE)</f>
        <v>3</v>
      </c>
      <c r="AF62" s="1085">
        <f t="shared" si="91"/>
        <v>7213.5</v>
      </c>
      <c r="AG62" s="1086">
        <f t="shared" si="38"/>
        <v>-50494.5</v>
      </c>
      <c r="AH62" s="1090">
        <f t="shared" si="39"/>
        <v>2017375.5</v>
      </c>
      <c r="AI62" s="1087">
        <f t="shared" si="47"/>
        <v>-35304.071250000001</v>
      </c>
      <c r="AJ62" s="1087">
        <f t="shared" si="48"/>
        <v>-5043.4387500000003</v>
      </c>
      <c r="AK62" s="1087">
        <f t="shared" si="49"/>
        <v>-40347.51</v>
      </c>
      <c r="AL62" s="1088">
        <f t="shared" si="40"/>
        <v>1977027.99</v>
      </c>
      <c r="AM62" s="1087">
        <v>0</v>
      </c>
      <c r="AN62" s="1090">
        <f t="shared" si="77"/>
        <v>1977027.99</v>
      </c>
      <c r="AO62" s="1085">
        <f>'[17]RSD Orleans Allocation'!BF60</f>
        <v>1311960</v>
      </c>
      <c r="AP62" s="1085">
        <f t="shared" si="41"/>
        <v>665067.99</v>
      </c>
      <c r="AQ62" s="1090">
        <f t="shared" si="79"/>
        <v>166267</v>
      </c>
    </row>
    <row r="63" spans="1:43" s="1048" customFormat="1" ht="16.899999999999999" customHeight="1">
      <c r="A63" s="1079">
        <v>398004</v>
      </c>
      <c r="B63" s="1080" t="s">
        <v>687</v>
      </c>
      <c r="C63" s="1081">
        <f>IFERROR(VLOOKUP(A63,'[18]RSD-NO by Site'!$B$5:$D$62,3,FALSE),"na")</f>
        <v>524</v>
      </c>
      <c r="D63" s="1082">
        <f t="shared" si="87"/>
        <v>3602.7009974327857</v>
      </c>
      <c r="E63" s="1082">
        <f t="shared" si="25"/>
        <v>1887815</v>
      </c>
      <c r="F63" s="1082">
        <v>741.31578947368428</v>
      </c>
      <c r="G63" s="1082">
        <f t="shared" si="26"/>
        <v>388449.47368421056</v>
      </c>
      <c r="H63" s="1083">
        <f t="shared" si="42"/>
        <v>2276264.4736842103</v>
      </c>
      <c r="I63" s="1084">
        <f>VLOOKUP($A63,'[1]October midyear adj'!$A$122:$K$178,11,FALSE)</f>
        <v>-34752.134295251759</v>
      </c>
      <c r="J63" s="1085">
        <f>VLOOKUP($A63,'[1]February midyear adj'!$A$122:$K$178,11,FALSE)</f>
        <v>13032.05036071941</v>
      </c>
      <c r="K63" s="1086">
        <f t="shared" si="27"/>
        <v>-21720.083934532347</v>
      </c>
      <c r="L63" s="1083">
        <f t="shared" si="28"/>
        <v>2254544.3897496779</v>
      </c>
      <c r="M63" s="1085">
        <f t="shared" si="43"/>
        <v>-39454.526820619365</v>
      </c>
      <c r="N63" s="1085">
        <f t="shared" si="44"/>
        <v>-5636.3609743741945</v>
      </c>
      <c r="O63" s="1085">
        <f t="shared" si="29"/>
        <v>-45090.887794993556</v>
      </c>
      <c r="P63" s="1083">
        <f t="shared" si="30"/>
        <v>2209453.5019546845</v>
      </c>
      <c r="Q63" s="1087">
        <v>0</v>
      </c>
      <c r="R63" s="1083">
        <f t="shared" si="88"/>
        <v>2209453.5019546845</v>
      </c>
      <c r="S63" s="1087">
        <f>VLOOKUP($A63,'Table 4 Level 4'!$B$121:$O$177,4,FALSE)</f>
        <v>0</v>
      </c>
      <c r="T63" s="1087">
        <f>'Table 4 Level 4'!O168</f>
        <v>0</v>
      </c>
      <c r="U63" s="1083">
        <f t="shared" si="45"/>
        <v>2209453.5019546845</v>
      </c>
      <c r="V63" s="1087">
        <f>VLOOKUP($A63,'Table 4 Level 4'!$B$121:$O$177,9,FALSE)</f>
        <v>0</v>
      </c>
      <c r="W63" s="1087">
        <f>VLOOKUP($A63,'Table 4 Level 4'!$B$121:$O$177,11,FALSE)</f>
        <v>0</v>
      </c>
      <c r="X63" s="1087">
        <f>VLOOKUP($A63,'Table 4 Level 4'!$B$121:$O$177,12,FALSE)</f>
        <v>6230</v>
      </c>
      <c r="Y63" s="1083">
        <f t="shared" si="46"/>
        <v>2215683.5019546845</v>
      </c>
      <c r="Z63" s="1087">
        <f t="shared" si="86"/>
        <v>4809</v>
      </c>
      <c r="AA63" s="1087"/>
      <c r="AB63" s="1088">
        <f t="shared" si="89"/>
        <v>2519916</v>
      </c>
      <c r="AC63" s="1089">
        <f>VLOOKUP($A63,'[1]October midyear adj'!$A$122:$K$178,5,FALSE)</f>
        <v>-8</v>
      </c>
      <c r="AD63" s="1085">
        <f t="shared" si="90"/>
        <v>-38472</v>
      </c>
      <c r="AE63" s="1089">
        <f>VLOOKUP($A63,'[1]February midyear adj'!$A$122:$K$178,5,FALSE)</f>
        <v>6</v>
      </c>
      <c r="AF63" s="1085">
        <f t="shared" si="91"/>
        <v>14427</v>
      </c>
      <c r="AG63" s="1086">
        <f t="shared" si="38"/>
        <v>-24045</v>
      </c>
      <c r="AH63" s="1090">
        <f t="shared" si="39"/>
        <v>2495871</v>
      </c>
      <c r="AI63" s="1087">
        <f t="shared" si="47"/>
        <v>-43677.742500000008</v>
      </c>
      <c r="AJ63" s="1087">
        <f t="shared" si="48"/>
        <v>-6239.6774999999998</v>
      </c>
      <c r="AK63" s="1087">
        <f t="shared" si="49"/>
        <v>-49917.420000000006</v>
      </c>
      <c r="AL63" s="1088">
        <f t="shared" si="40"/>
        <v>2445953.58</v>
      </c>
      <c r="AM63" s="1087">
        <v>0</v>
      </c>
      <c r="AN63" s="1090">
        <f t="shared" si="77"/>
        <v>2445953.58</v>
      </c>
      <c r="AO63" s="1085">
        <f>'[17]RSD Orleans Allocation'!BF61</f>
        <v>1598760</v>
      </c>
      <c r="AP63" s="1085">
        <f t="shared" si="41"/>
        <v>847193.58000000007</v>
      </c>
      <c r="AQ63" s="1090">
        <f t="shared" si="79"/>
        <v>211798</v>
      </c>
    </row>
    <row r="64" spans="1:43" s="1048" customFormat="1" ht="16.899999999999999" customHeight="1">
      <c r="A64" s="1091">
        <v>398005</v>
      </c>
      <c r="B64" s="1092" t="s">
        <v>534</v>
      </c>
      <c r="C64" s="1081">
        <f>IFERROR(VLOOKUP(A64,'[18]RSD-NO by Site'!$B$5:$D$62,3,FALSE),"na")</f>
        <v>418</v>
      </c>
      <c r="D64" s="1082">
        <f t="shared" si="87"/>
        <v>3602.7009974327857</v>
      </c>
      <c r="E64" s="1082">
        <f t="shared" si="25"/>
        <v>1505929</v>
      </c>
      <c r="F64" s="1087">
        <v>746.0335616438357</v>
      </c>
      <c r="G64" s="1082">
        <f t="shared" si="26"/>
        <v>311842.02876712329</v>
      </c>
      <c r="H64" s="1083">
        <f t="shared" si="42"/>
        <v>1817771.0287671234</v>
      </c>
      <c r="I64" s="1084">
        <f>VLOOKUP($A64,'[1]October midyear adj'!$A$122:$K$178,11,FALSE)</f>
        <v>117415.83309506878</v>
      </c>
      <c r="J64" s="1085">
        <f>VLOOKUP($A64,'[1]February midyear adj'!$A$122:$K$178,11,FALSE)</f>
        <v>-2174.3672795383109</v>
      </c>
      <c r="K64" s="1086">
        <f t="shared" si="27"/>
        <v>115241.46581553046</v>
      </c>
      <c r="L64" s="1083">
        <f t="shared" si="28"/>
        <v>1933012.4945826537</v>
      </c>
      <c r="M64" s="1085">
        <f t="shared" si="43"/>
        <v>-33827.718655196441</v>
      </c>
      <c r="N64" s="1085">
        <f t="shared" si="44"/>
        <v>-4832.5312364566344</v>
      </c>
      <c r="O64" s="1085">
        <f t="shared" si="29"/>
        <v>-38660.249891653075</v>
      </c>
      <c r="P64" s="1083">
        <f t="shared" si="30"/>
        <v>1894352.2446910008</v>
      </c>
      <c r="Q64" s="1087">
        <v>0</v>
      </c>
      <c r="R64" s="1083">
        <f t="shared" si="88"/>
        <v>1894352.2446910008</v>
      </c>
      <c r="S64" s="1087">
        <f>VLOOKUP($A64,'Table 4 Level 4'!$B$121:$O$177,4,FALSE)</f>
        <v>0</v>
      </c>
      <c r="T64" s="1087">
        <f>'Table 4 Level 4'!O169</f>
        <v>10868</v>
      </c>
      <c r="U64" s="1083">
        <f t="shared" si="45"/>
        <v>1905220.2446910008</v>
      </c>
      <c r="V64" s="1087">
        <f>VLOOKUP($A64,'Table 4 Level 4'!$B$121:$O$177,9,FALSE)</f>
        <v>0</v>
      </c>
      <c r="W64" s="1087">
        <f>VLOOKUP($A64,'Table 4 Level 4'!$B$121:$O$177,11,FALSE)</f>
        <v>10000</v>
      </c>
      <c r="X64" s="1087">
        <f>VLOOKUP($A64,'Table 4 Level 4'!$B$121:$O$177,12,FALSE)</f>
        <v>0</v>
      </c>
      <c r="Y64" s="1083">
        <f t="shared" si="46"/>
        <v>1915220.2446910008</v>
      </c>
      <c r="Z64" s="1087">
        <f t="shared" si="86"/>
        <v>4809</v>
      </c>
      <c r="AA64" s="1087"/>
      <c r="AB64" s="1088">
        <f t="shared" si="89"/>
        <v>2010162</v>
      </c>
      <c r="AC64" s="1089">
        <f>VLOOKUP($A64,'[1]October midyear adj'!$A$122:$K$178,5,FALSE)</f>
        <v>27</v>
      </c>
      <c r="AD64" s="1085">
        <f t="shared" si="90"/>
        <v>129843</v>
      </c>
      <c r="AE64" s="1089">
        <f>VLOOKUP($A64,'[1]February midyear adj'!$A$122:$K$178,5,FALSE)</f>
        <v>-1</v>
      </c>
      <c r="AF64" s="1085">
        <f t="shared" si="91"/>
        <v>-2404.5</v>
      </c>
      <c r="AG64" s="1086">
        <f t="shared" si="38"/>
        <v>127438.5</v>
      </c>
      <c r="AH64" s="1090">
        <f t="shared" si="39"/>
        <v>2137600.5</v>
      </c>
      <c r="AI64" s="1087">
        <f t="shared" si="47"/>
        <v>-37408.008750000001</v>
      </c>
      <c r="AJ64" s="1087">
        <f t="shared" si="48"/>
        <v>-5344.0012500000003</v>
      </c>
      <c r="AK64" s="1087">
        <f t="shared" si="49"/>
        <v>-42752.01</v>
      </c>
      <c r="AL64" s="1088">
        <f t="shared" si="40"/>
        <v>2094848.49</v>
      </c>
      <c r="AM64" s="1087">
        <v>0</v>
      </c>
      <c r="AN64" s="1090">
        <f t="shared" si="77"/>
        <v>2094848.49</v>
      </c>
      <c r="AO64" s="1085">
        <f>'[17]RSD Orleans Allocation'!BF62</f>
        <v>1275344</v>
      </c>
      <c r="AP64" s="1085">
        <f t="shared" si="41"/>
        <v>819504.49</v>
      </c>
      <c r="AQ64" s="1090">
        <f t="shared" si="79"/>
        <v>204876</v>
      </c>
    </row>
    <row r="65" spans="1:43" s="1048" customFormat="1" ht="16.899999999999999" customHeight="1">
      <c r="A65" s="1093">
        <v>398006</v>
      </c>
      <c r="B65" s="1094" t="s">
        <v>688</v>
      </c>
      <c r="C65" s="1095">
        <f>IFERROR(VLOOKUP(A65,'[18]RSD-NO by Site'!$B$5:$D$62,3,FALSE),"na")</f>
        <v>770</v>
      </c>
      <c r="D65" s="1096">
        <f t="shared" si="87"/>
        <v>3602.7009974327857</v>
      </c>
      <c r="E65" s="1096">
        <f>ROUND(C65*D65,0)</f>
        <v>2774080</v>
      </c>
      <c r="F65" s="1097">
        <v>746.0335616438357</v>
      </c>
      <c r="G65" s="1096">
        <f>F65*C65</f>
        <v>574445.84246575343</v>
      </c>
      <c r="H65" s="1098">
        <f>E65+G65</f>
        <v>3348525.8424657537</v>
      </c>
      <c r="I65" s="1099">
        <f>VLOOKUP($A65,'[1]October midyear adj'!$A$122:$K$178,11,FALSE)</f>
        <v>278319.01178090379</v>
      </c>
      <c r="J65" s="1100">
        <f>VLOOKUP($A65,'[1]February midyear adj'!$A$122:$K$178,11,FALSE)</f>
        <v>-2174.3672795383109</v>
      </c>
      <c r="K65" s="1101">
        <f t="shared" si="27"/>
        <v>276144.64450136549</v>
      </c>
      <c r="L65" s="1098">
        <f t="shared" si="28"/>
        <v>3624670.4869671194</v>
      </c>
      <c r="M65" s="1100">
        <f t="shared" si="43"/>
        <v>-63431.733521924594</v>
      </c>
      <c r="N65" s="1100">
        <f t="shared" si="44"/>
        <v>-9061.6762174177984</v>
      </c>
      <c r="O65" s="1100">
        <f t="shared" si="29"/>
        <v>-72493.409739342387</v>
      </c>
      <c r="P65" s="1098">
        <f t="shared" si="30"/>
        <v>3552177.0772277769</v>
      </c>
      <c r="Q65" s="1097">
        <v>0</v>
      </c>
      <c r="R65" s="1098">
        <f t="shared" si="88"/>
        <v>3552177.0772277769</v>
      </c>
      <c r="S65" s="1097">
        <f>VLOOKUP($A65,'Table 4 Level 4'!$B$121:$O$177,4,FALSE)</f>
        <v>0</v>
      </c>
      <c r="T65" s="1097">
        <f>'Table 4 Level 4'!O170</f>
        <v>5408</v>
      </c>
      <c r="U65" s="1098">
        <f t="shared" si="45"/>
        <v>3557585.0772277769</v>
      </c>
      <c r="V65" s="1097">
        <f>VLOOKUP($A65,'Table 4 Level 4'!$B$121:$O$177,9,FALSE)</f>
        <v>0</v>
      </c>
      <c r="W65" s="1097">
        <f>VLOOKUP($A65,'Table 4 Level 4'!$B$121:$O$177,11,FALSE)</f>
        <v>0</v>
      </c>
      <c r="X65" s="1097">
        <f>VLOOKUP($A65,'Table 4 Level 4'!$B$121:$O$177,12,FALSE)</f>
        <v>19001</v>
      </c>
      <c r="Y65" s="1098">
        <f t="shared" si="46"/>
        <v>3576586.0772277769</v>
      </c>
      <c r="Z65" s="1097">
        <f t="shared" si="86"/>
        <v>4809</v>
      </c>
      <c r="AA65" s="1097"/>
      <c r="AB65" s="1102">
        <f t="shared" si="89"/>
        <v>3702930</v>
      </c>
      <c r="AC65" s="1103">
        <f>VLOOKUP($A65,'[1]October midyear adj'!$A$122:$K$178,5,FALSE)</f>
        <v>64</v>
      </c>
      <c r="AD65" s="1100">
        <f t="shared" si="90"/>
        <v>307776</v>
      </c>
      <c r="AE65" s="1103">
        <f>VLOOKUP($A65,'[1]February midyear adj'!$A$122:$K$178,5,FALSE)</f>
        <v>-1</v>
      </c>
      <c r="AF65" s="1100">
        <f t="shared" si="91"/>
        <v>-2404.5</v>
      </c>
      <c r="AG65" s="1101">
        <f t="shared" si="38"/>
        <v>305371.5</v>
      </c>
      <c r="AH65" s="1104">
        <f t="shared" si="39"/>
        <v>4008301.5</v>
      </c>
      <c r="AI65" s="1097">
        <f t="shared" si="47"/>
        <v>-70145.27625000001</v>
      </c>
      <c r="AJ65" s="1097">
        <f t="shared" si="48"/>
        <v>-10020.75375</v>
      </c>
      <c r="AK65" s="1097">
        <f t="shared" si="49"/>
        <v>-80166.030000000013</v>
      </c>
      <c r="AL65" s="1102">
        <f t="shared" si="40"/>
        <v>3928135.47</v>
      </c>
      <c r="AM65" s="1097">
        <v>0</v>
      </c>
      <c r="AN65" s="1104">
        <f t="shared" si="77"/>
        <v>3928135.47</v>
      </c>
      <c r="AO65" s="1100">
        <f>'[17]RSD Orleans Allocation'!BF63</f>
        <v>2349320</v>
      </c>
      <c r="AP65" s="1100">
        <f t="shared" si="41"/>
        <v>1578815.4700000002</v>
      </c>
      <c r="AQ65" s="1104">
        <f t="shared" si="79"/>
        <v>394704</v>
      </c>
    </row>
    <row r="66" spans="1:43" s="1048" customFormat="1" ht="16.899999999999999" customHeight="1">
      <c r="A66" s="1067">
        <v>398007</v>
      </c>
      <c r="B66" s="1068" t="s">
        <v>511</v>
      </c>
      <c r="C66" s="1069">
        <v>100</v>
      </c>
      <c r="D66" s="1070">
        <f t="shared" si="87"/>
        <v>3602.7009974327857</v>
      </c>
      <c r="E66" s="1070">
        <f>ROUND(C66*D66,0)</f>
        <v>360270</v>
      </c>
      <c r="F66" s="1070">
        <f>F65</f>
        <v>746.0335616438357</v>
      </c>
      <c r="G66" s="1070">
        <f>F66*C66</f>
        <v>74603.356164383571</v>
      </c>
      <c r="H66" s="1071">
        <f>E66+G66</f>
        <v>434873.35616438359</v>
      </c>
      <c r="I66" s="1072">
        <f>VLOOKUP($A66,'[1]October midyear adj'!$A$122:$K$178,11,FALSE)</f>
        <v>-26092.40735445973</v>
      </c>
      <c r="J66" s="1073">
        <f>VLOOKUP($A66,'[1]February midyear adj'!$A$122:$K$178,11,FALSE)</f>
        <v>17394.938236306487</v>
      </c>
      <c r="K66" s="1074">
        <f t="shared" ref="K66" si="92">+I66+J66</f>
        <v>-8697.4691181532435</v>
      </c>
      <c r="L66" s="1071">
        <f t="shared" ref="L66" si="93">+H66+K66</f>
        <v>426175.88704623032</v>
      </c>
      <c r="M66" s="1073">
        <f t="shared" ref="M66" si="94">-L66*$M$4</f>
        <v>-7458.0780233090309</v>
      </c>
      <c r="N66" s="1073">
        <f t="shared" ref="N66" si="95">-L66*$N$4</f>
        <v>-1065.4397176155758</v>
      </c>
      <c r="O66" s="1073">
        <f t="shared" ref="O66" si="96">+M66+N66</f>
        <v>-8523.5177409246062</v>
      </c>
      <c r="P66" s="1071">
        <f t="shared" ref="P66" si="97">+L66+O66</f>
        <v>417652.36930530571</v>
      </c>
      <c r="Q66" s="1075">
        <v>0</v>
      </c>
      <c r="R66" s="1071">
        <f t="shared" si="88"/>
        <v>417652.36930530571</v>
      </c>
      <c r="S66" s="1075">
        <f>VLOOKUP($A66,'Table 4 Level 4'!$B$121:$O$177,4,FALSE)</f>
        <v>0</v>
      </c>
      <c r="T66" s="1075">
        <f>'Table 4 Level 4'!O171</f>
        <v>0</v>
      </c>
      <c r="U66" s="1071">
        <f t="shared" si="45"/>
        <v>417652.36930530571</v>
      </c>
      <c r="V66" s="1075">
        <f>VLOOKUP($A66,'Table 4 Level 4'!$B$121:$O$177,9,FALSE)</f>
        <v>0</v>
      </c>
      <c r="W66" s="1075">
        <f>VLOOKUP($A66,'Table 4 Level 4'!$B$121:$O$177,11,FALSE)</f>
        <v>0</v>
      </c>
      <c r="X66" s="1075">
        <f>VLOOKUP($A66,'Table 4 Level 4'!$B$121:$O$177,12,FALSE)</f>
        <v>0</v>
      </c>
      <c r="Y66" s="1071">
        <f t="shared" si="46"/>
        <v>417652.36930530571</v>
      </c>
      <c r="Z66" s="1075">
        <f t="shared" si="86"/>
        <v>4809</v>
      </c>
      <c r="AA66" s="1075"/>
      <c r="AB66" s="1076">
        <f t="shared" si="89"/>
        <v>480900</v>
      </c>
      <c r="AC66" s="1077">
        <f>VLOOKUP($A66,'[1]October midyear adj'!$A$122:$K$178,5,FALSE)</f>
        <v>-6</v>
      </c>
      <c r="AD66" s="1073">
        <f t="shared" si="90"/>
        <v>-28854</v>
      </c>
      <c r="AE66" s="1077">
        <f>VLOOKUP($A66,'[1]February midyear adj'!$A$122:$K$178,5,FALSE)</f>
        <v>8</v>
      </c>
      <c r="AF66" s="1073">
        <f t="shared" si="91"/>
        <v>19236</v>
      </c>
      <c r="AG66" s="1074">
        <f t="shared" ref="AG66" si="98">+AD66+AF66</f>
        <v>-9618</v>
      </c>
      <c r="AH66" s="1078">
        <f t="shared" ref="AH66" si="99">+AB66+AG66</f>
        <v>471282</v>
      </c>
      <c r="AI66" s="1075">
        <f t="shared" ref="AI66" si="100">-$AI$4*AH66</f>
        <v>-8247.4350000000013</v>
      </c>
      <c r="AJ66" s="1075">
        <f t="shared" ref="AJ66" si="101">-$AJ$4*AH66</f>
        <v>-1178.2049999999999</v>
      </c>
      <c r="AK66" s="1075">
        <f t="shared" ref="AK66" si="102">AI66+AJ66</f>
        <v>-9425.6400000000012</v>
      </c>
      <c r="AL66" s="1076">
        <f t="shared" ref="AL66" si="103">AH66+AK66</f>
        <v>461856.36</v>
      </c>
      <c r="AM66" s="1075">
        <v>0</v>
      </c>
      <c r="AN66" s="1078">
        <f t="shared" si="77"/>
        <v>461856.36</v>
      </c>
      <c r="AO66" s="1073">
        <f>'[17]RSD Orleans Allocation'!BF64</f>
        <v>305106</v>
      </c>
      <c r="AP66" s="1073">
        <f t="shared" ref="AP66" si="104">+AN66-AO66</f>
        <v>156750.35999999999</v>
      </c>
      <c r="AQ66" s="1078">
        <f t="shared" si="79"/>
        <v>39188</v>
      </c>
    </row>
    <row r="67" spans="1:43" s="1048" customFormat="1" ht="16.899999999999999" customHeight="1">
      <c r="A67" s="1079">
        <v>399001</v>
      </c>
      <c r="B67" s="1080" t="s">
        <v>535</v>
      </c>
      <c r="C67" s="1081">
        <f>IFERROR(VLOOKUP(A67,'[18]RSD-NO by Site'!$B$5:$D$62,3,FALSE),"na")</f>
        <v>482</v>
      </c>
      <c r="D67" s="1082">
        <f t="shared" si="87"/>
        <v>3602.7009974327857</v>
      </c>
      <c r="E67" s="1082">
        <f>ROUND(C67*D67,0)</f>
        <v>1736502</v>
      </c>
      <c r="F67" s="1082">
        <v>752.85062142702634</v>
      </c>
      <c r="G67" s="1082">
        <f>F67*C67</f>
        <v>362873.99952782667</v>
      </c>
      <c r="H67" s="1083">
        <f>E67+G67</f>
        <v>2099375.9995278269</v>
      </c>
      <c r="I67" s="1084">
        <f>VLOOKUP($A67,'[1]October midyear adj'!$A$122:$K$178,11,FALSE)</f>
        <v>174222.06475439249</v>
      </c>
      <c r="J67" s="1085">
        <f>VLOOKUP($A67,'[1]February midyear adj'!$A$122:$K$178,11,FALSE)</f>
        <v>6533.3274282897182</v>
      </c>
      <c r="K67" s="1086">
        <f t="shared" si="27"/>
        <v>180755.3921826822</v>
      </c>
      <c r="L67" s="1083">
        <f t="shared" si="28"/>
        <v>2280131.3917105091</v>
      </c>
      <c r="M67" s="1085">
        <f t="shared" si="43"/>
        <v>-39902.299354933915</v>
      </c>
      <c r="N67" s="1085">
        <f t="shared" si="44"/>
        <v>-5700.3284792762724</v>
      </c>
      <c r="O67" s="1085">
        <f t="shared" si="29"/>
        <v>-45602.627834210187</v>
      </c>
      <c r="P67" s="1083">
        <f t="shared" si="30"/>
        <v>2234528.7638762989</v>
      </c>
      <c r="Q67" s="1087">
        <v>0</v>
      </c>
      <c r="R67" s="1083">
        <f t="shared" si="88"/>
        <v>2234528.7638762989</v>
      </c>
      <c r="S67" s="1087">
        <f>VLOOKUP($A67,'Table 4 Level 4'!$B$121:$O$177,4,FALSE)</f>
        <v>0</v>
      </c>
      <c r="T67" s="1087">
        <f>'Table 4 Level 4'!O172</f>
        <v>2834</v>
      </c>
      <c r="U67" s="1083">
        <f t="shared" si="45"/>
        <v>2237362.7638762989</v>
      </c>
      <c r="V67" s="1087">
        <f>VLOOKUP($A67,'Table 4 Level 4'!$B$121:$O$177,9,FALSE)</f>
        <v>0</v>
      </c>
      <c r="W67" s="1087">
        <f>VLOOKUP($A67,'Table 4 Level 4'!$B$121:$O$177,11,FALSE)</f>
        <v>0</v>
      </c>
      <c r="X67" s="1087">
        <f>VLOOKUP($A67,'Table 4 Level 4'!$B$121:$O$177,12,FALSE)</f>
        <v>0</v>
      </c>
      <c r="Y67" s="1083">
        <f t="shared" si="46"/>
        <v>2237362.7638762989</v>
      </c>
      <c r="Z67" s="1087">
        <f t="shared" si="86"/>
        <v>4809</v>
      </c>
      <c r="AA67" s="1087"/>
      <c r="AB67" s="1088">
        <f t="shared" si="89"/>
        <v>2317938</v>
      </c>
      <c r="AC67" s="1089">
        <f>VLOOKUP($A67,'[1]October midyear adj'!$A$122:$K$178,5,FALSE)</f>
        <v>40</v>
      </c>
      <c r="AD67" s="1085">
        <f t="shared" si="90"/>
        <v>192360</v>
      </c>
      <c r="AE67" s="1089">
        <f>VLOOKUP($A67,'[1]February midyear adj'!$A$122:$K$178,5,FALSE)</f>
        <v>3</v>
      </c>
      <c r="AF67" s="1085">
        <f t="shared" si="91"/>
        <v>7213.5</v>
      </c>
      <c r="AG67" s="1086">
        <f t="shared" si="38"/>
        <v>199573.5</v>
      </c>
      <c r="AH67" s="1090">
        <f t="shared" si="39"/>
        <v>2517511.5</v>
      </c>
      <c r="AI67" s="1087">
        <f t="shared" si="47"/>
        <v>-44056.451250000006</v>
      </c>
      <c r="AJ67" s="1087">
        <f t="shared" si="48"/>
        <v>-6293.7787500000004</v>
      </c>
      <c r="AK67" s="1087">
        <f t="shared" si="49"/>
        <v>-50350.23</v>
      </c>
      <c r="AL67" s="1088">
        <f t="shared" si="40"/>
        <v>2467161.27</v>
      </c>
      <c r="AM67" s="1087">
        <v>0</v>
      </c>
      <c r="AN67" s="1090">
        <f t="shared" si="77"/>
        <v>2467161.27</v>
      </c>
      <c r="AO67" s="1085">
        <f>'[17]RSD Orleans Allocation'!BF65</f>
        <v>1470616</v>
      </c>
      <c r="AP67" s="1085">
        <f t="shared" si="41"/>
        <v>996545.27</v>
      </c>
      <c r="AQ67" s="1090">
        <f t="shared" si="79"/>
        <v>249136</v>
      </c>
    </row>
    <row r="68" spans="1:43" s="1048" customFormat="1" ht="16.899999999999999" customHeight="1">
      <c r="A68" s="1079">
        <v>399002</v>
      </c>
      <c r="B68" s="1080" t="s">
        <v>536</v>
      </c>
      <c r="C68" s="1081">
        <f>IFERROR(VLOOKUP(A68,'[18]RSD-NO by Site'!$B$5:$D$62,3,FALSE),"na")</f>
        <v>583</v>
      </c>
      <c r="D68" s="1082">
        <f t="shared" si="87"/>
        <v>3602.7009974327857</v>
      </c>
      <c r="E68" s="1082">
        <f>ROUND(C68*D68,0)</f>
        <v>2100375</v>
      </c>
      <c r="F68" s="1082">
        <v>803.97152919927748</v>
      </c>
      <c r="G68" s="1082">
        <f>F68*C68</f>
        <v>468715.40152317879</v>
      </c>
      <c r="H68" s="1083">
        <f>E68+G68</f>
        <v>2569090.4015231789</v>
      </c>
      <c r="I68" s="1084">
        <f>VLOOKUP($A68,'[1]October midyear adj'!$A$122:$K$178,11,FALSE)</f>
        <v>489140.65045615897</v>
      </c>
      <c r="J68" s="1085">
        <f>VLOOKUP($A68,'[1]February midyear adj'!$A$122:$K$178,11,FALSE)</f>
        <v>-28643.371423108409</v>
      </c>
      <c r="K68" s="1086">
        <f t="shared" si="27"/>
        <v>460497.27903305058</v>
      </c>
      <c r="L68" s="1083">
        <f t="shared" si="28"/>
        <v>3029587.6805562293</v>
      </c>
      <c r="M68" s="1085">
        <f t="shared" si="43"/>
        <v>-53017.78440973402</v>
      </c>
      <c r="N68" s="1085">
        <f t="shared" si="44"/>
        <v>-7573.9692013905733</v>
      </c>
      <c r="O68" s="1085">
        <f t="shared" si="29"/>
        <v>-60591.753611124594</v>
      </c>
      <c r="P68" s="1083">
        <f t="shared" si="30"/>
        <v>2968995.9269451047</v>
      </c>
      <c r="Q68" s="1087">
        <v>0</v>
      </c>
      <c r="R68" s="1083">
        <f t="shared" si="88"/>
        <v>2968995.9269451047</v>
      </c>
      <c r="S68" s="1087">
        <f>VLOOKUP($A68,'Table 4 Level 4'!$B$121:$O$177,4,FALSE)</f>
        <v>0</v>
      </c>
      <c r="T68" s="1087">
        <f>'Table 4 Level 4'!O173</f>
        <v>2418</v>
      </c>
      <c r="U68" s="1083">
        <f t="shared" si="45"/>
        <v>2971413.9269451047</v>
      </c>
      <c r="V68" s="1087">
        <f>VLOOKUP($A68,'Table 4 Level 4'!$B$121:$O$177,9,FALSE)</f>
        <v>0</v>
      </c>
      <c r="W68" s="1087">
        <f>VLOOKUP($A68,'Table 4 Level 4'!$B$121:$O$177,11,FALSE)</f>
        <v>0</v>
      </c>
      <c r="X68" s="1087">
        <f>VLOOKUP($A68,'Table 4 Level 4'!$B$121:$O$177,12,FALSE)</f>
        <v>22817</v>
      </c>
      <c r="Y68" s="1083">
        <f t="shared" si="46"/>
        <v>2994230.9269451047</v>
      </c>
      <c r="Z68" s="1087">
        <f t="shared" si="86"/>
        <v>4809</v>
      </c>
      <c r="AA68" s="1087"/>
      <c r="AB68" s="1088">
        <f t="shared" si="89"/>
        <v>2803647</v>
      </c>
      <c r="AC68" s="1089">
        <f>VLOOKUP($A68,'[1]October midyear adj'!$A$122:$K$178,5,FALSE)</f>
        <v>111</v>
      </c>
      <c r="AD68" s="1085">
        <f t="shared" si="90"/>
        <v>533799</v>
      </c>
      <c r="AE68" s="1089">
        <f>VLOOKUP($A68,'[1]February midyear adj'!$A$122:$K$178,5,FALSE)</f>
        <v>-13</v>
      </c>
      <c r="AF68" s="1085">
        <f t="shared" si="91"/>
        <v>-31258.5</v>
      </c>
      <c r="AG68" s="1086">
        <f t="shared" si="38"/>
        <v>502540.5</v>
      </c>
      <c r="AH68" s="1090">
        <f t="shared" si="39"/>
        <v>3306187.5</v>
      </c>
      <c r="AI68" s="1087">
        <f t="shared" si="47"/>
        <v>-57858.281250000007</v>
      </c>
      <c r="AJ68" s="1087">
        <f t="shared" si="48"/>
        <v>-8265.46875</v>
      </c>
      <c r="AK68" s="1087">
        <f>AI68+AJ68</f>
        <v>-66123.75</v>
      </c>
      <c r="AL68" s="1088">
        <f t="shared" si="40"/>
        <v>3240063.75</v>
      </c>
      <c r="AM68" s="1087">
        <v>0</v>
      </c>
      <c r="AN68" s="1090">
        <f t="shared" si="77"/>
        <v>3240063.75</v>
      </c>
      <c r="AO68" s="1085">
        <f>'[17]RSD Orleans Allocation'!BF66</f>
        <v>1778771</v>
      </c>
      <c r="AP68" s="1085">
        <f t="shared" si="41"/>
        <v>1461292.75</v>
      </c>
      <c r="AQ68" s="1090">
        <f t="shared" si="79"/>
        <v>365323</v>
      </c>
    </row>
    <row r="69" spans="1:43" s="1048" customFormat="1" ht="16.899999999999999" customHeight="1">
      <c r="A69" s="1091">
        <v>399003</v>
      </c>
      <c r="B69" s="1092" t="s">
        <v>537</v>
      </c>
      <c r="C69" s="1081">
        <f>IFERROR(VLOOKUP(A69,'[18]RSD-NO by Site'!$B$5:$D$62,3,FALSE),"na")</f>
        <v>379</v>
      </c>
      <c r="D69" s="1082">
        <f t="shared" si="87"/>
        <v>3602.7009974327857</v>
      </c>
      <c r="E69" s="1082">
        <f t="shared" ref="E69:E72" si="105">ROUND(C69*D69,0)</f>
        <v>1365424</v>
      </c>
      <c r="F69" s="1087">
        <v>746.0335616438357</v>
      </c>
      <c r="G69" s="1082">
        <f t="shared" ref="G69:G72" si="106">F69*C69</f>
        <v>282746.71986301371</v>
      </c>
      <c r="H69" s="1083">
        <f t="shared" ref="H69:H72" si="107">E69+G69</f>
        <v>1648170.7198630138</v>
      </c>
      <c r="I69" s="1084">
        <f>VLOOKUP($A69,'[1]October midyear adj'!$A$122:$K$178,11,FALSE)</f>
        <v>208739.25883567784</v>
      </c>
      <c r="J69" s="1085">
        <f>VLOOKUP($A69,'[1]February midyear adj'!$A$122:$K$178,11,FALSE)</f>
        <v>-10871.836397691553</v>
      </c>
      <c r="K69" s="1086">
        <f t="shared" si="27"/>
        <v>197867.4224379863</v>
      </c>
      <c r="L69" s="1083">
        <f t="shared" si="28"/>
        <v>1846038.1423010002</v>
      </c>
      <c r="M69" s="1085">
        <f t="shared" si="43"/>
        <v>-32305.667490267508</v>
      </c>
      <c r="N69" s="1085">
        <f t="shared" si="44"/>
        <v>-4615.0953557525008</v>
      </c>
      <c r="O69" s="1085">
        <f t="shared" si="29"/>
        <v>-36920.762846020007</v>
      </c>
      <c r="P69" s="1083">
        <f t="shared" si="30"/>
        <v>1809117.3794549801</v>
      </c>
      <c r="Q69" s="1087">
        <v>-15023.382838063104</v>
      </c>
      <c r="R69" s="1083">
        <f t="shared" si="88"/>
        <v>1794093.996616917</v>
      </c>
      <c r="S69" s="1087">
        <f>VLOOKUP($A69,'Table 4 Level 4'!$B$121:$O$177,4,FALSE)</f>
        <v>0</v>
      </c>
      <c r="T69" s="1087">
        <f>'Table 4 Level 4'!O174</f>
        <v>9854</v>
      </c>
      <c r="U69" s="1083">
        <f t="shared" si="45"/>
        <v>1803947.996616917</v>
      </c>
      <c r="V69" s="1087">
        <f>VLOOKUP($A69,'Table 4 Level 4'!$B$121:$O$177,9,FALSE)</f>
        <v>0</v>
      </c>
      <c r="W69" s="1087">
        <f>VLOOKUP($A69,'Table 4 Level 4'!$B$121:$O$177,11,FALSE)</f>
        <v>10000</v>
      </c>
      <c r="X69" s="1087">
        <f>VLOOKUP($A69,'Table 4 Level 4'!$B$121:$O$177,12,FALSE)</f>
        <v>45468</v>
      </c>
      <c r="Y69" s="1083">
        <f t="shared" si="46"/>
        <v>1859415.996616917</v>
      </c>
      <c r="Z69" s="1087">
        <f t="shared" si="86"/>
        <v>4809</v>
      </c>
      <c r="AA69" s="1087"/>
      <c r="AB69" s="1088">
        <f t="shared" si="89"/>
        <v>1822611</v>
      </c>
      <c r="AC69" s="1089">
        <f>VLOOKUP($A69,'[1]October midyear adj'!$A$122:$K$178,5,FALSE)</f>
        <v>48</v>
      </c>
      <c r="AD69" s="1085">
        <f t="shared" si="90"/>
        <v>230832</v>
      </c>
      <c r="AE69" s="1089">
        <f>VLOOKUP($A69,'[1]February midyear adj'!$A$122:$K$178,5,FALSE)</f>
        <v>-5</v>
      </c>
      <c r="AF69" s="1085">
        <f t="shared" si="91"/>
        <v>-12022.5</v>
      </c>
      <c r="AG69" s="1086">
        <f t="shared" si="38"/>
        <v>218809.5</v>
      </c>
      <c r="AH69" s="1090">
        <f t="shared" si="39"/>
        <v>2041420.5</v>
      </c>
      <c r="AI69" s="1087">
        <f t="shared" si="47"/>
        <v>-35724.858750000007</v>
      </c>
      <c r="AJ69" s="1087">
        <f t="shared" si="48"/>
        <v>-5103.5512500000004</v>
      </c>
      <c r="AK69" s="1087">
        <f t="shared" ref="AK69:AK72" si="108">AI69+AJ69</f>
        <v>-40828.410000000003</v>
      </c>
      <c r="AL69" s="1088">
        <f t="shared" si="40"/>
        <v>2000592.09</v>
      </c>
      <c r="AM69" s="1087">
        <v>-2098</v>
      </c>
      <c r="AN69" s="1090">
        <f t="shared" si="77"/>
        <v>1998494.09</v>
      </c>
      <c r="AO69" s="1085">
        <f>'[17]RSD Orleans Allocation'!BF67</f>
        <v>1154956</v>
      </c>
      <c r="AP69" s="1085">
        <f t="shared" si="41"/>
        <v>843538.09000000008</v>
      </c>
      <c r="AQ69" s="1090">
        <f t="shared" si="79"/>
        <v>210885</v>
      </c>
    </row>
    <row r="70" spans="1:43" s="1048" customFormat="1" ht="28.15" customHeight="1">
      <c r="A70" s="1093">
        <v>399004</v>
      </c>
      <c r="B70" s="1094" t="s">
        <v>737</v>
      </c>
      <c r="C70" s="1095">
        <f>IFERROR(VLOOKUP(A70,'[18]RSD-NO by Site'!$B$5:$D$62,3,FALSE),"na")</f>
        <v>496</v>
      </c>
      <c r="D70" s="1096">
        <f t="shared" si="87"/>
        <v>3602.7009974327857</v>
      </c>
      <c r="E70" s="1096">
        <f t="shared" si="105"/>
        <v>1786940</v>
      </c>
      <c r="F70" s="1097">
        <v>746.0335616438357</v>
      </c>
      <c r="G70" s="1096">
        <f t="shared" si="106"/>
        <v>370032.64657534251</v>
      </c>
      <c r="H70" s="1098">
        <f t="shared" si="107"/>
        <v>2156972.6465753424</v>
      </c>
      <c r="I70" s="1099">
        <f>VLOOKUP($A70,'[1]October midyear adj'!$A$122:$K$178,11,FALSE)</f>
        <v>408781.04855320242</v>
      </c>
      <c r="J70" s="1100">
        <f>VLOOKUP($A70,'[1]February midyear adj'!$A$122:$K$178,11,FALSE)</f>
        <v>-8697.4691181532435</v>
      </c>
      <c r="K70" s="1101">
        <f t="shared" si="27"/>
        <v>400083.57943504915</v>
      </c>
      <c r="L70" s="1098">
        <f t="shared" si="28"/>
        <v>2557056.2260103915</v>
      </c>
      <c r="M70" s="1100">
        <f t="shared" si="43"/>
        <v>-44748.483955181859</v>
      </c>
      <c r="N70" s="1100">
        <f t="shared" si="44"/>
        <v>-6392.6405650259785</v>
      </c>
      <c r="O70" s="1100">
        <f t="shared" si="29"/>
        <v>-51141.124520207835</v>
      </c>
      <c r="P70" s="1098">
        <f t="shared" si="30"/>
        <v>2505915.1014901837</v>
      </c>
      <c r="Q70" s="1097">
        <v>-3568.6567184167793</v>
      </c>
      <c r="R70" s="1098">
        <f t="shared" si="88"/>
        <v>2502346.4447717671</v>
      </c>
      <c r="S70" s="1097">
        <f>VLOOKUP($A70,'Table 4 Level 4'!$B$121:$O$177,4,FALSE)</f>
        <v>0</v>
      </c>
      <c r="T70" s="1097">
        <f>'Table 4 Level 4'!O175</f>
        <v>3068</v>
      </c>
      <c r="U70" s="1098">
        <f t="shared" si="45"/>
        <v>2505414.4447717671</v>
      </c>
      <c r="V70" s="1097">
        <f>VLOOKUP($A70,'Table 4 Level 4'!$B$121:$O$177,9,FALSE)</f>
        <v>0</v>
      </c>
      <c r="W70" s="1097">
        <f>VLOOKUP($A70,'Table 4 Level 4'!$B$121:$O$177,11,FALSE)</f>
        <v>0</v>
      </c>
      <c r="X70" s="1097">
        <f>VLOOKUP($A70,'Table 4 Level 4'!$B$121:$O$177,12,FALSE)</f>
        <v>35202</v>
      </c>
      <c r="Y70" s="1098">
        <f t="shared" si="46"/>
        <v>2540616.4447717671</v>
      </c>
      <c r="Z70" s="1097"/>
      <c r="AA70" s="1097">
        <f>+$AA$4</f>
        <v>5469</v>
      </c>
      <c r="AB70" s="1102">
        <f t="shared" si="89"/>
        <v>2712624</v>
      </c>
      <c r="AC70" s="1103">
        <f>VLOOKUP($A70,'[1]October midyear adj'!$A$122:$K$178,5,FALSE)</f>
        <v>94</v>
      </c>
      <c r="AD70" s="1100">
        <f t="shared" si="90"/>
        <v>514086</v>
      </c>
      <c r="AE70" s="1103">
        <f>VLOOKUP($A70,'[1]February midyear adj'!$A$122:$K$178,5,FALSE)</f>
        <v>-4</v>
      </c>
      <c r="AF70" s="1100">
        <f t="shared" si="91"/>
        <v>-10938</v>
      </c>
      <c r="AG70" s="1101">
        <f t="shared" si="38"/>
        <v>503148</v>
      </c>
      <c r="AH70" s="1104">
        <f t="shared" si="39"/>
        <v>3215772</v>
      </c>
      <c r="AI70" s="1097">
        <f t="shared" si="47"/>
        <v>-56276.01</v>
      </c>
      <c r="AJ70" s="1097">
        <f t="shared" si="48"/>
        <v>-8039.43</v>
      </c>
      <c r="AK70" s="1097">
        <f t="shared" si="108"/>
        <v>-64315.44</v>
      </c>
      <c r="AL70" s="1102">
        <f t="shared" si="40"/>
        <v>3151456.56</v>
      </c>
      <c r="AM70" s="1097">
        <v>0</v>
      </c>
      <c r="AN70" s="1104">
        <f t="shared" si="77"/>
        <v>3151456.56</v>
      </c>
      <c r="AO70" s="1100">
        <f>'[17]RSD Orleans Allocation'!BF68</f>
        <v>1761230</v>
      </c>
      <c r="AP70" s="1100">
        <f t="shared" si="41"/>
        <v>1390226.56</v>
      </c>
      <c r="AQ70" s="1104">
        <f t="shared" si="79"/>
        <v>347557</v>
      </c>
    </row>
    <row r="71" spans="1:43" s="1048" customFormat="1" ht="16.899999999999999" customHeight="1">
      <c r="A71" s="1091">
        <v>399005</v>
      </c>
      <c r="B71" s="1092" t="s">
        <v>538</v>
      </c>
      <c r="C71" s="1081">
        <f>IFERROR(VLOOKUP(A71,'[18]RSD-NO by Site'!$B$5:$D$62,3,FALSE),"na")</f>
        <v>777</v>
      </c>
      <c r="D71" s="1082">
        <f t="shared" si="87"/>
        <v>3602.7009974327857</v>
      </c>
      <c r="E71" s="1082">
        <f t="shared" si="105"/>
        <v>2799299</v>
      </c>
      <c r="F71" s="1087">
        <v>746.0335616438357</v>
      </c>
      <c r="G71" s="1082">
        <f t="shared" si="106"/>
        <v>579668.07739726035</v>
      </c>
      <c r="H71" s="1083">
        <f t="shared" si="107"/>
        <v>3378967.0773972603</v>
      </c>
      <c r="I71" s="1084">
        <f>VLOOKUP($A71,'[1]October midyear adj'!$A$122:$K$178,11,FALSE)</f>
        <v>130462.03677229866</v>
      </c>
      <c r="J71" s="1085">
        <f>VLOOKUP($A71,'[1]February midyear adj'!$A$122:$K$178,11,FALSE)</f>
        <v>13046.203677229865</v>
      </c>
      <c r="K71" s="1086">
        <f t="shared" si="27"/>
        <v>143508.24044952853</v>
      </c>
      <c r="L71" s="1083">
        <f t="shared" si="28"/>
        <v>3522475.317846789</v>
      </c>
      <c r="M71" s="1085">
        <f t="shared" si="43"/>
        <v>-61643.318062318816</v>
      </c>
      <c r="N71" s="1085">
        <f t="shared" si="44"/>
        <v>-8806.1882946169735</v>
      </c>
      <c r="O71" s="1085">
        <f t="shared" si="29"/>
        <v>-70449.506356935788</v>
      </c>
      <c r="P71" s="1083">
        <f t="shared" si="30"/>
        <v>3452025.8114898531</v>
      </c>
      <c r="Q71" s="1087">
        <v>0</v>
      </c>
      <c r="R71" s="1083">
        <f t="shared" si="88"/>
        <v>3452025.8114898531</v>
      </c>
      <c r="S71" s="1087">
        <f>VLOOKUP($A71,'Table 4 Level 4'!$B$121:$O$177,4,FALSE)</f>
        <v>0</v>
      </c>
      <c r="T71" s="1087">
        <f>'Table 4 Level 4'!O176</f>
        <v>4160</v>
      </c>
      <c r="U71" s="1083">
        <f t="shared" si="45"/>
        <v>3456185.8114898531</v>
      </c>
      <c r="V71" s="1087">
        <f>VLOOKUP($A71,'Table 4 Level 4'!$B$121:$O$177,9,FALSE)</f>
        <v>0</v>
      </c>
      <c r="W71" s="1087">
        <f>VLOOKUP($A71,'Table 4 Level 4'!$B$121:$O$177,11,FALSE)</f>
        <v>0</v>
      </c>
      <c r="X71" s="1087">
        <f>VLOOKUP($A71,'Table 4 Level 4'!$B$121:$O$177,12,FALSE)</f>
        <v>26334</v>
      </c>
      <c r="Y71" s="1083">
        <f t="shared" si="46"/>
        <v>3482519.8114898531</v>
      </c>
      <c r="Z71" s="1087">
        <f t="shared" si="86"/>
        <v>4809</v>
      </c>
      <c r="AA71" s="1087"/>
      <c r="AB71" s="1088">
        <f t="shared" si="89"/>
        <v>3736593</v>
      </c>
      <c r="AC71" s="1089">
        <f>VLOOKUP($A71,'[1]October midyear adj'!$A$122:$K$178,5,FALSE)</f>
        <v>30</v>
      </c>
      <c r="AD71" s="1085">
        <f t="shared" si="90"/>
        <v>144270</v>
      </c>
      <c r="AE71" s="1089">
        <f>VLOOKUP($A71,'[1]February midyear adj'!$A$122:$K$178,5,FALSE)</f>
        <v>6</v>
      </c>
      <c r="AF71" s="1085">
        <f t="shared" si="91"/>
        <v>14427</v>
      </c>
      <c r="AG71" s="1086">
        <f t="shared" si="38"/>
        <v>158697</v>
      </c>
      <c r="AH71" s="1090">
        <f t="shared" si="39"/>
        <v>3895290</v>
      </c>
      <c r="AI71" s="1087">
        <f t="shared" si="47"/>
        <v>-68167.575000000012</v>
      </c>
      <c r="AJ71" s="1087">
        <f t="shared" si="48"/>
        <v>-9738.2250000000004</v>
      </c>
      <c r="AK71" s="1087">
        <f t="shared" si="108"/>
        <v>-77905.800000000017</v>
      </c>
      <c r="AL71" s="1088">
        <f t="shared" si="40"/>
        <v>3817384.2</v>
      </c>
      <c r="AM71" s="1087">
        <v>0</v>
      </c>
      <c r="AN71" s="1090">
        <f t="shared" si="77"/>
        <v>3817384.2</v>
      </c>
      <c r="AO71" s="1085">
        <f>'[17]RSD Orleans Allocation'!BF69</f>
        <v>2370680</v>
      </c>
      <c r="AP71" s="1085">
        <f t="shared" si="41"/>
        <v>1446704.2000000002</v>
      </c>
      <c r="AQ71" s="1090">
        <f t="shared" si="79"/>
        <v>361676</v>
      </c>
    </row>
    <row r="72" spans="1:43" s="1048" customFormat="1" ht="16.899999999999999" customHeight="1">
      <c r="A72" s="1093" t="s">
        <v>403</v>
      </c>
      <c r="B72" s="1094" t="s">
        <v>539</v>
      </c>
      <c r="C72" s="1095">
        <f>IFERROR(VLOOKUP(A72,'[18]RSD-NO by Site'!$B$5:$D$62,3,FALSE),"na")</f>
        <v>587</v>
      </c>
      <c r="D72" s="1096">
        <f t="shared" si="87"/>
        <v>3602.7009974327857</v>
      </c>
      <c r="E72" s="1096">
        <f t="shared" si="105"/>
        <v>2114785</v>
      </c>
      <c r="F72" s="1097">
        <v>746.0335616438357</v>
      </c>
      <c r="G72" s="1096">
        <f t="shared" si="106"/>
        <v>437921.70068493154</v>
      </c>
      <c r="H72" s="1098">
        <f t="shared" si="107"/>
        <v>2552706.7006849316</v>
      </c>
      <c r="I72" s="1099">
        <f>VLOOKUP($A72,'[1]October midyear adj'!$A$122:$K$178,11,FALSE)</f>
        <v>217436.72795383108</v>
      </c>
      <c r="J72" s="1100">
        <f>VLOOKUP($A72,'[1]February midyear adj'!$A$122:$K$178,11,FALSE)</f>
        <v>-15220.570956768177</v>
      </c>
      <c r="K72" s="1101">
        <f t="shared" si="27"/>
        <v>202216.15699706291</v>
      </c>
      <c r="L72" s="1098">
        <f t="shared" si="28"/>
        <v>2754922.8576819943</v>
      </c>
      <c r="M72" s="1100">
        <f t="shared" si="43"/>
        <v>-48211.150009434903</v>
      </c>
      <c r="N72" s="1100">
        <f t="shared" si="44"/>
        <v>-6887.3071442049859</v>
      </c>
      <c r="O72" s="1100">
        <f t="shared" si="29"/>
        <v>-55098.457153639887</v>
      </c>
      <c r="P72" s="1098">
        <f t="shared" si="30"/>
        <v>2699824.4005283546</v>
      </c>
      <c r="Q72" s="1097">
        <v>0</v>
      </c>
      <c r="R72" s="1098">
        <f t="shared" si="88"/>
        <v>2699824.4005283546</v>
      </c>
      <c r="S72" s="1097">
        <f>VLOOKUP($A72,'Table 4 Level 4'!$B$121:$O$177,4,FALSE)</f>
        <v>0</v>
      </c>
      <c r="T72" s="1097">
        <f>'Table 4 Level 4'!O177</f>
        <v>3224</v>
      </c>
      <c r="U72" s="1098">
        <f t="shared" si="45"/>
        <v>2703048.4005283546</v>
      </c>
      <c r="V72" s="1097">
        <f>VLOOKUP($A72,'Table 4 Level 4'!$B$121:$O$177,9,FALSE)</f>
        <v>0</v>
      </c>
      <c r="W72" s="1097">
        <f>VLOOKUP($A72,'Table 4 Level 4'!$B$121:$O$177,11,FALSE)</f>
        <v>0</v>
      </c>
      <c r="X72" s="1097">
        <f>VLOOKUP($A72,'Table 4 Level 4'!$B$121:$O$177,12,FALSE)</f>
        <v>0</v>
      </c>
      <c r="Y72" s="1098">
        <f t="shared" si="46"/>
        <v>2703048.4005283546</v>
      </c>
      <c r="Z72" s="1097">
        <f t="shared" si="86"/>
        <v>4809</v>
      </c>
      <c r="AA72" s="1097"/>
      <c r="AB72" s="1102">
        <f t="shared" si="89"/>
        <v>2822883</v>
      </c>
      <c r="AC72" s="1103">
        <f>VLOOKUP($A72,'[1]October midyear adj'!$A$122:$K$178,5,FALSE)</f>
        <v>50</v>
      </c>
      <c r="AD72" s="1100">
        <f t="shared" si="90"/>
        <v>240450</v>
      </c>
      <c r="AE72" s="1103">
        <f>VLOOKUP($A72,'[1]February midyear adj'!$A$122:$K$178,5,FALSE)</f>
        <v>-7</v>
      </c>
      <c r="AF72" s="1100">
        <f t="shared" si="91"/>
        <v>-16831.5</v>
      </c>
      <c r="AG72" s="1101">
        <f t="shared" si="38"/>
        <v>223618.5</v>
      </c>
      <c r="AH72" s="1104">
        <f t="shared" si="39"/>
        <v>3046501.5</v>
      </c>
      <c r="AI72" s="1097">
        <f t="shared" si="47"/>
        <v>-53313.776250000003</v>
      </c>
      <c r="AJ72" s="1097">
        <f t="shared" si="48"/>
        <v>-7616.2537499999999</v>
      </c>
      <c r="AK72" s="1097">
        <f t="shared" si="108"/>
        <v>-60930.03</v>
      </c>
      <c r="AL72" s="1102">
        <f t="shared" si="40"/>
        <v>2985571.47</v>
      </c>
      <c r="AM72" s="1097">
        <v>0</v>
      </c>
      <c r="AN72" s="1104">
        <f t="shared" si="77"/>
        <v>2985571.47</v>
      </c>
      <c r="AO72" s="1100">
        <f>'[17]RSD Orleans Allocation'!BF70</f>
        <v>1790976</v>
      </c>
      <c r="AP72" s="1100">
        <f t="shared" si="41"/>
        <v>1194595.4700000002</v>
      </c>
      <c r="AQ72" s="1104">
        <f t="shared" si="79"/>
        <v>298649</v>
      </c>
    </row>
    <row r="73" spans="1:43" s="1134" customFormat="1" ht="16.899999999999999" customHeight="1">
      <c r="A73" s="1119"/>
      <c r="B73" s="1120" t="s">
        <v>66</v>
      </c>
      <c r="C73" s="1121">
        <f>SUM(C12:C72)-C17-C18-C25-C26</f>
        <v>27963</v>
      </c>
      <c r="D73" s="1122"/>
      <c r="E73" s="1121">
        <f>SUM(E12:E72)-E17-E18-E25-E26</f>
        <v>100742329</v>
      </c>
      <c r="F73" s="1123"/>
      <c r="G73" s="1123">
        <f t="shared" ref="G73:Y73" si="109">SUM(G12:G72)-G17-G18-G25-G26</f>
        <v>20464126.328320481</v>
      </c>
      <c r="H73" s="1124">
        <f>SUM(H12:H72)-H17-H18-H25-H26</f>
        <v>121206455.32832049</v>
      </c>
      <c r="I73" s="1123">
        <f t="shared" si="109"/>
        <v>6318575.1036039563</v>
      </c>
      <c r="J73" s="1123">
        <f t="shared" si="109"/>
        <v>125751.67841994425</v>
      </c>
      <c r="K73" s="1125">
        <f t="shared" si="109"/>
        <v>6444326.782023903</v>
      </c>
      <c r="L73" s="1124">
        <f t="shared" si="109"/>
        <v>127650782.11034435</v>
      </c>
      <c r="M73" s="1123">
        <f t="shared" si="109"/>
        <v>-2233888.6869310271</v>
      </c>
      <c r="N73" s="1123">
        <f t="shared" si="109"/>
        <v>-319126.95527586096</v>
      </c>
      <c r="O73" s="1123">
        <f t="shared" si="109"/>
        <v>-2553015.6422068877</v>
      </c>
      <c r="P73" s="1124">
        <f t="shared" si="109"/>
        <v>125097766.46813752</v>
      </c>
      <c r="Q73" s="1123">
        <f t="shared" si="109"/>
        <v>-260927.30211523161</v>
      </c>
      <c r="R73" s="1124">
        <f t="shared" si="109"/>
        <v>124836839.16602227</v>
      </c>
      <c r="S73" s="1126">
        <f t="shared" si="109"/>
        <v>0</v>
      </c>
      <c r="T73" s="1123">
        <f t="shared" si="109"/>
        <v>257868</v>
      </c>
      <c r="U73" s="1127">
        <f t="shared" si="109"/>
        <v>125094707.16602227</v>
      </c>
      <c r="V73" s="1123">
        <f t="shared" si="109"/>
        <v>0</v>
      </c>
      <c r="W73" s="1123">
        <f t="shared" si="109"/>
        <v>167136</v>
      </c>
      <c r="X73" s="1123">
        <f t="shared" si="109"/>
        <v>1101372</v>
      </c>
      <c r="Y73" s="1127">
        <f t="shared" si="109"/>
        <v>126363215.16602227</v>
      </c>
      <c r="Z73" s="1123"/>
      <c r="AA73" s="1123"/>
      <c r="AB73" s="1128">
        <f t="shared" ref="AB73:AQ73" si="110">SUM(AB12:AB72)-AB17-AB18-AB25-AB26</f>
        <v>135670647</v>
      </c>
      <c r="AC73" s="1129">
        <f t="shared" si="110"/>
        <v>1450</v>
      </c>
      <c r="AD73" s="1130">
        <f t="shared" si="110"/>
        <v>7052910</v>
      </c>
      <c r="AE73" s="1129">
        <f t="shared" si="110"/>
        <v>59</v>
      </c>
      <c r="AF73" s="1130">
        <f t="shared" si="110"/>
        <v>23065.5</v>
      </c>
      <c r="AG73" s="1131">
        <f t="shared" si="110"/>
        <v>7075975.5</v>
      </c>
      <c r="AH73" s="1132">
        <f t="shared" si="110"/>
        <v>142746622.5</v>
      </c>
      <c r="AI73" s="1133">
        <f t="shared" si="110"/>
        <v>-2498065.8937500003</v>
      </c>
      <c r="AJ73" s="1133">
        <f t="shared" si="110"/>
        <v>-356866.55624999997</v>
      </c>
      <c r="AK73" s="1133">
        <f t="shared" si="110"/>
        <v>-2854932.4499999997</v>
      </c>
      <c r="AL73" s="1128">
        <f t="shared" si="110"/>
        <v>139891690.04999995</v>
      </c>
      <c r="AM73" s="1133">
        <f t="shared" si="110"/>
        <v>-145952</v>
      </c>
      <c r="AN73" s="1128">
        <f t="shared" si="110"/>
        <v>139745738.04999995</v>
      </c>
      <c r="AO73" s="1130">
        <f t="shared" si="110"/>
        <v>87189298</v>
      </c>
      <c r="AP73" s="1130">
        <f t="shared" si="110"/>
        <v>52556440.050000019</v>
      </c>
      <c r="AQ73" s="1128">
        <f t="shared" si="110"/>
        <v>13139108</v>
      </c>
    </row>
    <row r="74" spans="1:43" s="1134" customFormat="1" ht="25.5">
      <c r="A74" s="1119"/>
      <c r="B74" s="1120" t="s">
        <v>713</v>
      </c>
      <c r="C74" s="1121">
        <f>C73+C8+C9</f>
        <v>29164</v>
      </c>
      <c r="D74" s="1122"/>
      <c r="E74" s="1121">
        <f>E73+E8+E9</f>
        <v>105069173</v>
      </c>
      <c r="F74" s="1123"/>
      <c r="G74" s="1123">
        <f t="shared" ref="G74:Y74" si="111">G73+G8+G9</f>
        <v>21421386.314601302</v>
      </c>
      <c r="H74" s="1124">
        <f t="shared" si="111"/>
        <v>126490559.3146013</v>
      </c>
      <c r="I74" s="1123">
        <f t="shared" si="111"/>
        <v>1659236.2082124052</v>
      </c>
      <c r="J74" s="1123">
        <f>J73+J8+J9</f>
        <v>240145.26791964239</v>
      </c>
      <c r="K74" s="1125">
        <f t="shared" si="111"/>
        <v>1899381.4761320502</v>
      </c>
      <c r="L74" s="1124">
        <f t="shared" si="111"/>
        <v>128389940.79073332</v>
      </c>
      <c r="M74" s="1123">
        <f t="shared" si="111"/>
        <v>0</v>
      </c>
      <c r="N74" s="1123">
        <f t="shared" si="111"/>
        <v>-319126.95527586096</v>
      </c>
      <c r="O74" s="1123">
        <f t="shared" si="111"/>
        <v>-319126.95527586062</v>
      </c>
      <c r="P74" s="1124">
        <f t="shared" si="111"/>
        <v>128070813.8328903</v>
      </c>
      <c r="Q74" s="1135">
        <f t="shared" si="111"/>
        <v>-260927.30211523161</v>
      </c>
      <c r="R74" s="1136">
        <f t="shared" si="111"/>
        <v>127809886.53077506</v>
      </c>
      <c r="S74" s="1137">
        <f t="shared" si="111"/>
        <v>0</v>
      </c>
      <c r="T74" s="1135">
        <f t="shared" si="111"/>
        <v>257868</v>
      </c>
      <c r="U74" s="1138">
        <f t="shared" si="111"/>
        <v>128067754.53077506</v>
      </c>
      <c r="V74" s="1135">
        <f t="shared" si="111"/>
        <v>0</v>
      </c>
      <c r="W74" s="1135">
        <f t="shared" si="111"/>
        <v>167136</v>
      </c>
      <c r="X74" s="1135">
        <f t="shared" si="111"/>
        <v>1145440</v>
      </c>
      <c r="Y74" s="1138">
        <f t="shared" si="111"/>
        <v>129380330.53077506</v>
      </c>
      <c r="Z74" s="1135"/>
      <c r="AA74" s="1135"/>
      <c r="AB74" s="1128">
        <f t="shared" ref="AB74:AQ74" si="112">AB73+AB8+AB9</f>
        <v>136769916</v>
      </c>
      <c r="AC74" s="1129">
        <f t="shared" si="112"/>
        <v>1391</v>
      </c>
      <c r="AD74" s="1130">
        <f t="shared" si="112"/>
        <v>6730239</v>
      </c>
      <c r="AE74" s="1129">
        <f t="shared" si="112"/>
        <v>111</v>
      </c>
      <c r="AF74" s="1130">
        <f t="shared" si="112"/>
        <v>165259.5</v>
      </c>
      <c r="AG74" s="1131">
        <f t="shared" si="112"/>
        <v>6895498.5</v>
      </c>
      <c r="AH74" s="1132">
        <f t="shared" si="112"/>
        <v>143665414.5</v>
      </c>
      <c r="AI74" s="1139">
        <f>AI73+AI8+AI9</f>
        <v>0</v>
      </c>
      <c r="AJ74" s="1139">
        <f t="shared" si="112"/>
        <v>-356866.55624999997</v>
      </c>
      <c r="AK74" s="1139">
        <f>AK73+AK8+AK9</f>
        <v>-356866.55624999944</v>
      </c>
      <c r="AL74" s="1128">
        <f t="shared" si="112"/>
        <v>143308547.94374996</v>
      </c>
      <c r="AM74" s="1139">
        <f t="shared" si="112"/>
        <v>-145952</v>
      </c>
      <c r="AN74" s="1128">
        <f t="shared" si="112"/>
        <v>143162595.94374996</v>
      </c>
      <c r="AO74" s="1130">
        <f t="shared" si="112"/>
        <v>89330684</v>
      </c>
      <c r="AP74" s="1130">
        <f t="shared" si="112"/>
        <v>53831911.943750016</v>
      </c>
      <c r="AQ74" s="1128">
        <f t="shared" si="112"/>
        <v>13457976</v>
      </c>
    </row>
    <row r="75" spans="1:43" s="1048" customFormat="1" ht="8.25" customHeight="1">
      <c r="A75" s="1140"/>
      <c r="B75" s="1140"/>
      <c r="C75" s="1141"/>
      <c r="D75" s="1142"/>
      <c r="E75" s="1143"/>
      <c r="F75" s="1143"/>
      <c r="G75" s="1143"/>
      <c r="H75" s="1143"/>
      <c r="I75" s="1143"/>
      <c r="J75" s="1143"/>
      <c r="K75" s="1143"/>
      <c r="L75" s="1144"/>
      <c r="M75" s="1144"/>
      <c r="N75" s="1144"/>
      <c r="O75" s="1144"/>
      <c r="P75" s="1144"/>
      <c r="Q75" s="1144"/>
      <c r="R75" s="1144"/>
      <c r="S75" s="1144"/>
      <c r="T75" s="1144"/>
      <c r="U75" s="1144"/>
      <c r="V75" s="1144"/>
      <c r="W75" s="1144"/>
      <c r="X75" s="1144"/>
      <c r="Y75" s="1144"/>
      <c r="Z75" s="1144"/>
      <c r="AA75" s="1144"/>
      <c r="AB75" s="1144"/>
      <c r="AC75" s="1145"/>
      <c r="AD75" s="1144"/>
      <c r="AE75" s="1145"/>
      <c r="AF75" s="1144"/>
      <c r="AG75" s="1144"/>
      <c r="AH75" s="1144"/>
      <c r="AI75" s="1144"/>
      <c r="AJ75" s="1144"/>
      <c r="AK75" s="1144"/>
      <c r="AL75" s="1144"/>
      <c r="AM75" s="1144"/>
      <c r="AN75" s="1144"/>
      <c r="AO75" s="1144"/>
      <c r="AP75" s="1144"/>
      <c r="AQ75" s="1144"/>
    </row>
    <row r="76" spans="1:43" s="1048" customFormat="1" ht="13.5" thickBot="1">
      <c r="A76" s="1146"/>
      <c r="B76" s="1146" t="s">
        <v>173</v>
      </c>
      <c r="C76" s="1147">
        <f>C74+C6</f>
        <v>41237</v>
      </c>
      <c r="D76" s="1148"/>
      <c r="E76" s="1149">
        <f>E74+E6</f>
        <v>148564582</v>
      </c>
      <c r="F76" s="1150"/>
      <c r="G76" s="1149">
        <f t="shared" ref="G76:L76" si="113">G74+G6</f>
        <v>30201255.563629124</v>
      </c>
      <c r="H76" s="1151">
        <f t="shared" si="113"/>
        <v>178765837.56362912</v>
      </c>
      <c r="I76" s="1152">
        <f t="shared" si="113"/>
        <v>5179471.5541836238</v>
      </c>
      <c r="J76" s="1152">
        <f t="shared" si="113"/>
        <v>86432.65441167407</v>
      </c>
      <c r="K76" s="1153">
        <f t="shared" si="113"/>
        <v>5265904.2085953001</v>
      </c>
      <c r="L76" s="1151">
        <f t="shared" si="113"/>
        <v>184031741.7722244</v>
      </c>
      <c r="M76" s="1154"/>
      <c r="N76" s="1154"/>
      <c r="O76" s="1154"/>
      <c r="P76" s="1154"/>
      <c r="Q76" s="1154"/>
      <c r="R76" s="1155"/>
      <c r="S76" s="1154"/>
      <c r="T76" s="1154"/>
      <c r="U76" s="1155"/>
      <c r="V76" s="1154"/>
      <c r="W76" s="1154"/>
      <c r="X76" s="1154"/>
      <c r="Y76" s="1155"/>
      <c r="Z76" s="1155"/>
      <c r="AA76" s="1155"/>
      <c r="AB76" s="1154"/>
      <c r="AC76" s="1156"/>
      <c r="AD76" s="1154"/>
      <c r="AE76" s="1156"/>
      <c r="AF76" s="1154"/>
      <c r="AG76" s="1154"/>
      <c r="AH76" s="1154"/>
      <c r="AI76" s="1154"/>
      <c r="AJ76" s="1154"/>
      <c r="AK76" s="1154"/>
      <c r="AL76" s="1154"/>
      <c r="AM76" s="1154"/>
      <c r="AN76" s="1154"/>
      <c r="AO76" s="1154"/>
      <c r="AP76" s="1154"/>
      <c r="AQ76" s="1154"/>
    </row>
    <row r="77" spans="1:43" ht="25.15" hidden="1" customHeight="1" thickTop="1">
      <c r="A77" s="1157"/>
      <c r="B77" s="1158"/>
      <c r="C77" s="1159"/>
      <c r="D77" s="1160"/>
      <c r="E77" s="1161"/>
      <c r="F77" s="1162"/>
      <c r="G77" s="1161"/>
      <c r="H77" s="1161"/>
      <c r="I77" s="1161"/>
      <c r="J77" s="1161"/>
      <c r="K77" s="1161"/>
      <c r="L77" s="1161"/>
      <c r="M77" s="1161"/>
      <c r="N77" s="1161">
        <f>'[17]RSD Orleans Allocation'!$AC$71</f>
        <v>-315850.78923747677</v>
      </c>
      <c r="O77" s="1161" t="s">
        <v>1057</v>
      </c>
      <c r="P77" s="1161"/>
      <c r="Q77" s="1163"/>
      <c r="R77" s="1161"/>
      <c r="S77" s="1161"/>
      <c r="T77" s="1161"/>
      <c r="U77" s="1161"/>
      <c r="V77" s="1161"/>
      <c r="W77" s="1161"/>
      <c r="X77" s="1161"/>
      <c r="Y77" s="1161"/>
      <c r="Z77" s="1161"/>
      <c r="AA77" s="1161"/>
      <c r="AB77" s="1161"/>
      <c r="AC77" s="1161"/>
      <c r="AD77" s="1161"/>
      <c r="AE77" s="1161"/>
      <c r="AF77" s="1161"/>
      <c r="AG77" s="1161"/>
      <c r="AH77" s="1161"/>
      <c r="AI77" s="1161"/>
      <c r="AJ77" s="1161"/>
      <c r="AK77" s="1161"/>
      <c r="AL77" s="1161"/>
      <c r="AM77" s="1161"/>
      <c r="AN77" s="1161"/>
      <c r="AO77" s="1161"/>
      <c r="AP77" s="1161"/>
      <c r="AQ77" s="1161"/>
    </row>
    <row r="78" spans="1:43" ht="27.75" hidden="1" customHeight="1">
      <c r="A78" s="1458" t="s">
        <v>613</v>
      </c>
      <c r="B78" s="1458"/>
      <c r="C78" s="1158"/>
      <c r="D78" s="1158"/>
      <c r="E78" s="1158"/>
      <c r="F78" s="1158"/>
      <c r="G78" s="1158"/>
      <c r="H78" s="1158"/>
      <c r="I78" s="1158"/>
      <c r="J78" s="1158"/>
      <c r="K78" s="1158"/>
      <c r="L78" s="1158"/>
      <c r="M78" s="1158"/>
      <c r="N78" s="1304">
        <v>-302541.42049347534</v>
      </c>
      <c r="O78" s="1303" t="s">
        <v>1044</v>
      </c>
      <c r="P78" s="1158"/>
      <c r="Q78" s="1158"/>
      <c r="R78" s="1158"/>
      <c r="S78" s="1164"/>
      <c r="T78" s="1164"/>
      <c r="U78" s="1164"/>
      <c r="V78" s="1164"/>
      <c r="W78" s="1164"/>
      <c r="X78" s="1164"/>
      <c r="Y78" s="1164"/>
      <c r="Z78" s="1164"/>
      <c r="AA78" s="1164"/>
      <c r="AB78" s="1158"/>
      <c r="AC78" s="1158"/>
      <c r="AD78" s="1158"/>
      <c r="AE78" s="1158"/>
      <c r="AF78" s="1158"/>
      <c r="AG78" s="1158"/>
      <c r="AH78" s="1158"/>
      <c r="AI78" s="1158"/>
      <c r="AJ78" s="1301">
        <v>-329935.38750000013</v>
      </c>
      <c r="AK78" s="1158" t="s">
        <v>1044</v>
      </c>
      <c r="AL78" s="1158"/>
      <c r="AM78" s="1158"/>
      <c r="AN78" s="1158"/>
      <c r="AO78" s="1158"/>
      <c r="AP78" s="1158"/>
      <c r="AQ78" s="1158"/>
    </row>
    <row r="79" spans="1:43" ht="22.5" hidden="1" customHeight="1">
      <c r="A79" s="1458"/>
      <c r="B79" s="1458"/>
      <c r="D79" s="1165"/>
      <c r="E79" s="1165"/>
      <c r="F79" s="1165"/>
      <c r="G79" s="1165"/>
      <c r="H79" s="1165"/>
      <c r="I79" s="1166"/>
      <c r="J79" s="1166"/>
      <c r="K79" s="1166"/>
      <c r="L79" s="1166"/>
      <c r="M79" s="1166"/>
      <c r="N79" s="1302">
        <f>N77-N78</f>
        <v>-13309.368744001433</v>
      </c>
      <c r="O79" s="1165" t="s">
        <v>1056</v>
      </c>
      <c r="P79" s="1166"/>
      <c r="Q79" s="1166"/>
      <c r="R79" s="1166"/>
      <c r="S79" s="1166"/>
      <c r="T79" s="1166"/>
      <c r="U79" s="1166"/>
      <c r="V79" s="1166"/>
      <c r="W79" s="1166"/>
      <c r="X79" s="1166"/>
      <c r="Y79" s="1166"/>
      <c r="Z79" s="1167"/>
      <c r="AA79" s="1167"/>
      <c r="AB79" s="1166"/>
      <c r="AC79" s="1166"/>
      <c r="AD79" s="1166"/>
      <c r="AE79" s="1166"/>
      <c r="AF79" s="1166"/>
      <c r="AG79" s="1166"/>
      <c r="AH79" s="1166"/>
      <c r="AI79" s="1166"/>
      <c r="AJ79" s="1302">
        <f>AJ73-AJ78</f>
        <v>-26931.168749999837</v>
      </c>
      <c r="AK79" s="1165" t="s">
        <v>1056</v>
      </c>
      <c r="AL79" s="1166"/>
      <c r="AM79" s="1166"/>
      <c r="AN79" s="1166"/>
      <c r="AO79" s="1166"/>
      <c r="AP79" s="1166"/>
      <c r="AQ79" s="1166"/>
    </row>
    <row r="80" spans="1:43" ht="18.75" customHeight="1" thickTop="1">
      <c r="C80" s="1473"/>
      <c r="D80" s="1474"/>
      <c r="E80" s="1474"/>
      <c r="F80" s="1474"/>
      <c r="G80" s="1474"/>
      <c r="H80" s="1474"/>
      <c r="I80" s="1474"/>
      <c r="J80" s="1474"/>
      <c r="K80" s="1474"/>
      <c r="L80" s="1474"/>
      <c r="M80" s="1474"/>
      <c r="N80" s="1474"/>
      <c r="O80" s="1474"/>
      <c r="P80" s="1474"/>
      <c r="Q80" s="1474"/>
      <c r="R80" s="1474"/>
      <c r="S80" s="1168"/>
      <c r="T80" s="1168"/>
      <c r="U80" s="1168"/>
      <c r="V80" s="1168"/>
      <c r="W80" s="1168"/>
      <c r="X80" s="1168"/>
      <c r="Y80" s="1168"/>
      <c r="Z80" s="1168"/>
      <c r="AA80" s="1168"/>
      <c r="AB80" s="1473"/>
      <c r="AC80" s="1473"/>
      <c r="AD80" s="1473"/>
      <c r="AE80" s="1473"/>
      <c r="AF80" s="1473"/>
      <c r="AG80" s="1473"/>
      <c r="AH80" s="1473"/>
      <c r="AI80" s="1474"/>
      <c r="AJ80" s="1474"/>
      <c r="AK80" s="1474"/>
      <c r="AL80" s="1474"/>
      <c r="AM80" s="1474"/>
      <c r="AN80" s="1474"/>
      <c r="AO80" s="1474"/>
      <c r="AP80" s="1474"/>
      <c r="AQ80" s="1474"/>
    </row>
    <row r="81" spans="6:43" hidden="1">
      <c r="AP81" s="747" t="str">
        <f>'Table 2_State Distrib and Adjs'!$AK$77</f>
        <v>Monthly Pmts Remaining</v>
      </c>
      <c r="AQ81" s="747">
        <f>'Table 2_State Distrib and Adjs'!$AL$77</f>
        <v>4</v>
      </c>
    </row>
    <row r="82" spans="6:43" ht="14.45" hidden="1" customHeight="1">
      <c r="F82" s="1170">
        <v>746.0335616438357</v>
      </c>
    </row>
  </sheetData>
  <mergeCells count="47">
    <mergeCell ref="Z1:AH1"/>
    <mergeCell ref="AI1:AQ1"/>
    <mergeCell ref="AC2:AG2"/>
    <mergeCell ref="I2:K2"/>
    <mergeCell ref="I3:I4"/>
    <mergeCell ref="J3:J4"/>
    <mergeCell ref="K3:K4"/>
    <mergeCell ref="AK3:AK4"/>
    <mergeCell ref="AB3:AB4"/>
    <mergeCell ref="AP3:AP4"/>
    <mergeCell ref="AM3:AM4"/>
    <mergeCell ref="AO3:AO4"/>
    <mergeCell ref="AC3:AC4"/>
    <mergeCell ref="AD3:AD4"/>
    <mergeCell ref="AH3:AH4"/>
    <mergeCell ref="AE3:AE4"/>
    <mergeCell ref="AF3:AF4"/>
    <mergeCell ref="AN3:AN4"/>
    <mergeCell ref="C80:R80"/>
    <mergeCell ref="AB80:AQ80"/>
    <mergeCell ref="G3:G4"/>
    <mergeCell ref="R3:R4"/>
    <mergeCell ref="H3:H4"/>
    <mergeCell ref="C3:C4"/>
    <mergeCell ref="E3:E4"/>
    <mergeCell ref="Q3:Q4"/>
    <mergeCell ref="F3:F4"/>
    <mergeCell ref="L3:L4"/>
    <mergeCell ref="P3:P4"/>
    <mergeCell ref="O3:O4"/>
    <mergeCell ref="AQ3:AQ4"/>
    <mergeCell ref="AL3:AL4"/>
    <mergeCell ref="A78:B79"/>
    <mergeCell ref="S1:Y1"/>
    <mergeCell ref="Y3:Y4"/>
    <mergeCell ref="S2:T2"/>
    <mergeCell ref="S3:S4"/>
    <mergeCell ref="T3:T4"/>
    <mergeCell ref="V2:X2"/>
    <mergeCell ref="V3:V4"/>
    <mergeCell ref="W3:W4"/>
    <mergeCell ref="X3:X4"/>
    <mergeCell ref="U3:U4"/>
    <mergeCell ref="C1:H1"/>
    <mergeCell ref="I1:R1"/>
    <mergeCell ref="A1:A4"/>
    <mergeCell ref="B1:B4"/>
  </mergeCells>
  <phoneticPr fontId="0" type="noConversion"/>
  <printOptions horizontalCentered="1"/>
  <pageMargins left="0.2" right="0.2" top="1.0900000000000001" bottom="0.77" header="0.32" footer="0.19"/>
  <pageSetup paperSize="5" scale="52" firstPageNumber="46" fitToHeight="2" orientation="portrait" r:id="rId1"/>
  <headerFooter alignWithMargins="0">
    <oddHeader xml:space="preserve">&amp;L&amp;"Arial,Bold"&amp;22&amp;K000000Table 5B1:  FY2014-15 MFP Budget Letter (March 2015)
Recovery School District (Orleans Parish)&amp;R
</oddHeader>
    <oddFooter>&amp;R&amp;16&amp;P</oddFooter>
  </headerFooter>
  <colBreaks count="4" manualBreakCount="4">
    <brk id="8" max="1048575" man="1"/>
    <brk id="18" max="74" man="1"/>
    <brk id="25" max="74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U27"/>
  <sheetViews>
    <sheetView view="pageBreakPreview" zoomScale="70" zoomScaleNormal="75" zoomScaleSheetLayoutView="70" workbookViewId="0">
      <pane xSplit="2" ySplit="5" topLeftCell="C6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10.140625" style="427" bestFit="1" customWidth="1"/>
    <col min="2" max="2" width="39.85546875" style="427" customWidth="1"/>
    <col min="3" max="3" width="13.140625" style="427" customWidth="1"/>
    <col min="4" max="4" width="13.5703125" style="427" customWidth="1"/>
    <col min="5" max="5" width="16.140625" style="427" bestFit="1" customWidth="1"/>
    <col min="6" max="6" width="18.42578125" style="427" customWidth="1"/>
    <col min="7" max="7" width="15.42578125" style="427" customWidth="1"/>
    <col min="8" max="8" width="16.42578125" style="427" bestFit="1" customWidth="1"/>
    <col min="9" max="9" width="15.42578125" style="427" bestFit="1" customWidth="1"/>
    <col min="10" max="10" width="16.28515625" style="427" bestFit="1" customWidth="1"/>
    <col min="11" max="11" width="13.42578125" style="427" customWidth="1"/>
    <col min="12" max="12" width="16" style="427" bestFit="1" customWidth="1"/>
    <col min="13" max="13" width="13.28515625" style="427" bestFit="1" customWidth="1"/>
    <col min="14" max="14" width="12" style="427" bestFit="1" customWidth="1"/>
    <col min="15" max="15" width="12.85546875" style="427" bestFit="1" customWidth="1"/>
    <col min="16" max="16" width="19.42578125" style="427" customWidth="1"/>
    <col min="17" max="17" width="17.7109375" style="427" customWidth="1"/>
    <col min="18" max="21" width="20.85546875" style="427" customWidth="1"/>
    <col min="22" max="22" width="15.28515625" style="427" customWidth="1"/>
    <col min="23" max="23" width="21.28515625" style="427" bestFit="1" customWidth="1"/>
    <col min="24" max="24" width="18.7109375" style="427" bestFit="1" customWidth="1"/>
    <col min="25" max="28" width="18.7109375" style="427" customWidth="1"/>
    <col min="29" max="29" width="15.7109375" style="427" bestFit="1" customWidth="1"/>
    <col min="30" max="30" width="14.85546875" style="427" customWidth="1"/>
    <col min="31" max="31" width="14.140625" style="427" customWidth="1"/>
    <col min="32" max="32" width="13.5703125" style="427" customWidth="1"/>
    <col min="33" max="33" width="14.140625" style="427" customWidth="1"/>
    <col min="34" max="34" width="13.28515625" style="427" customWidth="1"/>
    <col min="35" max="35" width="13.140625" style="427" bestFit="1" customWidth="1"/>
    <col min="36" max="36" width="15.42578125" style="427" customWidth="1"/>
    <col min="37" max="38" width="15.140625" style="427" customWidth="1"/>
    <col min="39" max="39" width="12.28515625" style="427" bestFit="1" customWidth="1"/>
    <col min="40" max="40" width="15.28515625" style="427" customWidth="1"/>
    <col min="41" max="41" width="13.85546875" style="427" customWidth="1"/>
    <col min="42" max="42" width="15.5703125" style="427" customWidth="1"/>
    <col min="43" max="43" width="16.7109375" style="427" bestFit="1" customWidth="1"/>
    <col min="44" max="44" width="18.28515625" style="427" bestFit="1" customWidth="1"/>
    <col min="45" max="45" width="15.5703125" style="427" customWidth="1"/>
    <col min="46" max="46" width="15.42578125" style="427" customWidth="1"/>
    <col min="47" max="47" width="14.42578125" style="427" bestFit="1" customWidth="1"/>
    <col min="48" max="16384" width="8.85546875" style="427"/>
  </cols>
  <sheetData>
    <row r="1" spans="1:47" ht="27" customHeight="1">
      <c r="A1" s="1400" t="s">
        <v>259</v>
      </c>
      <c r="B1" s="1400" t="s">
        <v>140</v>
      </c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3"/>
      <c r="M1" s="1403"/>
      <c r="N1" s="1403"/>
      <c r="O1" s="1403"/>
      <c r="P1" s="1403"/>
      <c r="Q1" s="1403"/>
      <c r="R1" s="1404"/>
      <c r="S1" s="1402" t="s">
        <v>742</v>
      </c>
      <c r="T1" s="1403"/>
      <c r="U1" s="1403"/>
      <c r="V1" s="1403"/>
      <c r="W1" s="1403"/>
      <c r="X1" s="1403"/>
      <c r="Y1" s="1403"/>
      <c r="Z1" s="1403"/>
      <c r="AA1" s="1403"/>
      <c r="AB1" s="1404"/>
      <c r="AC1" s="1489" t="s">
        <v>856</v>
      </c>
      <c r="AD1" s="1487"/>
      <c r="AE1" s="1487"/>
      <c r="AF1" s="1487"/>
      <c r="AG1" s="1487"/>
      <c r="AH1" s="1487"/>
      <c r="AI1" s="1487"/>
      <c r="AJ1" s="1487"/>
      <c r="AK1" s="1487"/>
      <c r="AL1" s="1487"/>
      <c r="AM1" s="1487"/>
      <c r="AN1" s="1487"/>
      <c r="AO1" s="1487"/>
      <c r="AP1" s="1487"/>
      <c r="AQ1" s="1487"/>
      <c r="AR1" s="1487"/>
      <c r="AS1" s="1487"/>
      <c r="AT1" s="1487"/>
      <c r="AU1" s="1488"/>
    </row>
    <row r="2" spans="1:47" ht="21.6" customHeight="1">
      <c r="A2" s="1401"/>
      <c r="B2" s="1401"/>
      <c r="C2" s="749"/>
      <c r="D2" s="852"/>
      <c r="E2" s="853"/>
      <c r="F2" s="403"/>
      <c r="G2" s="404"/>
      <c r="H2" s="854"/>
      <c r="I2" s="1448" t="s">
        <v>411</v>
      </c>
      <c r="J2" s="1449"/>
      <c r="K2" s="1450"/>
      <c r="L2" s="855"/>
      <c r="M2" s="856"/>
      <c r="N2" s="856"/>
      <c r="O2" s="856"/>
      <c r="P2" s="857"/>
      <c r="Q2" s="855"/>
      <c r="R2" s="854"/>
      <c r="S2" s="1464" t="s">
        <v>725</v>
      </c>
      <c r="T2" s="1465"/>
      <c r="U2" s="855"/>
      <c r="V2" s="855"/>
      <c r="W2" s="855"/>
      <c r="X2" s="855"/>
      <c r="Y2" s="1464" t="s">
        <v>732</v>
      </c>
      <c r="Z2" s="1468"/>
      <c r="AA2" s="1465"/>
      <c r="AB2" s="854"/>
      <c r="AC2" s="858"/>
      <c r="AD2" s="859"/>
      <c r="AE2" s="1448" t="s">
        <v>411</v>
      </c>
      <c r="AF2" s="1449"/>
      <c r="AG2" s="1449"/>
      <c r="AH2" s="1449"/>
      <c r="AI2" s="1450"/>
      <c r="AJ2" s="859"/>
      <c r="AK2" s="860"/>
      <c r="AL2" s="860"/>
      <c r="AM2" s="860"/>
      <c r="AN2" s="859"/>
      <c r="AO2" s="859"/>
      <c r="AP2" s="859"/>
      <c r="AQ2" s="859"/>
      <c r="AR2" s="859"/>
      <c r="AS2" s="859"/>
      <c r="AT2" s="859"/>
      <c r="AU2" s="861"/>
    </row>
    <row r="3" spans="1:47" ht="153" customHeight="1">
      <c r="A3" s="1401"/>
      <c r="B3" s="1401"/>
      <c r="C3" s="1503" t="s">
        <v>620</v>
      </c>
      <c r="D3" s="1475" t="s">
        <v>680</v>
      </c>
      <c r="E3" s="1475" t="s">
        <v>279</v>
      </c>
      <c r="F3" s="1462" t="s">
        <v>248</v>
      </c>
      <c r="G3" s="1462" t="s">
        <v>243</v>
      </c>
      <c r="H3" s="1475" t="s">
        <v>418</v>
      </c>
      <c r="I3" s="1440" t="s">
        <v>544</v>
      </c>
      <c r="J3" s="1440" t="s">
        <v>545</v>
      </c>
      <c r="K3" s="1440" t="s">
        <v>417</v>
      </c>
      <c r="L3" s="1505" t="s">
        <v>419</v>
      </c>
      <c r="M3" s="862" t="s">
        <v>256</v>
      </c>
      <c r="N3" s="862" t="s">
        <v>459</v>
      </c>
      <c r="O3" s="1462" t="s">
        <v>258</v>
      </c>
      <c r="P3" s="1462" t="s">
        <v>461</v>
      </c>
      <c r="Q3" s="1480" t="s">
        <v>702</v>
      </c>
      <c r="R3" s="1475" t="s">
        <v>893</v>
      </c>
      <c r="S3" s="1466" t="s">
        <v>689</v>
      </c>
      <c r="T3" s="1466" t="s">
        <v>724</v>
      </c>
      <c r="U3" s="1462" t="s">
        <v>771</v>
      </c>
      <c r="V3" s="757" t="s">
        <v>546</v>
      </c>
      <c r="W3" s="757" t="s">
        <v>547</v>
      </c>
      <c r="X3" s="1475" t="s">
        <v>894</v>
      </c>
      <c r="Y3" s="1500" t="s">
        <v>727</v>
      </c>
      <c r="Z3" s="1500" t="s">
        <v>728</v>
      </c>
      <c r="AA3" s="1466" t="s">
        <v>729</v>
      </c>
      <c r="AB3" s="1462" t="s">
        <v>772</v>
      </c>
      <c r="AC3" s="1510" t="s">
        <v>1051</v>
      </c>
      <c r="AD3" s="1510" t="s">
        <v>867</v>
      </c>
      <c r="AE3" s="1507" t="s">
        <v>860</v>
      </c>
      <c r="AF3" s="1507" t="s">
        <v>858</v>
      </c>
      <c r="AG3" s="1507" t="s">
        <v>861</v>
      </c>
      <c r="AH3" s="1507" t="s">
        <v>859</v>
      </c>
      <c r="AI3" s="988" t="s">
        <v>430</v>
      </c>
      <c r="AJ3" s="863" t="s">
        <v>862</v>
      </c>
      <c r="AK3" s="642" t="s">
        <v>256</v>
      </c>
      <c r="AL3" s="642" t="s">
        <v>257</v>
      </c>
      <c r="AM3" s="1513" t="s">
        <v>258</v>
      </c>
      <c r="AN3" s="1510" t="s">
        <v>863</v>
      </c>
      <c r="AO3" s="1512" t="s">
        <v>702</v>
      </c>
      <c r="AP3" s="1508" t="s">
        <v>895</v>
      </c>
      <c r="AQ3" s="1510" t="s">
        <v>653</v>
      </c>
      <c r="AR3" s="1510" t="s">
        <v>547</v>
      </c>
      <c r="AS3" s="1510" t="s">
        <v>868</v>
      </c>
      <c r="AT3" s="1514" t="s">
        <v>870</v>
      </c>
      <c r="AU3" s="1514" t="s">
        <v>869</v>
      </c>
    </row>
    <row r="4" spans="1:47" ht="28.15" customHeight="1">
      <c r="A4" s="1367"/>
      <c r="B4" s="1367"/>
      <c r="C4" s="1504"/>
      <c r="D4" s="1476"/>
      <c r="E4" s="1476"/>
      <c r="F4" s="1463"/>
      <c r="G4" s="1463"/>
      <c r="H4" s="1476"/>
      <c r="I4" s="1440"/>
      <c r="J4" s="1440"/>
      <c r="K4" s="1440"/>
      <c r="L4" s="1506"/>
      <c r="M4" s="864">
        <v>1.7500000000000002E-2</v>
      </c>
      <c r="N4" s="864">
        <v>2.5000000000000001E-3</v>
      </c>
      <c r="O4" s="1463"/>
      <c r="P4" s="1463"/>
      <c r="Q4" s="1481"/>
      <c r="R4" s="1476"/>
      <c r="S4" s="1467"/>
      <c r="T4" s="1467"/>
      <c r="U4" s="1463"/>
      <c r="V4" s="865"/>
      <c r="W4" s="865"/>
      <c r="X4" s="1476"/>
      <c r="Y4" s="1501"/>
      <c r="Z4" s="1501"/>
      <c r="AA4" s="1467"/>
      <c r="AB4" s="1463"/>
      <c r="AC4" s="1486"/>
      <c r="AD4" s="1486"/>
      <c r="AE4" s="1470"/>
      <c r="AF4" s="1470"/>
      <c r="AG4" s="1470"/>
      <c r="AH4" s="1470"/>
      <c r="AI4" s="987"/>
      <c r="AJ4" s="866"/>
      <c r="AK4" s="867">
        <v>1.7500000000000002E-2</v>
      </c>
      <c r="AL4" s="867">
        <v>2.5000000000000001E-3</v>
      </c>
      <c r="AM4" s="1511"/>
      <c r="AN4" s="1486"/>
      <c r="AO4" s="1481"/>
      <c r="AP4" s="1509"/>
      <c r="AQ4" s="1511"/>
      <c r="AR4" s="1511"/>
      <c r="AS4" s="1486"/>
      <c r="AT4" s="1352"/>
      <c r="AU4" s="1352"/>
    </row>
    <row r="5" spans="1:47">
      <c r="A5" s="762"/>
      <c r="B5" s="762"/>
      <c r="C5" s="763">
        <v>1</v>
      </c>
      <c r="D5" s="763">
        <f t="shared" ref="D5:H5" si="0">C5+1</f>
        <v>2</v>
      </c>
      <c r="E5" s="763">
        <f t="shared" si="0"/>
        <v>3</v>
      </c>
      <c r="F5" s="763">
        <f t="shared" si="0"/>
        <v>4</v>
      </c>
      <c r="G5" s="763">
        <f t="shared" si="0"/>
        <v>5</v>
      </c>
      <c r="H5" s="763">
        <f t="shared" si="0"/>
        <v>6</v>
      </c>
      <c r="I5" s="763">
        <f t="shared" ref="I5" si="1">H5+1</f>
        <v>7</v>
      </c>
      <c r="J5" s="763">
        <f t="shared" ref="J5" si="2">I5+1</f>
        <v>8</v>
      </c>
      <c r="K5" s="763">
        <f t="shared" ref="K5" si="3">J5+1</f>
        <v>9</v>
      </c>
      <c r="L5" s="763">
        <f t="shared" ref="L5" si="4">K5+1</f>
        <v>10</v>
      </c>
      <c r="M5" s="763">
        <f t="shared" ref="M5" si="5">L5+1</f>
        <v>11</v>
      </c>
      <c r="N5" s="763">
        <f t="shared" ref="N5" si="6">M5+1</f>
        <v>12</v>
      </c>
      <c r="O5" s="763">
        <f t="shared" ref="O5" si="7">N5+1</f>
        <v>13</v>
      </c>
      <c r="P5" s="763">
        <f t="shared" ref="P5" si="8">O5+1</f>
        <v>14</v>
      </c>
      <c r="Q5" s="763">
        <f t="shared" ref="Q5" si="9">P5+1</f>
        <v>15</v>
      </c>
      <c r="R5" s="763">
        <f t="shared" ref="R5" si="10">Q5+1</f>
        <v>16</v>
      </c>
      <c r="S5" s="763">
        <f t="shared" ref="S5" si="11">R5+1</f>
        <v>17</v>
      </c>
      <c r="T5" s="763">
        <f t="shared" ref="T5" si="12">S5+1</f>
        <v>18</v>
      </c>
      <c r="U5" s="763">
        <f t="shared" ref="U5" si="13">T5+1</f>
        <v>19</v>
      </c>
      <c r="V5" s="763">
        <f t="shared" ref="V5" si="14">U5+1</f>
        <v>20</v>
      </c>
      <c r="W5" s="763">
        <f t="shared" ref="W5" si="15">V5+1</f>
        <v>21</v>
      </c>
      <c r="X5" s="763">
        <f t="shared" ref="X5" si="16">W5+1</f>
        <v>22</v>
      </c>
      <c r="Y5" s="763">
        <f t="shared" ref="Y5" si="17">X5+1</f>
        <v>23</v>
      </c>
      <c r="Z5" s="763">
        <f t="shared" ref="Z5" si="18">Y5+1</f>
        <v>24</v>
      </c>
      <c r="AA5" s="763">
        <f t="shared" ref="AA5" si="19">Z5+1</f>
        <v>25</v>
      </c>
      <c r="AB5" s="763">
        <f t="shared" ref="AB5" si="20">AA5+1</f>
        <v>26</v>
      </c>
      <c r="AC5" s="763">
        <f t="shared" ref="AC5" si="21">AB5+1</f>
        <v>27</v>
      </c>
      <c r="AD5" s="763">
        <f t="shared" ref="AD5" si="22">AC5+1</f>
        <v>28</v>
      </c>
      <c r="AE5" s="763">
        <f t="shared" ref="AE5" si="23">AD5+1</f>
        <v>29</v>
      </c>
      <c r="AF5" s="763">
        <f t="shared" ref="AF5" si="24">AE5+1</f>
        <v>30</v>
      </c>
      <c r="AG5" s="763">
        <f t="shared" ref="AG5" si="25">AF5+1</f>
        <v>31</v>
      </c>
      <c r="AH5" s="763">
        <f t="shared" ref="AH5" si="26">AG5+1</f>
        <v>32</v>
      </c>
      <c r="AI5" s="763">
        <f t="shared" ref="AI5" si="27">AH5+1</f>
        <v>33</v>
      </c>
      <c r="AJ5" s="763">
        <f t="shared" ref="AJ5" si="28">AI5+1</f>
        <v>34</v>
      </c>
      <c r="AK5" s="763">
        <f t="shared" ref="AK5" si="29">AJ5+1</f>
        <v>35</v>
      </c>
      <c r="AL5" s="763">
        <f t="shared" ref="AL5" si="30">AK5+1</f>
        <v>36</v>
      </c>
      <c r="AM5" s="763">
        <f t="shared" ref="AM5" si="31">AL5+1</f>
        <v>37</v>
      </c>
      <c r="AN5" s="763">
        <f t="shared" ref="AN5" si="32">AM5+1</f>
        <v>38</v>
      </c>
      <c r="AO5" s="763">
        <f t="shared" ref="AO5" si="33">AN5+1</f>
        <v>39</v>
      </c>
      <c r="AP5" s="763">
        <f t="shared" ref="AP5" si="34">AO5+1</f>
        <v>40</v>
      </c>
      <c r="AQ5" s="763">
        <f t="shared" ref="AQ5" si="35">AP5+1</f>
        <v>41</v>
      </c>
      <c r="AR5" s="763">
        <f t="shared" ref="AR5" si="36">AQ5+1</f>
        <v>42</v>
      </c>
      <c r="AS5" s="763">
        <f t="shared" ref="AS5" si="37">AR5+1</f>
        <v>43</v>
      </c>
      <c r="AT5" s="763">
        <f t="shared" ref="AT5" si="38">AS5+1</f>
        <v>44</v>
      </c>
      <c r="AU5" s="763">
        <f t="shared" ref="AU5" si="39">AT5+1</f>
        <v>45</v>
      </c>
    </row>
    <row r="6" spans="1:47" ht="37.9" customHeight="1">
      <c r="A6" s="1222">
        <v>389002</v>
      </c>
      <c r="B6" s="1223" t="s">
        <v>1049</v>
      </c>
      <c r="C6" s="1224">
        <f>+'Table 8 Membership 2.1.14'!D19</f>
        <v>530</v>
      </c>
      <c r="D6" s="1225">
        <f>'Table 3 Levels 1&amp;2'!$AL$20</f>
        <v>3363.5980368254495</v>
      </c>
      <c r="E6" s="1226">
        <f t="shared" ref="E6:E11" si="40">ROUND(C6*D6,0)</f>
        <v>1782707</v>
      </c>
      <c r="F6" s="1227">
        <v>801.47762416806802</v>
      </c>
      <c r="G6" s="1226">
        <f t="shared" ref="G6:G11" si="41">F6*C6</f>
        <v>424783.14080907602</v>
      </c>
      <c r="H6" s="1228">
        <f t="shared" ref="H6:H11" si="42">E6+G6</f>
        <v>2207490.1408090759</v>
      </c>
      <c r="I6" s="1229">
        <f>'[1]October midyear adj'!K185</f>
        <v>141612.57247377961</v>
      </c>
      <c r="J6" s="1229">
        <f>'[1]February midyear adj'!K185</f>
        <v>-74971.361897883326</v>
      </c>
      <c r="K6" s="1230">
        <f t="shared" ref="K6:K11" si="43">SUM(I6:J6)</f>
        <v>66641.210575896286</v>
      </c>
      <c r="L6" s="1228">
        <f t="shared" ref="L6:L11" si="44">+K6+H6</f>
        <v>2274131.3513849722</v>
      </c>
      <c r="M6" s="1229">
        <f t="shared" ref="M6:M11" si="45">-L6*$M$4</f>
        <v>-39797.298649237018</v>
      </c>
      <c r="N6" s="1229">
        <f t="shared" ref="N6:N11" si="46">-L6*$N$4</f>
        <v>-5685.3283784624309</v>
      </c>
      <c r="O6" s="1229">
        <f t="shared" ref="O6:O11" si="47">M6+N6</f>
        <v>-45482.627027699447</v>
      </c>
      <c r="P6" s="1228">
        <f t="shared" ref="P6:P11" si="48">L6+O6</f>
        <v>2228648.724357273</v>
      </c>
      <c r="Q6" s="1229">
        <v>0</v>
      </c>
      <c r="R6" s="1228">
        <f t="shared" ref="R6:R11" si="49">SUM(P6:Q6)</f>
        <v>2228648.724357273</v>
      </c>
      <c r="S6" s="1229">
        <f>VLOOKUP($A6,'Table 4 Level 4'!$B$182:$O$190,4,FALSE)</f>
        <v>0</v>
      </c>
      <c r="T6" s="1229">
        <f>'Table 4 Level 4'!O182</f>
        <v>9490</v>
      </c>
      <c r="U6" s="936">
        <f>SUM(R6:T6)</f>
        <v>2238138.724357273</v>
      </c>
      <c r="V6" s="1227">
        <f>(6*'[2]Table 5B2_RSD_LA'!X6)+(2*'[4]Table 5B2_RSD_LA'!X6)</f>
        <v>1448552</v>
      </c>
      <c r="W6" s="1227">
        <f>U6-V6</f>
        <v>789586.72435727296</v>
      </c>
      <c r="X6" s="1228">
        <f t="shared" ref="X6:X11" si="50">ROUND(W6/$X$24,0)</f>
        <v>197397</v>
      </c>
      <c r="Y6" s="1229">
        <f>VLOOKUP($A6,'Table 4 Level 4'!$B$182:$O$190,9,FALSE)</f>
        <v>0</v>
      </c>
      <c r="Z6" s="1229">
        <f>VLOOKUP($A6,'Table 4 Level 4'!$B$182:$O$190,11,FALSE)</f>
        <v>0</v>
      </c>
      <c r="AA6" s="1229">
        <f>VLOOKUP($A6,'Table 4 Level 4'!$B$182:$O$190,12,FALSE)</f>
        <v>0</v>
      </c>
      <c r="AB6" s="936">
        <f>+U6+Y6+Z6+AA6</f>
        <v>2238138.724357273</v>
      </c>
      <c r="AC6" s="1229">
        <f>'[13]FY2014-15 Final'!$E$20</f>
        <v>6067</v>
      </c>
      <c r="AD6" s="1231">
        <f t="shared" ref="AD6:AD11" si="51">AC6*C6</f>
        <v>3215510</v>
      </c>
      <c r="AE6" s="1232">
        <f>'[1]October midyear adj'!E185</f>
        <v>34</v>
      </c>
      <c r="AF6" s="1226">
        <f>AC6*AE6</f>
        <v>206278</v>
      </c>
      <c r="AG6" s="1232">
        <f>'[1]February midyear adj'!E185</f>
        <v>-36</v>
      </c>
      <c r="AH6" s="1226">
        <f t="shared" ref="AH6:AH11" si="52">+AC6*AG6*0.5</f>
        <v>-109206</v>
      </c>
      <c r="AI6" s="1230">
        <f t="shared" ref="AI6:AI11" si="53">+AH6+AF6</f>
        <v>97072</v>
      </c>
      <c r="AJ6" s="1231">
        <f t="shared" ref="AJ6:AJ11" si="54">AD6+AI6</f>
        <v>3312582</v>
      </c>
      <c r="AK6" s="1226">
        <f t="shared" ref="AK6:AK11" si="55">-AJ6*$AK$4</f>
        <v>-57970.185000000005</v>
      </c>
      <c r="AL6" s="1226">
        <f t="shared" ref="AL6:AL11" si="56">-AJ6*$AL$4</f>
        <v>-8281.4549999999999</v>
      </c>
      <c r="AM6" s="1226">
        <f t="shared" ref="AM6:AM11" si="57">AK6+AL6</f>
        <v>-66251.64</v>
      </c>
      <c r="AN6" s="1231">
        <f t="shared" ref="AN6:AN11" si="58">AJ6+AM6</f>
        <v>3246330.36</v>
      </c>
      <c r="AO6" s="1226">
        <v>0</v>
      </c>
      <c r="AP6" s="1231">
        <f t="shared" ref="AP6:AP11" si="59">SUM(AN6:AO6)</f>
        <v>3246330.36</v>
      </c>
      <c r="AQ6" s="1227">
        <f>(6*'[2]Table 5B2_RSD_LA'!AS6)+(2*'[4]Table 5B2_RSD_LA'!AS6)</f>
        <v>2129888</v>
      </c>
      <c r="AR6" s="1227">
        <f t="shared" ref="AR6" si="60">AP6-AQ6</f>
        <v>1116442.3599999999</v>
      </c>
      <c r="AS6" s="1231">
        <f t="shared" ref="AS6:AS11" si="61">ROUND(AR6/$AS$24,0)</f>
        <v>279111</v>
      </c>
      <c r="AT6" s="1233">
        <f>AB6+AP6</f>
        <v>5484469.0843572728</v>
      </c>
      <c r="AU6" s="1233">
        <f t="shared" ref="AU6:AU11" si="62">X6+AS6</f>
        <v>476508</v>
      </c>
    </row>
    <row r="7" spans="1:47" ht="37.9" customHeight="1">
      <c r="A7" s="1223" t="s">
        <v>664</v>
      </c>
      <c r="B7" s="1223" t="s">
        <v>561</v>
      </c>
      <c r="C7" s="1224">
        <f>ROUND(500*(1593/2034),0)</f>
        <v>392</v>
      </c>
      <c r="D7" s="1225">
        <f>'Table 3 Levels 1&amp;2'!$AL$20</f>
        <v>3363.5980368254495</v>
      </c>
      <c r="E7" s="1226">
        <f>ROUND(C7*D7,0)</f>
        <v>1318530</v>
      </c>
      <c r="F7" s="1226">
        <v>801.47762416806802</v>
      </c>
      <c r="G7" s="1226">
        <f>F7*C7</f>
        <v>314179.22867388267</v>
      </c>
      <c r="H7" s="1228">
        <f>E7+G7</f>
        <v>1632709.2286738828</v>
      </c>
      <c r="I7" s="1229">
        <f>'[1]October midyear adj'!K186</f>
        <v>91631.66454185739</v>
      </c>
      <c r="J7" s="1229">
        <f>'[1]February midyear adj'!K186</f>
        <v>-45815.832270928695</v>
      </c>
      <c r="K7" s="1230">
        <f t="shared" si="43"/>
        <v>45815.832270928695</v>
      </c>
      <c r="L7" s="1228">
        <f>+K7+H7</f>
        <v>1678525.0609448114</v>
      </c>
      <c r="M7" s="1229">
        <f>-L7*$M$4</f>
        <v>-29374.188566534202</v>
      </c>
      <c r="N7" s="1229">
        <f>-L7*$N$4</f>
        <v>-4196.3126523620285</v>
      </c>
      <c r="O7" s="1229">
        <f>M7+N7</f>
        <v>-33570.501218896228</v>
      </c>
      <c r="P7" s="1228">
        <f>L7+O7</f>
        <v>1644954.5597259153</v>
      </c>
      <c r="Q7" s="1229">
        <v>0</v>
      </c>
      <c r="R7" s="1228">
        <f>SUM(P7:Q7)</f>
        <v>1644954.5597259153</v>
      </c>
      <c r="S7" s="1229">
        <f>VLOOKUP($A7,'Table 4 Level 4'!$B$182:$O$190,4,FALSE)</f>
        <v>0</v>
      </c>
      <c r="T7" s="1229">
        <f>'Table 4 Level 4'!O183</f>
        <v>0</v>
      </c>
      <c r="U7" s="936">
        <f>SUM(R7:T7)</f>
        <v>1644954.5597259153</v>
      </c>
      <c r="V7" s="1227">
        <f>(6*'[2]Table 5B2_RSD_LA'!X7)+(2*'[4]Table 5B2_RSD_LA'!X7)</f>
        <v>1066704</v>
      </c>
      <c r="W7" s="1227">
        <f>U7-V7</f>
        <v>578250.55972591531</v>
      </c>
      <c r="X7" s="1228">
        <f t="shared" si="50"/>
        <v>144563</v>
      </c>
      <c r="Y7" s="1229">
        <f>VLOOKUP($A7,'Table 4 Level 4'!$B$182:$O$190,9,FALSE)</f>
        <v>0</v>
      </c>
      <c r="Z7" s="1229">
        <f>VLOOKUP($A7,'Table 4 Level 4'!$B$182:$O$190,11,FALSE)</f>
        <v>0</v>
      </c>
      <c r="AA7" s="1229">
        <f>VLOOKUP($A7,'Table 4 Level 4'!$B$182:$O$190,12,FALSE)</f>
        <v>0</v>
      </c>
      <c r="AB7" s="936">
        <f>+U7+Y7+Z7+AA7</f>
        <v>1644954.5597259153</v>
      </c>
      <c r="AC7" s="1229">
        <f>'[13]FY2014-15 Final'!$E$20</f>
        <v>6067</v>
      </c>
      <c r="AD7" s="1231">
        <f>AC7*C7</f>
        <v>2378264</v>
      </c>
      <c r="AE7" s="1232">
        <f>'[1]October midyear adj'!E186</f>
        <v>22</v>
      </c>
      <c r="AF7" s="1226">
        <f>AC7*AE7</f>
        <v>133474</v>
      </c>
      <c r="AG7" s="1232">
        <f>'[1]February midyear adj'!E186</f>
        <v>-22</v>
      </c>
      <c r="AH7" s="1226">
        <f>+AC7*AG7*0.5</f>
        <v>-66737</v>
      </c>
      <c r="AI7" s="1230">
        <f>+AH7+AF7</f>
        <v>66737</v>
      </c>
      <c r="AJ7" s="1231">
        <f>AD7+AI7</f>
        <v>2445001</v>
      </c>
      <c r="AK7" s="1226">
        <f>-AJ7*$AK$4</f>
        <v>-42787.517500000002</v>
      </c>
      <c r="AL7" s="1226">
        <f>-AJ7*$AL$4</f>
        <v>-6112.5025000000005</v>
      </c>
      <c r="AM7" s="1226">
        <f>AK7+AL7</f>
        <v>-48900.020000000004</v>
      </c>
      <c r="AN7" s="1231">
        <f>AJ7+AM7</f>
        <v>2396100.98</v>
      </c>
      <c r="AO7" s="1229">
        <v>0</v>
      </c>
      <c r="AP7" s="1231">
        <f>SUM(AN7:AO7)</f>
        <v>2396100.98</v>
      </c>
      <c r="AQ7" s="1227">
        <f>(6*'[2]Table 5B2_RSD_LA'!AS7)+(2*'[4]Table 5B2_RSD_LA'!AS7)</f>
        <v>1575312</v>
      </c>
      <c r="AR7" s="1227">
        <f>AP7-AQ7</f>
        <v>820788.98</v>
      </c>
      <c r="AS7" s="1231">
        <f t="shared" si="61"/>
        <v>205197</v>
      </c>
      <c r="AT7" s="1233">
        <f>AB7+AP7</f>
        <v>4041055.5397259155</v>
      </c>
      <c r="AU7" s="1233">
        <f>X7+AS7</f>
        <v>349760</v>
      </c>
    </row>
    <row r="8" spans="1:47" ht="37.9" customHeight="1">
      <c r="A8" s="1223" t="s">
        <v>665</v>
      </c>
      <c r="B8" s="1223" t="s">
        <v>562</v>
      </c>
      <c r="C8" s="1224">
        <f>ROUND(520*(1593/2034),0)-1</f>
        <v>406</v>
      </c>
      <c r="D8" s="1225">
        <f>'Table 3 Levels 1&amp;2'!$AL$20</f>
        <v>3363.5980368254495</v>
      </c>
      <c r="E8" s="1226">
        <f>ROUND(C8*D8,0)</f>
        <v>1365621</v>
      </c>
      <c r="F8" s="1227">
        <v>801.47762416806802</v>
      </c>
      <c r="G8" s="1226">
        <f>F8*C8</f>
        <v>325399.9154122356</v>
      </c>
      <c r="H8" s="1228">
        <f>E8+G8</f>
        <v>1691020.9154122355</v>
      </c>
      <c r="I8" s="1234">
        <f>'[1]October midyear adj'!K187</f>
        <v>-341536.20420146844</v>
      </c>
      <c r="J8" s="1229">
        <f>'[1]February midyear adj'!K187</f>
        <v>-81218.975389373605</v>
      </c>
      <c r="K8" s="1230">
        <f t="shared" si="43"/>
        <v>-422755.17959084205</v>
      </c>
      <c r="L8" s="1228">
        <f>+K8+H8</f>
        <v>1268265.7358213936</v>
      </c>
      <c r="M8" s="1229">
        <f>-L8*$M$4</f>
        <v>-22194.65037687439</v>
      </c>
      <c r="N8" s="1229">
        <f>-L8*$N$4</f>
        <v>-3170.6643395534838</v>
      </c>
      <c r="O8" s="1229">
        <f>M8+N8</f>
        <v>-25365.314716427874</v>
      </c>
      <c r="P8" s="1228">
        <f>L8+O8</f>
        <v>1242900.4211049657</v>
      </c>
      <c r="Q8" s="1229">
        <v>0</v>
      </c>
      <c r="R8" s="1228">
        <f>SUM(P8:Q8)</f>
        <v>1242900.4211049657</v>
      </c>
      <c r="S8" s="1229">
        <f>VLOOKUP($A8,'Table 4 Level 4'!$B$182:$O$190,4,FALSE)</f>
        <v>0</v>
      </c>
      <c r="T8" s="1229">
        <f>'Table 4 Level 4'!O184</f>
        <v>4680</v>
      </c>
      <c r="U8" s="936">
        <f>SUM(R8:T8)</f>
        <v>1247580.4211049657</v>
      </c>
      <c r="V8" s="1227">
        <f>(6*'[2]Table 5B2_RSD_LA'!X8)+(2*'[4]Table 5B2_RSD_LA'!X8)</f>
        <v>996352</v>
      </c>
      <c r="W8" s="1227">
        <f>U8-V8</f>
        <v>251228.42110496573</v>
      </c>
      <c r="X8" s="1228">
        <f t="shared" si="50"/>
        <v>62807</v>
      </c>
      <c r="Y8" s="1229">
        <f>VLOOKUP($A8,'Table 4 Level 4'!$B$182:$O$190,9,FALSE)</f>
        <v>0</v>
      </c>
      <c r="Z8" s="1229">
        <f>VLOOKUP($A8,'Table 4 Level 4'!$B$182:$O$190,11,FALSE)</f>
        <v>0</v>
      </c>
      <c r="AA8" s="1229">
        <f>VLOOKUP($A8,'Table 4 Level 4'!$B$182:$O$190,12,FALSE)</f>
        <v>0</v>
      </c>
      <c r="AB8" s="936">
        <f>+U8+Y8+Z8+AA8</f>
        <v>1247580.4211049657</v>
      </c>
      <c r="AC8" s="1229">
        <f>'[13]FY2014-15 Final'!$E$20</f>
        <v>6067</v>
      </c>
      <c r="AD8" s="1231">
        <f>AC8*C8</f>
        <v>2463202</v>
      </c>
      <c r="AE8" s="1232">
        <f>'[1]October midyear adj'!E187</f>
        <v>-82</v>
      </c>
      <c r="AF8" s="1226">
        <f>AC8*AE8</f>
        <v>-497494</v>
      </c>
      <c r="AG8" s="1232">
        <f>'[1]February midyear adj'!E187</f>
        <v>-39</v>
      </c>
      <c r="AH8" s="1226">
        <f>+AC8*AG8*0.5</f>
        <v>-118306.5</v>
      </c>
      <c r="AI8" s="1230">
        <f>+AH8+AF8</f>
        <v>-615800.5</v>
      </c>
      <c r="AJ8" s="1231">
        <f>AD8+AI8</f>
        <v>1847401.5</v>
      </c>
      <c r="AK8" s="1226">
        <f>-AJ8*$AK$4</f>
        <v>-32329.526250000003</v>
      </c>
      <c r="AL8" s="1226">
        <f>-AJ8*$AL$4</f>
        <v>-4618.5037499999999</v>
      </c>
      <c r="AM8" s="1226">
        <f>AK8+AL8</f>
        <v>-36948.03</v>
      </c>
      <c r="AN8" s="1231">
        <f>AJ8+AM8</f>
        <v>1810453.47</v>
      </c>
      <c r="AO8" s="1229">
        <v>0</v>
      </c>
      <c r="AP8" s="1231">
        <f>SUM(AN8:AO8)</f>
        <v>1810453.47</v>
      </c>
      <c r="AQ8" s="1227">
        <f>(6*'[2]Table 5B2_RSD_LA'!AS8)+(2*'[4]Table 5B2_RSD_LA'!AS8)</f>
        <v>1466810</v>
      </c>
      <c r="AR8" s="1227">
        <f>AP8-AQ8</f>
        <v>343643.47</v>
      </c>
      <c r="AS8" s="1231">
        <f t="shared" si="61"/>
        <v>85911</v>
      </c>
      <c r="AT8" s="1233">
        <f>AB8+AP8</f>
        <v>3058033.8911049655</v>
      </c>
      <c r="AU8" s="1233">
        <f>X8+AS8</f>
        <v>148718</v>
      </c>
    </row>
    <row r="9" spans="1:47" ht="37.9" customHeight="1">
      <c r="A9" s="1223" t="s">
        <v>902</v>
      </c>
      <c r="B9" s="1223" t="s">
        <v>903</v>
      </c>
      <c r="C9" s="1224">
        <f>ROUND(426*(1593/2034),0)</f>
        <v>334</v>
      </c>
      <c r="D9" s="1225">
        <f>'Table 3 Levels 1&amp;2'!$AL$20</f>
        <v>3363.5980368254495</v>
      </c>
      <c r="E9" s="1226">
        <f>ROUND(C9*D9,0)</f>
        <v>1123442</v>
      </c>
      <c r="F9" s="1227">
        <v>801.47762416806802</v>
      </c>
      <c r="G9" s="1226">
        <f>F9*C9</f>
        <v>267693.52647213469</v>
      </c>
      <c r="H9" s="1228">
        <f>E9+G9</f>
        <v>1391135.5264721347</v>
      </c>
      <c r="I9" s="1234">
        <f>'[1]October midyear adj'!K188</f>
        <v>216583.93437166294</v>
      </c>
      <c r="J9" s="1229">
        <f>'[1]February midyear adj'!K188</f>
        <v>-37485.680948941663</v>
      </c>
      <c r="K9" s="1230">
        <f t="shared" si="43"/>
        <v>179098.25342272129</v>
      </c>
      <c r="L9" s="1228">
        <f>+K9+H9</f>
        <v>1570233.779894856</v>
      </c>
      <c r="M9" s="1229">
        <f>-L9*$M$4</f>
        <v>-27479.091148159983</v>
      </c>
      <c r="N9" s="1229">
        <f>-L9*$N$4</f>
        <v>-3925.5844497371399</v>
      </c>
      <c r="O9" s="1229">
        <f>M9+N9</f>
        <v>-31404.675597897123</v>
      </c>
      <c r="P9" s="1228">
        <f>L9+O9</f>
        <v>1538829.104296959</v>
      </c>
      <c r="Q9" s="1229">
        <v>0</v>
      </c>
      <c r="R9" s="1228">
        <f>SUM(P9:Q9)</f>
        <v>1538829.104296959</v>
      </c>
      <c r="S9" s="1229">
        <f>VLOOKUP($A9,'Table 4 Level 4'!$B$182:$O$190,4,FALSE)</f>
        <v>0</v>
      </c>
      <c r="T9" s="1229">
        <f>'Table 4 Level 4'!O185</f>
        <v>0</v>
      </c>
      <c r="U9" s="936">
        <f>SUM(R9:T9)</f>
        <v>1538829.104296959</v>
      </c>
      <c r="V9" s="1227">
        <f>(6*'[2]Table 5B2_RSD_LA'!X9)+(2*'[4]Table 5B2_RSD_LA'!X9)</f>
        <v>908872</v>
      </c>
      <c r="W9" s="1227">
        <f>U9-V9</f>
        <v>629957.10429695901</v>
      </c>
      <c r="X9" s="1228">
        <f t="shared" si="50"/>
        <v>157489</v>
      </c>
      <c r="Y9" s="1229">
        <f>VLOOKUP($A9,'Table 4 Level 4'!$B$182:$O$190,9,FALSE)</f>
        <v>0</v>
      </c>
      <c r="Z9" s="1229">
        <f>VLOOKUP($A9,'Table 4 Level 4'!$B$182:$O$190,11,FALSE)</f>
        <v>0</v>
      </c>
      <c r="AA9" s="1229">
        <f>VLOOKUP($A9,'Table 4 Level 4'!$B$182:$O$190,12,FALSE)</f>
        <v>0</v>
      </c>
      <c r="AB9" s="936">
        <f>+U9+Y9+Z9+AA9</f>
        <v>1538829.104296959</v>
      </c>
      <c r="AC9" s="1229">
        <f>'[13]FY2014-15 Final'!$E$20</f>
        <v>6067</v>
      </c>
      <c r="AD9" s="1231">
        <f>AC9*C9</f>
        <v>2026378</v>
      </c>
      <c r="AE9" s="1232">
        <f>'[1]October midyear adj'!E188</f>
        <v>52</v>
      </c>
      <c r="AF9" s="1226">
        <f>AC9*AE9</f>
        <v>315484</v>
      </c>
      <c r="AG9" s="1232">
        <f>'[1]February midyear adj'!E188</f>
        <v>-18</v>
      </c>
      <c r="AH9" s="1226">
        <f>+AC9*AG9*0.5</f>
        <v>-54603</v>
      </c>
      <c r="AI9" s="1230">
        <f>+AH9+AF9</f>
        <v>260881</v>
      </c>
      <c r="AJ9" s="1231">
        <f>AD9+AI9</f>
        <v>2287259</v>
      </c>
      <c r="AK9" s="1226">
        <f>-AJ9*$AK$4</f>
        <v>-40027.032500000001</v>
      </c>
      <c r="AL9" s="1226">
        <f>-AJ9*$AL$4</f>
        <v>-5718.1475</v>
      </c>
      <c r="AM9" s="1226">
        <f>AK9+AL9</f>
        <v>-45745.18</v>
      </c>
      <c r="AN9" s="1231">
        <f>AJ9+AM9</f>
        <v>2241513.8199999998</v>
      </c>
      <c r="AO9" s="1229">
        <v>0</v>
      </c>
      <c r="AP9" s="1231">
        <f>SUM(AN9:AO9)</f>
        <v>2241513.8199999998</v>
      </c>
      <c r="AQ9" s="1227">
        <f>(6*'[2]Table 5B2_RSD_LA'!AS9)+(2*'[4]Table 5B2_RSD_LA'!AS9)</f>
        <v>1342232</v>
      </c>
      <c r="AR9" s="1227">
        <f>AP9-AQ9</f>
        <v>899281.81999999983</v>
      </c>
      <c r="AS9" s="1231">
        <f t="shared" si="61"/>
        <v>224820</v>
      </c>
      <c r="AT9" s="1233">
        <f>AB9+AP9</f>
        <v>3780342.9242969588</v>
      </c>
      <c r="AU9" s="1233">
        <f>X9+AS9</f>
        <v>382309</v>
      </c>
    </row>
    <row r="10" spans="1:47" ht="37.9" customHeight="1">
      <c r="A10" s="1223" t="s">
        <v>667</v>
      </c>
      <c r="B10" s="1223" t="s">
        <v>878</v>
      </c>
      <c r="C10" s="1224">
        <f>ROUND(108*(1593/2034),0)</f>
        <v>85</v>
      </c>
      <c r="D10" s="1225">
        <f>'Table 3 Levels 1&amp;2'!$AL$20</f>
        <v>3363.5980368254495</v>
      </c>
      <c r="E10" s="1226">
        <f t="shared" si="40"/>
        <v>285906</v>
      </c>
      <c r="F10" s="1227">
        <v>801.47762416806802</v>
      </c>
      <c r="G10" s="1226">
        <f t="shared" si="41"/>
        <v>68125.598054285787</v>
      </c>
      <c r="H10" s="1228">
        <f t="shared" si="42"/>
        <v>354031.5980542858</v>
      </c>
      <c r="I10" s="1234">
        <f>'[1]October midyear adj'!K189</f>
        <v>12495.226982980554</v>
      </c>
      <c r="J10" s="1229">
        <f>'[1]February midyear adj'!K189</f>
        <v>-10412.689152483796</v>
      </c>
      <c r="K10" s="1230">
        <f t="shared" si="43"/>
        <v>2082.537830496758</v>
      </c>
      <c r="L10" s="1228">
        <f t="shared" si="44"/>
        <v>356114.13588478253</v>
      </c>
      <c r="M10" s="1229">
        <f t="shared" si="45"/>
        <v>-6231.9973779836946</v>
      </c>
      <c r="N10" s="1229">
        <f t="shared" si="46"/>
        <v>-890.28533971195634</v>
      </c>
      <c r="O10" s="1229">
        <f t="shared" si="47"/>
        <v>-7122.2827176956507</v>
      </c>
      <c r="P10" s="1228">
        <f t="shared" si="48"/>
        <v>348991.8531670869</v>
      </c>
      <c r="Q10" s="1229">
        <v>0</v>
      </c>
      <c r="R10" s="1228">
        <f t="shared" si="49"/>
        <v>348991.8531670869</v>
      </c>
      <c r="S10" s="1229">
        <f>VLOOKUP($A10,'Table 4 Level 4'!$B$182:$O$190,4,FALSE)</f>
        <v>0</v>
      </c>
      <c r="T10" s="1229">
        <f>'Table 4 Level 4'!O186</f>
        <v>0</v>
      </c>
      <c r="U10" s="936">
        <f t="shared" ref="U10:U11" si="63">SUM(R10:T10)</f>
        <v>348991.8531670869</v>
      </c>
      <c r="V10" s="1227">
        <f>(6*'[2]Table 5B2_RSD_LA'!X10)+(2*'[4]Table 5B2_RSD_LA'!X10)</f>
        <v>231302</v>
      </c>
      <c r="W10" s="1227">
        <f t="shared" ref="W10:W11" si="64">U10-V10</f>
        <v>117689.8531670869</v>
      </c>
      <c r="X10" s="1228">
        <f t="shared" si="50"/>
        <v>29422</v>
      </c>
      <c r="Y10" s="1229">
        <f>VLOOKUP($A10,'Table 4 Level 4'!$B$182:$O$190,9,FALSE)</f>
        <v>0</v>
      </c>
      <c r="Z10" s="1229">
        <f>VLOOKUP($A10,'Table 4 Level 4'!$B$182:$O$190,11,FALSE)</f>
        <v>0</v>
      </c>
      <c r="AA10" s="1229">
        <f>VLOOKUP($A10,'Table 4 Level 4'!$B$182:$O$190,12,FALSE)</f>
        <v>0</v>
      </c>
      <c r="AB10" s="936">
        <f t="shared" ref="AB10" si="65">+U10+Y10+Z10+AA10</f>
        <v>348991.8531670869</v>
      </c>
      <c r="AC10" s="1229">
        <f>'[13]FY2014-15 Final'!$E$20</f>
        <v>6067</v>
      </c>
      <c r="AD10" s="1231">
        <f t="shared" si="51"/>
        <v>515695</v>
      </c>
      <c r="AE10" s="1232">
        <f>'[1]October midyear adj'!E189</f>
        <v>3</v>
      </c>
      <c r="AF10" s="1226">
        <f t="shared" ref="AF10:AF11" si="66">AC10*AE10</f>
        <v>18201</v>
      </c>
      <c r="AG10" s="1232">
        <f>'[1]February midyear adj'!E189</f>
        <v>-5</v>
      </c>
      <c r="AH10" s="1226">
        <f t="shared" si="52"/>
        <v>-15167.5</v>
      </c>
      <c r="AI10" s="1230">
        <f t="shared" si="53"/>
        <v>3033.5</v>
      </c>
      <c r="AJ10" s="1231">
        <f t="shared" si="54"/>
        <v>518728.5</v>
      </c>
      <c r="AK10" s="1226">
        <f t="shared" si="55"/>
        <v>-9077.7487500000007</v>
      </c>
      <c r="AL10" s="1226">
        <f t="shared" si="56"/>
        <v>-1296.82125</v>
      </c>
      <c r="AM10" s="1226">
        <f t="shared" si="57"/>
        <v>-10374.57</v>
      </c>
      <c r="AN10" s="1231">
        <f t="shared" si="58"/>
        <v>508353.93</v>
      </c>
      <c r="AO10" s="1226">
        <v>0</v>
      </c>
      <c r="AP10" s="1231">
        <f t="shared" si="59"/>
        <v>508353.93</v>
      </c>
      <c r="AQ10" s="1227">
        <f>(6*'[2]Table 5B2_RSD_LA'!AS10)+(2*'[4]Table 5B2_RSD_LA'!AS10)</f>
        <v>341584</v>
      </c>
      <c r="AR10" s="1227">
        <f t="shared" ref="AR10:AR11" si="67">AP10-AQ10</f>
        <v>166769.93</v>
      </c>
      <c r="AS10" s="1231">
        <f t="shared" si="61"/>
        <v>41692</v>
      </c>
      <c r="AT10" s="1233">
        <f t="shared" ref="AT10:AT11" si="68">AB10+AP10</f>
        <v>857345.78316708689</v>
      </c>
      <c r="AU10" s="1233">
        <f t="shared" si="62"/>
        <v>71114</v>
      </c>
    </row>
    <row r="11" spans="1:47" ht="37.9" customHeight="1">
      <c r="A11" s="1223" t="s">
        <v>666</v>
      </c>
      <c r="B11" s="1223" t="s">
        <v>563</v>
      </c>
      <c r="C11" s="1224">
        <f>ROUND(480*(1593/2034),0)</f>
        <v>376</v>
      </c>
      <c r="D11" s="1225">
        <f>'Table 3 Levels 1&amp;2'!$AL$20</f>
        <v>3363.5980368254495</v>
      </c>
      <c r="E11" s="1226">
        <f t="shared" si="40"/>
        <v>1264713</v>
      </c>
      <c r="F11" s="1227">
        <v>801.47762416806802</v>
      </c>
      <c r="G11" s="1226">
        <f t="shared" si="41"/>
        <v>301355.5866871936</v>
      </c>
      <c r="H11" s="1228">
        <f t="shared" si="42"/>
        <v>1566068.5866871937</v>
      </c>
      <c r="I11" s="1234">
        <f>'[1]October midyear adj'!K190</f>
        <v>-45815.832270928695</v>
      </c>
      <c r="J11" s="1229">
        <f>'[1]February midyear adj'!K190</f>
        <v>-68723.748406393046</v>
      </c>
      <c r="K11" s="1230">
        <f t="shared" si="43"/>
        <v>-114539.58067732173</v>
      </c>
      <c r="L11" s="1228">
        <f t="shared" si="44"/>
        <v>1451529.0060098721</v>
      </c>
      <c r="M11" s="1229">
        <f t="shared" si="45"/>
        <v>-25401.757605172763</v>
      </c>
      <c r="N11" s="1229">
        <f t="shared" si="46"/>
        <v>-3628.8225150246803</v>
      </c>
      <c r="O11" s="1229">
        <f t="shared" si="47"/>
        <v>-29030.580120197443</v>
      </c>
      <c r="P11" s="1228">
        <f t="shared" si="48"/>
        <v>1422498.4258896746</v>
      </c>
      <c r="Q11" s="1229">
        <v>0</v>
      </c>
      <c r="R11" s="1228">
        <f t="shared" si="49"/>
        <v>1422498.4258896746</v>
      </c>
      <c r="S11" s="1229">
        <f>VLOOKUP($A11,'Table 4 Level 4'!$B$182:$O$190,4,FALSE)</f>
        <v>0</v>
      </c>
      <c r="T11" s="1229">
        <f>'Table 4 Level 4'!O187</f>
        <v>10400</v>
      </c>
      <c r="U11" s="936">
        <f t="shared" si="63"/>
        <v>1432898.4258896746</v>
      </c>
      <c r="V11" s="1227">
        <f>(6*'[2]Table 5B2_RSD_LA'!X11)+(2*'[4]Table 5B2_RSD_LA'!X11)</f>
        <v>1030098</v>
      </c>
      <c r="W11" s="1227">
        <f t="shared" si="64"/>
        <v>402800.42588967457</v>
      </c>
      <c r="X11" s="1228">
        <f t="shared" si="50"/>
        <v>100700</v>
      </c>
      <c r="Y11" s="1229">
        <f>VLOOKUP($A11,'Table 4 Level 4'!$B$182:$O$190,9,FALSE)</f>
        <v>0</v>
      </c>
      <c r="Z11" s="1229">
        <f>VLOOKUP($A11,'Table 4 Level 4'!$B$182:$O$190,11,FALSE)</f>
        <v>10000</v>
      </c>
      <c r="AA11" s="1229">
        <f>VLOOKUP($A11,'Table 4 Level 4'!$B$182:$O$190,12,FALSE)</f>
        <v>0</v>
      </c>
      <c r="AB11" s="936">
        <f>+U11+Y11+Z11+AA11</f>
        <v>1442898.4258896746</v>
      </c>
      <c r="AC11" s="1229">
        <f>'[13]FY2014-15 Final'!$E$20</f>
        <v>6067</v>
      </c>
      <c r="AD11" s="1231">
        <f t="shared" si="51"/>
        <v>2281192</v>
      </c>
      <c r="AE11" s="1232">
        <f>'[1]October midyear adj'!E190</f>
        <v>-11</v>
      </c>
      <c r="AF11" s="1226">
        <f t="shared" si="66"/>
        <v>-66737</v>
      </c>
      <c r="AG11" s="1232">
        <f>'[1]February midyear adj'!E190</f>
        <v>-33</v>
      </c>
      <c r="AH11" s="1226">
        <f t="shared" si="52"/>
        <v>-100105.5</v>
      </c>
      <c r="AI11" s="1230">
        <f t="shared" si="53"/>
        <v>-166842.5</v>
      </c>
      <c r="AJ11" s="1231">
        <f t="shared" si="54"/>
        <v>2114349.5</v>
      </c>
      <c r="AK11" s="1226">
        <f t="shared" si="55"/>
        <v>-37001.116250000006</v>
      </c>
      <c r="AL11" s="1226">
        <f t="shared" si="56"/>
        <v>-5285.8737499999997</v>
      </c>
      <c r="AM11" s="1226">
        <f t="shared" si="57"/>
        <v>-42286.990000000005</v>
      </c>
      <c r="AN11" s="1231">
        <f t="shared" si="58"/>
        <v>2072062.51</v>
      </c>
      <c r="AO11" s="1229">
        <v>0</v>
      </c>
      <c r="AP11" s="1231">
        <f t="shared" si="59"/>
        <v>2072062.51</v>
      </c>
      <c r="AQ11" s="1227">
        <f>(6*'[2]Table 5B2_RSD_LA'!AS11)+(2*'[4]Table 5B2_RSD_LA'!AS11)</f>
        <v>1511014</v>
      </c>
      <c r="AR11" s="1227">
        <f t="shared" si="67"/>
        <v>561048.51</v>
      </c>
      <c r="AS11" s="1231">
        <f t="shared" si="61"/>
        <v>140262</v>
      </c>
      <c r="AT11" s="1233">
        <f t="shared" si="68"/>
        <v>3514960.9358896744</v>
      </c>
      <c r="AU11" s="1233">
        <f t="shared" si="62"/>
        <v>240962</v>
      </c>
    </row>
    <row r="12" spans="1:47" s="599" customFormat="1" ht="40.5" customHeight="1">
      <c r="A12" s="1235"/>
      <c r="B12" s="1235" t="s">
        <v>170</v>
      </c>
      <c r="C12" s="1236">
        <f>SUM(C6:C11)</f>
        <v>2123</v>
      </c>
      <c r="D12" s="1237"/>
      <c r="E12" s="1238">
        <f>SUM(E6:E11)</f>
        <v>7140919</v>
      </c>
      <c r="F12" s="1238"/>
      <c r="G12" s="1238">
        <f t="shared" ref="G12:AA12" si="69">SUM(G6:G11)</f>
        <v>1701536.9961088086</v>
      </c>
      <c r="H12" s="1239">
        <f t="shared" si="69"/>
        <v>8842455.9961088095</v>
      </c>
      <c r="I12" s="1240">
        <f t="shared" si="69"/>
        <v>74971.361897883355</v>
      </c>
      <c r="J12" s="1241">
        <f t="shared" si="69"/>
        <v>-318628.28806600417</v>
      </c>
      <c r="K12" s="1242">
        <f t="shared" si="69"/>
        <v>-243656.92616812076</v>
      </c>
      <c r="L12" s="1239">
        <f t="shared" si="69"/>
        <v>8598799.0699406862</v>
      </c>
      <c r="M12" s="1241">
        <f t="shared" si="69"/>
        <v>-150478.98372396204</v>
      </c>
      <c r="N12" s="1241">
        <f t="shared" si="69"/>
        <v>-21496.997674851722</v>
      </c>
      <c r="O12" s="1241">
        <f t="shared" si="69"/>
        <v>-171975.98139881378</v>
      </c>
      <c r="P12" s="1239">
        <f t="shared" si="69"/>
        <v>8426823.0885418747</v>
      </c>
      <c r="Q12" s="1238">
        <f t="shared" si="69"/>
        <v>0</v>
      </c>
      <c r="R12" s="1239">
        <f t="shared" si="69"/>
        <v>8426823.0885418747</v>
      </c>
      <c r="S12" s="1238">
        <f t="shared" si="69"/>
        <v>0</v>
      </c>
      <c r="T12" s="1238">
        <f t="shared" si="69"/>
        <v>24570</v>
      </c>
      <c r="U12" s="1243">
        <f t="shared" si="69"/>
        <v>8451393.0885418747</v>
      </c>
      <c r="V12" s="1238">
        <f t="shared" si="69"/>
        <v>5681880</v>
      </c>
      <c r="W12" s="1238">
        <f t="shared" si="69"/>
        <v>2769513.0885418747</v>
      </c>
      <c r="X12" s="1239">
        <f t="shared" si="69"/>
        <v>692378</v>
      </c>
      <c r="Y12" s="1238">
        <f t="shared" si="69"/>
        <v>0</v>
      </c>
      <c r="Z12" s="1238">
        <f t="shared" si="69"/>
        <v>10000</v>
      </c>
      <c r="AA12" s="1238">
        <f t="shared" si="69"/>
        <v>0</v>
      </c>
      <c r="AB12" s="1243">
        <f t="shared" ref="AB12" si="70">SUM(AB6:AB11)</f>
        <v>8461393.0885418747</v>
      </c>
      <c r="AC12" s="1238"/>
      <c r="AD12" s="1244">
        <f t="shared" ref="AD12:AU12" si="71">SUM(AD6:AD11)</f>
        <v>12880241</v>
      </c>
      <c r="AE12" s="1245">
        <f t="shared" si="71"/>
        <v>18</v>
      </c>
      <c r="AF12" s="1238">
        <f t="shared" si="71"/>
        <v>109206</v>
      </c>
      <c r="AG12" s="1246">
        <f t="shared" si="71"/>
        <v>-153</v>
      </c>
      <c r="AH12" s="1238">
        <f t="shared" si="71"/>
        <v>-464125.5</v>
      </c>
      <c r="AI12" s="1242">
        <f t="shared" si="71"/>
        <v>-354919.5</v>
      </c>
      <c r="AJ12" s="1244">
        <f t="shared" si="71"/>
        <v>12525321.5</v>
      </c>
      <c r="AK12" s="1238">
        <f t="shared" si="71"/>
        <v>-219193.12625000003</v>
      </c>
      <c r="AL12" s="1238">
        <f t="shared" si="71"/>
        <v>-31313.303749999999</v>
      </c>
      <c r="AM12" s="1238">
        <f t="shared" si="71"/>
        <v>-250506.43</v>
      </c>
      <c r="AN12" s="1244">
        <f t="shared" si="71"/>
        <v>12274815.069999998</v>
      </c>
      <c r="AO12" s="1238">
        <f t="shared" si="71"/>
        <v>0</v>
      </c>
      <c r="AP12" s="1244">
        <f t="shared" si="71"/>
        <v>12274815.069999998</v>
      </c>
      <c r="AQ12" s="1247">
        <f t="shared" si="71"/>
        <v>8366840</v>
      </c>
      <c r="AR12" s="1247">
        <f t="shared" si="71"/>
        <v>3907975.0699999994</v>
      </c>
      <c r="AS12" s="1244">
        <f t="shared" si="71"/>
        <v>976993</v>
      </c>
      <c r="AT12" s="1248">
        <f t="shared" si="71"/>
        <v>20736208.158541873</v>
      </c>
      <c r="AU12" s="1248">
        <f t="shared" si="71"/>
        <v>1669371</v>
      </c>
    </row>
    <row r="13" spans="1:47" ht="15" customHeight="1">
      <c r="A13" s="1249"/>
      <c r="B13" s="1249"/>
      <c r="C13" s="1250"/>
      <c r="D13" s="1251"/>
      <c r="E13" s="1251"/>
      <c r="F13" s="1251"/>
      <c r="G13" s="1251"/>
      <c r="H13" s="1251"/>
      <c r="I13" s="1251"/>
      <c r="J13" s="1251"/>
      <c r="K13" s="1251"/>
      <c r="L13" s="1251"/>
      <c r="M13" s="1251"/>
      <c r="N13" s="1251"/>
      <c r="O13" s="1251"/>
      <c r="P13" s="1251"/>
      <c r="Q13" s="1251"/>
      <c r="R13" s="1251"/>
      <c r="S13" s="1251"/>
      <c r="T13" s="1251"/>
      <c r="U13" s="1251"/>
      <c r="V13" s="1251"/>
      <c r="W13" s="1251"/>
      <c r="X13" s="1251"/>
      <c r="Y13" s="1251"/>
      <c r="Z13" s="1251"/>
      <c r="AA13" s="1251"/>
      <c r="AB13" s="1251"/>
      <c r="AC13" s="1251"/>
      <c r="AD13" s="1251"/>
      <c r="AE13" s="1252"/>
      <c r="AF13" s="1251"/>
      <c r="AG13" s="1252"/>
      <c r="AH13" s="1251"/>
      <c r="AI13" s="1251"/>
      <c r="AJ13" s="1251"/>
      <c r="AK13" s="1251"/>
      <c r="AL13" s="1251"/>
      <c r="AM13" s="1251"/>
      <c r="AN13" s="1251"/>
      <c r="AO13" s="1251"/>
      <c r="AP13" s="1251"/>
      <c r="AQ13" s="1251"/>
      <c r="AR13" s="1251"/>
      <c r="AS13" s="1251"/>
      <c r="AT13" s="1251"/>
      <c r="AU13" s="1251"/>
    </row>
    <row r="14" spans="1:47" ht="37.9" customHeight="1">
      <c r="A14" s="1222">
        <v>371001</v>
      </c>
      <c r="B14" s="1223" t="s">
        <v>1050</v>
      </c>
      <c r="C14" s="1224">
        <f>+'Table 8 Membership 2.1.14'!D11</f>
        <v>508</v>
      </c>
      <c r="D14" s="1225">
        <f>'Table 3 Levels 1&amp;2'!$AL$12</f>
        <v>4632.4615072045008</v>
      </c>
      <c r="E14" s="1226">
        <f>ROUND(C14*D14,0)</f>
        <v>2353290</v>
      </c>
      <c r="F14" s="1253">
        <v>744.76</v>
      </c>
      <c r="G14" s="1226">
        <f>F14*C14</f>
        <v>378338.08</v>
      </c>
      <c r="H14" s="1228">
        <f>E14+G14</f>
        <v>2731628.08</v>
      </c>
      <c r="I14" s="1229">
        <f>'[1]October midyear adj'!K191</f>
        <v>134430.53768011252</v>
      </c>
      <c r="J14" s="1229">
        <f>'[1]February midyear adj'!$K$191</f>
        <v>-69903.879593658508</v>
      </c>
      <c r="K14" s="1230">
        <f t="shared" ref="K14" si="72">SUM(I14:J14)</f>
        <v>64526.658086454016</v>
      </c>
      <c r="L14" s="1228">
        <f>+K14+H14</f>
        <v>2796154.7380864541</v>
      </c>
      <c r="M14" s="1229">
        <f>-L14*$M$4</f>
        <v>-48932.707916512954</v>
      </c>
      <c r="N14" s="1229">
        <f>-L14*$N$4</f>
        <v>-6990.386845216135</v>
      </c>
      <c r="O14" s="1229">
        <f>M14+N14</f>
        <v>-55923.094761729088</v>
      </c>
      <c r="P14" s="1228">
        <f t="shared" ref="P14" si="73">L14+O14</f>
        <v>2740231.6433247249</v>
      </c>
      <c r="Q14" s="1229">
        <v>0</v>
      </c>
      <c r="R14" s="1228">
        <f>SUM(P14:Q14)</f>
        <v>2740231.6433247249</v>
      </c>
      <c r="S14" s="1229">
        <f>VLOOKUP($A14,'Table 4 Level 4'!$B$182:$O$190,4,FALSE)</f>
        <v>0</v>
      </c>
      <c r="T14" s="1229">
        <f>'Table 4 Level 4'!O190</f>
        <v>9256</v>
      </c>
      <c r="U14" s="936">
        <f>SUM(R14:T14)</f>
        <v>2749487.6433247249</v>
      </c>
      <c r="V14" s="1227">
        <f>(6*'[2]Table 5B2_RSD_LA'!X14)+(2*'[4]Table 5B2_RSD_LA'!X14)</f>
        <v>1790834</v>
      </c>
      <c r="W14" s="1227">
        <f>U14-V14</f>
        <v>958653.64332472486</v>
      </c>
      <c r="X14" s="1228">
        <f>ROUND(W14/$X$24,0)</f>
        <v>239663</v>
      </c>
      <c r="Y14" s="1229">
        <f>VLOOKUP($A14,'Table 4 Level 4'!$B$182:$O$190,9,FALSE)</f>
        <v>0</v>
      </c>
      <c r="Z14" s="1229">
        <f>VLOOKUP($A14,'Table 4 Level 4'!$B$182:$O$190,11,FALSE)</f>
        <v>0</v>
      </c>
      <c r="AA14" s="1229">
        <f>VLOOKUP($A14,'Table 4 Level 4'!$B$182:$O$190,12,FALSE)</f>
        <v>0</v>
      </c>
      <c r="AB14" s="936">
        <f>+U14+Y14+Z14+AA14</f>
        <v>2749487.6433247249</v>
      </c>
      <c r="AC14" s="1229">
        <f>'[13]FY2014-15 Final'!$E$12</f>
        <v>4185</v>
      </c>
      <c r="AD14" s="1231">
        <f>AC14*C14</f>
        <v>2125980</v>
      </c>
      <c r="AE14" s="1232">
        <f>'[1]October midyear adj'!$E$191</f>
        <v>25</v>
      </c>
      <c r="AF14" s="1226">
        <f>AC14*AE14</f>
        <v>104625</v>
      </c>
      <c r="AG14" s="1232">
        <f>'[1]February midyear adj'!$E$191</f>
        <v>-26</v>
      </c>
      <c r="AH14" s="1226">
        <f t="shared" ref="AH14" si="74">+AC14*AG14*0.5</f>
        <v>-54405</v>
      </c>
      <c r="AI14" s="1230">
        <f t="shared" ref="AI14" si="75">+AH14+AF14</f>
        <v>50220</v>
      </c>
      <c r="AJ14" s="1231">
        <f>AD14+AI14</f>
        <v>2176200</v>
      </c>
      <c r="AK14" s="1226">
        <f>-AJ14*$AK$4</f>
        <v>-38083.5</v>
      </c>
      <c r="AL14" s="1226">
        <f>-AJ14*$AL$4</f>
        <v>-5440.5</v>
      </c>
      <c r="AM14" s="1226">
        <f>AK14+AL14</f>
        <v>-43524</v>
      </c>
      <c r="AN14" s="1231">
        <f t="shared" ref="AN14" si="76">AJ14+AM14</f>
        <v>2132676</v>
      </c>
      <c r="AO14" s="1226">
        <v>0</v>
      </c>
      <c r="AP14" s="1231">
        <f>SUM(AN14:AO14)</f>
        <v>2132676</v>
      </c>
      <c r="AQ14" s="1227">
        <f>(6*'[2]Table 5B2_RSD_LA'!AS14)+(2*'[4]Table 5B2_RSD_LA'!AS14)</f>
        <v>1366072</v>
      </c>
      <c r="AR14" s="1227">
        <f t="shared" ref="AR14" si="77">AP14-AQ14</f>
        <v>766604</v>
      </c>
      <c r="AS14" s="1231">
        <f>ROUND(AR14/$AS$24,0)</f>
        <v>191651</v>
      </c>
      <c r="AT14" s="1233">
        <f>AB14+AP14</f>
        <v>4882163.6433247253</v>
      </c>
      <c r="AU14" s="1233">
        <f t="shared" ref="AU14" si="78">X14+AS14</f>
        <v>431314</v>
      </c>
    </row>
    <row r="15" spans="1:47" s="599" customFormat="1" ht="37.9" customHeight="1">
      <c r="A15" s="1235"/>
      <c r="B15" s="1235" t="s">
        <v>171</v>
      </c>
      <c r="C15" s="1236">
        <f>SUM(C14:C14)</f>
        <v>508</v>
      </c>
      <c r="D15" s="1237"/>
      <c r="E15" s="1238">
        <f>SUM(E14:E14)</f>
        <v>2353290</v>
      </c>
      <c r="F15" s="1241"/>
      <c r="G15" s="1238">
        <f t="shared" ref="G15:AJ15" si="79">SUM(G14:G14)</f>
        <v>378338.08</v>
      </c>
      <c r="H15" s="1239">
        <f t="shared" si="79"/>
        <v>2731628.08</v>
      </c>
      <c r="I15" s="1241">
        <f t="shared" si="79"/>
        <v>134430.53768011252</v>
      </c>
      <c r="J15" s="1241">
        <f t="shared" si="79"/>
        <v>-69903.879593658508</v>
      </c>
      <c r="K15" s="1242">
        <f t="shared" si="79"/>
        <v>64526.658086454016</v>
      </c>
      <c r="L15" s="1239">
        <f t="shared" si="79"/>
        <v>2796154.7380864541</v>
      </c>
      <c r="M15" s="1241">
        <f t="shared" si="79"/>
        <v>-48932.707916512954</v>
      </c>
      <c r="N15" s="1241">
        <f t="shared" si="79"/>
        <v>-6990.386845216135</v>
      </c>
      <c r="O15" s="1241">
        <f t="shared" si="79"/>
        <v>-55923.094761729088</v>
      </c>
      <c r="P15" s="1239">
        <f>SUM(P14:P14)</f>
        <v>2740231.6433247249</v>
      </c>
      <c r="Q15" s="1238">
        <f t="shared" si="79"/>
        <v>0</v>
      </c>
      <c r="R15" s="1239">
        <f>SUM(R14)</f>
        <v>2740231.6433247249</v>
      </c>
      <c r="S15" s="1238">
        <f t="shared" ref="S15:V15" si="80">SUM(S14)</f>
        <v>0</v>
      </c>
      <c r="T15" s="1238">
        <f t="shared" si="80"/>
        <v>9256</v>
      </c>
      <c r="U15" s="1243">
        <f t="shared" si="80"/>
        <v>2749487.6433247249</v>
      </c>
      <c r="V15" s="1247">
        <f t="shared" si="80"/>
        <v>1790834</v>
      </c>
      <c r="W15" s="1247">
        <f t="shared" si="79"/>
        <v>958653.64332472486</v>
      </c>
      <c r="X15" s="1239">
        <f t="shared" si="79"/>
        <v>239663</v>
      </c>
      <c r="Y15" s="1238">
        <f t="shared" si="79"/>
        <v>0</v>
      </c>
      <c r="Z15" s="1238">
        <f t="shared" si="79"/>
        <v>0</v>
      </c>
      <c r="AA15" s="1238">
        <f t="shared" si="79"/>
        <v>0</v>
      </c>
      <c r="AB15" s="1243">
        <f t="shared" si="79"/>
        <v>2749487.6433247249</v>
      </c>
      <c r="AC15" s="1238"/>
      <c r="AD15" s="1244">
        <f t="shared" si="79"/>
        <v>2125980</v>
      </c>
      <c r="AE15" s="1246">
        <f t="shared" si="79"/>
        <v>25</v>
      </c>
      <c r="AF15" s="1238">
        <f t="shared" si="79"/>
        <v>104625</v>
      </c>
      <c r="AG15" s="1246">
        <f t="shared" si="79"/>
        <v>-26</v>
      </c>
      <c r="AH15" s="1238">
        <f t="shared" si="79"/>
        <v>-54405</v>
      </c>
      <c r="AI15" s="1242">
        <f t="shared" si="79"/>
        <v>50220</v>
      </c>
      <c r="AJ15" s="1244">
        <f t="shared" si="79"/>
        <v>2176200</v>
      </c>
      <c r="AK15" s="1238">
        <f t="shared" ref="AK15:AU15" si="81">SUM(AK14:AK14)</f>
        <v>-38083.5</v>
      </c>
      <c r="AL15" s="1238">
        <f t="shared" si="81"/>
        <v>-5440.5</v>
      </c>
      <c r="AM15" s="1238">
        <f t="shared" si="81"/>
        <v>-43524</v>
      </c>
      <c r="AN15" s="1244">
        <f t="shared" si="81"/>
        <v>2132676</v>
      </c>
      <c r="AO15" s="1238">
        <f t="shared" si="81"/>
        <v>0</v>
      </c>
      <c r="AP15" s="1244">
        <f t="shared" si="81"/>
        <v>2132676</v>
      </c>
      <c r="AQ15" s="1247">
        <f t="shared" si="81"/>
        <v>1366072</v>
      </c>
      <c r="AR15" s="1247">
        <f t="shared" si="81"/>
        <v>766604</v>
      </c>
      <c r="AS15" s="1244">
        <f t="shared" si="81"/>
        <v>191651</v>
      </c>
      <c r="AT15" s="1248">
        <f t="shared" si="81"/>
        <v>4882163.6433247253</v>
      </c>
      <c r="AU15" s="1248">
        <f t="shared" si="81"/>
        <v>431314</v>
      </c>
    </row>
    <row r="16" spans="1:47" ht="15" customHeight="1">
      <c r="A16" s="1249"/>
      <c r="B16" s="1249"/>
      <c r="C16" s="1250"/>
      <c r="D16" s="1251"/>
      <c r="E16" s="1251"/>
      <c r="F16" s="1251"/>
      <c r="G16" s="1251"/>
      <c r="H16" s="1251"/>
      <c r="I16" s="1251"/>
      <c r="J16" s="1251"/>
      <c r="K16" s="1251"/>
      <c r="L16" s="1251"/>
      <c r="M16" s="1251"/>
      <c r="N16" s="1251"/>
      <c r="O16" s="1251"/>
      <c r="P16" s="1251"/>
      <c r="Q16" s="1251"/>
      <c r="R16" s="1251"/>
      <c r="S16" s="1251"/>
      <c r="T16" s="1251"/>
      <c r="U16" s="1251"/>
      <c r="V16" s="1251"/>
      <c r="W16" s="1251"/>
      <c r="X16" s="1251"/>
      <c r="Y16" s="1251"/>
      <c r="Z16" s="1251"/>
      <c r="AA16" s="1251"/>
      <c r="AB16" s="1251"/>
      <c r="AC16" s="1251"/>
      <c r="AD16" s="1251"/>
      <c r="AE16" s="1252"/>
      <c r="AF16" s="1251"/>
      <c r="AG16" s="1252"/>
      <c r="AH16" s="1251"/>
      <c r="AI16" s="1251"/>
      <c r="AJ16" s="1251"/>
      <c r="AK16" s="1251"/>
      <c r="AL16" s="1251"/>
      <c r="AM16" s="1251"/>
      <c r="AN16" s="1251"/>
      <c r="AO16" s="1251"/>
      <c r="AP16" s="1251"/>
      <c r="AQ16" s="1251"/>
      <c r="AR16" s="1251"/>
      <c r="AS16" s="1251"/>
      <c r="AT16" s="1251"/>
      <c r="AU16" s="1251"/>
    </row>
    <row r="17" spans="1:47" s="599" customFormat="1" ht="33.75" customHeight="1">
      <c r="A17" s="1235"/>
      <c r="B17" s="1235" t="s">
        <v>172</v>
      </c>
      <c r="C17" s="1254">
        <f>C12+C15</f>
        <v>2631</v>
      </c>
      <c r="D17" s="1255"/>
      <c r="E17" s="1256">
        <f>E12+E15</f>
        <v>9494209</v>
      </c>
      <c r="F17" s="1256"/>
      <c r="G17" s="1256">
        <f t="shared" ref="G17:AA17" si="82">G12+G15</f>
        <v>2079875.0761088086</v>
      </c>
      <c r="H17" s="1257">
        <f t="shared" si="82"/>
        <v>11574084.07610881</v>
      </c>
      <c r="I17" s="1258">
        <f t="shared" si="82"/>
        <v>209401.89957799588</v>
      </c>
      <c r="J17" s="1258">
        <f t="shared" si="82"/>
        <v>-388532.16765966266</v>
      </c>
      <c r="K17" s="1259">
        <f t="shared" si="82"/>
        <v>-179130.26808166673</v>
      </c>
      <c r="L17" s="1257">
        <f t="shared" si="82"/>
        <v>11394953.808027141</v>
      </c>
      <c r="M17" s="1260">
        <f t="shared" si="82"/>
        <v>-199411.69164047501</v>
      </c>
      <c r="N17" s="1260">
        <f t="shared" si="82"/>
        <v>-28487.384520067855</v>
      </c>
      <c r="O17" s="1260">
        <f t="shared" si="82"/>
        <v>-227899.07616054287</v>
      </c>
      <c r="P17" s="1257">
        <f t="shared" si="82"/>
        <v>11167054.7318666</v>
      </c>
      <c r="Q17" s="1238">
        <f t="shared" si="82"/>
        <v>0</v>
      </c>
      <c r="R17" s="1257">
        <f t="shared" si="82"/>
        <v>11167054.7318666</v>
      </c>
      <c r="S17" s="1238">
        <f t="shared" si="82"/>
        <v>0</v>
      </c>
      <c r="T17" s="1238">
        <f t="shared" si="82"/>
        <v>33826</v>
      </c>
      <c r="U17" s="1261">
        <f t="shared" si="82"/>
        <v>11200880.7318666</v>
      </c>
      <c r="V17" s="1256">
        <f t="shared" si="82"/>
        <v>7472714</v>
      </c>
      <c r="W17" s="1256">
        <f t="shared" si="82"/>
        <v>3728166.7318665995</v>
      </c>
      <c r="X17" s="1257">
        <f t="shared" si="82"/>
        <v>932041</v>
      </c>
      <c r="Y17" s="1238">
        <f t="shared" si="82"/>
        <v>0</v>
      </c>
      <c r="Z17" s="1238">
        <f t="shared" si="82"/>
        <v>10000</v>
      </c>
      <c r="AA17" s="1238">
        <f t="shared" si="82"/>
        <v>0</v>
      </c>
      <c r="AB17" s="1261">
        <f t="shared" ref="AB17" si="83">AB12+AB15</f>
        <v>11210880.7318666</v>
      </c>
      <c r="AC17" s="1256"/>
      <c r="AD17" s="1262">
        <f t="shared" ref="AD17:AU17" si="84">AD12+AD15</f>
        <v>15006221</v>
      </c>
      <c r="AE17" s="1263">
        <f t="shared" si="84"/>
        <v>43</v>
      </c>
      <c r="AF17" s="1264">
        <f t="shared" si="84"/>
        <v>213831</v>
      </c>
      <c r="AG17" s="1265">
        <f t="shared" si="84"/>
        <v>-179</v>
      </c>
      <c r="AH17" s="1264">
        <f t="shared" si="84"/>
        <v>-518530.5</v>
      </c>
      <c r="AI17" s="1259">
        <f t="shared" si="84"/>
        <v>-304699.5</v>
      </c>
      <c r="AJ17" s="1262">
        <f t="shared" si="84"/>
        <v>14701521.5</v>
      </c>
      <c r="AK17" s="1256">
        <f t="shared" si="84"/>
        <v>-257276.62625000003</v>
      </c>
      <c r="AL17" s="1256">
        <f t="shared" si="84"/>
        <v>-36753.803749999999</v>
      </c>
      <c r="AM17" s="1256">
        <f t="shared" si="84"/>
        <v>-294030.43</v>
      </c>
      <c r="AN17" s="1262">
        <f t="shared" si="84"/>
        <v>14407491.069999998</v>
      </c>
      <c r="AO17" s="1256">
        <f t="shared" si="84"/>
        <v>0</v>
      </c>
      <c r="AP17" s="1262">
        <f t="shared" si="84"/>
        <v>14407491.069999998</v>
      </c>
      <c r="AQ17" s="1256">
        <f t="shared" si="84"/>
        <v>9732912</v>
      </c>
      <c r="AR17" s="1256">
        <f t="shared" si="84"/>
        <v>4674579.0699999994</v>
      </c>
      <c r="AS17" s="1262">
        <f t="shared" si="84"/>
        <v>1168644</v>
      </c>
      <c r="AT17" s="1266">
        <f t="shared" si="84"/>
        <v>25618371.801866598</v>
      </c>
      <c r="AU17" s="1266">
        <f t="shared" si="84"/>
        <v>2100685</v>
      </c>
    </row>
    <row r="18" spans="1:47" customFormat="1" ht="25.15" hidden="1" customHeight="1">
      <c r="A18" s="1218"/>
      <c r="B18" s="1218"/>
      <c r="C18" s="1218"/>
      <c r="D18" s="1218"/>
      <c r="E18" s="1218"/>
      <c r="F18" s="1218"/>
      <c r="G18" s="1218"/>
      <c r="H18" s="1218"/>
      <c r="I18" s="1218"/>
      <c r="J18" s="1218"/>
      <c r="K18" s="1218"/>
      <c r="L18" s="1218"/>
      <c r="M18" s="1218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</row>
    <row r="19" spans="1:47" customFormat="1" ht="25.15" hidden="1" customHeight="1">
      <c r="A19" s="1218"/>
      <c r="B19" s="1218"/>
      <c r="C19" s="1218"/>
      <c r="D19" s="1218"/>
      <c r="E19" s="1218"/>
      <c r="F19" s="1218"/>
      <c r="G19" s="1218"/>
      <c r="H19" s="1218"/>
      <c r="I19" s="1218"/>
      <c r="J19" s="1218"/>
      <c r="K19" s="1218"/>
      <c r="L19" s="1271" t="s">
        <v>1046</v>
      </c>
      <c r="M19" s="1272">
        <v>-154742.97993190415</v>
      </c>
      <c r="N19" s="1272">
        <v>-22106.139990272022</v>
      </c>
      <c r="O19" s="1271" t="s">
        <v>1044</v>
      </c>
      <c r="P19" s="1218"/>
      <c r="Q19" s="1218"/>
      <c r="R19" s="1218"/>
      <c r="S19" s="1218"/>
      <c r="T19" s="1218"/>
      <c r="U19" s="1218"/>
      <c r="V19" s="1218"/>
      <c r="W19" s="1218"/>
      <c r="X19" s="1218"/>
      <c r="Y19" s="1218"/>
      <c r="Z19" s="1218"/>
      <c r="AA19" s="1218"/>
      <c r="AB19" s="1218"/>
      <c r="AC19" s="1218"/>
      <c r="AD19" s="1218"/>
      <c r="AE19" s="1218"/>
      <c r="AF19" s="1218"/>
      <c r="AG19" s="1218"/>
      <c r="AH19" s="1218"/>
      <c r="AI19" s="1218"/>
      <c r="AJ19" s="1271" t="s">
        <v>1046</v>
      </c>
      <c r="AK19" s="1272">
        <v>-228525.02750000003</v>
      </c>
      <c r="AL19" s="1272">
        <v>-32646.432500000003</v>
      </c>
      <c r="AM19" s="1271" t="s">
        <v>1044</v>
      </c>
      <c r="AN19" s="1218"/>
      <c r="AO19" s="1218"/>
      <c r="AP19" s="1218"/>
      <c r="AQ19" s="1218"/>
      <c r="AR19" s="1218"/>
      <c r="AS19" s="1218"/>
      <c r="AT19" s="1218"/>
      <c r="AU19" s="1218"/>
    </row>
    <row r="20" spans="1:47" customFormat="1" ht="25.15" hidden="1" customHeight="1">
      <c r="A20" s="1218"/>
      <c r="B20" s="1218"/>
      <c r="C20" s="1218"/>
      <c r="D20" s="1218"/>
      <c r="E20" s="1218"/>
      <c r="F20" s="1218"/>
      <c r="G20" s="1218"/>
      <c r="H20" s="1218"/>
      <c r="I20" s="1218"/>
      <c r="J20" s="1218"/>
      <c r="K20" s="1218"/>
      <c r="L20" s="1271" t="s">
        <v>1046</v>
      </c>
      <c r="M20" s="1272">
        <f>M12-M19</f>
        <v>4263.9962079421093</v>
      </c>
      <c r="N20" s="1272">
        <f>N12-N19</f>
        <v>609.14231542030029</v>
      </c>
      <c r="O20" s="1271" t="s">
        <v>1045</v>
      </c>
      <c r="P20" s="1218"/>
      <c r="Q20" s="1218"/>
      <c r="R20" s="1218"/>
      <c r="S20" s="1218"/>
      <c r="T20" s="1218"/>
      <c r="U20" s="1218"/>
      <c r="V20" s="1218"/>
      <c r="W20" s="1218"/>
      <c r="X20" s="1218"/>
      <c r="Y20" s="1218"/>
      <c r="Z20" s="1218"/>
      <c r="AA20" s="1218"/>
      <c r="AB20" s="1218"/>
      <c r="AC20" s="1218"/>
      <c r="AD20" s="1218"/>
      <c r="AE20" s="1218"/>
      <c r="AF20" s="1218"/>
      <c r="AG20" s="1218"/>
      <c r="AH20" s="1218"/>
      <c r="AI20" s="1218"/>
      <c r="AJ20" s="1271" t="s">
        <v>1046</v>
      </c>
      <c r="AK20" s="1272">
        <f>AK12-AK19</f>
        <v>9331.9012499999953</v>
      </c>
      <c r="AL20" s="1272">
        <f>AL12-AL19</f>
        <v>1333.1287500000035</v>
      </c>
      <c r="AM20" s="1271" t="s">
        <v>1045</v>
      </c>
      <c r="AN20" s="1218"/>
      <c r="AO20" s="1218"/>
      <c r="AP20" s="1218"/>
      <c r="AQ20" s="1218"/>
      <c r="AR20" s="1218"/>
      <c r="AS20" s="1218"/>
      <c r="AT20" s="1218"/>
      <c r="AU20" s="1218"/>
    </row>
    <row r="21" spans="1:47" customFormat="1" ht="17.45" hidden="1" customHeight="1">
      <c r="A21" s="1218"/>
      <c r="B21" s="1218"/>
      <c r="C21" s="1218"/>
      <c r="D21" s="1218"/>
      <c r="E21" s="1218"/>
      <c r="F21" s="1218"/>
      <c r="G21" s="1218"/>
      <c r="H21" s="1218"/>
      <c r="I21" s="1218"/>
      <c r="J21" s="1218"/>
      <c r="K21" s="1218"/>
      <c r="L21" s="1271"/>
      <c r="M21" s="1271"/>
      <c r="N21" s="1271"/>
      <c r="O21" s="1271"/>
      <c r="P21" s="1218"/>
      <c r="Q21" s="1218"/>
      <c r="R21" s="1218"/>
      <c r="S21" s="1218"/>
      <c r="T21" s="1218"/>
      <c r="U21" s="1218"/>
      <c r="V21" s="1218"/>
      <c r="W21" s="1218"/>
      <c r="X21" s="1218"/>
      <c r="Y21" s="1218"/>
      <c r="Z21" s="1218"/>
      <c r="AA21" s="1218"/>
      <c r="AB21" s="1218"/>
      <c r="AC21" s="1218"/>
      <c r="AD21" s="1218"/>
      <c r="AE21" s="1218"/>
      <c r="AF21" s="1218"/>
      <c r="AG21" s="1218"/>
      <c r="AH21" s="1218"/>
      <c r="AI21" s="1218"/>
      <c r="AJ21" s="1271"/>
      <c r="AK21" s="1271"/>
      <c r="AL21" s="1271"/>
      <c r="AM21" s="1271"/>
      <c r="AN21" s="1218"/>
      <c r="AO21" s="1218"/>
      <c r="AP21" s="1218"/>
      <c r="AQ21" s="1218"/>
      <c r="AR21" s="1218"/>
      <c r="AS21" s="1218"/>
      <c r="AT21" s="1218"/>
      <c r="AU21" s="1218"/>
    </row>
    <row r="22" spans="1:47" ht="24" hidden="1" customHeight="1">
      <c r="A22" s="747"/>
      <c r="B22" s="747"/>
      <c r="C22" s="747"/>
      <c r="D22" s="747"/>
      <c r="E22" s="1267"/>
      <c r="F22" s="868"/>
      <c r="G22" s="868"/>
      <c r="H22" s="868"/>
      <c r="I22" s="868"/>
      <c r="J22" s="868"/>
      <c r="K22" s="868"/>
      <c r="L22" s="1271" t="s">
        <v>81</v>
      </c>
      <c r="M22" s="1272">
        <v>-47803.491400000006</v>
      </c>
      <c r="N22" s="1272">
        <v>-6829.0702000000001</v>
      </c>
      <c r="O22" s="1271" t="s">
        <v>1044</v>
      </c>
      <c r="P22" s="868"/>
      <c r="Q22" s="868"/>
      <c r="R22" s="868"/>
      <c r="S22" s="868"/>
      <c r="T22" s="868"/>
      <c r="U22" s="868"/>
      <c r="V22" s="868"/>
      <c r="Y22" s="868"/>
      <c r="Z22" s="868"/>
      <c r="AA22" s="868"/>
      <c r="AB22" s="868"/>
      <c r="AC22" s="868"/>
      <c r="AD22" s="868"/>
      <c r="AE22" s="868"/>
      <c r="AF22" s="868"/>
      <c r="AG22" s="868"/>
      <c r="AH22" s="868"/>
      <c r="AI22" s="868"/>
      <c r="AJ22" s="1271" t="s">
        <v>81</v>
      </c>
      <c r="AK22" s="1272">
        <v>-36591.240000000005</v>
      </c>
      <c r="AL22" s="1272">
        <v>-5227.32</v>
      </c>
      <c r="AM22" s="1271" t="s">
        <v>1044</v>
      </c>
      <c r="AN22" s="868"/>
      <c r="AO22" s="868"/>
      <c r="AP22" s="868"/>
      <c r="AQ22" s="747"/>
      <c r="AT22" s="747"/>
      <c r="AU22" s="747"/>
    </row>
    <row r="23" spans="1:47" ht="25.9" hidden="1" customHeight="1">
      <c r="A23" s="747"/>
      <c r="B23" s="1502"/>
      <c r="C23" s="1502"/>
      <c r="D23" s="1502"/>
      <c r="E23" s="1502"/>
      <c r="F23" s="1502"/>
      <c r="G23" s="1502"/>
      <c r="H23" s="1502"/>
      <c r="I23" s="1269"/>
      <c r="J23" s="1269"/>
      <c r="K23" s="1269"/>
      <c r="L23" s="1271" t="s">
        <v>81</v>
      </c>
      <c r="M23" s="1272">
        <f>M15-M22</f>
        <v>-1129.2165165129481</v>
      </c>
      <c r="N23" s="1272">
        <f>N15-N22</f>
        <v>-161.31664521613493</v>
      </c>
      <c r="O23" s="1271" t="s">
        <v>1045</v>
      </c>
      <c r="P23" s="1269"/>
      <c r="Q23" s="1270"/>
      <c r="R23" s="1269"/>
      <c r="S23" s="1269"/>
      <c r="T23" s="1269"/>
      <c r="U23" s="1269"/>
      <c r="V23" s="1269"/>
      <c r="W23" s="1269"/>
      <c r="X23" s="1270"/>
      <c r="Y23" s="1270"/>
      <c r="Z23" s="1270"/>
      <c r="AA23" s="1270"/>
      <c r="AB23" s="1270"/>
      <c r="AC23" s="1270"/>
      <c r="AD23" s="1270"/>
      <c r="AE23" s="1270"/>
      <c r="AF23" s="1270"/>
      <c r="AG23" s="1270"/>
      <c r="AH23" s="1270"/>
      <c r="AI23" s="1270"/>
      <c r="AJ23" s="1271" t="s">
        <v>81</v>
      </c>
      <c r="AK23" s="1272">
        <f>AK15-AK22</f>
        <v>-1492.2599999999948</v>
      </c>
      <c r="AL23" s="1272">
        <f>AL15-AL22</f>
        <v>-213.18000000000029</v>
      </c>
      <c r="AM23" s="1271" t="s">
        <v>1045</v>
      </c>
      <c r="AN23" s="1270"/>
      <c r="AO23" s="1270"/>
      <c r="AP23" s="1270"/>
      <c r="AQ23" s="1270"/>
      <c r="AR23" s="1270"/>
      <c r="AS23" s="1270"/>
      <c r="AT23" s="747"/>
      <c r="AU23" s="747"/>
    </row>
    <row r="24" spans="1:47" ht="23.25" hidden="1" customHeight="1">
      <c r="A24" s="869"/>
      <c r="B24" s="869"/>
      <c r="C24" s="1217"/>
      <c r="D24" s="1217"/>
      <c r="E24" s="1217"/>
      <c r="F24" s="1217"/>
      <c r="G24" s="1217"/>
      <c r="H24" s="1217"/>
      <c r="I24" s="1217"/>
      <c r="J24" s="1217"/>
      <c r="K24" s="1217"/>
      <c r="L24" s="1217"/>
      <c r="P24" s="1217"/>
      <c r="Q24" s="1217"/>
      <c r="R24" s="1217"/>
      <c r="S24" s="870"/>
      <c r="T24" s="870"/>
      <c r="U24" s="870"/>
      <c r="V24" s="870"/>
      <c r="W24" s="868" t="str">
        <f>'Table 2_State Distrib and Adjs'!$AK$77</f>
        <v>Monthly Pmts Remaining</v>
      </c>
      <c r="X24" s="1268">
        <f>'Table 2_State Distrib and Adjs'!$AL$77</f>
        <v>4</v>
      </c>
      <c r="Y24" s="871"/>
      <c r="Z24" s="871"/>
      <c r="AA24" s="871"/>
      <c r="AB24" s="871"/>
      <c r="AC24" s="871"/>
      <c r="AD24" s="872"/>
      <c r="AE24" s="872"/>
      <c r="AF24" s="872"/>
      <c r="AG24" s="872"/>
      <c r="AH24" s="872"/>
      <c r="AI24" s="872"/>
      <c r="AJ24" s="872"/>
      <c r="AR24" s="868" t="str">
        <f>'Table 2_State Distrib and Adjs'!$AK$77</f>
        <v>Monthly Pmts Remaining</v>
      </c>
      <c r="AS24" s="868">
        <f>'Table 2_State Distrib and Adjs'!$AL$77</f>
        <v>4</v>
      </c>
    </row>
    <row r="25" spans="1:47" ht="19.5" customHeight="1"/>
    <row r="27" spans="1:47">
      <c r="F27" s="519"/>
    </row>
  </sheetData>
  <sortState ref="A7:AU9">
    <sortCondition ref="A7"/>
  </sortState>
  <mergeCells count="47">
    <mergeCell ref="AR3:AR4"/>
    <mergeCell ref="AM3:AM4"/>
    <mergeCell ref="AN3:AN4"/>
    <mergeCell ref="AE2:AI2"/>
    <mergeCell ref="A1:A4"/>
    <mergeCell ref="B1:B4"/>
    <mergeCell ref="C1:R1"/>
    <mergeCell ref="AC1:AU1"/>
    <mergeCell ref="AT3:AT4"/>
    <mergeCell ref="AU3:AU4"/>
    <mergeCell ref="AS3:AS4"/>
    <mergeCell ref="AC3:AC4"/>
    <mergeCell ref="AD3:AD4"/>
    <mergeCell ref="AF3:AF4"/>
    <mergeCell ref="AH3:AH4"/>
    <mergeCell ref="AE3:AE4"/>
    <mergeCell ref="AG3:AG4"/>
    <mergeCell ref="AP3:AP4"/>
    <mergeCell ref="AQ3:AQ4"/>
    <mergeCell ref="AO3:AO4"/>
    <mergeCell ref="H3:H4"/>
    <mergeCell ref="B23:H23"/>
    <mergeCell ref="P3:P4"/>
    <mergeCell ref="Q3:Q4"/>
    <mergeCell ref="C3:C4"/>
    <mergeCell ref="G3:G4"/>
    <mergeCell ref="D3:D4"/>
    <mergeCell ref="F3:F4"/>
    <mergeCell ref="E3:E4"/>
    <mergeCell ref="O3:O4"/>
    <mergeCell ref="I3:I4"/>
    <mergeCell ref="J3:J4"/>
    <mergeCell ref="K3:K4"/>
    <mergeCell ref="L3:L4"/>
    <mergeCell ref="S1:AB1"/>
    <mergeCell ref="I2:K2"/>
    <mergeCell ref="S2:T2"/>
    <mergeCell ref="U3:U4"/>
    <mergeCell ref="AB3:AB4"/>
    <mergeCell ref="Y2:AA2"/>
    <mergeCell ref="Y3:Y4"/>
    <mergeCell ref="Z3:Z4"/>
    <mergeCell ref="AA3:AA4"/>
    <mergeCell ref="X3:X4"/>
    <mergeCell ref="S3:S4"/>
    <mergeCell ref="T3:T4"/>
    <mergeCell ref="R3:R4"/>
  </mergeCells>
  <phoneticPr fontId="0" type="noConversion"/>
  <printOptions horizontalCentered="1"/>
  <pageMargins left="0.25" right="0.25" top="1" bottom="0.75" header="0.24" footer="0.31"/>
  <pageSetup paperSize="5" scale="50" firstPageNumber="48" orientation="landscape" r:id="rId1"/>
  <headerFooter alignWithMargins="0">
    <oddHeader xml:space="preserve">&amp;L&amp;"Arial,Bold"&amp;22&amp;K000000Table 5B2:  FY2014-15 MFP Budget Letter (March 2015)
Recovery School District (Allocations for Type 5 Charters other than Orleans Parish)&amp;R
</oddHeader>
    <oddFooter>&amp;R&amp;12&amp;P</oddFooter>
  </headerFooter>
  <colBreaks count="2" manualBreakCount="2">
    <brk id="18" max="22" man="1"/>
    <brk id="28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O98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427" customWidth="1"/>
    <col min="2" max="2" width="37.7109375" style="427" customWidth="1"/>
    <col min="3" max="3" width="12.140625" style="427" bestFit="1" customWidth="1"/>
    <col min="4" max="4" width="13.7109375" style="427" bestFit="1" customWidth="1"/>
    <col min="5" max="5" width="9.85546875" style="427" bestFit="1" customWidth="1"/>
    <col min="6" max="7" width="12.28515625" style="427" bestFit="1" customWidth="1"/>
    <col min="8" max="8" width="11.5703125" style="427" bestFit="1" customWidth="1"/>
    <col min="9" max="10" width="11.85546875" style="427" bestFit="1" customWidth="1"/>
    <col min="11" max="11" width="11.85546875" style="427" customWidth="1"/>
    <col min="12" max="12" width="11.85546875" style="427" bestFit="1" customWidth="1"/>
    <col min="13" max="13" width="10.85546875" style="427" bestFit="1" customWidth="1"/>
    <col min="14" max="14" width="13.140625" style="427" customWidth="1"/>
    <col min="15" max="15" width="13.42578125" style="427" bestFit="1" customWidth="1"/>
    <col min="16" max="16" width="14.5703125" style="427" customWidth="1"/>
    <col min="17" max="18" width="14" style="427" customWidth="1"/>
    <col min="19" max="19" width="10.7109375" style="427" customWidth="1"/>
    <col min="20" max="20" width="15.42578125" style="427" customWidth="1"/>
    <col min="21" max="22" width="14.5703125" style="427" customWidth="1"/>
    <col min="23" max="23" width="11.7109375" style="427" customWidth="1"/>
    <col min="24" max="24" width="14.42578125" style="427" bestFit="1" customWidth="1"/>
    <col min="25" max="27" width="11.7109375" style="427" customWidth="1"/>
    <col min="28" max="28" width="14.42578125" style="427" bestFit="1" customWidth="1"/>
    <col min="29" max="29" width="10.5703125" style="427" customWidth="1"/>
    <col min="30" max="30" width="14.42578125" style="427" bestFit="1" customWidth="1"/>
    <col min="31" max="31" width="11.85546875" style="427" bestFit="1" customWidth="1"/>
    <col min="32" max="32" width="14.42578125" style="427" bestFit="1" customWidth="1"/>
    <col min="33" max="34" width="10.7109375" style="427" bestFit="1" customWidth="1"/>
    <col min="35" max="37" width="14.42578125" style="427" bestFit="1" customWidth="1"/>
    <col min="38" max="38" width="3.28515625" style="427" customWidth="1"/>
    <col min="39" max="40" width="12.28515625" style="427" hidden="1" customWidth="1"/>
    <col min="41" max="41" width="10" style="427" hidden="1" customWidth="1"/>
    <col min="42" max="16384" width="8.85546875" style="427"/>
  </cols>
  <sheetData>
    <row r="1" spans="1:41" ht="23.45" customHeight="1">
      <c r="A1" s="1535" t="s">
        <v>1048</v>
      </c>
      <c r="B1" s="1536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40" t="s">
        <v>742</v>
      </c>
      <c r="N1" s="1541"/>
      <c r="O1" s="1541"/>
      <c r="P1" s="1541"/>
      <c r="Q1" s="1541"/>
      <c r="R1" s="1541"/>
      <c r="S1" s="1541"/>
      <c r="T1" s="1542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454"/>
      <c r="B2" s="1455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37"/>
      <c r="B3" s="1455"/>
      <c r="C3" s="1525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691</v>
      </c>
      <c r="M3" s="876" t="s">
        <v>262</v>
      </c>
      <c r="N3" s="1525" t="s">
        <v>690</v>
      </c>
      <c r="O3" s="1526" t="s">
        <v>702</v>
      </c>
      <c r="P3" s="1525" t="s">
        <v>717</v>
      </c>
      <c r="Q3" s="877" t="s">
        <v>546</v>
      </c>
      <c r="R3" s="877" t="s">
        <v>547</v>
      </c>
      <c r="S3" s="1527" t="s">
        <v>423</v>
      </c>
      <c r="T3" s="1515" t="s">
        <v>716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38"/>
      <c r="B4" s="1457"/>
      <c r="C4" s="1520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446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188"/>
      <c r="B5" s="189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" si="1">E5+1</f>
        <v>4</v>
      </c>
      <c r="G5" s="23">
        <f t="shared" ref="G5" si="2">F5+1</f>
        <v>5</v>
      </c>
      <c r="H5" s="23">
        <f t="shared" ref="H5" si="3">G5+1</f>
        <v>6</v>
      </c>
      <c r="I5" s="23">
        <f t="shared" ref="I5" si="4">H5+1</f>
        <v>7</v>
      </c>
      <c r="J5" s="23">
        <f t="shared" ref="J5" si="5">I5+1</f>
        <v>8</v>
      </c>
      <c r="K5" s="23">
        <f t="shared" ref="K5" si="6">J5+1</f>
        <v>9</v>
      </c>
      <c r="L5" s="23">
        <f t="shared" ref="L5" si="7">K5+1</f>
        <v>10</v>
      </c>
      <c r="M5" s="23">
        <f t="shared" ref="M5" si="8">L5+1</f>
        <v>11</v>
      </c>
      <c r="N5" s="23">
        <f t="shared" ref="N5" si="9">M5+1</f>
        <v>12</v>
      </c>
      <c r="O5" s="23">
        <f t="shared" ref="O5" si="10">N5+1</f>
        <v>13</v>
      </c>
      <c r="P5" s="23">
        <f>O5+1</f>
        <v>14</v>
      </c>
      <c r="Q5" s="23">
        <f t="shared" ref="Q5" si="11">P5+1</f>
        <v>15</v>
      </c>
      <c r="R5" s="23">
        <f t="shared" ref="R5" si="12">Q5+1</f>
        <v>16</v>
      </c>
      <c r="S5" s="23">
        <f t="shared" ref="S5:T5" si="13">R5+1</f>
        <v>17</v>
      </c>
      <c r="T5" s="115">
        <f t="shared" si="13"/>
        <v>18</v>
      </c>
      <c r="U5" s="115">
        <f t="shared" ref="U5" si="14">T5+1</f>
        <v>19</v>
      </c>
      <c r="V5" s="115">
        <f t="shared" ref="V5" si="15">U5+1</f>
        <v>20</v>
      </c>
      <c r="W5" s="23">
        <f t="shared" ref="W5" si="16">V5+1</f>
        <v>21</v>
      </c>
      <c r="X5" s="23">
        <f t="shared" ref="X5" si="17">W5+1</f>
        <v>22</v>
      </c>
      <c r="Y5" s="23">
        <f t="shared" ref="Y5" si="18">X5+1</f>
        <v>23</v>
      </c>
      <c r="Z5" s="23">
        <f t="shared" ref="Z5" si="19">Y5+1</f>
        <v>24</v>
      </c>
      <c r="AA5" s="23">
        <f t="shared" ref="AA5" si="20">Z5+1</f>
        <v>25</v>
      </c>
      <c r="AB5" s="23">
        <f t="shared" ref="AB5" si="21">AA5+1</f>
        <v>26</v>
      </c>
      <c r="AC5" s="23">
        <f t="shared" ref="AC5" si="22">AB5+1</f>
        <v>27</v>
      </c>
      <c r="AD5" s="23">
        <f t="shared" ref="AD5" si="23">AC5+1</f>
        <v>28</v>
      </c>
      <c r="AE5" s="23">
        <f t="shared" ref="AE5" si="24">AD5+1</f>
        <v>29</v>
      </c>
      <c r="AF5" s="23">
        <f t="shared" ref="AF5" si="25">AE5+1</f>
        <v>30</v>
      </c>
      <c r="AG5" s="23">
        <f t="shared" ref="AG5" si="26">AF5+1</f>
        <v>31</v>
      </c>
      <c r="AH5" s="23">
        <f t="shared" ref="AH5" si="27">AG5+1</f>
        <v>32</v>
      </c>
      <c r="AI5" s="23">
        <f t="shared" ref="AI5" si="28">AH5+1</f>
        <v>33</v>
      </c>
      <c r="AJ5" s="23">
        <f t="shared" ref="AJ5" si="29">AI5+1</f>
        <v>34</v>
      </c>
      <c r="AK5" s="23">
        <f t="shared" ref="AK5" si="30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47"/>
      <c r="J6" s="47"/>
      <c r="K6" s="47"/>
      <c r="L6" s="47"/>
      <c r="M6" s="30"/>
      <c r="N6" s="30"/>
      <c r="O6" s="30"/>
      <c r="P6" s="30"/>
      <c r="Q6" s="49"/>
      <c r="R6" s="49"/>
      <c r="S6" s="30"/>
      <c r="T6" s="114"/>
      <c r="U6" s="119"/>
      <c r="V6" s="30"/>
      <c r="W6" s="50"/>
      <c r="X6" s="50"/>
      <c r="Y6" s="55"/>
      <c r="Z6" s="55"/>
      <c r="AA6" s="55"/>
      <c r="AB6" s="50"/>
      <c r="AC6" s="30"/>
      <c r="AD6" s="30"/>
      <c r="AE6" s="30"/>
      <c r="AF6" s="30"/>
      <c r="AG6" s="50"/>
      <c r="AH6" s="50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2.1.14'!I3</f>
        <v>0</v>
      </c>
      <c r="D7" s="208">
        <f>'Table 3 Levels 1&amp;2'!AL4</f>
        <v>4765.8584413349836</v>
      </c>
      <c r="E7" s="209">
        <f>C7*D7</f>
        <v>0</v>
      </c>
      <c r="F7" s="209">
        <f>'Table 3A Level 3'!C6</f>
        <v>777.48</v>
      </c>
      <c r="G7" s="209">
        <f>C7*F7</f>
        <v>0</v>
      </c>
      <c r="H7" s="344">
        <f>E7+G7</f>
        <v>0</v>
      </c>
      <c r="I7" s="210">
        <f>'[1]Oct midyear Madison Prep'!K4</f>
        <v>0</v>
      </c>
      <c r="J7" s="210">
        <f>'[1]Feb midyear Madison Prep'!K4</f>
        <v>0</v>
      </c>
      <c r="K7" s="211">
        <f>I7+J7</f>
        <v>0</v>
      </c>
      <c r="L7" s="344">
        <f t="shared" ref="L7:L38" si="31">K7+H7</f>
        <v>0</v>
      </c>
      <c r="M7" s="273">
        <f>-(0.25%*L7)</f>
        <v>0</v>
      </c>
      <c r="N7" s="344">
        <f>SUM(L7:M7)</f>
        <v>0</v>
      </c>
      <c r="O7" s="409">
        <v>0</v>
      </c>
      <c r="P7" s="350">
        <f t="shared" ref="P7:P38" si="32">SUM(N7:O7)</f>
        <v>0</v>
      </c>
      <c r="Q7" s="210">
        <f>+'[2]Table 5C1A-Madison Prep'!S7+'[14]Table 5C1A-Madison Prep'!S7+(6*'[20]Table 5C1A-Madison Prep'!S7)</f>
        <v>0</v>
      </c>
      <c r="R7" s="210">
        <f>P7-Q7</f>
        <v>0</v>
      </c>
      <c r="S7" s="350">
        <f t="shared" ref="S7:S38" si="33">ROUND(R7/$S$88,0)</f>
        <v>0</v>
      </c>
      <c r="T7" s="361">
        <f>+P7</f>
        <v>0</v>
      </c>
      <c r="U7" s="274">
        <f>'[13]FY2014-15 Final'!L4</f>
        <v>2424</v>
      </c>
      <c r="V7" s="327">
        <f t="shared" ref="V7:V38" si="34">C7*U7</f>
        <v>0</v>
      </c>
      <c r="W7" s="409">
        <f>'[1]Oct midyear Madison Prep'!E4</f>
        <v>0</v>
      </c>
      <c r="X7" s="276">
        <f>W7*U7</f>
        <v>0</v>
      </c>
      <c r="Y7" s="883">
        <f>'[1]Feb midyear Madison Prep'!E4</f>
        <v>0</v>
      </c>
      <c r="Z7" s="276">
        <f>+U7*Y7*0.5</f>
        <v>0</v>
      </c>
      <c r="AA7" s="275">
        <f>+X7+Z7</f>
        <v>0</v>
      </c>
      <c r="AB7" s="327">
        <f>AA7+V7</f>
        <v>0</v>
      </c>
      <c r="AC7" s="278">
        <f>-(0.25%*AB7)</f>
        <v>0</v>
      </c>
      <c r="AD7" s="327">
        <f>SUM(AB7:AC7)</f>
        <v>0</v>
      </c>
      <c r="AE7" s="276">
        <v>0</v>
      </c>
      <c r="AF7" s="327">
        <f>SUM(AD7:AE7)</f>
        <v>0</v>
      </c>
      <c r="AG7" s="276">
        <f>+'[2]Table 5C1A-Madison Prep'!AI7+'[14]Table 5C1A-Madison Prep'!AI7+(6*'[20]Table 5C1A-Madison Prep'!AI7)</f>
        <v>0</v>
      </c>
      <c r="AH7" s="276">
        <f>AF7-AG7</f>
        <v>0</v>
      </c>
      <c r="AI7" s="327">
        <f t="shared" ref="AI7:AI38" si="35">ROUND(AH7/$AI$88,0)</f>
        <v>0</v>
      </c>
      <c r="AJ7" s="277">
        <f>T7+AF7</f>
        <v>0</v>
      </c>
      <c r="AK7" s="317">
        <f t="shared" ref="AK7:AK38" si="36">S7+AI7</f>
        <v>0</v>
      </c>
      <c r="AM7" s="273">
        <v>0</v>
      </c>
      <c r="AN7" s="273">
        <f>+AC7</f>
        <v>0</v>
      </c>
      <c r="AO7" s="273">
        <f t="shared" ref="AO7:AO33" si="37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2.1.14'!I4</f>
        <v>0</v>
      </c>
      <c r="D8" s="201">
        <f>'Table 3 Levels 1&amp;2'!AL5</f>
        <v>6316.6266417386641</v>
      </c>
      <c r="E8" s="202">
        <f t="shared" ref="E8:E71" si="38">C8*D8</f>
        <v>0</v>
      </c>
      <c r="F8" s="202">
        <f>'Table 3A Level 3'!C7</f>
        <v>842.32</v>
      </c>
      <c r="G8" s="202">
        <f t="shared" ref="G8:G71" si="39">C8*F8</f>
        <v>0</v>
      </c>
      <c r="H8" s="345">
        <f t="shared" ref="H8:H71" si="40">E8+G8</f>
        <v>0</v>
      </c>
      <c r="I8" s="203">
        <f>'[1]Oct midyear Madison Prep'!K5</f>
        <v>0</v>
      </c>
      <c r="J8" s="203">
        <f>'[1]Feb midyear Madison Prep'!K5</f>
        <v>0</v>
      </c>
      <c r="K8" s="204">
        <f t="shared" ref="K8:K71" si="41">I8+J8</f>
        <v>0</v>
      </c>
      <c r="L8" s="345">
        <f t="shared" si="31"/>
        <v>0</v>
      </c>
      <c r="M8" s="286">
        <f t="shared" ref="M8:M71" si="42">-(0.25%*L8)</f>
        <v>0</v>
      </c>
      <c r="N8" s="345">
        <f t="shared" ref="N8:N71" si="43">SUM(L8:M8)</f>
        <v>0</v>
      </c>
      <c r="O8" s="410">
        <v>0</v>
      </c>
      <c r="P8" s="351">
        <f t="shared" si="32"/>
        <v>0</v>
      </c>
      <c r="Q8" s="203">
        <f>+'[2]Table 5C1A-Madison Prep'!S8+'[14]Table 5C1A-Madison Prep'!S8+(6*'[20]Table 5C1A-Madison Prep'!S8)</f>
        <v>0</v>
      </c>
      <c r="R8" s="203">
        <f t="shared" ref="R8:R71" si="44">P8-Q8</f>
        <v>0</v>
      </c>
      <c r="S8" s="351">
        <f t="shared" si="33"/>
        <v>0</v>
      </c>
      <c r="T8" s="362">
        <f t="shared" ref="T8:T71" si="45">+P8</f>
        <v>0</v>
      </c>
      <c r="U8" s="287">
        <f>'[13]FY2014-15 Final'!L5</f>
        <v>2786</v>
      </c>
      <c r="V8" s="328">
        <f t="shared" si="34"/>
        <v>0</v>
      </c>
      <c r="W8" s="410">
        <f>'[1]Oct midyear Madison Prep'!E5</f>
        <v>0</v>
      </c>
      <c r="X8" s="290">
        <f t="shared" ref="X8:X71" si="46">W8*U8</f>
        <v>0</v>
      </c>
      <c r="Y8" s="289">
        <f>'[1]Feb midyear Madison Prep'!E5</f>
        <v>0</v>
      </c>
      <c r="Z8" s="290">
        <f t="shared" ref="Z8:Z71" si="47">+U8*Y8*0.5</f>
        <v>0</v>
      </c>
      <c r="AA8" s="288">
        <f t="shared" ref="AA8:AA71" si="48">+X8+Z8</f>
        <v>0</v>
      </c>
      <c r="AB8" s="328">
        <f t="shared" ref="AB8:AB71" si="49">AA8+V8</f>
        <v>0</v>
      </c>
      <c r="AC8" s="292">
        <f t="shared" ref="AC8:AC71" si="50">-(0.25%*AB8)</f>
        <v>0</v>
      </c>
      <c r="AD8" s="328">
        <f t="shared" ref="AD8:AD71" si="51">SUM(AB8:AC8)</f>
        <v>0</v>
      </c>
      <c r="AE8" s="290">
        <v>0</v>
      </c>
      <c r="AF8" s="328">
        <f t="shared" ref="AF8:AF71" si="52">SUM(AD8:AE8)</f>
        <v>0</v>
      </c>
      <c r="AG8" s="290">
        <f>+'[2]Table 5C1A-Madison Prep'!AI8+'[14]Table 5C1A-Madison Prep'!AI8+(6*'[20]Table 5C1A-Madison Prep'!AI8)</f>
        <v>0</v>
      </c>
      <c r="AH8" s="290">
        <f t="shared" ref="AH8:AH71" si="53">AF8-AG8</f>
        <v>0</v>
      </c>
      <c r="AI8" s="328">
        <f t="shared" si="35"/>
        <v>0</v>
      </c>
      <c r="AJ8" s="291">
        <f t="shared" ref="AJ8:AJ71" si="54">T8+AF8</f>
        <v>0</v>
      </c>
      <c r="AK8" s="318">
        <f t="shared" si="36"/>
        <v>0</v>
      </c>
      <c r="AM8" s="286">
        <v>0</v>
      </c>
      <c r="AN8" s="286">
        <f t="shared" ref="AN8:AN71" si="55">+AC8</f>
        <v>0</v>
      </c>
      <c r="AO8" s="286">
        <f t="shared" si="37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2.1.14'!I5</f>
        <v>0</v>
      </c>
      <c r="D9" s="201">
        <f>'Table 3 Levels 1&amp;2'!AL6</f>
        <v>4155.1862027396819</v>
      </c>
      <c r="E9" s="202">
        <f t="shared" si="38"/>
        <v>0</v>
      </c>
      <c r="F9" s="202">
        <f>'Table 3A Level 3'!C8</f>
        <v>596.84</v>
      </c>
      <c r="G9" s="202">
        <f t="shared" si="39"/>
        <v>0</v>
      </c>
      <c r="H9" s="345">
        <f t="shared" si="40"/>
        <v>0</v>
      </c>
      <c r="I9" s="203">
        <f>'[1]Oct midyear Madison Prep'!K6</f>
        <v>0</v>
      </c>
      <c r="J9" s="203">
        <f>'[1]Feb midyear Madison Prep'!K6</f>
        <v>0</v>
      </c>
      <c r="K9" s="204">
        <f t="shared" si="41"/>
        <v>0</v>
      </c>
      <c r="L9" s="345">
        <f t="shared" si="31"/>
        <v>0</v>
      </c>
      <c r="M9" s="286">
        <f t="shared" si="42"/>
        <v>0</v>
      </c>
      <c r="N9" s="345">
        <f t="shared" si="43"/>
        <v>0</v>
      </c>
      <c r="O9" s="410">
        <v>0</v>
      </c>
      <c r="P9" s="351">
        <f t="shared" si="32"/>
        <v>0</v>
      </c>
      <c r="Q9" s="203">
        <f>+'[2]Table 5C1A-Madison Prep'!S9+'[14]Table 5C1A-Madison Prep'!S9+(6*'[20]Table 5C1A-Madison Prep'!S9)</f>
        <v>0</v>
      </c>
      <c r="R9" s="203">
        <f t="shared" si="44"/>
        <v>0</v>
      </c>
      <c r="S9" s="351">
        <f t="shared" si="33"/>
        <v>0</v>
      </c>
      <c r="T9" s="362">
        <f t="shared" si="45"/>
        <v>0</v>
      </c>
      <c r="U9" s="287">
        <f>'[13]FY2014-15 Final'!L6</f>
        <v>5927</v>
      </c>
      <c r="V9" s="328">
        <f t="shared" si="34"/>
        <v>0</v>
      </c>
      <c r="W9" s="410">
        <f>'[1]Oct midyear Madison Prep'!E6</f>
        <v>0</v>
      </c>
      <c r="X9" s="290">
        <f t="shared" si="46"/>
        <v>0</v>
      </c>
      <c r="Y9" s="289">
        <f>'[1]Feb midyear Madison Prep'!E6</f>
        <v>0</v>
      </c>
      <c r="Z9" s="290">
        <f t="shared" si="47"/>
        <v>0</v>
      </c>
      <c r="AA9" s="288">
        <f t="shared" si="48"/>
        <v>0</v>
      </c>
      <c r="AB9" s="328">
        <f t="shared" si="49"/>
        <v>0</v>
      </c>
      <c r="AC9" s="292">
        <f t="shared" si="50"/>
        <v>0</v>
      </c>
      <c r="AD9" s="328">
        <f t="shared" si="51"/>
        <v>0</v>
      </c>
      <c r="AE9" s="290">
        <v>0</v>
      </c>
      <c r="AF9" s="328">
        <f t="shared" si="52"/>
        <v>0</v>
      </c>
      <c r="AG9" s="290">
        <f>+'[2]Table 5C1A-Madison Prep'!AI9+'[14]Table 5C1A-Madison Prep'!AI9+(6*'[20]Table 5C1A-Madison Prep'!AI9)</f>
        <v>0</v>
      </c>
      <c r="AH9" s="290">
        <f t="shared" si="53"/>
        <v>0</v>
      </c>
      <c r="AI9" s="328">
        <f t="shared" si="35"/>
        <v>0</v>
      </c>
      <c r="AJ9" s="291">
        <f t="shared" si="54"/>
        <v>0</v>
      </c>
      <c r="AK9" s="318">
        <f t="shared" si="36"/>
        <v>0</v>
      </c>
      <c r="AM9" s="286">
        <v>0</v>
      </c>
      <c r="AN9" s="286">
        <f t="shared" si="55"/>
        <v>0</v>
      </c>
      <c r="AO9" s="286">
        <f t="shared" si="37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2.1.14'!I6</f>
        <v>0</v>
      </c>
      <c r="D10" s="201">
        <f>'Table 3 Levels 1&amp;2'!AL7</f>
        <v>6119.0581446878568</v>
      </c>
      <c r="E10" s="202">
        <f t="shared" si="38"/>
        <v>0</v>
      </c>
      <c r="F10" s="202">
        <f>'Table 3A Level 3'!C9</f>
        <v>585.76</v>
      </c>
      <c r="G10" s="202">
        <f t="shared" si="39"/>
        <v>0</v>
      </c>
      <c r="H10" s="345">
        <f t="shared" si="40"/>
        <v>0</v>
      </c>
      <c r="I10" s="203">
        <f>'[1]Oct midyear Madison Prep'!K7</f>
        <v>0</v>
      </c>
      <c r="J10" s="203">
        <f>'[1]Feb midyear Madison Prep'!K7</f>
        <v>0</v>
      </c>
      <c r="K10" s="204">
        <f t="shared" si="41"/>
        <v>0</v>
      </c>
      <c r="L10" s="345">
        <f t="shared" si="31"/>
        <v>0</v>
      </c>
      <c r="M10" s="286">
        <f t="shared" si="42"/>
        <v>0</v>
      </c>
      <c r="N10" s="345">
        <f t="shared" si="43"/>
        <v>0</v>
      </c>
      <c r="O10" s="410">
        <v>0</v>
      </c>
      <c r="P10" s="351">
        <f t="shared" si="32"/>
        <v>0</v>
      </c>
      <c r="Q10" s="203">
        <f>+'[2]Table 5C1A-Madison Prep'!S10+'[14]Table 5C1A-Madison Prep'!S10+(6*'[20]Table 5C1A-Madison Prep'!S10)</f>
        <v>0</v>
      </c>
      <c r="R10" s="203">
        <f t="shared" si="44"/>
        <v>0</v>
      </c>
      <c r="S10" s="351">
        <f t="shared" si="33"/>
        <v>0</v>
      </c>
      <c r="T10" s="362">
        <f t="shared" si="45"/>
        <v>0</v>
      </c>
      <c r="U10" s="287">
        <f>'[13]FY2014-15 Final'!L7</f>
        <v>4203</v>
      </c>
      <c r="V10" s="328">
        <f t="shared" si="34"/>
        <v>0</v>
      </c>
      <c r="W10" s="410">
        <f>'[1]Oct midyear Madison Prep'!E7</f>
        <v>0</v>
      </c>
      <c r="X10" s="290">
        <f t="shared" si="46"/>
        <v>0</v>
      </c>
      <c r="Y10" s="289">
        <f>'[1]Feb midyear Madison Prep'!E7</f>
        <v>0</v>
      </c>
      <c r="Z10" s="290">
        <f t="shared" si="47"/>
        <v>0</v>
      </c>
      <c r="AA10" s="288">
        <f t="shared" si="48"/>
        <v>0</v>
      </c>
      <c r="AB10" s="328">
        <f t="shared" si="49"/>
        <v>0</v>
      </c>
      <c r="AC10" s="292">
        <f t="shared" si="50"/>
        <v>0</v>
      </c>
      <c r="AD10" s="328">
        <f t="shared" si="51"/>
        <v>0</v>
      </c>
      <c r="AE10" s="290">
        <v>0</v>
      </c>
      <c r="AF10" s="328">
        <f t="shared" si="52"/>
        <v>0</v>
      </c>
      <c r="AG10" s="290">
        <f>+'[2]Table 5C1A-Madison Prep'!AI10+'[14]Table 5C1A-Madison Prep'!AI10+(6*'[20]Table 5C1A-Madison Prep'!AI10)</f>
        <v>0</v>
      </c>
      <c r="AH10" s="290">
        <f t="shared" si="53"/>
        <v>0</v>
      </c>
      <c r="AI10" s="328">
        <f t="shared" si="35"/>
        <v>0</v>
      </c>
      <c r="AJ10" s="291">
        <f t="shared" si="54"/>
        <v>0</v>
      </c>
      <c r="AK10" s="318">
        <f t="shared" si="36"/>
        <v>0</v>
      </c>
      <c r="AM10" s="286">
        <v>0</v>
      </c>
      <c r="AN10" s="286">
        <f t="shared" si="55"/>
        <v>0</v>
      </c>
      <c r="AO10" s="286">
        <f t="shared" si="37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2.1.14'!I7</f>
        <v>0</v>
      </c>
      <c r="D11" s="194">
        <f>'Table 3 Levels 1&amp;2'!AL8</f>
        <v>5268.940566009911</v>
      </c>
      <c r="E11" s="195">
        <f t="shared" si="38"/>
        <v>0</v>
      </c>
      <c r="F11" s="195">
        <f>'Table 3A Level 3'!C10</f>
        <v>555.91</v>
      </c>
      <c r="G11" s="195">
        <f t="shared" si="39"/>
        <v>0</v>
      </c>
      <c r="H11" s="346">
        <f t="shared" si="40"/>
        <v>0</v>
      </c>
      <c r="I11" s="196">
        <f>'[1]Oct midyear Madison Prep'!K8</f>
        <v>0</v>
      </c>
      <c r="J11" s="196">
        <f>'[1]Feb midyear Madison Prep'!K8</f>
        <v>0</v>
      </c>
      <c r="K11" s="197">
        <f t="shared" si="41"/>
        <v>0</v>
      </c>
      <c r="L11" s="346">
        <f t="shared" si="31"/>
        <v>0</v>
      </c>
      <c r="M11" s="296">
        <f t="shared" si="42"/>
        <v>0</v>
      </c>
      <c r="N11" s="346">
        <f t="shared" si="43"/>
        <v>0</v>
      </c>
      <c r="O11" s="411">
        <v>0</v>
      </c>
      <c r="P11" s="352">
        <f t="shared" si="32"/>
        <v>0</v>
      </c>
      <c r="Q11" s="622">
        <f>+'[2]Table 5C1A-Madison Prep'!S11+'[14]Table 5C1A-Madison Prep'!S11+(6*'[20]Table 5C1A-Madison Prep'!S11)</f>
        <v>0</v>
      </c>
      <c r="R11" s="196">
        <f t="shared" si="44"/>
        <v>0</v>
      </c>
      <c r="S11" s="356">
        <f t="shared" si="33"/>
        <v>0</v>
      </c>
      <c r="T11" s="356">
        <f t="shared" si="45"/>
        <v>0</v>
      </c>
      <c r="U11" s="281">
        <f>'[13]FY2014-15 Final'!L8</f>
        <v>1923</v>
      </c>
      <c r="V11" s="329">
        <f t="shared" si="34"/>
        <v>0</v>
      </c>
      <c r="W11" s="411">
        <f>'[1]Oct midyear Madison Prep'!E8</f>
        <v>0</v>
      </c>
      <c r="X11" s="282">
        <f t="shared" si="46"/>
        <v>0</v>
      </c>
      <c r="Y11" s="884">
        <f>'[1]Feb midyear Madison Prep'!E8</f>
        <v>0</v>
      </c>
      <c r="Z11" s="282">
        <f t="shared" si="47"/>
        <v>0</v>
      </c>
      <c r="AA11" s="283">
        <f t="shared" si="48"/>
        <v>0</v>
      </c>
      <c r="AB11" s="329">
        <f t="shared" si="49"/>
        <v>0</v>
      </c>
      <c r="AC11" s="298">
        <f t="shared" si="50"/>
        <v>0</v>
      </c>
      <c r="AD11" s="329">
        <f t="shared" si="51"/>
        <v>0</v>
      </c>
      <c r="AE11" s="282">
        <v>0</v>
      </c>
      <c r="AF11" s="329">
        <f t="shared" si="52"/>
        <v>0</v>
      </c>
      <c r="AG11" s="282">
        <f>+'[2]Table 5C1A-Madison Prep'!AI11+'[14]Table 5C1A-Madison Prep'!AI11+(6*'[20]Table 5C1A-Madison Prep'!AI11)</f>
        <v>0</v>
      </c>
      <c r="AH11" s="282">
        <f t="shared" si="53"/>
        <v>0</v>
      </c>
      <c r="AI11" s="329">
        <f t="shared" si="35"/>
        <v>0</v>
      </c>
      <c r="AJ11" s="297">
        <f t="shared" si="54"/>
        <v>0</v>
      </c>
      <c r="AK11" s="319">
        <f t="shared" si="36"/>
        <v>0</v>
      </c>
      <c r="AM11" s="296">
        <v>0</v>
      </c>
      <c r="AN11" s="296">
        <f t="shared" si="55"/>
        <v>0</v>
      </c>
      <c r="AO11" s="296">
        <f t="shared" si="37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2.1.14'!I8</f>
        <v>0</v>
      </c>
      <c r="D12" s="208">
        <f>'Table 3 Levels 1&amp;2'!AL9</f>
        <v>5378.5086124955869</v>
      </c>
      <c r="E12" s="209">
        <f t="shared" si="38"/>
        <v>0</v>
      </c>
      <c r="F12" s="209">
        <f>'Table 3A Level 3'!C11</f>
        <v>545.4799999999999</v>
      </c>
      <c r="G12" s="209">
        <f t="shared" si="39"/>
        <v>0</v>
      </c>
      <c r="H12" s="344">
        <f t="shared" si="40"/>
        <v>0</v>
      </c>
      <c r="I12" s="210">
        <f>'[1]Oct midyear Madison Prep'!K9</f>
        <v>0</v>
      </c>
      <c r="J12" s="210">
        <f>'[1]Feb midyear Madison Prep'!K9</f>
        <v>0</v>
      </c>
      <c r="K12" s="211">
        <f t="shared" si="41"/>
        <v>0</v>
      </c>
      <c r="L12" s="344">
        <f t="shared" si="31"/>
        <v>0</v>
      </c>
      <c r="M12" s="273">
        <f t="shared" si="42"/>
        <v>0</v>
      </c>
      <c r="N12" s="344">
        <f t="shared" si="43"/>
        <v>0</v>
      </c>
      <c r="O12" s="409">
        <v>0</v>
      </c>
      <c r="P12" s="350">
        <f t="shared" si="32"/>
        <v>0</v>
      </c>
      <c r="Q12" s="210">
        <f>+'[2]Table 5C1A-Madison Prep'!S12+'[14]Table 5C1A-Madison Prep'!S12+(6*'[20]Table 5C1A-Madison Prep'!S12)</f>
        <v>0</v>
      </c>
      <c r="R12" s="210">
        <f t="shared" si="44"/>
        <v>0</v>
      </c>
      <c r="S12" s="350">
        <f t="shared" si="33"/>
        <v>0</v>
      </c>
      <c r="T12" s="361">
        <f t="shared" si="45"/>
        <v>0</v>
      </c>
      <c r="U12" s="274">
        <f>'[13]FY2014-15 Final'!L9</f>
        <v>4057</v>
      </c>
      <c r="V12" s="327">
        <f t="shared" si="34"/>
        <v>0</v>
      </c>
      <c r="W12" s="409">
        <f>'[1]Oct midyear Madison Prep'!E9</f>
        <v>0</v>
      </c>
      <c r="X12" s="276">
        <f t="shared" si="46"/>
        <v>0</v>
      </c>
      <c r="Y12" s="883">
        <f>'[1]Feb midyear Madison Prep'!E9</f>
        <v>0</v>
      </c>
      <c r="Z12" s="276">
        <f t="shared" si="47"/>
        <v>0</v>
      </c>
      <c r="AA12" s="275">
        <f t="shared" si="48"/>
        <v>0</v>
      </c>
      <c r="AB12" s="327">
        <f t="shared" si="49"/>
        <v>0</v>
      </c>
      <c r="AC12" s="278">
        <f t="shared" si="50"/>
        <v>0</v>
      </c>
      <c r="AD12" s="327">
        <f t="shared" si="51"/>
        <v>0</v>
      </c>
      <c r="AE12" s="276">
        <v>0</v>
      </c>
      <c r="AF12" s="327">
        <f t="shared" si="52"/>
        <v>0</v>
      </c>
      <c r="AG12" s="276">
        <f>+'[2]Table 5C1A-Madison Prep'!AI12+'[14]Table 5C1A-Madison Prep'!AI12+(6*'[20]Table 5C1A-Madison Prep'!AI12)</f>
        <v>0</v>
      </c>
      <c r="AH12" s="276">
        <f t="shared" si="53"/>
        <v>0</v>
      </c>
      <c r="AI12" s="327">
        <f t="shared" si="35"/>
        <v>0</v>
      </c>
      <c r="AJ12" s="277">
        <f t="shared" si="54"/>
        <v>0</v>
      </c>
      <c r="AK12" s="317">
        <f t="shared" si="36"/>
        <v>0</v>
      </c>
      <c r="AM12" s="273">
        <v>0</v>
      </c>
      <c r="AN12" s="273">
        <f t="shared" si="55"/>
        <v>0</v>
      </c>
      <c r="AO12" s="273">
        <f t="shared" si="37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2.1.14'!I9</f>
        <v>0</v>
      </c>
      <c r="D13" s="201">
        <f>'Table 3 Levels 1&amp;2'!AL10</f>
        <v>2243.0031963470319</v>
      </c>
      <c r="E13" s="202">
        <f t="shared" si="38"/>
        <v>0</v>
      </c>
      <c r="F13" s="202">
        <f>'Table 3A Level 3'!C12</f>
        <v>756.91999999999985</v>
      </c>
      <c r="G13" s="202">
        <f t="shared" si="39"/>
        <v>0</v>
      </c>
      <c r="H13" s="345">
        <f t="shared" si="40"/>
        <v>0</v>
      </c>
      <c r="I13" s="203">
        <f>'[1]Oct midyear Madison Prep'!K10</f>
        <v>0</v>
      </c>
      <c r="J13" s="203">
        <f>'[1]Feb midyear Madison Prep'!K10</f>
        <v>0</v>
      </c>
      <c r="K13" s="204">
        <f t="shared" si="41"/>
        <v>0</v>
      </c>
      <c r="L13" s="345">
        <f t="shared" si="31"/>
        <v>0</v>
      </c>
      <c r="M13" s="286">
        <f t="shared" si="42"/>
        <v>0</v>
      </c>
      <c r="N13" s="345">
        <f t="shared" si="43"/>
        <v>0</v>
      </c>
      <c r="O13" s="410">
        <v>0</v>
      </c>
      <c r="P13" s="351">
        <f t="shared" si="32"/>
        <v>0</v>
      </c>
      <c r="Q13" s="203">
        <f>+'[2]Table 5C1A-Madison Prep'!S13+'[14]Table 5C1A-Madison Prep'!S13+(6*'[20]Table 5C1A-Madison Prep'!S13)</f>
        <v>0</v>
      </c>
      <c r="R13" s="203">
        <f t="shared" si="44"/>
        <v>0</v>
      </c>
      <c r="S13" s="351">
        <f t="shared" si="33"/>
        <v>0</v>
      </c>
      <c r="T13" s="362">
        <f t="shared" si="45"/>
        <v>0</v>
      </c>
      <c r="U13" s="287">
        <f>'[13]FY2014-15 Final'!L10</f>
        <v>12112</v>
      </c>
      <c r="V13" s="328">
        <f t="shared" si="34"/>
        <v>0</v>
      </c>
      <c r="W13" s="410">
        <f>'[1]Oct midyear Madison Prep'!E10</f>
        <v>0</v>
      </c>
      <c r="X13" s="290">
        <f t="shared" si="46"/>
        <v>0</v>
      </c>
      <c r="Y13" s="289">
        <f>'[1]Feb midyear Madison Prep'!E10</f>
        <v>0</v>
      </c>
      <c r="Z13" s="290">
        <f t="shared" si="47"/>
        <v>0</v>
      </c>
      <c r="AA13" s="288">
        <f t="shared" si="48"/>
        <v>0</v>
      </c>
      <c r="AB13" s="328">
        <f t="shared" si="49"/>
        <v>0</v>
      </c>
      <c r="AC13" s="292">
        <f t="shared" si="50"/>
        <v>0</v>
      </c>
      <c r="AD13" s="328">
        <f t="shared" si="51"/>
        <v>0</v>
      </c>
      <c r="AE13" s="290">
        <v>0</v>
      </c>
      <c r="AF13" s="328">
        <f t="shared" si="52"/>
        <v>0</v>
      </c>
      <c r="AG13" s="290">
        <f>+'[2]Table 5C1A-Madison Prep'!AI13+'[14]Table 5C1A-Madison Prep'!AI13+(6*'[20]Table 5C1A-Madison Prep'!AI13)</f>
        <v>0</v>
      </c>
      <c r="AH13" s="290">
        <f t="shared" si="53"/>
        <v>0</v>
      </c>
      <c r="AI13" s="328">
        <f t="shared" si="35"/>
        <v>0</v>
      </c>
      <c r="AJ13" s="291">
        <f t="shared" si="54"/>
        <v>0</v>
      </c>
      <c r="AK13" s="318">
        <f t="shared" si="36"/>
        <v>0</v>
      </c>
      <c r="AM13" s="286">
        <v>0</v>
      </c>
      <c r="AN13" s="286">
        <f t="shared" si="55"/>
        <v>0</v>
      </c>
      <c r="AO13" s="286">
        <f t="shared" si="37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2.1.14'!I10</f>
        <v>0</v>
      </c>
      <c r="D14" s="201">
        <f>'Table 3 Levels 1&amp;2'!AL11</f>
        <v>4669.802459558854</v>
      </c>
      <c r="E14" s="202">
        <f t="shared" si="38"/>
        <v>0</v>
      </c>
      <c r="F14" s="202">
        <f>'Table 3A Level 3'!C13</f>
        <v>725.76</v>
      </c>
      <c r="G14" s="202">
        <f t="shared" si="39"/>
        <v>0</v>
      </c>
      <c r="H14" s="345">
        <f t="shared" si="40"/>
        <v>0</v>
      </c>
      <c r="I14" s="203">
        <f>'[1]Oct midyear Madison Prep'!K11</f>
        <v>0</v>
      </c>
      <c r="J14" s="203">
        <f>'[1]Feb midyear Madison Prep'!K11</f>
        <v>0</v>
      </c>
      <c r="K14" s="204">
        <f t="shared" si="41"/>
        <v>0</v>
      </c>
      <c r="L14" s="345">
        <f t="shared" si="31"/>
        <v>0</v>
      </c>
      <c r="M14" s="286">
        <f t="shared" si="42"/>
        <v>0</v>
      </c>
      <c r="N14" s="345">
        <f t="shared" si="43"/>
        <v>0</v>
      </c>
      <c r="O14" s="410">
        <v>0</v>
      </c>
      <c r="P14" s="351">
        <f t="shared" si="32"/>
        <v>0</v>
      </c>
      <c r="Q14" s="203">
        <f>+'[2]Table 5C1A-Madison Prep'!S14+'[14]Table 5C1A-Madison Prep'!S14+(6*'[20]Table 5C1A-Madison Prep'!S14)</f>
        <v>0</v>
      </c>
      <c r="R14" s="203">
        <f t="shared" si="44"/>
        <v>0</v>
      </c>
      <c r="S14" s="351">
        <f t="shared" si="33"/>
        <v>0</v>
      </c>
      <c r="T14" s="362">
        <f t="shared" si="45"/>
        <v>0</v>
      </c>
      <c r="U14" s="287">
        <f>'[13]FY2014-15 Final'!L11</f>
        <v>4124</v>
      </c>
      <c r="V14" s="328">
        <f t="shared" si="34"/>
        <v>0</v>
      </c>
      <c r="W14" s="410">
        <f>'[1]Oct midyear Madison Prep'!E11</f>
        <v>0</v>
      </c>
      <c r="X14" s="290">
        <f t="shared" si="46"/>
        <v>0</v>
      </c>
      <c r="Y14" s="289">
        <f>'[1]Feb midyear Madison Prep'!E11</f>
        <v>0</v>
      </c>
      <c r="Z14" s="290">
        <f t="shared" si="47"/>
        <v>0</v>
      </c>
      <c r="AA14" s="288">
        <f t="shared" si="48"/>
        <v>0</v>
      </c>
      <c r="AB14" s="328">
        <f t="shared" si="49"/>
        <v>0</v>
      </c>
      <c r="AC14" s="292">
        <f t="shared" si="50"/>
        <v>0</v>
      </c>
      <c r="AD14" s="328">
        <f t="shared" si="51"/>
        <v>0</v>
      </c>
      <c r="AE14" s="290">
        <v>0</v>
      </c>
      <c r="AF14" s="328">
        <f t="shared" si="52"/>
        <v>0</v>
      </c>
      <c r="AG14" s="290">
        <f>+'[2]Table 5C1A-Madison Prep'!AI14+'[14]Table 5C1A-Madison Prep'!AI14+(6*'[20]Table 5C1A-Madison Prep'!AI14)</f>
        <v>0</v>
      </c>
      <c r="AH14" s="290">
        <f t="shared" si="53"/>
        <v>0</v>
      </c>
      <c r="AI14" s="328">
        <f t="shared" si="35"/>
        <v>0</v>
      </c>
      <c r="AJ14" s="291">
        <f t="shared" si="54"/>
        <v>0</v>
      </c>
      <c r="AK14" s="318">
        <f t="shared" si="36"/>
        <v>0</v>
      </c>
      <c r="AM14" s="286">
        <v>0</v>
      </c>
      <c r="AN14" s="286">
        <f t="shared" si="55"/>
        <v>0</v>
      </c>
      <c r="AO14" s="286">
        <f t="shared" si="37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2.1.14'!I11</f>
        <v>0</v>
      </c>
      <c r="D15" s="201">
        <f>'Table 3 Levels 1&amp;2'!AL12</f>
        <v>4632.4615072045008</v>
      </c>
      <c r="E15" s="202">
        <f t="shared" si="38"/>
        <v>0</v>
      </c>
      <c r="F15" s="202">
        <f>'Table 3A Level 3'!C14</f>
        <v>744.76</v>
      </c>
      <c r="G15" s="202">
        <f t="shared" si="39"/>
        <v>0</v>
      </c>
      <c r="H15" s="345">
        <f t="shared" si="40"/>
        <v>0</v>
      </c>
      <c r="I15" s="203">
        <f>'[1]Oct midyear Madison Prep'!K12</f>
        <v>0</v>
      </c>
      <c r="J15" s="203">
        <f>'[1]Feb midyear Madison Prep'!K12</f>
        <v>0</v>
      </c>
      <c r="K15" s="204">
        <f t="shared" si="41"/>
        <v>0</v>
      </c>
      <c r="L15" s="345">
        <f t="shared" si="31"/>
        <v>0</v>
      </c>
      <c r="M15" s="286">
        <f t="shared" si="42"/>
        <v>0</v>
      </c>
      <c r="N15" s="345">
        <f t="shared" si="43"/>
        <v>0</v>
      </c>
      <c r="O15" s="410">
        <v>0</v>
      </c>
      <c r="P15" s="351">
        <f t="shared" si="32"/>
        <v>0</v>
      </c>
      <c r="Q15" s="203">
        <f>+'[2]Table 5C1A-Madison Prep'!S15+'[14]Table 5C1A-Madison Prep'!S15+(6*'[20]Table 5C1A-Madison Prep'!S15)</f>
        <v>0</v>
      </c>
      <c r="R15" s="203">
        <f t="shared" si="44"/>
        <v>0</v>
      </c>
      <c r="S15" s="351">
        <f t="shared" si="33"/>
        <v>0</v>
      </c>
      <c r="T15" s="362">
        <f t="shared" si="45"/>
        <v>0</v>
      </c>
      <c r="U15" s="287">
        <f>'[13]FY2014-15 Final'!L12</f>
        <v>4901</v>
      </c>
      <c r="V15" s="328">
        <f t="shared" si="34"/>
        <v>0</v>
      </c>
      <c r="W15" s="410">
        <f>'[1]Oct midyear Madison Prep'!E12</f>
        <v>0</v>
      </c>
      <c r="X15" s="290">
        <f t="shared" si="46"/>
        <v>0</v>
      </c>
      <c r="Y15" s="289">
        <f>'[1]Feb midyear Madison Prep'!E12</f>
        <v>0</v>
      </c>
      <c r="Z15" s="290">
        <f t="shared" si="47"/>
        <v>0</v>
      </c>
      <c r="AA15" s="288">
        <f t="shared" si="48"/>
        <v>0</v>
      </c>
      <c r="AB15" s="328">
        <f t="shared" si="49"/>
        <v>0</v>
      </c>
      <c r="AC15" s="292">
        <f t="shared" si="50"/>
        <v>0</v>
      </c>
      <c r="AD15" s="328">
        <f t="shared" si="51"/>
        <v>0</v>
      </c>
      <c r="AE15" s="290">
        <v>0</v>
      </c>
      <c r="AF15" s="328">
        <f t="shared" si="52"/>
        <v>0</v>
      </c>
      <c r="AG15" s="290">
        <f>+'[2]Table 5C1A-Madison Prep'!AI15+'[14]Table 5C1A-Madison Prep'!AI15+(6*'[20]Table 5C1A-Madison Prep'!AI15)</f>
        <v>0</v>
      </c>
      <c r="AH15" s="290">
        <f t="shared" si="53"/>
        <v>0</v>
      </c>
      <c r="AI15" s="328">
        <f t="shared" si="35"/>
        <v>0</v>
      </c>
      <c r="AJ15" s="291">
        <f t="shared" si="54"/>
        <v>0</v>
      </c>
      <c r="AK15" s="318">
        <f t="shared" si="36"/>
        <v>0</v>
      </c>
      <c r="AM15" s="286">
        <v>0</v>
      </c>
      <c r="AN15" s="286">
        <f t="shared" si="55"/>
        <v>0</v>
      </c>
      <c r="AO15" s="286">
        <f t="shared" si="37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2.1.14'!I12</f>
        <v>0</v>
      </c>
      <c r="D16" s="194">
        <f>'Table 3 Levels 1&amp;2'!AL13</f>
        <v>4384.374733918472</v>
      </c>
      <c r="E16" s="195">
        <f t="shared" si="38"/>
        <v>0</v>
      </c>
      <c r="F16" s="195">
        <f>'Table 3A Level 3'!C15</f>
        <v>608.04000000000008</v>
      </c>
      <c r="G16" s="195">
        <f t="shared" si="39"/>
        <v>0</v>
      </c>
      <c r="H16" s="346">
        <f t="shared" si="40"/>
        <v>0</v>
      </c>
      <c r="I16" s="196">
        <f>'[1]Oct midyear Madison Prep'!K13</f>
        <v>0</v>
      </c>
      <c r="J16" s="196">
        <f>'[1]Feb midyear Madison Prep'!K13</f>
        <v>0</v>
      </c>
      <c r="K16" s="197">
        <f t="shared" si="41"/>
        <v>0</v>
      </c>
      <c r="L16" s="346">
        <f t="shared" si="31"/>
        <v>0</v>
      </c>
      <c r="M16" s="296">
        <f t="shared" si="42"/>
        <v>0</v>
      </c>
      <c r="N16" s="346">
        <f t="shared" si="43"/>
        <v>0</v>
      </c>
      <c r="O16" s="411">
        <v>0</v>
      </c>
      <c r="P16" s="352">
        <f t="shared" si="32"/>
        <v>0</v>
      </c>
      <c r="Q16" s="622">
        <f>+'[2]Table 5C1A-Madison Prep'!S16+'[14]Table 5C1A-Madison Prep'!S16+(6*'[20]Table 5C1A-Madison Prep'!S16)</f>
        <v>0</v>
      </c>
      <c r="R16" s="196">
        <f t="shared" si="44"/>
        <v>0</v>
      </c>
      <c r="S16" s="356">
        <f t="shared" si="33"/>
        <v>0</v>
      </c>
      <c r="T16" s="356">
        <f t="shared" si="45"/>
        <v>0</v>
      </c>
      <c r="U16" s="281">
        <f>'[13]FY2014-15 Final'!L13</f>
        <v>4619</v>
      </c>
      <c r="V16" s="329">
        <f t="shared" si="34"/>
        <v>0</v>
      </c>
      <c r="W16" s="411">
        <f>'[1]Oct midyear Madison Prep'!E13</f>
        <v>0</v>
      </c>
      <c r="X16" s="282">
        <f t="shared" si="46"/>
        <v>0</v>
      </c>
      <c r="Y16" s="884">
        <f>'[1]Feb midyear Madison Prep'!E13</f>
        <v>0</v>
      </c>
      <c r="Z16" s="282">
        <f t="shared" si="47"/>
        <v>0</v>
      </c>
      <c r="AA16" s="283">
        <f t="shared" si="48"/>
        <v>0</v>
      </c>
      <c r="AB16" s="329">
        <f t="shared" si="49"/>
        <v>0</v>
      </c>
      <c r="AC16" s="298">
        <f t="shared" si="50"/>
        <v>0</v>
      </c>
      <c r="AD16" s="329">
        <f t="shared" si="51"/>
        <v>0</v>
      </c>
      <c r="AE16" s="282">
        <v>0</v>
      </c>
      <c r="AF16" s="329">
        <f t="shared" si="52"/>
        <v>0</v>
      </c>
      <c r="AG16" s="282">
        <f>+'[2]Table 5C1A-Madison Prep'!AI16+'[14]Table 5C1A-Madison Prep'!AI16+(6*'[20]Table 5C1A-Madison Prep'!AI16)</f>
        <v>0</v>
      </c>
      <c r="AH16" s="282">
        <f t="shared" si="53"/>
        <v>0</v>
      </c>
      <c r="AI16" s="329">
        <f t="shared" si="35"/>
        <v>0</v>
      </c>
      <c r="AJ16" s="297">
        <f t="shared" si="54"/>
        <v>0</v>
      </c>
      <c r="AK16" s="319">
        <f t="shared" si="36"/>
        <v>0</v>
      </c>
      <c r="AM16" s="296">
        <v>0</v>
      </c>
      <c r="AN16" s="296">
        <f t="shared" si="55"/>
        <v>0</v>
      </c>
      <c r="AO16" s="296">
        <f t="shared" si="37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2.1.14'!I13</f>
        <v>0</v>
      </c>
      <c r="D17" s="208">
        <f>'Table 3 Levels 1&amp;2'!AL14</f>
        <v>7098.5372236353351</v>
      </c>
      <c r="E17" s="209">
        <f t="shared" si="38"/>
        <v>0</v>
      </c>
      <c r="F17" s="209">
        <f>'Table 3A Level 3'!C16</f>
        <v>706.55</v>
      </c>
      <c r="G17" s="209">
        <f t="shared" si="39"/>
        <v>0</v>
      </c>
      <c r="H17" s="344">
        <f t="shared" si="40"/>
        <v>0</v>
      </c>
      <c r="I17" s="210">
        <f>'[1]Oct midyear Madison Prep'!K14</f>
        <v>0</v>
      </c>
      <c r="J17" s="210">
        <f>'[1]Feb midyear Madison Prep'!K14</f>
        <v>0</v>
      </c>
      <c r="K17" s="211">
        <f t="shared" si="41"/>
        <v>0</v>
      </c>
      <c r="L17" s="344">
        <f t="shared" si="31"/>
        <v>0</v>
      </c>
      <c r="M17" s="273">
        <f t="shared" si="42"/>
        <v>0</v>
      </c>
      <c r="N17" s="344">
        <f t="shared" si="43"/>
        <v>0</v>
      </c>
      <c r="O17" s="409">
        <v>0</v>
      </c>
      <c r="P17" s="350">
        <f t="shared" si="32"/>
        <v>0</v>
      </c>
      <c r="Q17" s="210">
        <f>+'[2]Table 5C1A-Madison Prep'!S17+'[14]Table 5C1A-Madison Prep'!S17+(6*'[20]Table 5C1A-Madison Prep'!S17)</f>
        <v>0</v>
      </c>
      <c r="R17" s="210">
        <f t="shared" si="44"/>
        <v>0</v>
      </c>
      <c r="S17" s="350">
        <f t="shared" si="33"/>
        <v>0</v>
      </c>
      <c r="T17" s="361">
        <f t="shared" si="45"/>
        <v>0</v>
      </c>
      <c r="U17" s="274">
        <f>'[13]FY2014-15 Final'!L14</f>
        <v>3580</v>
      </c>
      <c r="V17" s="327">
        <f t="shared" si="34"/>
        <v>0</v>
      </c>
      <c r="W17" s="409">
        <f>'[1]Oct midyear Madison Prep'!E14</f>
        <v>0</v>
      </c>
      <c r="X17" s="276">
        <f t="shared" si="46"/>
        <v>0</v>
      </c>
      <c r="Y17" s="883">
        <f>'[1]Feb midyear Madison Prep'!E14</f>
        <v>0</v>
      </c>
      <c r="Z17" s="276">
        <f t="shared" si="47"/>
        <v>0</v>
      </c>
      <c r="AA17" s="275">
        <f t="shared" si="48"/>
        <v>0</v>
      </c>
      <c r="AB17" s="327">
        <f t="shared" si="49"/>
        <v>0</v>
      </c>
      <c r="AC17" s="278">
        <f t="shared" si="50"/>
        <v>0</v>
      </c>
      <c r="AD17" s="327">
        <f t="shared" si="51"/>
        <v>0</v>
      </c>
      <c r="AE17" s="276">
        <v>0</v>
      </c>
      <c r="AF17" s="327">
        <f t="shared" si="52"/>
        <v>0</v>
      </c>
      <c r="AG17" s="276">
        <f>+'[2]Table 5C1A-Madison Prep'!AI17+'[14]Table 5C1A-Madison Prep'!AI17+(6*'[20]Table 5C1A-Madison Prep'!AI17)</f>
        <v>0</v>
      </c>
      <c r="AH17" s="276">
        <f t="shared" si="53"/>
        <v>0</v>
      </c>
      <c r="AI17" s="327">
        <f t="shared" si="35"/>
        <v>0</v>
      </c>
      <c r="AJ17" s="277">
        <f t="shared" si="54"/>
        <v>0</v>
      </c>
      <c r="AK17" s="317">
        <f t="shared" si="36"/>
        <v>0</v>
      </c>
      <c r="AM17" s="273">
        <v>0</v>
      </c>
      <c r="AN17" s="273">
        <f t="shared" si="55"/>
        <v>0</v>
      </c>
      <c r="AO17" s="273">
        <f t="shared" si="37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2.1.14'!I14</f>
        <v>0</v>
      </c>
      <c r="D18" s="201">
        <f>'Table 3 Levels 1&amp;2'!AL15</f>
        <v>1666.6040983606558</v>
      </c>
      <c r="E18" s="202">
        <f t="shared" si="38"/>
        <v>0</v>
      </c>
      <c r="F18" s="202">
        <f>'Table 3A Level 3'!C17</f>
        <v>1063.31</v>
      </c>
      <c r="G18" s="202">
        <f t="shared" si="39"/>
        <v>0</v>
      </c>
      <c r="H18" s="345">
        <f t="shared" si="40"/>
        <v>0</v>
      </c>
      <c r="I18" s="203">
        <f>'[1]Oct midyear Madison Prep'!K15</f>
        <v>0</v>
      </c>
      <c r="J18" s="203">
        <f>'[1]Feb midyear Madison Prep'!K15</f>
        <v>0</v>
      </c>
      <c r="K18" s="204">
        <f t="shared" si="41"/>
        <v>0</v>
      </c>
      <c r="L18" s="345">
        <f t="shared" si="31"/>
        <v>0</v>
      </c>
      <c r="M18" s="286">
        <f t="shared" si="42"/>
        <v>0</v>
      </c>
      <c r="N18" s="345">
        <f t="shared" si="43"/>
        <v>0</v>
      </c>
      <c r="O18" s="410">
        <v>0</v>
      </c>
      <c r="P18" s="351">
        <f t="shared" si="32"/>
        <v>0</v>
      </c>
      <c r="Q18" s="203">
        <f>+'[2]Table 5C1A-Madison Prep'!S18+'[14]Table 5C1A-Madison Prep'!S18+(6*'[20]Table 5C1A-Madison Prep'!S18)</f>
        <v>0</v>
      </c>
      <c r="R18" s="203">
        <f t="shared" si="44"/>
        <v>0</v>
      </c>
      <c r="S18" s="351">
        <f t="shared" si="33"/>
        <v>0</v>
      </c>
      <c r="T18" s="362">
        <f t="shared" si="45"/>
        <v>0</v>
      </c>
      <c r="U18" s="287">
        <f>'[13]FY2014-15 Final'!L15</f>
        <v>8094</v>
      </c>
      <c r="V18" s="328">
        <f t="shared" si="34"/>
        <v>0</v>
      </c>
      <c r="W18" s="410">
        <f>'[1]Oct midyear Madison Prep'!E15</f>
        <v>0</v>
      </c>
      <c r="X18" s="290">
        <f t="shared" si="46"/>
        <v>0</v>
      </c>
      <c r="Y18" s="289">
        <f>'[1]Feb midyear Madison Prep'!E15</f>
        <v>0</v>
      </c>
      <c r="Z18" s="290">
        <f t="shared" si="47"/>
        <v>0</v>
      </c>
      <c r="AA18" s="288">
        <f t="shared" si="48"/>
        <v>0</v>
      </c>
      <c r="AB18" s="328">
        <f t="shared" si="49"/>
        <v>0</v>
      </c>
      <c r="AC18" s="292">
        <f t="shared" si="50"/>
        <v>0</v>
      </c>
      <c r="AD18" s="328">
        <f t="shared" si="51"/>
        <v>0</v>
      </c>
      <c r="AE18" s="290">
        <v>0</v>
      </c>
      <c r="AF18" s="328">
        <f t="shared" si="52"/>
        <v>0</v>
      </c>
      <c r="AG18" s="290">
        <f>+'[2]Table 5C1A-Madison Prep'!AI18+'[14]Table 5C1A-Madison Prep'!AI18+(6*'[20]Table 5C1A-Madison Prep'!AI18)</f>
        <v>0</v>
      </c>
      <c r="AH18" s="290">
        <f t="shared" si="53"/>
        <v>0</v>
      </c>
      <c r="AI18" s="328">
        <f t="shared" si="35"/>
        <v>0</v>
      </c>
      <c r="AJ18" s="291">
        <f t="shared" si="54"/>
        <v>0</v>
      </c>
      <c r="AK18" s="318">
        <f t="shared" si="36"/>
        <v>0</v>
      </c>
      <c r="AM18" s="286">
        <v>0</v>
      </c>
      <c r="AN18" s="286">
        <f t="shared" si="55"/>
        <v>0</v>
      </c>
      <c r="AO18" s="286">
        <f t="shared" si="37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2.1.14'!I15</f>
        <v>0</v>
      </c>
      <c r="D19" s="201">
        <f>'Table 3 Levels 1&amp;2'!AL16</f>
        <v>6433.6297758332212</v>
      </c>
      <c r="E19" s="202">
        <f t="shared" si="38"/>
        <v>0</v>
      </c>
      <c r="F19" s="202">
        <f>'Table 3A Level 3'!C18</f>
        <v>749.43000000000006</v>
      </c>
      <c r="G19" s="202">
        <f t="shared" si="39"/>
        <v>0</v>
      </c>
      <c r="H19" s="345">
        <f t="shared" si="40"/>
        <v>0</v>
      </c>
      <c r="I19" s="203">
        <f>'[1]Oct midyear Madison Prep'!K16</f>
        <v>0</v>
      </c>
      <c r="J19" s="203">
        <f>'[1]Feb midyear Madison Prep'!K16</f>
        <v>0</v>
      </c>
      <c r="K19" s="204">
        <f t="shared" si="41"/>
        <v>0</v>
      </c>
      <c r="L19" s="345">
        <f t="shared" si="31"/>
        <v>0</v>
      </c>
      <c r="M19" s="286">
        <f t="shared" si="42"/>
        <v>0</v>
      </c>
      <c r="N19" s="345">
        <f t="shared" si="43"/>
        <v>0</v>
      </c>
      <c r="O19" s="410">
        <v>0</v>
      </c>
      <c r="P19" s="351">
        <f t="shared" si="32"/>
        <v>0</v>
      </c>
      <c r="Q19" s="203">
        <f>+'[2]Table 5C1A-Madison Prep'!S19+'[14]Table 5C1A-Madison Prep'!S19+(6*'[20]Table 5C1A-Madison Prep'!S19)</f>
        <v>0</v>
      </c>
      <c r="R19" s="203">
        <f t="shared" si="44"/>
        <v>0</v>
      </c>
      <c r="S19" s="351">
        <f t="shared" si="33"/>
        <v>0</v>
      </c>
      <c r="T19" s="362">
        <f t="shared" si="45"/>
        <v>0</v>
      </c>
      <c r="U19" s="287">
        <f>'[13]FY2014-15 Final'!L16</f>
        <v>2762</v>
      </c>
      <c r="V19" s="328">
        <f t="shared" si="34"/>
        <v>0</v>
      </c>
      <c r="W19" s="410">
        <f>'[1]Oct midyear Madison Prep'!E16</f>
        <v>0</v>
      </c>
      <c r="X19" s="290">
        <f t="shared" si="46"/>
        <v>0</v>
      </c>
      <c r="Y19" s="289">
        <f>'[1]Feb midyear Madison Prep'!E16</f>
        <v>0</v>
      </c>
      <c r="Z19" s="290">
        <f t="shared" si="47"/>
        <v>0</v>
      </c>
      <c r="AA19" s="288">
        <f t="shared" si="48"/>
        <v>0</v>
      </c>
      <c r="AB19" s="328">
        <f t="shared" si="49"/>
        <v>0</v>
      </c>
      <c r="AC19" s="292">
        <f t="shared" si="50"/>
        <v>0</v>
      </c>
      <c r="AD19" s="328">
        <f t="shared" si="51"/>
        <v>0</v>
      </c>
      <c r="AE19" s="290">
        <v>0</v>
      </c>
      <c r="AF19" s="328">
        <f t="shared" si="52"/>
        <v>0</v>
      </c>
      <c r="AG19" s="290">
        <f>+'[2]Table 5C1A-Madison Prep'!AI19+'[14]Table 5C1A-Madison Prep'!AI19+(6*'[20]Table 5C1A-Madison Prep'!AI19)</f>
        <v>0</v>
      </c>
      <c r="AH19" s="290">
        <f t="shared" si="53"/>
        <v>0</v>
      </c>
      <c r="AI19" s="328">
        <f t="shared" si="35"/>
        <v>0</v>
      </c>
      <c r="AJ19" s="291">
        <f t="shared" si="54"/>
        <v>0</v>
      </c>
      <c r="AK19" s="318">
        <f t="shared" si="36"/>
        <v>0</v>
      </c>
      <c r="AM19" s="286">
        <v>0</v>
      </c>
      <c r="AN19" s="286">
        <f t="shared" si="55"/>
        <v>0</v>
      </c>
      <c r="AO19" s="286">
        <f t="shared" si="37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2.1.14'!I16</f>
        <v>0</v>
      </c>
      <c r="D20" s="201">
        <f>'Table 3 Levels 1&amp;2'!AL17</f>
        <v>5334.9509412500001</v>
      </c>
      <c r="E20" s="202">
        <f t="shared" si="38"/>
        <v>0</v>
      </c>
      <c r="F20" s="202">
        <f>'Table 3A Level 3'!C19</f>
        <v>809.9799999999999</v>
      </c>
      <c r="G20" s="202">
        <f t="shared" si="39"/>
        <v>0</v>
      </c>
      <c r="H20" s="345">
        <f t="shared" si="40"/>
        <v>0</v>
      </c>
      <c r="I20" s="203">
        <f>'[1]Oct midyear Madison Prep'!K17</f>
        <v>0</v>
      </c>
      <c r="J20" s="203">
        <f>'[1]Feb midyear Madison Prep'!K17</f>
        <v>0</v>
      </c>
      <c r="K20" s="204">
        <f t="shared" si="41"/>
        <v>0</v>
      </c>
      <c r="L20" s="345">
        <f t="shared" si="31"/>
        <v>0</v>
      </c>
      <c r="M20" s="286">
        <f t="shared" si="42"/>
        <v>0</v>
      </c>
      <c r="N20" s="345">
        <f t="shared" si="43"/>
        <v>0</v>
      </c>
      <c r="O20" s="410">
        <v>0</v>
      </c>
      <c r="P20" s="351">
        <f t="shared" si="32"/>
        <v>0</v>
      </c>
      <c r="Q20" s="203">
        <f>+'[2]Table 5C1A-Madison Prep'!S20+'[14]Table 5C1A-Madison Prep'!S20+(6*'[20]Table 5C1A-Madison Prep'!S20)</f>
        <v>0</v>
      </c>
      <c r="R20" s="203">
        <f t="shared" si="44"/>
        <v>0</v>
      </c>
      <c r="S20" s="351">
        <f t="shared" si="33"/>
        <v>0</v>
      </c>
      <c r="T20" s="362">
        <f t="shared" si="45"/>
        <v>0</v>
      </c>
      <c r="U20" s="287">
        <f>'[13]FY2014-15 Final'!L17</f>
        <v>4171</v>
      </c>
      <c r="V20" s="328">
        <f t="shared" si="34"/>
        <v>0</v>
      </c>
      <c r="W20" s="410">
        <f>'[1]Oct midyear Madison Prep'!E17</f>
        <v>0</v>
      </c>
      <c r="X20" s="290">
        <f t="shared" si="46"/>
        <v>0</v>
      </c>
      <c r="Y20" s="289">
        <f>'[1]Feb midyear Madison Prep'!E17</f>
        <v>0</v>
      </c>
      <c r="Z20" s="290">
        <f t="shared" si="47"/>
        <v>0</v>
      </c>
      <c r="AA20" s="288">
        <f t="shared" si="48"/>
        <v>0</v>
      </c>
      <c r="AB20" s="328">
        <f t="shared" si="49"/>
        <v>0</v>
      </c>
      <c r="AC20" s="292">
        <f t="shared" si="50"/>
        <v>0</v>
      </c>
      <c r="AD20" s="328">
        <f t="shared" si="51"/>
        <v>0</v>
      </c>
      <c r="AE20" s="290">
        <v>0</v>
      </c>
      <c r="AF20" s="328">
        <f t="shared" si="52"/>
        <v>0</v>
      </c>
      <c r="AG20" s="290">
        <f>+'[2]Table 5C1A-Madison Prep'!AI20+'[14]Table 5C1A-Madison Prep'!AI20+(6*'[20]Table 5C1A-Madison Prep'!AI20)</f>
        <v>0</v>
      </c>
      <c r="AH20" s="290">
        <f t="shared" si="53"/>
        <v>0</v>
      </c>
      <c r="AI20" s="328">
        <f t="shared" si="35"/>
        <v>0</v>
      </c>
      <c r="AJ20" s="291">
        <f t="shared" si="54"/>
        <v>0</v>
      </c>
      <c r="AK20" s="318">
        <f t="shared" si="36"/>
        <v>0</v>
      </c>
      <c r="AM20" s="286">
        <v>0</v>
      </c>
      <c r="AN20" s="286">
        <f t="shared" si="55"/>
        <v>0</v>
      </c>
      <c r="AO20" s="286">
        <f t="shared" si="37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2.1.14'!I17</f>
        <v>0</v>
      </c>
      <c r="D21" s="194">
        <f>'Table 3 Levels 1&amp;2'!AL18</f>
        <v>5749.8285214059952</v>
      </c>
      <c r="E21" s="195">
        <f t="shared" si="38"/>
        <v>0</v>
      </c>
      <c r="F21" s="195">
        <f>'Table 3A Level 3'!C20</f>
        <v>553.79999999999995</v>
      </c>
      <c r="G21" s="195">
        <f t="shared" si="39"/>
        <v>0</v>
      </c>
      <c r="H21" s="346">
        <f t="shared" si="40"/>
        <v>0</v>
      </c>
      <c r="I21" s="196">
        <f>'[1]Oct midyear Madison Prep'!K18</f>
        <v>0</v>
      </c>
      <c r="J21" s="196">
        <f>'[1]Feb midyear Madison Prep'!K18</f>
        <v>0</v>
      </c>
      <c r="K21" s="197">
        <f t="shared" si="41"/>
        <v>0</v>
      </c>
      <c r="L21" s="346">
        <f t="shared" si="31"/>
        <v>0</v>
      </c>
      <c r="M21" s="296">
        <f t="shared" si="42"/>
        <v>0</v>
      </c>
      <c r="N21" s="346">
        <f t="shared" si="43"/>
        <v>0</v>
      </c>
      <c r="O21" s="411">
        <v>0</v>
      </c>
      <c r="P21" s="352">
        <f t="shared" si="32"/>
        <v>0</v>
      </c>
      <c r="Q21" s="622">
        <f>+'[2]Table 5C1A-Madison Prep'!S21+'[14]Table 5C1A-Madison Prep'!S21+(6*'[20]Table 5C1A-Madison Prep'!S21)</f>
        <v>0</v>
      </c>
      <c r="R21" s="196">
        <f t="shared" si="44"/>
        <v>0</v>
      </c>
      <c r="S21" s="356">
        <f t="shared" si="33"/>
        <v>0</v>
      </c>
      <c r="T21" s="356">
        <f t="shared" si="45"/>
        <v>0</v>
      </c>
      <c r="U21" s="281">
        <f>'[13]FY2014-15 Final'!L18</f>
        <v>2880</v>
      </c>
      <c r="V21" s="329">
        <f t="shared" si="34"/>
        <v>0</v>
      </c>
      <c r="W21" s="411">
        <f>'[1]Oct midyear Madison Prep'!E18</f>
        <v>0</v>
      </c>
      <c r="X21" s="282">
        <f t="shared" si="46"/>
        <v>0</v>
      </c>
      <c r="Y21" s="884">
        <f>'[1]Feb midyear Madison Prep'!E18</f>
        <v>0</v>
      </c>
      <c r="Z21" s="282">
        <f t="shared" si="47"/>
        <v>0</v>
      </c>
      <c r="AA21" s="283">
        <f t="shared" si="48"/>
        <v>0</v>
      </c>
      <c r="AB21" s="329">
        <f t="shared" si="49"/>
        <v>0</v>
      </c>
      <c r="AC21" s="298">
        <f t="shared" si="50"/>
        <v>0</v>
      </c>
      <c r="AD21" s="329">
        <f t="shared" si="51"/>
        <v>0</v>
      </c>
      <c r="AE21" s="282">
        <v>0</v>
      </c>
      <c r="AF21" s="329">
        <f t="shared" si="52"/>
        <v>0</v>
      </c>
      <c r="AG21" s="282">
        <f>+'[2]Table 5C1A-Madison Prep'!AI21+'[14]Table 5C1A-Madison Prep'!AI21+(6*'[20]Table 5C1A-Madison Prep'!AI21)</f>
        <v>0</v>
      </c>
      <c r="AH21" s="282">
        <f t="shared" si="53"/>
        <v>0</v>
      </c>
      <c r="AI21" s="329">
        <f t="shared" si="35"/>
        <v>0</v>
      </c>
      <c r="AJ21" s="297">
        <f t="shared" si="54"/>
        <v>0</v>
      </c>
      <c r="AK21" s="319">
        <f t="shared" si="36"/>
        <v>0</v>
      </c>
      <c r="AM21" s="296">
        <v>0</v>
      </c>
      <c r="AN21" s="296">
        <f t="shared" si="55"/>
        <v>0</v>
      </c>
      <c r="AO21" s="296">
        <f t="shared" si="37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2.1.14'!I18</f>
        <v>0</v>
      </c>
      <c r="D22" s="208">
        <f>'Table 3 Levels 1&amp;2'!AL19</f>
        <v>1980.2494354342025</v>
      </c>
      <c r="E22" s="209">
        <f t="shared" si="38"/>
        <v>0</v>
      </c>
      <c r="F22" s="209">
        <f>'Table 3A Level 3'!C21</f>
        <v>686.73</v>
      </c>
      <c r="G22" s="209">
        <f t="shared" si="39"/>
        <v>0</v>
      </c>
      <c r="H22" s="344">
        <f t="shared" si="40"/>
        <v>0</v>
      </c>
      <c r="I22" s="210">
        <f>'[1]Oct midyear Madison Prep'!K19</f>
        <v>0</v>
      </c>
      <c r="J22" s="210">
        <f>'[1]Feb midyear Madison Prep'!K19</f>
        <v>0</v>
      </c>
      <c r="K22" s="211">
        <f t="shared" si="41"/>
        <v>0</v>
      </c>
      <c r="L22" s="344">
        <f t="shared" si="31"/>
        <v>0</v>
      </c>
      <c r="M22" s="273">
        <f t="shared" si="42"/>
        <v>0</v>
      </c>
      <c r="N22" s="344">
        <f t="shared" si="43"/>
        <v>0</v>
      </c>
      <c r="O22" s="409">
        <v>0</v>
      </c>
      <c r="P22" s="350">
        <f t="shared" si="32"/>
        <v>0</v>
      </c>
      <c r="Q22" s="210">
        <f>+'[2]Table 5C1A-Madison Prep'!S22+'[14]Table 5C1A-Madison Prep'!S22+(6*'[20]Table 5C1A-Madison Prep'!S22)</f>
        <v>0</v>
      </c>
      <c r="R22" s="210">
        <f t="shared" si="44"/>
        <v>0</v>
      </c>
      <c r="S22" s="350">
        <f t="shared" si="33"/>
        <v>0</v>
      </c>
      <c r="T22" s="361">
        <f t="shared" si="45"/>
        <v>0</v>
      </c>
      <c r="U22" s="274">
        <f>'[13]FY2014-15 Final'!L19</f>
        <v>13021</v>
      </c>
      <c r="V22" s="327">
        <f t="shared" si="34"/>
        <v>0</v>
      </c>
      <c r="W22" s="409">
        <f>'[1]Oct midyear Madison Prep'!E19</f>
        <v>0</v>
      </c>
      <c r="X22" s="276">
        <f t="shared" si="46"/>
        <v>0</v>
      </c>
      <c r="Y22" s="883">
        <f>'[1]Feb midyear Madison Prep'!E19</f>
        <v>0</v>
      </c>
      <c r="Z22" s="276">
        <f t="shared" si="47"/>
        <v>0</v>
      </c>
      <c r="AA22" s="275">
        <f t="shared" si="48"/>
        <v>0</v>
      </c>
      <c r="AB22" s="327">
        <f t="shared" si="49"/>
        <v>0</v>
      </c>
      <c r="AC22" s="278">
        <f t="shared" si="50"/>
        <v>0</v>
      </c>
      <c r="AD22" s="327">
        <f t="shared" si="51"/>
        <v>0</v>
      </c>
      <c r="AE22" s="276">
        <v>0</v>
      </c>
      <c r="AF22" s="327">
        <f t="shared" si="52"/>
        <v>0</v>
      </c>
      <c r="AG22" s="276">
        <f>+'[2]Table 5C1A-Madison Prep'!AI22+'[14]Table 5C1A-Madison Prep'!AI22+(6*'[20]Table 5C1A-Madison Prep'!AI22)</f>
        <v>0</v>
      </c>
      <c r="AH22" s="276">
        <f t="shared" si="53"/>
        <v>0</v>
      </c>
      <c r="AI22" s="327">
        <f t="shared" si="35"/>
        <v>0</v>
      </c>
      <c r="AJ22" s="277">
        <f t="shared" si="54"/>
        <v>0</v>
      </c>
      <c r="AK22" s="317">
        <f t="shared" si="36"/>
        <v>0</v>
      </c>
      <c r="AM22" s="273">
        <v>0</v>
      </c>
      <c r="AN22" s="273">
        <f t="shared" si="55"/>
        <v>0</v>
      </c>
      <c r="AO22" s="273">
        <f t="shared" si="37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2.1.14'!I19</f>
        <v>262</v>
      </c>
      <c r="D23" s="201">
        <f>'Table 3 Levels 1&amp;2'!AL20</f>
        <v>3363.5980368254495</v>
      </c>
      <c r="E23" s="202">
        <f t="shared" si="38"/>
        <v>881262.68564826774</v>
      </c>
      <c r="F23" s="202">
        <f>'Table 3A Level 3'!C22</f>
        <v>801.47762416806802</v>
      </c>
      <c r="G23" s="202">
        <f t="shared" si="39"/>
        <v>209987.13753203381</v>
      </c>
      <c r="H23" s="345">
        <f t="shared" si="40"/>
        <v>1091249.8231803016</v>
      </c>
      <c r="I23" s="203">
        <f>'[1]Oct midyear Madison Prep'!K20</f>
        <v>287390.22060855274</v>
      </c>
      <c r="J23" s="203">
        <f>'[1]Feb midyear Madison Prep'!K20</f>
        <v>-12495.226982980554</v>
      </c>
      <c r="K23" s="204">
        <f t="shared" si="41"/>
        <v>274894.99362557218</v>
      </c>
      <c r="L23" s="345">
        <f t="shared" si="31"/>
        <v>1366144.8168058738</v>
      </c>
      <c r="M23" s="286">
        <f>-(0.25%*L23)</f>
        <v>-3415.3620420146844</v>
      </c>
      <c r="N23" s="345">
        <f t="shared" si="43"/>
        <v>1362729.454763859</v>
      </c>
      <c r="O23" s="410">
        <v>-6040</v>
      </c>
      <c r="P23" s="351">
        <f t="shared" si="32"/>
        <v>1356689.454763859</v>
      </c>
      <c r="Q23" s="203">
        <f>+'[2]Table 5C1A-Madison Prep'!S23+'[14]Table 5C1A-Madison Prep'!S23+(6*'[20]Table 5C1A-Madison Prep'!S23)</f>
        <v>894410</v>
      </c>
      <c r="R23" s="203">
        <f t="shared" si="44"/>
        <v>462279.45476385904</v>
      </c>
      <c r="S23" s="351">
        <f t="shared" si="33"/>
        <v>115570</v>
      </c>
      <c r="T23" s="362">
        <f t="shared" si="45"/>
        <v>1356689.454763859</v>
      </c>
      <c r="U23" s="287">
        <f>'[13]FY2014-15 Final'!L20</f>
        <v>6954</v>
      </c>
      <c r="V23" s="328">
        <f t="shared" si="34"/>
        <v>1821948</v>
      </c>
      <c r="W23" s="410">
        <f>'[1]Oct midyear Madison Prep'!E20</f>
        <v>69</v>
      </c>
      <c r="X23" s="290">
        <f>W23*U23</f>
        <v>479826</v>
      </c>
      <c r="Y23" s="289">
        <f>'[1]Feb midyear Madison Prep'!E20</f>
        <v>-6</v>
      </c>
      <c r="Z23" s="290">
        <f t="shared" si="47"/>
        <v>-20862</v>
      </c>
      <c r="AA23" s="288">
        <f t="shared" si="48"/>
        <v>458964</v>
      </c>
      <c r="AB23" s="328">
        <f t="shared" si="49"/>
        <v>2280912</v>
      </c>
      <c r="AC23" s="292">
        <f t="shared" si="50"/>
        <v>-5702.28</v>
      </c>
      <c r="AD23" s="328">
        <f t="shared" si="51"/>
        <v>2275209.7200000002</v>
      </c>
      <c r="AE23" s="290">
        <v>0</v>
      </c>
      <c r="AF23" s="328">
        <f t="shared" si="52"/>
        <v>2275209.7200000002</v>
      </c>
      <c r="AG23" s="290">
        <f>+'[2]Table 5C1A-Madison Prep'!AI23+'[14]Table 5C1A-Madison Prep'!AI23+(6*'[20]Table 5C1A-Madison Prep'!AI23)</f>
        <v>1520743</v>
      </c>
      <c r="AH23" s="290">
        <f t="shared" si="53"/>
        <v>754466.7200000002</v>
      </c>
      <c r="AI23" s="328">
        <f t="shared" si="35"/>
        <v>188617</v>
      </c>
      <c r="AJ23" s="291">
        <f t="shared" si="54"/>
        <v>3631899.1747638592</v>
      </c>
      <c r="AK23" s="318">
        <f t="shared" si="36"/>
        <v>304187</v>
      </c>
      <c r="AM23" s="286">
        <v>-4617.75</v>
      </c>
      <c r="AN23" s="286">
        <f t="shared" si="55"/>
        <v>-5702.28</v>
      </c>
      <c r="AO23" s="286">
        <f t="shared" si="37"/>
        <v>-1084.5299999999997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2.1.14'!I20</f>
        <v>0</v>
      </c>
      <c r="D24" s="201">
        <f>'Table 3 Levels 1&amp;2'!AL21</f>
        <v>6354.5533500475731</v>
      </c>
      <c r="E24" s="202">
        <f t="shared" si="38"/>
        <v>0</v>
      </c>
      <c r="F24" s="202">
        <f>'Table 3A Level 3'!C23</f>
        <v>845.94999999999993</v>
      </c>
      <c r="G24" s="202">
        <f t="shared" si="39"/>
        <v>0</v>
      </c>
      <c r="H24" s="345">
        <f t="shared" si="40"/>
        <v>0</v>
      </c>
      <c r="I24" s="203">
        <f>'[1]Oct midyear Madison Prep'!K21</f>
        <v>0</v>
      </c>
      <c r="J24" s="203">
        <f>'[1]Feb midyear Madison Prep'!K21</f>
        <v>0</v>
      </c>
      <c r="K24" s="204">
        <f t="shared" si="41"/>
        <v>0</v>
      </c>
      <c r="L24" s="345">
        <f t="shared" si="31"/>
        <v>0</v>
      </c>
      <c r="M24" s="286">
        <f t="shared" si="42"/>
        <v>0</v>
      </c>
      <c r="N24" s="345">
        <f t="shared" si="43"/>
        <v>0</v>
      </c>
      <c r="O24" s="410">
        <v>0</v>
      </c>
      <c r="P24" s="351">
        <f t="shared" si="32"/>
        <v>0</v>
      </c>
      <c r="Q24" s="203">
        <f>+'[2]Table 5C1A-Madison Prep'!S24+'[14]Table 5C1A-Madison Prep'!S24+(6*'[20]Table 5C1A-Madison Prep'!S24)</f>
        <v>0</v>
      </c>
      <c r="R24" s="203">
        <f t="shared" si="44"/>
        <v>0</v>
      </c>
      <c r="S24" s="351">
        <f t="shared" si="33"/>
        <v>0</v>
      </c>
      <c r="T24" s="362">
        <f t="shared" si="45"/>
        <v>0</v>
      </c>
      <c r="U24" s="287">
        <f>'[13]FY2014-15 Final'!L21</f>
        <v>2442</v>
      </c>
      <c r="V24" s="328">
        <f t="shared" si="34"/>
        <v>0</v>
      </c>
      <c r="W24" s="410">
        <f>'[1]Oct midyear Madison Prep'!E21</f>
        <v>0</v>
      </c>
      <c r="X24" s="290">
        <f t="shared" si="46"/>
        <v>0</v>
      </c>
      <c r="Y24" s="289">
        <f>'[1]Feb midyear Madison Prep'!E21</f>
        <v>0</v>
      </c>
      <c r="Z24" s="290">
        <f t="shared" si="47"/>
        <v>0</v>
      </c>
      <c r="AA24" s="288">
        <f t="shared" si="48"/>
        <v>0</v>
      </c>
      <c r="AB24" s="328">
        <f t="shared" si="49"/>
        <v>0</v>
      </c>
      <c r="AC24" s="292">
        <f t="shared" si="50"/>
        <v>0</v>
      </c>
      <c r="AD24" s="328">
        <f t="shared" si="51"/>
        <v>0</v>
      </c>
      <c r="AE24" s="290">
        <v>0</v>
      </c>
      <c r="AF24" s="328">
        <f t="shared" si="52"/>
        <v>0</v>
      </c>
      <c r="AG24" s="290">
        <f>+'[2]Table 5C1A-Madison Prep'!AI24+'[14]Table 5C1A-Madison Prep'!AI24+(6*'[20]Table 5C1A-Madison Prep'!AI24)</f>
        <v>0</v>
      </c>
      <c r="AH24" s="290">
        <f t="shared" si="53"/>
        <v>0</v>
      </c>
      <c r="AI24" s="328">
        <f t="shared" si="35"/>
        <v>0</v>
      </c>
      <c r="AJ24" s="291">
        <f t="shared" si="54"/>
        <v>0</v>
      </c>
      <c r="AK24" s="318">
        <f t="shared" si="36"/>
        <v>0</v>
      </c>
      <c r="AM24" s="286">
        <v>0</v>
      </c>
      <c r="AN24" s="286">
        <f t="shared" si="55"/>
        <v>0</v>
      </c>
      <c r="AO24" s="286">
        <f t="shared" si="37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2.1.14'!I21</f>
        <v>0</v>
      </c>
      <c r="D25" s="201">
        <f>'Table 3 Levels 1&amp;2'!AL22</f>
        <v>5314.3921869460446</v>
      </c>
      <c r="E25" s="202">
        <f t="shared" si="38"/>
        <v>0</v>
      </c>
      <c r="F25" s="202">
        <f>'Table 3A Level 3'!C24</f>
        <v>905.43</v>
      </c>
      <c r="G25" s="202">
        <f t="shared" si="39"/>
        <v>0</v>
      </c>
      <c r="H25" s="345">
        <f t="shared" si="40"/>
        <v>0</v>
      </c>
      <c r="I25" s="203">
        <f>'[1]Oct midyear Madison Prep'!K22</f>
        <v>0</v>
      </c>
      <c r="J25" s="203">
        <f>'[1]Feb midyear Madison Prep'!K22</f>
        <v>0</v>
      </c>
      <c r="K25" s="204">
        <f t="shared" si="41"/>
        <v>0</v>
      </c>
      <c r="L25" s="345">
        <f t="shared" si="31"/>
        <v>0</v>
      </c>
      <c r="M25" s="286">
        <f t="shared" si="42"/>
        <v>0</v>
      </c>
      <c r="N25" s="345">
        <f t="shared" si="43"/>
        <v>0</v>
      </c>
      <c r="O25" s="410">
        <v>0</v>
      </c>
      <c r="P25" s="351">
        <f t="shared" si="32"/>
        <v>0</v>
      </c>
      <c r="Q25" s="203">
        <f>+'[2]Table 5C1A-Madison Prep'!S25+'[14]Table 5C1A-Madison Prep'!S25+(6*'[20]Table 5C1A-Madison Prep'!S25)</f>
        <v>0</v>
      </c>
      <c r="R25" s="203">
        <f t="shared" si="44"/>
        <v>0</v>
      </c>
      <c r="S25" s="351">
        <f t="shared" si="33"/>
        <v>0</v>
      </c>
      <c r="T25" s="362">
        <f t="shared" si="45"/>
        <v>0</v>
      </c>
      <c r="U25" s="287">
        <f>'[13]FY2014-15 Final'!L22</f>
        <v>3051</v>
      </c>
      <c r="V25" s="328">
        <f t="shared" si="34"/>
        <v>0</v>
      </c>
      <c r="W25" s="410">
        <f>'[1]Oct midyear Madison Prep'!E22</f>
        <v>0</v>
      </c>
      <c r="X25" s="290">
        <f t="shared" si="46"/>
        <v>0</v>
      </c>
      <c r="Y25" s="289">
        <f>'[1]Feb midyear Madison Prep'!E22</f>
        <v>0</v>
      </c>
      <c r="Z25" s="290">
        <f t="shared" si="47"/>
        <v>0</v>
      </c>
      <c r="AA25" s="288">
        <f t="shared" si="48"/>
        <v>0</v>
      </c>
      <c r="AB25" s="328">
        <f t="shared" si="49"/>
        <v>0</v>
      </c>
      <c r="AC25" s="292">
        <f t="shared" si="50"/>
        <v>0</v>
      </c>
      <c r="AD25" s="328">
        <f t="shared" si="51"/>
        <v>0</v>
      </c>
      <c r="AE25" s="290">
        <v>0</v>
      </c>
      <c r="AF25" s="328">
        <f t="shared" si="52"/>
        <v>0</v>
      </c>
      <c r="AG25" s="290">
        <f>+'[2]Table 5C1A-Madison Prep'!AI25+'[14]Table 5C1A-Madison Prep'!AI25+(6*'[20]Table 5C1A-Madison Prep'!AI25)</f>
        <v>0</v>
      </c>
      <c r="AH25" s="290">
        <f t="shared" si="53"/>
        <v>0</v>
      </c>
      <c r="AI25" s="328">
        <f t="shared" si="35"/>
        <v>0</v>
      </c>
      <c r="AJ25" s="291">
        <f t="shared" si="54"/>
        <v>0</v>
      </c>
      <c r="AK25" s="318">
        <f t="shared" si="36"/>
        <v>0</v>
      </c>
      <c r="AM25" s="286">
        <v>0</v>
      </c>
      <c r="AN25" s="286">
        <f t="shared" si="55"/>
        <v>0</v>
      </c>
      <c r="AO25" s="286">
        <f t="shared" si="37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2.1.14'!I22</f>
        <v>0</v>
      </c>
      <c r="D26" s="194">
        <f>'Table 3 Levels 1&amp;2'!AL23</f>
        <v>5278.5201565562011</v>
      </c>
      <c r="E26" s="195">
        <f t="shared" si="38"/>
        <v>0</v>
      </c>
      <c r="F26" s="195">
        <f>'Table 3A Level 3'!C25</f>
        <v>586.16999999999996</v>
      </c>
      <c r="G26" s="195">
        <f t="shared" si="39"/>
        <v>0</v>
      </c>
      <c r="H26" s="346">
        <f t="shared" si="40"/>
        <v>0</v>
      </c>
      <c r="I26" s="196">
        <f>'[1]Oct midyear Madison Prep'!K23</f>
        <v>0</v>
      </c>
      <c r="J26" s="196">
        <f>'[1]Feb midyear Madison Prep'!K23</f>
        <v>0</v>
      </c>
      <c r="K26" s="197">
        <f t="shared" si="41"/>
        <v>0</v>
      </c>
      <c r="L26" s="346">
        <f t="shared" si="31"/>
        <v>0</v>
      </c>
      <c r="M26" s="296">
        <f t="shared" si="42"/>
        <v>0</v>
      </c>
      <c r="N26" s="346">
        <f t="shared" si="43"/>
        <v>0</v>
      </c>
      <c r="O26" s="411">
        <v>0</v>
      </c>
      <c r="P26" s="352">
        <f t="shared" si="32"/>
        <v>0</v>
      </c>
      <c r="Q26" s="622">
        <f>+'[2]Table 5C1A-Madison Prep'!S26+'[14]Table 5C1A-Madison Prep'!S26+(6*'[20]Table 5C1A-Madison Prep'!S26)</f>
        <v>0</v>
      </c>
      <c r="R26" s="196">
        <f t="shared" si="44"/>
        <v>0</v>
      </c>
      <c r="S26" s="356">
        <f t="shared" si="33"/>
        <v>0</v>
      </c>
      <c r="T26" s="356">
        <f t="shared" si="45"/>
        <v>0</v>
      </c>
      <c r="U26" s="281">
        <f>'[13]FY2014-15 Final'!L23</f>
        <v>2484</v>
      </c>
      <c r="V26" s="329">
        <f t="shared" si="34"/>
        <v>0</v>
      </c>
      <c r="W26" s="411">
        <f>'[1]Oct midyear Madison Prep'!E23</f>
        <v>0</v>
      </c>
      <c r="X26" s="282">
        <f t="shared" si="46"/>
        <v>0</v>
      </c>
      <c r="Y26" s="884">
        <f>'[1]Feb midyear Madison Prep'!E23</f>
        <v>0</v>
      </c>
      <c r="Z26" s="282">
        <f t="shared" si="47"/>
        <v>0</v>
      </c>
      <c r="AA26" s="283">
        <f t="shared" si="48"/>
        <v>0</v>
      </c>
      <c r="AB26" s="329">
        <f t="shared" si="49"/>
        <v>0</v>
      </c>
      <c r="AC26" s="298">
        <f t="shared" si="50"/>
        <v>0</v>
      </c>
      <c r="AD26" s="329">
        <f t="shared" si="51"/>
        <v>0</v>
      </c>
      <c r="AE26" s="282">
        <v>0</v>
      </c>
      <c r="AF26" s="329">
        <f t="shared" si="52"/>
        <v>0</v>
      </c>
      <c r="AG26" s="282">
        <f>+'[2]Table 5C1A-Madison Prep'!AI26+'[14]Table 5C1A-Madison Prep'!AI26+(6*'[20]Table 5C1A-Madison Prep'!AI26)</f>
        <v>0</v>
      </c>
      <c r="AH26" s="282">
        <f t="shared" si="53"/>
        <v>0</v>
      </c>
      <c r="AI26" s="329">
        <f t="shared" si="35"/>
        <v>0</v>
      </c>
      <c r="AJ26" s="297">
        <f t="shared" si="54"/>
        <v>0</v>
      </c>
      <c r="AK26" s="319">
        <f t="shared" si="36"/>
        <v>0</v>
      </c>
      <c r="AM26" s="296">
        <v>0</v>
      </c>
      <c r="AN26" s="296">
        <f t="shared" si="55"/>
        <v>0</v>
      </c>
      <c r="AO26" s="296">
        <f t="shared" si="37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2.1.14'!I23</f>
        <v>0</v>
      </c>
      <c r="D27" s="208">
        <f>'Table 3 Levels 1&amp;2'!AL24</f>
        <v>6082.3042295867763</v>
      </c>
      <c r="E27" s="209">
        <f t="shared" si="38"/>
        <v>0</v>
      </c>
      <c r="F27" s="209">
        <f>'Table 3A Level 3'!C26</f>
        <v>610.35</v>
      </c>
      <c r="G27" s="209">
        <f t="shared" si="39"/>
        <v>0</v>
      </c>
      <c r="H27" s="344">
        <f t="shared" si="40"/>
        <v>0</v>
      </c>
      <c r="I27" s="210">
        <f>'[1]Oct midyear Madison Prep'!K24</f>
        <v>0</v>
      </c>
      <c r="J27" s="210">
        <f>'[1]Feb midyear Madison Prep'!K24</f>
        <v>0</v>
      </c>
      <c r="K27" s="211">
        <f t="shared" si="41"/>
        <v>0</v>
      </c>
      <c r="L27" s="344">
        <f t="shared" si="31"/>
        <v>0</v>
      </c>
      <c r="M27" s="273">
        <f t="shared" si="42"/>
        <v>0</v>
      </c>
      <c r="N27" s="344">
        <f t="shared" si="43"/>
        <v>0</v>
      </c>
      <c r="O27" s="409">
        <v>0</v>
      </c>
      <c r="P27" s="350">
        <f t="shared" si="32"/>
        <v>0</v>
      </c>
      <c r="Q27" s="210">
        <f>+'[2]Table 5C1A-Madison Prep'!S27+'[14]Table 5C1A-Madison Prep'!S27+(6*'[20]Table 5C1A-Madison Prep'!S27)</f>
        <v>0</v>
      </c>
      <c r="R27" s="210">
        <f t="shared" si="44"/>
        <v>0</v>
      </c>
      <c r="S27" s="350">
        <f t="shared" si="33"/>
        <v>0</v>
      </c>
      <c r="T27" s="361">
        <f t="shared" si="45"/>
        <v>0</v>
      </c>
      <c r="U27" s="274">
        <f>'[13]FY2014-15 Final'!L24</f>
        <v>2487</v>
      </c>
      <c r="V27" s="327">
        <f t="shared" si="34"/>
        <v>0</v>
      </c>
      <c r="W27" s="409">
        <f>'[1]Oct midyear Madison Prep'!E24</f>
        <v>0</v>
      </c>
      <c r="X27" s="276">
        <f t="shared" si="46"/>
        <v>0</v>
      </c>
      <c r="Y27" s="883">
        <f>'[1]Feb midyear Madison Prep'!E24</f>
        <v>0</v>
      </c>
      <c r="Z27" s="276">
        <f t="shared" si="47"/>
        <v>0</v>
      </c>
      <c r="AA27" s="275">
        <f t="shared" si="48"/>
        <v>0</v>
      </c>
      <c r="AB27" s="327">
        <f t="shared" si="49"/>
        <v>0</v>
      </c>
      <c r="AC27" s="278">
        <f t="shared" si="50"/>
        <v>0</v>
      </c>
      <c r="AD27" s="327">
        <f t="shared" si="51"/>
        <v>0</v>
      </c>
      <c r="AE27" s="276">
        <v>0</v>
      </c>
      <c r="AF27" s="327">
        <f t="shared" si="52"/>
        <v>0</v>
      </c>
      <c r="AG27" s="276">
        <f>+'[2]Table 5C1A-Madison Prep'!AI27+'[14]Table 5C1A-Madison Prep'!AI27+(6*'[20]Table 5C1A-Madison Prep'!AI27)</f>
        <v>0</v>
      </c>
      <c r="AH27" s="276">
        <f t="shared" si="53"/>
        <v>0</v>
      </c>
      <c r="AI27" s="327">
        <f t="shared" si="35"/>
        <v>0</v>
      </c>
      <c r="AJ27" s="277">
        <f t="shared" si="54"/>
        <v>0</v>
      </c>
      <c r="AK27" s="317">
        <f t="shared" si="36"/>
        <v>0</v>
      </c>
      <c r="AM27" s="273">
        <v>0</v>
      </c>
      <c r="AN27" s="273">
        <f t="shared" si="55"/>
        <v>0</v>
      </c>
      <c r="AO27" s="273">
        <f t="shared" si="37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2.1.14'!I24</f>
        <v>0</v>
      </c>
      <c r="D28" s="201">
        <f>'Table 3 Levels 1&amp;2'!AL25</f>
        <v>6416.1099808195995</v>
      </c>
      <c r="E28" s="202">
        <f t="shared" si="38"/>
        <v>0</v>
      </c>
      <c r="F28" s="202">
        <f>'Table 3A Level 3'!C27</f>
        <v>496.36</v>
      </c>
      <c r="G28" s="202">
        <f t="shared" si="39"/>
        <v>0</v>
      </c>
      <c r="H28" s="345">
        <f t="shared" si="40"/>
        <v>0</v>
      </c>
      <c r="I28" s="203">
        <f>'[1]Oct midyear Madison Prep'!K25</f>
        <v>0</v>
      </c>
      <c r="J28" s="203">
        <f>'[1]Feb midyear Madison Prep'!K25</f>
        <v>0</v>
      </c>
      <c r="K28" s="204">
        <f t="shared" si="41"/>
        <v>0</v>
      </c>
      <c r="L28" s="345">
        <f t="shared" si="31"/>
        <v>0</v>
      </c>
      <c r="M28" s="286">
        <f t="shared" si="42"/>
        <v>0</v>
      </c>
      <c r="N28" s="345">
        <f t="shared" si="43"/>
        <v>0</v>
      </c>
      <c r="O28" s="410">
        <v>0</v>
      </c>
      <c r="P28" s="351">
        <f t="shared" si="32"/>
        <v>0</v>
      </c>
      <c r="Q28" s="203">
        <f>+'[2]Table 5C1A-Madison Prep'!S28+'[14]Table 5C1A-Madison Prep'!S28+(6*'[20]Table 5C1A-Madison Prep'!S28)</f>
        <v>0</v>
      </c>
      <c r="R28" s="203">
        <f t="shared" si="44"/>
        <v>0</v>
      </c>
      <c r="S28" s="351">
        <f t="shared" si="33"/>
        <v>0</v>
      </c>
      <c r="T28" s="362">
        <f t="shared" si="45"/>
        <v>0</v>
      </c>
      <c r="U28" s="287">
        <f>'[13]FY2014-15 Final'!L25</f>
        <v>1584</v>
      </c>
      <c r="V28" s="328">
        <f t="shared" si="34"/>
        <v>0</v>
      </c>
      <c r="W28" s="410">
        <f>'[1]Oct midyear Madison Prep'!E25</f>
        <v>0</v>
      </c>
      <c r="X28" s="290">
        <f t="shared" si="46"/>
        <v>0</v>
      </c>
      <c r="Y28" s="289">
        <f>'[1]Feb midyear Madison Prep'!E25</f>
        <v>0</v>
      </c>
      <c r="Z28" s="290">
        <f t="shared" si="47"/>
        <v>0</v>
      </c>
      <c r="AA28" s="288">
        <f t="shared" si="48"/>
        <v>0</v>
      </c>
      <c r="AB28" s="328">
        <f t="shared" si="49"/>
        <v>0</v>
      </c>
      <c r="AC28" s="292">
        <f t="shared" si="50"/>
        <v>0</v>
      </c>
      <c r="AD28" s="328">
        <f t="shared" si="51"/>
        <v>0</v>
      </c>
      <c r="AE28" s="290">
        <v>0</v>
      </c>
      <c r="AF28" s="328">
        <f t="shared" si="52"/>
        <v>0</v>
      </c>
      <c r="AG28" s="290">
        <f>+'[2]Table 5C1A-Madison Prep'!AI28+'[14]Table 5C1A-Madison Prep'!AI28+(6*'[20]Table 5C1A-Madison Prep'!AI28)</f>
        <v>0</v>
      </c>
      <c r="AH28" s="290">
        <f t="shared" si="53"/>
        <v>0</v>
      </c>
      <c r="AI28" s="328">
        <f t="shared" si="35"/>
        <v>0</v>
      </c>
      <c r="AJ28" s="291">
        <f t="shared" si="54"/>
        <v>0</v>
      </c>
      <c r="AK28" s="318">
        <f t="shared" si="36"/>
        <v>0</v>
      </c>
      <c r="AM28" s="286">
        <v>0</v>
      </c>
      <c r="AN28" s="286">
        <f t="shared" si="55"/>
        <v>0</v>
      </c>
      <c r="AO28" s="286">
        <f t="shared" si="37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2.1.14'!I25</f>
        <v>0</v>
      </c>
      <c r="D29" s="201">
        <f>'Table 3 Levels 1&amp;2'!AL26</f>
        <v>5011.0215265979159</v>
      </c>
      <c r="E29" s="202">
        <f t="shared" si="38"/>
        <v>0</v>
      </c>
      <c r="F29" s="202">
        <f>'Table 3A Level 3'!C28</f>
        <v>688.58</v>
      </c>
      <c r="G29" s="202">
        <f t="shared" si="39"/>
        <v>0</v>
      </c>
      <c r="H29" s="345">
        <f t="shared" si="40"/>
        <v>0</v>
      </c>
      <c r="I29" s="203">
        <f>'[1]Oct midyear Madison Prep'!K26</f>
        <v>0</v>
      </c>
      <c r="J29" s="203">
        <f>'[1]Feb midyear Madison Prep'!K26</f>
        <v>0</v>
      </c>
      <c r="K29" s="204">
        <f t="shared" si="41"/>
        <v>0</v>
      </c>
      <c r="L29" s="345">
        <f t="shared" si="31"/>
        <v>0</v>
      </c>
      <c r="M29" s="286">
        <f t="shared" si="42"/>
        <v>0</v>
      </c>
      <c r="N29" s="345">
        <f t="shared" si="43"/>
        <v>0</v>
      </c>
      <c r="O29" s="410">
        <v>0</v>
      </c>
      <c r="P29" s="351">
        <f t="shared" si="32"/>
        <v>0</v>
      </c>
      <c r="Q29" s="203">
        <f>+'[2]Table 5C1A-Madison Prep'!S29+'[14]Table 5C1A-Madison Prep'!S29+(6*'[20]Table 5C1A-Madison Prep'!S29)</f>
        <v>0</v>
      </c>
      <c r="R29" s="203">
        <f t="shared" si="44"/>
        <v>0</v>
      </c>
      <c r="S29" s="351">
        <f t="shared" si="33"/>
        <v>0</v>
      </c>
      <c r="T29" s="362">
        <f t="shared" si="45"/>
        <v>0</v>
      </c>
      <c r="U29" s="287">
        <f>'[13]FY2014-15 Final'!L26</f>
        <v>3500</v>
      </c>
      <c r="V29" s="328">
        <f t="shared" si="34"/>
        <v>0</v>
      </c>
      <c r="W29" s="410">
        <f>'[1]Oct midyear Madison Prep'!E26</f>
        <v>0</v>
      </c>
      <c r="X29" s="290">
        <f t="shared" si="46"/>
        <v>0</v>
      </c>
      <c r="Y29" s="289">
        <f>'[1]Feb midyear Madison Prep'!E26</f>
        <v>0</v>
      </c>
      <c r="Z29" s="290">
        <f t="shared" si="47"/>
        <v>0</v>
      </c>
      <c r="AA29" s="288">
        <f t="shared" si="48"/>
        <v>0</v>
      </c>
      <c r="AB29" s="328">
        <f t="shared" si="49"/>
        <v>0</v>
      </c>
      <c r="AC29" s="292">
        <f t="shared" si="50"/>
        <v>0</v>
      </c>
      <c r="AD29" s="328">
        <f t="shared" si="51"/>
        <v>0</v>
      </c>
      <c r="AE29" s="290">
        <v>0</v>
      </c>
      <c r="AF29" s="328">
        <f t="shared" si="52"/>
        <v>0</v>
      </c>
      <c r="AG29" s="290">
        <f>+'[2]Table 5C1A-Madison Prep'!AI29+'[14]Table 5C1A-Madison Prep'!AI29+(6*'[20]Table 5C1A-Madison Prep'!AI29)</f>
        <v>0</v>
      </c>
      <c r="AH29" s="290">
        <f t="shared" si="53"/>
        <v>0</v>
      </c>
      <c r="AI29" s="328">
        <f t="shared" si="35"/>
        <v>0</v>
      </c>
      <c r="AJ29" s="291">
        <f t="shared" si="54"/>
        <v>0</v>
      </c>
      <c r="AK29" s="318">
        <f t="shared" si="36"/>
        <v>0</v>
      </c>
      <c r="AM29" s="286">
        <v>0</v>
      </c>
      <c r="AN29" s="286">
        <f t="shared" si="55"/>
        <v>0</v>
      </c>
      <c r="AO29" s="286">
        <f t="shared" si="37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2.1.14'!I26</f>
        <v>1</v>
      </c>
      <c r="D30" s="201">
        <f>'Table 3 Levels 1&amp;2'!AL27</f>
        <v>2611.6740361576999</v>
      </c>
      <c r="E30" s="202">
        <f t="shared" si="38"/>
        <v>2611.6740361576999</v>
      </c>
      <c r="F30" s="202">
        <f>'Table 3A Level 3'!C29</f>
        <v>854.24999999999989</v>
      </c>
      <c r="G30" s="202">
        <f t="shared" si="39"/>
        <v>854.24999999999989</v>
      </c>
      <c r="H30" s="345">
        <f t="shared" si="40"/>
        <v>3465.9240361576999</v>
      </c>
      <c r="I30" s="203">
        <f>'[1]Oct midyear Madison Prep'!K27</f>
        <v>0</v>
      </c>
      <c r="J30" s="203">
        <f>'[1]Feb midyear Madison Prep'!K27</f>
        <v>0</v>
      </c>
      <c r="K30" s="204">
        <f t="shared" si="41"/>
        <v>0</v>
      </c>
      <c r="L30" s="345">
        <f t="shared" si="31"/>
        <v>3465.9240361576999</v>
      </c>
      <c r="M30" s="286">
        <f t="shared" si="42"/>
        <v>-8.6648100903942495</v>
      </c>
      <c r="N30" s="345">
        <f t="shared" si="43"/>
        <v>3457.2592260673055</v>
      </c>
      <c r="O30" s="410">
        <v>0</v>
      </c>
      <c r="P30" s="351">
        <f t="shared" si="32"/>
        <v>3457.2592260673055</v>
      </c>
      <c r="Q30" s="203">
        <f>+'[2]Table 5C1A-Madison Prep'!S30+'[14]Table 5C1A-Madison Prep'!S30+(6*'[20]Table 5C1A-Madison Prep'!S30)</f>
        <v>228</v>
      </c>
      <c r="R30" s="203">
        <f t="shared" si="44"/>
        <v>3229.2592260673055</v>
      </c>
      <c r="S30" s="351">
        <f t="shared" si="33"/>
        <v>807</v>
      </c>
      <c r="T30" s="362">
        <f t="shared" si="45"/>
        <v>3457.2592260673055</v>
      </c>
      <c r="U30" s="287">
        <f>'[13]FY2014-15 Final'!L27</f>
        <v>11051</v>
      </c>
      <c r="V30" s="328">
        <f t="shared" si="34"/>
        <v>11051</v>
      </c>
      <c r="W30" s="410">
        <f>'[1]Oct midyear Madison Prep'!E27</f>
        <v>0</v>
      </c>
      <c r="X30" s="290">
        <f t="shared" si="46"/>
        <v>0</v>
      </c>
      <c r="Y30" s="289">
        <f>'[1]Feb midyear Madison Prep'!E27</f>
        <v>0</v>
      </c>
      <c r="Z30" s="290">
        <f t="shared" si="47"/>
        <v>0</v>
      </c>
      <c r="AA30" s="288">
        <f t="shared" si="48"/>
        <v>0</v>
      </c>
      <c r="AB30" s="328">
        <f t="shared" si="49"/>
        <v>11051</v>
      </c>
      <c r="AC30" s="292">
        <f t="shared" si="50"/>
        <v>-27.627500000000001</v>
      </c>
      <c r="AD30" s="328">
        <f t="shared" si="51"/>
        <v>11023.372499999999</v>
      </c>
      <c r="AE30" s="290">
        <v>0</v>
      </c>
      <c r="AF30" s="328">
        <f t="shared" si="52"/>
        <v>11023.372499999999</v>
      </c>
      <c r="AG30" s="290">
        <f>+'[2]Table 5C1A-Madison Prep'!AI30+'[14]Table 5C1A-Madison Prep'!AI30+(6*'[20]Table 5C1A-Madison Prep'!AI30)</f>
        <v>670</v>
      </c>
      <c r="AH30" s="290">
        <f t="shared" si="53"/>
        <v>10353.372499999999</v>
      </c>
      <c r="AI30" s="328">
        <f t="shared" si="35"/>
        <v>2588</v>
      </c>
      <c r="AJ30" s="291">
        <f t="shared" si="54"/>
        <v>14480.631726067306</v>
      </c>
      <c r="AK30" s="318">
        <f t="shared" si="36"/>
        <v>3395</v>
      </c>
      <c r="AM30" s="286">
        <v>-25.1325</v>
      </c>
      <c r="AN30" s="286">
        <f t="shared" si="55"/>
        <v>-27.627500000000001</v>
      </c>
      <c r="AO30" s="286">
        <f t="shared" si="37"/>
        <v>-2.495000000000001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2.1.14'!I27</f>
        <v>0</v>
      </c>
      <c r="D31" s="194">
        <f>'Table 3 Levels 1&amp;2'!AL28</f>
        <v>4173.0720274945697</v>
      </c>
      <c r="E31" s="195">
        <f t="shared" si="38"/>
        <v>0</v>
      </c>
      <c r="F31" s="195">
        <f>'Table 3A Level 3'!C30</f>
        <v>653.73</v>
      </c>
      <c r="G31" s="195">
        <f t="shared" si="39"/>
        <v>0</v>
      </c>
      <c r="H31" s="346">
        <f t="shared" si="40"/>
        <v>0</v>
      </c>
      <c r="I31" s="196">
        <f>'[1]Oct midyear Madison Prep'!K28</f>
        <v>0</v>
      </c>
      <c r="J31" s="196">
        <f>'[1]Feb midyear Madison Prep'!K28</f>
        <v>0</v>
      </c>
      <c r="K31" s="197">
        <f t="shared" si="41"/>
        <v>0</v>
      </c>
      <c r="L31" s="346">
        <f t="shared" si="31"/>
        <v>0</v>
      </c>
      <c r="M31" s="296">
        <f t="shared" si="42"/>
        <v>0</v>
      </c>
      <c r="N31" s="346">
        <f t="shared" si="43"/>
        <v>0</v>
      </c>
      <c r="O31" s="411">
        <v>0</v>
      </c>
      <c r="P31" s="352">
        <f t="shared" si="32"/>
        <v>0</v>
      </c>
      <c r="Q31" s="622">
        <f>+'[2]Table 5C1A-Madison Prep'!S31+'[14]Table 5C1A-Madison Prep'!S31+(6*'[20]Table 5C1A-Madison Prep'!S31)</f>
        <v>0</v>
      </c>
      <c r="R31" s="196">
        <f t="shared" si="44"/>
        <v>0</v>
      </c>
      <c r="S31" s="356">
        <f t="shared" si="33"/>
        <v>0</v>
      </c>
      <c r="T31" s="356">
        <f t="shared" si="45"/>
        <v>0</v>
      </c>
      <c r="U31" s="281">
        <f>'[13]FY2014-15 Final'!L28</f>
        <v>5156</v>
      </c>
      <c r="V31" s="329">
        <f t="shared" si="34"/>
        <v>0</v>
      </c>
      <c r="W31" s="411">
        <f>'[1]Oct midyear Madison Prep'!E28</f>
        <v>0</v>
      </c>
      <c r="X31" s="282">
        <f t="shared" si="46"/>
        <v>0</v>
      </c>
      <c r="Y31" s="884">
        <f>'[1]Feb midyear Madison Prep'!E28</f>
        <v>0</v>
      </c>
      <c r="Z31" s="282">
        <f t="shared" si="47"/>
        <v>0</v>
      </c>
      <c r="AA31" s="283">
        <f t="shared" si="48"/>
        <v>0</v>
      </c>
      <c r="AB31" s="329">
        <f t="shared" si="49"/>
        <v>0</v>
      </c>
      <c r="AC31" s="298">
        <f t="shared" si="50"/>
        <v>0</v>
      </c>
      <c r="AD31" s="329">
        <f t="shared" si="51"/>
        <v>0</v>
      </c>
      <c r="AE31" s="282">
        <v>0</v>
      </c>
      <c r="AF31" s="329">
        <f t="shared" si="52"/>
        <v>0</v>
      </c>
      <c r="AG31" s="282">
        <f>+'[2]Table 5C1A-Madison Prep'!AI31+'[14]Table 5C1A-Madison Prep'!AI31+(6*'[20]Table 5C1A-Madison Prep'!AI31)</f>
        <v>0</v>
      </c>
      <c r="AH31" s="282">
        <f t="shared" si="53"/>
        <v>0</v>
      </c>
      <c r="AI31" s="329">
        <f t="shared" si="35"/>
        <v>0</v>
      </c>
      <c r="AJ31" s="297">
        <f t="shared" si="54"/>
        <v>0</v>
      </c>
      <c r="AK31" s="319">
        <f t="shared" si="36"/>
        <v>0</v>
      </c>
      <c r="AM31" s="296">
        <v>0</v>
      </c>
      <c r="AN31" s="296">
        <f t="shared" si="55"/>
        <v>0</v>
      </c>
      <c r="AO31" s="296">
        <f t="shared" si="37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2.1.14'!I28</f>
        <v>0</v>
      </c>
      <c r="D32" s="208">
        <f>'Table 3 Levels 1&amp;2'!AL29</f>
        <v>3424.5649970570835</v>
      </c>
      <c r="E32" s="209">
        <f t="shared" si="38"/>
        <v>0</v>
      </c>
      <c r="F32" s="209">
        <f>'Table 3A Level 3'!C31</f>
        <v>836.83</v>
      </c>
      <c r="G32" s="209">
        <f t="shared" si="39"/>
        <v>0</v>
      </c>
      <c r="H32" s="344">
        <f t="shared" si="40"/>
        <v>0</v>
      </c>
      <c r="I32" s="210">
        <f>'[1]Oct midyear Madison Prep'!K29</f>
        <v>0</v>
      </c>
      <c r="J32" s="210">
        <f>'[1]Feb midyear Madison Prep'!K29</f>
        <v>0</v>
      </c>
      <c r="K32" s="211">
        <f t="shared" si="41"/>
        <v>0</v>
      </c>
      <c r="L32" s="344">
        <f t="shared" si="31"/>
        <v>0</v>
      </c>
      <c r="M32" s="273">
        <f t="shared" si="42"/>
        <v>0</v>
      </c>
      <c r="N32" s="344">
        <f t="shared" si="43"/>
        <v>0</v>
      </c>
      <c r="O32" s="409">
        <v>0</v>
      </c>
      <c r="P32" s="350">
        <f t="shared" si="32"/>
        <v>0</v>
      </c>
      <c r="Q32" s="210">
        <f>+'[2]Table 5C1A-Madison Prep'!S32+'[14]Table 5C1A-Madison Prep'!S32+(6*'[20]Table 5C1A-Madison Prep'!S32)</f>
        <v>0</v>
      </c>
      <c r="R32" s="210">
        <f t="shared" si="44"/>
        <v>0</v>
      </c>
      <c r="S32" s="350">
        <f t="shared" si="33"/>
        <v>0</v>
      </c>
      <c r="T32" s="361">
        <f t="shared" si="45"/>
        <v>0</v>
      </c>
      <c r="U32" s="274">
        <f>'[13]FY2014-15 Final'!L29</f>
        <v>5153</v>
      </c>
      <c r="V32" s="327">
        <f t="shared" si="34"/>
        <v>0</v>
      </c>
      <c r="W32" s="409">
        <f>'[1]Oct midyear Madison Prep'!E29</f>
        <v>0</v>
      </c>
      <c r="X32" s="276">
        <f t="shared" si="46"/>
        <v>0</v>
      </c>
      <c r="Y32" s="883">
        <f>'[1]Feb midyear Madison Prep'!E29</f>
        <v>0</v>
      </c>
      <c r="Z32" s="276">
        <f t="shared" si="47"/>
        <v>0</v>
      </c>
      <c r="AA32" s="275">
        <f t="shared" si="48"/>
        <v>0</v>
      </c>
      <c r="AB32" s="327">
        <f t="shared" si="49"/>
        <v>0</v>
      </c>
      <c r="AC32" s="278">
        <f t="shared" si="50"/>
        <v>0</v>
      </c>
      <c r="AD32" s="327">
        <f t="shared" si="51"/>
        <v>0</v>
      </c>
      <c r="AE32" s="276">
        <v>0</v>
      </c>
      <c r="AF32" s="327">
        <f t="shared" si="52"/>
        <v>0</v>
      </c>
      <c r="AG32" s="276">
        <f>+'[2]Table 5C1A-Madison Prep'!AI32+'[14]Table 5C1A-Madison Prep'!AI32+(6*'[20]Table 5C1A-Madison Prep'!AI32)</f>
        <v>0</v>
      </c>
      <c r="AH32" s="276">
        <f t="shared" si="53"/>
        <v>0</v>
      </c>
      <c r="AI32" s="327">
        <f t="shared" si="35"/>
        <v>0</v>
      </c>
      <c r="AJ32" s="277">
        <f t="shared" si="54"/>
        <v>0</v>
      </c>
      <c r="AK32" s="317">
        <f t="shared" si="36"/>
        <v>0</v>
      </c>
      <c r="AM32" s="273">
        <v>0</v>
      </c>
      <c r="AN32" s="273">
        <f t="shared" si="55"/>
        <v>0</v>
      </c>
      <c r="AO32" s="273">
        <f t="shared" si="37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2.1.14'!I29</f>
        <v>0</v>
      </c>
      <c r="D33" s="201">
        <f>'Table 3 Levels 1&amp;2'!AL30</f>
        <v>5804.9013839977006</v>
      </c>
      <c r="E33" s="202">
        <f t="shared" si="38"/>
        <v>0</v>
      </c>
      <c r="F33" s="202">
        <f>'Table 3A Level 3'!C32</f>
        <v>693.06</v>
      </c>
      <c r="G33" s="202">
        <f t="shared" si="39"/>
        <v>0</v>
      </c>
      <c r="H33" s="345">
        <f t="shared" si="40"/>
        <v>0</v>
      </c>
      <c r="I33" s="203">
        <f>'[1]Oct midyear Madison Prep'!K30</f>
        <v>0</v>
      </c>
      <c r="J33" s="203">
        <f>'[1]Feb midyear Madison Prep'!K30</f>
        <v>0</v>
      </c>
      <c r="K33" s="204">
        <f t="shared" si="41"/>
        <v>0</v>
      </c>
      <c r="L33" s="345">
        <f t="shared" si="31"/>
        <v>0</v>
      </c>
      <c r="M33" s="286">
        <f t="shared" si="42"/>
        <v>0</v>
      </c>
      <c r="N33" s="345">
        <f t="shared" si="43"/>
        <v>0</v>
      </c>
      <c r="O33" s="410">
        <v>0</v>
      </c>
      <c r="P33" s="351">
        <f t="shared" si="32"/>
        <v>0</v>
      </c>
      <c r="Q33" s="203">
        <f>+'[2]Table 5C1A-Madison Prep'!S33+'[14]Table 5C1A-Madison Prep'!S33+(6*'[20]Table 5C1A-Madison Prep'!S33)</f>
        <v>0</v>
      </c>
      <c r="R33" s="203">
        <f t="shared" si="44"/>
        <v>0</v>
      </c>
      <c r="S33" s="351">
        <f t="shared" si="33"/>
        <v>0</v>
      </c>
      <c r="T33" s="362">
        <f t="shared" si="45"/>
        <v>0</v>
      </c>
      <c r="U33" s="287">
        <f>'[13]FY2014-15 Final'!L30</f>
        <v>3225</v>
      </c>
      <c r="V33" s="328">
        <f t="shared" si="34"/>
        <v>0</v>
      </c>
      <c r="W33" s="410">
        <f>'[1]Oct midyear Madison Prep'!E30</f>
        <v>0</v>
      </c>
      <c r="X33" s="290">
        <f t="shared" si="46"/>
        <v>0</v>
      </c>
      <c r="Y33" s="289">
        <f>'[1]Feb midyear Madison Prep'!E30</f>
        <v>0</v>
      </c>
      <c r="Z33" s="290">
        <f t="shared" si="47"/>
        <v>0</v>
      </c>
      <c r="AA33" s="288">
        <f t="shared" si="48"/>
        <v>0</v>
      </c>
      <c r="AB33" s="328">
        <f t="shared" si="49"/>
        <v>0</v>
      </c>
      <c r="AC33" s="292">
        <f t="shared" si="50"/>
        <v>0</v>
      </c>
      <c r="AD33" s="328">
        <f t="shared" si="51"/>
        <v>0</v>
      </c>
      <c r="AE33" s="290">
        <v>0</v>
      </c>
      <c r="AF33" s="328">
        <f t="shared" si="52"/>
        <v>0</v>
      </c>
      <c r="AG33" s="290">
        <f>+'[2]Table 5C1A-Madison Prep'!AI33+'[14]Table 5C1A-Madison Prep'!AI33+(6*'[20]Table 5C1A-Madison Prep'!AI33)</f>
        <v>0</v>
      </c>
      <c r="AH33" s="290">
        <f t="shared" si="53"/>
        <v>0</v>
      </c>
      <c r="AI33" s="328">
        <f t="shared" si="35"/>
        <v>0</v>
      </c>
      <c r="AJ33" s="291">
        <f t="shared" si="54"/>
        <v>0</v>
      </c>
      <c r="AK33" s="318">
        <f t="shared" si="36"/>
        <v>0</v>
      </c>
      <c r="AM33" s="286">
        <v>0</v>
      </c>
      <c r="AN33" s="286">
        <f t="shared" si="55"/>
        <v>0</v>
      </c>
      <c r="AO33" s="286">
        <f t="shared" si="37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2.1.14'!I30</f>
        <v>0</v>
      </c>
      <c r="D34" s="201">
        <f>'Table 3 Levels 1&amp;2'!AL31</f>
        <v>3137.4158846568821</v>
      </c>
      <c r="E34" s="202">
        <f t="shared" si="38"/>
        <v>0</v>
      </c>
      <c r="F34" s="202">
        <f>'Table 3A Level 3'!C33</f>
        <v>694.4</v>
      </c>
      <c r="G34" s="202">
        <f t="shared" si="39"/>
        <v>0</v>
      </c>
      <c r="H34" s="345">
        <f t="shared" si="40"/>
        <v>0</v>
      </c>
      <c r="I34" s="203">
        <f>'[1]Oct midyear Madison Prep'!K31</f>
        <v>0</v>
      </c>
      <c r="J34" s="203">
        <f>'[1]Feb midyear Madison Prep'!K31</f>
        <v>0</v>
      </c>
      <c r="K34" s="204">
        <f t="shared" si="41"/>
        <v>0</v>
      </c>
      <c r="L34" s="345">
        <f t="shared" si="31"/>
        <v>0</v>
      </c>
      <c r="M34" s="286">
        <f t="shared" si="42"/>
        <v>0</v>
      </c>
      <c r="N34" s="345">
        <f t="shared" si="43"/>
        <v>0</v>
      </c>
      <c r="O34" s="410">
        <v>0</v>
      </c>
      <c r="P34" s="351">
        <f t="shared" si="32"/>
        <v>0</v>
      </c>
      <c r="Q34" s="203">
        <f>+'[2]Table 5C1A-Madison Prep'!S34+'[14]Table 5C1A-Madison Prep'!S34+(6*'[20]Table 5C1A-Madison Prep'!S34)</f>
        <v>0</v>
      </c>
      <c r="R34" s="203">
        <f t="shared" si="44"/>
        <v>0</v>
      </c>
      <c r="S34" s="351">
        <f t="shared" si="33"/>
        <v>0</v>
      </c>
      <c r="T34" s="362">
        <f t="shared" si="45"/>
        <v>0</v>
      </c>
      <c r="U34" s="287">
        <f>'[13]FY2014-15 Final'!L31</f>
        <v>5816</v>
      </c>
      <c r="V34" s="328">
        <f t="shared" si="34"/>
        <v>0</v>
      </c>
      <c r="W34" s="410">
        <f>'[1]Oct midyear Madison Prep'!E31</f>
        <v>0</v>
      </c>
      <c r="X34" s="290">
        <f t="shared" si="46"/>
        <v>0</v>
      </c>
      <c r="Y34" s="289">
        <f>'[1]Feb midyear Madison Prep'!E31</f>
        <v>0</v>
      </c>
      <c r="Z34" s="290">
        <f t="shared" si="47"/>
        <v>0</v>
      </c>
      <c r="AA34" s="288">
        <f t="shared" si="48"/>
        <v>0</v>
      </c>
      <c r="AB34" s="328">
        <f t="shared" si="49"/>
        <v>0</v>
      </c>
      <c r="AC34" s="292">
        <f t="shared" si="50"/>
        <v>0</v>
      </c>
      <c r="AD34" s="328">
        <f t="shared" si="51"/>
        <v>0</v>
      </c>
      <c r="AE34" s="290">
        <v>0</v>
      </c>
      <c r="AF34" s="328">
        <f t="shared" si="52"/>
        <v>0</v>
      </c>
      <c r="AG34" s="290">
        <f>+'[2]Table 5C1A-Madison Prep'!AI34+'[14]Table 5C1A-Madison Prep'!AI34+(6*'[20]Table 5C1A-Madison Prep'!AI34)</f>
        <v>0</v>
      </c>
      <c r="AH34" s="290">
        <f t="shared" si="53"/>
        <v>0</v>
      </c>
      <c r="AI34" s="328">
        <f t="shared" si="35"/>
        <v>0</v>
      </c>
      <c r="AJ34" s="291">
        <f t="shared" si="54"/>
        <v>0</v>
      </c>
      <c r="AK34" s="318">
        <f t="shared" si="36"/>
        <v>0</v>
      </c>
      <c r="AM34" s="286">
        <v>0</v>
      </c>
      <c r="AN34" s="286">
        <f t="shared" si="55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2.1.14'!I31</f>
        <v>0</v>
      </c>
      <c r="D35" s="201">
        <f>'Table 3 Levels 1&amp;2'!AL32</f>
        <v>3839.0123210173724</v>
      </c>
      <c r="E35" s="202">
        <f t="shared" si="38"/>
        <v>0</v>
      </c>
      <c r="F35" s="202">
        <f>'Table 3A Level 3'!C34</f>
        <v>754.94999999999993</v>
      </c>
      <c r="G35" s="202">
        <f t="shared" si="39"/>
        <v>0</v>
      </c>
      <c r="H35" s="345">
        <f t="shared" si="40"/>
        <v>0</v>
      </c>
      <c r="I35" s="203">
        <f>'[1]Oct midyear Madison Prep'!K32</f>
        <v>0</v>
      </c>
      <c r="J35" s="203">
        <f>'[1]Feb midyear Madison Prep'!K32</f>
        <v>0</v>
      </c>
      <c r="K35" s="204">
        <f t="shared" si="41"/>
        <v>0</v>
      </c>
      <c r="L35" s="345">
        <f t="shared" si="31"/>
        <v>0</v>
      </c>
      <c r="M35" s="286">
        <f t="shared" si="42"/>
        <v>0</v>
      </c>
      <c r="N35" s="345">
        <f t="shared" si="43"/>
        <v>0</v>
      </c>
      <c r="O35" s="410">
        <v>0</v>
      </c>
      <c r="P35" s="351">
        <f t="shared" si="32"/>
        <v>0</v>
      </c>
      <c r="Q35" s="203">
        <f>+'[2]Table 5C1A-Madison Prep'!S35+'[14]Table 5C1A-Madison Prep'!S35+(6*'[20]Table 5C1A-Madison Prep'!S35)</f>
        <v>0</v>
      </c>
      <c r="R35" s="203">
        <f t="shared" si="44"/>
        <v>0</v>
      </c>
      <c r="S35" s="351">
        <f t="shared" si="33"/>
        <v>0</v>
      </c>
      <c r="T35" s="362">
        <f t="shared" si="45"/>
        <v>0</v>
      </c>
      <c r="U35" s="287">
        <f>'[13]FY2014-15 Final'!L32</f>
        <v>5046</v>
      </c>
      <c r="V35" s="328">
        <f t="shared" si="34"/>
        <v>0</v>
      </c>
      <c r="W35" s="410">
        <f>'[1]Oct midyear Madison Prep'!E32</f>
        <v>0</v>
      </c>
      <c r="X35" s="290">
        <f t="shared" si="46"/>
        <v>0</v>
      </c>
      <c r="Y35" s="289">
        <f>'[1]Feb midyear Madison Prep'!E32</f>
        <v>0</v>
      </c>
      <c r="Z35" s="290">
        <f t="shared" si="47"/>
        <v>0</v>
      </c>
      <c r="AA35" s="288">
        <f t="shared" si="48"/>
        <v>0</v>
      </c>
      <c r="AB35" s="328">
        <f t="shared" si="49"/>
        <v>0</v>
      </c>
      <c r="AC35" s="292">
        <f t="shared" si="50"/>
        <v>0</v>
      </c>
      <c r="AD35" s="328">
        <f t="shared" si="51"/>
        <v>0</v>
      </c>
      <c r="AE35" s="290">
        <v>0</v>
      </c>
      <c r="AF35" s="328">
        <f t="shared" si="52"/>
        <v>0</v>
      </c>
      <c r="AG35" s="290">
        <f>+'[2]Table 5C1A-Madison Prep'!AI35+'[14]Table 5C1A-Madison Prep'!AI35+(6*'[20]Table 5C1A-Madison Prep'!AI35)</f>
        <v>0</v>
      </c>
      <c r="AH35" s="290">
        <f t="shared" si="53"/>
        <v>0</v>
      </c>
      <c r="AI35" s="328">
        <f t="shared" si="35"/>
        <v>0</v>
      </c>
      <c r="AJ35" s="291">
        <f t="shared" si="54"/>
        <v>0</v>
      </c>
      <c r="AK35" s="318">
        <f t="shared" si="36"/>
        <v>0</v>
      </c>
      <c r="AM35" s="286">
        <v>0</v>
      </c>
      <c r="AN35" s="286">
        <f t="shared" si="55"/>
        <v>0</v>
      </c>
      <c r="AO35" s="286">
        <f t="shared" ref="AO35:AO75" si="56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2.1.14'!I32</f>
        <v>0</v>
      </c>
      <c r="D36" s="194">
        <f>'Table 3 Levels 1&amp;2'!AL33</f>
        <v>5804.5327273996763</v>
      </c>
      <c r="E36" s="195">
        <f t="shared" si="38"/>
        <v>0</v>
      </c>
      <c r="F36" s="195">
        <f>'Table 3A Level 3'!C35</f>
        <v>727.17</v>
      </c>
      <c r="G36" s="195">
        <f t="shared" si="39"/>
        <v>0</v>
      </c>
      <c r="H36" s="346">
        <f t="shared" si="40"/>
        <v>0</v>
      </c>
      <c r="I36" s="196">
        <f>'[1]Oct midyear Madison Prep'!K33</f>
        <v>0</v>
      </c>
      <c r="J36" s="196">
        <f>'[1]Feb midyear Madison Prep'!K33</f>
        <v>0</v>
      </c>
      <c r="K36" s="197">
        <f t="shared" si="41"/>
        <v>0</v>
      </c>
      <c r="L36" s="346">
        <f t="shared" si="31"/>
        <v>0</v>
      </c>
      <c r="M36" s="296">
        <f t="shared" si="42"/>
        <v>0</v>
      </c>
      <c r="N36" s="346">
        <f t="shared" si="43"/>
        <v>0</v>
      </c>
      <c r="O36" s="411">
        <v>0</v>
      </c>
      <c r="P36" s="352">
        <f t="shared" si="32"/>
        <v>0</v>
      </c>
      <c r="Q36" s="622">
        <f>+'[2]Table 5C1A-Madison Prep'!S36+'[14]Table 5C1A-Madison Prep'!S36+(6*'[20]Table 5C1A-Madison Prep'!S36)</f>
        <v>0</v>
      </c>
      <c r="R36" s="196">
        <f t="shared" si="44"/>
        <v>0</v>
      </c>
      <c r="S36" s="356">
        <f t="shared" si="33"/>
        <v>0</v>
      </c>
      <c r="T36" s="356">
        <f t="shared" si="45"/>
        <v>0</v>
      </c>
      <c r="U36" s="281">
        <f>'[13]FY2014-15 Final'!L33</f>
        <v>3999</v>
      </c>
      <c r="V36" s="329">
        <f t="shared" si="34"/>
        <v>0</v>
      </c>
      <c r="W36" s="411">
        <f>'[1]Oct midyear Madison Prep'!E33</f>
        <v>0</v>
      </c>
      <c r="X36" s="282">
        <f t="shared" si="46"/>
        <v>0</v>
      </c>
      <c r="Y36" s="884">
        <f>'[1]Feb midyear Madison Prep'!E33</f>
        <v>0</v>
      </c>
      <c r="Z36" s="282">
        <f t="shared" si="47"/>
        <v>0</v>
      </c>
      <c r="AA36" s="283">
        <f t="shared" si="48"/>
        <v>0</v>
      </c>
      <c r="AB36" s="329">
        <f t="shared" si="49"/>
        <v>0</v>
      </c>
      <c r="AC36" s="298">
        <f t="shared" si="50"/>
        <v>0</v>
      </c>
      <c r="AD36" s="329">
        <f t="shared" si="51"/>
        <v>0</v>
      </c>
      <c r="AE36" s="282">
        <v>0</v>
      </c>
      <c r="AF36" s="329">
        <f t="shared" si="52"/>
        <v>0</v>
      </c>
      <c r="AG36" s="282">
        <f>+'[2]Table 5C1A-Madison Prep'!AI36+'[14]Table 5C1A-Madison Prep'!AI36+(6*'[20]Table 5C1A-Madison Prep'!AI36)</f>
        <v>0</v>
      </c>
      <c r="AH36" s="282">
        <f t="shared" si="53"/>
        <v>0</v>
      </c>
      <c r="AI36" s="329">
        <f t="shared" si="35"/>
        <v>0</v>
      </c>
      <c r="AJ36" s="297">
        <f t="shared" si="54"/>
        <v>0</v>
      </c>
      <c r="AK36" s="319">
        <f t="shared" si="36"/>
        <v>0</v>
      </c>
      <c r="AM36" s="296">
        <v>0</v>
      </c>
      <c r="AN36" s="296">
        <f t="shared" si="55"/>
        <v>0</v>
      </c>
      <c r="AO36" s="296">
        <f t="shared" si="56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2.1.14'!I33</f>
        <v>0</v>
      </c>
      <c r="D37" s="208">
        <f>'Table 3 Levels 1&amp;2'!AL34</f>
        <v>4520.6176716868531</v>
      </c>
      <c r="E37" s="209">
        <f t="shared" si="38"/>
        <v>0</v>
      </c>
      <c r="F37" s="209">
        <f>'Table 3A Level 3'!C36</f>
        <v>620.83000000000004</v>
      </c>
      <c r="G37" s="209">
        <f t="shared" si="39"/>
        <v>0</v>
      </c>
      <c r="H37" s="344">
        <f t="shared" si="40"/>
        <v>0</v>
      </c>
      <c r="I37" s="210">
        <f>'[1]Oct midyear Madison Prep'!K34</f>
        <v>0</v>
      </c>
      <c r="J37" s="210">
        <f>'[1]Feb midyear Madison Prep'!K34</f>
        <v>0</v>
      </c>
      <c r="K37" s="211">
        <f t="shared" si="41"/>
        <v>0</v>
      </c>
      <c r="L37" s="344">
        <f t="shared" si="31"/>
        <v>0</v>
      </c>
      <c r="M37" s="273">
        <f t="shared" si="42"/>
        <v>0</v>
      </c>
      <c r="N37" s="344">
        <f t="shared" si="43"/>
        <v>0</v>
      </c>
      <c r="O37" s="409">
        <v>0</v>
      </c>
      <c r="P37" s="350">
        <f t="shared" si="32"/>
        <v>0</v>
      </c>
      <c r="Q37" s="210">
        <f>+'[2]Table 5C1A-Madison Prep'!S37+'[14]Table 5C1A-Madison Prep'!S37+(6*'[20]Table 5C1A-Madison Prep'!S37)</f>
        <v>0</v>
      </c>
      <c r="R37" s="210">
        <f t="shared" si="44"/>
        <v>0</v>
      </c>
      <c r="S37" s="350">
        <f t="shared" si="33"/>
        <v>0</v>
      </c>
      <c r="T37" s="361">
        <f t="shared" si="45"/>
        <v>0</v>
      </c>
      <c r="U37" s="274">
        <f>'[13]FY2014-15 Final'!L34</f>
        <v>5028</v>
      </c>
      <c r="V37" s="327">
        <f t="shared" si="34"/>
        <v>0</v>
      </c>
      <c r="W37" s="409">
        <f>'[1]Oct midyear Madison Prep'!E34</f>
        <v>0</v>
      </c>
      <c r="X37" s="276">
        <f t="shared" si="46"/>
        <v>0</v>
      </c>
      <c r="Y37" s="883">
        <f>'[1]Feb midyear Madison Prep'!E34</f>
        <v>0</v>
      </c>
      <c r="Z37" s="276">
        <f t="shared" si="47"/>
        <v>0</v>
      </c>
      <c r="AA37" s="275">
        <f t="shared" si="48"/>
        <v>0</v>
      </c>
      <c r="AB37" s="327">
        <f t="shared" si="49"/>
        <v>0</v>
      </c>
      <c r="AC37" s="278">
        <f t="shared" si="50"/>
        <v>0</v>
      </c>
      <c r="AD37" s="327">
        <f t="shared" si="51"/>
        <v>0</v>
      </c>
      <c r="AE37" s="276">
        <v>0</v>
      </c>
      <c r="AF37" s="327">
        <f t="shared" si="52"/>
        <v>0</v>
      </c>
      <c r="AG37" s="276">
        <f>+'[2]Table 5C1A-Madison Prep'!AI37+'[14]Table 5C1A-Madison Prep'!AI37+(6*'[20]Table 5C1A-Madison Prep'!AI37)</f>
        <v>0</v>
      </c>
      <c r="AH37" s="276">
        <f t="shared" si="53"/>
        <v>0</v>
      </c>
      <c r="AI37" s="327">
        <f t="shared" si="35"/>
        <v>0</v>
      </c>
      <c r="AJ37" s="277">
        <f t="shared" si="54"/>
        <v>0</v>
      </c>
      <c r="AK37" s="317">
        <f t="shared" si="36"/>
        <v>0</v>
      </c>
      <c r="AM37" s="273">
        <v>0</v>
      </c>
      <c r="AN37" s="273">
        <f t="shared" si="55"/>
        <v>0</v>
      </c>
      <c r="AO37" s="273">
        <f t="shared" si="56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2.1.14'!I34</f>
        <v>0</v>
      </c>
      <c r="D38" s="201">
        <f>'Table 3 Levels 1&amp;2'!AL35</f>
        <v>5652.819189061127</v>
      </c>
      <c r="E38" s="202">
        <f t="shared" si="38"/>
        <v>0</v>
      </c>
      <c r="F38" s="202">
        <f>'Table 3A Level 3'!C37</f>
        <v>559.77</v>
      </c>
      <c r="G38" s="202">
        <f t="shared" si="39"/>
        <v>0</v>
      </c>
      <c r="H38" s="345">
        <f t="shared" si="40"/>
        <v>0</v>
      </c>
      <c r="I38" s="203">
        <f>'[1]Oct midyear Madison Prep'!K35</f>
        <v>0</v>
      </c>
      <c r="J38" s="203">
        <f>'[1]Feb midyear Madison Prep'!K35</f>
        <v>0</v>
      </c>
      <c r="K38" s="204">
        <f t="shared" si="41"/>
        <v>0</v>
      </c>
      <c r="L38" s="345">
        <f t="shared" si="31"/>
        <v>0</v>
      </c>
      <c r="M38" s="286">
        <f t="shared" si="42"/>
        <v>0</v>
      </c>
      <c r="N38" s="345">
        <f t="shared" si="43"/>
        <v>0</v>
      </c>
      <c r="O38" s="410">
        <v>0</v>
      </c>
      <c r="P38" s="351">
        <f t="shared" si="32"/>
        <v>0</v>
      </c>
      <c r="Q38" s="203">
        <f>+'[2]Table 5C1A-Madison Prep'!S38+'[14]Table 5C1A-Madison Prep'!S38+(6*'[20]Table 5C1A-Madison Prep'!S38)</f>
        <v>0</v>
      </c>
      <c r="R38" s="203">
        <f t="shared" si="44"/>
        <v>0</v>
      </c>
      <c r="S38" s="351">
        <f t="shared" si="33"/>
        <v>0</v>
      </c>
      <c r="T38" s="362">
        <f t="shared" si="45"/>
        <v>0</v>
      </c>
      <c r="U38" s="287">
        <f>'[13]FY2014-15 Final'!L35</f>
        <v>2139</v>
      </c>
      <c r="V38" s="328">
        <f t="shared" si="34"/>
        <v>0</v>
      </c>
      <c r="W38" s="410">
        <f>'[1]Oct midyear Madison Prep'!E35</f>
        <v>0</v>
      </c>
      <c r="X38" s="290">
        <f t="shared" si="46"/>
        <v>0</v>
      </c>
      <c r="Y38" s="289">
        <f>'[1]Feb midyear Madison Prep'!E35</f>
        <v>0</v>
      </c>
      <c r="Z38" s="290">
        <f t="shared" si="47"/>
        <v>0</v>
      </c>
      <c r="AA38" s="288">
        <f t="shared" si="48"/>
        <v>0</v>
      </c>
      <c r="AB38" s="328">
        <f t="shared" si="49"/>
        <v>0</v>
      </c>
      <c r="AC38" s="292">
        <f t="shared" si="50"/>
        <v>0</v>
      </c>
      <c r="AD38" s="328">
        <f t="shared" si="51"/>
        <v>0</v>
      </c>
      <c r="AE38" s="290">
        <v>0</v>
      </c>
      <c r="AF38" s="328">
        <f t="shared" si="52"/>
        <v>0</v>
      </c>
      <c r="AG38" s="290">
        <f>+'[2]Table 5C1A-Madison Prep'!AI38+'[14]Table 5C1A-Madison Prep'!AI38+(6*'[20]Table 5C1A-Madison Prep'!AI38)</f>
        <v>0</v>
      </c>
      <c r="AH38" s="290">
        <f t="shared" si="53"/>
        <v>0</v>
      </c>
      <c r="AI38" s="328">
        <f t="shared" si="35"/>
        <v>0</v>
      </c>
      <c r="AJ38" s="291">
        <f t="shared" si="54"/>
        <v>0</v>
      </c>
      <c r="AK38" s="318">
        <f t="shared" si="36"/>
        <v>0</v>
      </c>
      <c r="AM38" s="286">
        <v>0</v>
      </c>
      <c r="AN38" s="286">
        <f t="shared" si="55"/>
        <v>0</v>
      </c>
      <c r="AO38" s="286">
        <f t="shared" si="56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2.1.14'!I35</f>
        <v>0</v>
      </c>
      <c r="D39" s="201">
        <f>'Table 3 Levels 1&amp;2'!AL36</f>
        <v>5456.2254558085233</v>
      </c>
      <c r="E39" s="202">
        <f t="shared" si="38"/>
        <v>0</v>
      </c>
      <c r="F39" s="202">
        <f>'Table 3A Level 3'!C38</f>
        <v>655.31000000000006</v>
      </c>
      <c r="G39" s="202">
        <f t="shared" si="39"/>
        <v>0</v>
      </c>
      <c r="H39" s="345">
        <f t="shared" si="40"/>
        <v>0</v>
      </c>
      <c r="I39" s="203">
        <f>'[1]Oct midyear Madison Prep'!K36</f>
        <v>0</v>
      </c>
      <c r="J39" s="203">
        <f>'[1]Feb midyear Madison Prep'!K36</f>
        <v>0</v>
      </c>
      <c r="K39" s="204">
        <f t="shared" si="41"/>
        <v>0</v>
      </c>
      <c r="L39" s="345">
        <f t="shared" ref="L39:L70" si="57">K39+H39</f>
        <v>0</v>
      </c>
      <c r="M39" s="286">
        <f t="shared" si="42"/>
        <v>0</v>
      </c>
      <c r="N39" s="345">
        <f t="shared" si="43"/>
        <v>0</v>
      </c>
      <c r="O39" s="410">
        <v>0</v>
      </c>
      <c r="P39" s="351">
        <f t="shared" ref="P39:P70" si="58">SUM(N39:O39)</f>
        <v>0</v>
      </c>
      <c r="Q39" s="203">
        <f>+'[2]Table 5C1A-Madison Prep'!S39+'[14]Table 5C1A-Madison Prep'!S39+(6*'[20]Table 5C1A-Madison Prep'!S39)</f>
        <v>0</v>
      </c>
      <c r="R39" s="203">
        <f t="shared" si="44"/>
        <v>0</v>
      </c>
      <c r="S39" s="351">
        <f t="shared" ref="S39:S70" si="59">ROUND(R39/$S$88,0)</f>
        <v>0</v>
      </c>
      <c r="T39" s="362">
        <f t="shared" si="45"/>
        <v>0</v>
      </c>
      <c r="U39" s="287">
        <f>'[13]FY2014-15 Final'!L36</f>
        <v>3784</v>
      </c>
      <c r="V39" s="328">
        <f t="shared" ref="V39:V70" si="60">C39*U39</f>
        <v>0</v>
      </c>
      <c r="W39" s="410">
        <f>'[1]Oct midyear Madison Prep'!E36</f>
        <v>0</v>
      </c>
      <c r="X39" s="290">
        <f t="shared" si="46"/>
        <v>0</v>
      </c>
      <c r="Y39" s="289">
        <f>'[1]Feb midyear Madison Prep'!E36</f>
        <v>0</v>
      </c>
      <c r="Z39" s="290">
        <f t="shared" si="47"/>
        <v>0</v>
      </c>
      <c r="AA39" s="288">
        <f t="shared" si="48"/>
        <v>0</v>
      </c>
      <c r="AB39" s="328">
        <f t="shared" si="49"/>
        <v>0</v>
      </c>
      <c r="AC39" s="292">
        <f t="shared" si="50"/>
        <v>0</v>
      </c>
      <c r="AD39" s="328">
        <f t="shared" si="51"/>
        <v>0</v>
      </c>
      <c r="AE39" s="290">
        <v>0</v>
      </c>
      <c r="AF39" s="328">
        <f t="shared" si="52"/>
        <v>0</v>
      </c>
      <c r="AG39" s="290">
        <f>+'[2]Table 5C1A-Madison Prep'!AI39+'[14]Table 5C1A-Madison Prep'!AI39+(6*'[20]Table 5C1A-Madison Prep'!AI39)</f>
        <v>0</v>
      </c>
      <c r="AH39" s="290">
        <f t="shared" si="53"/>
        <v>0</v>
      </c>
      <c r="AI39" s="328">
        <f t="shared" ref="AI39:AI70" si="61">ROUND(AH39/$AI$88,0)</f>
        <v>0</v>
      </c>
      <c r="AJ39" s="291">
        <f t="shared" si="54"/>
        <v>0</v>
      </c>
      <c r="AK39" s="318">
        <f t="shared" ref="AK39:AK75" si="62">S39+AI39</f>
        <v>0</v>
      </c>
      <c r="AM39" s="286">
        <v>0</v>
      </c>
      <c r="AN39" s="286">
        <f t="shared" si="55"/>
        <v>0</v>
      </c>
      <c r="AO39" s="286">
        <f t="shared" si="56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2.1.14'!I36</f>
        <v>0</v>
      </c>
      <c r="D40" s="201">
        <f>'Table 3 Levels 1&amp;2'!AL37</f>
        <v>6292.0976842789005</v>
      </c>
      <c r="E40" s="202">
        <f t="shared" si="38"/>
        <v>0</v>
      </c>
      <c r="F40" s="202">
        <f>'Table 3A Level 3'!C39</f>
        <v>644.11000000000013</v>
      </c>
      <c r="G40" s="202">
        <f t="shared" si="39"/>
        <v>0</v>
      </c>
      <c r="H40" s="345">
        <f t="shared" si="40"/>
        <v>0</v>
      </c>
      <c r="I40" s="203">
        <f>'[1]Oct midyear Madison Prep'!K37</f>
        <v>0</v>
      </c>
      <c r="J40" s="203">
        <f>'[1]Feb midyear Madison Prep'!K37</f>
        <v>0</v>
      </c>
      <c r="K40" s="204">
        <f t="shared" si="41"/>
        <v>0</v>
      </c>
      <c r="L40" s="345">
        <f t="shared" si="57"/>
        <v>0</v>
      </c>
      <c r="M40" s="286">
        <f t="shared" si="42"/>
        <v>0</v>
      </c>
      <c r="N40" s="345">
        <f t="shared" si="43"/>
        <v>0</v>
      </c>
      <c r="O40" s="410">
        <v>0</v>
      </c>
      <c r="P40" s="351">
        <f t="shared" si="58"/>
        <v>0</v>
      </c>
      <c r="Q40" s="203">
        <f>+'[2]Table 5C1A-Madison Prep'!S40+'[14]Table 5C1A-Madison Prep'!S40+(6*'[20]Table 5C1A-Madison Prep'!S40)</f>
        <v>0</v>
      </c>
      <c r="R40" s="203">
        <f t="shared" si="44"/>
        <v>0</v>
      </c>
      <c r="S40" s="351">
        <f t="shared" si="59"/>
        <v>0</v>
      </c>
      <c r="T40" s="362">
        <f t="shared" si="45"/>
        <v>0</v>
      </c>
      <c r="U40" s="287">
        <f>'[13]FY2014-15 Final'!L37</f>
        <v>2911</v>
      </c>
      <c r="V40" s="328">
        <f t="shared" si="60"/>
        <v>0</v>
      </c>
      <c r="W40" s="410">
        <f>'[1]Oct midyear Madison Prep'!E37</f>
        <v>0</v>
      </c>
      <c r="X40" s="290">
        <f t="shared" si="46"/>
        <v>0</v>
      </c>
      <c r="Y40" s="289">
        <f>'[1]Feb midyear Madison Prep'!E37</f>
        <v>0</v>
      </c>
      <c r="Z40" s="290">
        <f t="shared" si="47"/>
        <v>0</v>
      </c>
      <c r="AA40" s="288">
        <f t="shared" si="48"/>
        <v>0</v>
      </c>
      <c r="AB40" s="328">
        <f t="shared" si="49"/>
        <v>0</v>
      </c>
      <c r="AC40" s="292">
        <f t="shared" si="50"/>
        <v>0</v>
      </c>
      <c r="AD40" s="328">
        <f t="shared" si="51"/>
        <v>0</v>
      </c>
      <c r="AE40" s="290">
        <v>0</v>
      </c>
      <c r="AF40" s="328">
        <f t="shared" si="52"/>
        <v>0</v>
      </c>
      <c r="AG40" s="290">
        <f>+'[2]Table 5C1A-Madison Prep'!AI40+'[14]Table 5C1A-Madison Prep'!AI40+(6*'[20]Table 5C1A-Madison Prep'!AI40)</f>
        <v>0</v>
      </c>
      <c r="AH40" s="290">
        <f t="shared" si="53"/>
        <v>0</v>
      </c>
      <c r="AI40" s="328">
        <f t="shared" si="61"/>
        <v>0</v>
      </c>
      <c r="AJ40" s="291">
        <f t="shared" si="54"/>
        <v>0</v>
      </c>
      <c r="AK40" s="318">
        <f t="shared" si="62"/>
        <v>0</v>
      </c>
      <c r="AM40" s="286">
        <v>0</v>
      </c>
      <c r="AN40" s="286">
        <f t="shared" si="55"/>
        <v>0</v>
      </c>
      <c r="AO40" s="286">
        <f t="shared" si="56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2.1.14'!I37</f>
        <v>0</v>
      </c>
      <c r="D41" s="194">
        <f>'Table 3 Levels 1&amp;2'!AL38</f>
        <v>5166.2482060477605</v>
      </c>
      <c r="E41" s="195">
        <f t="shared" si="38"/>
        <v>0</v>
      </c>
      <c r="F41" s="195">
        <f>'Table 3A Level 3'!C40</f>
        <v>537.96</v>
      </c>
      <c r="G41" s="195">
        <f t="shared" si="39"/>
        <v>0</v>
      </c>
      <c r="H41" s="346">
        <f t="shared" si="40"/>
        <v>0</v>
      </c>
      <c r="I41" s="196">
        <f>'[1]Oct midyear Madison Prep'!K38</f>
        <v>0</v>
      </c>
      <c r="J41" s="196">
        <f>'[1]Feb midyear Madison Prep'!K38</f>
        <v>0</v>
      </c>
      <c r="K41" s="197">
        <f t="shared" si="41"/>
        <v>0</v>
      </c>
      <c r="L41" s="346">
        <f t="shared" si="57"/>
        <v>0</v>
      </c>
      <c r="M41" s="296">
        <f t="shared" si="42"/>
        <v>0</v>
      </c>
      <c r="N41" s="346">
        <f t="shared" si="43"/>
        <v>0</v>
      </c>
      <c r="O41" s="411">
        <v>0</v>
      </c>
      <c r="P41" s="352">
        <f t="shared" si="58"/>
        <v>0</v>
      </c>
      <c r="Q41" s="622">
        <f>+'[2]Table 5C1A-Madison Prep'!S41+'[14]Table 5C1A-Madison Prep'!S41+(6*'[20]Table 5C1A-Madison Prep'!S41)</f>
        <v>0</v>
      </c>
      <c r="R41" s="196">
        <f t="shared" si="44"/>
        <v>0</v>
      </c>
      <c r="S41" s="356">
        <f t="shared" si="59"/>
        <v>0</v>
      </c>
      <c r="T41" s="356">
        <f t="shared" si="45"/>
        <v>0</v>
      </c>
      <c r="U41" s="281">
        <f>'[13]FY2014-15 Final'!L38</f>
        <v>3337</v>
      </c>
      <c r="V41" s="329">
        <f t="shared" si="60"/>
        <v>0</v>
      </c>
      <c r="W41" s="411">
        <f>'[1]Oct midyear Madison Prep'!E38</f>
        <v>0</v>
      </c>
      <c r="X41" s="282">
        <f t="shared" si="46"/>
        <v>0</v>
      </c>
      <c r="Y41" s="884">
        <f>'[1]Feb midyear Madison Prep'!E38</f>
        <v>0</v>
      </c>
      <c r="Z41" s="282">
        <f t="shared" si="47"/>
        <v>0</v>
      </c>
      <c r="AA41" s="283">
        <f t="shared" si="48"/>
        <v>0</v>
      </c>
      <c r="AB41" s="329">
        <f t="shared" si="49"/>
        <v>0</v>
      </c>
      <c r="AC41" s="298">
        <f t="shared" si="50"/>
        <v>0</v>
      </c>
      <c r="AD41" s="329">
        <f t="shared" si="51"/>
        <v>0</v>
      </c>
      <c r="AE41" s="282">
        <v>0</v>
      </c>
      <c r="AF41" s="329">
        <f t="shared" si="52"/>
        <v>0</v>
      </c>
      <c r="AG41" s="282">
        <f>+'[2]Table 5C1A-Madison Prep'!AI41+'[14]Table 5C1A-Madison Prep'!AI41+(6*'[20]Table 5C1A-Madison Prep'!AI41)</f>
        <v>0</v>
      </c>
      <c r="AH41" s="282">
        <f t="shared" si="53"/>
        <v>0</v>
      </c>
      <c r="AI41" s="329">
        <f t="shared" si="61"/>
        <v>0</v>
      </c>
      <c r="AJ41" s="297">
        <f t="shared" si="54"/>
        <v>0</v>
      </c>
      <c r="AK41" s="319">
        <f t="shared" si="62"/>
        <v>0</v>
      </c>
      <c r="AM41" s="296">
        <v>0</v>
      </c>
      <c r="AN41" s="296">
        <f t="shared" si="55"/>
        <v>0</v>
      </c>
      <c r="AO41" s="296">
        <f t="shared" si="56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2.1.14'!I38</f>
        <v>0</v>
      </c>
      <c r="D42" s="208">
        <f>'Table 3 Levels 1&amp;2'!AL39</f>
        <v>3602.7009974327857</v>
      </c>
      <c r="E42" s="209">
        <f t="shared" si="38"/>
        <v>0</v>
      </c>
      <c r="F42" s="209">
        <f>'Table 5B1_RSD_Orleans'!F82</f>
        <v>746.0335616438357</v>
      </c>
      <c r="G42" s="209">
        <f t="shared" si="39"/>
        <v>0</v>
      </c>
      <c r="H42" s="344">
        <f t="shared" si="40"/>
        <v>0</v>
      </c>
      <c r="I42" s="210">
        <f>'[1]Oct midyear Madison Prep'!K39</f>
        <v>0</v>
      </c>
      <c r="J42" s="210">
        <f>'[1]Feb midyear Madison Prep'!K39</f>
        <v>0</v>
      </c>
      <c r="K42" s="211">
        <f t="shared" si="41"/>
        <v>0</v>
      </c>
      <c r="L42" s="344">
        <f t="shared" si="57"/>
        <v>0</v>
      </c>
      <c r="M42" s="273">
        <f t="shared" si="42"/>
        <v>0</v>
      </c>
      <c r="N42" s="344">
        <f t="shared" si="43"/>
        <v>0</v>
      </c>
      <c r="O42" s="409">
        <v>0</v>
      </c>
      <c r="P42" s="350">
        <f t="shared" si="58"/>
        <v>0</v>
      </c>
      <c r="Q42" s="210">
        <f>+'[2]Table 5C1A-Madison Prep'!S42+'[14]Table 5C1A-Madison Prep'!S42+(6*'[20]Table 5C1A-Madison Prep'!S42)</f>
        <v>0</v>
      </c>
      <c r="R42" s="210">
        <f t="shared" si="44"/>
        <v>0</v>
      </c>
      <c r="S42" s="350">
        <f t="shared" si="59"/>
        <v>0</v>
      </c>
      <c r="T42" s="361">
        <f t="shared" si="45"/>
        <v>0</v>
      </c>
      <c r="U42" s="274">
        <f>'[13]FY2014-15 Final'!L39</f>
        <v>5469</v>
      </c>
      <c r="V42" s="327">
        <f t="shared" si="60"/>
        <v>0</v>
      </c>
      <c r="W42" s="409">
        <f>'[1]Oct midyear Madison Prep'!E39</f>
        <v>0</v>
      </c>
      <c r="X42" s="276">
        <f t="shared" si="46"/>
        <v>0</v>
      </c>
      <c r="Y42" s="883">
        <f>'[1]Feb midyear Madison Prep'!E39</f>
        <v>0</v>
      </c>
      <c r="Z42" s="276">
        <f t="shared" si="47"/>
        <v>0</v>
      </c>
      <c r="AA42" s="275">
        <f t="shared" si="48"/>
        <v>0</v>
      </c>
      <c r="AB42" s="327">
        <f t="shared" si="49"/>
        <v>0</v>
      </c>
      <c r="AC42" s="278">
        <f t="shared" si="50"/>
        <v>0</v>
      </c>
      <c r="AD42" s="327">
        <f t="shared" si="51"/>
        <v>0</v>
      </c>
      <c r="AE42" s="276">
        <v>0</v>
      </c>
      <c r="AF42" s="327">
        <f t="shared" si="52"/>
        <v>0</v>
      </c>
      <c r="AG42" s="276">
        <f>+'[2]Table 5C1A-Madison Prep'!AI42+'[14]Table 5C1A-Madison Prep'!AI42+(6*'[20]Table 5C1A-Madison Prep'!AI42)</f>
        <v>0</v>
      </c>
      <c r="AH42" s="276">
        <f t="shared" si="53"/>
        <v>0</v>
      </c>
      <c r="AI42" s="327">
        <f t="shared" si="61"/>
        <v>0</v>
      </c>
      <c r="AJ42" s="277">
        <f t="shared" si="54"/>
        <v>0</v>
      </c>
      <c r="AK42" s="317">
        <f t="shared" si="62"/>
        <v>0</v>
      </c>
      <c r="AM42" s="273">
        <v>0</v>
      </c>
      <c r="AN42" s="273">
        <f t="shared" si="55"/>
        <v>0</v>
      </c>
      <c r="AO42" s="273">
        <f t="shared" si="56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2.1.14'!I39</f>
        <v>0</v>
      </c>
      <c r="D43" s="201">
        <f>'Table 3 Levels 1&amp;2'!AL40</f>
        <v>5665.3839260317691</v>
      </c>
      <c r="E43" s="202">
        <f t="shared" si="38"/>
        <v>0</v>
      </c>
      <c r="F43" s="202">
        <f>'Table 3A Level 3'!C42</f>
        <v>653.61</v>
      </c>
      <c r="G43" s="202">
        <f t="shared" si="39"/>
        <v>0</v>
      </c>
      <c r="H43" s="345">
        <f t="shared" si="40"/>
        <v>0</v>
      </c>
      <c r="I43" s="203">
        <f>'[1]Oct midyear Madison Prep'!K40</f>
        <v>0</v>
      </c>
      <c r="J43" s="203">
        <f>'[1]Feb midyear Madison Prep'!K40</f>
        <v>0</v>
      </c>
      <c r="K43" s="204">
        <f t="shared" si="41"/>
        <v>0</v>
      </c>
      <c r="L43" s="345">
        <f t="shared" si="57"/>
        <v>0</v>
      </c>
      <c r="M43" s="286">
        <f t="shared" si="42"/>
        <v>0</v>
      </c>
      <c r="N43" s="345">
        <f t="shared" si="43"/>
        <v>0</v>
      </c>
      <c r="O43" s="410">
        <v>0</v>
      </c>
      <c r="P43" s="351">
        <f t="shared" si="58"/>
        <v>0</v>
      </c>
      <c r="Q43" s="203">
        <f>+'[2]Table 5C1A-Madison Prep'!S43+'[14]Table 5C1A-Madison Prep'!S43+(6*'[20]Table 5C1A-Madison Prep'!S43)</f>
        <v>0</v>
      </c>
      <c r="R43" s="203">
        <f t="shared" si="44"/>
        <v>0</v>
      </c>
      <c r="S43" s="351">
        <f t="shared" si="59"/>
        <v>0</v>
      </c>
      <c r="T43" s="362">
        <f t="shared" si="45"/>
        <v>0</v>
      </c>
      <c r="U43" s="287">
        <f>'[13]FY2014-15 Final'!L40</f>
        <v>3424</v>
      </c>
      <c r="V43" s="328">
        <f t="shared" si="60"/>
        <v>0</v>
      </c>
      <c r="W43" s="410">
        <f>'[1]Oct midyear Madison Prep'!E40</f>
        <v>0</v>
      </c>
      <c r="X43" s="290">
        <f t="shared" si="46"/>
        <v>0</v>
      </c>
      <c r="Y43" s="289">
        <f>'[1]Feb midyear Madison Prep'!E40</f>
        <v>0</v>
      </c>
      <c r="Z43" s="290">
        <f t="shared" si="47"/>
        <v>0</v>
      </c>
      <c r="AA43" s="288">
        <f t="shared" si="48"/>
        <v>0</v>
      </c>
      <c r="AB43" s="328">
        <f t="shared" si="49"/>
        <v>0</v>
      </c>
      <c r="AC43" s="292">
        <f t="shared" si="50"/>
        <v>0</v>
      </c>
      <c r="AD43" s="328">
        <f t="shared" si="51"/>
        <v>0</v>
      </c>
      <c r="AE43" s="290">
        <v>0</v>
      </c>
      <c r="AF43" s="328">
        <f t="shared" si="52"/>
        <v>0</v>
      </c>
      <c r="AG43" s="290">
        <f>+'[2]Table 5C1A-Madison Prep'!AI43+'[14]Table 5C1A-Madison Prep'!AI43+(6*'[20]Table 5C1A-Madison Prep'!AI43)</f>
        <v>0</v>
      </c>
      <c r="AH43" s="290">
        <f t="shared" si="53"/>
        <v>0</v>
      </c>
      <c r="AI43" s="328">
        <f t="shared" si="61"/>
        <v>0</v>
      </c>
      <c r="AJ43" s="291">
        <f t="shared" si="54"/>
        <v>0</v>
      </c>
      <c r="AK43" s="318">
        <f t="shared" si="62"/>
        <v>0</v>
      </c>
      <c r="AM43" s="286">
        <v>0</v>
      </c>
      <c r="AN43" s="286">
        <f t="shared" si="55"/>
        <v>0</v>
      </c>
      <c r="AO43" s="286">
        <f t="shared" si="56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2.1.14'!I40</f>
        <v>0</v>
      </c>
      <c r="D44" s="201">
        <f>'Table 3 Levels 1&amp;2'!AL41</f>
        <v>2088.8017552916881</v>
      </c>
      <c r="E44" s="202">
        <f t="shared" si="38"/>
        <v>0</v>
      </c>
      <c r="F44" s="202">
        <f>'Table 3A Level 3'!C43</f>
        <v>829.92000000000007</v>
      </c>
      <c r="G44" s="202">
        <f t="shared" si="39"/>
        <v>0</v>
      </c>
      <c r="H44" s="345">
        <f t="shared" si="40"/>
        <v>0</v>
      </c>
      <c r="I44" s="203">
        <f>'[1]Oct midyear Madison Prep'!K41</f>
        <v>0</v>
      </c>
      <c r="J44" s="203">
        <f>'[1]Feb midyear Madison Prep'!K41</f>
        <v>0</v>
      </c>
      <c r="K44" s="204">
        <f t="shared" si="41"/>
        <v>0</v>
      </c>
      <c r="L44" s="345">
        <f t="shared" si="57"/>
        <v>0</v>
      </c>
      <c r="M44" s="286">
        <f t="shared" si="42"/>
        <v>0</v>
      </c>
      <c r="N44" s="345">
        <f t="shared" si="43"/>
        <v>0</v>
      </c>
      <c r="O44" s="410">
        <v>0</v>
      </c>
      <c r="P44" s="351">
        <f t="shared" si="58"/>
        <v>0</v>
      </c>
      <c r="Q44" s="203">
        <f>+'[2]Table 5C1A-Madison Prep'!S44+'[14]Table 5C1A-Madison Prep'!S44+(6*'[20]Table 5C1A-Madison Prep'!S44)</f>
        <v>1746</v>
      </c>
      <c r="R44" s="203">
        <f t="shared" si="44"/>
        <v>-1746</v>
      </c>
      <c r="S44" s="351">
        <f t="shared" si="59"/>
        <v>-437</v>
      </c>
      <c r="T44" s="362">
        <f t="shared" si="45"/>
        <v>0</v>
      </c>
      <c r="U44" s="287">
        <f>'[13]FY2014-15 Final'!L41</f>
        <v>11060</v>
      </c>
      <c r="V44" s="328">
        <f t="shared" si="60"/>
        <v>0</v>
      </c>
      <c r="W44" s="410">
        <f>'[1]Oct midyear Madison Prep'!E41</f>
        <v>0</v>
      </c>
      <c r="X44" s="290">
        <f t="shared" si="46"/>
        <v>0</v>
      </c>
      <c r="Y44" s="289">
        <f>'[1]Feb midyear Madison Prep'!E41</f>
        <v>0</v>
      </c>
      <c r="Z44" s="290">
        <f t="shared" si="47"/>
        <v>0</v>
      </c>
      <c r="AA44" s="288">
        <f t="shared" si="48"/>
        <v>0</v>
      </c>
      <c r="AB44" s="328">
        <f t="shared" si="49"/>
        <v>0</v>
      </c>
      <c r="AC44" s="292">
        <f t="shared" si="50"/>
        <v>0</v>
      </c>
      <c r="AD44" s="328">
        <f t="shared" si="51"/>
        <v>0</v>
      </c>
      <c r="AE44" s="290">
        <v>0</v>
      </c>
      <c r="AF44" s="328">
        <f t="shared" si="52"/>
        <v>0</v>
      </c>
      <c r="AG44" s="290">
        <f>+'[2]Table 5C1A-Madison Prep'!AI44+'[14]Table 5C1A-Madison Prep'!AI44+(6*'[20]Table 5C1A-Madison Prep'!AI44)</f>
        <v>6810</v>
      </c>
      <c r="AH44" s="290">
        <f t="shared" si="53"/>
        <v>-6810</v>
      </c>
      <c r="AI44" s="328">
        <f t="shared" si="61"/>
        <v>-1703</v>
      </c>
      <c r="AJ44" s="291">
        <f t="shared" si="54"/>
        <v>0</v>
      </c>
      <c r="AK44" s="318">
        <f t="shared" si="62"/>
        <v>-2140</v>
      </c>
      <c r="AM44" s="286">
        <v>0</v>
      </c>
      <c r="AN44" s="286">
        <f t="shared" si="55"/>
        <v>0</v>
      </c>
      <c r="AO44" s="286">
        <f t="shared" si="56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2.1.14'!I41</f>
        <v>0</v>
      </c>
      <c r="D45" s="201">
        <f>'Table 3 Levels 1&amp;2'!AL42</f>
        <v>3656.9056809295676</v>
      </c>
      <c r="E45" s="202">
        <f t="shared" si="38"/>
        <v>0</v>
      </c>
      <c r="F45" s="202">
        <f>'Table 3A Level 3'!C44</f>
        <v>779.65573042776396</v>
      </c>
      <c r="G45" s="202">
        <f t="shared" si="39"/>
        <v>0</v>
      </c>
      <c r="H45" s="345">
        <f t="shared" si="40"/>
        <v>0</v>
      </c>
      <c r="I45" s="203">
        <f>'[1]Oct midyear Madison Prep'!K42</f>
        <v>0</v>
      </c>
      <c r="J45" s="203">
        <f>'[1]Feb midyear Madison Prep'!K42</f>
        <v>0</v>
      </c>
      <c r="K45" s="204">
        <f t="shared" si="41"/>
        <v>0</v>
      </c>
      <c r="L45" s="345">
        <f t="shared" si="57"/>
        <v>0</v>
      </c>
      <c r="M45" s="286">
        <f t="shared" si="42"/>
        <v>0</v>
      </c>
      <c r="N45" s="345">
        <f t="shared" si="43"/>
        <v>0</v>
      </c>
      <c r="O45" s="410">
        <v>0</v>
      </c>
      <c r="P45" s="351">
        <f t="shared" si="58"/>
        <v>0</v>
      </c>
      <c r="Q45" s="203">
        <f>+'[2]Table 5C1A-Madison Prep'!S45+'[14]Table 5C1A-Madison Prep'!S45+(6*'[20]Table 5C1A-Madison Prep'!S45)</f>
        <v>0</v>
      </c>
      <c r="R45" s="203">
        <f t="shared" si="44"/>
        <v>0</v>
      </c>
      <c r="S45" s="351">
        <f t="shared" si="59"/>
        <v>0</v>
      </c>
      <c r="T45" s="362">
        <f t="shared" si="45"/>
        <v>0</v>
      </c>
      <c r="U45" s="287">
        <f>'[13]FY2014-15 Final'!L42</f>
        <v>4922</v>
      </c>
      <c r="V45" s="328">
        <f t="shared" si="60"/>
        <v>0</v>
      </c>
      <c r="W45" s="410">
        <f>'[1]Oct midyear Madison Prep'!E42</f>
        <v>0</v>
      </c>
      <c r="X45" s="290">
        <f t="shared" si="46"/>
        <v>0</v>
      </c>
      <c r="Y45" s="289">
        <f>'[1]Feb midyear Madison Prep'!E42</f>
        <v>0</v>
      </c>
      <c r="Z45" s="290">
        <f t="shared" si="47"/>
        <v>0</v>
      </c>
      <c r="AA45" s="288">
        <f t="shared" si="48"/>
        <v>0</v>
      </c>
      <c r="AB45" s="328">
        <f t="shared" si="49"/>
        <v>0</v>
      </c>
      <c r="AC45" s="292">
        <f t="shared" si="50"/>
        <v>0</v>
      </c>
      <c r="AD45" s="328">
        <f t="shared" si="51"/>
        <v>0</v>
      </c>
      <c r="AE45" s="290">
        <v>0</v>
      </c>
      <c r="AF45" s="328">
        <f t="shared" si="52"/>
        <v>0</v>
      </c>
      <c r="AG45" s="290">
        <f>+'[2]Table 5C1A-Madison Prep'!AI45+'[14]Table 5C1A-Madison Prep'!AI45+(6*'[20]Table 5C1A-Madison Prep'!AI45)</f>
        <v>0</v>
      </c>
      <c r="AH45" s="290">
        <f t="shared" si="53"/>
        <v>0</v>
      </c>
      <c r="AI45" s="328">
        <f t="shared" si="61"/>
        <v>0</v>
      </c>
      <c r="AJ45" s="291">
        <f t="shared" si="54"/>
        <v>0</v>
      </c>
      <c r="AK45" s="318">
        <f t="shared" si="62"/>
        <v>0</v>
      </c>
      <c r="AM45" s="286">
        <v>0</v>
      </c>
      <c r="AN45" s="286">
        <f t="shared" si="55"/>
        <v>0</v>
      </c>
      <c r="AO45" s="286">
        <f t="shared" si="56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2.1.14'!I42</f>
        <v>0</v>
      </c>
      <c r="D46" s="194">
        <f>'Table 3 Levels 1&amp;2'!AL43</f>
        <v>5121.8110285698403</v>
      </c>
      <c r="E46" s="195">
        <f t="shared" si="38"/>
        <v>0</v>
      </c>
      <c r="F46" s="195">
        <f>'Table 3A Level 3'!C45</f>
        <v>700.2700000000001</v>
      </c>
      <c r="G46" s="195">
        <f t="shared" si="39"/>
        <v>0</v>
      </c>
      <c r="H46" s="346">
        <f t="shared" si="40"/>
        <v>0</v>
      </c>
      <c r="I46" s="196">
        <f>'[1]Oct midyear Madison Prep'!K43</f>
        <v>0</v>
      </c>
      <c r="J46" s="196">
        <f>'[1]Feb midyear Madison Prep'!K43</f>
        <v>0</v>
      </c>
      <c r="K46" s="197">
        <f t="shared" si="41"/>
        <v>0</v>
      </c>
      <c r="L46" s="346">
        <f t="shared" si="57"/>
        <v>0</v>
      </c>
      <c r="M46" s="296">
        <f t="shared" si="42"/>
        <v>0</v>
      </c>
      <c r="N46" s="346">
        <f t="shared" si="43"/>
        <v>0</v>
      </c>
      <c r="O46" s="411">
        <v>0</v>
      </c>
      <c r="P46" s="352">
        <f t="shared" si="58"/>
        <v>0</v>
      </c>
      <c r="Q46" s="622">
        <f>+'[2]Table 5C1A-Madison Prep'!S46+'[14]Table 5C1A-Madison Prep'!S46+(6*'[20]Table 5C1A-Madison Prep'!S46)</f>
        <v>0</v>
      </c>
      <c r="R46" s="196">
        <f t="shared" si="44"/>
        <v>0</v>
      </c>
      <c r="S46" s="356">
        <f t="shared" si="59"/>
        <v>0</v>
      </c>
      <c r="T46" s="356">
        <f t="shared" si="45"/>
        <v>0</v>
      </c>
      <c r="U46" s="281">
        <f>'[13]FY2014-15 Final'!L43</f>
        <v>3152</v>
      </c>
      <c r="V46" s="329">
        <f t="shared" si="60"/>
        <v>0</v>
      </c>
      <c r="W46" s="411">
        <f>'[1]Oct midyear Madison Prep'!E43</f>
        <v>0</v>
      </c>
      <c r="X46" s="282">
        <f t="shared" si="46"/>
        <v>0</v>
      </c>
      <c r="Y46" s="884">
        <f>'[1]Feb midyear Madison Prep'!E43</f>
        <v>0</v>
      </c>
      <c r="Z46" s="282">
        <f t="shared" si="47"/>
        <v>0</v>
      </c>
      <c r="AA46" s="283">
        <f t="shared" si="48"/>
        <v>0</v>
      </c>
      <c r="AB46" s="329">
        <f t="shared" si="49"/>
        <v>0</v>
      </c>
      <c r="AC46" s="298">
        <f t="shared" si="50"/>
        <v>0</v>
      </c>
      <c r="AD46" s="329">
        <f t="shared" si="51"/>
        <v>0</v>
      </c>
      <c r="AE46" s="282">
        <v>0</v>
      </c>
      <c r="AF46" s="329">
        <f t="shared" si="52"/>
        <v>0</v>
      </c>
      <c r="AG46" s="282">
        <f>+'[2]Table 5C1A-Madison Prep'!AI46+'[14]Table 5C1A-Madison Prep'!AI46+(6*'[20]Table 5C1A-Madison Prep'!AI46)</f>
        <v>0</v>
      </c>
      <c r="AH46" s="282">
        <f t="shared" si="53"/>
        <v>0</v>
      </c>
      <c r="AI46" s="329">
        <f t="shared" si="61"/>
        <v>0</v>
      </c>
      <c r="AJ46" s="297">
        <f t="shared" si="54"/>
        <v>0</v>
      </c>
      <c r="AK46" s="319">
        <f t="shared" si="62"/>
        <v>0</v>
      </c>
      <c r="AM46" s="296">
        <v>0</v>
      </c>
      <c r="AN46" s="296">
        <f t="shared" si="55"/>
        <v>0</v>
      </c>
      <c r="AO46" s="296">
        <f t="shared" si="56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2.1.14'!I43</f>
        <v>0</v>
      </c>
      <c r="D47" s="208">
        <f>'Table 3 Levels 1&amp;2'!AL44</f>
        <v>3291.1948574716475</v>
      </c>
      <c r="E47" s="209">
        <f t="shared" si="38"/>
        <v>0</v>
      </c>
      <c r="F47" s="209">
        <f>'Table 3A Level 3'!C46</f>
        <v>886.22</v>
      </c>
      <c r="G47" s="209">
        <f t="shared" si="39"/>
        <v>0</v>
      </c>
      <c r="H47" s="344">
        <f t="shared" si="40"/>
        <v>0</v>
      </c>
      <c r="I47" s="210">
        <f>'[1]Oct midyear Madison Prep'!K44</f>
        <v>0</v>
      </c>
      <c r="J47" s="210">
        <f>'[1]Feb midyear Madison Prep'!K44</f>
        <v>0</v>
      </c>
      <c r="K47" s="211">
        <f t="shared" si="41"/>
        <v>0</v>
      </c>
      <c r="L47" s="344">
        <f t="shared" si="57"/>
        <v>0</v>
      </c>
      <c r="M47" s="273">
        <f t="shared" si="42"/>
        <v>0</v>
      </c>
      <c r="N47" s="344">
        <f t="shared" si="43"/>
        <v>0</v>
      </c>
      <c r="O47" s="409">
        <v>0</v>
      </c>
      <c r="P47" s="350">
        <f t="shared" si="58"/>
        <v>0</v>
      </c>
      <c r="Q47" s="210">
        <f>+'[2]Table 5C1A-Madison Prep'!S47+'[14]Table 5C1A-Madison Prep'!S47+(6*'[20]Table 5C1A-Madison Prep'!S47)</f>
        <v>0</v>
      </c>
      <c r="R47" s="210">
        <f t="shared" si="44"/>
        <v>0</v>
      </c>
      <c r="S47" s="350">
        <f t="shared" si="59"/>
        <v>0</v>
      </c>
      <c r="T47" s="361">
        <f t="shared" si="45"/>
        <v>0</v>
      </c>
      <c r="U47" s="274">
        <f>'[13]FY2014-15 Final'!L44</f>
        <v>9422</v>
      </c>
      <c r="V47" s="327">
        <f t="shared" si="60"/>
        <v>0</v>
      </c>
      <c r="W47" s="409">
        <f>'[1]Oct midyear Madison Prep'!E44</f>
        <v>0</v>
      </c>
      <c r="X47" s="276">
        <f t="shared" si="46"/>
        <v>0</v>
      </c>
      <c r="Y47" s="883">
        <f>'[1]Feb midyear Madison Prep'!E44</f>
        <v>0</v>
      </c>
      <c r="Z47" s="276">
        <f t="shared" si="47"/>
        <v>0</v>
      </c>
      <c r="AA47" s="275">
        <f t="shared" si="48"/>
        <v>0</v>
      </c>
      <c r="AB47" s="327">
        <f t="shared" si="49"/>
        <v>0</v>
      </c>
      <c r="AC47" s="278">
        <f t="shared" si="50"/>
        <v>0</v>
      </c>
      <c r="AD47" s="327">
        <f t="shared" si="51"/>
        <v>0</v>
      </c>
      <c r="AE47" s="276">
        <v>0</v>
      </c>
      <c r="AF47" s="327">
        <f t="shared" si="52"/>
        <v>0</v>
      </c>
      <c r="AG47" s="276">
        <f>+'[2]Table 5C1A-Madison Prep'!AI47+'[14]Table 5C1A-Madison Prep'!AI47+(6*'[20]Table 5C1A-Madison Prep'!AI47)</f>
        <v>0</v>
      </c>
      <c r="AH47" s="276">
        <f t="shared" si="53"/>
        <v>0</v>
      </c>
      <c r="AI47" s="327">
        <f t="shared" si="61"/>
        <v>0</v>
      </c>
      <c r="AJ47" s="277">
        <f t="shared" si="54"/>
        <v>0</v>
      </c>
      <c r="AK47" s="317">
        <f t="shared" si="62"/>
        <v>0</v>
      </c>
      <c r="AM47" s="273">
        <v>0</v>
      </c>
      <c r="AN47" s="273">
        <f t="shared" si="55"/>
        <v>0</v>
      </c>
      <c r="AO47" s="273">
        <f t="shared" si="56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2.1.14'!I44</f>
        <v>0</v>
      </c>
      <c r="D48" s="201">
        <f>'Table 3 Levels 1&amp;2'!AL45</f>
        <v>5113.6077751368684</v>
      </c>
      <c r="E48" s="202">
        <f t="shared" si="38"/>
        <v>0</v>
      </c>
      <c r="F48" s="202">
        <f>'Table 3A Level 3'!C47</f>
        <v>534.28</v>
      </c>
      <c r="G48" s="202">
        <f t="shared" si="39"/>
        <v>0</v>
      </c>
      <c r="H48" s="345">
        <f t="shared" si="40"/>
        <v>0</v>
      </c>
      <c r="I48" s="203">
        <f>'[1]Oct midyear Madison Prep'!K45</f>
        <v>0</v>
      </c>
      <c r="J48" s="203">
        <f>'[1]Feb midyear Madison Prep'!K45</f>
        <v>0</v>
      </c>
      <c r="K48" s="204">
        <f t="shared" si="41"/>
        <v>0</v>
      </c>
      <c r="L48" s="345">
        <f t="shared" si="57"/>
        <v>0</v>
      </c>
      <c r="M48" s="286">
        <f t="shared" si="42"/>
        <v>0</v>
      </c>
      <c r="N48" s="345">
        <f t="shared" si="43"/>
        <v>0</v>
      </c>
      <c r="O48" s="410">
        <v>0</v>
      </c>
      <c r="P48" s="351">
        <f t="shared" si="58"/>
        <v>0</v>
      </c>
      <c r="Q48" s="203">
        <f>+'[2]Table 5C1A-Madison Prep'!S48+'[14]Table 5C1A-Madison Prep'!S48+(6*'[20]Table 5C1A-Madison Prep'!S48)</f>
        <v>0</v>
      </c>
      <c r="R48" s="203">
        <f t="shared" si="44"/>
        <v>0</v>
      </c>
      <c r="S48" s="351">
        <f t="shared" si="59"/>
        <v>0</v>
      </c>
      <c r="T48" s="362">
        <f t="shared" si="45"/>
        <v>0</v>
      </c>
      <c r="U48" s="287">
        <f>'[13]FY2014-15 Final'!L45</f>
        <v>3415</v>
      </c>
      <c r="V48" s="328">
        <f t="shared" si="60"/>
        <v>0</v>
      </c>
      <c r="W48" s="410">
        <f>'[1]Oct midyear Madison Prep'!E45</f>
        <v>0</v>
      </c>
      <c r="X48" s="290">
        <f t="shared" si="46"/>
        <v>0</v>
      </c>
      <c r="Y48" s="289">
        <f>'[1]Feb midyear Madison Prep'!E45</f>
        <v>0</v>
      </c>
      <c r="Z48" s="290">
        <f t="shared" si="47"/>
        <v>0</v>
      </c>
      <c r="AA48" s="288">
        <f t="shared" si="48"/>
        <v>0</v>
      </c>
      <c r="AB48" s="328">
        <f t="shared" si="49"/>
        <v>0</v>
      </c>
      <c r="AC48" s="292">
        <f t="shared" si="50"/>
        <v>0</v>
      </c>
      <c r="AD48" s="328">
        <f t="shared" si="51"/>
        <v>0</v>
      </c>
      <c r="AE48" s="290">
        <v>0</v>
      </c>
      <c r="AF48" s="328">
        <f t="shared" si="52"/>
        <v>0</v>
      </c>
      <c r="AG48" s="290">
        <f>+'[2]Table 5C1A-Madison Prep'!AI48+'[14]Table 5C1A-Madison Prep'!AI48+(6*'[20]Table 5C1A-Madison Prep'!AI48)</f>
        <v>0</v>
      </c>
      <c r="AH48" s="290">
        <f t="shared" si="53"/>
        <v>0</v>
      </c>
      <c r="AI48" s="328">
        <f t="shared" si="61"/>
        <v>0</v>
      </c>
      <c r="AJ48" s="291">
        <f t="shared" si="54"/>
        <v>0</v>
      </c>
      <c r="AK48" s="318">
        <f t="shared" si="62"/>
        <v>0</v>
      </c>
      <c r="AM48" s="286">
        <v>0</v>
      </c>
      <c r="AN48" s="286">
        <f t="shared" si="55"/>
        <v>0</v>
      </c>
      <c r="AO48" s="286">
        <f t="shared" si="56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2.1.14'!I45</f>
        <v>0</v>
      </c>
      <c r="D49" s="201">
        <f>'Table 3 Levels 1&amp;2'!AL46</f>
        <v>5788.74387205947</v>
      </c>
      <c r="E49" s="202">
        <f t="shared" si="38"/>
        <v>0</v>
      </c>
      <c r="F49" s="202">
        <f>'Table 3A Level 3'!C48</f>
        <v>574.6099999999999</v>
      </c>
      <c r="G49" s="202">
        <f t="shared" si="39"/>
        <v>0</v>
      </c>
      <c r="H49" s="345">
        <f t="shared" si="40"/>
        <v>0</v>
      </c>
      <c r="I49" s="203">
        <f>'[1]Oct midyear Madison Prep'!K46</f>
        <v>0</v>
      </c>
      <c r="J49" s="203">
        <f>'[1]Feb midyear Madison Prep'!K46</f>
        <v>0</v>
      </c>
      <c r="K49" s="204">
        <f t="shared" si="41"/>
        <v>0</v>
      </c>
      <c r="L49" s="345">
        <f t="shared" si="57"/>
        <v>0</v>
      </c>
      <c r="M49" s="286">
        <f t="shared" si="42"/>
        <v>0</v>
      </c>
      <c r="N49" s="345">
        <f t="shared" si="43"/>
        <v>0</v>
      </c>
      <c r="O49" s="410">
        <v>0</v>
      </c>
      <c r="P49" s="351">
        <f t="shared" si="58"/>
        <v>0</v>
      </c>
      <c r="Q49" s="203">
        <f>+'[2]Table 5C1A-Madison Prep'!S49+'[14]Table 5C1A-Madison Prep'!S49+(6*'[20]Table 5C1A-Madison Prep'!S49)</f>
        <v>0</v>
      </c>
      <c r="R49" s="203">
        <f t="shared" si="44"/>
        <v>0</v>
      </c>
      <c r="S49" s="351">
        <f t="shared" si="59"/>
        <v>0</v>
      </c>
      <c r="T49" s="362">
        <f t="shared" si="45"/>
        <v>0</v>
      </c>
      <c r="U49" s="287">
        <f>'[13]FY2014-15 Final'!L46</f>
        <v>3334</v>
      </c>
      <c r="V49" s="328">
        <f t="shared" si="60"/>
        <v>0</v>
      </c>
      <c r="W49" s="410">
        <f>'[1]Oct midyear Madison Prep'!E46</f>
        <v>0</v>
      </c>
      <c r="X49" s="290">
        <f t="shared" si="46"/>
        <v>0</v>
      </c>
      <c r="Y49" s="289">
        <f>'[1]Feb midyear Madison Prep'!E46</f>
        <v>0</v>
      </c>
      <c r="Z49" s="290">
        <f t="shared" si="47"/>
        <v>0</v>
      </c>
      <c r="AA49" s="288">
        <f t="shared" si="48"/>
        <v>0</v>
      </c>
      <c r="AB49" s="328">
        <f t="shared" si="49"/>
        <v>0</v>
      </c>
      <c r="AC49" s="292">
        <f t="shared" si="50"/>
        <v>0</v>
      </c>
      <c r="AD49" s="328">
        <f t="shared" si="51"/>
        <v>0</v>
      </c>
      <c r="AE49" s="290">
        <v>0</v>
      </c>
      <c r="AF49" s="328">
        <f t="shared" si="52"/>
        <v>0</v>
      </c>
      <c r="AG49" s="290">
        <f>+'[2]Table 5C1A-Madison Prep'!AI49+'[14]Table 5C1A-Madison Prep'!AI49+(6*'[20]Table 5C1A-Madison Prep'!AI49)</f>
        <v>0</v>
      </c>
      <c r="AH49" s="290">
        <f t="shared" si="53"/>
        <v>0</v>
      </c>
      <c r="AI49" s="328">
        <f t="shared" si="61"/>
        <v>0</v>
      </c>
      <c r="AJ49" s="291">
        <f t="shared" si="54"/>
        <v>0</v>
      </c>
      <c r="AK49" s="318">
        <f t="shared" si="62"/>
        <v>0</v>
      </c>
      <c r="AM49" s="286">
        <v>0</v>
      </c>
      <c r="AN49" s="286">
        <f t="shared" si="55"/>
        <v>0</v>
      </c>
      <c r="AO49" s="286">
        <f t="shared" si="56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2.1.14'!I46</f>
        <v>0</v>
      </c>
      <c r="D50" s="201">
        <f>'Table 3 Levels 1&amp;2'!AL47</f>
        <v>4897.5958151820359</v>
      </c>
      <c r="E50" s="202">
        <f t="shared" si="38"/>
        <v>0</v>
      </c>
      <c r="F50" s="202">
        <f>'Table 3A Level 3'!C49</f>
        <v>663.16000000000008</v>
      </c>
      <c r="G50" s="202">
        <f t="shared" si="39"/>
        <v>0</v>
      </c>
      <c r="H50" s="345">
        <f t="shared" si="40"/>
        <v>0</v>
      </c>
      <c r="I50" s="203">
        <f>'[1]Oct midyear Madison Prep'!K47</f>
        <v>0</v>
      </c>
      <c r="J50" s="203">
        <f>'[1]Feb midyear Madison Prep'!K47</f>
        <v>0</v>
      </c>
      <c r="K50" s="204">
        <f t="shared" si="41"/>
        <v>0</v>
      </c>
      <c r="L50" s="345">
        <f t="shared" si="57"/>
        <v>0</v>
      </c>
      <c r="M50" s="286">
        <f t="shared" si="42"/>
        <v>0</v>
      </c>
      <c r="N50" s="345">
        <f t="shared" si="43"/>
        <v>0</v>
      </c>
      <c r="O50" s="410">
        <v>0</v>
      </c>
      <c r="P50" s="351">
        <f t="shared" si="58"/>
        <v>0</v>
      </c>
      <c r="Q50" s="203">
        <f>+'[2]Table 5C1A-Madison Prep'!S50+'[14]Table 5C1A-Madison Prep'!S50+(6*'[20]Table 5C1A-Madison Prep'!S50)</f>
        <v>0</v>
      </c>
      <c r="R50" s="203">
        <f t="shared" si="44"/>
        <v>0</v>
      </c>
      <c r="S50" s="351">
        <f t="shared" si="59"/>
        <v>0</v>
      </c>
      <c r="T50" s="362">
        <f t="shared" si="45"/>
        <v>0</v>
      </c>
      <c r="U50" s="287">
        <f>'[13]FY2014-15 Final'!L47</f>
        <v>3587</v>
      </c>
      <c r="V50" s="328">
        <f t="shared" si="60"/>
        <v>0</v>
      </c>
      <c r="W50" s="410">
        <f>'[1]Oct midyear Madison Prep'!E47</f>
        <v>0</v>
      </c>
      <c r="X50" s="290">
        <f t="shared" si="46"/>
        <v>0</v>
      </c>
      <c r="Y50" s="289">
        <f>'[1]Feb midyear Madison Prep'!E47</f>
        <v>0</v>
      </c>
      <c r="Z50" s="290">
        <f t="shared" si="47"/>
        <v>0</v>
      </c>
      <c r="AA50" s="288">
        <f t="shared" si="48"/>
        <v>0</v>
      </c>
      <c r="AB50" s="328">
        <f t="shared" si="49"/>
        <v>0</v>
      </c>
      <c r="AC50" s="292">
        <f t="shared" si="50"/>
        <v>0</v>
      </c>
      <c r="AD50" s="328">
        <f t="shared" si="51"/>
        <v>0</v>
      </c>
      <c r="AE50" s="290">
        <v>0</v>
      </c>
      <c r="AF50" s="328">
        <f t="shared" si="52"/>
        <v>0</v>
      </c>
      <c r="AG50" s="290">
        <f>+'[2]Table 5C1A-Madison Prep'!AI50+'[14]Table 5C1A-Madison Prep'!AI50+(6*'[20]Table 5C1A-Madison Prep'!AI50)</f>
        <v>0</v>
      </c>
      <c r="AH50" s="290">
        <f t="shared" si="53"/>
        <v>0</v>
      </c>
      <c r="AI50" s="328">
        <f t="shared" si="61"/>
        <v>0</v>
      </c>
      <c r="AJ50" s="291">
        <f t="shared" si="54"/>
        <v>0</v>
      </c>
      <c r="AK50" s="318">
        <f t="shared" si="62"/>
        <v>0</v>
      </c>
      <c r="AM50" s="286">
        <v>0</v>
      </c>
      <c r="AN50" s="286">
        <f t="shared" si="55"/>
        <v>0</v>
      </c>
      <c r="AO50" s="286">
        <f t="shared" si="56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2.1.14'!I47</f>
        <v>0</v>
      </c>
      <c r="D51" s="194">
        <f>'Table 3 Levels 1&amp;2'!AL48</f>
        <v>2054.0472499469101</v>
      </c>
      <c r="E51" s="195">
        <f t="shared" si="38"/>
        <v>0</v>
      </c>
      <c r="F51" s="195">
        <f>'Table 3A Level 3'!C50</f>
        <v>753.96000000000015</v>
      </c>
      <c r="G51" s="195">
        <f t="shared" si="39"/>
        <v>0</v>
      </c>
      <c r="H51" s="346">
        <f t="shared" si="40"/>
        <v>0</v>
      </c>
      <c r="I51" s="196">
        <f>'[1]Oct midyear Madison Prep'!K48</f>
        <v>0</v>
      </c>
      <c r="J51" s="196">
        <f>'[1]Feb midyear Madison Prep'!K48</f>
        <v>0</v>
      </c>
      <c r="K51" s="197">
        <f t="shared" si="41"/>
        <v>0</v>
      </c>
      <c r="L51" s="346">
        <f t="shared" si="57"/>
        <v>0</v>
      </c>
      <c r="M51" s="296">
        <f t="shared" si="42"/>
        <v>0</v>
      </c>
      <c r="N51" s="346">
        <f t="shared" si="43"/>
        <v>0</v>
      </c>
      <c r="O51" s="411">
        <v>0</v>
      </c>
      <c r="P51" s="352">
        <f t="shared" si="58"/>
        <v>0</v>
      </c>
      <c r="Q51" s="622">
        <f>+'[2]Table 5C1A-Madison Prep'!S51+'[14]Table 5C1A-Madison Prep'!S51+(6*'[20]Table 5C1A-Madison Prep'!S51)</f>
        <v>0</v>
      </c>
      <c r="R51" s="196">
        <f t="shared" si="44"/>
        <v>0</v>
      </c>
      <c r="S51" s="356">
        <f t="shared" si="59"/>
        <v>0</v>
      </c>
      <c r="T51" s="356">
        <f t="shared" si="45"/>
        <v>0</v>
      </c>
      <c r="U51" s="281">
        <f>'[13]FY2014-15 Final'!L48</f>
        <v>12134</v>
      </c>
      <c r="V51" s="329">
        <f t="shared" si="60"/>
        <v>0</v>
      </c>
      <c r="W51" s="411">
        <f>'[1]Oct midyear Madison Prep'!E48</f>
        <v>0</v>
      </c>
      <c r="X51" s="282">
        <f t="shared" si="46"/>
        <v>0</v>
      </c>
      <c r="Y51" s="884">
        <f>'[1]Feb midyear Madison Prep'!E48</f>
        <v>0</v>
      </c>
      <c r="Z51" s="282">
        <f t="shared" si="47"/>
        <v>0</v>
      </c>
      <c r="AA51" s="283">
        <f t="shared" si="48"/>
        <v>0</v>
      </c>
      <c r="AB51" s="329">
        <f t="shared" si="49"/>
        <v>0</v>
      </c>
      <c r="AC51" s="298">
        <f t="shared" si="50"/>
        <v>0</v>
      </c>
      <c r="AD51" s="329">
        <f t="shared" si="51"/>
        <v>0</v>
      </c>
      <c r="AE51" s="282">
        <v>0</v>
      </c>
      <c r="AF51" s="329">
        <f t="shared" si="52"/>
        <v>0</v>
      </c>
      <c r="AG51" s="282">
        <f>+'[2]Table 5C1A-Madison Prep'!AI51+'[14]Table 5C1A-Madison Prep'!AI51+(6*'[20]Table 5C1A-Madison Prep'!AI51)</f>
        <v>0</v>
      </c>
      <c r="AH51" s="282">
        <f t="shared" si="53"/>
        <v>0</v>
      </c>
      <c r="AI51" s="329">
        <f t="shared" si="61"/>
        <v>0</v>
      </c>
      <c r="AJ51" s="297">
        <f t="shared" si="54"/>
        <v>0</v>
      </c>
      <c r="AK51" s="319">
        <f t="shared" si="62"/>
        <v>0</v>
      </c>
      <c r="AM51" s="296">
        <v>0</v>
      </c>
      <c r="AN51" s="296">
        <f t="shared" si="55"/>
        <v>0</v>
      </c>
      <c r="AO51" s="296">
        <f t="shared" si="56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2.1.14'!I48</f>
        <v>0</v>
      </c>
      <c r="D52" s="208">
        <f>'Table 3 Levels 1&amp;2'!AL49</f>
        <v>6051.2144468088381</v>
      </c>
      <c r="E52" s="209">
        <f t="shared" si="38"/>
        <v>0</v>
      </c>
      <c r="F52" s="209">
        <f>'Table 3A Level 3'!C51</f>
        <v>728.06</v>
      </c>
      <c r="G52" s="209">
        <f t="shared" si="39"/>
        <v>0</v>
      </c>
      <c r="H52" s="344">
        <f t="shared" si="40"/>
        <v>0</v>
      </c>
      <c r="I52" s="210">
        <f>'[1]Oct midyear Madison Prep'!K49</f>
        <v>0</v>
      </c>
      <c r="J52" s="210">
        <f>'[1]Feb midyear Madison Prep'!K49</f>
        <v>0</v>
      </c>
      <c r="K52" s="211">
        <f t="shared" si="41"/>
        <v>0</v>
      </c>
      <c r="L52" s="344">
        <f t="shared" si="57"/>
        <v>0</v>
      </c>
      <c r="M52" s="273">
        <f t="shared" si="42"/>
        <v>0</v>
      </c>
      <c r="N52" s="344">
        <f t="shared" si="43"/>
        <v>0</v>
      </c>
      <c r="O52" s="409">
        <v>0</v>
      </c>
      <c r="P52" s="350">
        <f t="shared" si="58"/>
        <v>0</v>
      </c>
      <c r="Q52" s="210">
        <f>+'[2]Table 5C1A-Madison Prep'!S52+'[14]Table 5C1A-Madison Prep'!S52+(6*'[20]Table 5C1A-Madison Prep'!S52)</f>
        <v>0</v>
      </c>
      <c r="R52" s="210">
        <f t="shared" si="44"/>
        <v>0</v>
      </c>
      <c r="S52" s="350">
        <f t="shared" si="59"/>
        <v>0</v>
      </c>
      <c r="T52" s="361">
        <f t="shared" si="45"/>
        <v>0</v>
      </c>
      <c r="U52" s="274">
        <f>'[13]FY2014-15 Final'!L49</f>
        <v>2554</v>
      </c>
      <c r="V52" s="327">
        <f t="shared" si="60"/>
        <v>0</v>
      </c>
      <c r="W52" s="409">
        <f>'[1]Oct midyear Madison Prep'!E49</f>
        <v>0</v>
      </c>
      <c r="X52" s="276">
        <f t="shared" si="46"/>
        <v>0</v>
      </c>
      <c r="Y52" s="883">
        <f>'[1]Feb midyear Madison Prep'!E49</f>
        <v>0</v>
      </c>
      <c r="Z52" s="276">
        <f t="shared" si="47"/>
        <v>0</v>
      </c>
      <c r="AA52" s="275">
        <f t="shared" si="48"/>
        <v>0</v>
      </c>
      <c r="AB52" s="327">
        <f t="shared" si="49"/>
        <v>0</v>
      </c>
      <c r="AC52" s="278">
        <f t="shared" si="50"/>
        <v>0</v>
      </c>
      <c r="AD52" s="327">
        <f t="shared" si="51"/>
        <v>0</v>
      </c>
      <c r="AE52" s="276">
        <v>0</v>
      </c>
      <c r="AF52" s="327">
        <f t="shared" si="52"/>
        <v>0</v>
      </c>
      <c r="AG52" s="276">
        <f>+'[2]Table 5C1A-Madison Prep'!AI52+'[14]Table 5C1A-Madison Prep'!AI52+(6*'[20]Table 5C1A-Madison Prep'!AI52)</f>
        <v>0</v>
      </c>
      <c r="AH52" s="276">
        <f t="shared" si="53"/>
        <v>0</v>
      </c>
      <c r="AI52" s="327">
        <f t="shared" si="61"/>
        <v>0</v>
      </c>
      <c r="AJ52" s="277">
        <f t="shared" si="54"/>
        <v>0</v>
      </c>
      <c r="AK52" s="317">
        <f t="shared" si="62"/>
        <v>0</v>
      </c>
      <c r="AM52" s="273">
        <v>0</v>
      </c>
      <c r="AN52" s="273">
        <f t="shared" si="55"/>
        <v>0</v>
      </c>
      <c r="AO52" s="273">
        <f t="shared" si="56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2.1.14'!I49</f>
        <v>0</v>
      </c>
      <c r="D53" s="201">
        <f>'Table 3 Levels 1&amp;2'!AL50</f>
        <v>2524.1485257646736</v>
      </c>
      <c r="E53" s="202">
        <f t="shared" si="38"/>
        <v>0</v>
      </c>
      <c r="F53" s="202">
        <f>'Table 3A Level 3'!C52</f>
        <v>910.76</v>
      </c>
      <c r="G53" s="202">
        <f t="shared" si="39"/>
        <v>0</v>
      </c>
      <c r="H53" s="345">
        <f t="shared" si="40"/>
        <v>0</v>
      </c>
      <c r="I53" s="203">
        <f>'[1]Oct midyear Madison Prep'!K50</f>
        <v>0</v>
      </c>
      <c r="J53" s="203">
        <f>'[1]Feb midyear Madison Prep'!K50</f>
        <v>0</v>
      </c>
      <c r="K53" s="204">
        <f t="shared" si="41"/>
        <v>0</v>
      </c>
      <c r="L53" s="345">
        <f t="shared" si="57"/>
        <v>0</v>
      </c>
      <c r="M53" s="286">
        <f t="shared" si="42"/>
        <v>0</v>
      </c>
      <c r="N53" s="345">
        <f t="shared" si="43"/>
        <v>0</v>
      </c>
      <c r="O53" s="410">
        <v>0</v>
      </c>
      <c r="P53" s="351">
        <f t="shared" si="58"/>
        <v>0</v>
      </c>
      <c r="Q53" s="203">
        <f>+'[2]Table 5C1A-Madison Prep'!S53+'[14]Table 5C1A-Madison Prep'!S53+(6*'[20]Table 5C1A-Madison Prep'!S53)</f>
        <v>0</v>
      </c>
      <c r="R53" s="203">
        <f t="shared" si="44"/>
        <v>0</v>
      </c>
      <c r="S53" s="351">
        <f t="shared" si="59"/>
        <v>0</v>
      </c>
      <c r="T53" s="362">
        <f t="shared" si="45"/>
        <v>0</v>
      </c>
      <c r="U53" s="287">
        <f>'[13]FY2014-15 Final'!L50</f>
        <v>11506</v>
      </c>
      <c r="V53" s="328">
        <f t="shared" si="60"/>
        <v>0</v>
      </c>
      <c r="W53" s="410">
        <f>'[1]Oct midyear Madison Prep'!E50</f>
        <v>0</v>
      </c>
      <c r="X53" s="290">
        <f t="shared" si="46"/>
        <v>0</v>
      </c>
      <c r="Y53" s="289">
        <f>'[1]Feb midyear Madison Prep'!E50</f>
        <v>0</v>
      </c>
      <c r="Z53" s="290">
        <f t="shared" si="47"/>
        <v>0</v>
      </c>
      <c r="AA53" s="288">
        <f t="shared" si="48"/>
        <v>0</v>
      </c>
      <c r="AB53" s="328">
        <f t="shared" si="49"/>
        <v>0</v>
      </c>
      <c r="AC53" s="292">
        <f t="shared" si="50"/>
        <v>0</v>
      </c>
      <c r="AD53" s="328">
        <f t="shared" si="51"/>
        <v>0</v>
      </c>
      <c r="AE53" s="290">
        <v>0</v>
      </c>
      <c r="AF53" s="328">
        <f t="shared" si="52"/>
        <v>0</v>
      </c>
      <c r="AG53" s="290">
        <f>+'[2]Table 5C1A-Madison Prep'!AI53+'[14]Table 5C1A-Madison Prep'!AI53+(6*'[20]Table 5C1A-Madison Prep'!AI53)</f>
        <v>0</v>
      </c>
      <c r="AH53" s="290">
        <f t="shared" si="53"/>
        <v>0</v>
      </c>
      <c r="AI53" s="328">
        <f t="shared" si="61"/>
        <v>0</v>
      </c>
      <c r="AJ53" s="291">
        <f t="shared" si="54"/>
        <v>0</v>
      </c>
      <c r="AK53" s="318">
        <f t="shared" si="62"/>
        <v>0</v>
      </c>
      <c r="AM53" s="286">
        <v>0</v>
      </c>
      <c r="AN53" s="286">
        <f t="shared" si="55"/>
        <v>0</v>
      </c>
      <c r="AO53" s="286">
        <f t="shared" si="56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2.1.14'!I50</f>
        <v>0</v>
      </c>
      <c r="D54" s="201">
        <f>'Table 3 Levels 1&amp;2'!AL51</f>
        <v>3983.3582529800719</v>
      </c>
      <c r="E54" s="202">
        <f t="shared" si="38"/>
        <v>0</v>
      </c>
      <c r="F54" s="202">
        <f>'Table 3A Level 3'!C53</f>
        <v>871.07</v>
      </c>
      <c r="G54" s="202">
        <f t="shared" si="39"/>
        <v>0</v>
      </c>
      <c r="H54" s="345">
        <f t="shared" si="40"/>
        <v>0</v>
      </c>
      <c r="I54" s="203">
        <f>'[1]Oct midyear Madison Prep'!K51</f>
        <v>0</v>
      </c>
      <c r="J54" s="203">
        <f>'[1]Feb midyear Madison Prep'!K51</f>
        <v>0</v>
      </c>
      <c r="K54" s="204">
        <f t="shared" si="41"/>
        <v>0</v>
      </c>
      <c r="L54" s="345">
        <f t="shared" si="57"/>
        <v>0</v>
      </c>
      <c r="M54" s="286">
        <f t="shared" si="42"/>
        <v>0</v>
      </c>
      <c r="N54" s="345">
        <f t="shared" si="43"/>
        <v>0</v>
      </c>
      <c r="O54" s="410">
        <v>0</v>
      </c>
      <c r="P54" s="351">
        <f t="shared" si="58"/>
        <v>0</v>
      </c>
      <c r="Q54" s="203">
        <f>+'[2]Table 5C1A-Madison Prep'!S54+'[14]Table 5C1A-Madison Prep'!S54+(6*'[20]Table 5C1A-Madison Prep'!S54)</f>
        <v>0</v>
      </c>
      <c r="R54" s="203">
        <f t="shared" si="44"/>
        <v>0</v>
      </c>
      <c r="S54" s="351">
        <f t="shared" si="59"/>
        <v>0</v>
      </c>
      <c r="T54" s="362">
        <f t="shared" si="45"/>
        <v>0</v>
      </c>
      <c r="U54" s="287">
        <f>'[13]FY2014-15 Final'!L51</f>
        <v>6827</v>
      </c>
      <c r="V54" s="328">
        <f t="shared" si="60"/>
        <v>0</v>
      </c>
      <c r="W54" s="410">
        <f>'[1]Oct midyear Madison Prep'!E51</f>
        <v>0</v>
      </c>
      <c r="X54" s="290">
        <f t="shared" si="46"/>
        <v>0</v>
      </c>
      <c r="Y54" s="289">
        <f>'[1]Feb midyear Madison Prep'!E51</f>
        <v>0</v>
      </c>
      <c r="Z54" s="290">
        <f t="shared" si="47"/>
        <v>0</v>
      </c>
      <c r="AA54" s="288">
        <f t="shared" si="48"/>
        <v>0</v>
      </c>
      <c r="AB54" s="328">
        <f t="shared" si="49"/>
        <v>0</v>
      </c>
      <c r="AC54" s="292">
        <f t="shared" si="50"/>
        <v>0</v>
      </c>
      <c r="AD54" s="328">
        <f t="shared" si="51"/>
        <v>0</v>
      </c>
      <c r="AE54" s="290">
        <v>0</v>
      </c>
      <c r="AF54" s="328">
        <f t="shared" si="52"/>
        <v>0</v>
      </c>
      <c r="AG54" s="290">
        <f>+'[2]Table 5C1A-Madison Prep'!AI54+'[14]Table 5C1A-Madison Prep'!AI54+(6*'[20]Table 5C1A-Madison Prep'!AI54)</f>
        <v>0</v>
      </c>
      <c r="AH54" s="290">
        <f t="shared" si="53"/>
        <v>0</v>
      </c>
      <c r="AI54" s="328">
        <f t="shared" si="61"/>
        <v>0</v>
      </c>
      <c r="AJ54" s="291">
        <f t="shared" si="54"/>
        <v>0</v>
      </c>
      <c r="AK54" s="318">
        <f t="shared" si="62"/>
        <v>0</v>
      </c>
      <c r="AM54" s="286">
        <v>0</v>
      </c>
      <c r="AN54" s="286">
        <f t="shared" si="55"/>
        <v>0</v>
      </c>
      <c r="AO54" s="286">
        <f t="shared" si="56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2.1.14'!I51</f>
        <v>0</v>
      </c>
      <c r="D55" s="201">
        <f>'Table 3 Levels 1&amp;2'!AL52</f>
        <v>4995.8755315659191</v>
      </c>
      <c r="E55" s="202">
        <f t="shared" si="38"/>
        <v>0</v>
      </c>
      <c r="F55" s="202">
        <f>'Table 3A Level 3'!C54</f>
        <v>574.43999999999994</v>
      </c>
      <c r="G55" s="202">
        <f t="shared" si="39"/>
        <v>0</v>
      </c>
      <c r="H55" s="345">
        <f t="shared" si="40"/>
        <v>0</v>
      </c>
      <c r="I55" s="203">
        <f>'[1]Oct midyear Madison Prep'!K52</f>
        <v>0</v>
      </c>
      <c r="J55" s="203">
        <f>'[1]Feb midyear Madison Prep'!K52</f>
        <v>0</v>
      </c>
      <c r="K55" s="204">
        <f t="shared" si="41"/>
        <v>0</v>
      </c>
      <c r="L55" s="345">
        <f t="shared" si="57"/>
        <v>0</v>
      </c>
      <c r="M55" s="286">
        <f t="shared" si="42"/>
        <v>0</v>
      </c>
      <c r="N55" s="345">
        <f t="shared" si="43"/>
        <v>0</v>
      </c>
      <c r="O55" s="410">
        <v>0</v>
      </c>
      <c r="P55" s="351">
        <f t="shared" si="58"/>
        <v>0</v>
      </c>
      <c r="Q55" s="203">
        <f>+'[2]Table 5C1A-Madison Prep'!S55+'[14]Table 5C1A-Madison Prep'!S55+(6*'[20]Table 5C1A-Madison Prep'!S55)</f>
        <v>0</v>
      </c>
      <c r="R55" s="203">
        <f t="shared" si="44"/>
        <v>0</v>
      </c>
      <c r="S55" s="351">
        <f t="shared" si="59"/>
        <v>0</v>
      </c>
      <c r="T55" s="362">
        <f t="shared" si="45"/>
        <v>0</v>
      </c>
      <c r="U55" s="287">
        <f>'[13]FY2014-15 Final'!L52</f>
        <v>2399</v>
      </c>
      <c r="V55" s="328">
        <f t="shared" si="60"/>
        <v>0</v>
      </c>
      <c r="W55" s="410">
        <f>'[1]Oct midyear Madison Prep'!E52</f>
        <v>0</v>
      </c>
      <c r="X55" s="290">
        <f t="shared" si="46"/>
        <v>0</v>
      </c>
      <c r="Y55" s="289">
        <f>'[1]Feb midyear Madison Prep'!E52</f>
        <v>0</v>
      </c>
      <c r="Z55" s="290">
        <f t="shared" si="47"/>
        <v>0</v>
      </c>
      <c r="AA55" s="288">
        <f t="shared" si="48"/>
        <v>0</v>
      </c>
      <c r="AB55" s="328">
        <f t="shared" si="49"/>
        <v>0</v>
      </c>
      <c r="AC55" s="292">
        <f t="shared" si="50"/>
        <v>0</v>
      </c>
      <c r="AD55" s="328">
        <f t="shared" si="51"/>
        <v>0</v>
      </c>
      <c r="AE55" s="290">
        <v>0</v>
      </c>
      <c r="AF55" s="328">
        <f t="shared" si="52"/>
        <v>0</v>
      </c>
      <c r="AG55" s="290">
        <f>+'[2]Table 5C1A-Madison Prep'!AI55+'[14]Table 5C1A-Madison Prep'!AI55+(6*'[20]Table 5C1A-Madison Prep'!AI55)</f>
        <v>0</v>
      </c>
      <c r="AH55" s="290">
        <f t="shared" si="53"/>
        <v>0</v>
      </c>
      <c r="AI55" s="328">
        <f t="shared" si="61"/>
        <v>0</v>
      </c>
      <c r="AJ55" s="291">
        <f t="shared" si="54"/>
        <v>0</v>
      </c>
      <c r="AK55" s="318">
        <f t="shared" si="62"/>
        <v>0</v>
      </c>
      <c r="AM55" s="286">
        <v>0</v>
      </c>
      <c r="AN55" s="286">
        <f t="shared" si="55"/>
        <v>0</v>
      </c>
      <c r="AO55" s="286">
        <f t="shared" si="56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2.1.14'!I52</f>
        <v>0</v>
      </c>
      <c r="D56" s="194">
        <f>'Table 3 Levels 1&amp;2'!AL53</f>
        <v>5177.6892722701677</v>
      </c>
      <c r="E56" s="195">
        <f t="shared" si="38"/>
        <v>0</v>
      </c>
      <c r="F56" s="195">
        <f>'Table 3A Level 3'!C55</f>
        <v>634.46</v>
      </c>
      <c r="G56" s="195">
        <f t="shared" si="39"/>
        <v>0</v>
      </c>
      <c r="H56" s="346">
        <f t="shared" si="40"/>
        <v>0</v>
      </c>
      <c r="I56" s="196">
        <f>'[1]Oct midyear Madison Prep'!K53</f>
        <v>0</v>
      </c>
      <c r="J56" s="196">
        <f>'[1]Feb midyear Madison Prep'!K53</f>
        <v>0</v>
      </c>
      <c r="K56" s="197">
        <f t="shared" si="41"/>
        <v>0</v>
      </c>
      <c r="L56" s="346">
        <f t="shared" si="57"/>
        <v>0</v>
      </c>
      <c r="M56" s="296">
        <f t="shared" si="42"/>
        <v>0</v>
      </c>
      <c r="N56" s="346">
        <f t="shared" si="43"/>
        <v>0</v>
      </c>
      <c r="O56" s="411">
        <v>0</v>
      </c>
      <c r="P56" s="352">
        <f t="shared" si="58"/>
        <v>0</v>
      </c>
      <c r="Q56" s="622">
        <f>+'[2]Table 5C1A-Madison Prep'!S56+'[14]Table 5C1A-Madison Prep'!S56+(6*'[20]Table 5C1A-Madison Prep'!S56)</f>
        <v>0</v>
      </c>
      <c r="R56" s="196">
        <f t="shared" si="44"/>
        <v>0</v>
      </c>
      <c r="S56" s="356">
        <f t="shared" si="59"/>
        <v>0</v>
      </c>
      <c r="T56" s="356">
        <f t="shared" si="45"/>
        <v>0</v>
      </c>
      <c r="U56" s="281">
        <f>'[13]FY2014-15 Final'!L53</f>
        <v>3413</v>
      </c>
      <c r="V56" s="329">
        <f t="shared" si="60"/>
        <v>0</v>
      </c>
      <c r="W56" s="411">
        <f>'[1]Oct midyear Madison Prep'!E53</f>
        <v>0</v>
      </c>
      <c r="X56" s="282">
        <f t="shared" si="46"/>
        <v>0</v>
      </c>
      <c r="Y56" s="884">
        <f>'[1]Feb midyear Madison Prep'!E53</f>
        <v>0</v>
      </c>
      <c r="Z56" s="282">
        <f t="shared" si="47"/>
        <v>0</v>
      </c>
      <c r="AA56" s="283">
        <f t="shared" si="48"/>
        <v>0</v>
      </c>
      <c r="AB56" s="329">
        <f t="shared" si="49"/>
        <v>0</v>
      </c>
      <c r="AC56" s="298">
        <f t="shared" si="50"/>
        <v>0</v>
      </c>
      <c r="AD56" s="329">
        <f t="shared" si="51"/>
        <v>0</v>
      </c>
      <c r="AE56" s="282">
        <v>0</v>
      </c>
      <c r="AF56" s="329">
        <f t="shared" si="52"/>
        <v>0</v>
      </c>
      <c r="AG56" s="282">
        <f>+'[2]Table 5C1A-Madison Prep'!AI56+'[14]Table 5C1A-Madison Prep'!AI56+(6*'[20]Table 5C1A-Madison Prep'!AI56)</f>
        <v>0</v>
      </c>
      <c r="AH56" s="282">
        <f t="shared" si="53"/>
        <v>0</v>
      </c>
      <c r="AI56" s="329">
        <f t="shared" si="61"/>
        <v>0</v>
      </c>
      <c r="AJ56" s="297">
        <f t="shared" si="54"/>
        <v>0</v>
      </c>
      <c r="AK56" s="319">
        <f t="shared" si="62"/>
        <v>0</v>
      </c>
      <c r="AM56" s="296">
        <v>0</v>
      </c>
      <c r="AN56" s="296">
        <f t="shared" si="55"/>
        <v>0</v>
      </c>
      <c r="AO56" s="296">
        <f t="shared" si="56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2.1.14'!I53</f>
        <v>0</v>
      </c>
      <c r="D57" s="208">
        <f>'Table 3 Levels 1&amp;2'!AL54</f>
        <v>4154.1928602178996</v>
      </c>
      <c r="E57" s="209">
        <f t="shared" si="38"/>
        <v>0</v>
      </c>
      <c r="F57" s="209">
        <f>'Table 3A Level 3'!C56</f>
        <v>706.66</v>
      </c>
      <c r="G57" s="209">
        <f t="shared" si="39"/>
        <v>0</v>
      </c>
      <c r="H57" s="344">
        <f t="shared" si="40"/>
        <v>0</v>
      </c>
      <c r="I57" s="210">
        <f>'[1]Oct midyear Madison Prep'!K54</f>
        <v>0</v>
      </c>
      <c r="J57" s="210">
        <f>'[1]Feb midyear Madison Prep'!K54</f>
        <v>0</v>
      </c>
      <c r="K57" s="211">
        <f t="shared" si="41"/>
        <v>0</v>
      </c>
      <c r="L57" s="344">
        <f t="shared" si="57"/>
        <v>0</v>
      </c>
      <c r="M57" s="273">
        <f t="shared" si="42"/>
        <v>0</v>
      </c>
      <c r="N57" s="344">
        <f t="shared" si="43"/>
        <v>0</v>
      </c>
      <c r="O57" s="409">
        <v>0</v>
      </c>
      <c r="P57" s="350">
        <f t="shared" si="58"/>
        <v>0</v>
      </c>
      <c r="Q57" s="210">
        <f>+'[2]Table 5C1A-Madison Prep'!S57+'[14]Table 5C1A-Madison Prep'!S57+(6*'[20]Table 5C1A-Madison Prep'!S57)</f>
        <v>0</v>
      </c>
      <c r="R57" s="210">
        <f t="shared" si="44"/>
        <v>0</v>
      </c>
      <c r="S57" s="350">
        <f t="shared" si="59"/>
        <v>0</v>
      </c>
      <c r="T57" s="361">
        <f t="shared" si="45"/>
        <v>0</v>
      </c>
      <c r="U57" s="274">
        <f>'[13]FY2014-15 Final'!L54</f>
        <v>4512</v>
      </c>
      <c r="V57" s="327">
        <f t="shared" si="60"/>
        <v>0</v>
      </c>
      <c r="W57" s="409">
        <f>'[1]Oct midyear Madison Prep'!E54</f>
        <v>0</v>
      </c>
      <c r="X57" s="276">
        <f t="shared" si="46"/>
        <v>0</v>
      </c>
      <c r="Y57" s="883">
        <f>'[1]Feb midyear Madison Prep'!E54</f>
        <v>0</v>
      </c>
      <c r="Z57" s="276">
        <f t="shared" si="47"/>
        <v>0</v>
      </c>
      <c r="AA57" s="275">
        <f t="shared" si="48"/>
        <v>0</v>
      </c>
      <c r="AB57" s="327">
        <f t="shared" si="49"/>
        <v>0</v>
      </c>
      <c r="AC57" s="278">
        <f t="shared" si="50"/>
        <v>0</v>
      </c>
      <c r="AD57" s="327">
        <f t="shared" si="51"/>
        <v>0</v>
      </c>
      <c r="AE57" s="276">
        <v>0</v>
      </c>
      <c r="AF57" s="327">
        <f t="shared" si="52"/>
        <v>0</v>
      </c>
      <c r="AG57" s="276">
        <f>+'[2]Table 5C1A-Madison Prep'!AI57+'[14]Table 5C1A-Madison Prep'!AI57+(6*'[20]Table 5C1A-Madison Prep'!AI57)</f>
        <v>0</v>
      </c>
      <c r="AH57" s="276">
        <f t="shared" si="53"/>
        <v>0</v>
      </c>
      <c r="AI57" s="327">
        <f t="shared" si="61"/>
        <v>0</v>
      </c>
      <c r="AJ57" s="277">
        <f t="shared" si="54"/>
        <v>0</v>
      </c>
      <c r="AK57" s="317">
        <f t="shared" si="62"/>
        <v>0</v>
      </c>
      <c r="AM57" s="273">
        <v>0</v>
      </c>
      <c r="AN57" s="273">
        <f t="shared" si="55"/>
        <v>0</v>
      </c>
      <c r="AO57" s="273">
        <f t="shared" si="56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2.1.14'!I54</f>
        <v>0</v>
      </c>
      <c r="D58" s="201">
        <f>'Table 3 Levels 1&amp;2'!AL55</f>
        <v>5062.2745845228173</v>
      </c>
      <c r="E58" s="202">
        <f t="shared" si="38"/>
        <v>0</v>
      </c>
      <c r="F58" s="202">
        <f>'Table 3A Level 3'!C57</f>
        <v>658.37</v>
      </c>
      <c r="G58" s="202">
        <f t="shared" si="39"/>
        <v>0</v>
      </c>
      <c r="H58" s="345">
        <f t="shared" si="40"/>
        <v>0</v>
      </c>
      <c r="I58" s="203">
        <f>'[1]Oct midyear Madison Prep'!K55</f>
        <v>0</v>
      </c>
      <c r="J58" s="203">
        <f>'[1]Feb midyear Madison Prep'!K55</f>
        <v>0</v>
      </c>
      <c r="K58" s="204">
        <f t="shared" si="41"/>
        <v>0</v>
      </c>
      <c r="L58" s="345">
        <f t="shared" si="57"/>
        <v>0</v>
      </c>
      <c r="M58" s="286">
        <f t="shared" si="42"/>
        <v>0</v>
      </c>
      <c r="N58" s="345">
        <f t="shared" si="43"/>
        <v>0</v>
      </c>
      <c r="O58" s="410">
        <v>0</v>
      </c>
      <c r="P58" s="351">
        <f t="shared" si="58"/>
        <v>0</v>
      </c>
      <c r="Q58" s="203">
        <f>+'[2]Table 5C1A-Madison Prep'!S58+'[14]Table 5C1A-Madison Prep'!S58+(6*'[20]Table 5C1A-Madison Prep'!S58)</f>
        <v>0</v>
      </c>
      <c r="R58" s="203">
        <f t="shared" si="44"/>
        <v>0</v>
      </c>
      <c r="S58" s="351">
        <f t="shared" si="59"/>
        <v>0</v>
      </c>
      <c r="T58" s="362">
        <f t="shared" si="45"/>
        <v>0</v>
      </c>
      <c r="U58" s="287">
        <f>'[13]FY2014-15 Final'!L55</f>
        <v>5289</v>
      </c>
      <c r="V58" s="328">
        <f t="shared" si="60"/>
        <v>0</v>
      </c>
      <c r="W58" s="410">
        <f>'[1]Oct midyear Madison Prep'!E55</f>
        <v>0</v>
      </c>
      <c r="X58" s="290">
        <f t="shared" si="46"/>
        <v>0</v>
      </c>
      <c r="Y58" s="289">
        <f>'[1]Feb midyear Madison Prep'!E55</f>
        <v>0</v>
      </c>
      <c r="Z58" s="290">
        <f t="shared" si="47"/>
        <v>0</v>
      </c>
      <c r="AA58" s="288">
        <f t="shared" si="48"/>
        <v>0</v>
      </c>
      <c r="AB58" s="328">
        <f t="shared" si="49"/>
        <v>0</v>
      </c>
      <c r="AC58" s="292">
        <f t="shared" si="50"/>
        <v>0</v>
      </c>
      <c r="AD58" s="328">
        <f t="shared" si="51"/>
        <v>0</v>
      </c>
      <c r="AE58" s="290">
        <v>0</v>
      </c>
      <c r="AF58" s="328">
        <f t="shared" si="52"/>
        <v>0</v>
      </c>
      <c r="AG58" s="290">
        <f>+'[2]Table 5C1A-Madison Prep'!AI58+'[14]Table 5C1A-Madison Prep'!AI58+(6*'[20]Table 5C1A-Madison Prep'!AI58)</f>
        <v>0</v>
      </c>
      <c r="AH58" s="290">
        <f t="shared" si="53"/>
        <v>0</v>
      </c>
      <c r="AI58" s="328">
        <f t="shared" si="61"/>
        <v>0</v>
      </c>
      <c r="AJ58" s="291">
        <f t="shared" si="54"/>
        <v>0</v>
      </c>
      <c r="AK58" s="318">
        <f t="shared" si="62"/>
        <v>0</v>
      </c>
      <c r="AM58" s="286">
        <v>0</v>
      </c>
      <c r="AN58" s="286">
        <f t="shared" si="55"/>
        <v>0</v>
      </c>
      <c r="AO58" s="286">
        <f t="shared" si="56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2.1.14'!I55</f>
        <v>0</v>
      </c>
      <c r="D59" s="201">
        <f>'Table 3 Levels 1&amp;2'!AL56</f>
        <v>5060.1508194045482</v>
      </c>
      <c r="E59" s="202">
        <f t="shared" si="38"/>
        <v>0</v>
      </c>
      <c r="F59" s="202">
        <f>'Table 3A Level 3'!C58</f>
        <v>689.74</v>
      </c>
      <c r="G59" s="202">
        <f t="shared" si="39"/>
        <v>0</v>
      </c>
      <c r="H59" s="345">
        <f t="shared" si="40"/>
        <v>0</v>
      </c>
      <c r="I59" s="203">
        <f>'[1]Oct midyear Madison Prep'!K56</f>
        <v>0</v>
      </c>
      <c r="J59" s="203">
        <f>'[1]Feb midyear Madison Prep'!K56</f>
        <v>0</v>
      </c>
      <c r="K59" s="204">
        <f t="shared" si="41"/>
        <v>0</v>
      </c>
      <c r="L59" s="345">
        <f t="shared" si="57"/>
        <v>0</v>
      </c>
      <c r="M59" s="286">
        <f t="shared" si="42"/>
        <v>0</v>
      </c>
      <c r="N59" s="345">
        <f t="shared" si="43"/>
        <v>0</v>
      </c>
      <c r="O59" s="410">
        <v>0</v>
      </c>
      <c r="P59" s="351">
        <f t="shared" si="58"/>
        <v>0</v>
      </c>
      <c r="Q59" s="203">
        <f>+'[2]Table 5C1A-Madison Prep'!S59+'[14]Table 5C1A-Madison Prep'!S59+(6*'[20]Table 5C1A-Madison Prep'!S59)</f>
        <v>0</v>
      </c>
      <c r="R59" s="203">
        <f t="shared" si="44"/>
        <v>0</v>
      </c>
      <c r="S59" s="351">
        <f t="shared" si="59"/>
        <v>0</v>
      </c>
      <c r="T59" s="362">
        <f t="shared" si="45"/>
        <v>0</v>
      </c>
      <c r="U59" s="287">
        <f>'[13]FY2014-15 Final'!L56</f>
        <v>2101</v>
      </c>
      <c r="V59" s="328">
        <f t="shared" si="60"/>
        <v>0</v>
      </c>
      <c r="W59" s="410">
        <f>'[1]Oct midyear Madison Prep'!E56</f>
        <v>0</v>
      </c>
      <c r="X59" s="290">
        <f t="shared" si="46"/>
        <v>0</v>
      </c>
      <c r="Y59" s="289">
        <f>'[1]Feb midyear Madison Prep'!E56</f>
        <v>0</v>
      </c>
      <c r="Z59" s="290">
        <f t="shared" si="47"/>
        <v>0</v>
      </c>
      <c r="AA59" s="288">
        <f t="shared" si="48"/>
        <v>0</v>
      </c>
      <c r="AB59" s="328">
        <f t="shared" si="49"/>
        <v>0</v>
      </c>
      <c r="AC59" s="292">
        <f t="shared" si="50"/>
        <v>0</v>
      </c>
      <c r="AD59" s="328">
        <f t="shared" si="51"/>
        <v>0</v>
      </c>
      <c r="AE59" s="290">
        <v>0</v>
      </c>
      <c r="AF59" s="328">
        <f t="shared" si="52"/>
        <v>0</v>
      </c>
      <c r="AG59" s="290">
        <f>+'[2]Table 5C1A-Madison Prep'!AI59+'[14]Table 5C1A-Madison Prep'!AI59+(6*'[20]Table 5C1A-Madison Prep'!AI59)</f>
        <v>0</v>
      </c>
      <c r="AH59" s="290">
        <f t="shared" si="53"/>
        <v>0</v>
      </c>
      <c r="AI59" s="328">
        <f t="shared" si="61"/>
        <v>0</v>
      </c>
      <c r="AJ59" s="291">
        <f t="shared" si="54"/>
        <v>0</v>
      </c>
      <c r="AK59" s="318">
        <f t="shared" si="62"/>
        <v>0</v>
      </c>
      <c r="AM59" s="286">
        <v>0</v>
      </c>
      <c r="AN59" s="286">
        <f t="shared" si="55"/>
        <v>0</v>
      </c>
      <c r="AO59" s="286">
        <f t="shared" si="56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2.1.14'!I56</f>
        <v>0</v>
      </c>
      <c r="D60" s="201">
        <f>'Table 3 Levels 1&amp;2'!AL57</f>
        <v>5867.0798370516713</v>
      </c>
      <c r="E60" s="202">
        <f t="shared" si="38"/>
        <v>0</v>
      </c>
      <c r="F60" s="202">
        <f>'Table 3A Level 3'!C59</f>
        <v>951.45</v>
      </c>
      <c r="G60" s="202">
        <f t="shared" si="39"/>
        <v>0</v>
      </c>
      <c r="H60" s="345">
        <f t="shared" si="40"/>
        <v>0</v>
      </c>
      <c r="I60" s="203">
        <f>'[1]Oct midyear Madison Prep'!K57</f>
        <v>0</v>
      </c>
      <c r="J60" s="203">
        <f>'[1]Feb midyear Madison Prep'!K57</f>
        <v>0</v>
      </c>
      <c r="K60" s="204">
        <f t="shared" si="41"/>
        <v>0</v>
      </c>
      <c r="L60" s="345">
        <f t="shared" si="57"/>
        <v>0</v>
      </c>
      <c r="M60" s="286">
        <f t="shared" si="42"/>
        <v>0</v>
      </c>
      <c r="N60" s="345">
        <f t="shared" si="43"/>
        <v>0</v>
      </c>
      <c r="O60" s="410">
        <v>0</v>
      </c>
      <c r="P60" s="351">
        <f t="shared" si="58"/>
        <v>0</v>
      </c>
      <c r="Q60" s="203">
        <f>+'[2]Table 5C1A-Madison Prep'!S60+'[14]Table 5C1A-Madison Prep'!S60+(6*'[20]Table 5C1A-Madison Prep'!S60)</f>
        <v>0</v>
      </c>
      <c r="R60" s="203">
        <f t="shared" si="44"/>
        <v>0</v>
      </c>
      <c r="S60" s="351">
        <f t="shared" si="59"/>
        <v>0</v>
      </c>
      <c r="T60" s="362">
        <f t="shared" si="45"/>
        <v>0</v>
      </c>
      <c r="U60" s="287">
        <f>'[13]FY2014-15 Final'!L57</f>
        <v>4150</v>
      </c>
      <c r="V60" s="328">
        <f t="shared" si="60"/>
        <v>0</v>
      </c>
      <c r="W60" s="410">
        <f>'[1]Oct midyear Madison Prep'!E57</f>
        <v>0</v>
      </c>
      <c r="X60" s="290">
        <f t="shared" si="46"/>
        <v>0</v>
      </c>
      <c r="Y60" s="289">
        <f>'[1]Feb midyear Madison Prep'!E57</f>
        <v>0</v>
      </c>
      <c r="Z60" s="290">
        <f t="shared" si="47"/>
        <v>0</v>
      </c>
      <c r="AA60" s="288">
        <f t="shared" si="48"/>
        <v>0</v>
      </c>
      <c r="AB60" s="328">
        <f t="shared" si="49"/>
        <v>0</v>
      </c>
      <c r="AC60" s="292">
        <f t="shared" si="50"/>
        <v>0</v>
      </c>
      <c r="AD60" s="328">
        <f t="shared" si="51"/>
        <v>0</v>
      </c>
      <c r="AE60" s="290">
        <v>0</v>
      </c>
      <c r="AF60" s="328">
        <f t="shared" si="52"/>
        <v>0</v>
      </c>
      <c r="AG60" s="290">
        <f>+'[2]Table 5C1A-Madison Prep'!AI60+'[14]Table 5C1A-Madison Prep'!AI60+(6*'[20]Table 5C1A-Madison Prep'!AI60)</f>
        <v>0</v>
      </c>
      <c r="AH60" s="290">
        <f t="shared" si="53"/>
        <v>0</v>
      </c>
      <c r="AI60" s="328">
        <f t="shared" si="61"/>
        <v>0</v>
      </c>
      <c r="AJ60" s="291">
        <f t="shared" si="54"/>
        <v>0</v>
      </c>
      <c r="AK60" s="318">
        <f t="shared" si="62"/>
        <v>0</v>
      </c>
      <c r="AM60" s="286">
        <v>0</v>
      </c>
      <c r="AN60" s="286">
        <f t="shared" si="55"/>
        <v>0</v>
      </c>
      <c r="AO60" s="286">
        <f t="shared" si="56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2.1.14'!I57</f>
        <v>0</v>
      </c>
      <c r="D61" s="194">
        <f>'Table 3 Levels 1&amp;2'!AL58</f>
        <v>4266.8225491298481</v>
      </c>
      <c r="E61" s="195">
        <f t="shared" si="38"/>
        <v>0</v>
      </c>
      <c r="F61" s="195">
        <f>'Table 3A Level 3'!C60</f>
        <v>795.14</v>
      </c>
      <c r="G61" s="195">
        <f t="shared" si="39"/>
        <v>0</v>
      </c>
      <c r="H61" s="346">
        <f t="shared" si="40"/>
        <v>0</v>
      </c>
      <c r="I61" s="196">
        <f>'[1]Oct midyear Madison Prep'!K58</f>
        <v>0</v>
      </c>
      <c r="J61" s="196">
        <f>'[1]Feb midyear Madison Prep'!K58</f>
        <v>0</v>
      </c>
      <c r="K61" s="197">
        <f t="shared" si="41"/>
        <v>0</v>
      </c>
      <c r="L61" s="346">
        <f t="shared" si="57"/>
        <v>0</v>
      </c>
      <c r="M61" s="296">
        <f t="shared" si="42"/>
        <v>0</v>
      </c>
      <c r="N61" s="346">
        <f t="shared" si="43"/>
        <v>0</v>
      </c>
      <c r="O61" s="411">
        <v>0</v>
      </c>
      <c r="P61" s="352">
        <f t="shared" si="58"/>
        <v>0</v>
      </c>
      <c r="Q61" s="622">
        <f>+'[2]Table 5C1A-Madison Prep'!S61+'[14]Table 5C1A-Madison Prep'!S61+(6*'[20]Table 5C1A-Madison Prep'!S61)</f>
        <v>0</v>
      </c>
      <c r="R61" s="196">
        <f t="shared" si="44"/>
        <v>0</v>
      </c>
      <c r="S61" s="356">
        <f t="shared" si="59"/>
        <v>0</v>
      </c>
      <c r="T61" s="356">
        <f t="shared" si="45"/>
        <v>0</v>
      </c>
      <c r="U61" s="281">
        <f>'[13]FY2014-15 Final'!L58</f>
        <v>3637</v>
      </c>
      <c r="V61" s="329">
        <f t="shared" si="60"/>
        <v>0</v>
      </c>
      <c r="W61" s="411">
        <f>'[1]Oct midyear Madison Prep'!E58</f>
        <v>0</v>
      </c>
      <c r="X61" s="282">
        <f t="shared" si="46"/>
        <v>0</v>
      </c>
      <c r="Y61" s="884">
        <f>'[1]Feb midyear Madison Prep'!E58</f>
        <v>0</v>
      </c>
      <c r="Z61" s="282">
        <f t="shared" si="47"/>
        <v>0</v>
      </c>
      <c r="AA61" s="283">
        <f t="shared" si="48"/>
        <v>0</v>
      </c>
      <c r="AB61" s="329">
        <f t="shared" si="49"/>
        <v>0</v>
      </c>
      <c r="AC61" s="298">
        <f t="shared" si="50"/>
        <v>0</v>
      </c>
      <c r="AD61" s="329">
        <f t="shared" si="51"/>
        <v>0</v>
      </c>
      <c r="AE61" s="282">
        <v>0</v>
      </c>
      <c r="AF61" s="329">
        <f t="shared" si="52"/>
        <v>0</v>
      </c>
      <c r="AG61" s="282">
        <f>+'[2]Table 5C1A-Madison Prep'!AI61+'[14]Table 5C1A-Madison Prep'!AI61+(6*'[20]Table 5C1A-Madison Prep'!AI61)</f>
        <v>0</v>
      </c>
      <c r="AH61" s="282">
        <f t="shared" si="53"/>
        <v>0</v>
      </c>
      <c r="AI61" s="329">
        <f t="shared" si="61"/>
        <v>0</v>
      </c>
      <c r="AJ61" s="297">
        <f t="shared" si="54"/>
        <v>0</v>
      </c>
      <c r="AK61" s="319">
        <f t="shared" si="62"/>
        <v>0</v>
      </c>
      <c r="AM61" s="296">
        <v>0</v>
      </c>
      <c r="AN61" s="296">
        <f t="shared" si="55"/>
        <v>0</v>
      </c>
      <c r="AO61" s="296">
        <f t="shared" si="56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2.1.14'!I58</f>
        <v>0</v>
      </c>
      <c r="D62" s="208">
        <f>'Table 3 Levels 1&amp;2'!AL59</f>
        <v>5028.4909408288286</v>
      </c>
      <c r="E62" s="209">
        <f t="shared" si="38"/>
        <v>0</v>
      </c>
      <c r="F62" s="209">
        <f>'Table 3A Level 3'!C61</f>
        <v>614.66000000000008</v>
      </c>
      <c r="G62" s="209">
        <f t="shared" si="39"/>
        <v>0</v>
      </c>
      <c r="H62" s="344">
        <f t="shared" si="40"/>
        <v>0</v>
      </c>
      <c r="I62" s="210">
        <f>'[1]Oct midyear Madison Prep'!K59</f>
        <v>0</v>
      </c>
      <c r="J62" s="210">
        <f>'[1]Feb midyear Madison Prep'!K59</f>
        <v>0</v>
      </c>
      <c r="K62" s="211">
        <f t="shared" si="41"/>
        <v>0</v>
      </c>
      <c r="L62" s="344">
        <f t="shared" si="57"/>
        <v>0</v>
      </c>
      <c r="M62" s="273">
        <f t="shared" si="42"/>
        <v>0</v>
      </c>
      <c r="N62" s="344">
        <f t="shared" si="43"/>
        <v>0</v>
      </c>
      <c r="O62" s="409">
        <v>0</v>
      </c>
      <c r="P62" s="350">
        <f t="shared" si="58"/>
        <v>0</v>
      </c>
      <c r="Q62" s="210">
        <f>+'[2]Table 5C1A-Madison Prep'!S62+'[14]Table 5C1A-Madison Prep'!S62+(6*'[20]Table 5C1A-Madison Prep'!S62)</f>
        <v>0</v>
      </c>
      <c r="R62" s="210">
        <f t="shared" si="44"/>
        <v>0</v>
      </c>
      <c r="S62" s="350">
        <f t="shared" si="59"/>
        <v>0</v>
      </c>
      <c r="T62" s="361">
        <f t="shared" si="45"/>
        <v>0</v>
      </c>
      <c r="U62" s="274">
        <f>'[13]FY2014-15 Final'!L59</f>
        <v>2857</v>
      </c>
      <c r="V62" s="327">
        <f t="shared" si="60"/>
        <v>0</v>
      </c>
      <c r="W62" s="409">
        <f>'[1]Oct midyear Madison Prep'!E59</f>
        <v>0</v>
      </c>
      <c r="X62" s="276">
        <f t="shared" si="46"/>
        <v>0</v>
      </c>
      <c r="Y62" s="883">
        <f>'[1]Feb midyear Madison Prep'!E59</f>
        <v>0</v>
      </c>
      <c r="Z62" s="276">
        <f t="shared" si="47"/>
        <v>0</v>
      </c>
      <c r="AA62" s="275">
        <f t="shared" si="48"/>
        <v>0</v>
      </c>
      <c r="AB62" s="327">
        <f t="shared" si="49"/>
        <v>0</v>
      </c>
      <c r="AC62" s="278">
        <f t="shared" si="50"/>
        <v>0</v>
      </c>
      <c r="AD62" s="327">
        <f t="shared" si="51"/>
        <v>0</v>
      </c>
      <c r="AE62" s="276">
        <v>0</v>
      </c>
      <c r="AF62" s="327">
        <f t="shared" si="52"/>
        <v>0</v>
      </c>
      <c r="AG62" s="276">
        <f>+'[2]Table 5C1A-Madison Prep'!AI62+'[14]Table 5C1A-Madison Prep'!AI62+(6*'[20]Table 5C1A-Madison Prep'!AI62)</f>
        <v>0</v>
      </c>
      <c r="AH62" s="276">
        <f t="shared" si="53"/>
        <v>0</v>
      </c>
      <c r="AI62" s="327">
        <f t="shared" si="61"/>
        <v>0</v>
      </c>
      <c r="AJ62" s="277">
        <f t="shared" si="54"/>
        <v>0</v>
      </c>
      <c r="AK62" s="317">
        <f t="shared" si="62"/>
        <v>0</v>
      </c>
      <c r="AM62" s="273">
        <v>0</v>
      </c>
      <c r="AN62" s="273">
        <f t="shared" si="55"/>
        <v>0</v>
      </c>
      <c r="AO62" s="273">
        <f t="shared" si="56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2.1.14'!I59</f>
        <v>0</v>
      </c>
      <c r="D63" s="201">
        <f>'Table 3 Levels 1&amp;2'!AL60</f>
        <v>4625.9922979230687</v>
      </c>
      <c r="E63" s="202">
        <f t="shared" si="38"/>
        <v>0</v>
      </c>
      <c r="F63" s="202">
        <f>'Table 3A Level 3'!C62</f>
        <v>764.51</v>
      </c>
      <c r="G63" s="202">
        <f t="shared" si="39"/>
        <v>0</v>
      </c>
      <c r="H63" s="345">
        <f t="shared" si="40"/>
        <v>0</v>
      </c>
      <c r="I63" s="203">
        <f>'[1]Oct midyear Madison Prep'!K60</f>
        <v>0</v>
      </c>
      <c r="J63" s="203">
        <f>'[1]Feb midyear Madison Prep'!K60</f>
        <v>0</v>
      </c>
      <c r="K63" s="204">
        <f t="shared" si="41"/>
        <v>0</v>
      </c>
      <c r="L63" s="345">
        <f t="shared" si="57"/>
        <v>0</v>
      </c>
      <c r="M63" s="286">
        <f t="shared" si="42"/>
        <v>0</v>
      </c>
      <c r="N63" s="345">
        <f t="shared" si="43"/>
        <v>0</v>
      </c>
      <c r="O63" s="410">
        <v>0</v>
      </c>
      <c r="P63" s="351">
        <f t="shared" si="58"/>
        <v>0</v>
      </c>
      <c r="Q63" s="203">
        <f>+'[2]Table 5C1A-Madison Prep'!S63+'[14]Table 5C1A-Madison Prep'!S63+(6*'[20]Table 5C1A-Madison Prep'!S63)</f>
        <v>0</v>
      </c>
      <c r="R63" s="203">
        <f t="shared" si="44"/>
        <v>0</v>
      </c>
      <c r="S63" s="351">
        <f t="shared" si="59"/>
        <v>0</v>
      </c>
      <c r="T63" s="362">
        <f t="shared" si="45"/>
        <v>0</v>
      </c>
      <c r="U63" s="287">
        <f>'[13]FY2014-15 Final'!L60</f>
        <v>3465</v>
      </c>
      <c r="V63" s="328">
        <f t="shared" si="60"/>
        <v>0</v>
      </c>
      <c r="W63" s="410">
        <f>'[1]Oct midyear Madison Prep'!E60</f>
        <v>0</v>
      </c>
      <c r="X63" s="290">
        <f t="shared" si="46"/>
        <v>0</v>
      </c>
      <c r="Y63" s="289">
        <f>'[1]Feb midyear Madison Prep'!E60</f>
        <v>0</v>
      </c>
      <c r="Z63" s="290">
        <f t="shared" si="47"/>
        <v>0</v>
      </c>
      <c r="AA63" s="288">
        <f t="shared" si="48"/>
        <v>0</v>
      </c>
      <c r="AB63" s="328">
        <f t="shared" si="49"/>
        <v>0</v>
      </c>
      <c r="AC63" s="292">
        <f t="shared" si="50"/>
        <v>0</v>
      </c>
      <c r="AD63" s="328">
        <f t="shared" si="51"/>
        <v>0</v>
      </c>
      <c r="AE63" s="290">
        <v>0</v>
      </c>
      <c r="AF63" s="328">
        <f t="shared" si="52"/>
        <v>0</v>
      </c>
      <c r="AG63" s="290">
        <f>+'[2]Table 5C1A-Madison Prep'!AI63+'[14]Table 5C1A-Madison Prep'!AI63+(6*'[20]Table 5C1A-Madison Prep'!AI63)</f>
        <v>0</v>
      </c>
      <c r="AH63" s="290">
        <f t="shared" si="53"/>
        <v>0</v>
      </c>
      <c r="AI63" s="328">
        <f t="shared" si="61"/>
        <v>0</v>
      </c>
      <c r="AJ63" s="291">
        <f t="shared" si="54"/>
        <v>0</v>
      </c>
      <c r="AK63" s="318">
        <f t="shared" si="62"/>
        <v>0</v>
      </c>
      <c r="AM63" s="286">
        <v>0</v>
      </c>
      <c r="AN63" s="286">
        <f t="shared" si="55"/>
        <v>0</v>
      </c>
      <c r="AO63" s="286">
        <f t="shared" si="56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2.1.14'!I60</f>
        <v>0</v>
      </c>
      <c r="D64" s="201">
        <f>'Table 3 Levels 1&amp;2'!AL61</f>
        <v>5673.1129637882123</v>
      </c>
      <c r="E64" s="202">
        <f t="shared" si="38"/>
        <v>0</v>
      </c>
      <c r="F64" s="202">
        <f>'Table 3A Level 3'!C63</f>
        <v>697.04</v>
      </c>
      <c r="G64" s="202">
        <f t="shared" si="39"/>
        <v>0</v>
      </c>
      <c r="H64" s="345">
        <f t="shared" si="40"/>
        <v>0</v>
      </c>
      <c r="I64" s="203">
        <f>'[1]Oct midyear Madison Prep'!K61</f>
        <v>0</v>
      </c>
      <c r="J64" s="203">
        <f>'[1]Feb midyear Madison Prep'!K61</f>
        <v>0</v>
      </c>
      <c r="K64" s="204">
        <f t="shared" si="41"/>
        <v>0</v>
      </c>
      <c r="L64" s="345">
        <f t="shared" si="57"/>
        <v>0</v>
      </c>
      <c r="M64" s="286">
        <f t="shared" si="42"/>
        <v>0</v>
      </c>
      <c r="N64" s="345">
        <f t="shared" si="43"/>
        <v>0</v>
      </c>
      <c r="O64" s="410">
        <v>0</v>
      </c>
      <c r="P64" s="351">
        <f t="shared" si="58"/>
        <v>0</v>
      </c>
      <c r="Q64" s="203">
        <f>+'[2]Table 5C1A-Madison Prep'!S64+'[14]Table 5C1A-Madison Prep'!S64+(6*'[20]Table 5C1A-Madison Prep'!S64)</f>
        <v>0</v>
      </c>
      <c r="R64" s="203">
        <f t="shared" si="44"/>
        <v>0</v>
      </c>
      <c r="S64" s="351">
        <f t="shared" si="59"/>
        <v>0</v>
      </c>
      <c r="T64" s="362">
        <f t="shared" si="45"/>
        <v>0</v>
      </c>
      <c r="U64" s="287">
        <f>'[13]FY2014-15 Final'!L61</f>
        <v>2167</v>
      </c>
      <c r="V64" s="328">
        <f t="shared" si="60"/>
        <v>0</v>
      </c>
      <c r="W64" s="410">
        <f>'[1]Oct midyear Madison Prep'!E61</f>
        <v>0</v>
      </c>
      <c r="X64" s="290">
        <f t="shared" si="46"/>
        <v>0</v>
      </c>
      <c r="Y64" s="289">
        <f>'[1]Feb midyear Madison Prep'!E61</f>
        <v>0</v>
      </c>
      <c r="Z64" s="290">
        <f t="shared" si="47"/>
        <v>0</v>
      </c>
      <c r="AA64" s="288">
        <f t="shared" si="48"/>
        <v>0</v>
      </c>
      <c r="AB64" s="328">
        <f t="shared" si="49"/>
        <v>0</v>
      </c>
      <c r="AC64" s="292">
        <f t="shared" si="50"/>
        <v>0</v>
      </c>
      <c r="AD64" s="328">
        <f t="shared" si="51"/>
        <v>0</v>
      </c>
      <c r="AE64" s="290">
        <v>0</v>
      </c>
      <c r="AF64" s="328">
        <f t="shared" si="52"/>
        <v>0</v>
      </c>
      <c r="AG64" s="290">
        <f>+'[2]Table 5C1A-Madison Prep'!AI64+'[14]Table 5C1A-Madison Prep'!AI64+(6*'[20]Table 5C1A-Madison Prep'!AI64)</f>
        <v>0</v>
      </c>
      <c r="AH64" s="290">
        <f t="shared" si="53"/>
        <v>0</v>
      </c>
      <c r="AI64" s="328">
        <f t="shared" si="61"/>
        <v>0</v>
      </c>
      <c r="AJ64" s="291">
        <f t="shared" si="54"/>
        <v>0</v>
      </c>
      <c r="AK64" s="318">
        <f t="shared" si="62"/>
        <v>0</v>
      </c>
      <c r="AM64" s="286">
        <v>0</v>
      </c>
      <c r="AN64" s="286">
        <f t="shared" si="55"/>
        <v>0</v>
      </c>
      <c r="AO64" s="286">
        <f t="shared" si="56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2.1.14'!I61</f>
        <v>0</v>
      </c>
      <c r="D65" s="201">
        <f>'Table 3 Levels 1&amp;2'!AL62</f>
        <v>6621.946293521848</v>
      </c>
      <c r="E65" s="202">
        <f t="shared" si="38"/>
        <v>0</v>
      </c>
      <c r="F65" s="202">
        <f>'Table 3A Level 3'!C64</f>
        <v>689.52</v>
      </c>
      <c r="G65" s="202">
        <f t="shared" si="39"/>
        <v>0</v>
      </c>
      <c r="H65" s="345">
        <f t="shared" si="40"/>
        <v>0</v>
      </c>
      <c r="I65" s="203">
        <f>'[1]Oct midyear Madison Prep'!K62</f>
        <v>0</v>
      </c>
      <c r="J65" s="203">
        <f>'[1]Feb midyear Madison Prep'!K62</f>
        <v>0</v>
      </c>
      <c r="K65" s="204">
        <f t="shared" si="41"/>
        <v>0</v>
      </c>
      <c r="L65" s="345">
        <f t="shared" si="57"/>
        <v>0</v>
      </c>
      <c r="M65" s="286">
        <f t="shared" si="42"/>
        <v>0</v>
      </c>
      <c r="N65" s="345">
        <f t="shared" si="43"/>
        <v>0</v>
      </c>
      <c r="O65" s="410">
        <v>0</v>
      </c>
      <c r="P65" s="351">
        <f t="shared" si="58"/>
        <v>0</v>
      </c>
      <c r="Q65" s="203">
        <f>+'[2]Table 5C1A-Madison Prep'!S65+'[14]Table 5C1A-Madison Prep'!S65+(6*'[20]Table 5C1A-Madison Prep'!S65)</f>
        <v>0</v>
      </c>
      <c r="R65" s="203">
        <f t="shared" si="44"/>
        <v>0</v>
      </c>
      <c r="S65" s="351">
        <f t="shared" si="59"/>
        <v>0</v>
      </c>
      <c r="T65" s="362">
        <f t="shared" si="45"/>
        <v>0</v>
      </c>
      <c r="U65" s="287">
        <f>'[13]FY2014-15 Final'!L62</f>
        <v>1521</v>
      </c>
      <c r="V65" s="328">
        <f t="shared" si="60"/>
        <v>0</v>
      </c>
      <c r="W65" s="410">
        <f>'[1]Oct midyear Madison Prep'!E62</f>
        <v>0</v>
      </c>
      <c r="X65" s="290">
        <f t="shared" si="46"/>
        <v>0</v>
      </c>
      <c r="Y65" s="289">
        <f>'[1]Feb midyear Madison Prep'!E62</f>
        <v>0</v>
      </c>
      <c r="Z65" s="290">
        <f t="shared" si="47"/>
        <v>0</v>
      </c>
      <c r="AA65" s="288">
        <f t="shared" si="48"/>
        <v>0</v>
      </c>
      <c r="AB65" s="328">
        <f t="shared" si="49"/>
        <v>0</v>
      </c>
      <c r="AC65" s="292">
        <f t="shared" si="50"/>
        <v>0</v>
      </c>
      <c r="AD65" s="328">
        <f t="shared" si="51"/>
        <v>0</v>
      </c>
      <c r="AE65" s="290">
        <v>0</v>
      </c>
      <c r="AF65" s="328">
        <f t="shared" si="52"/>
        <v>0</v>
      </c>
      <c r="AG65" s="290">
        <f>+'[2]Table 5C1A-Madison Prep'!AI65+'[14]Table 5C1A-Madison Prep'!AI65+(6*'[20]Table 5C1A-Madison Prep'!AI65)</f>
        <v>0</v>
      </c>
      <c r="AH65" s="290">
        <f t="shared" si="53"/>
        <v>0</v>
      </c>
      <c r="AI65" s="328">
        <f t="shared" si="61"/>
        <v>0</v>
      </c>
      <c r="AJ65" s="291">
        <f t="shared" si="54"/>
        <v>0</v>
      </c>
      <c r="AK65" s="318">
        <f t="shared" si="62"/>
        <v>0</v>
      </c>
      <c r="AM65" s="286">
        <v>0</v>
      </c>
      <c r="AN65" s="286">
        <f t="shared" si="55"/>
        <v>0</v>
      </c>
      <c r="AO65" s="286">
        <f t="shared" si="56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2.1.14'!I62</f>
        <v>0</v>
      </c>
      <c r="D66" s="194">
        <f>'Table 3 Levels 1&amp;2'!AL63</f>
        <v>5301.224090063828</v>
      </c>
      <c r="E66" s="195">
        <f t="shared" si="38"/>
        <v>0</v>
      </c>
      <c r="F66" s="195">
        <f>'Table 3A Level 3'!C65</f>
        <v>594.04</v>
      </c>
      <c r="G66" s="195">
        <f t="shared" si="39"/>
        <v>0</v>
      </c>
      <c r="H66" s="346">
        <f t="shared" si="40"/>
        <v>0</v>
      </c>
      <c r="I66" s="196">
        <f>'[1]Oct midyear Madison Prep'!K63</f>
        <v>0</v>
      </c>
      <c r="J66" s="196">
        <f>'[1]Feb midyear Madison Prep'!K63</f>
        <v>0</v>
      </c>
      <c r="K66" s="197">
        <f t="shared" si="41"/>
        <v>0</v>
      </c>
      <c r="L66" s="346">
        <f t="shared" si="57"/>
        <v>0</v>
      </c>
      <c r="M66" s="296">
        <f t="shared" si="42"/>
        <v>0</v>
      </c>
      <c r="N66" s="346">
        <f t="shared" si="43"/>
        <v>0</v>
      </c>
      <c r="O66" s="411">
        <v>0</v>
      </c>
      <c r="P66" s="352">
        <f t="shared" si="58"/>
        <v>0</v>
      </c>
      <c r="Q66" s="622">
        <f>+'[2]Table 5C1A-Madison Prep'!S66+'[14]Table 5C1A-Madison Prep'!S66+(6*'[20]Table 5C1A-Madison Prep'!S66)</f>
        <v>0</v>
      </c>
      <c r="R66" s="196">
        <f t="shared" si="44"/>
        <v>0</v>
      </c>
      <c r="S66" s="356">
        <f t="shared" si="59"/>
        <v>0</v>
      </c>
      <c r="T66" s="356">
        <f t="shared" si="45"/>
        <v>0</v>
      </c>
      <c r="U66" s="281">
        <f>'[13]FY2014-15 Final'!L63</f>
        <v>4024</v>
      </c>
      <c r="V66" s="329">
        <f t="shared" si="60"/>
        <v>0</v>
      </c>
      <c r="W66" s="411">
        <f>'[1]Oct midyear Madison Prep'!E63</f>
        <v>0</v>
      </c>
      <c r="X66" s="282">
        <f t="shared" si="46"/>
        <v>0</v>
      </c>
      <c r="Y66" s="884">
        <f>'[1]Feb midyear Madison Prep'!E63</f>
        <v>0</v>
      </c>
      <c r="Z66" s="282">
        <f t="shared" si="47"/>
        <v>0</v>
      </c>
      <c r="AA66" s="283">
        <f t="shared" si="48"/>
        <v>0</v>
      </c>
      <c r="AB66" s="329">
        <f t="shared" si="49"/>
        <v>0</v>
      </c>
      <c r="AC66" s="298">
        <f t="shared" si="50"/>
        <v>0</v>
      </c>
      <c r="AD66" s="329">
        <f t="shared" si="51"/>
        <v>0</v>
      </c>
      <c r="AE66" s="282">
        <v>0</v>
      </c>
      <c r="AF66" s="329">
        <f t="shared" si="52"/>
        <v>0</v>
      </c>
      <c r="AG66" s="282">
        <f>+'[2]Table 5C1A-Madison Prep'!AI66+'[14]Table 5C1A-Madison Prep'!AI66+(6*'[20]Table 5C1A-Madison Prep'!AI66)</f>
        <v>0</v>
      </c>
      <c r="AH66" s="282">
        <f t="shared" si="53"/>
        <v>0</v>
      </c>
      <c r="AI66" s="329">
        <f t="shared" si="61"/>
        <v>0</v>
      </c>
      <c r="AJ66" s="297">
        <f t="shared" si="54"/>
        <v>0</v>
      </c>
      <c r="AK66" s="319">
        <f t="shared" si="62"/>
        <v>0</v>
      </c>
      <c r="AM66" s="296">
        <v>0</v>
      </c>
      <c r="AN66" s="296">
        <f t="shared" si="55"/>
        <v>0</v>
      </c>
      <c r="AO66" s="296">
        <f t="shared" si="56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2.1.14'!I63</f>
        <v>1</v>
      </c>
      <c r="D67" s="208">
        <f>'Table 3 Levels 1&amp;2'!AL64</f>
        <v>2854.1575356369185</v>
      </c>
      <c r="E67" s="209">
        <f t="shared" si="38"/>
        <v>2854.1575356369185</v>
      </c>
      <c r="F67" s="209">
        <f>'Table 3A Level 3'!C66</f>
        <v>833.70999999999992</v>
      </c>
      <c r="G67" s="209">
        <f t="shared" si="39"/>
        <v>833.70999999999992</v>
      </c>
      <c r="H67" s="344">
        <f t="shared" si="40"/>
        <v>3687.8675356369185</v>
      </c>
      <c r="I67" s="210">
        <f>'[1]Oct midyear Madison Prep'!K64</f>
        <v>3687.8675356369185</v>
      </c>
      <c r="J67" s="210">
        <f>'[1]Feb midyear Madison Prep'!K64</f>
        <v>0</v>
      </c>
      <c r="K67" s="211">
        <f t="shared" si="41"/>
        <v>3687.8675356369185</v>
      </c>
      <c r="L67" s="344">
        <f t="shared" si="57"/>
        <v>7375.7350712738371</v>
      </c>
      <c r="M67" s="273">
        <f t="shared" si="42"/>
        <v>-18.439337678184593</v>
      </c>
      <c r="N67" s="344">
        <f t="shared" si="43"/>
        <v>7357.2957335956526</v>
      </c>
      <c r="O67" s="409">
        <v>0</v>
      </c>
      <c r="P67" s="350">
        <f t="shared" si="58"/>
        <v>7357.2957335956526</v>
      </c>
      <c r="Q67" s="210">
        <f>+'[2]Table 5C1A-Madison Prep'!S67+'[14]Table 5C1A-Madison Prep'!S67+(6*'[20]Table 5C1A-Madison Prep'!S67)</f>
        <v>4658</v>
      </c>
      <c r="R67" s="210">
        <f t="shared" si="44"/>
        <v>2699.2957335956526</v>
      </c>
      <c r="S67" s="350">
        <f t="shared" si="59"/>
        <v>675</v>
      </c>
      <c r="T67" s="361">
        <f t="shared" si="45"/>
        <v>7357.2957335956526</v>
      </c>
      <c r="U67" s="274">
        <f>'[13]FY2014-15 Final'!L64</f>
        <v>6739</v>
      </c>
      <c r="V67" s="327">
        <f t="shared" si="60"/>
        <v>6739</v>
      </c>
      <c r="W67" s="409">
        <f>'[1]Oct midyear Madison Prep'!E64</f>
        <v>1</v>
      </c>
      <c r="X67" s="276">
        <f t="shared" si="46"/>
        <v>6739</v>
      </c>
      <c r="Y67" s="883">
        <f>'[1]Feb midyear Madison Prep'!E64</f>
        <v>0</v>
      </c>
      <c r="Z67" s="276">
        <f t="shared" si="47"/>
        <v>0</v>
      </c>
      <c r="AA67" s="275">
        <f t="shared" si="48"/>
        <v>6739</v>
      </c>
      <c r="AB67" s="327">
        <f t="shared" si="49"/>
        <v>13478</v>
      </c>
      <c r="AC67" s="278">
        <f t="shared" si="50"/>
        <v>-33.695</v>
      </c>
      <c r="AD67" s="327">
        <f t="shared" si="51"/>
        <v>13444.305</v>
      </c>
      <c r="AE67" s="276">
        <v>0</v>
      </c>
      <c r="AF67" s="327">
        <f t="shared" si="52"/>
        <v>13444.305</v>
      </c>
      <c r="AG67" s="276">
        <f>+'[2]Table 5C1A-Madison Prep'!AI67+'[14]Table 5C1A-Madison Prep'!AI67+(6*'[20]Table 5C1A-Madison Prep'!AI67)</f>
        <v>8520</v>
      </c>
      <c r="AH67" s="276">
        <f t="shared" si="53"/>
        <v>4924.3050000000003</v>
      </c>
      <c r="AI67" s="327">
        <f t="shared" si="61"/>
        <v>1231</v>
      </c>
      <c r="AJ67" s="277">
        <f t="shared" si="54"/>
        <v>20801.600733595653</v>
      </c>
      <c r="AK67" s="317">
        <f t="shared" si="62"/>
        <v>1906</v>
      </c>
      <c r="AM67" s="273">
        <v>-16.862500000000001</v>
      </c>
      <c r="AN67" s="273">
        <f t="shared" si="55"/>
        <v>-33.695</v>
      </c>
      <c r="AO67" s="273">
        <f t="shared" si="56"/>
        <v>-16.8325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2.1.14'!I64</f>
        <v>0</v>
      </c>
      <c r="D68" s="201">
        <f>'Table 3 Levels 1&amp;2'!AL65</f>
        <v>5901.074538516008</v>
      </c>
      <c r="E68" s="202">
        <f t="shared" si="38"/>
        <v>0</v>
      </c>
      <c r="F68" s="202">
        <f>'Table 3A Level 3'!C67</f>
        <v>516.08000000000004</v>
      </c>
      <c r="G68" s="202">
        <f t="shared" si="39"/>
        <v>0</v>
      </c>
      <c r="H68" s="345">
        <f t="shared" si="40"/>
        <v>0</v>
      </c>
      <c r="I68" s="203">
        <f>'[1]Oct midyear Madison Prep'!K65</f>
        <v>0</v>
      </c>
      <c r="J68" s="203">
        <f>'[1]Feb midyear Madison Prep'!K65</f>
        <v>0</v>
      </c>
      <c r="K68" s="204">
        <f t="shared" si="41"/>
        <v>0</v>
      </c>
      <c r="L68" s="345">
        <f t="shared" si="57"/>
        <v>0</v>
      </c>
      <c r="M68" s="286">
        <f t="shared" si="42"/>
        <v>0</v>
      </c>
      <c r="N68" s="345">
        <f t="shared" si="43"/>
        <v>0</v>
      </c>
      <c r="O68" s="410">
        <v>0</v>
      </c>
      <c r="P68" s="351">
        <f t="shared" si="58"/>
        <v>0</v>
      </c>
      <c r="Q68" s="203">
        <f>+'[2]Table 5C1A-Madison Prep'!S68+'[14]Table 5C1A-Madison Prep'!S68+(6*'[20]Table 5C1A-Madison Prep'!S68)</f>
        <v>0</v>
      </c>
      <c r="R68" s="203">
        <f t="shared" si="44"/>
        <v>0</v>
      </c>
      <c r="S68" s="351">
        <f t="shared" si="59"/>
        <v>0</v>
      </c>
      <c r="T68" s="362">
        <f t="shared" si="45"/>
        <v>0</v>
      </c>
      <c r="U68" s="287">
        <f>'[13]FY2014-15 Final'!L65</f>
        <v>2089</v>
      </c>
      <c r="V68" s="328">
        <f t="shared" si="60"/>
        <v>0</v>
      </c>
      <c r="W68" s="410">
        <f>'[1]Oct midyear Madison Prep'!E65</f>
        <v>0</v>
      </c>
      <c r="X68" s="290">
        <f t="shared" si="46"/>
        <v>0</v>
      </c>
      <c r="Y68" s="289">
        <f>'[1]Feb midyear Madison Prep'!E65</f>
        <v>0</v>
      </c>
      <c r="Z68" s="290">
        <f t="shared" si="47"/>
        <v>0</v>
      </c>
      <c r="AA68" s="288">
        <f t="shared" si="48"/>
        <v>0</v>
      </c>
      <c r="AB68" s="328">
        <f t="shared" si="49"/>
        <v>0</v>
      </c>
      <c r="AC68" s="292">
        <f t="shared" si="50"/>
        <v>0</v>
      </c>
      <c r="AD68" s="328">
        <f t="shared" si="51"/>
        <v>0</v>
      </c>
      <c r="AE68" s="290">
        <v>0</v>
      </c>
      <c r="AF68" s="328">
        <f t="shared" si="52"/>
        <v>0</v>
      </c>
      <c r="AG68" s="290">
        <f>+'[2]Table 5C1A-Madison Prep'!AI68+'[14]Table 5C1A-Madison Prep'!AI68+(6*'[20]Table 5C1A-Madison Prep'!AI68)</f>
        <v>0</v>
      </c>
      <c r="AH68" s="290">
        <f t="shared" si="53"/>
        <v>0</v>
      </c>
      <c r="AI68" s="328">
        <f t="shared" si="61"/>
        <v>0</v>
      </c>
      <c r="AJ68" s="291">
        <f t="shared" si="54"/>
        <v>0</v>
      </c>
      <c r="AK68" s="318">
        <f t="shared" si="62"/>
        <v>0</v>
      </c>
      <c r="AM68" s="286">
        <v>0</v>
      </c>
      <c r="AN68" s="286">
        <f t="shared" si="55"/>
        <v>0</v>
      </c>
      <c r="AO68" s="286">
        <f t="shared" si="56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2.1.14'!I65</f>
        <v>0</v>
      </c>
      <c r="D69" s="201">
        <f>'Table 3 Levels 1&amp;2'!AL66</f>
        <v>4124.3813481848092</v>
      </c>
      <c r="E69" s="202">
        <f t="shared" si="38"/>
        <v>0</v>
      </c>
      <c r="F69" s="202">
        <f>'Table 3A Level 3'!C68</f>
        <v>756.79</v>
      </c>
      <c r="G69" s="202">
        <f t="shared" si="39"/>
        <v>0</v>
      </c>
      <c r="H69" s="345">
        <f t="shared" si="40"/>
        <v>0</v>
      </c>
      <c r="I69" s="203">
        <f>'[1]Oct midyear Madison Prep'!K66</f>
        <v>0</v>
      </c>
      <c r="J69" s="203">
        <f>'[1]Feb midyear Madison Prep'!K66</f>
        <v>0</v>
      </c>
      <c r="K69" s="204">
        <f t="shared" si="41"/>
        <v>0</v>
      </c>
      <c r="L69" s="345">
        <f t="shared" si="57"/>
        <v>0</v>
      </c>
      <c r="M69" s="286">
        <f t="shared" si="42"/>
        <v>0</v>
      </c>
      <c r="N69" s="345">
        <f t="shared" si="43"/>
        <v>0</v>
      </c>
      <c r="O69" s="410">
        <v>0</v>
      </c>
      <c r="P69" s="351">
        <f t="shared" si="58"/>
        <v>0</v>
      </c>
      <c r="Q69" s="203">
        <f>+'[2]Table 5C1A-Madison Prep'!S69+'[14]Table 5C1A-Madison Prep'!S69+(6*'[20]Table 5C1A-Madison Prep'!S69)</f>
        <v>0</v>
      </c>
      <c r="R69" s="203">
        <f t="shared" si="44"/>
        <v>0</v>
      </c>
      <c r="S69" s="351">
        <f t="shared" si="59"/>
        <v>0</v>
      </c>
      <c r="T69" s="362">
        <f t="shared" si="45"/>
        <v>0</v>
      </c>
      <c r="U69" s="287">
        <f>'[13]FY2014-15 Final'!L66</f>
        <v>7403</v>
      </c>
      <c r="V69" s="328">
        <f t="shared" si="60"/>
        <v>0</v>
      </c>
      <c r="W69" s="410">
        <f>'[1]Oct midyear Madison Prep'!E66</f>
        <v>0</v>
      </c>
      <c r="X69" s="290">
        <f t="shared" si="46"/>
        <v>0</v>
      </c>
      <c r="Y69" s="289">
        <f>'[1]Feb midyear Madison Prep'!E66</f>
        <v>0</v>
      </c>
      <c r="Z69" s="290">
        <f t="shared" si="47"/>
        <v>0</v>
      </c>
      <c r="AA69" s="288">
        <f t="shared" si="48"/>
        <v>0</v>
      </c>
      <c r="AB69" s="328">
        <f t="shared" si="49"/>
        <v>0</v>
      </c>
      <c r="AC69" s="292">
        <f t="shared" si="50"/>
        <v>0</v>
      </c>
      <c r="AD69" s="328">
        <f t="shared" si="51"/>
        <v>0</v>
      </c>
      <c r="AE69" s="290">
        <v>0</v>
      </c>
      <c r="AF69" s="328">
        <f t="shared" si="52"/>
        <v>0</v>
      </c>
      <c r="AG69" s="290">
        <f>+'[2]Table 5C1A-Madison Prep'!AI69+'[14]Table 5C1A-Madison Prep'!AI69+(6*'[20]Table 5C1A-Madison Prep'!AI69)</f>
        <v>0</v>
      </c>
      <c r="AH69" s="290">
        <f t="shared" si="53"/>
        <v>0</v>
      </c>
      <c r="AI69" s="328">
        <f t="shared" si="61"/>
        <v>0</v>
      </c>
      <c r="AJ69" s="291">
        <f t="shared" si="54"/>
        <v>0</v>
      </c>
      <c r="AK69" s="318">
        <f t="shared" si="62"/>
        <v>0</v>
      </c>
      <c r="AM69" s="286">
        <v>0</v>
      </c>
      <c r="AN69" s="286">
        <f t="shared" si="55"/>
        <v>0</v>
      </c>
      <c r="AO69" s="286">
        <f t="shared" si="56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2.1.14'!I66</f>
        <v>0</v>
      </c>
      <c r="D70" s="201">
        <f>'Table 3 Levels 1&amp;2'!AL67</f>
        <v>6277.8307532778254</v>
      </c>
      <c r="E70" s="202">
        <f t="shared" si="38"/>
        <v>0</v>
      </c>
      <c r="F70" s="202">
        <f>'Table 3A Level 3'!C69</f>
        <v>592.66</v>
      </c>
      <c r="G70" s="202">
        <f t="shared" si="39"/>
        <v>0</v>
      </c>
      <c r="H70" s="345">
        <f t="shared" si="40"/>
        <v>0</v>
      </c>
      <c r="I70" s="203">
        <f>'[1]Oct midyear Madison Prep'!K67</f>
        <v>0</v>
      </c>
      <c r="J70" s="203">
        <f>'[1]Feb midyear Madison Prep'!K67</f>
        <v>0</v>
      </c>
      <c r="K70" s="204">
        <f t="shared" si="41"/>
        <v>0</v>
      </c>
      <c r="L70" s="345">
        <f t="shared" si="57"/>
        <v>0</v>
      </c>
      <c r="M70" s="286">
        <f t="shared" si="42"/>
        <v>0</v>
      </c>
      <c r="N70" s="345">
        <f t="shared" si="43"/>
        <v>0</v>
      </c>
      <c r="O70" s="410">
        <v>0</v>
      </c>
      <c r="P70" s="351">
        <f t="shared" si="58"/>
        <v>0</v>
      </c>
      <c r="Q70" s="203">
        <f>+'[2]Table 5C1A-Madison Prep'!S70+'[14]Table 5C1A-Madison Prep'!S70+(6*'[20]Table 5C1A-Madison Prep'!S70)</f>
        <v>0</v>
      </c>
      <c r="R70" s="203">
        <f t="shared" si="44"/>
        <v>0</v>
      </c>
      <c r="S70" s="351">
        <f t="shared" si="59"/>
        <v>0</v>
      </c>
      <c r="T70" s="362">
        <f t="shared" si="45"/>
        <v>0</v>
      </c>
      <c r="U70" s="287">
        <f>'[13]FY2014-15 Final'!L67</f>
        <v>2802</v>
      </c>
      <c r="V70" s="328">
        <f t="shared" si="60"/>
        <v>0</v>
      </c>
      <c r="W70" s="410">
        <f>'[1]Oct midyear Madison Prep'!E67</f>
        <v>0</v>
      </c>
      <c r="X70" s="290">
        <f t="shared" si="46"/>
        <v>0</v>
      </c>
      <c r="Y70" s="289">
        <f>'[1]Feb midyear Madison Prep'!E67</f>
        <v>0</v>
      </c>
      <c r="Z70" s="290">
        <f t="shared" si="47"/>
        <v>0</v>
      </c>
      <c r="AA70" s="288">
        <f t="shared" si="48"/>
        <v>0</v>
      </c>
      <c r="AB70" s="328">
        <f t="shared" si="49"/>
        <v>0</v>
      </c>
      <c r="AC70" s="292">
        <f t="shared" si="50"/>
        <v>0</v>
      </c>
      <c r="AD70" s="328">
        <f t="shared" si="51"/>
        <v>0</v>
      </c>
      <c r="AE70" s="290">
        <v>0</v>
      </c>
      <c r="AF70" s="328">
        <f t="shared" si="52"/>
        <v>0</v>
      </c>
      <c r="AG70" s="290">
        <f>+'[2]Table 5C1A-Madison Prep'!AI70+'[14]Table 5C1A-Madison Prep'!AI70+(6*'[20]Table 5C1A-Madison Prep'!AI70)</f>
        <v>0</v>
      </c>
      <c r="AH70" s="290">
        <f t="shared" si="53"/>
        <v>0</v>
      </c>
      <c r="AI70" s="328">
        <f t="shared" si="61"/>
        <v>0</v>
      </c>
      <c r="AJ70" s="291">
        <f t="shared" si="54"/>
        <v>0</v>
      </c>
      <c r="AK70" s="318">
        <f t="shared" si="62"/>
        <v>0</v>
      </c>
      <c r="AM70" s="286">
        <v>0</v>
      </c>
      <c r="AN70" s="286">
        <f t="shared" si="55"/>
        <v>0</v>
      </c>
      <c r="AO70" s="286">
        <f t="shared" si="56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2.1.14'!I67</f>
        <v>0</v>
      </c>
      <c r="D71" s="194">
        <f>'Table 3 Levels 1&amp;2'!AL68</f>
        <v>4775.1605543943642</v>
      </c>
      <c r="E71" s="195">
        <f t="shared" si="38"/>
        <v>0</v>
      </c>
      <c r="F71" s="195">
        <f>'Table 3A Level 3'!C70</f>
        <v>829.12</v>
      </c>
      <c r="G71" s="195">
        <f t="shared" si="39"/>
        <v>0</v>
      </c>
      <c r="H71" s="346">
        <f t="shared" si="40"/>
        <v>0</v>
      </c>
      <c r="I71" s="196">
        <f>'[1]Oct midyear Madison Prep'!K68</f>
        <v>0</v>
      </c>
      <c r="J71" s="196">
        <f>'[1]Feb midyear Madison Prep'!K68</f>
        <v>0</v>
      </c>
      <c r="K71" s="197">
        <f t="shared" si="41"/>
        <v>0</v>
      </c>
      <c r="L71" s="346">
        <f t="shared" ref="L71:L75" si="63">K71+H71</f>
        <v>0</v>
      </c>
      <c r="M71" s="296">
        <f t="shared" si="42"/>
        <v>0</v>
      </c>
      <c r="N71" s="346">
        <f t="shared" si="43"/>
        <v>0</v>
      </c>
      <c r="O71" s="411">
        <v>0</v>
      </c>
      <c r="P71" s="352">
        <f t="shared" ref="P71:P75" si="64">SUM(N71:O71)</f>
        <v>0</v>
      </c>
      <c r="Q71" s="622">
        <f>+'[2]Table 5C1A-Madison Prep'!S71+'[14]Table 5C1A-Madison Prep'!S71+(6*'[20]Table 5C1A-Madison Prep'!S71)</f>
        <v>0</v>
      </c>
      <c r="R71" s="196">
        <f t="shared" si="44"/>
        <v>0</v>
      </c>
      <c r="S71" s="356">
        <f t="shared" ref="S71:S75" si="65">ROUND(R71/$S$88,0)</f>
        <v>0</v>
      </c>
      <c r="T71" s="356">
        <f t="shared" si="45"/>
        <v>0</v>
      </c>
      <c r="U71" s="281">
        <f>'[13]FY2014-15 Final'!L68</f>
        <v>5215</v>
      </c>
      <c r="V71" s="329">
        <f t="shared" ref="V71:V75" si="66">C71*U71</f>
        <v>0</v>
      </c>
      <c r="W71" s="411">
        <f>'[1]Oct midyear Madison Prep'!E68</f>
        <v>0</v>
      </c>
      <c r="X71" s="282">
        <f t="shared" si="46"/>
        <v>0</v>
      </c>
      <c r="Y71" s="884">
        <f>'[1]Feb midyear Madison Prep'!E68</f>
        <v>0</v>
      </c>
      <c r="Z71" s="282">
        <f t="shared" si="47"/>
        <v>0</v>
      </c>
      <c r="AA71" s="283">
        <f t="shared" si="48"/>
        <v>0</v>
      </c>
      <c r="AB71" s="329">
        <f t="shared" si="49"/>
        <v>0</v>
      </c>
      <c r="AC71" s="298">
        <f t="shared" si="50"/>
        <v>0</v>
      </c>
      <c r="AD71" s="329">
        <f t="shared" si="51"/>
        <v>0</v>
      </c>
      <c r="AE71" s="282">
        <v>0</v>
      </c>
      <c r="AF71" s="329">
        <f t="shared" si="52"/>
        <v>0</v>
      </c>
      <c r="AG71" s="282">
        <f>+'[2]Table 5C1A-Madison Prep'!AI71+'[14]Table 5C1A-Madison Prep'!AI71+(6*'[20]Table 5C1A-Madison Prep'!AI71)</f>
        <v>0</v>
      </c>
      <c r="AH71" s="282">
        <f t="shared" si="53"/>
        <v>0</v>
      </c>
      <c r="AI71" s="329">
        <f t="shared" ref="AI71:AI75" si="67">ROUND(AH71/$AI$88,0)</f>
        <v>0</v>
      </c>
      <c r="AJ71" s="297">
        <f t="shared" si="54"/>
        <v>0</v>
      </c>
      <c r="AK71" s="319">
        <f t="shared" si="62"/>
        <v>0</v>
      </c>
      <c r="AM71" s="296">
        <v>0</v>
      </c>
      <c r="AN71" s="296">
        <f t="shared" si="55"/>
        <v>0</v>
      </c>
      <c r="AO71" s="296">
        <f t="shared" si="56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2.1.14'!I68</f>
        <v>0</v>
      </c>
      <c r="D72" s="208">
        <f>'Table 3 Levels 1&amp;2'!AL69</f>
        <v>6564.0085433910035</v>
      </c>
      <c r="E72" s="209">
        <f t="shared" ref="E72:E75" si="68">C72*D72</f>
        <v>0</v>
      </c>
      <c r="F72" s="209">
        <f>'Table 3A Level 3'!C71</f>
        <v>730.06</v>
      </c>
      <c r="G72" s="209">
        <f t="shared" ref="G72:G75" si="69">C72*F72</f>
        <v>0</v>
      </c>
      <c r="H72" s="344">
        <f t="shared" ref="H72:H75" si="70">E72+G72</f>
        <v>0</v>
      </c>
      <c r="I72" s="210">
        <f>'[1]Oct midyear Madison Prep'!K69</f>
        <v>0</v>
      </c>
      <c r="J72" s="210">
        <f>'[1]Feb midyear Madison Prep'!K69</f>
        <v>0</v>
      </c>
      <c r="K72" s="211">
        <f t="shared" ref="K72:K75" si="71">I72+J72</f>
        <v>0</v>
      </c>
      <c r="L72" s="344">
        <f t="shared" si="63"/>
        <v>0</v>
      </c>
      <c r="M72" s="273">
        <f t="shared" ref="M72:M75" si="72">-(0.25%*L72)</f>
        <v>0</v>
      </c>
      <c r="N72" s="344">
        <f t="shared" ref="N72:N75" si="73">SUM(L72:M72)</f>
        <v>0</v>
      </c>
      <c r="O72" s="409">
        <v>0</v>
      </c>
      <c r="P72" s="350">
        <f t="shared" si="64"/>
        <v>0</v>
      </c>
      <c r="Q72" s="210">
        <f>+'[2]Table 5C1A-Madison Prep'!S72+'[14]Table 5C1A-Madison Prep'!S72+(6*'[20]Table 5C1A-Madison Prep'!S72)</f>
        <v>0</v>
      </c>
      <c r="R72" s="210">
        <f t="shared" ref="R72:R75" si="74">P72-Q72</f>
        <v>0</v>
      </c>
      <c r="S72" s="350">
        <f t="shared" si="65"/>
        <v>0</v>
      </c>
      <c r="T72" s="361">
        <f t="shared" ref="T72:T74" si="75">+P72</f>
        <v>0</v>
      </c>
      <c r="U72" s="274">
        <f>'[13]FY2014-15 Final'!L69</f>
        <v>3609</v>
      </c>
      <c r="V72" s="327">
        <f t="shared" si="66"/>
        <v>0</v>
      </c>
      <c r="W72" s="409">
        <f>'[1]Oct midyear Madison Prep'!E69</f>
        <v>0</v>
      </c>
      <c r="X72" s="276">
        <f t="shared" ref="X72:X75" si="76">W72*U72</f>
        <v>0</v>
      </c>
      <c r="Y72" s="883">
        <f>'[1]Feb midyear Madison Prep'!E69</f>
        <v>0</v>
      </c>
      <c r="Z72" s="276">
        <f t="shared" ref="Z72:Z75" si="77">+U72*Y72*0.5</f>
        <v>0</v>
      </c>
      <c r="AA72" s="275">
        <f t="shared" ref="AA72:AA75" si="78">+X72+Z72</f>
        <v>0</v>
      </c>
      <c r="AB72" s="327">
        <f t="shared" ref="AB72:AB75" si="79">AA72+V72</f>
        <v>0</v>
      </c>
      <c r="AC72" s="278">
        <f t="shared" ref="AC72:AC75" si="80">-(0.25%*AB72)</f>
        <v>0</v>
      </c>
      <c r="AD72" s="327">
        <f t="shared" ref="AD72:AD75" si="81">SUM(AB72:AC72)</f>
        <v>0</v>
      </c>
      <c r="AE72" s="276">
        <v>0</v>
      </c>
      <c r="AF72" s="327">
        <f t="shared" ref="AF72:AF75" si="82">SUM(AD72:AE72)</f>
        <v>0</v>
      </c>
      <c r="AG72" s="276">
        <f>+'[2]Table 5C1A-Madison Prep'!AI72+'[14]Table 5C1A-Madison Prep'!AI72+(6*'[20]Table 5C1A-Madison Prep'!AI72)</f>
        <v>0</v>
      </c>
      <c r="AH72" s="276">
        <f t="shared" ref="AH72:AH75" si="83">AF72-AG72</f>
        <v>0</v>
      </c>
      <c r="AI72" s="327">
        <f t="shared" si="67"/>
        <v>0</v>
      </c>
      <c r="AJ72" s="277">
        <f t="shared" ref="AJ72:AJ75" si="84">T72+AF72</f>
        <v>0</v>
      </c>
      <c r="AK72" s="317">
        <f t="shared" si="62"/>
        <v>0</v>
      </c>
      <c r="AM72" s="310">
        <v>0</v>
      </c>
      <c r="AN72" s="310">
        <f t="shared" ref="AN72:AN75" si="85">+AC72</f>
        <v>0</v>
      </c>
      <c r="AO72" s="310">
        <f t="shared" si="56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2.1.14'!I69</f>
        <v>3</v>
      </c>
      <c r="D73" s="201">
        <f>'Table 3 Levels 1&amp;2'!AL70</f>
        <v>5029.1467736134118</v>
      </c>
      <c r="E73" s="202">
        <f t="shared" si="68"/>
        <v>15087.440320840236</v>
      </c>
      <c r="F73" s="202">
        <f>'Table 3A Level 3'!C72</f>
        <v>715.61</v>
      </c>
      <c r="G73" s="202">
        <f t="shared" si="69"/>
        <v>2146.83</v>
      </c>
      <c r="H73" s="345">
        <f t="shared" si="70"/>
        <v>17234.270320840238</v>
      </c>
      <c r="I73" s="203">
        <f>'[1]Oct midyear Madison Prep'!K70</f>
        <v>0</v>
      </c>
      <c r="J73" s="203">
        <f>'[1]Feb midyear Madison Prep'!K70</f>
        <v>0</v>
      </c>
      <c r="K73" s="204">
        <f t="shared" si="71"/>
        <v>0</v>
      </c>
      <c r="L73" s="345">
        <f t="shared" si="63"/>
        <v>17234.270320840238</v>
      </c>
      <c r="M73" s="286">
        <f t="shared" si="72"/>
        <v>-43.085675802100596</v>
      </c>
      <c r="N73" s="345">
        <f t="shared" si="73"/>
        <v>17191.184645038138</v>
      </c>
      <c r="O73" s="410">
        <v>0</v>
      </c>
      <c r="P73" s="351">
        <f t="shared" si="64"/>
        <v>17191.184645038138</v>
      </c>
      <c r="Q73" s="203">
        <f>+'[2]Table 5C1A-Madison Prep'!S73+'[14]Table 5C1A-Madison Prep'!S73+(6*'[20]Table 5C1A-Madison Prep'!S73)</f>
        <v>14693</v>
      </c>
      <c r="R73" s="203">
        <f t="shared" si="74"/>
        <v>2498.1846450381381</v>
      </c>
      <c r="S73" s="351">
        <f t="shared" si="65"/>
        <v>625</v>
      </c>
      <c r="T73" s="362">
        <f t="shared" si="75"/>
        <v>17191.184645038138</v>
      </c>
      <c r="U73" s="287">
        <f>'[13]FY2014-15 Final'!L70</f>
        <v>5069</v>
      </c>
      <c r="V73" s="328">
        <f t="shared" si="66"/>
        <v>15207</v>
      </c>
      <c r="W73" s="410">
        <f>'[1]Oct midyear Madison Prep'!E70</f>
        <v>0</v>
      </c>
      <c r="X73" s="290">
        <f t="shared" si="76"/>
        <v>0</v>
      </c>
      <c r="Y73" s="289">
        <f>'[1]Feb midyear Madison Prep'!E70</f>
        <v>0</v>
      </c>
      <c r="Z73" s="290">
        <f t="shared" si="77"/>
        <v>0</v>
      </c>
      <c r="AA73" s="288">
        <f t="shared" si="78"/>
        <v>0</v>
      </c>
      <c r="AB73" s="328">
        <f t="shared" si="79"/>
        <v>15207</v>
      </c>
      <c r="AC73" s="292">
        <f t="shared" si="80"/>
        <v>-38.017499999999998</v>
      </c>
      <c r="AD73" s="328">
        <f t="shared" si="81"/>
        <v>15168.9825</v>
      </c>
      <c r="AE73" s="290">
        <v>0</v>
      </c>
      <c r="AF73" s="328">
        <f t="shared" si="82"/>
        <v>15168.9825</v>
      </c>
      <c r="AG73" s="290">
        <f>+'[2]Table 5C1A-Madison Prep'!AI73+'[14]Table 5C1A-Madison Prep'!AI73+(6*'[20]Table 5C1A-Madison Prep'!AI73)</f>
        <v>12823</v>
      </c>
      <c r="AH73" s="290">
        <f t="shared" si="83"/>
        <v>2345.9825000000001</v>
      </c>
      <c r="AI73" s="328">
        <f t="shared" si="67"/>
        <v>586</v>
      </c>
      <c r="AJ73" s="291">
        <f t="shared" si="84"/>
        <v>32360.16714503814</v>
      </c>
      <c r="AK73" s="318">
        <f t="shared" si="62"/>
        <v>1211</v>
      </c>
      <c r="AM73" s="310">
        <v>-37.612500000000004</v>
      </c>
      <c r="AN73" s="310">
        <f t="shared" si="85"/>
        <v>-38.017499999999998</v>
      </c>
      <c r="AO73" s="310">
        <f t="shared" si="56"/>
        <v>-0.40499999999999403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2.1.14'!I70</f>
        <v>7</v>
      </c>
      <c r="D74" s="201">
        <f>'Table 3 Levels 1&amp;2'!AL71</f>
        <v>6390.1644202560601</v>
      </c>
      <c r="E74" s="202">
        <f t="shared" si="68"/>
        <v>44731.150941792424</v>
      </c>
      <c r="F74" s="202">
        <f>'Table 3A Level 3'!C73</f>
        <v>798.7</v>
      </c>
      <c r="G74" s="202">
        <f t="shared" si="69"/>
        <v>5590.9000000000005</v>
      </c>
      <c r="H74" s="345">
        <f t="shared" si="70"/>
        <v>50322.050941792426</v>
      </c>
      <c r="I74" s="203">
        <f>'[1]Oct midyear Madison Prep'!K71</f>
        <v>14377.72884051212</v>
      </c>
      <c r="J74" s="203">
        <f>'[1]Feb midyear Madison Prep'!K71</f>
        <v>-3594.43221012803</v>
      </c>
      <c r="K74" s="204">
        <f t="shared" si="71"/>
        <v>10783.296630384089</v>
      </c>
      <c r="L74" s="345">
        <f t="shared" si="63"/>
        <v>61105.347572176513</v>
      </c>
      <c r="M74" s="286">
        <f t="shared" si="72"/>
        <v>-152.76336893044129</v>
      </c>
      <c r="N74" s="345">
        <f t="shared" si="73"/>
        <v>60952.584203246071</v>
      </c>
      <c r="O74" s="410">
        <v>0</v>
      </c>
      <c r="P74" s="351">
        <f t="shared" si="64"/>
        <v>60952.584203246071</v>
      </c>
      <c r="Q74" s="203">
        <f>+'[2]Table 5C1A-Madison Prep'!S74+'[14]Table 5C1A-Madison Prep'!S74+(6*'[20]Table 5C1A-Madison Prep'!S74)</f>
        <v>55498</v>
      </c>
      <c r="R74" s="203">
        <f t="shared" si="74"/>
        <v>5454.5842032460714</v>
      </c>
      <c r="S74" s="351">
        <f t="shared" si="65"/>
        <v>1364</v>
      </c>
      <c r="T74" s="362">
        <f t="shared" si="75"/>
        <v>60952.584203246071</v>
      </c>
      <c r="U74" s="287">
        <f>'[13]FY2014-15 Final'!L71</f>
        <v>2880</v>
      </c>
      <c r="V74" s="328">
        <f t="shared" si="66"/>
        <v>20160</v>
      </c>
      <c r="W74" s="410">
        <f>'[1]Oct midyear Madison Prep'!E71</f>
        <v>2</v>
      </c>
      <c r="X74" s="290">
        <f>W74*U74</f>
        <v>5760</v>
      </c>
      <c r="Y74" s="289">
        <f>'[1]Feb midyear Madison Prep'!E71</f>
        <v>-1</v>
      </c>
      <c r="Z74" s="290">
        <f t="shared" si="77"/>
        <v>-1440</v>
      </c>
      <c r="AA74" s="288">
        <f t="shared" si="78"/>
        <v>4320</v>
      </c>
      <c r="AB74" s="328">
        <f t="shared" si="79"/>
        <v>24480</v>
      </c>
      <c r="AC74" s="292">
        <f t="shared" si="80"/>
        <v>-61.2</v>
      </c>
      <c r="AD74" s="328">
        <f t="shared" si="81"/>
        <v>24418.799999999999</v>
      </c>
      <c r="AE74" s="290">
        <v>0</v>
      </c>
      <c r="AF74" s="328">
        <f t="shared" si="82"/>
        <v>24418.799999999999</v>
      </c>
      <c r="AG74" s="290">
        <f>+'[2]Table 5C1A-Madison Prep'!AI74+'[14]Table 5C1A-Madison Prep'!AI74+(6*'[20]Table 5C1A-Madison Prep'!AI74)</f>
        <v>20606</v>
      </c>
      <c r="AH74" s="290">
        <f t="shared" si="83"/>
        <v>3812.7999999999993</v>
      </c>
      <c r="AI74" s="328">
        <f t="shared" si="67"/>
        <v>953</v>
      </c>
      <c r="AJ74" s="291">
        <f t="shared" si="84"/>
        <v>85371.384203246067</v>
      </c>
      <c r="AK74" s="318">
        <f t="shared" si="62"/>
        <v>2317</v>
      </c>
      <c r="AM74" s="310">
        <v>-46.707500000000003</v>
      </c>
      <c r="AN74" s="310">
        <f t="shared" si="85"/>
        <v>-61.2</v>
      </c>
      <c r="AO74" s="310">
        <f t="shared" si="56"/>
        <v>-14.4925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2.1.14'!I71</f>
        <v>1</v>
      </c>
      <c r="D75" s="201">
        <f>'Table 3 Levels 1&amp;2'!AL72</f>
        <v>5722.4947921281337</v>
      </c>
      <c r="E75" s="202">
        <f t="shared" si="68"/>
        <v>5722.4947921281337</v>
      </c>
      <c r="F75" s="202">
        <f>'Table 3A Level 3'!C74</f>
        <v>705.67</v>
      </c>
      <c r="G75" s="202">
        <f t="shared" si="69"/>
        <v>705.67</v>
      </c>
      <c r="H75" s="345">
        <f t="shared" si="70"/>
        <v>6428.1647921281337</v>
      </c>
      <c r="I75" s="203">
        <f>'[1]Oct midyear Madison Prep'!K72</f>
        <v>-6428.1647921281337</v>
      </c>
      <c r="J75" s="203">
        <f>'[1]Feb midyear Madison Prep'!K72</f>
        <v>0</v>
      </c>
      <c r="K75" s="204">
        <f t="shared" si="71"/>
        <v>-6428.1647921281337</v>
      </c>
      <c r="L75" s="345">
        <f t="shared" si="63"/>
        <v>0</v>
      </c>
      <c r="M75" s="286">
        <f t="shared" si="72"/>
        <v>0</v>
      </c>
      <c r="N75" s="345">
        <f t="shared" si="73"/>
        <v>0</v>
      </c>
      <c r="O75" s="410">
        <v>0</v>
      </c>
      <c r="P75" s="351">
        <f t="shared" si="64"/>
        <v>0</v>
      </c>
      <c r="Q75" s="203">
        <f>+'[2]Table 5C1A-Madison Prep'!S75+'[14]Table 5C1A-Madison Prep'!S75+(6*'[20]Table 5C1A-Madison Prep'!S75)</f>
        <v>191</v>
      </c>
      <c r="R75" s="203">
        <f t="shared" si="74"/>
        <v>-191</v>
      </c>
      <c r="S75" s="351">
        <f t="shared" si="65"/>
        <v>-48</v>
      </c>
      <c r="T75" s="362">
        <f>+P75</f>
        <v>0</v>
      </c>
      <c r="U75" s="287">
        <f>'[13]FY2014-15 Final'!L72</f>
        <v>3330</v>
      </c>
      <c r="V75" s="328">
        <f t="shared" si="66"/>
        <v>3330</v>
      </c>
      <c r="W75" s="410">
        <f>'[1]Oct midyear Madison Prep'!E72</f>
        <v>-1</v>
      </c>
      <c r="X75" s="290">
        <f t="shared" si="76"/>
        <v>-3330</v>
      </c>
      <c r="Y75" s="289">
        <f>'[1]Feb midyear Madison Prep'!E72</f>
        <v>0</v>
      </c>
      <c r="Z75" s="290">
        <f t="shared" si="77"/>
        <v>0</v>
      </c>
      <c r="AA75" s="288">
        <f t="shared" si="78"/>
        <v>-3330</v>
      </c>
      <c r="AB75" s="328">
        <f t="shared" si="79"/>
        <v>0</v>
      </c>
      <c r="AC75" s="292">
        <f t="shared" si="80"/>
        <v>0</v>
      </c>
      <c r="AD75" s="328">
        <f t="shared" si="81"/>
        <v>0</v>
      </c>
      <c r="AE75" s="290">
        <v>0</v>
      </c>
      <c r="AF75" s="328">
        <f t="shared" si="82"/>
        <v>0</v>
      </c>
      <c r="AG75" s="290">
        <f>+'[2]Table 5C1A-Madison Prep'!AI75+'[14]Table 5C1A-Madison Prep'!AI75+(6*'[20]Table 5C1A-Madison Prep'!AI75)</f>
        <v>100</v>
      </c>
      <c r="AH75" s="290">
        <f t="shared" si="83"/>
        <v>-100</v>
      </c>
      <c r="AI75" s="328">
        <f t="shared" si="67"/>
        <v>-25</v>
      </c>
      <c r="AJ75" s="291">
        <f t="shared" si="84"/>
        <v>0</v>
      </c>
      <c r="AK75" s="318">
        <f t="shared" si="62"/>
        <v>-73</v>
      </c>
      <c r="AM75" s="300">
        <v>-8.4849999999999994</v>
      </c>
      <c r="AN75" s="300">
        <f t="shared" si="85"/>
        <v>0</v>
      </c>
      <c r="AO75" s="300">
        <f t="shared" si="56"/>
        <v>8.4849999999999994</v>
      </c>
    </row>
    <row r="76" spans="1:41" ht="16.149999999999999" customHeight="1" thickBot="1">
      <c r="A76" s="1442" t="s">
        <v>711</v>
      </c>
      <c r="B76" s="1415"/>
      <c r="C76" s="1001">
        <f>SUM(C7:C75)</f>
        <v>275</v>
      </c>
      <c r="D76" s="28">
        <f>'Table 3 Levels 1&amp;2'!AL73</f>
        <v>4479.9292126977662</v>
      </c>
      <c r="E76" s="35">
        <f>SUM(E7:E75)</f>
        <v>952269.60327482305</v>
      </c>
      <c r="F76" s="35">
        <f>'Table 3A Level 3'!C75</f>
        <v>704.64781030742063</v>
      </c>
      <c r="G76" s="35">
        <f>SUM(G7:G75)</f>
        <v>220118.4975320338</v>
      </c>
      <c r="H76" s="348">
        <f>SUM(H7:H75)</f>
        <v>1172388.100806857</v>
      </c>
      <c r="I76" s="37">
        <f>SUM(I7:I75)</f>
        <v>299027.65219257365</v>
      </c>
      <c r="J76" s="69">
        <f>SUM(J7:J75)</f>
        <v>-16089.659193108584</v>
      </c>
      <c r="K76" s="62">
        <f t="shared" ref="K76:T76" si="86">SUM(K7:K75)</f>
        <v>282937.99299946509</v>
      </c>
      <c r="L76" s="368">
        <f t="shared" si="86"/>
        <v>1455326.093806322</v>
      </c>
      <c r="M76" s="36">
        <f t="shared" si="86"/>
        <v>-3638.3152345158051</v>
      </c>
      <c r="N76" s="348">
        <f t="shared" si="86"/>
        <v>1451687.7785718061</v>
      </c>
      <c r="O76" s="414">
        <f t="shared" si="86"/>
        <v>-6040</v>
      </c>
      <c r="P76" s="354">
        <f t="shared" si="86"/>
        <v>1445647.7785718061</v>
      </c>
      <c r="Q76" s="66">
        <f t="shared" si="86"/>
        <v>971424</v>
      </c>
      <c r="R76" s="82">
        <f t="shared" si="86"/>
        <v>474223.77857180621</v>
      </c>
      <c r="S76" s="354">
        <f t="shared" si="86"/>
        <v>118556</v>
      </c>
      <c r="T76" s="363">
        <f t="shared" si="86"/>
        <v>1445647.7785718061</v>
      </c>
      <c r="U76" s="83">
        <f>'[13]FY2014-15 Final'!L73</f>
        <v>4703</v>
      </c>
      <c r="V76" s="330">
        <f t="shared" ref="V76:AK76" si="87">SUM(V7:V75)</f>
        <v>1878435</v>
      </c>
      <c r="W76" s="1001">
        <f t="shared" si="87"/>
        <v>71</v>
      </c>
      <c r="X76" s="73">
        <f t="shared" si="87"/>
        <v>488995</v>
      </c>
      <c r="Y76" s="74">
        <f t="shared" si="87"/>
        <v>-7</v>
      </c>
      <c r="Z76" s="75">
        <f t="shared" si="87"/>
        <v>-22302</v>
      </c>
      <c r="AA76" s="63">
        <f t="shared" si="87"/>
        <v>466693</v>
      </c>
      <c r="AB76" s="336">
        <f t="shared" si="87"/>
        <v>2345128</v>
      </c>
      <c r="AC76" s="37">
        <f t="shared" si="87"/>
        <v>-5862.8199999999988</v>
      </c>
      <c r="AD76" s="330">
        <f t="shared" si="87"/>
        <v>2339265.1800000002</v>
      </c>
      <c r="AE76" s="85">
        <f t="shared" si="87"/>
        <v>0</v>
      </c>
      <c r="AF76" s="330">
        <f t="shared" si="87"/>
        <v>2339265.1800000002</v>
      </c>
      <c r="AG76" s="85">
        <f t="shared" si="87"/>
        <v>1570272</v>
      </c>
      <c r="AH76" s="85">
        <f t="shared" si="87"/>
        <v>768993.1800000004</v>
      </c>
      <c r="AI76" s="330">
        <f t="shared" si="87"/>
        <v>192247</v>
      </c>
      <c r="AJ76" s="339">
        <f t="shared" si="87"/>
        <v>3784912.9585718061</v>
      </c>
      <c r="AK76" s="339">
        <f t="shared" si="87"/>
        <v>310803</v>
      </c>
      <c r="AM76" s="36">
        <f>SUM(AM7:AM75)</f>
        <v>-4752.55</v>
      </c>
      <c r="AN76" s="36">
        <f>SUM(AN7:AN75)</f>
        <v>-5862.8199999999988</v>
      </c>
      <c r="AO76" s="36">
        <f>SUM(AO7:AO75)</f>
        <v>-1110.2699999999998</v>
      </c>
    </row>
    <row r="77" spans="1:41" ht="16.149999999999999" customHeight="1" thickTop="1">
      <c r="A77" s="1443" t="s">
        <v>705</v>
      </c>
      <c r="B77" s="1444"/>
      <c r="C77" s="1002"/>
      <c r="D77" s="220"/>
      <c r="E77" s="221"/>
      <c r="F77" s="221"/>
      <c r="G77" s="221"/>
      <c r="H77" s="221"/>
      <c r="I77" s="222"/>
      <c r="J77" s="222"/>
      <c r="K77" s="222"/>
      <c r="L77" s="222"/>
      <c r="M77" s="222"/>
      <c r="N77" s="222"/>
      <c r="O77" s="412"/>
      <c r="P77" s="351">
        <f>+'Table 4 Level 4'!$E$97</f>
        <v>0</v>
      </c>
      <c r="Q77" s="203">
        <f>+'[2]Table 5C1A-Madison Prep'!S77+'[14]Table 5C1A-Madison Prep'!S77+(6*'[20]Table 5C1A-Madison Prep'!S77)</f>
        <v>0</v>
      </c>
      <c r="R77" s="222">
        <f t="shared" ref="R77" si="88">P77-Q77</f>
        <v>0</v>
      </c>
      <c r="S77" s="351">
        <f t="shared" ref="S77:S81" si="89">ROUND(R77/$S$88,0)</f>
        <v>0</v>
      </c>
      <c r="T77" s="362">
        <f>+'Table 4 Level 4'!$E$97</f>
        <v>0</v>
      </c>
      <c r="U77" s="311"/>
      <c r="V77" s="222"/>
      <c r="W77" s="412"/>
      <c r="X77" s="222"/>
      <c r="Y77" s="41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91">
        <f t="shared" ref="AJ77" si="90">T77+AF77</f>
        <v>0</v>
      </c>
      <c r="AK77" s="291">
        <f t="shared" ref="AK77:AK81" si="91">S77+AI77</f>
        <v>0</v>
      </c>
    </row>
    <row r="78" spans="1:41" ht="16.149999999999999" customHeight="1">
      <c r="A78" s="1516" t="s">
        <v>706</v>
      </c>
      <c r="B78" s="1517"/>
      <c r="C78" s="1002"/>
      <c r="D78" s="220"/>
      <c r="E78" s="221"/>
      <c r="F78" s="221"/>
      <c r="G78" s="221"/>
      <c r="H78" s="221"/>
      <c r="I78" s="222"/>
      <c r="J78" s="222"/>
      <c r="K78" s="222"/>
      <c r="L78" s="222"/>
      <c r="M78" s="222"/>
      <c r="N78" s="222"/>
      <c r="O78" s="412"/>
      <c r="P78" s="286"/>
      <c r="Q78" s="203"/>
      <c r="R78" s="222"/>
      <c r="S78" s="286"/>
      <c r="T78" s="362">
        <f>+'Table 4 Level 4'!$J$97</f>
        <v>0</v>
      </c>
      <c r="U78" s="311"/>
      <c r="V78" s="222"/>
      <c r="W78" s="412"/>
      <c r="X78" s="222"/>
      <c r="Y78" s="41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91">
        <f>T78+AF78</f>
        <v>0</v>
      </c>
      <c r="AK78" s="290"/>
    </row>
    <row r="79" spans="1:41" ht="16.149999999999999" customHeight="1">
      <c r="A79" s="1516" t="s">
        <v>707</v>
      </c>
      <c r="B79" s="1517"/>
      <c r="C79" s="1002"/>
      <c r="D79" s="220"/>
      <c r="E79" s="221"/>
      <c r="F79" s="221"/>
      <c r="G79" s="221"/>
      <c r="H79" s="221"/>
      <c r="I79" s="222"/>
      <c r="J79" s="222"/>
      <c r="K79" s="222"/>
      <c r="L79" s="222"/>
      <c r="M79" s="222"/>
      <c r="N79" s="222"/>
      <c r="O79" s="412"/>
      <c r="P79" s="286"/>
      <c r="Q79" s="203"/>
      <c r="R79" s="222"/>
      <c r="S79" s="286"/>
      <c r="T79" s="362">
        <f>+'Table 4 Level 4'!$L$97</f>
        <v>10000</v>
      </c>
      <c r="U79" s="311"/>
      <c r="V79" s="222"/>
      <c r="W79" s="412"/>
      <c r="X79" s="222"/>
      <c r="Y79" s="41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91">
        <f t="shared" ref="AJ79:AJ81" si="92">T79+AF79</f>
        <v>10000</v>
      </c>
      <c r="AK79" s="290"/>
    </row>
    <row r="80" spans="1:41" ht="16.149999999999999" customHeight="1">
      <c r="A80" s="1516" t="s">
        <v>708</v>
      </c>
      <c r="B80" s="1517"/>
      <c r="C80" s="1002"/>
      <c r="D80" s="220"/>
      <c r="E80" s="221"/>
      <c r="F80" s="221"/>
      <c r="G80" s="221"/>
      <c r="H80" s="221"/>
      <c r="I80" s="222"/>
      <c r="J80" s="222"/>
      <c r="K80" s="222"/>
      <c r="L80" s="222"/>
      <c r="M80" s="222"/>
      <c r="N80" s="222"/>
      <c r="O80" s="412"/>
      <c r="P80" s="286"/>
      <c r="Q80" s="203"/>
      <c r="R80" s="222"/>
      <c r="S80" s="286"/>
      <c r="T80" s="362">
        <f>+'Table 4 Level 4'!$M$97</f>
        <v>0</v>
      </c>
      <c r="U80" s="311"/>
      <c r="V80" s="222"/>
      <c r="W80" s="412"/>
      <c r="X80" s="222"/>
      <c r="Y80" s="41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91">
        <f t="shared" si="92"/>
        <v>0</v>
      </c>
      <c r="AK80" s="290"/>
    </row>
    <row r="81" spans="1:37" ht="16.149999999999999" customHeight="1">
      <c r="A81" s="1438" t="s">
        <v>709</v>
      </c>
      <c r="B81" s="1439"/>
      <c r="C81" s="1003"/>
      <c r="D81" s="303"/>
      <c r="E81" s="304"/>
      <c r="F81" s="304"/>
      <c r="G81" s="304"/>
      <c r="H81" s="304"/>
      <c r="I81" s="305"/>
      <c r="J81" s="305"/>
      <c r="K81" s="305"/>
      <c r="L81" s="305"/>
      <c r="M81" s="305"/>
      <c r="N81" s="305"/>
      <c r="O81" s="415"/>
      <c r="P81" s="356">
        <f>+'Table 4 Level 4'!$O$97</f>
        <v>7150</v>
      </c>
      <c r="Q81" s="622">
        <f>+'[2]Table 5C1A-Madison Prep'!S81+'[14]Table 5C1A-Madison Prep'!S81+(6*'[20]Table 5C1A-Madison Prep'!S81)</f>
        <v>4768</v>
      </c>
      <c r="R81" s="305">
        <f t="shared" ref="R81" si="93">P81-Q81</f>
        <v>2382</v>
      </c>
      <c r="S81" s="356">
        <f t="shared" si="89"/>
        <v>596</v>
      </c>
      <c r="T81" s="356">
        <f>P81</f>
        <v>7150</v>
      </c>
      <c r="U81" s="306"/>
      <c r="V81" s="305"/>
      <c r="W81" s="415"/>
      <c r="X81" s="305"/>
      <c r="Y81" s="415"/>
      <c r="Z81" s="305"/>
      <c r="AA81" s="305"/>
      <c r="AB81" s="305"/>
      <c r="AC81" s="305"/>
      <c r="AD81" s="305"/>
      <c r="AE81" s="305"/>
      <c r="AF81" s="305"/>
      <c r="AG81" s="305"/>
      <c r="AH81" s="305"/>
      <c r="AI81" s="305"/>
      <c r="AJ81" s="340">
        <f t="shared" si="92"/>
        <v>7150</v>
      </c>
      <c r="AK81" s="340">
        <f t="shared" si="91"/>
        <v>596</v>
      </c>
    </row>
    <row r="82" spans="1:37" ht="16.149999999999999" customHeight="1" thickBot="1">
      <c r="A82" s="1442" t="s">
        <v>710</v>
      </c>
      <c r="B82" s="1415"/>
      <c r="C82" s="1001">
        <f>SUM(C76:C81)</f>
        <v>275</v>
      </c>
      <c r="D82" s="28">
        <f>'Table 3 Levels 1&amp;2'!AL73</f>
        <v>4479.9292126977662</v>
      </c>
      <c r="E82" s="35">
        <f t="shared" ref="E82:AK82" si="94">SUM(E76:E81)</f>
        <v>952269.60327482305</v>
      </c>
      <c r="F82" s="35">
        <f t="shared" si="94"/>
        <v>704.64781030742063</v>
      </c>
      <c r="G82" s="35">
        <f t="shared" si="94"/>
        <v>220118.4975320338</v>
      </c>
      <c r="H82" s="28">
        <f t="shared" si="94"/>
        <v>1172388.100806857</v>
      </c>
      <c r="I82" s="37">
        <f t="shared" si="94"/>
        <v>299027.65219257365</v>
      </c>
      <c r="J82" s="69">
        <f t="shared" si="94"/>
        <v>-16089.659193108584</v>
      </c>
      <c r="K82" s="69">
        <f t="shared" si="94"/>
        <v>282937.99299946509</v>
      </c>
      <c r="L82" s="116">
        <f t="shared" si="94"/>
        <v>1455326.093806322</v>
      </c>
      <c r="M82" s="66">
        <f t="shared" si="94"/>
        <v>-3638.3152345158051</v>
      </c>
      <c r="N82" s="28">
        <f t="shared" si="94"/>
        <v>1451687.7785718061</v>
      </c>
      <c r="O82" s="414">
        <f t="shared" si="94"/>
        <v>-6040</v>
      </c>
      <c r="P82" s="354">
        <f t="shared" si="94"/>
        <v>1452797.7785718061</v>
      </c>
      <c r="Q82" s="66">
        <f t="shared" si="94"/>
        <v>976192</v>
      </c>
      <c r="R82" s="82">
        <f t="shared" si="94"/>
        <v>476605.77857180621</v>
      </c>
      <c r="S82" s="354">
        <f t="shared" si="94"/>
        <v>119152</v>
      </c>
      <c r="T82" s="363">
        <f t="shared" si="94"/>
        <v>1462797.7785718061</v>
      </c>
      <c r="U82" s="83">
        <f t="shared" si="94"/>
        <v>4703</v>
      </c>
      <c r="V82" s="85">
        <f t="shared" si="94"/>
        <v>1878435</v>
      </c>
      <c r="W82" s="1001">
        <f t="shared" si="94"/>
        <v>71</v>
      </c>
      <c r="X82" s="73">
        <f t="shared" si="94"/>
        <v>488995</v>
      </c>
      <c r="Y82" s="74">
        <f t="shared" si="94"/>
        <v>-7</v>
      </c>
      <c r="Z82" s="75">
        <f t="shared" si="94"/>
        <v>-22302</v>
      </c>
      <c r="AA82" s="75">
        <f t="shared" si="94"/>
        <v>466693</v>
      </c>
      <c r="AB82" s="73">
        <f t="shared" si="94"/>
        <v>2345128</v>
      </c>
      <c r="AC82" s="85">
        <f t="shared" si="94"/>
        <v>-5862.8199999999988</v>
      </c>
      <c r="AD82" s="85">
        <f t="shared" si="94"/>
        <v>2339265.1800000002</v>
      </c>
      <c r="AE82" s="85">
        <f t="shared" si="94"/>
        <v>0</v>
      </c>
      <c r="AF82" s="85">
        <f t="shared" si="94"/>
        <v>2339265.1800000002</v>
      </c>
      <c r="AG82" s="85">
        <f t="shared" si="94"/>
        <v>1570272</v>
      </c>
      <c r="AH82" s="85">
        <f t="shared" si="94"/>
        <v>768993.1800000004</v>
      </c>
      <c r="AI82" s="85">
        <f t="shared" si="94"/>
        <v>192247</v>
      </c>
      <c r="AJ82" s="339">
        <f t="shared" si="94"/>
        <v>3802062.9585718061</v>
      </c>
      <c r="AK82" s="339">
        <f t="shared" si="94"/>
        <v>311399</v>
      </c>
    </row>
    <row r="83" spans="1:37" ht="16.149999999999999" hidden="1" customHeight="1" thickTop="1">
      <c r="I83" s="627"/>
      <c r="J83" s="627"/>
      <c r="K83" s="627"/>
    </row>
    <row r="84" spans="1:37" ht="16.149999999999999" hidden="1" customHeight="1">
      <c r="I84" s="627"/>
      <c r="J84" s="627"/>
      <c r="K84" s="627"/>
      <c r="M84" s="627">
        <v>-2930.9702520171427</v>
      </c>
      <c r="N84" s="747" t="s">
        <v>1044</v>
      </c>
    </row>
    <row r="85" spans="1:37" ht="16.149999999999999" hidden="1" customHeight="1">
      <c r="I85" s="627"/>
      <c r="J85" s="627"/>
      <c r="K85" s="627"/>
      <c r="M85" s="627">
        <f>M82-M84</f>
        <v>-707.34498249866238</v>
      </c>
      <c r="N85" s="747" t="s">
        <v>1045</v>
      </c>
    </row>
    <row r="86" spans="1:37" ht="16.149999999999999" customHeight="1" thickTop="1">
      <c r="I86" s="627"/>
      <c r="J86" s="627"/>
      <c r="K86" s="627"/>
      <c r="M86" s="627"/>
    </row>
    <row r="87" spans="1:37" ht="16.149999999999999" customHeight="1">
      <c r="I87" s="627"/>
      <c r="J87" s="627"/>
      <c r="K87" s="627"/>
      <c r="M87" s="627"/>
    </row>
    <row r="88" spans="1:37" ht="16.149999999999999" hidden="1" customHeight="1">
      <c r="M88" s="627"/>
      <c r="R88" s="427" t="str">
        <f>'Table 2_State Distrib and Adjs'!$AK$77</f>
        <v>Monthly Pmts Remaining</v>
      </c>
      <c r="S88" s="427">
        <f>'Table 2_State Distrib and Adjs'!$AL$77</f>
        <v>4</v>
      </c>
      <c r="AH88" s="427" t="str">
        <f>'Table 2_State Distrib and Adjs'!$AK$77</f>
        <v>Monthly Pmts Remaining</v>
      </c>
      <c r="AI88" s="427">
        <f>'Table 2_State Distrib and Adjs'!$AL$77</f>
        <v>4</v>
      </c>
    </row>
    <row r="89" spans="1:37" ht="16.149999999999999" customHeight="1"/>
    <row r="90" spans="1:37" ht="16.149999999999999" customHeight="1"/>
    <row r="98" ht="13.9" customHeight="1"/>
  </sheetData>
  <mergeCells count="43">
    <mergeCell ref="AC1:AI1"/>
    <mergeCell ref="I2:K2"/>
    <mergeCell ref="A1:B4"/>
    <mergeCell ref="C3:C4"/>
    <mergeCell ref="D3:D4"/>
    <mergeCell ref="E3:E4"/>
    <mergeCell ref="H3:H4"/>
    <mergeCell ref="F3:F4"/>
    <mergeCell ref="C1:L1"/>
    <mergeCell ref="M1:T1"/>
    <mergeCell ref="AG3:AG4"/>
    <mergeCell ref="AH3:AH4"/>
    <mergeCell ref="AI3:AI4"/>
    <mergeCell ref="Z3:Z4"/>
    <mergeCell ref="W2:AA2"/>
    <mergeCell ref="AK1:AK4"/>
    <mergeCell ref="G3:G4"/>
    <mergeCell ref="N3:N4"/>
    <mergeCell ref="O3:O4"/>
    <mergeCell ref="P3:P4"/>
    <mergeCell ref="S3:S4"/>
    <mergeCell ref="AE3:AE4"/>
    <mergeCell ref="AF3:AF4"/>
    <mergeCell ref="U3:U4"/>
    <mergeCell ref="AD3:AD4"/>
    <mergeCell ref="W3:W4"/>
    <mergeCell ref="X3:X4"/>
    <mergeCell ref="AB3:AB4"/>
    <mergeCell ref="AJ1:AJ4"/>
    <mergeCell ref="Y3:Y4"/>
    <mergeCell ref="U1:AB1"/>
    <mergeCell ref="A82:B82"/>
    <mergeCell ref="A76:B76"/>
    <mergeCell ref="T3:T4"/>
    <mergeCell ref="A77:B77"/>
    <mergeCell ref="A78:B78"/>
    <mergeCell ref="A79:B79"/>
    <mergeCell ref="A80:B80"/>
    <mergeCell ref="A81:B81"/>
    <mergeCell ref="I3:I4"/>
    <mergeCell ref="J3:J4"/>
    <mergeCell ref="K3:K4"/>
    <mergeCell ref="L3:L4"/>
  </mergeCells>
  <printOptions horizontalCentered="1"/>
  <pageMargins left="0.3" right="0.3" top="0.75" bottom="0.75" header="0.3" footer="0.3"/>
  <pageSetup paperSize="5" scale="60" firstPageNumber="50" orientation="portrait" r:id="rId1"/>
  <headerFooter>
    <oddHeader>&amp;L&amp;"Arial,Bold"&amp;20&amp;K000000Table 5C1-A: FY2014-15 MFP Budget Letter (March 2015)
Madison Prep Academy</oddHeader>
    <oddFooter>&amp;R&amp;P</oddFooter>
  </headerFooter>
  <colBreaks count="4" manualBreakCount="4">
    <brk id="12" max="84" man="1"/>
    <brk id="20" max="84" man="1"/>
    <brk id="28" max="84" man="1"/>
    <brk id="38" max="8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O98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427" customWidth="1"/>
    <col min="2" max="2" width="37.7109375" style="427" customWidth="1"/>
    <col min="3" max="3" width="12.140625" style="427" bestFit="1" customWidth="1"/>
    <col min="4" max="4" width="13.7109375" style="427" bestFit="1" customWidth="1"/>
    <col min="5" max="5" width="10.140625" style="427" bestFit="1" customWidth="1"/>
    <col min="6" max="7" width="12.28515625" style="427" bestFit="1" customWidth="1"/>
    <col min="8" max="8" width="11.5703125" style="427" bestFit="1" customWidth="1"/>
    <col min="9" max="12" width="11.85546875" style="427" bestFit="1" customWidth="1"/>
    <col min="13" max="13" width="10.85546875" style="427" bestFit="1" customWidth="1"/>
    <col min="14" max="14" width="13.140625" style="427" customWidth="1"/>
    <col min="15" max="15" width="13.42578125" style="427" bestFit="1" customWidth="1"/>
    <col min="16" max="16" width="14.7109375" style="427" customWidth="1"/>
    <col min="17" max="18" width="14" style="427" customWidth="1"/>
    <col min="19" max="19" width="10.7109375" style="427" customWidth="1"/>
    <col min="20" max="20" width="14.7109375" style="427" customWidth="1"/>
    <col min="21" max="22" width="14.5703125" style="427" customWidth="1"/>
    <col min="23" max="23" width="11.7109375" style="427" customWidth="1"/>
    <col min="24" max="24" width="14.42578125" style="427" bestFit="1" customWidth="1"/>
    <col min="25" max="27" width="11.7109375" style="427" customWidth="1"/>
    <col min="28" max="28" width="14.42578125" style="427" bestFit="1" customWidth="1"/>
    <col min="29" max="29" width="10.5703125" style="427" customWidth="1"/>
    <col min="30" max="30" width="14.42578125" style="427" bestFit="1" customWidth="1"/>
    <col min="31" max="31" width="11.85546875" style="427" bestFit="1" customWidth="1"/>
    <col min="32" max="32" width="14.42578125" style="427" bestFit="1" customWidth="1"/>
    <col min="33" max="34" width="10.7109375" style="427" bestFit="1" customWidth="1"/>
    <col min="35" max="37" width="14.42578125" style="427" bestFit="1" customWidth="1"/>
    <col min="38" max="38" width="2.85546875" style="427" customWidth="1"/>
    <col min="39" max="41" width="10.7109375" style="427" hidden="1" customWidth="1"/>
    <col min="42" max="16384" width="8.85546875" style="427"/>
  </cols>
  <sheetData>
    <row r="1" spans="1:41" ht="23.45" customHeight="1">
      <c r="A1" s="1535" t="s">
        <v>269</v>
      </c>
      <c r="B1" s="1536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402" t="s">
        <v>742</v>
      </c>
      <c r="N1" s="1403"/>
      <c r="O1" s="1403"/>
      <c r="P1" s="1403"/>
      <c r="Q1" s="1403"/>
      <c r="R1" s="1403"/>
      <c r="S1" s="1403"/>
      <c r="T1" s="1404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454"/>
      <c r="B2" s="1455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7.45" customHeight="1">
      <c r="A3" s="1537"/>
      <c r="B3" s="1455"/>
      <c r="C3" s="1525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1445" t="s">
        <v>546</v>
      </c>
      <c r="R3" s="1445" t="s">
        <v>547</v>
      </c>
      <c r="S3" s="1527" t="s">
        <v>423</v>
      </c>
      <c r="T3" s="1551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862</v>
      </c>
      <c r="AC3" s="878" t="s">
        <v>746</v>
      </c>
      <c r="AD3" s="1528" t="s">
        <v>863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38"/>
      <c r="B4" s="1457"/>
      <c r="C4" s="1520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1446"/>
      <c r="R4" s="1446"/>
      <c r="S4" s="1520"/>
      <c r="T4" s="1446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H5" si="1">E5+1</f>
        <v>4</v>
      </c>
      <c r="G5" s="23">
        <f t="shared" si="1"/>
        <v>5</v>
      </c>
      <c r="H5" s="23">
        <f t="shared" si="1"/>
        <v>6</v>
      </c>
      <c r="I5" s="23">
        <f t="shared" ref="I5" si="2">H5+1</f>
        <v>7</v>
      </c>
      <c r="J5" s="23">
        <f t="shared" ref="J5" si="3">I5+1</f>
        <v>8</v>
      </c>
      <c r="K5" s="23">
        <f t="shared" ref="K5" si="4">J5+1</f>
        <v>9</v>
      </c>
      <c r="L5" s="23">
        <f t="shared" ref="L5" si="5">K5+1</f>
        <v>10</v>
      </c>
      <c r="M5" s="23">
        <f t="shared" ref="M5" si="6">L5+1</f>
        <v>11</v>
      </c>
      <c r="N5" s="23">
        <f t="shared" ref="N5" si="7">M5+1</f>
        <v>12</v>
      </c>
      <c r="O5" s="23">
        <f t="shared" ref="O5" si="8">N5+1</f>
        <v>13</v>
      </c>
      <c r="P5" s="23">
        <f t="shared" ref="P5" si="9">O5+1</f>
        <v>14</v>
      </c>
      <c r="Q5" s="23">
        <f t="shared" ref="Q5" si="10">P5+1</f>
        <v>15</v>
      </c>
      <c r="R5" s="23">
        <f t="shared" ref="R5" si="11">Q5+1</f>
        <v>16</v>
      </c>
      <c r="S5" s="23">
        <f t="shared" ref="S5" si="12">R5+1</f>
        <v>17</v>
      </c>
      <c r="T5" s="23">
        <f t="shared" ref="T5" si="13">S5+1</f>
        <v>18</v>
      </c>
      <c r="U5" s="23">
        <f t="shared" ref="U5" si="14">T5+1</f>
        <v>19</v>
      </c>
      <c r="V5" s="23">
        <f t="shared" ref="V5" si="15">U5+1</f>
        <v>20</v>
      </c>
      <c r="W5" s="23">
        <f t="shared" ref="W5" si="16">V5+1</f>
        <v>21</v>
      </c>
      <c r="X5" s="23">
        <f t="shared" ref="X5" si="17">W5+1</f>
        <v>22</v>
      </c>
      <c r="Y5" s="23">
        <f t="shared" ref="Y5" si="18">X5+1</f>
        <v>23</v>
      </c>
      <c r="Z5" s="23">
        <f t="shared" ref="Z5" si="19">Y5+1</f>
        <v>24</v>
      </c>
      <c r="AA5" s="23">
        <f t="shared" ref="AA5" si="20">Z5+1</f>
        <v>25</v>
      </c>
      <c r="AB5" s="23">
        <f t="shared" ref="AB5" si="21">AA5+1</f>
        <v>26</v>
      </c>
      <c r="AC5" s="23">
        <f t="shared" ref="AC5" si="22">AB5+1</f>
        <v>27</v>
      </c>
      <c r="AD5" s="23">
        <f t="shared" ref="AD5" si="23">AC5+1</f>
        <v>28</v>
      </c>
      <c r="AE5" s="23">
        <f t="shared" ref="AE5" si="24">AD5+1</f>
        <v>29</v>
      </c>
      <c r="AF5" s="23">
        <f t="shared" ref="AF5" si="25">AE5+1</f>
        <v>30</v>
      </c>
      <c r="AG5" s="23">
        <f t="shared" ref="AG5" si="26">AF5+1</f>
        <v>31</v>
      </c>
      <c r="AH5" s="23">
        <f t="shared" ref="AH5" si="27">AG5+1</f>
        <v>32</v>
      </c>
      <c r="AI5" s="23">
        <f t="shared" ref="AI5" si="28">AH5+1</f>
        <v>33</v>
      </c>
      <c r="AJ5" s="23">
        <f t="shared" ref="AJ5" si="29">AI5+1</f>
        <v>34</v>
      </c>
      <c r="AK5" s="23">
        <f t="shared" ref="AK5" si="30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0"/>
      <c r="J6" s="50"/>
      <c r="K6" s="50"/>
      <c r="L6" s="50"/>
      <c r="M6" s="30"/>
      <c r="N6" s="30"/>
      <c r="O6" s="30"/>
      <c r="P6" s="30"/>
      <c r="Q6" s="48"/>
      <c r="R6" s="48"/>
      <c r="S6" s="30"/>
      <c r="T6" s="114"/>
      <c r="U6" s="30"/>
      <c r="V6" s="30"/>
      <c r="W6" s="48"/>
      <c r="X6" s="48"/>
      <c r="Y6" s="55"/>
      <c r="Z6" s="55"/>
      <c r="AA6" s="55"/>
      <c r="AB6" s="48"/>
      <c r="AC6" s="30"/>
      <c r="AD6" s="30"/>
      <c r="AE6" s="30"/>
      <c r="AF6" s="30"/>
      <c r="AG6" s="48"/>
      <c r="AH6" s="48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2.1.14'!H3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990">
        <f>'[1]Oct midyear DArbonne'!K4</f>
        <v>0</v>
      </c>
      <c r="J7" s="210">
        <f>'[1]Feb midyear DArbonne'!K4</f>
        <v>0</v>
      </c>
      <c r="K7" s="211">
        <f>I7+J7</f>
        <v>0</v>
      </c>
      <c r="L7" s="344">
        <f t="shared" ref="L7:L38" si="31">H7+K7</f>
        <v>0</v>
      </c>
      <c r="M7" s="273">
        <f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'[2]Table 5C1B-DArbonne'!S7+'[14]Table 5C1B-DArbonne'!S7+(6*'[20]Table 5C1B-DArbonne'!S7)</f>
        <v>0</v>
      </c>
      <c r="R7" s="210">
        <f>P7-Q7</f>
        <v>0</v>
      </c>
      <c r="S7" s="350">
        <f t="shared" ref="S7:S70" si="32">ROUND(R7/$S$89,0)</f>
        <v>0</v>
      </c>
      <c r="T7" s="361">
        <f>+P7</f>
        <v>0</v>
      </c>
      <c r="U7" s="274">
        <f>'Table 5C1A-Madison Prep'!U7</f>
        <v>2424</v>
      </c>
      <c r="V7" s="327">
        <f t="shared" ref="V7:V38" si="33">C7*U7</f>
        <v>0</v>
      </c>
      <c r="W7" s="994">
        <f>'[1]Oct midyear DArbonne'!E4</f>
        <v>0</v>
      </c>
      <c r="X7" s="276">
        <f>W7*U7</f>
        <v>0</v>
      </c>
      <c r="Y7" s="883">
        <f>'[1]Feb midyear DArbonne'!E4</f>
        <v>0</v>
      </c>
      <c r="Z7" s="276">
        <f>+U7*Y7*0.5</f>
        <v>0</v>
      </c>
      <c r="AA7" s="275">
        <f>+X7+Z7</f>
        <v>0</v>
      </c>
      <c r="AB7" s="327">
        <f>V7+AA7</f>
        <v>0</v>
      </c>
      <c r="AC7" s="278">
        <f>-(0.25%*AB7)</f>
        <v>0</v>
      </c>
      <c r="AD7" s="327">
        <f>SUM(AB7:AC7)</f>
        <v>0</v>
      </c>
      <c r="AE7" s="276">
        <v>0</v>
      </c>
      <c r="AF7" s="327">
        <f>SUM(AD7:AE7)</f>
        <v>0</v>
      </c>
      <c r="AG7" s="276">
        <f>'[2]Table 5C1B-DArbonne'!AI7+'[14]Table 5C1B-DArbonne'!AI7+(6*'[20]Table 5C1B-DArbonne'!AI7)</f>
        <v>0</v>
      </c>
      <c r="AH7" s="276">
        <f>AF7-AG7</f>
        <v>0</v>
      </c>
      <c r="AI7" s="327">
        <f t="shared" ref="AI7:AI70" si="34">ROUND(AH7/$AI$89,0)</f>
        <v>0</v>
      </c>
      <c r="AJ7" s="277">
        <f t="shared" ref="AJ7:AJ70" si="35">T7+AF7</f>
        <v>0</v>
      </c>
      <c r="AK7" s="317">
        <f>S7+AI7</f>
        <v>0</v>
      </c>
      <c r="AM7" s="273">
        <v>0</v>
      </c>
      <c r="AN7" s="273">
        <f>+AC7</f>
        <v>0</v>
      </c>
      <c r="AO7" s="273">
        <f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2.1.14'!H4</f>
        <v>0</v>
      </c>
      <c r="D8" s="201">
        <f>+'Table 5C1A-Madison Prep'!D8</f>
        <v>6316.6266417386641</v>
      </c>
      <c r="E8" s="202">
        <f t="shared" ref="E8:E71" si="36">C8*D8</f>
        <v>0</v>
      </c>
      <c r="F8" s="202">
        <f>+'Table 5C1A-Madison Prep'!F8</f>
        <v>842.32</v>
      </c>
      <c r="G8" s="202">
        <f t="shared" ref="G8:G71" si="37">C8*F8</f>
        <v>0</v>
      </c>
      <c r="H8" s="345">
        <f t="shared" ref="H8:H71" si="38">E8+G8</f>
        <v>0</v>
      </c>
      <c r="I8" s="991">
        <f>'[1]Oct midyear DArbonne'!K5</f>
        <v>0</v>
      </c>
      <c r="J8" s="203">
        <f>'[1]Feb midyear DArbonne'!K5</f>
        <v>0</v>
      </c>
      <c r="K8" s="204">
        <f t="shared" ref="K8:K71" si="39">I8+J8</f>
        <v>0</v>
      </c>
      <c r="L8" s="345">
        <f t="shared" si="31"/>
        <v>0</v>
      </c>
      <c r="M8" s="286">
        <f t="shared" ref="M8:M71" si="40">-(0.25%*L8)</f>
        <v>0</v>
      </c>
      <c r="N8" s="345">
        <f t="shared" ref="N8:N71" si="41">SUM(L8:M8)</f>
        <v>0</v>
      </c>
      <c r="O8" s="201">
        <v>0</v>
      </c>
      <c r="P8" s="351">
        <f t="shared" ref="P8:P71" si="42">SUM(N8:O8)</f>
        <v>0</v>
      </c>
      <c r="Q8" s="203">
        <f>'[2]Table 5C1B-DArbonne'!S8+'[14]Table 5C1B-DArbonne'!S8+(6*'[20]Table 5C1B-DArbonne'!S8)</f>
        <v>0</v>
      </c>
      <c r="R8" s="203">
        <f t="shared" ref="R8:R71" si="43">P8-Q8</f>
        <v>0</v>
      </c>
      <c r="S8" s="351">
        <f t="shared" si="32"/>
        <v>0</v>
      </c>
      <c r="T8" s="362">
        <f t="shared" ref="T8:T71" si="44">+P8</f>
        <v>0</v>
      </c>
      <c r="U8" s="287">
        <f>'Table 5C1A-Madison Prep'!U8</f>
        <v>2786</v>
      </c>
      <c r="V8" s="328">
        <f t="shared" si="33"/>
        <v>0</v>
      </c>
      <c r="W8" s="995">
        <f>'[1]Oct midyear DArbonne'!E5</f>
        <v>0</v>
      </c>
      <c r="X8" s="290">
        <f t="shared" ref="X8:X71" si="45">W8*U8</f>
        <v>0</v>
      </c>
      <c r="Y8" s="289">
        <f>'[1]Feb midyear DArbonne'!E5</f>
        <v>0</v>
      </c>
      <c r="Z8" s="290">
        <f t="shared" ref="Z8:Z71" si="46">+U8*Y8*0.5</f>
        <v>0</v>
      </c>
      <c r="AA8" s="288">
        <f t="shared" ref="AA8:AA71" si="47">+X8+Z8</f>
        <v>0</v>
      </c>
      <c r="AB8" s="328">
        <f t="shared" ref="AB8:AB71" si="48">V8+AA8</f>
        <v>0</v>
      </c>
      <c r="AC8" s="292">
        <f t="shared" ref="AC8:AC71" si="49">-(0.25%*AB8)</f>
        <v>0</v>
      </c>
      <c r="AD8" s="328">
        <f t="shared" ref="AD8:AD71" si="50">SUM(AB8:AC8)</f>
        <v>0</v>
      </c>
      <c r="AE8" s="290">
        <v>0</v>
      </c>
      <c r="AF8" s="328">
        <f t="shared" ref="AF8:AF71" si="51">SUM(AD8:AE8)</f>
        <v>0</v>
      </c>
      <c r="AG8" s="290">
        <f>'[2]Table 5C1B-DArbonne'!AI8+'[14]Table 5C1B-DArbonne'!AI8+(6*'[20]Table 5C1B-DArbonne'!AI8)</f>
        <v>0</v>
      </c>
      <c r="AH8" s="290">
        <f t="shared" ref="AH8:AH71" si="52">AF8-AG8</f>
        <v>0</v>
      </c>
      <c r="AI8" s="328">
        <f t="shared" si="34"/>
        <v>0</v>
      </c>
      <c r="AJ8" s="291">
        <f t="shared" si="35"/>
        <v>0</v>
      </c>
      <c r="AK8" s="318">
        <f t="shared" ref="AK8:AK71" si="53">S8+AI8</f>
        <v>0</v>
      </c>
      <c r="AM8" s="286">
        <v>0</v>
      </c>
      <c r="AN8" s="286">
        <f t="shared" ref="AN8:AN71" si="54">+AC8</f>
        <v>0</v>
      </c>
      <c r="AO8" s="286">
        <f t="shared" ref="AO8:AO71" si="55">+AN8-AM8</f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2.1.14'!H5</f>
        <v>0</v>
      </c>
      <c r="D9" s="201">
        <f>+'Table 5C1A-Madison Prep'!D9</f>
        <v>4155.1862027396819</v>
      </c>
      <c r="E9" s="202">
        <f t="shared" si="36"/>
        <v>0</v>
      </c>
      <c r="F9" s="202">
        <f>+'Table 5C1A-Madison Prep'!F9</f>
        <v>596.84</v>
      </c>
      <c r="G9" s="202">
        <f t="shared" si="37"/>
        <v>0</v>
      </c>
      <c r="H9" s="345">
        <f t="shared" si="38"/>
        <v>0</v>
      </c>
      <c r="I9" s="991">
        <f>'[1]Oct midyear DArbonne'!K6</f>
        <v>0</v>
      </c>
      <c r="J9" s="203">
        <f>'[1]Feb midyear DArbonne'!K6</f>
        <v>0</v>
      </c>
      <c r="K9" s="204">
        <f t="shared" si="39"/>
        <v>0</v>
      </c>
      <c r="L9" s="345">
        <f t="shared" si="31"/>
        <v>0</v>
      </c>
      <c r="M9" s="286">
        <f t="shared" si="40"/>
        <v>0</v>
      </c>
      <c r="N9" s="345">
        <f t="shared" si="41"/>
        <v>0</v>
      </c>
      <c r="O9" s="201">
        <v>0</v>
      </c>
      <c r="P9" s="351">
        <f t="shared" si="42"/>
        <v>0</v>
      </c>
      <c r="Q9" s="203">
        <f>'[2]Table 5C1B-DArbonne'!S9+'[14]Table 5C1B-DArbonne'!S9+(6*'[20]Table 5C1B-DArbonne'!S9)</f>
        <v>0</v>
      </c>
      <c r="R9" s="203">
        <f t="shared" si="43"/>
        <v>0</v>
      </c>
      <c r="S9" s="351">
        <f t="shared" si="32"/>
        <v>0</v>
      </c>
      <c r="T9" s="362">
        <f t="shared" si="44"/>
        <v>0</v>
      </c>
      <c r="U9" s="287">
        <f>'Table 5C1A-Madison Prep'!U9</f>
        <v>5927</v>
      </c>
      <c r="V9" s="328">
        <f t="shared" si="33"/>
        <v>0</v>
      </c>
      <c r="W9" s="995">
        <f>'[1]Oct midyear DArbonne'!E6</f>
        <v>0</v>
      </c>
      <c r="X9" s="290">
        <f t="shared" si="45"/>
        <v>0</v>
      </c>
      <c r="Y9" s="289">
        <f>'[1]Feb midyear DArbonne'!E6</f>
        <v>0</v>
      </c>
      <c r="Z9" s="290">
        <f t="shared" si="46"/>
        <v>0</v>
      </c>
      <c r="AA9" s="288">
        <f t="shared" si="47"/>
        <v>0</v>
      </c>
      <c r="AB9" s="328">
        <f t="shared" si="48"/>
        <v>0</v>
      </c>
      <c r="AC9" s="292">
        <f t="shared" si="49"/>
        <v>0</v>
      </c>
      <c r="AD9" s="328">
        <f t="shared" si="50"/>
        <v>0</v>
      </c>
      <c r="AE9" s="290">
        <v>0</v>
      </c>
      <c r="AF9" s="328">
        <f t="shared" si="51"/>
        <v>0</v>
      </c>
      <c r="AG9" s="290">
        <f>'[2]Table 5C1B-DArbonne'!AI9+'[14]Table 5C1B-DArbonne'!AI9+(6*'[20]Table 5C1B-DArbonne'!AI9)</f>
        <v>0</v>
      </c>
      <c r="AH9" s="290">
        <f t="shared" si="52"/>
        <v>0</v>
      </c>
      <c r="AI9" s="328">
        <f t="shared" si="34"/>
        <v>0</v>
      </c>
      <c r="AJ9" s="291">
        <f t="shared" si="35"/>
        <v>0</v>
      </c>
      <c r="AK9" s="318">
        <f t="shared" si="53"/>
        <v>0</v>
      </c>
      <c r="AM9" s="286">
        <v>0</v>
      </c>
      <c r="AN9" s="286">
        <f t="shared" si="54"/>
        <v>0</v>
      </c>
      <c r="AO9" s="286">
        <f t="shared" si="55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2.1.14'!H6</f>
        <v>0</v>
      </c>
      <c r="D10" s="201">
        <f>+'Table 5C1A-Madison Prep'!D10</f>
        <v>6119.0581446878568</v>
      </c>
      <c r="E10" s="202">
        <f t="shared" si="36"/>
        <v>0</v>
      </c>
      <c r="F10" s="202">
        <f>+'Table 5C1A-Madison Prep'!F10</f>
        <v>585.76</v>
      </c>
      <c r="G10" s="202">
        <f t="shared" si="37"/>
        <v>0</v>
      </c>
      <c r="H10" s="345">
        <f t="shared" si="38"/>
        <v>0</v>
      </c>
      <c r="I10" s="991">
        <f>'[1]Oct midyear DArbonne'!K7</f>
        <v>0</v>
      </c>
      <c r="J10" s="203">
        <f>'[1]Feb midyear DArbonne'!K7</f>
        <v>0</v>
      </c>
      <c r="K10" s="204">
        <f t="shared" si="39"/>
        <v>0</v>
      </c>
      <c r="L10" s="345">
        <f t="shared" si="31"/>
        <v>0</v>
      </c>
      <c r="M10" s="286">
        <f t="shared" si="40"/>
        <v>0</v>
      </c>
      <c r="N10" s="345">
        <f t="shared" si="41"/>
        <v>0</v>
      </c>
      <c r="O10" s="201">
        <v>0</v>
      </c>
      <c r="P10" s="351">
        <f t="shared" si="42"/>
        <v>0</v>
      </c>
      <c r="Q10" s="203">
        <f>'[2]Table 5C1B-DArbonne'!S10+'[14]Table 5C1B-DArbonne'!S10+(6*'[20]Table 5C1B-DArbonne'!S10)</f>
        <v>0</v>
      </c>
      <c r="R10" s="203">
        <f t="shared" si="43"/>
        <v>0</v>
      </c>
      <c r="S10" s="351">
        <f t="shared" si="32"/>
        <v>0</v>
      </c>
      <c r="T10" s="362">
        <f t="shared" si="44"/>
        <v>0</v>
      </c>
      <c r="U10" s="287">
        <f>'Table 5C1A-Madison Prep'!U10</f>
        <v>4203</v>
      </c>
      <c r="V10" s="328">
        <f t="shared" si="33"/>
        <v>0</v>
      </c>
      <c r="W10" s="995">
        <f>'[1]Oct midyear DArbonne'!E7</f>
        <v>0</v>
      </c>
      <c r="X10" s="290">
        <f t="shared" si="45"/>
        <v>0</v>
      </c>
      <c r="Y10" s="289">
        <f>'[1]Feb midyear DArbonne'!E7</f>
        <v>0</v>
      </c>
      <c r="Z10" s="290">
        <f t="shared" si="46"/>
        <v>0</v>
      </c>
      <c r="AA10" s="288">
        <f t="shared" si="47"/>
        <v>0</v>
      </c>
      <c r="AB10" s="328">
        <f t="shared" si="48"/>
        <v>0</v>
      </c>
      <c r="AC10" s="292">
        <f t="shared" si="49"/>
        <v>0</v>
      </c>
      <c r="AD10" s="328">
        <f t="shared" si="50"/>
        <v>0</v>
      </c>
      <c r="AE10" s="290">
        <v>0</v>
      </c>
      <c r="AF10" s="328">
        <f t="shared" si="51"/>
        <v>0</v>
      </c>
      <c r="AG10" s="290">
        <f>'[2]Table 5C1B-DArbonne'!AI10+'[14]Table 5C1B-DArbonne'!AI10+(6*'[20]Table 5C1B-DArbonne'!AI10)</f>
        <v>0</v>
      </c>
      <c r="AH10" s="290">
        <f t="shared" si="52"/>
        <v>0</v>
      </c>
      <c r="AI10" s="328">
        <f t="shared" si="34"/>
        <v>0</v>
      </c>
      <c r="AJ10" s="291">
        <f t="shared" si="35"/>
        <v>0</v>
      </c>
      <c r="AK10" s="318">
        <f t="shared" si="53"/>
        <v>0</v>
      </c>
      <c r="AM10" s="286">
        <v>0</v>
      </c>
      <c r="AN10" s="286">
        <f t="shared" si="54"/>
        <v>0</v>
      </c>
      <c r="AO10" s="286">
        <f t="shared" si="55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2.1.14'!H7</f>
        <v>0</v>
      </c>
      <c r="D11" s="194">
        <f>+'Table 5C1A-Madison Prep'!D11</f>
        <v>5268.940566009911</v>
      </c>
      <c r="E11" s="195">
        <f t="shared" si="36"/>
        <v>0</v>
      </c>
      <c r="F11" s="195">
        <f>+'Table 5C1A-Madison Prep'!F11</f>
        <v>555.91</v>
      </c>
      <c r="G11" s="195">
        <f t="shared" si="37"/>
        <v>0</v>
      </c>
      <c r="H11" s="346">
        <f t="shared" si="38"/>
        <v>0</v>
      </c>
      <c r="I11" s="992">
        <f>'[1]Oct midyear DArbonne'!K8</f>
        <v>0</v>
      </c>
      <c r="J11" s="196">
        <f>'[1]Feb midyear DArbonne'!K8</f>
        <v>0</v>
      </c>
      <c r="K11" s="197">
        <f t="shared" si="39"/>
        <v>0</v>
      </c>
      <c r="L11" s="346">
        <f t="shared" si="31"/>
        <v>0</v>
      </c>
      <c r="M11" s="296">
        <f t="shared" si="40"/>
        <v>0</v>
      </c>
      <c r="N11" s="346">
        <f t="shared" si="41"/>
        <v>0</v>
      </c>
      <c r="O11" s="194">
        <v>0</v>
      </c>
      <c r="P11" s="352">
        <f t="shared" si="42"/>
        <v>0</v>
      </c>
      <c r="Q11" s="622">
        <f>'[2]Table 5C1B-DArbonne'!S11+'[14]Table 5C1B-DArbonne'!S11+(6*'[20]Table 5C1B-DArbonne'!S11)</f>
        <v>0</v>
      </c>
      <c r="R11" s="196">
        <f t="shared" si="43"/>
        <v>0</v>
      </c>
      <c r="S11" s="356">
        <f t="shared" si="32"/>
        <v>0</v>
      </c>
      <c r="T11" s="356">
        <f t="shared" si="44"/>
        <v>0</v>
      </c>
      <c r="U11" s="281">
        <f>'Table 5C1A-Madison Prep'!U11</f>
        <v>1923</v>
      </c>
      <c r="V11" s="329">
        <f t="shared" si="33"/>
        <v>0</v>
      </c>
      <c r="W11" s="996">
        <f>'[1]Oct midyear DArbonne'!E8</f>
        <v>0</v>
      </c>
      <c r="X11" s="282">
        <f t="shared" si="45"/>
        <v>0</v>
      </c>
      <c r="Y11" s="884">
        <f>'[1]Feb midyear DArbonne'!E8</f>
        <v>0</v>
      </c>
      <c r="Z11" s="282">
        <f t="shared" si="46"/>
        <v>0</v>
      </c>
      <c r="AA11" s="283">
        <f t="shared" si="47"/>
        <v>0</v>
      </c>
      <c r="AB11" s="329">
        <f t="shared" si="48"/>
        <v>0</v>
      </c>
      <c r="AC11" s="298">
        <f t="shared" si="49"/>
        <v>0</v>
      </c>
      <c r="AD11" s="329">
        <f t="shared" si="50"/>
        <v>0</v>
      </c>
      <c r="AE11" s="282">
        <v>0</v>
      </c>
      <c r="AF11" s="329">
        <f t="shared" si="51"/>
        <v>0</v>
      </c>
      <c r="AG11" s="282">
        <f>'[2]Table 5C1B-DArbonne'!AI11+'[14]Table 5C1B-DArbonne'!AI11+(6*'[20]Table 5C1B-DArbonne'!AI11)</f>
        <v>0</v>
      </c>
      <c r="AH11" s="282">
        <f t="shared" si="52"/>
        <v>0</v>
      </c>
      <c r="AI11" s="329">
        <f t="shared" si="34"/>
        <v>0</v>
      </c>
      <c r="AJ11" s="297">
        <f t="shared" si="35"/>
        <v>0</v>
      </c>
      <c r="AK11" s="319">
        <f t="shared" si="53"/>
        <v>0</v>
      </c>
      <c r="AM11" s="296">
        <v>0</v>
      </c>
      <c r="AN11" s="296">
        <f t="shared" si="54"/>
        <v>0</v>
      </c>
      <c r="AO11" s="296">
        <f t="shared" si="55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2.1.14'!H8</f>
        <v>0</v>
      </c>
      <c r="D12" s="208">
        <f>+'Table 5C1A-Madison Prep'!D12</f>
        <v>5378.5086124955869</v>
      </c>
      <c r="E12" s="209">
        <f t="shared" si="36"/>
        <v>0</v>
      </c>
      <c r="F12" s="209">
        <f>+'Table 5C1A-Madison Prep'!F12</f>
        <v>545.4799999999999</v>
      </c>
      <c r="G12" s="209">
        <f t="shared" si="37"/>
        <v>0</v>
      </c>
      <c r="H12" s="344">
        <f t="shared" si="38"/>
        <v>0</v>
      </c>
      <c r="I12" s="990">
        <f>'[1]Oct midyear DArbonne'!K9</f>
        <v>0</v>
      </c>
      <c r="J12" s="210">
        <f>'[1]Feb midyear DArbonne'!K9</f>
        <v>0</v>
      </c>
      <c r="K12" s="211">
        <f t="shared" si="39"/>
        <v>0</v>
      </c>
      <c r="L12" s="344">
        <f t="shared" si="31"/>
        <v>0</v>
      </c>
      <c r="M12" s="273">
        <f t="shared" si="40"/>
        <v>0</v>
      </c>
      <c r="N12" s="344">
        <f t="shared" si="41"/>
        <v>0</v>
      </c>
      <c r="O12" s="208">
        <v>0</v>
      </c>
      <c r="P12" s="350">
        <f t="shared" si="42"/>
        <v>0</v>
      </c>
      <c r="Q12" s="210">
        <f>'[2]Table 5C1B-DArbonne'!S12+'[14]Table 5C1B-DArbonne'!S12+(6*'[20]Table 5C1B-DArbonne'!S12)</f>
        <v>0</v>
      </c>
      <c r="R12" s="210">
        <f t="shared" si="43"/>
        <v>0</v>
      </c>
      <c r="S12" s="350">
        <f t="shared" si="32"/>
        <v>0</v>
      </c>
      <c r="T12" s="361">
        <f t="shared" si="44"/>
        <v>0</v>
      </c>
      <c r="U12" s="274">
        <f>'Table 5C1A-Madison Prep'!U12</f>
        <v>4057</v>
      </c>
      <c r="V12" s="327">
        <f t="shared" si="33"/>
        <v>0</v>
      </c>
      <c r="W12" s="994">
        <f>'[1]Oct midyear DArbonne'!E9</f>
        <v>0</v>
      </c>
      <c r="X12" s="276">
        <f t="shared" si="45"/>
        <v>0</v>
      </c>
      <c r="Y12" s="883">
        <f>'[1]Feb midyear DArbonne'!E9</f>
        <v>0</v>
      </c>
      <c r="Z12" s="276">
        <f t="shared" si="46"/>
        <v>0</v>
      </c>
      <c r="AA12" s="275">
        <f t="shared" si="47"/>
        <v>0</v>
      </c>
      <c r="AB12" s="327">
        <f t="shared" si="48"/>
        <v>0</v>
      </c>
      <c r="AC12" s="278">
        <f t="shared" si="49"/>
        <v>0</v>
      </c>
      <c r="AD12" s="327">
        <f t="shared" si="50"/>
        <v>0</v>
      </c>
      <c r="AE12" s="276">
        <v>0</v>
      </c>
      <c r="AF12" s="327">
        <f t="shared" si="51"/>
        <v>0</v>
      </c>
      <c r="AG12" s="276">
        <f>'[2]Table 5C1B-DArbonne'!AI12+'[14]Table 5C1B-DArbonne'!AI12+(6*'[20]Table 5C1B-DArbonne'!AI12)</f>
        <v>0</v>
      </c>
      <c r="AH12" s="276">
        <f t="shared" si="52"/>
        <v>0</v>
      </c>
      <c r="AI12" s="327">
        <f t="shared" si="34"/>
        <v>0</v>
      </c>
      <c r="AJ12" s="277">
        <f t="shared" si="35"/>
        <v>0</v>
      </c>
      <c r="AK12" s="317">
        <f t="shared" si="53"/>
        <v>0</v>
      </c>
      <c r="AM12" s="273">
        <v>0</v>
      </c>
      <c r="AN12" s="273">
        <f t="shared" si="54"/>
        <v>0</v>
      </c>
      <c r="AO12" s="273">
        <f t="shared" si="55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2.1.14'!H9</f>
        <v>0</v>
      </c>
      <c r="D13" s="201">
        <f>+'Table 5C1A-Madison Prep'!D13</f>
        <v>2243.0031963470319</v>
      </c>
      <c r="E13" s="202">
        <f t="shared" si="36"/>
        <v>0</v>
      </c>
      <c r="F13" s="202">
        <f>+'Table 5C1A-Madison Prep'!F13</f>
        <v>756.91999999999985</v>
      </c>
      <c r="G13" s="202">
        <f t="shared" si="37"/>
        <v>0</v>
      </c>
      <c r="H13" s="345">
        <f t="shared" si="38"/>
        <v>0</v>
      </c>
      <c r="I13" s="991">
        <f>'[1]Oct midyear DArbonne'!K10</f>
        <v>0</v>
      </c>
      <c r="J13" s="203">
        <f>'[1]Feb midyear DArbonne'!K10</f>
        <v>0</v>
      </c>
      <c r="K13" s="204">
        <f t="shared" si="39"/>
        <v>0</v>
      </c>
      <c r="L13" s="345">
        <f t="shared" si="31"/>
        <v>0</v>
      </c>
      <c r="M13" s="286">
        <f t="shared" si="40"/>
        <v>0</v>
      </c>
      <c r="N13" s="345">
        <f t="shared" si="41"/>
        <v>0</v>
      </c>
      <c r="O13" s="201">
        <v>0</v>
      </c>
      <c r="P13" s="351">
        <f t="shared" si="42"/>
        <v>0</v>
      </c>
      <c r="Q13" s="203">
        <f>'[2]Table 5C1B-DArbonne'!S13+'[14]Table 5C1B-DArbonne'!S13+(6*'[20]Table 5C1B-DArbonne'!S13)</f>
        <v>0</v>
      </c>
      <c r="R13" s="203">
        <f t="shared" si="43"/>
        <v>0</v>
      </c>
      <c r="S13" s="351">
        <f t="shared" si="32"/>
        <v>0</v>
      </c>
      <c r="T13" s="362">
        <f t="shared" si="44"/>
        <v>0</v>
      </c>
      <c r="U13" s="287">
        <f>'Table 5C1A-Madison Prep'!U13</f>
        <v>12112</v>
      </c>
      <c r="V13" s="328">
        <f t="shared" si="33"/>
        <v>0</v>
      </c>
      <c r="W13" s="995">
        <f>'[1]Oct midyear DArbonne'!E10</f>
        <v>0</v>
      </c>
      <c r="X13" s="290">
        <f t="shared" si="45"/>
        <v>0</v>
      </c>
      <c r="Y13" s="289">
        <f>'[1]Feb midyear DArbonne'!E10</f>
        <v>0</v>
      </c>
      <c r="Z13" s="290">
        <f t="shared" si="46"/>
        <v>0</v>
      </c>
      <c r="AA13" s="288">
        <f t="shared" si="47"/>
        <v>0</v>
      </c>
      <c r="AB13" s="328">
        <f t="shared" si="48"/>
        <v>0</v>
      </c>
      <c r="AC13" s="292">
        <f t="shared" si="49"/>
        <v>0</v>
      </c>
      <c r="AD13" s="328">
        <f t="shared" si="50"/>
        <v>0</v>
      </c>
      <c r="AE13" s="290">
        <v>0</v>
      </c>
      <c r="AF13" s="328">
        <f t="shared" si="51"/>
        <v>0</v>
      </c>
      <c r="AG13" s="290">
        <f>'[2]Table 5C1B-DArbonne'!AI13+'[14]Table 5C1B-DArbonne'!AI13+(6*'[20]Table 5C1B-DArbonne'!AI13)</f>
        <v>0</v>
      </c>
      <c r="AH13" s="290">
        <f t="shared" si="52"/>
        <v>0</v>
      </c>
      <c r="AI13" s="328">
        <f t="shared" si="34"/>
        <v>0</v>
      </c>
      <c r="AJ13" s="291">
        <f t="shared" si="35"/>
        <v>0</v>
      </c>
      <c r="AK13" s="318">
        <f t="shared" si="53"/>
        <v>0</v>
      </c>
      <c r="AM13" s="286">
        <v>0</v>
      </c>
      <c r="AN13" s="286">
        <f t="shared" si="54"/>
        <v>0</v>
      </c>
      <c r="AO13" s="286">
        <f t="shared" si="55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2.1.14'!H10</f>
        <v>0</v>
      </c>
      <c r="D14" s="201">
        <f>+'Table 5C1A-Madison Prep'!D14</f>
        <v>4669.802459558854</v>
      </c>
      <c r="E14" s="202">
        <f t="shared" si="36"/>
        <v>0</v>
      </c>
      <c r="F14" s="202">
        <f>+'Table 5C1A-Madison Prep'!F14</f>
        <v>725.76</v>
      </c>
      <c r="G14" s="202">
        <f t="shared" si="37"/>
        <v>0</v>
      </c>
      <c r="H14" s="345">
        <f t="shared" si="38"/>
        <v>0</v>
      </c>
      <c r="I14" s="991">
        <f>'[1]Oct midyear DArbonne'!K11</f>
        <v>0</v>
      </c>
      <c r="J14" s="203">
        <f>'[1]Feb midyear DArbonne'!K11</f>
        <v>0</v>
      </c>
      <c r="K14" s="204">
        <f t="shared" si="39"/>
        <v>0</v>
      </c>
      <c r="L14" s="345">
        <f t="shared" si="31"/>
        <v>0</v>
      </c>
      <c r="M14" s="286">
        <f t="shared" si="40"/>
        <v>0</v>
      </c>
      <c r="N14" s="345">
        <f t="shared" si="41"/>
        <v>0</v>
      </c>
      <c r="O14" s="201">
        <v>0</v>
      </c>
      <c r="P14" s="351">
        <f t="shared" si="42"/>
        <v>0</v>
      </c>
      <c r="Q14" s="203">
        <f>'[2]Table 5C1B-DArbonne'!S14+'[14]Table 5C1B-DArbonne'!S14+(6*'[20]Table 5C1B-DArbonne'!S14)</f>
        <v>0</v>
      </c>
      <c r="R14" s="203">
        <f t="shared" si="43"/>
        <v>0</v>
      </c>
      <c r="S14" s="351">
        <f t="shared" si="32"/>
        <v>0</v>
      </c>
      <c r="T14" s="362">
        <f t="shared" si="44"/>
        <v>0</v>
      </c>
      <c r="U14" s="287">
        <f>'Table 5C1A-Madison Prep'!U14</f>
        <v>4124</v>
      </c>
      <c r="V14" s="328">
        <f t="shared" si="33"/>
        <v>0</v>
      </c>
      <c r="W14" s="995">
        <f>'[1]Oct midyear DArbonne'!E11</f>
        <v>0</v>
      </c>
      <c r="X14" s="290">
        <f t="shared" si="45"/>
        <v>0</v>
      </c>
      <c r="Y14" s="289">
        <f>'[1]Feb midyear DArbonne'!E11</f>
        <v>0</v>
      </c>
      <c r="Z14" s="290">
        <f t="shared" si="46"/>
        <v>0</v>
      </c>
      <c r="AA14" s="288">
        <f t="shared" si="47"/>
        <v>0</v>
      </c>
      <c r="AB14" s="328">
        <f t="shared" si="48"/>
        <v>0</v>
      </c>
      <c r="AC14" s="292">
        <f t="shared" si="49"/>
        <v>0</v>
      </c>
      <c r="AD14" s="328">
        <f t="shared" si="50"/>
        <v>0</v>
      </c>
      <c r="AE14" s="290">
        <v>0</v>
      </c>
      <c r="AF14" s="328">
        <f t="shared" si="51"/>
        <v>0</v>
      </c>
      <c r="AG14" s="290">
        <f>'[2]Table 5C1B-DArbonne'!AI14+'[14]Table 5C1B-DArbonne'!AI14+(6*'[20]Table 5C1B-DArbonne'!AI14)</f>
        <v>0</v>
      </c>
      <c r="AH14" s="290">
        <f t="shared" si="52"/>
        <v>0</v>
      </c>
      <c r="AI14" s="328">
        <f t="shared" si="34"/>
        <v>0</v>
      </c>
      <c r="AJ14" s="291">
        <f t="shared" si="35"/>
        <v>0</v>
      </c>
      <c r="AK14" s="318">
        <f t="shared" si="53"/>
        <v>0</v>
      </c>
      <c r="AM14" s="286">
        <v>0</v>
      </c>
      <c r="AN14" s="286">
        <f t="shared" si="54"/>
        <v>0</v>
      </c>
      <c r="AO14" s="286">
        <f t="shared" si="55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2.1.14'!H11</f>
        <v>0</v>
      </c>
      <c r="D15" s="201">
        <f>+'Table 5C1A-Madison Prep'!D15</f>
        <v>4632.4615072045008</v>
      </c>
      <c r="E15" s="202">
        <f t="shared" si="36"/>
        <v>0</v>
      </c>
      <c r="F15" s="202">
        <f>+'Table 5C1A-Madison Prep'!F15</f>
        <v>744.76</v>
      </c>
      <c r="G15" s="202">
        <f t="shared" si="37"/>
        <v>0</v>
      </c>
      <c r="H15" s="345">
        <f t="shared" si="38"/>
        <v>0</v>
      </c>
      <c r="I15" s="991">
        <f>'[1]Oct midyear DArbonne'!K12</f>
        <v>0</v>
      </c>
      <c r="J15" s="203">
        <f>'[1]Feb midyear DArbonne'!K12</f>
        <v>0</v>
      </c>
      <c r="K15" s="204">
        <f t="shared" si="39"/>
        <v>0</v>
      </c>
      <c r="L15" s="345">
        <f t="shared" si="31"/>
        <v>0</v>
      </c>
      <c r="M15" s="286">
        <f t="shared" si="40"/>
        <v>0</v>
      </c>
      <c r="N15" s="345">
        <f t="shared" si="41"/>
        <v>0</v>
      </c>
      <c r="O15" s="201">
        <v>0</v>
      </c>
      <c r="P15" s="351">
        <f t="shared" si="42"/>
        <v>0</v>
      </c>
      <c r="Q15" s="203">
        <f>'[2]Table 5C1B-DArbonne'!S15+'[14]Table 5C1B-DArbonne'!S15+(6*'[20]Table 5C1B-DArbonne'!S15)</f>
        <v>0</v>
      </c>
      <c r="R15" s="203">
        <f t="shared" si="43"/>
        <v>0</v>
      </c>
      <c r="S15" s="351">
        <f t="shared" si="32"/>
        <v>0</v>
      </c>
      <c r="T15" s="362">
        <f t="shared" si="44"/>
        <v>0</v>
      </c>
      <c r="U15" s="287">
        <f>'Table 5C1A-Madison Prep'!U15</f>
        <v>4901</v>
      </c>
      <c r="V15" s="328">
        <f t="shared" si="33"/>
        <v>0</v>
      </c>
      <c r="W15" s="995">
        <f>'[1]Oct midyear DArbonne'!E12</f>
        <v>0</v>
      </c>
      <c r="X15" s="290">
        <f t="shared" si="45"/>
        <v>0</v>
      </c>
      <c r="Y15" s="289">
        <f>'[1]Feb midyear DArbonne'!E12</f>
        <v>0</v>
      </c>
      <c r="Z15" s="290">
        <f t="shared" si="46"/>
        <v>0</v>
      </c>
      <c r="AA15" s="288">
        <f t="shared" si="47"/>
        <v>0</v>
      </c>
      <c r="AB15" s="328">
        <f t="shared" si="48"/>
        <v>0</v>
      </c>
      <c r="AC15" s="292">
        <f t="shared" si="49"/>
        <v>0</v>
      </c>
      <c r="AD15" s="328">
        <f t="shared" si="50"/>
        <v>0</v>
      </c>
      <c r="AE15" s="290">
        <v>0</v>
      </c>
      <c r="AF15" s="328">
        <f t="shared" si="51"/>
        <v>0</v>
      </c>
      <c r="AG15" s="290">
        <f>'[2]Table 5C1B-DArbonne'!AI15+'[14]Table 5C1B-DArbonne'!AI15+(6*'[20]Table 5C1B-DArbonne'!AI15)</f>
        <v>0</v>
      </c>
      <c r="AH15" s="290">
        <f t="shared" si="52"/>
        <v>0</v>
      </c>
      <c r="AI15" s="328">
        <f t="shared" si="34"/>
        <v>0</v>
      </c>
      <c r="AJ15" s="291">
        <f t="shared" si="35"/>
        <v>0</v>
      </c>
      <c r="AK15" s="318">
        <f t="shared" si="53"/>
        <v>0</v>
      </c>
      <c r="AM15" s="286">
        <v>0</v>
      </c>
      <c r="AN15" s="286">
        <f t="shared" si="54"/>
        <v>0</v>
      </c>
      <c r="AO15" s="286">
        <f t="shared" si="55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2.1.14'!H12</f>
        <v>0</v>
      </c>
      <c r="D16" s="194">
        <f>+'Table 5C1A-Madison Prep'!D16</f>
        <v>4384.374733918472</v>
      </c>
      <c r="E16" s="195">
        <f t="shared" si="36"/>
        <v>0</v>
      </c>
      <c r="F16" s="195">
        <f>+'Table 5C1A-Madison Prep'!F16</f>
        <v>608.04000000000008</v>
      </c>
      <c r="G16" s="195">
        <f t="shared" si="37"/>
        <v>0</v>
      </c>
      <c r="H16" s="346">
        <f t="shared" si="38"/>
        <v>0</v>
      </c>
      <c r="I16" s="992">
        <f>'[1]Oct midyear DArbonne'!K13</f>
        <v>0</v>
      </c>
      <c r="J16" s="196">
        <f>'[1]Feb midyear DArbonne'!K13</f>
        <v>0</v>
      </c>
      <c r="K16" s="197">
        <f t="shared" si="39"/>
        <v>0</v>
      </c>
      <c r="L16" s="346">
        <f t="shared" si="31"/>
        <v>0</v>
      </c>
      <c r="M16" s="296">
        <f t="shared" si="40"/>
        <v>0</v>
      </c>
      <c r="N16" s="346">
        <f t="shared" si="41"/>
        <v>0</v>
      </c>
      <c r="O16" s="194">
        <v>0</v>
      </c>
      <c r="P16" s="352">
        <f t="shared" si="42"/>
        <v>0</v>
      </c>
      <c r="Q16" s="622">
        <f>'[2]Table 5C1B-DArbonne'!S16+'[14]Table 5C1B-DArbonne'!S16+(6*'[20]Table 5C1B-DArbonne'!S16)</f>
        <v>0</v>
      </c>
      <c r="R16" s="196">
        <f t="shared" si="43"/>
        <v>0</v>
      </c>
      <c r="S16" s="356">
        <f t="shared" si="32"/>
        <v>0</v>
      </c>
      <c r="T16" s="356">
        <f t="shared" si="44"/>
        <v>0</v>
      </c>
      <c r="U16" s="281">
        <f>'Table 5C1A-Madison Prep'!U16</f>
        <v>4619</v>
      </c>
      <c r="V16" s="329">
        <f t="shared" si="33"/>
        <v>0</v>
      </c>
      <c r="W16" s="996">
        <f>'[1]Oct midyear DArbonne'!E13</f>
        <v>0</v>
      </c>
      <c r="X16" s="282">
        <f t="shared" si="45"/>
        <v>0</v>
      </c>
      <c r="Y16" s="884">
        <f>'[1]Feb midyear DArbonne'!E13</f>
        <v>0</v>
      </c>
      <c r="Z16" s="282">
        <f t="shared" si="46"/>
        <v>0</v>
      </c>
      <c r="AA16" s="283">
        <f t="shared" si="47"/>
        <v>0</v>
      </c>
      <c r="AB16" s="329">
        <f t="shared" si="48"/>
        <v>0</v>
      </c>
      <c r="AC16" s="298">
        <f t="shared" si="49"/>
        <v>0</v>
      </c>
      <c r="AD16" s="329">
        <f t="shared" si="50"/>
        <v>0</v>
      </c>
      <c r="AE16" s="282">
        <v>0</v>
      </c>
      <c r="AF16" s="329">
        <f t="shared" si="51"/>
        <v>0</v>
      </c>
      <c r="AG16" s="282">
        <f>'[2]Table 5C1B-DArbonne'!AI16+'[14]Table 5C1B-DArbonne'!AI16+(6*'[20]Table 5C1B-DArbonne'!AI16)</f>
        <v>0</v>
      </c>
      <c r="AH16" s="282">
        <f t="shared" si="52"/>
        <v>0</v>
      </c>
      <c r="AI16" s="329">
        <f t="shared" si="34"/>
        <v>0</v>
      </c>
      <c r="AJ16" s="297">
        <f t="shared" si="35"/>
        <v>0</v>
      </c>
      <c r="AK16" s="319">
        <f t="shared" si="53"/>
        <v>0</v>
      </c>
      <c r="AM16" s="296">
        <v>0</v>
      </c>
      <c r="AN16" s="296">
        <f t="shared" si="54"/>
        <v>0</v>
      </c>
      <c r="AO16" s="296">
        <f t="shared" si="55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2.1.14'!H13</f>
        <v>0</v>
      </c>
      <c r="D17" s="208">
        <f>+'Table 5C1A-Madison Prep'!D17</f>
        <v>7098.5372236353351</v>
      </c>
      <c r="E17" s="209">
        <f t="shared" si="36"/>
        <v>0</v>
      </c>
      <c r="F17" s="209">
        <f>+'Table 5C1A-Madison Prep'!F17</f>
        <v>706.55</v>
      </c>
      <c r="G17" s="209">
        <f t="shared" si="37"/>
        <v>0</v>
      </c>
      <c r="H17" s="344">
        <f t="shared" si="38"/>
        <v>0</v>
      </c>
      <c r="I17" s="990">
        <f>'[1]Oct midyear DArbonne'!K14</f>
        <v>0</v>
      </c>
      <c r="J17" s="210">
        <f>'[1]Feb midyear DArbonne'!K14</f>
        <v>0</v>
      </c>
      <c r="K17" s="211">
        <f t="shared" si="39"/>
        <v>0</v>
      </c>
      <c r="L17" s="344">
        <f t="shared" si="31"/>
        <v>0</v>
      </c>
      <c r="M17" s="273">
        <f t="shared" si="40"/>
        <v>0</v>
      </c>
      <c r="N17" s="344">
        <f t="shared" si="41"/>
        <v>0</v>
      </c>
      <c r="O17" s="208">
        <v>0</v>
      </c>
      <c r="P17" s="350">
        <f t="shared" si="42"/>
        <v>0</v>
      </c>
      <c r="Q17" s="210">
        <f>'[2]Table 5C1B-DArbonne'!S17+'[14]Table 5C1B-DArbonne'!S17+(6*'[20]Table 5C1B-DArbonne'!S17)</f>
        <v>0</v>
      </c>
      <c r="R17" s="210">
        <f t="shared" si="43"/>
        <v>0</v>
      </c>
      <c r="S17" s="350">
        <f t="shared" si="32"/>
        <v>0</v>
      </c>
      <c r="T17" s="361">
        <f t="shared" si="44"/>
        <v>0</v>
      </c>
      <c r="U17" s="274">
        <f>'Table 5C1A-Madison Prep'!U17</f>
        <v>3580</v>
      </c>
      <c r="V17" s="327">
        <f t="shared" si="33"/>
        <v>0</v>
      </c>
      <c r="W17" s="994">
        <f>'[1]Oct midyear DArbonne'!E14</f>
        <v>0</v>
      </c>
      <c r="X17" s="276">
        <f t="shared" si="45"/>
        <v>0</v>
      </c>
      <c r="Y17" s="883">
        <f>'[1]Feb midyear DArbonne'!E14</f>
        <v>0</v>
      </c>
      <c r="Z17" s="276">
        <f t="shared" si="46"/>
        <v>0</v>
      </c>
      <c r="AA17" s="275">
        <f t="shared" si="47"/>
        <v>0</v>
      </c>
      <c r="AB17" s="327">
        <f t="shared" si="48"/>
        <v>0</v>
      </c>
      <c r="AC17" s="278">
        <f t="shared" si="49"/>
        <v>0</v>
      </c>
      <c r="AD17" s="327">
        <f t="shared" si="50"/>
        <v>0</v>
      </c>
      <c r="AE17" s="276">
        <v>0</v>
      </c>
      <c r="AF17" s="327">
        <f t="shared" si="51"/>
        <v>0</v>
      </c>
      <c r="AG17" s="276">
        <f>'[2]Table 5C1B-DArbonne'!AI17+'[14]Table 5C1B-DArbonne'!AI17+(6*'[20]Table 5C1B-DArbonne'!AI17)</f>
        <v>0</v>
      </c>
      <c r="AH17" s="276">
        <f t="shared" si="52"/>
        <v>0</v>
      </c>
      <c r="AI17" s="327">
        <f t="shared" si="34"/>
        <v>0</v>
      </c>
      <c r="AJ17" s="277">
        <f t="shared" si="35"/>
        <v>0</v>
      </c>
      <c r="AK17" s="317">
        <f t="shared" si="53"/>
        <v>0</v>
      </c>
      <c r="AM17" s="273">
        <v>0</v>
      </c>
      <c r="AN17" s="273">
        <f t="shared" si="54"/>
        <v>0</v>
      </c>
      <c r="AO17" s="273">
        <f t="shared" si="55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2.1.14'!H14</f>
        <v>0</v>
      </c>
      <c r="D18" s="201">
        <f>+'Table 5C1A-Madison Prep'!D18</f>
        <v>1666.6040983606558</v>
      </c>
      <c r="E18" s="202">
        <f t="shared" si="36"/>
        <v>0</v>
      </c>
      <c r="F18" s="202">
        <f>+'Table 5C1A-Madison Prep'!F18</f>
        <v>1063.31</v>
      </c>
      <c r="G18" s="202">
        <f t="shared" si="37"/>
        <v>0</v>
      </c>
      <c r="H18" s="345">
        <f t="shared" si="38"/>
        <v>0</v>
      </c>
      <c r="I18" s="991">
        <f>'[1]Oct midyear DArbonne'!K15</f>
        <v>0</v>
      </c>
      <c r="J18" s="203">
        <f>'[1]Feb midyear DArbonne'!K15</f>
        <v>0</v>
      </c>
      <c r="K18" s="204">
        <f t="shared" si="39"/>
        <v>0</v>
      </c>
      <c r="L18" s="345">
        <f t="shared" si="31"/>
        <v>0</v>
      </c>
      <c r="M18" s="286">
        <f t="shared" si="40"/>
        <v>0</v>
      </c>
      <c r="N18" s="345">
        <f t="shared" si="41"/>
        <v>0</v>
      </c>
      <c r="O18" s="201">
        <v>0</v>
      </c>
      <c r="P18" s="351">
        <f t="shared" si="42"/>
        <v>0</v>
      </c>
      <c r="Q18" s="203">
        <f>'[2]Table 5C1B-DArbonne'!S18+'[14]Table 5C1B-DArbonne'!S18+(6*'[20]Table 5C1B-DArbonne'!S18)</f>
        <v>0</v>
      </c>
      <c r="R18" s="203">
        <f t="shared" si="43"/>
        <v>0</v>
      </c>
      <c r="S18" s="351">
        <f t="shared" si="32"/>
        <v>0</v>
      </c>
      <c r="T18" s="362">
        <f t="shared" si="44"/>
        <v>0</v>
      </c>
      <c r="U18" s="287">
        <f>'Table 5C1A-Madison Prep'!U18</f>
        <v>8094</v>
      </c>
      <c r="V18" s="328">
        <f t="shared" si="33"/>
        <v>0</v>
      </c>
      <c r="W18" s="995">
        <f>'[1]Oct midyear DArbonne'!E15</f>
        <v>0</v>
      </c>
      <c r="X18" s="290">
        <f t="shared" si="45"/>
        <v>0</v>
      </c>
      <c r="Y18" s="289">
        <f>'[1]Feb midyear DArbonne'!E15</f>
        <v>0</v>
      </c>
      <c r="Z18" s="290">
        <f t="shared" si="46"/>
        <v>0</v>
      </c>
      <c r="AA18" s="288">
        <f t="shared" si="47"/>
        <v>0</v>
      </c>
      <c r="AB18" s="328">
        <f t="shared" si="48"/>
        <v>0</v>
      </c>
      <c r="AC18" s="292">
        <f t="shared" si="49"/>
        <v>0</v>
      </c>
      <c r="AD18" s="328">
        <f t="shared" si="50"/>
        <v>0</v>
      </c>
      <c r="AE18" s="290">
        <v>0</v>
      </c>
      <c r="AF18" s="328">
        <f t="shared" si="51"/>
        <v>0</v>
      </c>
      <c r="AG18" s="290">
        <f>'[2]Table 5C1B-DArbonne'!AI18+'[14]Table 5C1B-DArbonne'!AI18+(6*'[20]Table 5C1B-DArbonne'!AI18)</f>
        <v>0</v>
      </c>
      <c r="AH18" s="290">
        <f t="shared" si="52"/>
        <v>0</v>
      </c>
      <c r="AI18" s="328">
        <f t="shared" si="34"/>
        <v>0</v>
      </c>
      <c r="AJ18" s="291">
        <f t="shared" si="35"/>
        <v>0</v>
      </c>
      <c r="AK18" s="318">
        <f t="shared" si="53"/>
        <v>0</v>
      </c>
      <c r="AM18" s="286">
        <v>0</v>
      </c>
      <c r="AN18" s="286">
        <f t="shared" si="54"/>
        <v>0</v>
      </c>
      <c r="AO18" s="286">
        <f t="shared" si="55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2.1.14'!H15</f>
        <v>0</v>
      </c>
      <c r="D19" s="201">
        <f>+'Table 5C1A-Madison Prep'!D19</f>
        <v>6433.6297758332212</v>
      </c>
      <c r="E19" s="202">
        <f t="shared" si="36"/>
        <v>0</v>
      </c>
      <c r="F19" s="202">
        <f>+'Table 5C1A-Madison Prep'!F19</f>
        <v>749.43000000000006</v>
      </c>
      <c r="G19" s="202">
        <f t="shared" si="37"/>
        <v>0</v>
      </c>
      <c r="H19" s="345">
        <f t="shared" si="38"/>
        <v>0</v>
      </c>
      <c r="I19" s="991">
        <f>'[1]Oct midyear DArbonne'!K16</f>
        <v>0</v>
      </c>
      <c r="J19" s="203">
        <f>'[1]Feb midyear DArbonne'!K16</f>
        <v>0</v>
      </c>
      <c r="K19" s="204">
        <f t="shared" si="39"/>
        <v>0</v>
      </c>
      <c r="L19" s="345">
        <f t="shared" si="31"/>
        <v>0</v>
      </c>
      <c r="M19" s="286">
        <f t="shared" si="40"/>
        <v>0</v>
      </c>
      <c r="N19" s="345">
        <f t="shared" si="41"/>
        <v>0</v>
      </c>
      <c r="O19" s="201">
        <v>0</v>
      </c>
      <c r="P19" s="351">
        <f t="shared" si="42"/>
        <v>0</v>
      </c>
      <c r="Q19" s="203">
        <f>'[2]Table 5C1B-DArbonne'!S19+'[14]Table 5C1B-DArbonne'!S19+(6*'[20]Table 5C1B-DArbonne'!S19)</f>
        <v>0</v>
      </c>
      <c r="R19" s="203">
        <f t="shared" si="43"/>
        <v>0</v>
      </c>
      <c r="S19" s="351">
        <f t="shared" si="32"/>
        <v>0</v>
      </c>
      <c r="T19" s="362">
        <f t="shared" si="44"/>
        <v>0</v>
      </c>
      <c r="U19" s="287">
        <f>'Table 5C1A-Madison Prep'!U19</f>
        <v>2762</v>
      </c>
      <c r="V19" s="328">
        <f t="shared" si="33"/>
        <v>0</v>
      </c>
      <c r="W19" s="995">
        <f>'[1]Oct midyear DArbonne'!E16</f>
        <v>0</v>
      </c>
      <c r="X19" s="290">
        <f t="shared" si="45"/>
        <v>0</v>
      </c>
      <c r="Y19" s="289">
        <f>'[1]Feb midyear DArbonne'!E16</f>
        <v>0</v>
      </c>
      <c r="Z19" s="290">
        <f t="shared" si="46"/>
        <v>0</v>
      </c>
      <c r="AA19" s="288">
        <f t="shared" si="47"/>
        <v>0</v>
      </c>
      <c r="AB19" s="328">
        <f t="shared" si="48"/>
        <v>0</v>
      </c>
      <c r="AC19" s="292">
        <f t="shared" si="49"/>
        <v>0</v>
      </c>
      <c r="AD19" s="328">
        <f t="shared" si="50"/>
        <v>0</v>
      </c>
      <c r="AE19" s="290">
        <v>0</v>
      </c>
      <c r="AF19" s="328">
        <f t="shared" si="51"/>
        <v>0</v>
      </c>
      <c r="AG19" s="290">
        <f>'[2]Table 5C1B-DArbonne'!AI19+'[14]Table 5C1B-DArbonne'!AI19+(6*'[20]Table 5C1B-DArbonne'!AI19)</f>
        <v>0</v>
      </c>
      <c r="AH19" s="290">
        <f t="shared" si="52"/>
        <v>0</v>
      </c>
      <c r="AI19" s="328">
        <f t="shared" si="34"/>
        <v>0</v>
      </c>
      <c r="AJ19" s="291">
        <f t="shared" si="35"/>
        <v>0</v>
      </c>
      <c r="AK19" s="318">
        <f t="shared" si="53"/>
        <v>0</v>
      </c>
      <c r="AM19" s="286">
        <v>0</v>
      </c>
      <c r="AN19" s="286">
        <f t="shared" si="54"/>
        <v>0</v>
      </c>
      <c r="AO19" s="286">
        <f t="shared" si="55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2.1.14'!H16</f>
        <v>2</v>
      </c>
      <c r="D20" s="201">
        <f>+'Table 5C1A-Madison Prep'!D20</f>
        <v>5334.9509412500001</v>
      </c>
      <c r="E20" s="202">
        <f t="shared" si="36"/>
        <v>10669.9018825</v>
      </c>
      <c r="F20" s="202">
        <f>+'Table 5C1A-Madison Prep'!F20</f>
        <v>809.9799999999999</v>
      </c>
      <c r="G20" s="202">
        <f t="shared" si="37"/>
        <v>1619.9599999999998</v>
      </c>
      <c r="H20" s="345">
        <f t="shared" si="38"/>
        <v>12289.861882499999</v>
      </c>
      <c r="I20" s="991">
        <f>'[1]Oct midyear DArbonne'!K17</f>
        <v>6144.9309412499997</v>
      </c>
      <c r="J20" s="203">
        <f>'[1]Feb midyear DArbonne'!K17</f>
        <v>0</v>
      </c>
      <c r="K20" s="204">
        <f t="shared" si="39"/>
        <v>6144.9309412499997</v>
      </c>
      <c r="L20" s="345">
        <f t="shared" si="31"/>
        <v>18434.792823749998</v>
      </c>
      <c r="M20" s="286">
        <f t="shared" si="40"/>
        <v>-46.086982059374996</v>
      </c>
      <c r="N20" s="345">
        <f t="shared" si="41"/>
        <v>18388.705841690622</v>
      </c>
      <c r="O20" s="201">
        <v>0</v>
      </c>
      <c r="P20" s="351">
        <f t="shared" si="42"/>
        <v>18388.705841690622</v>
      </c>
      <c r="Q20" s="203">
        <f>'[2]Table 5C1B-DArbonne'!S20+'[14]Table 5C1B-DArbonne'!S20+(6*'[20]Table 5C1B-DArbonne'!S20)</f>
        <v>11848</v>
      </c>
      <c r="R20" s="203">
        <f t="shared" si="43"/>
        <v>6540.705841690622</v>
      </c>
      <c r="S20" s="351">
        <f t="shared" si="32"/>
        <v>1635</v>
      </c>
      <c r="T20" s="362">
        <f t="shared" si="44"/>
        <v>18388.705841690622</v>
      </c>
      <c r="U20" s="287">
        <f>'Table 5C1A-Madison Prep'!U20</f>
        <v>4171</v>
      </c>
      <c r="V20" s="328">
        <f t="shared" si="33"/>
        <v>8342</v>
      </c>
      <c r="W20" s="995">
        <f>'[1]Oct midyear DArbonne'!E17</f>
        <v>1</v>
      </c>
      <c r="X20" s="290">
        <f t="shared" si="45"/>
        <v>4171</v>
      </c>
      <c r="Y20" s="289">
        <f>'[1]Feb midyear DArbonne'!E17</f>
        <v>0</v>
      </c>
      <c r="Z20" s="290">
        <f t="shared" si="46"/>
        <v>0</v>
      </c>
      <c r="AA20" s="288">
        <f t="shared" si="47"/>
        <v>4171</v>
      </c>
      <c r="AB20" s="328">
        <f t="shared" si="48"/>
        <v>12513</v>
      </c>
      <c r="AC20" s="292">
        <f t="shared" si="49"/>
        <v>-31.282500000000002</v>
      </c>
      <c r="AD20" s="328">
        <f t="shared" si="50"/>
        <v>12481.717500000001</v>
      </c>
      <c r="AE20" s="290">
        <v>0</v>
      </c>
      <c r="AF20" s="328">
        <f t="shared" si="51"/>
        <v>12481.717500000001</v>
      </c>
      <c r="AG20" s="290">
        <f>'[2]Table 5C1B-DArbonne'!AI20+'[14]Table 5C1B-DArbonne'!AI20+(6*'[20]Table 5C1B-DArbonne'!AI20)</f>
        <v>8112</v>
      </c>
      <c r="AH20" s="290">
        <f t="shared" si="52"/>
        <v>4369.7175000000007</v>
      </c>
      <c r="AI20" s="328">
        <f t="shared" si="34"/>
        <v>1092</v>
      </c>
      <c r="AJ20" s="291">
        <f t="shared" si="35"/>
        <v>30870.423341690621</v>
      </c>
      <c r="AK20" s="318">
        <f t="shared" si="53"/>
        <v>2727</v>
      </c>
      <c r="AM20" s="286">
        <v>-21.025000000000002</v>
      </c>
      <c r="AN20" s="286">
        <f t="shared" si="54"/>
        <v>-31.282500000000002</v>
      </c>
      <c r="AO20" s="286">
        <f t="shared" si="55"/>
        <v>-10.2575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2.1.14'!H17</f>
        <v>0</v>
      </c>
      <c r="D21" s="194">
        <f>+'Table 5C1A-Madison Prep'!D21</f>
        <v>5749.8285214059952</v>
      </c>
      <c r="E21" s="195">
        <f t="shared" si="36"/>
        <v>0</v>
      </c>
      <c r="F21" s="195">
        <f>+'Table 5C1A-Madison Prep'!F21</f>
        <v>553.79999999999995</v>
      </c>
      <c r="G21" s="195">
        <f t="shared" si="37"/>
        <v>0</v>
      </c>
      <c r="H21" s="346">
        <f t="shared" si="38"/>
        <v>0</v>
      </c>
      <c r="I21" s="992">
        <f>'[1]Oct midyear DArbonne'!K18</f>
        <v>0</v>
      </c>
      <c r="J21" s="196">
        <f>'[1]Feb midyear DArbonne'!K18</f>
        <v>0</v>
      </c>
      <c r="K21" s="197">
        <f t="shared" si="39"/>
        <v>0</v>
      </c>
      <c r="L21" s="346">
        <f t="shared" si="31"/>
        <v>0</v>
      </c>
      <c r="M21" s="296">
        <f t="shared" si="40"/>
        <v>0</v>
      </c>
      <c r="N21" s="346">
        <f t="shared" si="41"/>
        <v>0</v>
      </c>
      <c r="O21" s="194">
        <v>0</v>
      </c>
      <c r="P21" s="352">
        <f t="shared" si="42"/>
        <v>0</v>
      </c>
      <c r="Q21" s="622">
        <f>'[2]Table 5C1B-DArbonne'!S21+'[14]Table 5C1B-DArbonne'!S21+(6*'[20]Table 5C1B-DArbonne'!S21)</f>
        <v>0</v>
      </c>
      <c r="R21" s="196">
        <f t="shared" si="43"/>
        <v>0</v>
      </c>
      <c r="S21" s="356">
        <f t="shared" si="32"/>
        <v>0</v>
      </c>
      <c r="T21" s="356">
        <f t="shared" si="44"/>
        <v>0</v>
      </c>
      <c r="U21" s="281">
        <f>'Table 5C1A-Madison Prep'!U21</f>
        <v>2880</v>
      </c>
      <c r="V21" s="329">
        <f t="shared" si="33"/>
        <v>0</v>
      </c>
      <c r="W21" s="996">
        <f>'[1]Oct midyear DArbonne'!E18</f>
        <v>0</v>
      </c>
      <c r="X21" s="282">
        <f t="shared" si="45"/>
        <v>0</v>
      </c>
      <c r="Y21" s="884">
        <f>'[1]Feb midyear DArbonne'!E18</f>
        <v>0</v>
      </c>
      <c r="Z21" s="282">
        <f t="shared" si="46"/>
        <v>0</v>
      </c>
      <c r="AA21" s="283">
        <f t="shared" si="47"/>
        <v>0</v>
      </c>
      <c r="AB21" s="329">
        <f t="shared" si="48"/>
        <v>0</v>
      </c>
      <c r="AC21" s="298">
        <f t="shared" si="49"/>
        <v>0</v>
      </c>
      <c r="AD21" s="329">
        <f t="shared" si="50"/>
        <v>0</v>
      </c>
      <c r="AE21" s="282">
        <v>0</v>
      </c>
      <c r="AF21" s="329">
        <f t="shared" si="51"/>
        <v>0</v>
      </c>
      <c r="AG21" s="282">
        <f>'[2]Table 5C1B-DArbonne'!AI21+'[14]Table 5C1B-DArbonne'!AI21+(6*'[20]Table 5C1B-DArbonne'!AI21)</f>
        <v>0</v>
      </c>
      <c r="AH21" s="282">
        <f t="shared" si="52"/>
        <v>0</v>
      </c>
      <c r="AI21" s="329">
        <f t="shared" si="34"/>
        <v>0</v>
      </c>
      <c r="AJ21" s="297">
        <f t="shared" si="35"/>
        <v>0</v>
      </c>
      <c r="AK21" s="319">
        <f t="shared" si="53"/>
        <v>0</v>
      </c>
      <c r="AM21" s="296">
        <v>0</v>
      </c>
      <c r="AN21" s="296">
        <f t="shared" si="54"/>
        <v>0</v>
      </c>
      <c r="AO21" s="296">
        <f t="shared" si="55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2.1.14'!H18</f>
        <v>0</v>
      </c>
      <c r="D22" s="208">
        <f>+'Table 5C1A-Madison Prep'!D22</f>
        <v>1980.2494354342025</v>
      </c>
      <c r="E22" s="209">
        <f t="shared" si="36"/>
        <v>0</v>
      </c>
      <c r="F22" s="209">
        <f>+'Table 5C1A-Madison Prep'!F22</f>
        <v>686.73</v>
      </c>
      <c r="G22" s="209">
        <f t="shared" si="37"/>
        <v>0</v>
      </c>
      <c r="H22" s="344">
        <f t="shared" si="38"/>
        <v>0</v>
      </c>
      <c r="I22" s="990">
        <f>'[1]Oct midyear DArbonne'!K19</f>
        <v>0</v>
      </c>
      <c r="J22" s="210">
        <f>'[1]Feb midyear DArbonne'!K19</f>
        <v>0</v>
      </c>
      <c r="K22" s="211">
        <f t="shared" si="39"/>
        <v>0</v>
      </c>
      <c r="L22" s="344">
        <f t="shared" si="31"/>
        <v>0</v>
      </c>
      <c r="M22" s="273">
        <f t="shared" si="40"/>
        <v>0</v>
      </c>
      <c r="N22" s="344">
        <f t="shared" si="41"/>
        <v>0</v>
      </c>
      <c r="O22" s="208">
        <v>0</v>
      </c>
      <c r="P22" s="350">
        <f t="shared" si="42"/>
        <v>0</v>
      </c>
      <c r="Q22" s="210">
        <f>'[2]Table 5C1B-DArbonne'!S22+'[14]Table 5C1B-DArbonne'!S22+(6*'[20]Table 5C1B-DArbonne'!S22)</f>
        <v>0</v>
      </c>
      <c r="R22" s="210">
        <f t="shared" si="43"/>
        <v>0</v>
      </c>
      <c r="S22" s="350">
        <f t="shared" si="32"/>
        <v>0</v>
      </c>
      <c r="T22" s="361">
        <f t="shared" si="44"/>
        <v>0</v>
      </c>
      <c r="U22" s="274">
        <f>'Table 5C1A-Madison Prep'!U22</f>
        <v>13021</v>
      </c>
      <c r="V22" s="327">
        <f t="shared" si="33"/>
        <v>0</v>
      </c>
      <c r="W22" s="994">
        <f>'[1]Oct midyear DArbonne'!E19</f>
        <v>0</v>
      </c>
      <c r="X22" s="276">
        <f t="shared" si="45"/>
        <v>0</v>
      </c>
      <c r="Y22" s="883">
        <f>'[1]Feb midyear DArbonne'!E19</f>
        <v>0</v>
      </c>
      <c r="Z22" s="276">
        <f t="shared" si="46"/>
        <v>0</v>
      </c>
      <c r="AA22" s="275">
        <f t="shared" si="47"/>
        <v>0</v>
      </c>
      <c r="AB22" s="327">
        <f t="shared" si="48"/>
        <v>0</v>
      </c>
      <c r="AC22" s="278">
        <f t="shared" si="49"/>
        <v>0</v>
      </c>
      <c r="AD22" s="327">
        <f t="shared" si="50"/>
        <v>0</v>
      </c>
      <c r="AE22" s="276">
        <v>0</v>
      </c>
      <c r="AF22" s="327">
        <f t="shared" si="51"/>
        <v>0</v>
      </c>
      <c r="AG22" s="276">
        <f>'[2]Table 5C1B-DArbonne'!AI22+'[14]Table 5C1B-DArbonne'!AI22+(6*'[20]Table 5C1B-DArbonne'!AI22)</f>
        <v>0</v>
      </c>
      <c r="AH22" s="276">
        <f t="shared" si="52"/>
        <v>0</v>
      </c>
      <c r="AI22" s="327">
        <f t="shared" si="34"/>
        <v>0</v>
      </c>
      <c r="AJ22" s="277">
        <f t="shared" si="35"/>
        <v>0</v>
      </c>
      <c r="AK22" s="317">
        <f t="shared" si="53"/>
        <v>0</v>
      </c>
      <c r="AM22" s="273">
        <v>0</v>
      </c>
      <c r="AN22" s="273">
        <f t="shared" si="54"/>
        <v>0</v>
      </c>
      <c r="AO22" s="273">
        <f t="shared" si="55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2.1.14'!H19</f>
        <v>0</v>
      </c>
      <c r="D23" s="201">
        <f>+'Table 5C1A-Madison Prep'!D23</f>
        <v>3363.5980368254495</v>
      </c>
      <c r="E23" s="202">
        <f t="shared" si="36"/>
        <v>0</v>
      </c>
      <c r="F23" s="202">
        <f>+'Table 5C1A-Madison Prep'!F23</f>
        <v>801.47762416806802</v>
      </c>
      <c r="G23" s="202">
        <f t="shared" si="37"/>
        <v>0</v>
      </c>
      <c r="H23" s="345">
        <f t="shared" si="38"/>
        <v>0</v>
      </c>
      <c r="I23" s="991">
        <f>'[1]Oct midyear DArbonne'!K20</f>
        <v>0</v>
      </c>
      <c r="J23" s="203">
        <f>'[1]Feb midyear DArbonne'!K20</f>
        <v>0</v>
      </c>
      <c r="K23" s="204">
        <f t="shared" si="39"/>
        <v>0</v>
      </c>
      <c r="L23" s="345">
        <f t="shared" si="31"/>
        <v>0</v>
      </c>
      <c r="M23" s="286">
        <f t="shared" si="40"/>
        <v>0</v>
      </c>
      <c r="N23" s="345">
        <f t="shared" si="41"/>
        <v>0</v>
      </c>
      <c r="O23" s="201">
        <v>0</v>
      </c>
      <c r="P23" s="351">
        <f t="shared" si="42"/>
        <v>0</v>
      </c>
      <c r="Q23" s="203">
        <f>'[2]Table 5C1B-DArbonne'!S23+'[14]Table 5C1B-DArbonne'!S23+(6*'[20]Table 5C1B-DArbonne'!S23)</f>
        <v>0</v>
      </c>
      <c r="R23" s="203">
        <f t="shared" si="43"/>
        <v>0</v>
      </c>
      <c r="S23" s="351">
        <f t="shared" si="32"/>
        <v>0</v>
      </c>
      <c r="T23" s="362">
        <f t="shared" si="44"/>
        <v>0</v>
      </c>
      <c r="U23" s="287">
        <f>'Table 5C1A-Madison Prep'!U23</f>
        <v>6954</v>
      </c>
      <c r="V23" s="328">
        <f t="shared" si="33"/>
        <v>0</v>
      </c>
      <c r="W23" s="995">
        <f>'[1]Oct midyear DArbonne'!E20</f>
        <v>0</v>
      </c>
      <c r="X23" s="290">
        <f t="shared" si="45"/>
        <v>0</v>
      </c>
      <c r="Y23" s="289">
        <f>'[1]Feb midyear DArbonne'!E20</f>
        <v>0</v>
      </c>
      <c r="Z23" s="290">
        <f t="shared" si="46"/>
        <v>0</v>
      </c>
      <c r="AA23" s="288">
        <f t="shared" si="47"/>
        <v>0</v>
      </c>
      <c r="AB23" s="328">
        <f t="shared" si="48"/>
        <v>0</v>
      </c>
      <c r="AC23" s="292">
        <f t="shared" si="49"/>
        <v>0</v>
      </c>
      <c r="AD23" s="328">
        <f t="shared" si="50"/>
        <v>0</v>
      </c>
      <c r="AE23" s="290">
        <v>0</v>
      </c>
      <c r="AF23" s="328">
        <f t="shared" si="51"/>
        <v>0</v>
      </c>
      <c r="AG23" s="290">
        <f>'[2]Table 5C1B-DArbonne'!AI23+'[14]Table 5C1B-DArbonne'!AI23+(6*'[20]Table 5C1B-DArbonne'!AI23)</f>
        <v>0</v>
      </c>
      <c r="AH23" s="290">
        <f t="shared" si="52"/>
        <v>0</v>
      </c>
      <c r="AI23" s="328">
        <f t="shared" si="34"/>
        <v>0</v>
      </c>
      <c r="AJ23" s="291">
        <f t="shared" si="35"/>
        <v>0</v>
      </c>
      <c r="AK23" s="318">
        <f t="shared" si="53"/>
        <v>0</v>
      </c>
      <c r="AM23" s="286">
        <v>0</v>
      </c>
      <c r="AN23" s="286">
        <f t="shared" si="54"/>
        <v>0</v>
      </c>
      <c r="AO23" s="286">
        <f t="shared" si="55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2.1.14'!H20</f>
        <v>0</v>
      </c>
      <c r="D24" s="201">
        <f>+'Table 5C1A-Madison Prep'!D24</f>
        <v>6354.5533500475731</v>
      </c>
      <c r="E24" s="202">
        <f t="shared" si="36"/>
        <v>0</v>
      </c>
      <c r="F24" s="202">
        <f>+'Table 5C1A-Madison Prep'!F24</f>
        <v>845.94999999999993</v>
      </c>
      <c r="G24" s="202">
        <f t="shared" si="37"/>
        <v>0</v>
      </c>
      <c r="H24" s="345">
        <f t="shared" si="38"/>
        <v>0</v>
      </c>
      <c r="I24" s="991">
        <f>'[1]Oct midyear DArbonne'!K21</f>
        <v>0</v>
      </c>
      <c r="J24" s="203">
        <f>'[1]Feb midyear DArbonne'!K21</f>
        <v>0</v>
      </c>
      <c r="K24" s="204">
        <f t="shared" si="39"/>
        <v>0</v>
      </c>
      <c r="L24" s="345">
        <f t="shared" si="31"/>
        <v>0</v>
      </c>
      <c r="M24" s="286">
        <f t="shared" si="40"/>
        <v>0</v>
      </c>
      <c r="N24" s="345">
        <f t="shared" si="41"/>
        <v>0</v>
      </c>
      <c r="O24" s="201">
        <v>0</v>
      </c>
      <c r="P24" s="351">
        <f t="shared" si="42"/>
        <v>0</v>
      </c>
      <c r="Q24" s="203">
        <f>'[2]Table 5C1B-DArbonne'!S24+'[14]Table 5C1B-DArbonne'!S24+(6*'[20]Table 5C1B-DArbonne'!S24)</f>
        <v>0</v>
      </c>
      <c r="R24" s="203">
        <f t="shared" si="43"/>
        <v>0</v>
      </c>
      <c r="S24" s="351">
        <f t="shared" si="32"/>
        <v>0</v>
      </c>
      <c r="T24" s="362">
        <f t="shared" si="44"/>
        <v>0</v>
      </c>
      <c r="U24" s="287">
        <f>'Table 5C1A-Madison Prep'!U24</f>
        <v>2442</v>
      </c>
      <c r="V24" s="328">
        <f t="shared" si="33"/>
        <v>0</v>
      </c>
      <c r="W24" s="995">
        <f>'[1]Oct midyear DArbonne'!E21</f>
        <v>0</v>
      </c>
      <c r="X24" s="290">
        <f t="shared" si="45"/>
        <v>0</v>
      </c>
      <c r="Y24" s="289">
        <f>'[1]Feb midyear DArbonne'!E21</f>
        <v>0</v>
      </c>
      <c r="Z24" s="290">
        <f t="shared" si="46"/>
        <v>0</v>
      </c>
      <c r="AA24" s="288">
        <f t="shared" si="47"/>
        <v>0</v>
      </c>
      <c r="AB24" s="328">
        <f t="shared" si="48"/>
        <v>0</v>
      </c>
      <c r="AC24" s="292">
        <f t="shared" si="49"/>
        <v>0</v>
      </c>
      <c r="AD24" s="328">
        <f t="shared" si="50"/>
        <v>0</v>
      </c>
      <c r="AE24" s="290">
        <v>0</v>
      </c>
      <c r="AF24" s="328">
        <f t="shared" si="51"/>
        <v>0</v>
      </c>
      <c r="AG24" s="290">
        <f>'[2]Table 5C1B-DArbonne'!AI24+'[14]Table 5C1B-DArbonne'!AI24+(6*'[20]Table 5C1B-DArbonne'!AI24)</f>
        <v>0</v>
      </c>
      <c r="AH24" s="290">
        <f t="shared" si="52"/>
        <v>0</v>
      </c>
      <c r="AI24" s="328">
        <f t="shared" si="34"/>
        <v>0</v>
      </c>
      <c r="AJ24" s="291">
        <f t="shared" si="35"/>
        <v>0</v>
      </c>
      <c r="AK24" s="318">
        <f t="shared" si="53"/>
        <v>0</v>
      </c>
      <c r="AM24" s="286">
        <v>0</v>
      </c>
      <c r="AN24" s="286">
        <f t="shared" si="54"/>
        <v>0</v>
      </c>
      <c r="AO24" s="286">
        <f t="shared" si="55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2.1.14'!H21</f>
        <v>0</v>
      </c>
      <c r="D25" s="201">
        <f>+'Table 5C1A-Madison Prep'!D25</f>
        <v>5314.3921869460446</v>
      </c>
      <c r="E25" s="202">
        <f t="shared" si="36"/>
        <v>0</v>
      </c>
      <c r="F25" s="202">
        <f>+'Table 5C1A-Madison Prep'!F25</f>
        <v>905.43</v>
      </c>
      <c r="G25" s="202">
        <f t="shared" si="37"/>
        <v>0</v>
      </c>
      <c r="H25" s="345">
        <f t="shared" si="38"/>
        <v>0</v>
      </c>
      <c r="I25" s="991">
        <f>'[1]Oct midyear DArbonne'!K22</f>
        <v>0</v>
      </c>
      <c r="J25" s="203">
        <f>'[1]Feb midyear DArbonne'!K22</f>
        <v>0</v>
      </c>
      <c r="K25" s="204">
        <f t="shared" si="39"/>
        <v>0</v>
      </c>
      <c r="L25" s="345">
        <f t="shared" si="31"/>
        <v>0</v>
      </c>
      <c r="M25" s="286">
        <f t="shared" si="40"/>
        <v>0</v>
      </c>
      <c r="N25" s="345">
        <f t="shared" si="41"/>
        <v>0</v>
      </c>
      <c r="O25" s="201">
        <v>0</v>
      </c>
      <c r="P25" s="351">
        <f t="shared" si="42"/>
        <v>0</v>
      </c>
      <c r="Q25" s="203">
        <f>'[2]Table 5C1B-DArbonne'!S25+'[14]Table 5C1B-DArbonne'!S25+(6*'[20]Table 5C1B-DArbonne'!S25)</f>
        <v>0</v>
      </c>
      <c r="R25" s="203">
        <f t="shared" si="43"/>
        <v>0</v>
      </c>
      <c r="S25" s="351">
        <f t="shared" si="32"/>
        <v>0</v>
      </c>
      <c r="T25" s="362">
        <f t="shared" si="44"/>
        <v>0</v>
      </c>
      <c r="U25" s="287">
        <f>'Table 5C1A-Madison Prep'!U25</f>
        <v>3051</v>
      </c>
      <c r="V25" s="328">
        <f t="shared" si="33"/>
        <v>0</v>
      </c>
      <c r="W25" s="995">
        <f>'[1]Oct midyear DArbonne'!E22</f>
        <v>0</v>
      </c>
      <c r="X25" s="290">
        <f t="shared" si="45"/>
        <v>0</v>
      </c>
      <c r="Y25" s="289">
        <f>'[1]Feb midyear DArbonne'!E22</f>
        <v>0</v>
      </c>
      <c r="Z25" s="290">
        <f t="shared" si="46"/>
        <v>0</v>
      </c>
      <c r="AA25" s="288">
        <f t="shared" si="47"/>
        <v>0</v>
      </c>
      <c r="AB25" s="328">
        <f t="shared" si="48"/>
        <v>0</v>
      </c>
      <c r="AC25" s="292">
        <f t="shared" si="49"/>
        <v>0</v>
      </c>
      <c r="AD25" s="328">
        <f t="shared" si="50"/>
        <v>0</v>
      </c>
      <c r="AE25" s="290">
        <v>0</v>
      </c>
      <c r="AF25" s="328">
        <f t="shared" si="51"/>
        <v>0</v>
      </c>
      <c r="AG25" s="290">
        <f>'[2]Table 5C1B-DArbonne'!AI25+'[14]Table 5C1B-DArbonne'!AI25+(6*'[20]Table 5C1B-DArbonne'!AI25)</f>
        <v>0</v>
      </c>
      <c r="AH25" s="290">
        <f t="shared" si="52"/>
        <v>0</v>
      </c>
      <c r="AI25" s="328">
        <f t="shared" si="34"/>
        <v>0</v>
      </c>
      <c r="AJ25" s="291">
        <f t="shared" si="35"/>
        <v>0</v>
      </c>
      <c r="AK25" s="318">
        <f t="shared" si="53"/>
        <v>0</v>
      </c>
      <c r="AM25" s="286">
        <v>0</v>
      </c>
      <c r="AN25" s="286">
        <f t="shared" si="54"/>
        <v>0</v>
      </c>
      <c r="AO25" s="286">
        <f t="shared" si="55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2.1.14'!H22</f>
        <v>0</v>
      </c>
      <c r="D26" s="194">
        <f>+'Table 5C1A-Madison Prep'!D26</f>
        <v>5278.5201565562011</v>
      </c>
      <c r="E26" s="195">
        <f t="shared" si="36"/>
        <v>0</v>
      </c>
      <c r="F26" s="195">
        <f>+'Table 5C1A-Madison Prep'!F26</f>
        <v>586.16999999999996</v>
      </c>
      <c r="G26" s="195">
        <f t="shared" si="37"/>
        <v>0</v>
      </c>
      <c r="H26" s="346">
        <f t="shared" si="38"/>
        <v>0</v>
      </c>
      <c r="I26" s="992">
        <f>'[1]Oct midyear DArbonne'!K23</f>
        <v>0</v>
      </c>
      <c r="J26" s="196">
        <f>'[1]Feb midyear DArbonne'!K23</f>
        <v>0</v>
      </c>
      <c r="K26" s="197">
        <f t="shared" si="39"/>
        <v>0</v>
      </c>
      <c r="L26" s="346">
        <f t="shared" si="31"/>
        <v>0</v>
      </c>
      <c r="M26" s="296">
        <f t="shared" si="40"/>
        <v>0</v>
      </c>
      <c r="N26" s="346">
        <f t="shared" si="41"/>
        <v>0</v>
      </c>
      <c r="O26" s="194">
        <v>0</v>
      </c>
      <c r="P26" s="352">
        <f t="shared" si="42"/>
        <v>0</v>
      </c>
      <c r="Q26" s="622">
        <f>'[2]Table 5C1B-DArbonne'!S26+'[14]Table 5C1B-DArbonne'!S26+(6*'[20]Table 5C1B-DArbonne'!S26)</f>
        <v>0</v>
      </c>
      <c r="R26" s="196">
        <f t="shared" si="43"/>
        <v>0</v>
      </c>
      <c r="S26" s="356">
        <f t="shared" si="32"/>
        <v>0</v>
      </c>
      <c r="T26" s="356">
        <f t="shared" si="44"/>
        <v>0</v>
      </c>
      <c r="U26" s="281">
        <f>'Table 5C1A-Madison Prep'!U26</f>
        <v>2484</v>
      </c>
      <c r="V26" s="329">
        <f t="shared" si="33"/>
        <v>0</v>
      </c>
      <c r="W26" s="996">
        <f>'[1]Oct midyear DArbonne'!E23</f>
        <v>0</v>
      </c>
      <c r="X26" s="282">
        <f t="shared" si="45"/>
        <v>0</v>
      </c>
      <c r="Y26" s="884">
        <f>'[1]Feb midyear DArbonne'!E23</f>
        <v>0</v>
      </c>
      <c r="Z26" s="282">
        <f t="shared" si="46"/>
        <v>0</v>
      </c>
      <c r="AA26" s="283">
        <f t="shared" si="47"/>
        <v>0</v>
      </c>
      <c r="AB26" s="329">
        <f t="shared" si="48"/>
        <v>0</v>
      </c>
      <c r="AC26" s="298">
        <f t="shared" si="49"/>
        <v>0</v>
      </c>
      <c r="AD26" s="329">
        <f t="shared" si="50"/>
        <v>0</v>
      </c>
      <c r="AE26" s="282">
        <v>0</v>
      </c>
      <c r="AF26" s="329">
        <f t="shared" si="51"/>
        <v>0</v>
      </c>
      <c r="AG26" s="282">
        <f>'[2]Table 5C1B-DArbonne'!AI26+'[14]Table 5C1B-DArbonne'!AI26+(6*'[20]Table 5C1B-DArbonne'!AI26)</f>
        <v>0</v>
      </c>
      <c r="AH26" s="282">
        <f t="shared" si="52"/>
        <v>0</v>
      </c>
      <c r="AI26" s="329">
        <f t="shared" si="34"/>
        <v>0</v>
      </c>
      <c r="AJ26" s="297">
        <f t="shared" si="35"/>
        <v>0</v>
      </c>
      <c r="AK26" s="319">
        <f t="shared" si="53"/>
        <v>0</v>
      </c>
      <c r="AM26" s="296">
        <v>0</v>
      </c>
      <c r="AN26" s="296">
        <f t="shared" si="54"/>
        <v>0</v>
      </c>
      <c r="AO26" s="296">
        <f t="shared" si="55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2.1.14'!H23</f>
        <v>0</v>
      </c>
      <c r="D27" s="208">
        <f>+'Table 5C1A-Madison Prep'!D27</f>
        <v>6082.3042295867763</v>
      </c>
      <c r="E27" s="209">
        <f t="shared" si="36"/>
        <v>0</v>
      </c>
      <c r="F27" s="209">
        <f>+'Table 5C1A-Madison Prep'!F27</f>
        <v>610.35</v>
      </c>
      <c r="G27" s="209">
        <f t="shared" si="37"/>
        <v>0</v>
      </c>
      <c r="H27" s="344">
        <f t="shared" si="38"/>
        <v>0</v>
      </c>
      <c r="I27" s="990">
        <f>'[1]Oct midyear DArbonne'!K24</f>
        <v>0</v>
      </c>
      <c r="J27" s="210">
        <f>'[1]Feb midyear DArbonne'!K24</f>
        <v>0</v>
      </c>
      <c r="K27" s="211">
        <f t="shared" si="39"/>
        <v>0</v>
      </c>
      <c r="L27" s="344">
        <f t="shared" si="31"/>
        <v>0</v>
      </c>
      <c r="M27" s="273">
        <f t="shared" si="40"/>
        <v>0</v>
      </c>
      <c r="N27" s="344">
        <f t="shared" si="41"/>
        <v>0</v>
      </c>
      <c r="O27" s="208">
        <v>0</v>
      </c>
      <c r="P27" s="350">
        <f t="shared" si="42"/>
        <v>0</v>
      </c>
      <c r="Q27" s="210">
        <f>'[2]Table 5C1B-DArbonne'!S27+'[14]Table 5C1B-DArbonne'!S27+(6*'[20]Table 5C1B-DArbonne'!S27)</f>
        <v>0</v>
      </c>
      <c r="R27" s="210">
        <f t="shared" si="43"/>
        <v>0</v>
      </c>
      <c r="S27" s="350">
        <f t="shared" si="32"/>
        <v>0</v>
      </c>
      <c r="T27" s="361">
        <f t="shared" si="44"/>
        <v>0</v>
      </c>
      <c r="U27" s="274">
        <f>'Table 5C1A-Madison Prep'!U27</f>
        <v>2487</v>
      </c>
      <c r="V27" s="327">
        <f t="shared" si="33"/>
        <v>0</v>
      </c>
      <c r="W27" s="994">
        <f>'[1]Oct midyear DArbonne'!E24</f>
        <v>0</v>
      </c>
      <c r="X27" s="276">
        <f t="shared" si="45"/>
        <v>0</v>
      </c>
      <c r="Y27" s="883">
        <f>'[1]Feb midyear DArbonne'!E24</f>
        <v>0</v>
      </c>
      <c r="Z27" s="276">
        <f t="shared" si="46"/>
        <v>0</v>
      </c>
      <c r="AA27" s="275">
        <f t="shared" si="47"/>
        <v>0</v>
      </c>
      <c r="AB27" s="327">
        <f t="shared" si="48"/>
        <v>0</v>
      </c>
      <c r="AC27" s="278">
        <f t="shared" si="49"/>
        <v>0</v>
      </c>
      <c r="AD27" s="327">
        <f t="shared" si="50"/>
        <v>0</v>
      </c>
      <c r="AE27" s="276">
        <v>0</v>
      </c>
      <c r="AF27" s="327">
        <f t="shared" si="51"/>
        <v>0</v>
      </c>
      <c r="AG27" s="276">
        <f>'[2]Table 5C1B-DArbonne'!AI27+'[14]Table 5C1B-DArbonne'!AI27+(6*'[20]Table 5C1B-DArbonne'!AI27)</f>
        <v>0</v>
      </c>
      <c r="AH27" s="276">
        <f t="shared" si="52"/>
        <v>0</v>
      </c>
      <c r="AI27" s="327">
        <f t="shared" si="34"/>
        <v>0</v>
      </c>
      <c r="AJ27" s="277">
        <f t="shared" si="35"/>
        <v>0</v>
      </c>
      <c r="AK27" s="317">
        <f t="shared" si="53"/>
        <v>0</v>
      </c>
      <c r="AM27" s="273">
        <v>0</v>
      </c>
      <c r="AN27" s="273">
        <f t="shared" si="54"/>
        <v>0</v>
      </c>
      <c r="AO27" s="273">
        <f t="shared" si="55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2.1.14'!H24</f>
        <v>0</v>
      </c>
      <c r="D28" s="201">
        <f>+'Table 5C1A-Madison Prep'!D28</f>
        <v>6416.1099808195995</v>
      </c>
      <c r="E28" s="202">
        <f t="shared" si="36"/>
        <v>0</v>
      </c>
      <c r="F28" s="202">
        <f>+'Table 5C1A-Madison Prep'!F28</f>
        <v>496.36</v>
      </c>
      <c r="G28" s="202">
        <f t="shared" si="37"/>
        <v>0</v>
      </c>
      <c r="H28" s="345">
        <f t="shared" si="38"/>
        <v>0</v>
      </c>
      <c r="I28" s="991">
        <f>'[1]Oct midyear DArbonne'!K25</f>
        <v>0</v>
      </c>
      <c r="J28" s="203">
        <f>'[1]Feb midyear DArbonne'!K25</f>
        <v>0</v>
      </c>
      <c r="K28" s="204">
        <f t="shared" si="39"/>
        <v>0</v>
      </c>
      <c r="L28" s="345">
        <f t="shared" si="31"/>
        <v>0</v>
      </c>
      <c r="M28" s="286">
        <f t="shared" si="40"/>
        <v>0</v>
      </c>
      <c r="N28" s="345">
        <f t="shared" si="41"/>
        <v>0</v>
      </c>
      <c r="O28" s="201">
        <v>0</v>
      </c>
      <c r="P28" s="351">
        <f t="shared" si="42"/>
        <v>0</v>
      </c>
      <c r="Q28" s="203">
        <f>'[2]Table 5C1B-DArbonne'!S28+'[14]Table 5C1B-DArbonne'!S28+(6*'[20]Table 5C1B-DArbonne'!S28)</f>
        <v>0</v>
      </c>
      <c r="R28" s="203">
        <f t="shared" si="43"/>
        <v>0</v>
      </c>
      <c r="S28" s="351">
        <f t="shared" si="32"/>
        <v>0</v>
      </c>
      <c r="T28" s="362">
        <f t="shared" si="44"/>
        <v>0</v>
      </c>
      <c r="U28" s="287">
        <f>'Table 5C1A-Madison Prep'!U28</f>
        <v>1584</v>
      </c>
      <c r="V28" s="328">
        <f t="shared" si="33"/>
        <v>0</v>
      </c>
      <c r="W28" s="995">
        <f>'[1]Oct midyear DArbonne'!E25</f>
        <v>0</v>
      </c>
      <c r="X28" s="290">
        <f t="shared" si="45"/>
        <v>0</v>
      </c>
      <c r="Y28" s="289">
        <f>'[1]Feb midyear DArbonne'!E25</f>
        <v>0</v>
      </c>
      <c r="Z28" s="290">
        <f t="shared" si="46"/>
        <v>0</v>
      </c>
      <c r="AA28" s="288">
        <f t="shared" si="47"/>
        <v>0</v>
      </c>
      <c r="AB28" s="328">
        <f t="shared" si="48"/>
        <v>0</v>
      </c>
      <c r="AC28" s="292">
        <f t="shared" si="49"/>
        <v>0</v>
      </c>
      <c r="AD28" s="328">
        <f t="shared" si="50"/>
        <v>0</v>
      </c>
      <c r="AE28" s="290">
        <v>0</v>
      </c>
      <c r="AF28" s="328">
        <f t="shared" si="51"/>
        <v>0</v>
      </c>
      <c r="AG28" s="290">
        <f>'[2]Table 5C1B-DArbonne'!AI28+'[14]Table 5C1B-DArbonne'!AI28+(6*'[20]Table 5C1B-DArbonne'!AI28)</f>
        <v>0</v>
      </c>
      <c r="AH28" s="290">
        <f t="shared" si="52"/>
        <v>0</v>
      </c>
      <c r="AI28" s="328">
        <f t="shared" si="34"/>
        <v>0</v>
      </c>
      <c r="AJ28" s="291">
        <f t="shared" si="35"/>
        <v>0</v>
      </c>
      <c r="AK28" s="318">
        <f t="shared" si="53"/>
        <v>0</v>
      </c>
      <c r="AM28" s="286">
        <v>0</v>
      </c>
      <c r="AN28" s="286">
        <f t="shared" si="54"/>
        <v>0</v>
      </c>
      <c r="AO28" s="286">
        <f t="shared" si="55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2.1.14'!H25</f>
        <v>0</v>
      </c>
      <c r="D29" s="201">
        <f>+'Table 5C1A-Madison Prep'!D29</f>
        <v>5011.0215265979159</v>
      </c>
      <c r="E29" s="202">
        <f t="shared" si="36"/>
        <v>0</v>
      </c>
      <c r="F29" s="202">
        <f>+'Table 5C1A-Madison Prep'!F29</f>
        <v>688.58</v>
      </c>
      <c r="G29" s="202">
        <f t="shared" si="37"/>
        <v>0</v>
      </c>
      <c r="H29" s="345">
        <f t="shared" si="38"/>
        <v>0</v>
      </c>
      <c r="I29" s="991">
        <f>'[1]Oct midyear DArbonne'!K26</f>
        <v>0</v>
      </c>
      <c r="J29" s="203">
        <f>'[1]Feb midyear DArbonne'!K26</f>
        <v>0</v>
      </c>
      <c r="K29" s="204">
        <f t="shared" si="39"/>
        <v>0</v>
      </c>
      <c r="L29" s="345">
        <f t="shared" si="31"/>
        <v>0</v>
      </c>
      <c r="M29" s="286">
        <f t="shared" si="40"/>
        <v>0</v>
      </c>
      <c r="N29" s="345">
        <f t="shared" si="41"/>
        <v>0</v>
      </c>
      <c r="O29" s="201">
        <v>0</v>
      </c>
      <c r="P29" s="351">
        <f t="shared" si="42"/>
        <v>0</v>
      </c>
      <c r="Q29" s="203">
        <f>'[2]Table 5C1B-DArbonne'!S29+'[14]Table 5C1B-DArbonne'!S29+(6*'[20]Table 5C1B-DArbonne'!S29)</f>
        <v>0</v>
      </c>
      <c r="R29" s="203">
        <f t="shared" si="43"/>
        <v>0</v>
      </c>
      <c r="S29" s="351">
        <f t="shared" si="32"/>
        <v>0</v>
      </c>
      <c r="T29" s="362">
        <f t="shared" si="44"/>
        <v>0</v>
      </c>
      <c r="U29" s="287">
        <f>'Table 5C1A-Madison Prep'!U29</f>
        <v>3500</v>
      </c>
      <c r="V29" s="328">
        <f t="shared" si="33"/>
        <v>0</v>
      </c>
      <c r="W29" s="995">
        <f>'[1]Oct midyear DArbonne'!E26</f>
        <v>0</v>
      </c>
      <c r="X29" s="290">
        <f t="shared" si="45"/>
        <v>0</v>
      </c>
      <c r="Y29" s="289">
        <f>'[1]Feb midyear DArbonne'!E26</f>
        <v>0</v>
      </c>
      <c r="Z29" s="290">
        <f t="shared" si="46"/>
        <v>0</v>
      </c>
      <c r="AA29" s="288">
        <f t="shared" si="47"/>
        <v>0</v>
      </c>
      <c r="AB29" s="328">
        <f t="shared" si="48"/>
        <v>0</v>
      </c>
      <c r="AC29" s="292">
        <f t="shared" si="49"/>
        <v>0</v>
      </c>
      <c r="AD29" s="328">
        <f t="shared" si="50"/>
        <v>0</v>
      </c>
      <c r="AE29" s="290">
        <v>0</v>
      </c>
      <c r="AF29" s="328">
        <f t="shared" si="51"/>
        <v>0</v>
      </c>
      <c r="AG29" s="290">
        <f>'[2]Table 5C1B-DArbonne'!AI29+'[14]Table 5C1B-DArbonne'!AI29+(6*'[20]Table 5C1B-DArbonne'!AI29)</f>
        <v>0</v>
      </c>
      <c r="AH29" s="290">
        <f t="shared" si="52"/>
        <v>0</v>
      </c>
      <c r="AI29" s="328">
        <f t="shared" si="34"/>
        <v>0</v>
      </c>
      <c r="AJ29" s="291">
        <f t="shared" si="35"/>
        <v>0</v>
      </c>
      <c r="AK29" s="318">
        <f t="shared" si="53"/>
        <v>0</v>
      </c>
      <c r="AM29" s="286">
        <v>0</v>
      </c>
      <c r="AN29" s="286">
        <f t="shared" si="54"/>
        <v>0</v>
      </c>
      <c r="AO29" s="286">
        <f t="shared" si="55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2.1.14'!H26</f>
        <v>0</v>
      </c>
      <c r="D30" s="201">
        <f>+'Table 5C1A-Madison Prep'!D30</f>
        <v>2611.6740361576999</v>
      </c>
      <c r="E30" s="202">
        <f t="shared" si="36"/>
        <v>0</v>
      </c>
      <c r="F30" s="202">
        <f>+'Table 5C1A-Madison Prep'!F30</f>
        <v>854.24999999999989</v>
      </c>
      <c r="G30" s="202">
        <f t="shared" si="37"/>
        <v>0</v>
      </c>
      <c r="H30" s="345">
        <f t="shared" si="38"/>
        <v>0</v>
      </c>
      <c r="I30" s="991">
        <f>'[1]Oct midyear DArbonne'!K27</f>
        <v>0</v>
      </c>
      <c r="J30" s="203">
        <f>'[1]Feb midyear DArbonne'!K27</f>
        <v>0</v>
      </c>
      <c r="K30" s="204">
        <f t="shared" si="39"/>
        <v>0</v>
      </c>
      <c r="L30" s="345">
        <f t="shared" si="31"/>
        <v>0</v>
      </c>
      <c r="M30" s="286">
        <f t="shared" si="40"/>
        <v>0</v>
      </c>
      <c r="N30" s="345">
        <f t="shared" si="41"/>
        <v>0</v>
      </c>
      <c r="O30" s="201">
        <v>0</v>
      </c>
      <c r="P30" s="351">
        <f t="shared" si="42"/>
        <v>0</v>
      </c>
      <c r="Q30" s="203">
        <f>'[2]Table 5C1B-DArbonne'!S30+'[14]Table 5C1B-DArbonne'!S30+(6*'[20]Table 5C1B-DArbonne'!S30)</f>
        <v>0</v>
      </c>
      <c r="R30" s="203">
        <f t="shared" si="43"/>
        <v>0</v>
      </c>
      <c r="S30" s="351">
        <f t="shared" si="32"/>
        <v>0</v>
      </c>
      <c r="T30" s="362">
        <f t="shared" si="44"/>
        <v>0</v>
      </c>
      <c r="U30" s="287">
        <f>'Table 5C1A-Madison Prep'!U30</f>
        <v>11051</v>
      </c>
      <c r="V30" s="328">
        <f t="shared" si="33"/>
        <v>0</v>
      </c>
      <c r="W30" s="995">
        <f>'[1]Oct midyear DArbonne'!E27</f>
        <v>0</v>
      </c>
      <c r="X30" s="290">
        <f t="shared" si="45"/>
        <v>0</v>
      </c>
      <c r="Y30" s="289">
        <f>'[1]Feb midyear DArbonne'!E27</f>
        <v>0</v>
      </c>
      <c r="Z30" s="290">
        <f t="shared" si="46"/>
        <v>0</v>
      </c>
      <c r="AA30" s="288">
        <f t="shared" si="47"/>
        <v>0</v>
      </c>
      <c r="AB30" s="328">
        <f t="shared" si="48"/>
        <v>0</v>
      </c>
      <c r="AC30" s="292">
        <f t="shared" si="49"/>
        <v>0</v>
      </c>
      <c r="AD30" s="328">
        <f t="shared" si="50"/>
        <v>0</v>
      </c>
      <c r="AE30" s="290">
        <v>0</v>
      </c>
      <c r="AF30" s="328">
        <f t="shared" si="51"/>
        <v>0</v>
      </c>
      <c r="AG30" s="290">
        <f>'[2]Table 5C1B-DArbonne'!AI30+'[14]Table 5C1B-DArbonne'!AI30+(6*'[20]Table 5C1B-DArbonne'!AI30)</f>
        <v>0</v>
      </c>
      <c r="AH30" s="290">
        <f t="shared" si="52"/>
        <v>0</v>
      </c>
      <c r="AI30" s="328">
        <f t="shared" si="34"/>
        <v>0</v>
      </c>
      <c r="AJ30" s="291">
        <f t="shared" si="35"/>
        <v>0</v>
      </c>
      <c r="AK30" s="318">
        <f t="shared" si="53"/>
        <v>0</v>
      </c>
      <c r="AM30" s="286">
        <v>0</v>
      </c>
      <c r="AN30" s="286">
        <f t="shared" si="54"/>
        <v>0</v>
      </c>
      <c r="AO30" s="286">
        <f t="shared" si="55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2.1.14'!H27</f>
        <v>0</v>
      </c>
      <c r="D31" s="194">
        <f>+'Table 5C1A-Madison Prep'!D31</f>
        <v>4173.0720274945697</v>
      </c>
      <c r="E31" s="195">
        <f t="shared" si="36"/>
        <v>0</v>
      </c>
      <c r="F31" s="195">
        <f>+'Table 5C1A-Madison Prep'!F31</f>
        <v>653.73</v>
      </c>
      <c r="G31" s="195">
        <f t="shared" si="37"/>
        <v>0</v>
      </c>
      <c r="H31" s="346">
        <f t="shared" si="38"/>
        <v>0</v>
      </c>
      <c r="I31" s="992">
        <f>'[1]Oct midyear DArbonne'!K28</f>
        <v>0</v>
      </c>
      <c r="J31" s="196">
        <f>'[1]Feb midyear DArbonne'!K28</f>
        <v>0</v>
      </c>
      <c r="K31" s="197">
        <f t="shared" si="39"/>
        <v>0</v>
      </c>
      <c r="L31" s="346">
        <f t="shared" si="31"/>
        <v>0</v>
      </c>
      <c r="M31" s="296">
        <f t="shared" si="40"/>
        <v>0</v>
      </c>
      <c r="N31" s="346">
        <f t="shared" si="41"/>
        <v>0</v>
      </c>
      <c r="O31" s="194">
        <v>0</v>
      </c>
      <c r="P31" s="352">
        <f t="shared" si="42"/>
        <v>0</v>
      </c>
      <c r="Q31" s="622">
        <f>'[2]Table 5C1B-DArbonne'!S31+'[14]Table 5C1B-DArbonne'!S31+(6*'[20]Table 5C1B-DArbonne'!S31)</f>
        <v>0</v>
      </c>
      <c r="R31" s="196">
        <f t="shared" si="43"/>
        <v>0</v>
      </c>
      <c r="S31" s="356">
        <f t="shared" si="32"/>
        <v>0</v>
      </c>
      <c r="T31" s="356">
        <f t="shared" si="44"/>
        <v>0</v>
      </c>
      <c r="U31" s="281">
        <f>'Table 5C1A-Madison Prep'!U31</f>
        <v>5156</v>
      </c>
      <c r="V31" s="329">
        <f t="shared" si="33"/>
        <v>0</v>
      </c>
      <c r="W31" s="996">
        <f>'[1]Oct midyear DArbonne'!E28</f>
        <v>0</v>
      </c>
      <c r="X31" s="282">
        <f t="shared" si="45"/>
        <v>0</v>
      </c>
      <c r="Y31" s="884">
        <f>'[1]Feb midyear DArbonne'!E28</f>
        <v>0</v>
      </c>
      <c r="Z31" s="282">
        <f t="shared" si="46"/>
        <v>0</v>
      </c>
      <c r="AA31" s="283">
        <f t="shared" si="47"/>
        <v>0</v>
      </c>
      <c r="AB31" s="329">
        <f t="shared" si="48"/>
        <v>0</v>
      </c>
      <c r="AC31" s="298">
        <f t="shared" si="49"/>
        <v>0</v>
      </c>
      <c r="AD31" s="329">
        <f t="shared" si="50"/>
        <v>0</v>
      </c>
      <c r="AE31" s="282">
        <v>0</v>
      </c>
      <c r="AF31" s="329">
        <f t="shared" si="51"/>
        <v>0</v>
      </c>
      <c r="AG31" s="282">
        <f>'[2]Table 5C1B-DArbonne'!AI31+'[14]Table 5C1B-DArbonne'!AI31+(6*'[20]Table 5C1B-DArbonne'!AI31)</f>
        <v>0</v>
      </c>
      <c r="AH31" s="282">
        <f t="shared" si="52"/>
        <v>0</v>
      </c>
      <c r="AI31" s="329">
        <f t="shared" si="34"/>
        <v>0</v>
      </c>
      <c r="AJ31" s="297">
        <f t="shared" si="35"/>
        <v>0</v>
      </c>
      <c r="AK31" s="319">
        <f t="shared" si="53"/>
        <v>0</v>
      </c>
      <c r="AM31" s="296">
        <v>0</v>
      </c>
      <c r="AN31" s="296">
        <f t="shared" si="54"/>
        <v>0</v>
      </c>
      <c r="AO31" s="296">
        <f t="shared" si="55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2.1.14'!H28</f>
        <v>0</v>
      </c>
      <c r="D32" s="208">
        <f>+'Table 5C1A-Madison Prep'!D32</f>
        <v>3424.5649970570835</v>
      </c>
      <c r="E32" s="209">
        <f t="shared" si="36"/>
        <v>0</v>
      </c>
      <c r="F32" s="209">
        <f>+'Table 5C1A-Madison Prep'!F32</f>
        <v>836.83</v>
      </c>
      <c r="G32" s="209">
        <f t="shared" si="37"/>
        <v>0</v>
      </c>
      <c r="H32" s="344">
        <f t="shared" si="38"/>
        <v>0</v>
      </c>
      <c r="I32" s="990">
        <f>'[1]Oct midyear DArbonne'!K29</f>
        <v>0</v>
      </c>
      <c r="J32" s="210">
        <f>'[1]Feb midyear DArbonne'!K29</f>
        <v>0</v>
      </c>
      <c r="K32" s="211">
        <f t="shared" si="39"/>
        <v>0</v>
      </c>
      <c r="L32" s="344">
        <f t="shared" si="31"/>
        <v>0</v>
      </c>
      <c r="M32" s="273">
        <f t="shared" si="40"/>
        <v>0</v>
      </c>
      <c r="N32" s="344">
        <f t="shared" si="41"/>
        <v>0</v>
      </c>
      <c r="O32" s="208">
        <v>0</v>
      </c>
      <c r="P32" s="350">
        <f t="shared" si="42"/>
        <v>0</v>
      </c>
      <c r="Q32" s="210">
        <f>'[2]Table 5C1B-DArbonne'!S32+'[14]Table 5C1B-DArbonne'!S32+(6*'[20]Table 5C1B-DArbonne'!S32)</f>
        <v>0</v>
      </c>
      <c r="R32" s="210">
        <f t="shared" si="43"/>
        <v>0</v>
      </c>
      <c r="S32" s="350">
        <f t="shared" si="32"/>
        <v>0</v>
      </c>
      <c r="T32" s="361">
        <f t="shared" si="44"/>
        <v>0</v>
      </c>
      <c r="U32" s="274">
        <f>'Table 5C1A-Madison Prep'!U32</f>
        <v>5153</v>
      </c>
      <c r="V32" s="327">
        <f t="shared" si="33"/>
        <v>0</v>
      </c>
      <c r="W32" s="994">
        <f>'[1]Oct midyear DArbonne'!E29</f>
        <v>0</v>
      </c>
      <c r="X32" s="276">
        <f t="shared" si="45"/>
        <v>0</v>
      </c>
      <c r="Y32" s="883">
        <f>'[1]Feb midyear DArbonne'!E29</f>
        <v>0</v>
      </c>
      <c r="Z32" s="276">
        <f t="shared" si="46"/>
        <v>0</v>
      </c>
      <c r="AA32" s="275">
        <f t="shared" si="47"/>
        <v>0</v>
      </c>
      <c r="AB32" s="327">
        <f t="shared" si="48"/>
        <v>0</v>
      </c>
      <c r="AC32" s="278">
        <f t="shared" si="49"/>
        <v>0</v>
      </c>
      <c r="AD32" s="327">
        <f t="shared" si="50"/>
        <v>0</v>
      </c>
      <c r="AE32" s="276">
        <v>0</v>
      </c>
      <c r="AF32" s="327">
        <f t="shared" si="51"/>
        <v>0</v>
      </c>
      <c r="AG32" s="276">
        <f>'[2]Table 5C1B-DArbonne'!AI32+'[14]Table 5C1B-DArbonne'!AI32+(6*'[20]Table 5C1B-DArbonne'!AI32)</f>
        <v>0</v>
      </c>
      <c r="AH32" s="276">
        <f t="shared" si="52"/>
        <v>0</v>
      </c>
      <c r="AI32" s="327">
        <f t="shared" si="34"/>
        <v>0</v>
      </c>
      <c r="AJ32" s="277">
        <f t="shared" si="35"/>
        <v>0</v>
      </c>
      <c r="AK32" s="317">
        <f t="shared" si="53"/>
        <v>0</v>
      </c>
      <c r="AM32" s="273">
        <v>0</v>
      </c>
      <c r="AN32" s="273">
        <f t="shared" si="54"/>
        <v>0</v>
      </c>
      <c r="AO32" s="273">
        <f t="shared" si="55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2.1.14'!H29</f>
        <v>0</v>
      </c>
      <c r="D33" s="201">
        <f>+'Table 5C1A-Madison Prep'!D33</f>
        <v>5804.9013839977006</v>
      </c>
      <c r="E33" s="202">
        <f t="shared" si="36"/>
        <v>0</v>
      </c>
      <c r="F33" s="202">
        <f>+'Table 5C1A-Madison Prep'!F33</f>
        <v>693.06</v>
      </c>
      <c r="G33" s="202">
        <f t="shared" si="37"/>
        <v>0</v>
      </c>
      <c r="H33" s="345">
        <f t="shared" si="38"/>
        <v>0</v>
      </c>
      <c r="I33" s="991">
        <f>'[1]Oct midyear DArbonne'!K30</f>
        <v>0</v>
      </c>
      <c r="J33" s="203">
        <f>'[1]Feb midyear DArbonne'!K30</f>
        <v>0</v>
      </c>
      <c r="K33" s="204">
        <f t="shared" si="39"/>
        <v>0</v>
      </c>
      <c r="L33" s="345">
        <f t="shared" si="31"/>
        <v>0</v>
      </c>
      <c r="M33" s="286">
        <f t="shared" si="40"/>
        <v>0</v>
      </c>
      <c r="N33" s="345">
        <f t="shared" si="41"/>
        <v>0</v>
      </c>
      <c r="O33" s="201">
        <v>0</v>
      </c>
      <c r="P33" s="351">
        <f t="shared" si="42"/>
        <v>0</v>
      </c>
      <c r="Q33" s="203">
        <f>'[2]Table 5C1B-DArbonne'!S33+'[14]Table 5C1B-DArbonne'!S33+(6*'[20]Table 5C1B-DArbonne'!S33)</f>
        <v>0</v>
      </c>
      <c r="R33" s="203">
        <f t="shared" si="43"/>
        <v>0</v>
      </c>
      <c r="S33" s="351">
        <f t="shared" si="32"/>
        <v>0</v>
      </c>
      <c r="T33" s="362">
        <f t="shared" si="44"/>
        <v>0</v>
      </c>
      <c r="U33" s="287">
        <f>'Table 5C1A-Madison Prep'!U33</f>
        <v>3225</v>
      </c>
      <c r="V33" s="328">
        <f t="shared" si="33"/>
        <v>0</v>
      </c>
      <c r="W33" s="995">
        <f>'[1]Oct midyear DArbonne'!E30</f>
        <v>0</v>
      </c>
      <c r="X33" s="290">
        <f t="shared" si="45"/>
        <v>0</v>
      </c>
      <c r="Y33" s="289">
        <f>'[1]Feb midyear DArbonne'!E30</f>
        <v>0</v>
      </c>
      <c r="Z33" s="290">
        <f t="shared" si="46"/>
        <v>0</v>
      </c>
      <c r="AA33" s="288">
        <f t="shared" si="47"/>
        <v>0</v>
      </c>
      <c r="AB33" s="328">
        <f t="shared" si="48"/>
        <v>0</v>
      </c>
      <c r="AC33" s="292">
        <f t="shared" si="49"/>
        <v>0</v>
      </c>
      <c r="AD33" s="328">
        <f t="shared" si="50"/>
        <v>0</v>
      </c>
      <c r="AE33" s="290">
        <v>0</v>
      </c>
      <c r="AF33" s="328">
        <f t="shared" si="51"/>
        <v>0</v>
      </c>
      <c r="AG33" s="290">
        <f>'[2]Table 5C1B-DArbonne'!AI33+'[14]Table 5C1B-DArbonne'!AI33+(6*'[20]Table 5C1B-DArbonne'!AI33)</f>
        <v>0</v>
      </c>
      <c r="AH33" s="290">
        <f t="shared" si="52"/>
        <v>0</v>
      </c>
      <c r="AI33" s="328">
        <f t="shared" si="34"/>
        <v>0</v>
      </c>
      <c r="AJ33" s="291">
        <f t="shared" si="35"/>
        <v>0</v>
      </c>
      <c r="AK33" s="318">
        <f t="shared" si="53"/>
        <v>0</v>
      </c>
      <c r="AM33" s="286">
        <v>0</v>
      </c>
      <c r="AN33" s="286">
        <f t="shared" si="54"/>
        <v>0</v>
      </c>
      <c r="AO33" s="286">
        <f t="shared" si="55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2.1.14'!H30</f>
        <v>0</v>
      </c>
      <c r="D34" s="201">
        <f>+'Table 5C1A-Madison Prep'!D34</f>
        <v>3137.4158846568821</v>
      </c>
      <c r="E34" s="202">
        <f t="shared" si="36"/>
        <v>0</v>
      </c>
      <c r="F34" s="202">
        <f>+'Table 5C1A-Madison Prep'!F34</f>
        <v>694.4</v>
      </c>
      <c r="G34" s="202">
        <f t="shared" si="37"/>
        <v>0</v>
      </c>
      <c r="H34" s="345">
        <f t="shared" si="38"/>
        <v>0</v>
      </c>
      <c r="I34" s="991">
        <f>'[1]Oct midyear DArbonne'!K31</f>
        <v>0</v>
      </c>
      <c r="J34" s="203">
        <f>'[1]Feb midyear DArbonne'!K31</f>
        <v>0</v>
      </c>
      <c r="K34" s="204">
        <f t="shared" si="39"/>
        <v>0</v>
      </c>
      <c r="L34" s="345">
        <f t="shared" si="31"/>
        <v>0</v>
      </c>
      <c r="M34" s="286">
        <f t="shared" si="40"/>
        <v>0</v>
      </c>
      <c r="N34" s="345">
        <f t="shared" si="41"/>
        <v>0</v>
      </c>
      <c r="O34" s="201">
        <v>0</v>
      </c>
      <c r="P34" s="351">
        <f t="shared" si="42"/>
        <v>0</v>
      </c>
      <c r="Q34" s="203">
        <f>'[2]Table 5C1B-DArbonne'!S34+'[14]Table 5C1B-DArbonne'!S34+(6*'[20]Table 5C1B-DArbonne'!S34)</f>
        <v>0</v>
      </c>
      <c r="R34" s="203">
        <f t="shared" si="43"/>
        <v>0</v>
      </c>
      <c r="S34" s="351">
        <f t="shared" si="32"/>
        <v>0</v>
      </c>
      <c r="T34" s="362">
        <f t="shared" si="44"/>
        <v>0</v>
      </c>
      <c r="U34" s="287">
        <f>'Table 5C1A-Madison Prep'!U34</f>
        <v>5816</v>
      </c>
      <c r="V34" s="328">
        <f t="shared" si="33"/>
        <v>0</v>
      </c>
      <c r="W34" s="995">
        <f>'[1]Oct midyear DArbonne'!E31</f>
        <v>0</v>
      </c>
      <c r="X34" s="290">
        <f t="shared" si="45"/>
        <v>0</v>
      </c>
      <c r="Y34" s="289">
        <f>'[1]Feb midyear DArbonne'!E31</f>
        <v>0</v>
      </c>
      <c r="Z34" s="290">
        <f t="shared" si="46"/>
        <v>0</v>
      </c>
      <c r="AA34" s="288">
        <f t="shared" si="47"/>
        <v>0</v>
      </c>
      <c r="AB34" s="328">
        <f t="shared" si="48"/>
        <v>0</v>
      </c>
      <c r="AC34" s="292">
        <f t="shared" si="49"/>
        <v>0</v>
      </c>
      <c r="AD34" s="328">
        <f t="shared" si="50"/>
        <v>0</v>
      </c>
      <c r="AE34" s="290">
        <v>0</v>
      </c>
      <c r="AF34" s="328">
        <f t="shared" si="51"/>
        <v>0</v>
      </c>
      <c r="AG34" s="290">
        <f>'[2]Table 5C1B-DArbonne'!AI34+'[14]Table 5C1B-DArbonne'!AI34+(6*'[20]Table 5C1B-DArbonne'!AI34)</f>
        <v>0</v>
      </c>
      <c r="AH34" s="290">
        <f t="shared" si="52"/>
        <v>0</v>
      </c>
      <c r="AI34" s="328">
        <f t="shared" si="34"/>
        <v>0</v>
      </c>
      <c r="AJ34" s="291">
        <f t="shared" si="35"/>
        <v>0</v>
      </c>
      <c r="AK34" s="318">
        <f t="shared" si="53"/>
        <v>0</v>
      </c>
      <c r="AM34" s="286">
        <v>0</v>
      </c>
      <c r="AN34" s="286">
        <f t="shared" si="54"/>
        <v>0</v>
      </c>
      <c r="AO34" s="286">
        <f t="shared" si="55"/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2.1.14'!H31</f>
        <v>0</v>
      </c>
      <c r="D35" s="201">
        <f>+'Table 5C1A-Madison Prep'!D35</f>
        <v>3839.0123210173724</v>
      </c>
      <c r="E35" s="202">
        <f t="shared" si="36"/>
        <v>0</v>
      </c>
      <c r="F35" s="202">
        <f>+'Table 5C1A-Madison Prep'!F35</f>
        <v>754.94999999999993</v>
      </c>
      <c r="G35" s="202">
        <f t="shared" si="37"/>
        <v>0</v>
      </c>
      <c r="H35" s="345">
        <f t="shared" si="38"/>
        <v>0</v>
      </c>
      <c r="I35" s="991">
        <f>'[1]Oct midyear DArbonne'!K32</f>
        <v>0</v>
      </c>
      <c r="J35" s="203">
        <f>'[1]Feb midyear DArbonne'!K32</f>
        <v>0</v>
      </c>
      <c r="K35" s="204">
        <f t="shared" si="39"/>
        <v>0</v>
      </c>
      <c r="L35" s="345">
        <f t="shared" si="31"/>
        <v>0</v>
      </c>
      <c r="M35" s="286">
        <f t="shared" si="40"/>
        <v>0</v>
      </c>
      <c r="N35" s="345">
        <f t="shared" si="41"/>
        <v>0</v>
      </c>
      <c r="O35" s="201">
        <v>0</v>
      </c>
      <c r="P35" s="351">
        <f t="shared" si="42"/>
        <v>0</v>
      </c>
      <c r="Q35" s="203">
        <f>'[2]Table 5C1B-DArbonne'!S35+'[14]Table 5C1B-DArbonne'!S35+(6*'[20]Table 5C1B-DArbonne'!S35)</f>
        <v>0</v>
      </c>
      <c r="R35" s="203">
        <f t="shared" si="43"/>
        <v>0</v>
      </c>
      <c r="S35" s="351">
        <f t="shared" si="32"/>
        <v>0</v>
      </c>
      <c r="T35" s="362">
        <f t="shared" si="44"/>
        <v>0</v>
      </c>
      <c r="U35" s="287">
        <f>'Table 5C1A-Madison Prep'!U35</f>
        <v>5046</v>
      </c>
      <c r="V35" s="328">
        <f t="shared" si="33"/>
        <v>0</v>
      </c>
      <c r="W35" s="995">
        <f>'[1]Oct midyear DArbonne'!E32</f>
        <v>0</v>
      </c>
      <c r="X35" s="290">
        <f t="shared" si="45"/>
        <v>0</v>
      </c>
      <c r="Y35" s="289">
        <f>'[1]Feb midyear DArbonne'!E32</f>
        <v>0</v>
      </c>
      <c r="Z35" s="290">
        <f t="shared" si="46"/>
        <v>0</v>
      </c>
      <c r="AA35" s="288">
        <f t="shared" si="47"/>
        <v>0</v>
      </c>
      <c r="AB35" s="328">
        <f t="shared" si="48"/>
        <v>0</v>
      </c>
      <c r="AC35" s="292">
        <f t="shared" si="49"/>
        <v>0</v>
      </c>
      <c r="AD35" s="328">
        <f t="shared" si="50"/>
        <v>0</v>
      </c>
      <c r="AE35" s="290">
        <v>0</v>
      </c>
      <c r="AF35" s="328">
        <f t="shared" si="51"/>
        <v>0</v>
      </c>
      <c r="AG35" s="290">
        <f>'[2]Table 5C1B-DArbonne'!AI35+'[14]Table 5C1B-DArbonne'!AI35+(6*'[20]Table 5C1B-DArbonne'!AI35)</f>
        <v>0</v>
      </c>
      <c r="AH35" s="290">
        <f t="shared" si="52"/>
        <v>0</v>
      </c>
      <c r="AI35" s="328">
        <f t="shared" si="34"/>
        <v>0</v>
      </c>
      <c r="AJ35" s="291">
        <f t="shared" si="35"/>
        <v>0</v>
      </c>
      <c r="AK35" s="318">
        <f t="shared" si="53"/>
        <v>0</v>
      </c>
      <c r="AM35" s="286">
        <v>0</v>
      </c>
      <c r="AN35" s="286">
        <f t="shared" si="54"/>
        <v>0</v>
      </c>
      <c r="AO35" s="286">
        <f t="shared" si="55"/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2.1.14'!H32</f>
        <v>0</v>
      </c>
      <c r="D36" s="194">
        <f>+'Table 5C1A-Madison Prep'!D36</f>
        <v>5804.5327273996763</v>
      </c>
      <c r="E36" s="195">
        <f t="shared" si="36"/>
        <v>0</v>
      </c>
      <c r="F36" s="195">
        <f>+'Table 5C1A-Madison Prep'!F36</f>
        <v>727.17</v>
      </c>
      <c r="G36" s="195">
        <f t="shared" si="37"/>
        <v>0</v>
      </c>
      <c r="H36" s="346">
        <f t="shared" si="38"/>
        <v>0</v>
      </c>
      <c r="I36" s="992">
        <f>'[1]Oct midyear DArbonne'!K33</f>
        <v>0</v>
      </c>
      <c r="J36" s="196">
        <f>'[1]Feb midyear DArbonne'!K33</f>
        <v>0</v>
      </c>
      <c r="K36" s="197">
        <f t="shared" si="39"/>
        <v>0</v>
      </c>
      <c r="L36" s="346">
        <f t="shared" si="31"/>
        <v>0</v>
      </c>
      <c r="M36" s="296">
        <f t="shared" si="40"/>
        <v>0</v>
      </c>
      <c r="N36" s="346">
        <f t="shared" si="41"/>
        <v>0</v>
      </c>
      <c r="O36" s="194">
        <v>0</v>
      </c>
      <c r="P36" s="352">
        <f t="shared" si="42"/>
        <v>0</v>
      </c>
      <c r="Q36" s="622">
        <f>'[2]Table 5C1B-DArbonne'!S36+'[14]Table 5C1B-DArbonne'!S36+(6*'[20]Table 5C1B-DArbonne'!S36)</f>
        <v>0</v>
      </c>
      <c r="R36" s="196">
        <f t="shared" si="43"/>
        <v>0</v>
      </c>
      <c r="S36" s="356">
        <f t="shared" si="32"/>
        <v>0</v>
      </c>
      <c r="T36" s="356">
        <f t="shared" si="44"/>
        <v>0</v>
      </c>
      <c r="U36" s="281">
        <f>'Table 5C1A-Madison Prep'!U36</f>
        <v>3999</v>
      </c>
      <c r="V36" s="329">
        <f t="shared" si="33"/>
        <v>0</v>
      </c>
      <c r="W36" s="996">
        <f>'[1]Oct midyear DArbonne'!E33</f>
        <v>0</v>
      </c>
      <c r="X36" s="282">
        <f t="shared" si="45"/>
        <v>0</v>
      </c>
      <c r="Y36" s="884">
        <f>'[1]Feb midyear DArbonne'!E33</f>
        <v>0</v>
      </c>
      <c r="Z36" s="282">
        <f t="shared" si="46"/>
        <v>0</v>
      </c>
      <c r="AA36" s="283">
        <f t="shared" si="47"/>
        <v>0</v>
      </c>
      <c r="AB36" s="329">
        <f t="shared" si="48"/>
        <v>0</v>
      </c>
      <c r="AC36" s="298">
        <f t="shared" si="49"/>
        <v>0</v>
      </c>
      <c r="AD36" s="329">
        <f t="shared" si="50"/>
        <v>0</v>
      </c>
      <c r="AE36" s="282">
        <v>0</v>
      </c>
      <c r="AF36" s="329">
        <f t="shared" si="51"/>
        <v>0</v>
      </c>
      <c r="AG36" s="282">
        <f>'[2]Table 5C1B-DArbonne'!AI36+'[14]Table 5C1B-DArbonne'!AI36+(6*'[20]Table 5C1B-DArbonne'!AI36)</f>
        <v>0</v>
      </c>
      <c r="AH36" s="282">
        <f t="shared" si="52"/>
        <v>0</v>
      </c>
      <c r="AI36" s="329">
        <f t="shared" si="34"/>
        <v>0</v>
      </c>
      <c r="AJ36" s="297">
        <f t="shared" si="35"/>
        <v>0</v>
      </c>
      <c r="AK36" s="319">
        <f t="shared" si="53"/>
        <v>0</v>
      </c>
      <c r="AM36" s="296">
        <v>0</v>
      </c>
      <c r="AN36" s="296">
        <f t="shared" si="54"/>
        <v>0</v>
      </c>
      <c r="AO36" s="296">
        <f t="shared" si="55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2.1.14'!H33</f>
        <v>12</v>
      </c>
      <c r="D37" s="208">
        <f>+'Table 5C1A-Madison Prep'!D37</f>
        <v>4520.6176716868531</v>
      </c>
      <c r="E37" s="209">
        <f t="shared" si="36"/>
        <v>54247.412060242234</v>
      </c>
      <c r="F37" s="209">
        <f>+'Table 5C1A-Madison Prep'!F37</f>
        <v>620.83000000000004</v>
      </c>
      <c r="G37" s="209">
        <f t="shared" si="37"/>
        <v>7449.9600000000009</v>
      </c>
      <c r="H37" s="344">
        <f t="shared" si="38"/>
        <v>61697.372060242233</v>
      </c>
      <c r="I37" s="990">
        <f>'[1]Oct midyear DArbonne'!K34</f>
        <v>41131.581373494824</v>
      </c>
      <c r="J37" s="210">
        <f>'[1]Feb midyear DArbonne'!K34</f>
        <v>0</v>
      </c>
      <c r="K37" s="211">
        <f t="shared" si="39"/>
        <v>41131.581373494824</v>
      </c>
      <c r="L37" s="344">
        <f t="shared" si="31"/>
        <v>102828.95343373706</v>
      </c>
      <c r="M37" s="273">
        <f t="shared" si="40"/>
        <v>-257.07238358434267</v>
      </c>
      <c r="N37" s="344">
        <f t="shared" si="41"/>
        <v>102571.88105015272</v>
      </c>
      <c r="O37" s="208">
        <v>0</v>
      </c>
      <c r="P37" s="350">
        <f t="shared" si="42"/>
        <v>102571.88105015272</v>
      </c>
      <c r="Q37" s="210">
        <f>'[2]Table 5C1B-DArbonne'!S37+'[14]Table 5C1B-DArbonne'!S37+(6*'[20]Table 5C1B-DArbonne'!S37)</f>
        <v>66767</v>
      </c>
      <c r="R37" s="210">
        <f t="shared" si="43"/>
        <v>35804.881050152719</v>
      </c>
      <c r="S37" s="350">
        <f t="shared" si="32"/>
        <v>8951</v>
      </c>
      <c r="T37" s="361">
        <f t="shared" si="44"/>
        <v>102571.88105015272</v>
      </c>
      <c r="U37" s="274">
        <f>'Table 5C1A-Madison Prep'!U37</f>
        <v>5028</v>
      </c>
      <c r="V37" s="327">
        <f t="shared" si="33"/>
        <v>60336</v>
      </c>
      <c r="W37" s="994">
        <f>'[1]Oct midyear DArbonne'!E34</f>
        <v>8</v>
      </c>
      <c r="X37" s="276">
        <f t="shared" si="45"/>
        <v>40224</v>
      </c>
      <c r="Y37" s="883">
        <f>'[1]Feb midyear DArbonne'!E34</f>
        <v>0</v>
      </c>
      <c r="Z37" s="276">
        <f t="shared" si="46"/>
        <v>0</v>
      </c>
      <c r="AA37" s="275">
        <f t="shared" si="47"/>
        <v>40224</v>
      </c>
      <c r="AB37" s="327">
        <f t="shared" si="48"/>
        <v>100560</v>
      </c>
      <c r="AC37" s="278">
        <f t="shared" si="49"/>
        <v>-251.4</v>
      </c>
      <c r="AD37" s="327">
        <f t="shared" si="50"/>
        <v>100308.6</v>
      </c>
      <c r="AE37" s="276">
        <v>0</v>
      </c>
      <c r="AF37" s="327">
        <f t="shared" si="51"/>
        <v>100308.6</v>
      </c>
      <c r="AG37" s="276">
        <f>'[2]Table 5C1B-DArbonne'!AI37+'[14]Table 5C1B-DArbonne'!AI37+(6*'[20]Table 5C1B-DArbonne'!AI37)</f>
        <v>65484</v>
      </c>
      <c r="AH37" s="276">
        <f t="shared" si="52"/>
        <v>34824.600000000006</v>
      </c>
      <c r="AI37" s="327">
        <f t="shared" si="34"/>
        <v>8706</v>
      </c>
      <c r="AJ37" s="277">
        <f t="shared" si="35"/>
        <v>202880.48105015274</v>
      </c>
      <c r="AK37" s="317">
        <f t="shared" si="53"/>
        <v>17657</v>
      </c>
      <c r="AM37" s="273">
        <v>-151.29</v>
      </c>
      <c r="AN37" s="273">
        <f t="shared" si="54"/>
        <v>-251.4</v>
      </c>
      <c r="AO37" s="273">
        <f t="shared" si="55"/>
        <v>-100.11000000000001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2.1.14'!H34</f>
        <v>0</v>
      </c>
      <c r="D38" s="201">
        <f>+'Table 5C1A-Madison Prep'!D38</f>
        <v>5652.819189061127</v>
      </c>
      <c r="E38" s="202">
        <f t="shared" si="36"/>
        <v>0</v>
      </c>
      <c r="F38" s="202">
        <f>+'Table 5C1A-Madison Prep'!F38</f>
        <v>559.77</v>
      </c>
      <c r="G38" s="202">
        <f t="shared" si="37"/>
        <v>0</v>
      </c>
      <c r="H38" s="345">
        <f t="shared" si="38"/>
        <v>0</v>
      </c>
      <c r="I38" s="991">
        <f>'[1]Oct midyear DArbonne'!K35</f>
        <v>0</v>
      </c>
      <c r="J38" s="203">
        <f>'[1]Feb midyear DArbonne'!K35</f>
        <v>0</v>
      </c>
      <c r="K38" s="204">
        <f t="shared" si="39"/>
        <v>0</v>
      </c>
      <c r="L38" s="345">
        <f t="shared" si="31"/>
        <v>0</v>
      </c>
      <c r="M38" s="286">
        <f t="shared" si="40"/>
        <v>0</v>
      </c>
      <c r="N38" s="345">
        <f t="shared" si="41"/>
        <v>0</v>
      </c>
      <c r="O38" s="201">
        <v>0</v>
      </c>
      <c r="P38" s="351">
        <f t="shared" si="42"/>
        <v>0</v>
      </c>
      <c r="Q38" s="203">
        <f>'[2]Table 5C1B-DArbonne'!S38+'[14]Table 5C1B-DArbonne'!S38+(6*'[20]Table 5C1B-DArbonne'!S38)</f>
        <v>0</v>
      </c>
      <c r="R38" s="203">
        <f t="shared" si="43"/>
        <v>0</v>
      </c>
      <c r="S38" s="351">
        <f t="shared" si="32"/>
        <v>0</v>
      </c>
      <c r="T38" s="362">
        <f t="shared" si="44"/>
        <v>0</v>
      </c>
      <c r="U38" s="287">
        <f>'Table 5C1A-Madison Prep'!U38</f>
        <v>2139</v>
      </c>
      <c r="V38" s="328">
        <f t="shared" si="33"/>
        <v>0</v>
      </c>
      <c r="W38" s="995">
        <f>'[1]Oct midyear DArbonne'!E35</f>
        <v>0</v>
      </c>
      <c r="X38" s="290">
        <f t="shared" si="45"/>
        <v>0</v>
      </c>
      <c r="Y38" s="289">
        <f>'[1]Feb midyear DArbonne'!E35</f>
        <v>0</v>
      </c>
      <c r="Z38" s="290">
        <f t="shared" si="46"/>
        <v>0</v>
      </c>
      <c r="AA38" s="288">
        <f t="shared" si="47"/>
        <v>0</v>
      </c>
      <c r="AB38" s="328">
        <f t="shared" si="48"/>
        <v>0</v>
      </c>
      <c r="AC38" s="292">
        <f t="shared" si="49"/>
        <v>0</v>
      </c>
      <c r="AD38" s="328">
        <f t="shared" si="50"/>
        <v>0</v>
      </c>
      <c r="AE38" s="290">
        <v>0</v>
      </c>
      <c r="AF38" s="328">
        <f t="shared" si="51"/>
        <v>0</v>
      </c>
      <c r="AG38" s="290">
        <f>'[2]Table 5C1B-DArbonne'!AI38+'[14]Table 5C1B-DArbonne'!AI38+(6*'[20]Table 5C1B-DArbonne'!AI38)</f>
        <v>0</v>
      </c>
      <c r="AH38" s="290">
        <f t="shared" si="52"/>
        <v>0</v>
      </c>
      <c r="AI38" s="328">
        <f t="shared" si="34"/>
        <v>0</v>
      </c>
      <c r="AJ38" s="291">
        <f t="shared" si="35"/>
        <v>0</v>
      </c>
      <c r="AK38" s="318">
        <f t="shared" si="53"/>
        <v>0</v>
      </c>
      <c r="AM38" s="286">
        <v>0</v>
      </c>
      <c r="AN38" s="286">
        <f t="shared" si="54"/>
        <v>0</v>
      </c>
      <c r="AO38" s="286">
        <f t="shared" si="55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2.1.14'!H35</f>
        <v>0</v>
      </c>
      <c r="D39" s="201">
        <f>+'Table 5C1A-Madison Prep'!D39</f>
        <v>5456.2254558085233</v>
      </c>
      <c r="E39" s="202">
        <f t="shared" si="36"/>
        <v>0</v>
      </c>
      <c r="F39" s="202">
        <f>+'Table 5C1A-Madison Prep'!F39</f>
        <v>655.31000000000006</v>
      </c>
      <c r="G39" s="202">
        <f t="shared" si="37"/>
        <v>0</v>
      </c>
      <c r="H39" s="345">
        <f t="shared" si="38"/>
        <v>0</v>
      </c>
      <c r="I39" s="991">
        <f>'[1]Oct midyear DArbonne'!K36</f>
        <v>0</v>
      </c>
      <c r="J39" s="203">
        <f>'[1]Feb midyear DArbonne'!K36</f>
        <v>0</v>
      </c>
      <c r="K39" s="204">
        <f t="shared" si="39"/>
        <v>0</v>
      </c>
      <c r="L39" s="345">
        <f t="shared" ref="L39:L70" si="56">H39+K39</f>
        <v>0</v>
      </c>
      <c r="M39" s="286">
        <f t="shared" si="40"/>
        <v>0</v>
      </c>
      <c r="N39" s="345">
        <f t="shared" si="41"/>
        <v>0</v>
      </c>
      <c r="O39" s="201">
        <v>0</v>
      </c>
      <c r="P39" s="351">
        <f t="shared" si="42"/>
        <v>0</v>
      </c>
      <c r="Q39" s="203">
        <f>'[2]Table 5C1B-DArbonne'!S39+'[14]Table 5C1B-DArbonne'!S39+(6*'[20]Table 5C1B-DArbonne'!S39)</f>
        <v>0</v>
      </c>
      <c r="R39" s="203">
        <f t="shared" si="43"/>
        <v>0</v>
      </c>
      <c r="S39" s="351">
        <f t="shared" si="32"/>
        <v>0</v>
      </c>
      <c r="T39" s="362">
        <f t="shared" si="44"/>
        <v>0</v>
      </c>
      <c r="U39" s="287">
        <f>'Table 5C1A-Madison Prep'!U39</f>
        <v>3784</v>
      </c>
      <c r="V39" s="328">
        <f t="shared" ref="V39:V70" si="57">C39*U39</f>
        <v>0</v>
      </c>
      <c r="W39" s="995">
        <f>'[1]Oct midyear DArbonne'!E36</f>
        <v>0</v>
      </c>
      <c r="X39" s="290">
        <f t="shared" si="45"/>
        <v>0</v>
      </c>
      <c r="Y39" s="289">
        <f>'[1]Feb midyear DArbonne'!E36</f>
        <v>0</v>
      </c>
      <c r="Z39" s="290">
        <f t="shared" si="46"/>
        <v>0</v>
      </c>
      <c r="AA39" s="288">
        <f t="shared" si="47"/>
        <v>0</v>
      </c>
      <c r="AB39" s="328">
        <f t="shared" si="48"/>
        <v>0</v>
      </c>
      <c r="AC39" s="292">
        <f t="shared" si="49"/>
        <v>0</v>
      </c>
      <c r="AD39" s="328">
        <f t="shared" si="50"/>
        <v>0</v>
      </c>
      <c r="AE39" s="290">
        <v>0</v>
      </c>
      <c r="AF39" s="328">
        <f t="shared" si="51"/>
        <v>0</v>
      </c>
      <c r="AG39" s="290">
        <f>'[2]Table 5C1B-DArbonne'!AI39+'[14]Table 5C1B-DArbonne'!AI39+(6*'[20]Table 5C1B-DArbonne'!AI39)</f>
        <v>0</v>
      </c>
      <c r="AH39" s="290">
        <f t="shared" si="52"/>
        <v>0</v>
      </c>
      <c r="AI39" s="328">
        <f t="shared" si="34"/>
        <v>0</v>
      </c>
      <c r="AJ39" s="291">
        <f t="shared" si="35"/>
        <v>0</v>
      </c>
      <c r="AK39" s="318">
        <f t="shared" si="53"/>
        <v>0</v>
      </c>
      <c r="AM39" s="286">
        <v>0</v>
      </c>
      <c r="AN39" s="286">
        <f t="shared" si="54"/>
        <v>0</v>
      </c>
      <c r="AO39" s="286">
        <f t="shared" si="55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2.1.14'!H36</f>
        <v>0</v>
      </c>
      <c r="D40" s="201">
        <f>+'Table 5C1A-Madison Prep'!D40</f>
        <v>6292.0976842789005</v>
      </c>
      <c r="E40" s="202">
        <f t="shared" si="36"/>
        <v>0</v>
      </c>
      <c r="F40" s="202">
        <f>+'Table 5C1A-Madison Prep'!F40</f>
        <v>644.11000000000013</v>
      </c>
      <c r="G40" s="202">
        <f t="shared" si="37"/>
        <v>0</v>
      </c>
      <c r="H40" s="345">
        <f t="shared" si="38"/>
        <v>0</v>
      </c>
      <c r="I40" s="991">
        <f>'[1]Oct midyear DArbonne'!K37</f>
        <v>0</v>
      </c>
      <c r="J40" s="203">
        <f>'[1]Feb midyear DArbonne'!K37</f>
        <v>0</v>
      </c>
      <c r="K40" s="204">
        <f t="shared" si="39"/>
        <v>0</v>
      </c>
      <c r="L40" s="345">
        <f t="shared" si="56"/>
        <v>0</v>
      </c>
      <c r="M40" s="286">
        <f t="shared" si="40"/>
        <v>0</v>
      </c>
      <c r="N40" s="345">
        <f t="shared" si="41"/>
        <v>0</v>
      </c>
      <c r="O40" s="201">
        <v>0</v>
      </c>
      <c r="P40" s="351">
        <f t="shared" si="42"/>
        <v>0</v>
      </c>
      <c r="Q40" s="203">
        <f>'[2]Table 5C1B-DArbonne'!S40+'[14]Table 5C1B-DArbonne'!S40+(6*'[20]Table 5C1B-DArbonne'!S40)</f>
        <v>0</v>
      </c>
      <c r="R40" s="203">
        <f t="shared" si="43"/>
        <v>0</v>
      </c>
      <c r="S40" s="351">
        <f t="shared" si="32"/>
        <v>0</v>
      </c>
      <c r="T40" s="362">
        <f t="shared" si="44"/>
        <v>0</v>
      </c>
      <c r="U40" s="287">
        <f>'Table 5C1A-Madison Prep'!U40</f>
        <v>2911</v>
      </c>
      <c r="V40" s="328">
        <f t="shared" si="57"/>
        <v>0</v>
      </c>
      <c r="W40" s="995">
        <f>'[1]Oct midyear DArbonne'!E37</f>
        <v>0</v>
      </c>
      <c r="X40" s="290">
        <f t="shared" si="45"/>
        <v>0</v>
      </c>
      <c r="Y40" s="289">
        <f>'[1]Feb midyear DArbonne'!E37</f>
        <v>0</v>
      </c>
      <c r="Z40" s="290">
        <f t="shared" si="46"/>
        <v>0</v>
      </c>
      <c r="AA40" s="288">
        <f t="shared" si="47"/>
        <v>0</v>
      </c>
      <c r="AB40" s="328">
        <f t="shared" si="48"/>
        <v>0</v>
      </c>
      <c r="AC40" s="292">
        <f t="shared" si="49"/>
        <v>0</v>
      </c>
      <c r="AD40" s="328">
        <f t="shared" si="50"/>
        <v>0</v>
      </c>
      <c r="AE40" s="290">
        <v>0</v>
      </c>
      <c r="AF40" s="328">
        <f t="shared" si="51"/>
        <v>0</v>
      </c>
      <c r="AG40" s="290">
        <f>'[2]Table 5C1B-DArbonne'!AI40+'[14]Table 5C1B-DArbonne'!AI40+(6*'[20]Table 5C1B-DArbonne'!AI40)</f>
        <v>0</v>
      </c>
      <c r="AH40" s="290">
        <f t="shared" si="52"/>
        <v>0</v>
      </c>
      <c r="AI40" s="328">
        <f t="shared" si="34"/>
        <v>0</v>
      </c>
      <c r="AJ40" s="291">
        <f t="shared" si="35"/>
        <v>0</v>
      </c>
      <c r="AK40" s="318">
        <f t="shared" si="53"/>
        <v>0</v>
      </c>
      <c r="AM40" s="286">
        <v>0</v>
      </c>
      <c r="AN40" s="286">
        <f t="shared" si="54"/>
        <v>0</v>
      </c>
      <c r="AO40" s="286">
        <f t="shared" si="55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2.1.14'!H37</f>
        <v>0</v>
      </c>
      <c r="D41" s="194">
        <f>+'Table 5C1A-Madison Prep'!D41</f>
        <v>5166.2482060477605</v>
      </c>
      <c r="E41" s="195">
        <f t="shared" si="36"/>
        <v>0</v>
      </c>
      <c r="F41" s="195">
        <f>+'Table 5C1A-Madison Prep'!F41</f>
        <v>537.96</v>
      </c>
      <c r="G41" s="195">
        <f t="shared" si="37"/>
        <v>0</v>
      </c>
      <c r="H41" s="346">
        <f t="shared" si="38"/>
        <v>0</v>
      </c>
      <c r="I41" s="992">
        <f>'[1]Oct midyear DArbonne'!K38</f>
        <v>0</v>
      </c>
      <c r="J41" s="196">
        <f>'[1]Feb midyear DArbonne'!K38</f>
        <v>0</v>
      </c>
      <c r="K41" s="197">
        <f t="shared" si="39"/>
        <v>0</v>
      </c>
      <c r="L41" s="346">
        <f t="shared" si="56"/>
        <v>0</v>
      </c>
      <c r="M41" s="296">
        <f t="shared" si="40"/>
        <v>0</v>
      </c>
      <c r="N41" s="346">
        <f t="shared" si="41"/>
        <v>0</v>
      </c>
      <c r="O41" s="194">
        <v>0</v>
      </c>
      <c r="P41" s="352">
        <f t="shared" si="42"/>
        <v>0</v>
      </c>
      <c r="Q41" s="622">
        <f>'[2]Table 5C1B-DArbonne'!S41+'[14]Table 5C1B-DArbonne'!S41+(6*'[20]Table 5C1B-DArbonne'!S41)</f>
        <v>0</v>
      </c>
      <c r="R41" s="196">
        <f t="shared" si="43"/>
        <v>0</v>
      </c>
      <c r="S41" s="356">
        <f t="shared" si="32"/>
        <v>0</v>
      </c>
      <c r="T41" s="356">
        <f t="shared" si="44"/>
        <v>0</v>
      </c>
      <c r="U41" s="281">
        <f>'Table 5C1A-Madison Prep'!U41</f>
        <v>3337</v>
      </c>
      <c r="V41" s="329">
        <f t="shared" si="57"/>
        <v>0</v>
      </c>
      <c r="W41" s="996">
        <f>'[1]Oct midyear DArbonne'!E38</f>
        <v>0</v>
      </c>
      <c r="X41" s="282">
        <f t="shared" si="45"/>
        <v>0</v>
      </c>
      <c r="Y41" s="884">
        <f>'[1]Feb midyear DArbonne'!E38</f>
        <v>0</v>
      </c>
      <c r="Z41" s="282">
        <f t="shared" si="46"/>
        <v>0</v>
      </c>
      <c r="AA41" s="283">
        <f t="shared" si="47"/>
        <v>0</v>
      </c>
      <c r="AB41" s="329">
        <f t="shared" si="48"/>
        <v>0</v>
      </c>
      <c r="AC41" s="298">
        <f t="shared" si="49"/>
        <v>0</v>
      </c>
      <c r="AD41" s="329">
        <f t="shared" si="50"/>
        <v>0</v>
      </c>
      <c r="AE41" s="282">
        <v>0</v>
      </c>
      <c r="AF41" s="329">
        <f t="shared" si="51"/>
        <v>0</v>
      </c>
      <c r="AG41" s="282">
        <f>'[2]Table 5C1B-DArbonne'!AI41+'[14]Table 5C1B-DArbonne'!AI41+(6*'[20]Table 5C1B-DArbonne'!AI41)</f>
        <v>0</v>
      </c>
      <c r="AH41" s="282">
        <f t="shared" si="52"/>
        <v>0</v>
      </c>
      <c r="AI41" s="329">
        <f t="shared" si="34"/>
        <v>0</v>
      </c>
      <c r="AJ41" s="297">
        <f t="shared" si="35"/>
        <v>0</v>
      </c>
      <c r="AK41" s="319">
        <f t="shared" si="53"/>
        <v>0</v>
      </c>
      <c r="AM41" s="296">
        <v>0</v>
      </c>
      <c r="AN41" s="296">
        <f t="shared" si="54"/>
        <v>0</v>
      </c>
      <c r="AO41" s="296">
        <f t="shared" si="55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2.1.14'!H38</f>
        <v>0</v>
      </c>
      <c r="D42" s="208">
        <f>+'Table 5C1A-Madison Prep'!D42</f>
        <v>3602.7009974327857</v>
      </c>
      <c r="E42" s="209">
        <f t="shared" si="36"/>
        <v>0</v>
      </c>
      <c r="F42" s="209">
        <f>+'Table 5C1A-Madison Prep'!F42</f>
        <v>746.0335616438357</v>
      </c>
      <c r="G42" s="209">
        <f t="shared" si="37"/>
        <v>0</v>
      </c>
      <c r="H42" s="344">
        <f t="shared" si="38"/>
        <v>0</v>
      </c>
      <c r="I42" s="990">
        <f>'[1]Oct midyear DArbonne'!K39</f>
        <v>0</v>
      </c>
      <c r="J42" s="210">
        <f>'[1]Feb midyear DArbonne'!K39</f>
        <v>0</v>
      </c>
      <c r="K42" s="211">
        <f t="shared" si="39"/>
        <v>0</v>
      </c>
      <c r="L42" s="344">
        <f t="shared" si="56"/>
        <v>0</v>
      </c>
      <c r="M42" s="273">
        <f t="shared" si="40"/>
        <v>0</v>
      </c>
      <c r="N42" s="344">
        <f t="shared" si="41"/>
        <v>0</v>
      </c>
      <c r="O42" s="208">
        <v>0</v>
      </c>
      <c r="P42" s="350">
        <f t="shared" si="42"/>
        <v>0</v>
      </c>
      <c r="Q42" s="210">
        <f>'[2]Table 5C1B-DArbonne'!S42+'[14]Table 5C1B-DArbonne'!S42+(6*'[20]Table 5C1B-DArbonne'!S42)</f>
        <v>0</v>
      </c>
      <c r="R42" s="210">
        <f t="shared" si="43"/>
        <v>0</v>
      </c>
      <c r="S42" s="350">
        <f t="shared" si="32"/>
        <v>0</v>
      </c>
      <c r="T42" s="361">
        <f t="shared" si="44"/>
        <v>0</v>
      </c>
      <c r="U42" s="274">
        <f>'Table 5C1A-Madison Prep'!U42</f>
        <v>5469</v>
      </c>
      <c r="V42" s="327">
        <f t="shared" si="57"/>
        <v>0</v>
      </c>
      <c r="W42" s="994">
        <f>'[1]Oct midyear DArbonne'!E39</f>
        <v>0</v>
      </c>
      <c r="X42" s="276">
        <f t="shared" si="45"/>
        <v>0</v>
      </c>
      <c r="Y42" s="883">
        <f>'[1]Feb midyear DArbonne'!E39</f>
        <v>0</v>
      </c>
      <c r="Z42" s="276">
        <f t="shared" si="46"/>
        <v>0</v>
      </c>
      <c r="AA42" s="275">
        <f t="shared" si="47"/>
        <v>0</v>
      </c>
      <c r="AB42" s="327">
        <f t="shared" si="48"/>
        <v>0</v>
      </c>
      <c r="AC42" s="278">
        <f t="shared" si="49"/>
        <v>0</v>
      </c>
      <c r="AD42" s="327">
        <f t="shared" si="50"/>
        <v>0</v>
      </c>
      <c r="AE42" s="276">
        <v>0</v>
      </c>
      <c r="AF42" s="327">
        <f t="shared" si="51"/>
        <v>0</v>
      </c>
      <c r="AG42" s="276">
        <f>'[2]Table 5C1B-DArbonne'!AI42+'[14]Table 5C1B-DArbonne'!AI42+(6*'[20]Table 5C1B-DArbonne'!AI42)</f>
        <v>0</v>
      </c>
      <c r="AH42" s="276">
        <f t="shared" si="52"/>
        <v>0</v>
      </c>
      <c r="AI42" s="327">
        <f t="shared" si="34"/>
        <v>0</v>
      </c>
      <c r="AJ42" s="277">
        <f t="shared" si="35"/>
        <v>0</v>
      </c>
      <c r="AK42" s="317">
        <f t="shared" si="53"/>
        <v>0</v>
      </c>
      <c r="AM42" s="273">
        <v>0</v>
      </c>
      <c r="AN42" s="273">
        <f t="shared" si="54"/>
        <v>0</v>
      </c>
      <c r="AO42" s="273">
        <f t="shared" si="55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2.1.14'!H39</f>
        <v>3</v>
      </c>
      <c r="D43" s="201">
        <f>+'Table 5C1A-Madison Prep'!D43</f>
        <v>5665.3839260317691</v>
      </c>
      <c r="E43" s="202">
        <f t="shared" si="36"/>
        <v>16996.151778095307</v>
      </c>
      <c r="F43" s="202">
        <f>+'Table 5C1A-Madison Prep'!F43</f>
        <v>653.61</v>
      </c>
      <c r="G43" s="202">
        <f t="shared" si="37"/>
        <v>1960.83</v>
      </c>
      <c r="H43" s="345">
        <f t="shared" si="38"/>
        <v>18956.981778095309</v>
      </c>
      <c r="I43" s="991">
        <f>'[1]Oct midyear DArbonne'!K40</f>
        <v>56870.94533428592</v>
      </c>
      <c r="J43" s="203">
        <f>'[1]Feb midyear DArbonne'!K40</f>
        <v>9478.4908890476527</v>
      </c>
      <c r="K43" s="204">
        <f t="shared" si="39"/>
        <v>66349.436223333571</v>
      </c>
      <c r="L43" s="345">
        <f t="shared" si="56"/>
        <v>85306.418001428887</v>
      </c>
      <c r="M43" s="286">
        <f t="shared" si="40"/>
        <v>-213.26604500357223</v>
      </c>
      <c r="N43" s="345">
        <f t="shared" si="41"/>
        <v>85093.15195642531</v>
      </c>
      <c r="O43" s="201">
        <v>0</v>
      </c>
      <c r="P43" s="351">
        <f t="shared" si="42"/>
        <v>85093.15195642531</v>
      </c>
      <c r="Q43" s="203">
        <f>'[2]Table 5C1B-DArbonne'!S43+'[14]Table 5C1B-DArbonne'!S43+(6*'[20]Table 5C1B-DArbonne'!S43)</f>
        <v>52262</v>
      </c>
      <c r="R43" s="203">
        <f t="shared" si="43"/>
        <v>32831.15195642531</v>
      </c>
      <c r="S43" s="351">
        <f t="shared" si="32"/>
        <v>8208</v>
      </c>
      <c r="T43" s="362">
        <f t="shared" si="44"/>
        <v>85093.15195642531</v>
      </c>
      <c r="U43" s="287">
        <f>'Table 5C1A-Madison Prep'!U43</f>
        <v>3424</v>
      </c>
      <c r="V43" s="328">
        <f t="shared" si="57"/>
        <v>10272</v>
      </c>
      <c r="W43" s="995">
        <f>'[1]Oct midyear DArbonne'!E40</f>
        <v>9</v>
      </c>
      <c r="X43" s="290">
        <f t="shared" si="45"/>
        <v>30816</v>
      </c>
      <c r="Y43" s="289">
        <f>'[1]Feb midyear DArbonne'!E40</f>
        <v>3</v>
      </c>
      <c r="Z43" s="290">
        <f t="shared" si="46"/>
        <v>5136</v>
      </c>
      <c r="AA43" s="288">
        <f t="shared" si="47"/>
        <v>35952</v>
      </c>
      <c r="AB43" s="328">
        <f t="shared" si="48"/>
        <v>46224</v>
      </c>
      <c r="AC43" s="292">
        <f t="shared" si="49"/>
        <v>-115.56</v>
      </c>
      <c r="AD43" s="328">
        <f t="shared" si="50"/>
        <v>46108.44</v>
      </c>
      <c r="AE43" s="290">
        <v>0</v>
      </c>
      <c r="AF43" s="328">
        <f t="shared" si="51"/>
        <v>46108.44</v>
      </c>
      <c r="AG43" s="290">
        <f>'[2]Table 5C1B-DArbonne'!AI43+'[14]Table 5C1B-DArbonne'!AI43+(6*'[20]Table 5C1B-DArbonne'!AI43)</f>
        <v>29113</v>
      </c>
      <c r="AH43" s="290">
        <f t="shared" si="52"/>
        <v>16995.440000000002</v>
      </c>
      <c r="AI43" s="328">
        <f t="shared" si="34"/>
        <v>4249</v>
      </c>
      <c r="AJ43" s="291">
        <f t="shared" si="35"/>
        <v>131201.59195642531</v>
      </c>
      <c r="AK43" s="318">
        <f t="shared" si="53"/>
        <v>12457</v>
      </c>
      <c r="AM43" s="286">
        <v>-26.400000000000002</v>
      </c>
      <c r="AN43" s="286">
        <f t="shared" si="54"/>
        <v>-115.56</v>
      </c>
      <c r="AO43" s="286">
        <f t="shared" si="55"/>
        <v>-89.16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2.1.14'!H40</f>
        <v>0</v>
      </c>
      <c r="D44" s="201">
        <f>+'Table 5C1A-Madison Prep'!D44</f>
        <v>2088.8017552916881</v>
      </c>
      <c r="E44" s="202">
        <f t="shared" si="36"/>
        <v>0</v>
      </c>
      <c r="F44" s="202">
        <f>+'Table 5C1A-Madison Prep'!F44</f>
        <v>829.92000000000007</v>
      </c>
      <c r="G44" s="202">
        <f t="shared" si="37"/>
        <v>0</v>
      </c>
      <c r="H44" s="345">
        <f t="shared" si="38"/>
        <v>0</v>
      </c>
      <c r="I44" s="991">
        <f>'[1]Oct midyear DArbonne'!K41</f>
        <v>0</v>
      </c>
      <c r="J44" s="203">
        <f>'[1]Feb midyear DArbonne'!K41</f>
        <v>0</v>
      </c>
      <c r="K44" s="204">
        <f t="shared" si="39"/>
        <v>0</v>
      </c>
      <c r="L44" s="345">
        <f t="shared" si="56"/>
        <v>0</v>
      </c>
      <c r="M44" s="286">
        <f t="shared" si="40"/>
        <v>0</v>
      </c>
      <c r="N44" s="345">
        <f t="shared" si="41"/>
        <v>0</v>
      </c>
      <c r="O44" s="201">
        <v>0</v>
      </c>
      <c r="P44" s="351">
        <f t="shared" si="42"/>
        <v>0</v>
      </c>
      <c r="Q44" s="203">
        <f>'[2]Table 5C1B-DArbonne'!S44+'[14]Table 5C1B-DArbonne'!S44+(6*'[20]Table 5C1B-DArbonne'!S44)</f>
        <v>0</v>
      </c>
      <c r="R44" s="203">
        <f t="shared" si="43"/>
        <v>0</v>
      </c>
      <c r="S44" s="351">
        <f t="shared" si="32"/>
        <v>0</v>
      </c>
      <c r="T44" s="362">
        <f t="shared" si="44"/>
        <v>0</v>
      </c>
      <c r="U44" s="287">
        <f>'Table 5C1A-Madison Prep'!U44</f>
        <v>11060</v>
      </c>
      <c r="V44" s="328">
        <f t="shared" si="57"/>
        <v>0</v>
      </c>
      <c r="W44" s="995">
        <f>'[1]Oct midyear DArbonne'!E41</f>
        <v>0</v>
      </c>
      <c r="X44" s="290">
        <f t="shared" si="45"/>
        <v>0</v>
      </c>
      <c r="Y44" s="289">
        <f>'[1]Feb midyear DArbonne'!E41</f>
        <v>0</v>
      </c>
      <c r="Z44" s="290">
        <f t="shared" si="46"/>
        <v>0</v>
      </c>
      <c r="AA44" s="288">
        <f t="shared" si="47"/>
        <v>0</v>
      </c>
      <c r="AB44" s="328">
        <f t="shared" si="48"/>
        <v>0</v>
      </c>
      <c r="AC44" s="292">
        <f t="shared" si="49"/>
        <v>0</v>
      </c>
      <c r="AD44" s="328">
        <f t="shared" si="50"/>
        <v>0</v>
      </c>
      <c r="AE44" s="290">
        <v>0</v>
      </c>
      <c r="AF44" s="328">
        <f t="shared" si="51"/>
        <v>0</v>
      </c>
      <c r="AG44" s="290">
        <f>'[2]Table 5C1B-DArbonne'!AI44+'[14]Table 5C1B-DArbonne'!AI44+(6*'[20]Table 5C1B-DArbonne'!AI44)</f>
        <v>0</v>
      </c>
      <c r="AH44" s="290">
        <f t="shared" si="52"/>
        <v>0</v>
      </c>
      <c r="AI44" s="328">
        <f t="shared" si="34"/>
        <v>0</v>
      </c>
      <c r="AJ44" s="291">
        <f t="shared" si="35"/>
        <v>0</v>
      </c>
      <c r="AK44" s="318">
        <f t="shared" si="53"/>
        <v>0</v>
      </c>
      <c r="AM44" s="286">
        <v>0</v>
      </c>
      <c r="AN44" s="286">
        <f t="shared" si="54"/>
        <v>0</v>
      </c>
      <c r="AO44" s="286">
        <f t="shared" si="55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2.1.14'!H41</f>
        <v>0</v>
      </c>
      <c r="D45" s="201">
        <f>+'Table 5C1A-Madison Prep'!D45</f>
        <v>3656.9056809295676</v>
      </c>
      <c r="E45" s="202">
        <f t="shared" si="36"/>
        <v>0</v>
      </c>
      <c r="F45" s="202">
        <f>+'Table 5C1A-Madison Prep'!F45</f>
        <v>779.65573042776396</v>
      </c>
      <c r="G45" s="202">
        <f t="shared" si="37"/>
        <v>0</v>
      </c>
      <c r="H45" s="345">
        <f t="shared" si="38"/>
        <v>0</v>
      </c>
      <c r="I45" s="991">
        <f>'[1]Oct midyear DArbonne'!K42</f>
        <v>0</v>
      </c>
      <c r="J45" s="203">
        <f>'[1]Feb midyear DArbonne'!K42</f>
        <v>0</v>
      </c>
      <c r="K45" s="204">
        <f t="shared" si="39"/>
        <v>0</v>
      </c>
      <c r="L45" s="345">
        <f t="shared" si="56"/>
        <v>0</v>
      </c>
      <c r="M45" s="286">
        <f t="shared" si="40"/>
        <v>0</v>
      </c>
      <c r="N45" s="345">
        <f t="shared" si="41"/>
        <v>0</v>
      </c>
      <c r="O45" s="201">
        <v>0</v>
      </c>
      <c r="P45" s="351">
        <f t="shared" si="42"/>
        <v>0</v>
      </c>
      <c r="Q45" s="203">
        <f>'[2]Table 5C1B-DArbonne'!S45+'[14]Table 5C1B-DArbonne'!S45+(6*'[20]Table 5C1B-DArbonne'!S45)</f>
        <v>0</v>
      </c>
      <c r="R45" s="203">
        <f t="shared" si="43"/>
        <v>0</v>
      </c>
      <c r="S45" s="351">
        <f t="shared" si="32"/>
        <v>0</v>
      </c>
      <c r="T45" s="362">
        <f t="shared" si="44"/>
        <v>0</v>
      </c>
      <c r="U45" s="287">
        <f>'Table 5C1A-Madison Prep'!U45</f>
        <v>4922</v>
      </c>
      <c r="V45" s="328">
        <f t="shared" si="57"/>
        <v>0</v>
      </c>
      <c r="W45" s="995">
        <f>'[1]Oct midyear DArbonne'!E42</f>
        <v>0</v>
      </c>
      <c r="X45" s="290">
        <f t="shared" si="45"/>
        <v>0</v>
      </c>
      <c r="Y45" s="289">
        <f>'[1]Feb midyear DArbonne'!E42</f>
        <v>0</v>
      </c>
      <c r="Z45" s="290">
        <f t="shared" si="46"/>
        <v>0</v>
      </c>
      <c r="AA45" s="288">
        <f t="shared" si="47"/>
        <v>0</v>
      </c>
      <c r="AB45" s="328">
        <f t="shared" si="48"/>
        <v>0</v>
      </c>
      <c r="AC45" s="292">
        <f t="shared" si="49"/>
        <v>0</v>
      </c>
      <c r="AD45" s="328">
        <f t="shared" si="50"/>
        <v>0</v>
      </c>
      <c r="AE45" s="290">
        <v>0</v>
      </c>
      <c r="AF45" s="328">
        <f t="shared" si="51"/>
        <v>0</v>
      </c>
      <c r="AG45" s="290">
        <f>'[2]Table 5C1B-DArbonne'!AI45+'[14]Table 5C1B-DArbonne'!AI45+(6*'[20]Table 5C1B-DArbonne'!AI45)</f>
        <v>0</v>
      </c>
      <c r="AH45" s="290">
        <f t="shared" si="52"/>
        <v>0</v>
      </c>
      <c r="AI45" s="328">
        <f t="shared" si="34"/>
        <v>0</v>
      </c>
      <c r="AJ45" s="291">
        <f t="shared" si="35"/>
        <v>0</v>
      </c>
      <c r="AK45" s="318">
        <f t="shared" si="53"/>
        <v>0</v>
      </c>
      <c r="AM45" s="286">
        <v>0</v>
      </c>
      <c r="AN45" s="286">
        <f t="shared" si="54"/>
        <v>0</v>
      </c>
      <c r="AO45" s="286">
        <f t="shared" si="55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2.1.14'!H42</f>
        <v>0</v>
      </c>
      <c r="D46" s="194">
        <f>+'Table 5C1A-Madison Prep'!D46</f>
        <v>5121.8110285698403</v>
      </c>
      <c r="E46" s="195">
        <f t="shared" si="36"/>
        <v>0</v>
      </c>
      <c r="F46" s="195">
        <f>+'Table 5C1A-Madison Prep'!F46</f>
        <v>700.2700000000001</v>
      </c>
      <c r="G46" s="195">
        <f t="shared" si="37"/>
        <v>0</v>
      </c>
      <c r="H46" s="346">
        <f t="shared" si="38"/>
        <v>0</v>
      </c>
      <c r="I46" s="992">
        <f>'[1]Oct midyear DArbonne'!K43</f>
        <v>0</v>
      </c>
      <c r="J46" s="196">
        <f>'[1]Feb midyear DArbonne'!K43</f>
        <v>0</v>
      </c>
      <c r="K46" s="197">
        <f t="shared" si="39"/>
        <v>0</v>
      </c>
      <c r="L46" s="346">
        <f t="shared" si="56"/>
        <v>0</v>
      </c>
      <c r="M46" s="296">
        <f t="shared" si="40"/>
        <v>0</v>
      </c>
      <c r="N46" s="346">
        <f t="shared" si="41"/>
        <v>0</v>
      </c>
      <c r="O46" s="194">
        <v>0</v>
      </c>
      <c r="P46" s="352">
        <f t="shared" si="42"/>
        <v>0</v>
      </c>
      <c r="Q46" s="622">
        <f>'[2]Table 5C1B-DArbonne'!S46+'[14]Table 5C1B-DArbonne'!S46+(6*'[20]Table 5C1B-DArbonne'!S46)</f>
        <v>0</v>
      </c>
      <c r="R46" s="196">
        <f t="shared" si="43"/>
        <v>0</v>
      </c>
      <c r="S46" s="356">
        <f t="shared" si="32"/>
        <v>0</v>
      </c>
      <c r="T46" s="356">
        <f t="shared" si="44"/>
        <v>0</v>
      </c>
      <c r="U46" s="281">
        <f>'Table 5C1A-Madison Prep'!U46</f>
        <v>3152</v>
      </c>
      <c r="V46" s="329">
        <f t="shared" si="57"/>
        <v>0</v>
      </c>
      <c r="W46" s="996">
        <f>'[1]Oct midyear DArbonne'!E43</f>
        <v>0</v>
      </c>
      <c r="X46" s="282">
        <f t="shared" si="45"/>
        <v>0</v>
      </c>
      <c r="Y46" s="884">
        <f>'[1]Feb midyear DArbonne'!E43</f>
        <v>0</v>
      </c>
      <c r="Z46" s="282">
        <f t="shared" si="46"/>
        <v>0</v>
      </c>
      <c r="AA46" s="283">
        <f t="shared" si="47"/>
        <v>0</v>
      </c>
      <c r="AB46" s="329">
        <f t="shared" si="48"/>
        <v>0</v>
      </c>
      <c r="AC46" s="298">
        <f t="shared" si="49"/>
        <v>0</v>
      </c>
      <c r="AD46" s="329">
        <f t="shared" si="50"/>
        <v>0</v>
      </c>
      <c r="AE46" s="282">
        <v>0</v>
      </c>
      <c r="AF46" s="329">
        <f t="shared" si="51"/>
        <v>0</v>
      </c>
      <c r="AG46" s="282">
        <f>'[2]Table 5C1B-DArbonne'!AI46+'[14]Table 5C1B-DArbonne'!AI46+(6*'[20]Table 5C1B-DArbonne'!AI46)</f>
        <v>0</v>
      </c>
      <c r="AH46" s="282">
        <f t="shared" si="52"/>
        <v>0</v>
      </c>
      <c r="AI46" s="329">
        <f t="shared" si="34"/>
        <v>0</v>
      </c>
      <c r="AJ46" s="297">
        <f t="shared" si="35"/>
        <v>0</v>
      </c>
      <c r="AK46" s="319">
        <f t="shared" si="53"/>
        <v>0</v>
      </c>
      <c r="AM46" s="296">
        <v>0</v>
      </c>
      <c r="AN46" s="296">
        <f t="shared" si="54"/>
        <v>0</v>
      </c>
      <c r="AO46" s="296">
        <f t="shared" si="55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2.1.14'!H43</f>
        <v>0</v>
      </c>
      <c r="D47" s="208">
        <f>+'Table 5C1A-Madison Prep'!D47</f>
        <v>3291.1948574716475</v>
      </c>
      <c r="E47" s="209">
        <f t="shared" si="36"/>
        <v>0</v>
      </c>
      <c r="F47" s="209">
        <f>+'Table 5C1A-Madison Prep'!F47</f>
        <v>886.22</v>
      </c>
      <c r="G47" s="209">
        <f t="shared" si="37"/>
        <v>0</v>
      </c>
      <c r="H47" s="344">
        <f t="shared" si="38"/>
        <v>0</v>
      </c>
      <c r="I47" s="990">
        <f>'[1]Oct midyear DArbonne'!K44</f>
        <v>0</v>
      </c>
      <c r="J47" s="210">
        <f>'[1]Feb midyear DArbonne'!K44</f>
        <v>0</v>
      </c>
      <c r="K47" s="211">
        <f t="shared" si="39"/>
        <v>0</v>
      </c>
      <c r="L47" s="344">
        <f t="shared" si="56"/>
        <v>0</v>
      </c>
      <c r="M47" s="273">
        <f t="shared" si="40"/>
        <v>0</v>
      </c>
      <c r="N47" s="344">
        <f t="shared" si="41"/>
        <v>0</v>
      </c>
      <c r="O47" s="208">
        <v>0</v>
      </c>
      <c r="P47" s="350">
        <f t="shared" si="42"/>
        <v>0</v>
      </c>
      <c r="Q47" s="210">
        <f>'[2]Table 5C1B-DArbonne'!S47+'[14]Table 5C1B-DArbonne'!S47+(6*'[20]Table 5C1B-DArbonne'!S47)</f>
        <v>0</v>
      </c>
      <c r="R47" s="210">
        <f t="shared" si="43"/>
        <v>0</v>
      </c>
      <c r="S47" s="350">
        <f t="shared" si="32"/>
        <v>0</v>
      </c>
      <c r="T47" s="361">
        <f t="shared" si="44"/>
        <v>0</v>
      </c>
      <c r="U47" s="274">
        <f>'Table 5C1A-Madison Prep'!U47</f>
        <v>9422</v>
      </c>
      <c r="V47" s="327">
        <f t="shared" si="57"/>
        <v>0</v>
      </c>
      <c r="W47" s="994">
        <f>'[1]Oct midyear DArbonne'!E44</f>
        <v>0</v>
      </c>
      <c r="X47" s="276">
        <f t="shared" si="45"/>
        <v>0</v>
      </c>
      <c r="Y47" s="883">
        <f>'[1]Feb midyear DArbonne'!E44</f>
        <v>0</v>
      </c>
      <c r="Z47" s="276">
        <f t="shared" si="46"/>
        <v>0</v>
      </c>
      <c r="AA47" s="275">
        <f t="shared" si="47"/>
        <v>0</v>
      </c>
      <c r="AB47" s="327">
        <f t="shared" si="48"/>
        <v>0</v>
      </c>
      <c r="AC47" s="278">
        <f t="shared" si="49"/>
        <v>0</v>
      </c>
      <c r="AD47" s="327">
        <f t="shared" si="50"/>
        <v>0</v>
      </c>
      <c r="AE47" s="276">
        <v>0</v>
      </c>
      <c r="AF47" s="327">
        <f t="shared" si="51"/>
        <v>0</v>
      </c>
      <c r="AG47" s="276">
        <f>'[2]Table 5C1B-DArbonne'!AI47+'[14]Table 5C1B-DArbonne'!AI47+(6*'[20]Table 5C1B-DArbonne'!AI47)</f>
        <v>0</v>
      </c>
      <c r="AH47" s="276">
        <f t="shared" si="52"/>
        <v>0</v>
      </c>
      <c r="AI47" s="327">
        <f t="shared" si="34"/>
        <v>0</v>
      </c>
      <c r="AJ47" s="277">
        <f t="shared" si="35"/>
        <v>0</v>
      </c>
      <c r="AK47" s="317">
        <f t="shared" si="53"/>
        <v>0</v>
      </c>
      <c r="AM47" s="273">
        <v>0</v>
      </c>
      <c r="AN47" s="273">
        <f t="shared" si="54"/>
        <v>0</v>
      </c>
      <c r="AO47" s="273">
        <f t="shared" si="55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2.1.14'!H44</f>
        <v>0</v>
      </c>
      <c r="D48" s="201">
        <f>+'Table 5C1A-Madison Prep'!D48</f>
        <v>5113.6077751368684</v>
      </c>
      <c r="E48" s="202">
        <f t="shared" si="36"/>
        <v>0</v>
      </c>
      <c r="F48" s="202">
        <f>+'Table 5C1A-Madison Prep'!F48</f>
        <v>534.28</v>
      </c>
      <c r="G48" s="202">
        <f t="shared" si="37"/>
        <v>0</v>
      </c>
      <c r="H48" s="345">
        <f t="shared" si="38"/>
        <v>0</v>
      </c>
      <c r="I48" s="991">
        <f>'[1]Oct midyear DArbonne'!K45</f>
        <v>0</v>
      </c>
      <c r="J48" s="203">
        <f>'[1]Feb midyear DArbonne'!K45</f>
        <v>0</v>
      </c>
      <c r="K48" s="204">
        <f t="shared" si="39"/>
        <v>0</v>
      </c>
      <c r="L48" s="345">
        <f t="shared" si="56"/>
        <v>0</v>
      </c>
      <c r="M48" s="286">
        <f t="shared" si="40"/>
        <v>0</v>
      </c>
      <c r="N48" s="345">
        <f t="shared" si="41"/>
        <v>0</v>
      </c>
      <c r="O48" s="201">
        <v>0</v>
      </c>
      <c r="P48" s="351">
        <f t="shared" si="42"/>
        <v>0</v>
      </c>
      <c r="Q48" s="203">
        <f>'[2]Table 5C1B-DArbonne'!S48+'[14]Table 5C1B-DArbonne'!S48+(6*'[20]Table 5C1B-DArbonne'!S48)</f>
        <v>0</v>
      </c>
      <c r="R48" s="203">
        <f t="shared" si="43"/>
        <v>0</v>
      </c>
      <c r="S48" s="351">
        <f t="shared" si="32"/>
        <v>0</v>
      </c>
      <c r="T48" s="362">
        <f t="shared" si="44"/>
        <v>0</v>
      </c>
      <c r="U48" s="287">
        <f>'Table 5C1A-Madison Prep'!U48</f>
        <v>3415</v>
      </c>
      <c r="V48" s="328">
        <f t="shared" si="57"/>
        <v>0</v>
      </c>
      <c r="W48" s="995">
        <f>'[1]Oct midyear DArbonne'!E45</f>
        <v>0</v>
      </c>
      <c r="X48" s="290">
        <f t="shared" si="45"/>
        <v>0</v>
      </c>
      <c r="Y48" s="289">
        <f>'[1]Feb midyear DArbonne'!E45</f>
        <v>0</v>
      </c>
      <c r="Z48" s="290">
        <f t="shared" si="46"/>
        <v>0</v>
      </c>
      <c r="AA48" s="288">
        <f t="shared" si="47"/>
        <v>0</v>
      </c>
      <c r="AB48" s="328">
        <f t="shared" si="48"/>
        <v>0</v>
      </c>
      <c r="AC48" s="292">
        <f t="shared" si="49"/>
        <v>0</v>
      </c>
      <c r="AD48" s="328">
        <f t="shared" si="50"/>
        <v>0</v>
      </c>
      <c r="AE48" s="290">
        <v>0</v>
      </c>
      <c r="AF48" s="328">
        <f t="shared" si="51"/>
        <v>0</v>
      </c>
      <c r="AG48" s="290">
        <f>'[2]Table 5C1B-DArbonne'!AI48+'[14]Table 5C1B-DArbonne'!AI48+(6*'[20]Table 5C1B-DArbonne'!AI48)</f>
        <v>0</v>
      </c>
      <c r="AH48" s="290">
        <f t="shared" si="52"/>
        <v>0</v>
      </c>
      <c r="AI48" s="328">
        <f t="shared" si="34"/>
        <v>0</v>
      </c>
      <c r="AJ48" s="291">
        <f t="shared" si="35"/>
        <v>0</v>
      </c>
      <c r="AK48" s="318">
        <f t="shared" si="53"/>
        <v>0</v>
      </c>
      <c r="AM48" s="286">
        <v>0</v>
      </c>
      <c r="AN48" s="286">
        <f t="shared" si="54"/>
        <v>0</v>
      </c>
      <c r="AO48" s="286">
        <f t="shared" si="55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2.1.14'!H45</f>
        <v>0</v>
      </c>
      <c r="D49" s="201">
        <f>+'Table 5C1A-Madison Prep'!D49</f>
        <v>5788.74387205947</v>
      </c>
      <c r="E49" s="202">
        <f t="shared" si="36"/>
        <v>0</v>
      </c>
      <c r="F49" s="202">
        <f>+'Table 5C1A-Madison Prep'!F49</f>
        <v>574.6099999999999</v>
      </c>
      <c r="G49" s="202">
        <f t="shared" si="37"/>
        <v>0</v>
      </c>
      <c r="H49" s="345">
        <f t="shared" si="38"/>
        <v>0</v>
      </c>
      <c r="I49" s="991">
        <f>'[1]Oct midyear DArbonne'!K46</f>
        <v>0</v>
      </c>
      <c r="J49" s="203">
        <f>'[1]Feb midyear DArbonne'!K46</f>
        <v>0</v>
      </c>
      <c r="K49" s="204">
        <f t="shared" si="39"/>
        <v>0</v>
      </c>
      <c r="L49" s="345">
        <f t="shared" si="56"/>
        <v>0</v>
      </c>
      <c r="M49" s="286">
        <f t="shared" si="40"/>
        <v>0</v>
      </c>
      <c r="N49" s="345">
        <f t="shared" si="41"/>
        <v>0</v>
      </c>
      <c r="O49" s="201">
        <v>0</v>
      </c>
      <c r="P49" s="351">
        <f t="shared" si="42"/>
        <v>0</v>
      </c>
      <c r="Q49" s="203">
        <f>'[2]Table 5C1B-DArbonne'!S49+'[14]Table 5C1B-DArbonne'!S49+(6*'[20]Table 5C1B-DArbonne'!S49)</f>
        <v>0</v>
      </c>
      <c r="R49" s="203">
        <f t="shared" si="43"/>
        <v>0</v>
      </c>
      <c r="S49" s="351">
        <f t="shared" si="32"/>
        <v>0</v>
      </c>
      <c r="T49" s="362">
        <f t="shared" si="44"/>
        <v>0</v>
      </c>
      <c r="U49" s="287">
        <f>'Table 5C1A-Madison Prep'!U49</f>
        <v>3334</v>
      </c>
      <c r="V49" s="328">
        <f t="shared" si="57"/>
        <v>0</v>
      </c>
      <c r="W49" s="995">
        <f>'[1]Oct midyear DArbonne'!E46</f>
        <v>0</v>
      </c>
      <c r="X49" s="290">
        <f t="shared" si="45"/>
        <v>0</v>
      </c>
      <c r="Y49" s="289">
        <f>'[1]Feb midyear DArbonne'!E46</f>
        <v>0</v>
      </c>
      <c r="Z49" s="290">
        <f t="shared" si="46"/>
        <v>0</v>
      </c>
      <c r="AA49" s="288">
        <f t="shared" si="47"/>
        <v>0</v>
      </c>
      <c r="AB49" s="328">
        <f t="shared" si="48"/>
        <v>0</v>
      </c>
      <c r="AC49" s="292">
        <f t="shared" si="49"/>
        <v>0</v>
      </c>
      <c r="AD49" s="328">
        <f t="shared" si="50"/>
        <v>0</v>
      </c>
      <c r="AE49" s="290">
        <v>0</v>
      </c>
      <c r="AF49" s="328">
        <f t="shared" si="51"/>
        <v>0</v>
      </c>
      <c r="AG49" s="290">
        <f>'[2]Table 5C1B-DArbonne'!AI49+'[14]Table 5C1B-DArbonne'!AI49+(6*'[20]Table 5C1B-DArbonne'!AI49)</f>
        <v>0</v>
      </c>
      <c r="AH49" s="290">
        <f t="shared" si="52"/>
        <v>0</v>
      </c>
      <c r="AI49" s="328">
        <f t="shared" si="34"/>
        <v>0</v>
      </c>
      <c r="AJ49" s="291">
        <f t="shared" si="35"/>
        <v>0</v>
      </c>
      <c r="AK49" s="318">
        <f t="shared" si="53"/>
        <v>0</v>
      </c>
      <c r="AM49" s="286">
        <v>0</v>
      </c>
      <c r="AN49" s="286">
        <f t="shared" si="54"/>
        <v>0</v>
      </c>
      <c r="AO49" s="286">
        <f t="shared" si="55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2.1.14'!H46</f>
        <v>0</v>
      </c>
      <c r="D50" s="201">
        <f>+'Table 5C1A-Madison Prep'!D50</f>
        <v>4897.5958151820359</v>
      </c>
      <c r="E50" s="202">
        <f t="shared" si="36"/>
        <v>0</v>
      </c>
      <c r="F50" s="202">
        <f>+'Table 5C1A-Madison Prep'!F50</f>
        <v>663.16000000000008</v>
      </c>
      <c r="G50" s="202">
        <f t="shared" si="37"/>
        <v>0</v>
      </c>
      <c r="H50" s="345">
        <f t="shared" si="38"/>
        <v>0</v>
      </c>
      <c r="I50" s="991">
        <f>'[1]Oct midyear DArbonne'!K47</f>
        <v>0</v>
      </c>
      <c r="J50" s="203">
        <f>'[1]Feb midyear DArbonne'!K47</f>
        <v>0</v>
      </c>
      <c r="K50" s="204">
        <f t="shared" si="39"/>
        <v>0</v>
      </c>
      <c r="L50" s="345">
        <f t="shared" si="56"/>
        <v>0</v>
      </c>
      <c r="M50" s="286">
        <f t="shared" si="40"/>
        <v>0</v>
      </c>
      <c r="N50" s="345">
        <f t="shared" si="41"/>
        <v>0</v>
      </c>
      <c r="O50" s="201">
        <v>0</v>
      </c>
      <c r="P50" s="351">
        <f t="shared" si="42"/>
        <v>0</v>
      </c>
      <c r="Q50" s="203">
        <f>'[2]Table 5C1B-DArbonne'!S50+'[14]Table 5C1B-DArbonne'!S50+(6*'[20]Table 5C1B-DArbonne'!S50)</f>
        <v>0</v>
      </c>
      <c r="R50" s="203">
        <f t="shared" si="43"/>
        <v>0</v>
      </c>
      <c r="S50" s="351">
        <f t="shared" si="32"/>
        <v>0</v>
      </c>
      <c r="T50" s="362">
        <f t="shared" si="44"/>
        <v>0</v>
      </c>
      <c r="U50" s="287">
        <f>'Table 5C1A-Madison Prep'!U50</f>
        <v>3587</v>
      </c>
      <c r="V50" s="328">
        <f t="shared" si="57"/>
        <v>0</v>
      </c>
      <c r="W50" s="995">
        <f>'[1]Oct midyear DArbonne'!E47</f>
        <v>0</v>
      </c>
      <c r="X50" s="290">
        <f t="shared" si="45"/>
        <v>0</v>
      </c>
      <c r="Y50" s="289">
        <f>'[1]Feb midyear DArbonne'!E47</f>
        <v>0</v>
      </c>
      <c r="Z50" s="290">
        <f t="shared" si="46"/>
        <v>0</v>
      </c>
      <c r="AA50" s="288">
        <f t="shared" si="47"/>
        <v>0</v>
      </c>
      <c r="AB50" s="328">
        <f t="shared" si="48"/>
        <v>0</v>
      </c>
      <c r="AC50" s="292">
        <f t="shared" si="49"/>
        <v>0</v>
      </c>
      <c r="AD50" s="328">
        <f t="shared" si="50"/>
        <v>0</v>
      </c>
      <c r="AE50" s="290">
        <v>0</v>
      </c>
      <c r="AF50" s="328">
        <f t="shared" si="51"/>
        <v>0</v>
      </c>
      <c r="AG50" s="290">
        <f>'[2]Table 5C1B-DArbonne'!AI50+'[14]Table 5C1B-DArbonne'!AI50+(6*'[20]Table 5C1B-DArbonne'!AI50)</f>
        <v>0</v>
      </c>
      <c r="AH50" s="290">
        <f t="shared" si="52"/>
        <v>0</v>
      </c>
      <c r="AI50" s="328">
        <f t="shared" si="34"/>
        <v>0</v>
      </c>
      <c r="AJ50" s="291">
        <f t="shared" si="35"/>
        <v>0</v>
      </c>
      <c r="AK50" s="318">
        <f t="shared" si="53"/>
        <v>0</v>
      </c>
      <c r="AM50" s="286">
        <v>0</v>
      </c>
      <c r="AN50" s="286">
        <f t="shared" si="54"/>
        <v>0</v>
      </c>
      <c r="AO50" s="286">
        <f t="shared" si="55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2.1.14'!H47</f>
        <v>0</v>
      </c>
      <c r="D51" s="194">
        <f>+'Table 5C1A-Madison Prep'!D51</f>
        <v>2054.0472499469101</v>
      </c>
      <c r="E51" s="195">
        <f t="shared" si="36"/>
        <v>0</v>
      </c>
      <c r="F51" s="195">
        <f>+'Table 5C1A-Madison Prep'!F51</f>
        <v>753.96000000000015</v>
      </c>
      <c r="G51" s="195">
        <f t="shared" si="37"/>
        <v>0</v>
      </c>
      <c r="H51" s="346">
        <f t="shared" si="38"/>
        <v>0</v>
      </c>
      <c r="I51" s="992">
        <f>'[1]Oct midyear DArbonne'!K48</f>
        <v>0</v>
      </c>
      <c r="J51" s="196">
        <f>'[1]Feb midyear DArbonne'!K48</f>
        <v>0</v>
      </c>
      <c r="K51" s="197">
        <f t="shared" si="39"/>
        <v>0</v>
      </c>
      <c r="L51" s="346">
        <f t="shared" si="56"/>
        <v>0</v>
      </c>
      <c r="M51" s="296">
        <f t="shared" si="40"/>
        <v>0</v>
      </c>
      <c r="N51" s="346">
        <f t="shared" si="41"/>
        <v>0</v>
      </c>
      <c r="O51" s="194">
        <v>0</v>
      </c>
      <c r="P51" s="352">
        <f t="shared" si="42"/>
        <v>0</v>
      </c>
      <c r="Q51" s="622">
        <f>'[2]Table 5C1B-DArbonne'!S51+'[14]Table 5C1B-DArbonne'!S51+(6*'[20]Table 5C1B-DArbonne'!S51)</f>
        <v>0</v>
      </c>
      <c r="R51" s="196">
        <f t="shared" si="43"/>
        <v>0</v>
      </c>
      <c r="S51" s="356">
        <f t="shared" si="32"/>
        <v>0</v>
      </c>
      <c r="T51" s="356">
        <f t="shared" si="44"/>
        <v>0</v>
      </c>
      <c r="U51" s="281">
        <f>'Table 5C1A-Madison Prep'!U51</f>
        <v>12134</v>
      </c>
      <c r="V51" s="329">
        <f t="shared" si="57"/>
        <v>0</v>
      </c>
      <c r="W51" s="996">
        <f>'[1]Oct midyear DArbonne'!E48</f>
        <v>0</v>
      </c>
      <c r="X51" s="282">
        <f t="shared" si="45"/>
        <v>0</v>
      </c>
      <c r="Y51" s="884">
        <f>'[1]Feb midyear DArbonne'!E48</f>
        <v>0</v>
      </c>
      <c r="Z51" s="282">
        <f t="shared" si="46"/>
        <v>0</v>
      </c>
      <c r="AA51" s="283">
        <f t="shared" si="47"/>
        <v>0</v>
      </c>
      <c r="AB51" s="329">
        <f t="shared" si="48"/>
        <v>0</v>
      </c>
      <c r="AC51" s="298">
        <f t="shared" si="49"/>
        <v>0</v>
      </c>
      <c r="AD51" s="329">
        <f t="shared" si="50"/>
        <v>0</v>
      </c>
      <c r="AE51" s="282">
        <v>0</v>
      </c>
      <c r="AF51" s="329">
        <f t="shared" si="51"/>
        <v>0</v>
      </c>
      <c r="AG51" s="282">
        <f>'[2]Table 5C1B-DArbonne'!AI51+'[14]Table 5C1B-DArbonne'!AI51+(6*'[20]Table 5C1B-DArbonne'!AI51)</f>
        <v>0</v>
      </c>
      <c r="AH51" s="282">
        <f t="shared" si="52"/>
        <v>0</v>
      </c>
      <c r="AI51" s="329">
        <f t="shared" si="34"/>
        <v>0</v>
      </c>
      <c r="AJ51" s="297">
        <f t="shared" si="35"/>
        <v>0</v>
      </c>
      <c r="AK51" s="319">
        <f t="shared" si="53"/>
        <v>0</v>
      </c>
      <c r="AM51" s="296">
        <v>0</v>
      </c>
      <c r="AN51" s="296">
        <f t="shared" si="54"/>
        <v>0</v>
      </c>
      <c r="AO51" s="296">
        <f t="shared" si="55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2.1.14'!H48</f>
        <v>0</v>
      </c>
      <c r="D52" s="208">
        <f>+'Table 5C1A-Madison Prep'!D52</f>
        <v>6051.2144468088381</v>
      </c>
      <c r="E52" s="209">
        <f t="shared" si="36"/>
        <v>0</v>
      </c>
      <c r="F52" s="209">
        <f>+'Table 5C1A-Madison Prep'!F52</f>
        <v>728.06</v>
      </c>
      <c r="G52" s="209">
        <f t="shared" si="37"/>
        <v>0</v>
      </c>
      <c r="H52" s="344">
        <f t="shared" si="38"/>
        <v>0</v>
      </c>
      <c r="I52" s="990">
        <f>'[1]Oct midyear DArbonne'!K49</f>
        <v>0</v>
      </c>
      <c r="J52" s="210">
        <f>'[1]Feb midyear DArbonne'!K49</f>
        <v>0</v>
      </c>
      <c r="K52" s="211">
        <f t="shared" si="39"/>
        <v>0</v>
      </c>
      <c r="L52" s="344">
        <f t="shared" si="56"/>
        <v>0</v>
      </c>
      <c r="M52" s="273">
        <f t="shared" si="40"/>
        <v>0</v>
      </c>
      <c r="N52" s="344">
        <f t="shared" si="41"/>
        <v>0</v>
      </c>
      <c r="O52" s="208">
        <v>0</v>
      </c>
      <c r="P52" s="350">
        <f t="shared" si="42"/>
        <v>0</v>
      </c>
      <c r="Q52" s="210">
        <f>'[2]Table 5C1B-DArbonne'!S52+'[14]Table 5C1B-DArbonne'!S52+(6*'[20]Table 5C1B-DArbonne'!S52)</f>
        <v>0</v>
      </c>
      <c r="R52" s="210">
        <f t="shared" si="43"/>
        <v>0</v>
      </c>
      <c r="S52" s="350">
        <f t="shared" si="32"/>
        <v>0</v>
      </c>
      <c r="T52" s="361">
        <f t="shared" si="44"/>
        <v>0</v>
      </c>
      <c r="U52" s="274">
        <f>'Table 5C1A-Madison Prep'!U52</f>
        <v>2554</v>
      </c>
      <c r="V52" s="327">
        <f t="shared" si="57"/>
        <v>0</v>
      </c>
      <c r="W52" s="994">
        <f>'[1]Oct midyear DArbonne'!E49</f>
        <v>0</v>
      </c>
      <c r="X52" s="276">
        <f t="shared" si="45"/>
        <v>0</v>
      </c>
      <c r="Y52" s="883">
        <f>'[1]Feb midyear DArbonne'!E49</f>
        <v>0</v>
      </c>
      <c r="Z52" s="276">
        <f t="shared" si="46"/>
        <v>0</v>
      </c>
      <c r="AA52" s="275">
        <f t="shared" si="47"/>
        <v>0</v>
      </c>
      <c r="AB52" s="327">
        <f t="shared" si="48"/>
        <v>0</v>
      </c>
      <c r="AC52" s="278">
        <f t="shared" si="49"/>
        <v>0</v>
      </c>
      <c r="AD52" s="327">
        <f t="shared" si="50"/>
        <v>0</v>
      </c>
      <c r="AE52" s="276">
        <v>0</v>
      </c>
      <c r="AF52" s="327">
        <f t="shared" si="51"/>
        <v>0</v>
      </c>
      <c r="AG52" s="276">
        <f>'[2]Table 5C1B-DArbonne'!AI52+'[14]Table 5C1B-DArbonne'!AI52+(6*'[20]Table 5C1B-DArbonne'!AI52)</f>
        <v>0</v>
      </c>
      <c r="AH52" s="276">
        <f t="shared" si="52"/>
        <v>0</v>
      </c>
      <c r="AI52" s="327">
        <f t="shared" si="34"/>
        <v>0</v>
      </c>
      <c r="AJ52" s="277">
        <f t="shared" si="35"/>
        <v>0</v>
      </c>
      <c r="AK52" s="317">
        <f t="shared" si="53"/>
        <v>0</v>
      </c>
      <c r="AM52" s="273">
        <v>0</v>
      </c>
      <c r="AN52" s="273">
        <f t="shared" si="54"/>
        <v>0</v>
      </c>
      <c r="AO52" s="273">
        <f t="shared" si="55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2.1.14'!H49</f>
        <v>0</v>
      </c>
      <c r="D53" s="201">
        <f>+'Table 5C1A-Madison Prep'!D53</f>
        <v>2524.1485257646736</v>
      </c>
      <c r="E53" s="202">
        <f t="shared" si="36"/>
        <v>0</v>
      </c>
      <c r="F53" s="202">
        <f>+'Table 5C1A-Madison Prep'!F53</f>
        <v>910.76</v>
      </c>
      <c r="G53" s="202">
        <f t="shared" si="37"/>
        <v>0</v>
      </c>
      <c r="H53" s="345">
        <f t="shared" si="38"/>
        <v>0</v>
      </c>
      <c r="I53" s="991">
        <f>'[1]Oct midyear DArbonne'!K50</f>
        <v>0</v>
      </c>
      <c r="J53" s="203">
        <f>'[1]Feb midyear DArbonne'!K50</f>
        <v>0</v>
      </c>
      <c r="K53" s="204">
        <f t="shared" si="39"/>
        <v>0</v>
      </c>
      <c r="L53" s="345">
        <f t="shared" si="56"/>
        <v>0</v>
      </c>
      <c r="M53" s="286">
        <f t="shared" si="40"/>
        <v>0</v>
      </c>
      <c r="N53" s="345">
        <f t="shared" si="41"/>
        <v>0</v>
      </c>
      <c r="O53" s="201">
        <v>0</v>
      </c>
      <c r="P53" s="351">
        <f t="shared" si="42"/>
        <v>0</v>
      </c>
      <c r="Q53" s="203">
        <f>'[2]Table 5C1B-DArbonne'!S53+'[14]Table 5C1B-DArbonne'!S53+(6*'[20]Table 5C1B-DArbonne'!S53)</f>
        <v>0</v>
      </c>
      <c r="R53" s="203">
        <f t="shared" si="43"/>
        <v>0</v>
      </c>
      <c r="S53" s="351">
        <f t="shared" si="32"/>
        <v>0</v>
      </c>
      <c r="T53" s="362">
        <f t="shared" si="44"/>
        <v>0</v>
      </c>
      <c r="U53" s="287">
        <f>'Table 5C1A-Madison Prep'!U53</f>
        <v>11506</v>
      </c>
      <c r="V53" s="328">
        <f t="shared" si="57"/>
        <v>0</v>
      </c>
      <c r="W53" s="995">
        <f>'[1]Oct midyear DArbonne'!E50</f>
        <v>0</v>
      </c>
      <c r="X53" s="290">
        <f t="shared" si="45"/>
        <v>0</v>
      </c>
      <c r="Y53" s="289">
        <f>'[1]Feb midyear DArbonne'!E50</f>
        <v>0</v>
      </c>
      <c r="Z53" s="290">
        <f t="shared" si="46"/>
        <v>0</v>
      </c>
      <c r="AA53" s="288">
        <f t="shared" si="47"/>
        <v>0</v>
      </c>
      <c r="AB53" s="328">
        <f t="shared" si="48"/>
        <v>0</v>
      </c>
      <c r="AC53" s="292">
        <f t="shared" si="49"/>
        <v>0</v>
      </c>
      <c r="AD53" s="328">
        <f t="shared" si="50"/>
        <v>0</v>
      </c>
      <c r="AE53" s="290">
        <v>0</v>
      </c>
      <c r="AF53" s="328">
        <f t="shared" si="51"/>
        <v>0</v>
      </c>
      <c r="AG53" s="290">
        <f>'[2]Table 5C1B-DArbonne'!AI53+'[14]Table 5C1B-DArbonne'!AI53+(6*'[20]Table 5C1B-DArbonne'!AI53)</f>
        <v>0</v>
      </c>
      <c r="AH53" s="290">
        <f t="shared" si="52"/>
        <v>0</v>
      </c>
      <c r="AI53" s="328">
        <f t="shared" si="34"/>
        <v>0</v>
      </c>
      <c r="AJ53" s="291">
        <f t="shared" si="35"/>
        <v>0</v>
      </c>
      <c r="AK53" s="318">
        <f t="shared" si="53"/>
        <v>0</v>
      </c>
      <c r="AM53" s="286">
        <v>0</v>
      </c>
      <c r="AN53" s="286">
        <f t="shared" si="54"/>
        <v>0</v>
      </c>
      <c r="AO53" s="286">
        <f t="shared" si="55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2.1.14'!H50</f>
        <v>0</v>
      </c>
      <c r="D54" s="201">
        <f>+'Table 5C1A-Madison Prep'!D54</f>
        <v>3983.3582529800719</v>
      </c>
      <c r="E54" s="202">
        <f t="shared" si="36"/>
        <v>0</v>
      </c>
      <c r="F54" s="202">
        <f>+'Table 5C1A-Madison Prep'!F54</f>
        <v>871.07</v>
      </c>
      <c r="G54" s="202">
        <f t="shared" si="37"/>
        <v>0</v>
      </c>
      <c r="H54" s="345">
        <f t="shared" si="38"/>
        <v>0</v>
      </c>
      <c r="I54" s="991">
        <f>'[1]Oct midyear DArbonne'!K51</f>
        <v>0</v>
      </c>
      <c r="J54" s="203">
        <f>'[1]Feb midyear DArbonne'!K51</f>
        <v>0</v>
      </c>
      <c r="K54" s="204">
        <f t="shared" si="39"/>
        <v>0</v>
      </c>
      <c r="L54" s="345">
        <f t="shared" si="56"/>
        <v>0</v>
      </c>
      <c r="M54" s="286">
        <f t="shared" si="40"/>
        <v>0</v>
      </c>
      <c r="N54" s="345">
        <f t="shared" si="41"/>
        <v>0</v>
      </c>
      <c r="O54" s="201">
        <v>0</v>
      </c>
      <c r="P54" s="351">
        <f t="shared" si="42"/>
        <v>0</v>
      </c>
      <c r="Q54" s="203">
        <f>'[2]Table 5C1B-DArbonne'!S54+'[14]Table 5C1B-DArbonne'!S54+(6*'[20]Table 5C1B-DArbonne'!S54)</f>
        <v>0</v>
      </c>
      <c r="R54" s="203">
        <f t="shared" si="43"/>
        <v>0</v>
      </c>
      <c r="S54" s="351">
        <f t="shared" si="32"/>
        <v>0</v>
      </c>
      <c r="T54" s="362">
        <f t="shared" si="44"/>
        <v>0</v>
      </c>
      <c r="U54" s="287">
        <f>'Table 5C1A-Madison Prep'!U54</f>
        <v>6827</v>
      </c>
      <c r="V54" s="328">
        <f t="shared" si="57"/>
        <v>0</v>
      </c>
      <c r="W54" s="995">
        <f>'[1]Oct midyear DArbonne'!E51</f>
        <v>0</v>
      </c>
      <c r="X54" s="290">
        <f t="shared" si="45"/>
        <v>0</v>
      </c>
      <c r="Y54" s="289">
        <f>'[1]Feb midyear DArbonne'!E51</f>
        <v>0</v>
      </c>
      <c r="Z54" s="290">
        <f t="shared" si="46"/>
        <v>0</v>
      </c>
      <c r="AA54" s="288">
        <f t="shared" si="47"/>
        <v>0</v>
      </c>
      <c r="AB54" s="328">
        <f t="shared" si="48"/>
        <v>0</v>
      </c>
      <c r="AC54" s="292">
        <f t="shared" si="49"/>
        <v>0</v>
      </c>
      <c r="AD54" s="328">
        <f t="shared" si="50"/>
        <v>0</v>
      </c>
      <c r="AE54" s="290">
        <v>0</v>
      </c>
      <c r="AF54" s="328">
        <f t="shared" si="51"/>
        <v>0</v>
      </c>
      <c r="AG54" s="290">
        <f>'[2]Table 5C1B-DArbonne'!AI54+'[14]Table 5C1B-DArbonne'!AI54+(6*'[20]Table 5C1B-DArbonne'!AI54)</f>
        <v>0</v>
      </c>
      <c r="AH54" s="290">
        <f t="shared" si="52"/>
        <v>0</v>
      </c>
      <c r="AI54" s="328">
        <f t="shared" si="34"/>
        <v>0</v>
      </c>
      <c r="AJ54" s="291">
        <f t="shared" si="35"/>
        <v>0</v>
      </c>
      <c r="AK54" s="318">
        <f t="shared" si="53"/>
        <v>0</v>
      </c>
      <c r="AM54" s="286">
        <v>0</v>
      </c>
      <c r="AN54" s="286">
        <f t="shared" si="54"/>
        <v>0</v>
      </c>
      <c r="AO54" s="286">
        <f t="shared" si="55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2.1.14'!H51</f>
        <v>0</v>
      </c>
      <c r="D55" s="201">
        <f>+'Table 5C1A-Madison Prep'!D55</f>
        <v>4995.8755315659191</v>
      </c>
      <c r="E55" s="202">
        <f t="shared" si="36"/>
        <v>0</v>
      </c>
      <c r="F55" s="202">
        <f>+'Table 5C1A-Madison Prep'!F55</f>
        <v>574.43999999999994</v>
      </c>
      <c r="G55" s="202">
        <f t="shared" si="37"/>
        <v>0</v>
      </c>
      <c r="H55" s="345">
        <f t="shared" si="38"/>
        <v>0</v>
      </c>
      <c r="I55" s="991">
        <f>'[1]Oct midyear DArbonne'!K52</f>
        <v>0</v>
      </c>
      <c r="J55" s="203">
        <f>'[1]Feb midyear DArbonne'!K52</f>
        <v>0</v>
      </c>
      <c r="K55" s="204">
        <f t="shared" si="39"/>
        <v>0</v>
      </c>
      <c r="L55" s="345">
        <f t="shared" si="56"/>
        <v>0</v>
      </c>
      <c r="M55" s="286">
        <f t="shared" si="40"/>
        <v>0</v>
      </c>
      <c r="N55" s="345">
        <f t="shared" si="41"/>
        <v>0</v>
      </c>
      <c r="O55" s="201">
        <v>0</v>
      </c>
      <c r="P55" s="351">
        <f t="shared" si="42"/>
        <v>0</v>
      </c>
      <c r="Q55" s="203">
        <f>'[2]Table 5C1B-DArbonne'!S55+'[14]Table 5C1B-DArbonne'!S55+(6*'[20]Table 5C1B-DArbonne'!S55)</f>
        <v>0</v>
      </c>
      <c r="R55" s="203">
        <f t="shared" si="43"/>
        <v>0</v>
      </c>
      <c r="S55" s="351">
        <f t="shared" si="32"/>
        <v>0</v>
      </c>
      <c r="T55" s="362">
        <f t="shared" si="44"/>
        <v>0</v>
      </c>
      <c r="U55" s="287">
        <f>'Table 5C1A-Madison Prep'!U55</f>
        <v>2399</v>
      </c>
      <c r="V55" s="328">
        <f t="shared" si="57"/>
        <v>0</v>
      </c>
      <c r="W55" s="995">
        <f>'[1]Oct midyear DArbonne'!E52</f>
        <v>0</v>
      </c>
      <c r="X55" s="290">
        <f t="shared" si="45"/>
        <v>0</v>
      </c>
      <c r="Y55" s="289">
        <f>'[1]Feb midyear DArbonne'!E52</f>
        <v>0</v>
      </c>
      <c r="Z55" s="290">
        <f t="shared" si="46"/>
        <v>0</v>
      </c>
      <c r="AA55" s="288">
        <f t="shared" si="47"/>
        <v>0</v>
      </c>
      <c r="AB55" s="328">
        <f t="shared" si="48"/>
        <v>0</v>
      </c>
      <c r="AC55" s="292">
        <f t="shared" si="49"/>
        <v>0</v>
      </c>
      <c r="AD55" s="328">
        <f t="shared" si="50"/>
        <v>0</v>
      </c>
      <c r="AE55" s="290">
        <v>0</v>
      </c>
      <c r="AF55" s="328">
        <f t="shared" si="51"/>
        <v>0</v>
      </c>
      <c r="AG55" s="290">
        <f>'[2]Table 5C1B-DArbonne'!AI55+'[14]Table 5C1B-DArbonne'!AI55+(6*'[20]Table 5C1B-DArbonne'!AI55)</f>
        <v>0</v>
      </c>
      <c r="AH55" s="290">
        <f t="shared" si="52"/>
        <v>0</v>
      </c>
      <c r="AI55" s="328">
        <f t="shared" si="34"/>
        <v>0</v>
      </c>
      <c r="AJ55" s="291">
        <f t="shared" si="35"/>
        <v>0</v>
      </c>
      <c r="AK55" s="318">
        <f t="shared" si="53"/>
        <v>0</v>
      </c>
      <c r="AM55" s="286">
        <v>0</v>
      </c>
      <c r="AN55" s="286">
        <f t="shared" si="54"/>
        <v>0</v>
      </c>
      <c r="AO55" s="286">
        <f t="shared" si="55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2.1.14'!H52</f>
        <v>0</v>
      </c>
      <c r="D56" s="194">
        <f>+'Table 5C1A-Madison Prep'!D56</f>
        <v>5177.6892722701677</v>
      </c>
      <c r="E56" s="195">
        <f t="shared" si="36"/>
        <v>0</v>
      </c>
      <c r="F56" s="195">
        <f>+'Table 5C1A-Madison Prep'!F56</f>
        <v>634.46</v>
      </c>
      <c r="G56" s="195">
        <f t="shared" si="37"/>
        <v>0</v>
      </c>
      <c r="H56" s="346">
        <f t="shared" si="38"/>
        <v>0</v>
      </c>
      <c r="I56" s="992">
        <f>'[1]Oct midyear DArbonne'!K53</f>
        <v>0</v>
      </c>
      <c r="J56" s="196">
        <f>'[1]Feb midyear DArbonne'!K53</f>
        <v>0</v>
      </c>
      <c r="K56" s="197">
        <f t="shared" si="39"/>
        <v>0</v>
      </c>
      <c r="L56" s="346">
        <f t="shared" si="56"/>
        <v>0</v>
      </c>
      <c r="M56" s="296">
        <f t="shared" si="40"/>
        <v>0</v>
      </c>
      <c r="N56" s="346">
        <f t="shared" si="41"/>
        <v>0</v>
      </c>
      <c r="O56" s="194">
        <v>0</v>
      </c>
      <c r="P56" s="352">
        <f t="shared" si="42"/>
        <v>0</v>
      </c>
      <c r="Q56" s="622">
        <f>'[2]Table 5C1B-DArbonne'!S56+'[14]Table 5C1B-DArbonne'!S56+(6*'[20]Table 5C1B-DArbonne'!S56)</f>
        <v>0</v>
      </c>
      <c r="R56" s="196">
        <f t="shared" si="43"/>
        <v>0</v>
      </c>
      <c r="S56" s="356">
        <f t="shared" si="32"/>
        <v>0</v>
      </c>
      <c r="T56" s="356">
        <f t="shared" si="44"/>
        <v>0</v>
      </c>
      <c r="U56" s="281">
        <f>'Table 5C1A-Madison Prep'!U56</f>
        <v>3413</v>
      </c>
      <c r="V56" s="329">
        <f t="shared" si="57"/>
        <v>0</v>
      </c>
      <c r="W56" s="996">
        <f>'[1]Oct midyear DArbonne'!E53</f>
        <v>0</v>
      </c>
      <c r="X56" s="282">
        <f t="shared" si="45"/>
        <v>0</v>
      </c>
      <c r="Y56" s="884">
        <f>'[1]Feb midyear DArbonne'!E53</f>
        <v>0</v>
      </c>
      <c r="Z56" s="282">
        <f t="shared" si="46"/>
        <v>0</v>
      </c>
      <c r="AA56" s="283">
        <f t="shared" si="47"/>
        <v>0</v>
      </c>
      <c r="AB56" s="329">
        <f t="shared" si="48"/>
        <v>0</v>
      </c>
      <c r="AC56" s="298">
        <f t="shared" si="49"/>
        <v>0</v>
      </c>
      <c r="AD56" s="329">
        <f t="shared" si="50"/>
        <v>0</v>
      </c>
      <c r="AE56" s="282">
        <v>0</v>
      </c>
      <c r="AF56" s="329">
        <f t="shared" si="51"/>
        <v>0</v>
      </c>
      <c r="AG56" s="282">
        <f>'[2]Table 5C1B-DArbonne'!AI56+'[14]Table 5C1B-DArbonne'!AI56+(6*'[20]Table 5C1B-DArbonne'!AI56)</f>
        <v>0</v>
      </c>
      <c r="AH56" s="282">
        <f t="shared" si="52"/>
        <v>0</v>
      </c>
      <c r="AI56" s="329">
        <f t="shared" si="34"/>
        <v>0</v>
      </c>
      <c r="AJ56" s="297">
        <f t="shared" si="35"/>
        <v>0</v>
      </c>
      <c r="AK56" s="319">
        <f t="shared" si="53"/>
        <v>0</v>
      </c>
      <c r="AM56" s="296">
        <v>0</v>
      </c>
      <c r="AN56" s="296">
        <f t="shared" si="54"/>
        <v>0</v>
      </c>
      <c r="AO56" s="296">
        <f t="shared" si="55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2.1.14'!H53</f>
        <v>0</v>
      </c>
      <c r="D57" s="208">
        <f>+'Table 5C1A-Madison Prep'!D57</f>
        <v>4154.1928602178996</v>
      </c>
      <c r="E57" s="209">
        <f t="shared" si="36"/>
        <v>0</v>
      </c>
      <c r="F57" s="209">
        <f>+'Table 5C1A-Madison Prep'!F57</f>
        <v>706.66</v>
      </c>
      <c r="G57" s="209">
        <f t="shared" si="37"/>
        <v>0</v>
      </c>
      <c r="H57" s="344">
        <f t="shared" si="38"/>
        <v>0</v>
      </c>
      <c r="I57" s="990">
        <f>'[1]Oct midyear DArbonne'!K54</f>
        <v>0</v>
      </c>
      <c r="J57" s="210">
        <f>'[1]Feb midyear DArbonne'!K54</f>
        <v>0</v>
      </c>
      <c r="K57" s="211">
        <f t="shared" si="39"/>
        <v>0</v>
      </c>
      <c r="L57" s="344">
        <f t="shared" si="56"/>
        <v>0</v>
      </c>
      <c r="M57" s="273">
        <f t="shared" si="40"/>
        <v>0</v>
      </c>
      <c r="N57" s="344">
        <f t="shared" si="41"/>
        <v>0</v>
      </c>
      <c r="O57" s="208">
        <v>0</v>
      </c>
      <c r="P57" s="350">
        <f t="shared" si="42"/>
        <v>0</v>
      </c>
      <c r="Q57" s="210">
        <f>'[2]Table 5C1B-DArbonne'!S57+'[14]Table 5C1B-DArbonne'!S57+(6*'[20]Table 5C1B-DArbonne'!S57)</f>
        <v>0</v>
      </c>
      <c r="R57" s="210">
        <f t="shared" si="43"/>
        <v>0</v>
      </c>
      <c r="S57" s="350">
        <f t="shared" si="32"/>
        <v>0</v>
      </c>
      <c r="T57" s="361">
        <f t="shared" si="44"/>
        <v>0</v>
      </c>
      <c r="U57" s="274">
        <f>'Table 5C1A-Madison Prep'!U57</f>
        <v>4512</v>
      </c>
      <c r="V57" s="327">
        <f t="shared" si="57"/>
        <v>0</v>
      </c>
      <c r="W57" s="994">
        <f>'[1]Oct midyear DArbonne'!E54</f>
        <v>0</v>
      </c>
      <c r="X57" s="276">
        <f t="shared" si="45"/>
        <v>0</v>
      </c>
      <c r="Y57" s="883">
        <f>'[1]Feb midyear DArbonne'!E54</f>
        <v>0</v>
      </c>
      <c r="Z57" s="276">
        <f t="shared" si="46"/>
        <v>0</v>
      </c>
      <c r="AA57" s="275">
        <f t="shared" si="47"/>
        <v>0</v>
      </c>
      <c r="AB57" s="327">
        <f t="shared" si="48"/>
        <v>0</v>
      </c>
      <c r="AC57" s="278">
        <f t="shared" si="49"/>
        <v>0</v>
      </c>
      <c r="AD57" s="327">
        <f t="shared" si="50"/>
        <v>0</v>
      </c>
      <c r="AE57" s="276">
        <v>0</v>
      </c>
      <c r="AF57" s="327">
        <f t="shared" si="51"/>
        <v>0</v>
      </c>
      <c r="AG57" s="276">
        <f>'[2]Table 5C1B-DArbonne'!AI57+'[14]Table 5C1B-DArbonne'!AI57+(6*'[20]Table 5C1B-DArbonne'!AI57)</f>
        <v>0</v>
      </c>
      <c r="AH57" s="276">
        <f t="shared" si="52"/>
        <v>0</v>
      </c>
      <c r="AI57" s="327">
        <f t="shared" si="34"/>
        <v>0</v>
      </c>
      <c r="AJ57" s="277">
        <f t="shared" si="35"/>
        <v>0</v>
      </c>
      <c r="AK57" s="317">
        <f t="shared" si="53"/>
        <v>0</v>
      </c>
      <c r="AM57" s="273">
        <v>0</v>
      </c>
      <c r="AN57" s="273">
        <f t="shared" si="54"/>
        <v>0</v>
      </c>
      <c r="AO57" s="273">
        <f t="shared" si="55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2.1.14'!H54</f>
        <v>0</v>
      </c>
      <c r="D58" s="201">
        <f>+'Table 5C1A-Madison Prep'!D58</f>
        <v>5062.2745845228173</v>
      </c>
      <c r="E58" s="202">
        <f t="shared" si="36"/>
        <v>0</v>
      </c>
      <c r="F58" s="202">
        <f>+'Table 5C1A-Madison Prep'!F58</f>
        <v>658.37</v>
      </c>
      <c r="G58" s="202">
        <f t="shared" si="37"/>
        <v>0</v>
      </c>
      <c r="H58" s="345">
        <f t="shared" si="38"/>
        <v>0</v>
      </c>
      <c r="I58" s="991">
        <f>'[1]Oct midyear DArbonne'!K55</f>
        <v>0</v>
      </c>
      <c r="J58" s="203">
        <f>'[1]Feb midyear DArbonne'!K55</f>
        <v>0</v>
      </c>
      <c r="K58" s="204">
        <f t="shared" si="39"/>
        <v>0</v>
      </c>
      <c r="L58" s="345">
        <f t="shared" si="56"/>
        <v>0</v>
      </c>
      <c r="M58" s="286">
        <f t="shared" si="40"/>
        <v>0</v>
      </c>
      <c r="N58" s="345">
        <f t="shared" si="41"/>
        <v>0</v>
      </c>
      <c r="O58" s="201">
        <v>0</v>
      </c>
      <c r="P58" s="351">
        <f t="shared" si="42"/>
        <v>0</v>
      </c>
      <c r="Q58" s="203">
        <f>'[2]Table 5C1B-DArbonne'!S58+'[14]Table 5C1B-DArbonne'!S58+(6*'[20]Table 5C1B-DArbonne'!S58)</f>
        <v>0</v>
      </c>
      <c r="R58" s="203">
        <f t="shared" si="43"/>
        <v>0</v>
      </c>
      <c r="S58" s="351">
        <f t="shared" si="32"/>
        <v>0</v>
      </c>
      <c r="T58" s="362">
        <f t="shared" si="44"/>
        <v>0</v>
      </c>
      <c r="U58" s="287">
        <f>'Table 5C1A-Madison Prep'!U58</f>
        <v>5289</v>
      </c>
      <c r="V58" s="328">
        <f t="shared" si="57"/>
        <v>0</v>
      </c>
      <c r="W58" s="995">
        <f>'[1]Oct midyear DArbonne'!E55</f>
        <v>0</v>
      </c>
      <c r="X58" s="290">
        <f t="shared" si="45"/>
        <v>0</v>
      </c>
      <c r="Y58" s="289">
        <f>'[1]Feb midyear DArbonne'!E55</f>
        <v>0</v>
      </c>
      <c r="Z58" s="290">
        <f t="shared" si="46"/>
        <v>0</v>
      </c>
      <c r="AA58" s="288">
        <f t="shared" si="47"/>
        <v>0</v>
      </c>
      <c r="AB58" s="328">
        <f t="shared" si="48"/>
        <v>0</v>
      </c>
      <c r="AC58" s="292">
        <f t="shared" si="49"/>
        <v>0</v>
      </c>
      <c r="AD58" s="328">
        <f t="shared" si="50"/>
        <v>0</v>
      </c>
      <c r="AE58" s="290">
        <v>0</v>
      </c>
      <c r="AF58" s="328">
        <f t="shared" si="51"/>
        <v>0</v>
      </c>
      <c r="AG58" s="290">
        <f>'[2]Table 5C1B-DArbonne'!AI58+'[14]Table 5C1B-DArbonne'!AI58+(6*'[20]Table 5C1B-DArbonne'!AI58)</f>
        <v>0</v>
      </c>
      <c r="AH58" s="290">
        <f t="shared" si="52"/>
        <v>0</v>
      </c>
      <c r="AI58" s="328">
        <f t="shared" si="34"/>
        <v>0</v>
      </c>
      <c r="AJ58" s="291">
        <f t="shared" si="35"/>
        <v>0</v>
      </c>
      <c r="AK58" s="318">
        <f t="shared" si="53"/>
        <v>0</v>
      </c>
      <c r="AM58" s="286">
        <v>0</v>
      </c>
      <c r="AN58" s="286">
        <f t="shared" si="54"/>
        <v>0</v>
      </c>
      <c r="AO58" s="286">
        <f t="shared" si="55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2.1.14'!H55</f>
        <v>0</v>
      </c>
      <c r="D59" s="201">
        <f>+'Table 5C1A-Madison Prep'!D59</f>
        <v>5060.1508194045482</v>
      </c>
      <c r="E59" s="202">
        <f t="shared" si="36"/>
        <v>0</v>
      </c>
      <c r="F59" s="202">
        <f>+'Table 5C1A-Madison Prep'!F59</f>
        <v>689.74</v>
      </c>
      <c r="G59" s="202">
        <f t="shared" si="37"/>
        <v>0</v>
      </c>
      <c r="H59" s="345">
        <f t="shared" si="38"/>
        <v>0</v>
      </c>
      <c r="I59" s="991">
        <f>'[1]Oct midyear DArbonne'!K56</f>
        <v>0</v>
      </c>
      <c r="J59" s="203">
        <f>'[1]Feb midyear DArbonne'!K56</f>
        <v>0</v>
      </c>
      <c r="K59" s="204">
        <f t="shared" si="39"/>
        <v>0</v>
      </c>
      <c r="L59" s="345">
        <f t="shared" si="56"/>
        <v>0</v>
      </c>
      <c r="M59" s="286">
        <f t="shared" si="40"/>
        <v>0</v>
      </c>
      <c r="N59" s="345">
        <f t="shared" si="41"/>
        <v>0</v>
      </c>
      <c r="O59" s="201">
        <v>0</v>
      </c>
      <c r="P59" s="351">
        <f t="shared" si="42"/>
        <v>0</v>
      </c>
      <c r="Q59" s="203">
        <f>'[2]Table 5C1B-DArbonne'!S59+'[14]Table 5C1B-DArbonne'!S59+(6*'[20]Table 5C1B-DArbonne'!S59)</f>
        <v>0</v>
      </c>
      <c r="R59" s="203">
        <f t="shared" si="43"/>
        <v>0</v>
      </c>
      <c r="S59" s="351">
        <f t="shared" si="32"/>
        <v>0</v>
      </c>
      <c r="T59" s="362">
        <f t="shared" si="44"/>
        <v>0</v>
      </c>
      <c r="U59" s="287">
        <f>'Table 5C1A-Madison Prep'!U59</f>
        <v>2101</v>
      </c>
      <c r="V59" s="328">
        <f t="shared" si="57"/>
        <v>0</v>
      </c>
      <c r="W59" s="995">
        <f>'[1]Oct midyear DArbonne'!E56</f>
        <v>0</v>
      </c>
      <c r="X59" s="290">
        <f t="shared" si="45"/>
        <v>0</v>
      </c>
      <c r="Y59" s="289">
        <f>'[1]Feb midyear DArbonne'!E56</f>
        <v>0</v>
      </c>
      <c r="Z59" s="290">
        <f t="shared" si="46"/>
        <v>0</v>
      </c>
      <c r="AA59" s="288">
        <f t="shared" si="47"/>
        <v>0</v>
      </c>
      <c r="AB59" s="328">
        <f t="shared" si="48"/>
        <v>0</v>
      </c>
      <c r="AC59" s="292">
        <f t="shared" si="49"/>
        <v>0</v>
      </c>
      <c r="AD59" s="328">
        <f t="shared" si="50"/>
        <v>0</v>
      </c>
      <c r="AE59" s="290">
        <v>0</v>
      </c>
      <c r="AF59" s="328">
        <f t="shared" si="51"/>
        <v>0</v>
      </c>
      <c r="AG59" s="290">
        <f>'[2]Table 5C1B-DArbonne'!AI59+'[14]Table 5C1B-DArbonne'!AI59+(6*'[20]Table 5C1B-DArbonne'!AI59)</f>
        <v>0</v>
      </c>
      <c r="AH59" s="290">
        <f t="shared" si="52"/>
        <v>0</v>
      </c>
      <c r="AI59" s="328">
        <f t="shared" si="34"/>
        <v>0</v>
      </c>
      <c r="AJ59" s="291">
        <f t="shared" si="35"/>
        <v>0</v>
      </c>
      <c r="AK59" s="318">
        <f t="shared" si="53"/>
        <v>0</v>
      </c>
      <c r="AM59" s="286">
        <v>0</v>
      </c>
      <c r="AN59" s="286">
        <f t="shared" si="54"/>
        <v>0</v>
      </c>
      <c r="AO59" s="286">
        <f t="shared" si="55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2.1.14'!H56</f>
        <v>0</v>
      </c>
      <c r="D60" s="201">
        <f>+'Table 5C1A-Madison Prep'!D60</f>
        <v>5867.0798370516713</v>
      </c>
      <c r="E60" s="202">
        <f t="shared" si="36"/>
        <v>0</v>
      </c>
      <c r="F60" s="202">
        <f>+'Table 5C1A-Madison Prep'!F60</f>
        <v>951.45</v>
      </c>
      <c r="G60" s="202">
        <f t="shared" si="37"/>
        <v>0</v>
      </c>
      <c r="H60" s="345">
        <f t="shared" si="38"/>
        <v>0</v>
      </c>
      <c r="I60" s="991">
        <f>'[1]Oct midyear DArbonne'!K57</f>
        <v>0</v>
      </c>
      <c r="J60" s="203">
        <f>'[1]Feb midyear DArbonne'!K57</f>
        <v>0</v>
      </c>
      <c r="K60" s="204">
        <f t="shared" si="39"/>
        <v>0</v>
      </c>
      <c r="L60" s="345">
        <f t="shared" si="56"/>
        <v>0</v>
      </c>
      <c r="M60" s="286">
        <f t="shared" si="40"/>
        <v>0</v>
      </c>
      <c r="N60" s="345">
        <f t="shared" si="41"/>
        <v>0</v>
      </c>
      <c r="O60" s="201">
        <v>0</v>
      </c>
      <c r="P60" s="351">
        <f t="shared" si="42"/>
        <v>0</v>
      </c>
      <c r="Q60" s="203">
        <f>'[2]Table 5C1B-DArbonne'!S60+'[14]Table 5C1B-DArbonne'!S60+(6*'[20]Table 5C1B-DArbonne'!S60)</f>
        <v>0</v>
      </c>
      <c r="R60" s="203">
        <f t="shared" si="43"/>
        <v>0</v>
      </c>
      <c r="S60" s="351">
        <f t="shared" si="32"/>
        <v>0</v>
      </c>
      <c r="T60" s="362">
        <f t="shared" si="44"/>
        <v>0</v>
      </c>
      <c r="U60" s="287">
        <f>'Table 5C1A-Madison Prep'!U60</f>
        <v>4150</v>
      </c>
      <c r="V60" s="328">
        <f t="shared" si="57"/>
        <v>0</v>
      </c>
      <c r="W60" s="995">
        <f>'[1]Oct midyear DArbonne'!E57</f>
        <v>0</v>
      </c>
      <c r="X60" s="290">
        <f t="shared" si="45"/>
        <v>0</v>
      </c>
      <c r="Y60" s="289">
        <f>'[1]Feb midyear DArbonne'!E57</f>
        <v>0</v>
      </c>
      <c r="Z60" s="290">
        <f t="shared" si="46"/>
        <v>0</v>
      </c>
      <c r="AA60" s="288">
        <f t="shared" si="47"/>
        <v>0</v>
      </c>
      <c r="AB60" s="328">
        <f t="shared" si="48"/>
        <v>0</v>
      </c>
      <c r="AC60" s="292">
        <f t="shared" si="49"/>
        <v>0</v>
      </c>
      <c r="AD60" s="328">
        <f t="shared" si="50"/>
        <v>0</v>
      </c>
      <c r="AE60" s="290">
        <v>0</v>
      </c>
      <c r="AF60" s="328">
        <f t="shared" si="51"/>
        <v>0</v>
      </c>
      <c r="AG60" s="290">
        <f>'[2]Table 5C1B-DArbonne'!AI60+'[14]Table 5C1B-DArbonne'!AI60+(6*'[20]Table 5C1B-DArbonne'!AI60)</f>
        <v>0</v>
      </c>
      <c r="AH60" s="290">
        <f t="shared" si="52"/>
        <v>0</v>
      </c>
      <c r="AI60" s="328">
        <f t="shared" si="34"/>
        <v>0</v>
      </c>
      <c r="AJ60" s="291">
        <f t="shared" si="35"/>
        <v>0</v>
      </c>
      <c r="AK60" s="318">
        <f t="shared" si="53"/>
        <v>0</v>
      </c>
      <c r="AM60" s="286">
        <v>0</v>
      </c>
      <c r="AN60" s="286">
        <f t="shared" si="54"/>
        <v>0</v>
      </c>
      <c r="AO60" s="286">
        <f t="shared" si="55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2.1.14'!H57</f>
        <v>0</v>
      </c>
      <c r="D61" s="194">
        <f>+'Table 5C1A-Madison Prep'!D61</f>
        <v>4266.8225491298481</v>
      </c>
      <c r="E61" s="195">
        <f t="shared" si="36"/>
        <v>0</v>
      </c>
      <c r="F61" s="195">
        <f>+'Table 5C1A-Madison Prep'!F61</f>
        <v>795.14</v>
      </c>
      <c r="G61" s="195">
        <f t="shared" si="37"/>
        <v>0</v>
      </c>
      <c r="H61" s="346">
        <f t="shared" si="38"/>
        <v>0</v>
      </c>
      <c r="I61" s="992">
        <f>'[1]Oct midyear DArbonne'!K58</f>
        <v>0</v>
      </c>
      <c r="J61" s="196">
        <f>'[1]Feb midyear DArbonne'!K58</f>
        <v>0</v>
      </c>
      <c r="K61" s="197">
        <f t="shared" si="39"/>
        <v>0</v>
      </c>
      <c r="L61" s="346">
        <f t="shared" si="56"/>
        <v>0</v>
      </c>
      <c r="M61" s="296">
        <f t="shared" si="40"/>
        <v>0</v>
      </c>
      <c r="N61" s="346">
        <f t="shared" si="41"/>
        <v>0</v>
      </c>
      <c r="O61" s="194">
        <v>0</v>
      </c>
      <c r="P61" s="352">
        <f t="shared" si="42"/>
        <v>0</v>
      </c>
      <c r="Q61" s="622">
        <f>'[2]Table 5C1B-DArbonne'!S61+'[14]Table 5C1B-DArbonne'!S61+(6*'[20]Table 5C1B-DArbonne'!S61)</f>
        <v>0</v>
      </c>
      <c r="R61" s="196">
        <f t="shared" si="43"/>
        <v>0</v>
      </c>
      <c r="S61" s="356">
        <f t="shared" si="32"/>
        <v>0</v>
      </c>
      <c r="T61" s="356">
        <f t="shared" si="44"/>
        <v>0</v>
      </c>
      <c r="U61" s="281">
        <f>'Table 5C1A-Madison Prep'!U61</f>
        <v>3637</v>
      </c>
      <c r="V61" s="329">
        <f t="shared" si="57"/>
        <v>0</v>
      </c>
      <c r="W61" s="996">
        <f>'[1]Oct midyear DArbonne'!E58</f>
        <v>0</v>
      </c>
      <c r="X61" s="282">
        <f t="shared" si="45"/>
        <v>0</v>
      </c>
      <c r="Y61" s="884">
        <f>'[1]Feb midyear DArbonne'!E58</f>
        <v>0</v>
      </c>
      <c r="Z61" s="282">
        <f t="shared" si="46"/>
        <v>0</v>
      </c>
      <c r="AA61" s="283">
        <f t="shared" si="47"/>
        <v>0</v>
      </c>
      <c r="AB61" s="329">
        <f t="shared" si="48"/>
        <v>0</v>
      </c>
      <c r="AC61" s="298">
        <f t="shared" si="49"/>
        <v>0</v>
      </c>
      <c r="AD61" s="329">
        <f t="shared" si="50"/>
        <v>0</v>
      </c>
      <c r="AE61" s="282">
        <v>0</v>
      </c>
      <c r="AF61" s="329">
        <f t="shared" si="51"/>
        <v>0</v>
      </c>
      <c r="AG61" s="282">
        <f>'[2]Table 5C1B-DArbonne'!AI61+'[14]Table 5C1B-DArbonne'!AI61+(6*'[20]Table 5C1B-DArbonne'!AI61)</f>
        <v>0</v>
      </c>
      <c r="AH61" s="282">
        <f t="shared" si="52"/>
        <v>0</v>
      </c>
      <c r="AI61" s="329">
        <f t="shared" si="34"/>
        <v>0</v>
      </c>
      <c r="AJ61" s="297">
        <f t="shared" si="35"/>
        <v>0</v>
      </c>
      <c r="AK61" s="319">
        <f t="shared" si="53"/>
        <v>0</v>
      </c>
      <c r="AM61" s="296">
        <v>0</v>
      </c>
      <c r="AN61" s="296">
        <f t="shared" si="54"/>
        <v>0</v>
      </c>
      <c r="AO61" s="296">
        <f t="shared" si="55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2.1.14'!H58</f>
        <v>684</v>
      </c>
      <c r="D62" s="208">
        <f>+'Table 5C1A-Madison Prep'!D62</f>
        <v>5028.4909408288286</v>
      </c>
      <c r="E62" s="209">
        <f t="shared" si="36"/>
        <v>3439487.8035269189</v>
      </c>
      <c r="F62" s="209">
        <f>+'Table 5C1A-Madison Prep'!F62</f>
        <v>614.66000000000008</v>
      </c>
      <c r="G62" s="209">
        <f t="shared" si="37"/>
        <v>420427.44000000006</v>
      </c>
      <c r="H62" s="344">
        <f t="shared" si="38"/>
        <v>3859915.2435269188</v>
      </c>
      <c r="I62" s="990">
        <f>'[1]Oct midyear DArbonne'!K59</f>
        <v>479667.82997045043</v>
      </c>
      <c r="J62" s="210">
        <f>'[1]Feb midyear DArbonne'!K59</f>
        <v>-84647.264112432429</v>
      </c>
      <c r="K62" s="211">
        <f t="shared" si="39"/>
        <v>395020.565858018</v>
      </c>
      <c r="L62" s="344">
        <f t="shared" si="56"/>
        <v>4254935.8093849365</v>
      </c>
      <c r="M62" s="273">
        <f t="shared" si="40"/>
        <v>-10637.339523462342</v>
      </c>
      <c r="N62" s="344">
        <f t="shared" si="41"/>
        <v>4244298.4698614739</v>
      </c>
      <c r="O62" s="208">
        <v>0</v>
      </c>
      <c r="P62" s="350">
        <f t="shared" si="42"/>
        <v>4244298.4698614739</v>
      </c>
      <c r="Q62" s="210">
        <f>'[2]Table 5C1B-DArbonne'!S62+'[14]Table 5C1B-DArbonne'!S62+(6*'[20]Table 5C1B-DArbonne'!S62)</f>
        <v>2898341</v>
      </c>
      <c r="R62" s="210">
        <f t="shared" si="43"/>
        <v>1345957.4698614739</v>
      </c>
      <c r="S62" s="350">
        <f t="shared" si="32"/>
        <v>336489</v>
      </c>
      <c r="T62" s="361">
        <f t="shared" si="44"/>
        <v>4244298.4698614739</v>
      </c>
      <c r="U62" s="274">
        <f>'Table 5C1A-Madison Prep'!U62</f>
        <v>2857</v>
      </c>
      <c r="V62" s="327">
        <f t="shared" si="57"/>
        <v>1954188</v>
      </c>
      <c r="W62" s="994">
        <f>'[1]Oct midyear DArbonne'!E59</f>
        <v>85</v>
      </c>
      <c r="X62" s="276">
        <f t="shared" si="45"/>
        <v>242845</v>
      </c>
      <c r="Y62" s="883">
        <f>'[1]Feb midyear DArbonne'!E59</f>
        <v>-30</v>
      </c>
      <c r="Z62" s="276">
        <f t="shared" si="46"/>
        <v>-42855</v>
      </c>
      <c r="AA62" s="275">
        <f t="shared" si="47"/>
        <v>199990</v>
      </c>
      <c r="AB62" s="327">
        <f t="shared" si="48"/>
        <v>2154178</v>
      </c>
      <c r="AC62" s="278">
        <f t="shared" si="49"/>
        <v>-5385.4449999999997</v>
      </c>
      <c r="AD62" s="327">
        <f t="shared" si="50"/>
        <v>2148792.5550000002</v>
      </c>
      <c r="AE62" s="276">
        <v>0</v>
      </c>
      <c r="AF62" s="327">
        <f t="shared" si="51"/>
        <v>2148792.5550000002</v>
      </c>
      <c r="AG62" s="276">
        <f>'[2]Table 5C1B-DArbonne'!AI62+'[14]Table 5C1B-DArbonne'!AI62+(6*'[20]Table 5C1B-DArbonne'!AI62)</f>
        <v>1471473</v>
      </c>
      <c r="AH62" s="276">
        <f t="shared" si="52"/>
        <v>677319.55500000017</v>
      </c>
      <c r="AI62" s="327">
        <f t="shared" si="34"/>
        <v>169330</v>
      </c>
      <c r="AJ62" s="277">
        <f t="shared" si="35"/>
        <v>6393091.0248614736</v>
      </c>
      <c r="AK62" s="317">
        <f t="shared" si="53"/>
        <v>505819</v>
      </c>
      <c r="AM62" s="273">
        <v>-4899.1500000000005</v>
      </c>
      <c r="AN62" s="273">
        <f t="shared" si="54"/>
        <v>-5385.4449999999997</v>
      </c>
      <c r="AO62" s="273">
        <f t="shared" si="55"/>
        <v>-486.29499999999916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2.1.14'!H59</f>
        <v>0</v>
      </c>
      <c r="D63" s="201">
        <f>+'Table 5C1A-Madison Prep'!D63</f>
        <v>4625.9922979230687</v>
      </c>
      <c r="E63" s="202">
        <f t="shared" si="36"/>
        <v>0</v>
      </c>
      <c r="F63" s="202">
        <f>+'Table 5C1A-Madison Prep'!F63</f>
        <v>764.51</v>
      </c>
      <c r="G63" s="202">
        <f t="shared" si="37"/>
        <v>0</v>
      </c>
      <c r="H63" s="345">
        <f t="shared" si="38"/>
        <v>0</v>
      </c>
      <c r="I63" s="991">
        <f>'[1]Oct midyear DArbonne'!K60</f>
        <v>0</v>
      </c>
      <c r="J63" s="203">
        <f>'[1]Feb midyear DArbonne'!K60</f>
        <v>0</v>
      </c>
      <c r="K63" s="204">
        <f t="shared" si="39"/>
        <v>0</v>
      </c>
      <c r="L63" s="345">
        <f t="shared" si="56"/>
        <v>0</v>
      </c>
      <c r="M63" s="286">
        <f t="shared" si="40"/>
        <v>0</v>
      </c>
      <c r="N63" s="345">
        <f t="shared" si="41"/>
        <v>0</v>
      </c>
      <c r="O63" s="201">
        <v>0</v>
      </c>
      <c r="P63" s="351">
        <f t="shared" si="42"/>
        <v>0</v>
      </c>
      <c r="Q63" s="203">
        <f>'[2]Table 5C1B-DArbonne'!S63+'[14]Table 5C1B-DArbonne'!S63+(6*'[20]Table 5C1B-DArbonne'!S63)</f>
        <v>0</v>
      </c>
      <c r="R63" s="203">
        <f t="shared" si="43"/>
        <v>0</v>
      </c>
      <c r="S63" s="351">
        <f t="shared" si="32"/>
        <v>0</v>
      </c>
      <c r="T63" s="362">
        <f t="shared" si="44"/>
        <v>0</v>
      </c>
      <c r="U63" s="287">
        <f>'Table 5C1A-Madison Prep'!U63</f>
        <v>3465</v>
      </c>
      <c r="V63" s="328">
        <f t="shared" si="57"/>
        <v>0</v>
      </c>
      <c r="W63" s="995">
        <f>'[1]Oct midyear DArbonne'!E60</f>
        <v>0</v>
      </c>
      <c r="X63" s="290">
        <f t="shared" si="45"/>
        <v>0</v>
      </c>
      <c r="Y63" s="289">
        <f>'[1]Feb midyear DArbonne'!E60</f>
        <v>0</v>
      </c>
      <c r="Z63" s="290">
        <f t="shared" si="46"/>
        <v>0</v>
      </c>
      <c r="AA63" s="288">
        <f t="shared" si="47"/>
        <v>0</v>
      </c>
      <c r="AB63" s="328">
        <f t="shared" si="48"/>
        <v>0</v>
      </c>
      <c r="AC63" s="292">
        <f t="shared" si="49"/>
        <v>0</v>
      </c>
      <c r="AD63" s="328">
        <f t="shared" si="50"/>
        <v>0</v>
      </c>
      <c r="AE63" s="290">
        <v>0</v>
      </c>
      <c r="AF63" s="328">
        <f t="shared" si="51"/>
        <v>0</v>
      </c>
      <c r="AG63" s="290">
        <f>'[2]Table 5C1B-DArbonne'!AI63+'[14]Table 5C1B-DArbonne'!AI63+(6*'[20]Table 5C1B-DArbonne'!AI63)</f>
        <v>0</v>
      </c>
      <c r="AH63" s="290">
        <f t="shared" si="52"/>
        <v>0</v>
      </c>
      <c r="AI63" s="328">
        <f t="shared" si="34"/>
        <v>0</v>
      </c>
      <c r="AJ63" s="291">
        <f t="shared" si="35"/>
        <v>0</v>
      </c>
      <c r="AK63" s="318">
        <f t="shared" si="53"/>
        <v>0</v>
      </c>
      <c r="AM63" s="286">
        <v>0</v>
      </c>
      <c r="AN63" s="286">
        <f t="shared" si="54"/>
        <v>0</v>
      </c>
      <c r="AO63" s="286">
        <f t="shared" si="55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2.1.14'!H60</f>
        <v>0</v>
      </c>
      <c r="D64" s="201">
        <f>+'Table 5C1A-Madison Prep'!D64</f>
        <v>5673.1129637882123</v>
      </c>
      <c r="E64" s="202">
        <f t="shared" si="36"/>
        <v>0</v>
      </c>
      <c r="F64" s="202">
        <f>+'Table 5C1A-Madison Prep'!F64</f>
        <v>697.04</v>
      </c>
      <c r="G64" s="202">
        <f t="shared" si="37"/>
        <v>0</v>
      </c>
      <c r="H64" s="345">
        <f t="shared" si="38"/>
        <v>0</v>
      </c>
      <c r="I64" s="991">
        <f>'[1]Oct midyear DArbonne'!K61</f>
        <v>0</v>
      </c>
      <c r="J64" s="203">
        <f>'[1]Feb midyear DArbonne'!K61</f>
        <v>0</v>
      </c>
      <c r="K64" s="204">
        <f t="shared" si="39"/>
        <v>0</v>
      </c>
      <c r="L64" s="345">
        <f t="shared" si="56"/>
        <v>0</v>
      </c>
      <c r="M64" s="286">
        <f t="shared" si="40"/>
        <v>0</v>
      </c>
      <c r="N64" s="345">
        <f t="shared" si="41"/>
        <v>0</v>
      </c>
      <c r="O64" s="201">
        <v>0</v>
      </c>
      <c r="P64" s="351">
        <f t="shared" si="42"/>
        <v>0</v>
      </c>
      <c r="Q64" s="203">
        <f>'[2]Table 5C1B-DArbonne'!S64+'[14]Table 5C1B-DArbonne'!S64+(6*'[20]Table 5C1B-DArbonne'!S64)</f>
        <v>0</v>
      </c>
      <c r="R64" s="203">
        <f t="shared" si="43"/>
        <v>0</v>
      </c>
      <c r="S64" s="351">
        <f t="shared" si="32"/>
        <v>0</v>
      </c>
      <c r="T64" s="362">
        <f t="shared" si="44"/>
        <v>0</v>
      </c>
      <c r="U64" s="287">
        <f>'Table 5C1A-Madison Prep'!U64</f>
        <v>2167</v>
      </c>
      <c r="V64" s="328">
        <f t="shared" si="57"/>
        <v>0</v>
      </c>
      <c r="W64" s="995">
        <f>'[1]Oct midyear DArbonne'!E61</f>
        <v>0</v>
      </c>
      <c r="X64" s="290">
        <f t="shared" si="45"/>
        <v>0</v>
      </c>
      <c r="Y64" s="289">
        <f>'[1]Feb midyear DArbonne'!E61</f>
        <v>0</v>
      </c>
      <c r="Z64" s="290">
        <f t="shared" si="46"/>
        <v>0</v>
      </c>
      <c r="AA64" s="288">
        <f t="shared" si="47"/>
        <v>0</v>
      </c>
      <c r="AB64" s="328">
        <f t="shared" si="48"/>
        <v>0</v>
      </c>
      <c r="AC64" s="292">
        <f t="shared" si="49"/>
        <v>0</v>
      </c>
      <c r="AD64" s="328">
        <f t="shared" si="50"/>
        <v>0</v>
      </c>
      <c r="AE64" s="290">
        <v>0</v>
      </c>
      <c r="AF64" s="328">
        <f t="shared" si="51"/>
        <v>0</v>
      </c>
      <c r="AG64" s="290">
        <f>'[2]Table 5C1B-DArbonne'!AI64+'[14]Table 5C1B-DArbonne'!AI64+(6*'[20]Table 5C1B-DArbonne'!AI64)</f>
        <v>0</v>
      </c>
      <c r="AH64" s="290">
        <f t="shared" si="52"/>
        <v>0</v>
      </c>
      <c r="AI64" s="328">
        <f t="shared" si="34"/>
        <v>0</v>
      </c>
      <c r="AJ64" s="291">
        <f t="shared" si="35"/>
        <v>0</v>
      </c>
      <c r="AK64" s="318">
        <f t="shared" si="53"/>
        <v>0</v>
      </c>
      <c r="AM64" s="286">
        <v>0</v>
      </c>
      <c r="AN64" s="286">
        <f t="shared" si="54"/>
        <v>0</v>
      </c>
      <c r="AO64" s="286">
        <f t="shared" si="55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2.1.14'!H61</f>
        <v>0</v>
      </c>
      <c r="D65" s="201">
        <f>+'Table 5C1A-Madison Prep'!D65</f>
        <v>6621.946293521848</v>
      </c>
      <c r="E65" s="202">
        <f t="shared" si="36"/>
        <v>0</v>
      </c>
      <c r="F65" s="202">
        <f>+'Table 5C1A-Madison Prep'!F65</f>
        <v>689.52</v>
      </c>
      <c r="G65" s="202">
        <f t="shared" si="37"/>
        <v>0</v>
      </c>
      <c r="H65" s="345">
        <f t="shared" si="38"/>
        <v>0</v>
      </c>
      <c r="I65" s="991">
        <f>'[1]Oct midyear DArbonne'!K62</f>
        <v>0</v>
      </c>
      <c r="J65" s="203">
        <f>'[1]Feb midyear DArbonne'!K62</f>
        <v>0</v>
      </c>
      <c r="K65" s="204">
        <f t="shared" si="39"/>
        <v>0</v>
      </c>
      <c r="L65" s="345">
        <f t="shared" si="56"/>
        <v>0</v>
      </c>
      <c r="M65" s="286">
        <f t="shared" si="40"/>
        <v>0</v>
      </c>
      <c r="N65" s="345">
        <f t="shared" si="41"/>
        <v>0</v>
      </c>
      <c r="O65" s="201">
        <v>0</v>
      </c>
      <c r="P65" s="351">
        <f t="shared" si="42"/>
        <v>0</v>
      </c>
      <c r="Q65" s="203">
        <f>'[2]Table 5C1B-DArbonne'!S65+'[14]Table 5C1B-DArbonne'!S65+(6*'[20]Table 5C1B-DArbonne'!S65)</f>
        <v>0</v>
      </c>
      <c r="R65" s="203">
        <f t="shared" si="43"/>
        <v>0</v>
      </c>
      <c r="S65" s="351">
        <f t="shared" si="32"/>
        <v>0</v>
      </c>
      <c r="T65" s="362">
        <f t="shared" si="44"/>
        <v>0</v>
      </c>
      <c r="U65" s="287">
        <f>'Table 5C1A-Madison Prep'!U65</f>
        <v>1521</v>
      </c>
      <c r="V65" s="328">
        <f t="shared" si="57"/>
        <v>0</v>
      </c>
      <c r="W65" s="995">
        <f>'[1]Oct midyear DArbonne'!E62</f>
        <v>0</v>
      </c>
      <c r="X65" s="290">
        <f t="shared" si="45"/>
        <v>0</v>
      </c>
      <c r="Y65" s="289">
        <f>'[1]Feb midyear DArbonne'!E62</f>
        <v>0</v>
      </c>
      <c r="Z65" s="290">
        <f t="shared" si="46"/>
        <v>0</v>
      </c>
      <c r="AA65" s="288">
        <f t="shared" si="47"/>
        <v>0</v>
      </c>
      <c r="AB65" s="328">
        <f t="shared" si="48"/>
        <v>0</v>
      </c>
      <c r="AC65" s="292">
        <f t="shared" si="49"/>
        <v>0</v>
      </c>
      <c r="AD65" s="328">
        <f t="shared" si="50"/>
        <v>0</v>
      </c>
      <c r="AE65" s="290">
        <v>0</v>
      </c>
      <c r="AF65" s="328">
        <f t="shared" si="51"/>
        <v>0</v>
      </c>
      <c r="AG65" s="290">
        <f>'[2]Table 5C1B-DArbonne'!AI65+'[14]Table 5C1B-DArbonne'!AI65+(6*'[20]Table 5C1B-DArbonne'!AI65)</f>
        <v>0</v>
      </c>
      <c r="AH65" s="290">
        <f t="shared" si="52"/>
        <v>0</v>
      </c>
      <c r="AI65" s="328">
        <f t="shared" si="34"/>
        <v>0</v>
      </c>
      <c r="AJ65" s="291">
        <f t="shared" si="35"/>
        <v>0</v>
      </c>
      <c r="AK65" s="318">
        <f t="shared" si="53"/>
        <v>0</v>
      </c>
      <c r="AM65" s="286">
        <v>0</v>
      </c>
      <c r="AN65" s="286">
        <f t="shared" si="54"/>
        <v>0</v>
      </c>
      <c r="AO65" s="286">
        <f t="shared" si="55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2.1.14'!H62</f>
        <v>0</v>
      </c>
      <c r="D66" s="194">
        <f>+'Table 5C1A-Madison Prep'!D66</f>
        <v>5301.224090063828</v>
      </c>
      <c r="E66" s="195">
        <f t="shared" si="36"/>
        <v>0</v>
      </c>
      <c r="F66" s="195">
        <f>+'Table 5C1A-Madison Prep'!F66</f>
        <v>594.04</v>
      </c>
      <c r="G66" s="195">
        <f t="shared" si="37"/>
        <v>0</v>
      </c>
      <c r="H66" s="346">
        <f t="shared" si="38"/>
        <v>0</v>
      </c>
      <c r="I66" s="992">
        <f>'[1]Oct midyear DArbonne'!K63</f>
        <v>0</v>
      </c>
      <c r="J66" s="196">
        <f>'[1]Feb midyear DArbonne'!K63</f>
        <v>0</v>
      </c>
      <c r="K66" s="197">
        <f t="shared" si="39"/>
        <v>0</v>
      </c>
      <c r="L66" s="346">
        <f t="shared" si="56"/>
        <v>0</v>
      </c>
      <c r="M66" s="296">
        <f t="shared" si="40"/>
        <v>0</v>
      </c>
      <c r="N66" s="346">
        <f t="shared" si="41"/>
        <v>0</v>
      </c>
      <c r="O66" s="194">
        <v>0</v>
      </c>
      <c r="P66" s="352">
        <f t="shared" si="42"/>
        <v>0</v>
      </c>
      <c r="Q66" s="622">
        <f>'[2]Table 5C1B-DArbonne'!S66+'[14]Table 5C1B-DArbonne'!S66+(6*'[20]Table 5C1B-DArbonne'!S66)</f>
        <v>0</v>
      </c>
      <c r="R66" s="196">
        <f t="shared" si="43"/>
        <v>0</v>
      </c>
      <c r="S66" s="356">
        <f t="shared" si="32"/>
        <v>0</v>
      </c>
      <c r="T66" s="356">
        <f t="shared" si="44"/>
        <v>0</v>
      </c>
      <c r="U66" s="281">
        <f>'Table 5C1A-Madison Prep'!U66</f>
        <v>4024</v>
      </c>
      <c r="V66" s="329">
        <f t="shared" si="57"/>
        <v>0</v>
      </c>
      <c r="W66" s="996">
        <f>'[1]Oct midyear DArbonne'!E63</f>
        <v>0</v>
      </c>
      <c r="X66" s="282">
        <f t="shared" si="45"/>
        <v>0</v>
      </c>
      <c r="Y66" s="884">
        <f>'[1]Feb midyear DArbonne'!E63</f>
        <v>0</v>
      </c>
      <c r="Z66" s="282">
        <f t="shared" si="46"/>
        <v>0</v>
      </c>
      <c r="AA66" s="283">
        <f t="shared" si="47"/>
        <v>0</v>
      </c>
      <c r="AB66" s="329">
        <f t="shared" si="48"/>
        <v>0</v>
      </c>
      <c r="AC66" s="298">
        <f t="shared" si="49"/>
        <v>0</v>
      </c>
      <c r="AD66" s="329">
        <f t="shared" si="50"/>
        <v>0</v>
      </c>
      <c r="AE66" s="282">
        <v>0</v>
      </c>
      <c r="AF66" s="329">
        <f t="shared" si="51"/>
        <v>0</v>
      </c>
      <c r="AG66" s="282">
        <f>'[2]Table 5C1B-DArbonne'!AI66+'[14]Table 5C1B-DArbonne'!AI66+(6*'[20]Table 5C1B-DArbonne'!AI66)</f>
        <v>0</v>
      </c>
      <c r="AH66" s="282">
        <f t="shared" si="52"/>
        <v>0</v>
      </c>
      <c r="AI66" s="329">
        <f t="shared" si="34"/>
        <v>0</v>
      </c>
      <c r="AJ66" s="297">
        <f t="shared" si="35"/>
        <v>0</v>
      </c>
      <c r="AK66" s="319">
        <f t="shared" si="53"/>
        <v>0</v>
      </c>
      <c r="AM66" s="296">
        <v>0</v>
      </c>
      <c r="AN66" s="296">
        <f t="shared" si="54"/>
        <v>0</v>
      </c>
      <c r="AO66" s="296">
        <f t="shared" si="55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2.1.14'!H63</f>
        <v>0</v>
      </c>
      <c r="D67" s="208">
        <f>+'Table 5C1A-Madison Prep'!D67</f>
        <v>2854.1575356369185</v>
      </c>
      <c r="E67" s="209">
        <f t="shared" si="36"/>
        <v>0</v>
      </c>
      <c r="F67" s="209">
        <f>+'Table 5C1A-Madison Prep'!F67</f>
        <v>833.70999999999992</v>
      </c>
      <c r="G67" s="209">
        <f t="shared" si="37"/>
        <v>0</v>
      </c>
      <c r="H67" s="344">
        <f t="shared" si="38"/>
        <v>0</v>
      </c>
      <c r="I67" s="990">
        <f>'[1]Oct midyear DArbonne'!K64</f>
        <v>0</v>
      </c>
      <c r="J67" s="210">
        <f>'[1]Feb midyear DArbonne'!K64</f>
        <v>0</v>
      </c>
      <c r="K67" s="211">
        <f t="shared" si="39"/>
        <v>0</v>
      </c>
      <c r="L67" s="344">
        <f t="shared" si="56"/>
        <v>0</v>
      </c>
      <c r="M67" s="273">
        <f t="shared" si="40"/>
        <v>0</v>
      </c>
      <c r="N67" s="344">
        <f t="shared" si="41"/>
        <v>0</v>
      </c>
      <c r="O67" s="208">
        <v>0</v>
      </c>
      <c r="P67" s="350">
        <f t="shared" si="42"/>
        <v>0</v>
      </c>
      <c r="Q67" s="210">
        <f>'[2]Table 5C1B-DArbonne'!S67+'[14]Table 5C1B-DArbonne'!S67+(6*'[20]Table 5C1B-DArbonne'!S67)</f>
        <v>0</v>
      </c>
      <c r="R67" s="210">
        <f t="shared" si="43"/>
        <v>0</v>
      </c>
      <c r="S67" s="350">
        <f t="shared" si="32"/>
        <v>0</v>
      </c>
      <c r="T67" s="361">
        <f t="shared" si="44"/>
        <v>0</v>
      </c>
      <c r="U67" s="274">
        <f>'Table 5C1A-Madison Prep'!U67</f>
        <v>6739</v>
      </c>
      <c r="V67" s="327">
        <f t="shared" si="57"/>
        <v>0</v>
      </c>
      <c r="W67" s="994">
        <f>'[1]Oct midyear DArbonne'!E64</f>
        <v>0</v>
      </c>
      <c r="X67" s="276">
        <f t="shared" si="45"/>
        <v>0</v>
      </c>
      <c r="Y67" s="883">
        <f>'[1]Feb midyear DArbonne'!E64</f>
        <v>0</v>
      </c>
      <c r="Z67" s="276">
        <f t="shared" si="46"/>
        <v>0</v>
      </c>
      <c r="AA67" s="275">
        <f t="shared" si="47"/>
        <v>0</v>
      </c>
      <c r="AB67" s="327">
        <f t="shared" si="48"/>
        <v>0</v>
      </c>
      <c r="AC67" s="278">
        <f t="shared" si="49"/>
        <v>0</v>
      </c>
      <c r="AD67" s="327">
        <f t="shared" si="50"/>
        <v>0</v>
      </c>
      <c r="AE67" s="276">
        <v>0</v>
      </c>
      <c r="AF67" s="327">
        <f t="shared" si="51"/>
        <v>0</v>
      </c>
      <c r="AG67" s="276">
        <f>'[2]Table 5C1B-DArbonne'!AI67+'[14]Table 5C1B-DArbonne'!AI67+(6*'[20]Table 5C1B-DArbonne'!AI67)</f>
        <v>0</v>
      </c>
      <c r="AH67" s="276">
        <f t="shared" si="52"/>
        <v>0</v>
      </c>
      <c r="AI67" s="327">
        <f t="shared" si="34"/>
        <v>0</v>
      </c>
      <c r="AJ67" s="277">
        <f t="shared" si="35"/>
        <v>0</v>
      </c>
      <c r="AK67" s="317">
        <f t="shared" si="53"/>
        <v>0</v>
      </c>
      <c r="AM67" s="273">
        <v>0</v>
      </c>
      <c r="AN67" s="273">
        <f t="shared" si="54"/>
        <v>0</v>
      </c>
      <c r="AO67" s="273">
        <f t="shared" si="55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2.1.14'!H64</f>
        <v>0</v>
      </c>
      <c r="D68" s="201">
        <f>+'Table 5C1A-Madison Prep'!D68</f>
        <v>5901.074538516008</v>
      </c>
      <c r="E68" s="202">
        <f t="shared" si="36"/>
        <v>0</v>
      </c>
      <c r="F68" s="202">
        <f>+'Table 5C1A-Madison Prep'!F68</f>
        <v>516.08000000000004</v>
      </c>
      <c r="G68" s="202">
        <f t="shared" si="37"/>
        <v>0</v>
      </c>
      <c r="H68" s="345">
        <f t="shared" si="38"/>
        <v>0</v>
      </c>
      <c r="I68" s="991">
        <f>'[1]Oct midyear DArbonne'!K65</f>
        <v>0</v>
      </c>
      <c r="J68" s="203">
        <f>'[1]Feb midyear DArbonne'!K65</f>
        <v>0</v>
      </c>
      <c r="K68" s="204">
        <f t="shared" si="39"/>
        <v>0</v>
      </c>
      <c r="L68" s="345">
        <f t="shared" si="56"/>
        <v>0</v>
      </c>
      <c r="M68" s="286">
        <f t="shared" si="40"/>
        <v>0</v>
      </c>
      <c r="N68" s="345">
        <f t="shared" si="41"/>
        <v>0</v>
      </c>
      <c r="O68" s="201">
        <v>0</v>
      </c>
      <c r="P68" s="351">
        <f t="shared" si="42"/>
        <v>0</v>
      </c>
      <c r="Q68" s="203">
        <f>'[2]Table 5C1B-DArbonne'!S68+'[14]Table 5C1B-DArbonne'!S68+(6*'[20]Table 5C1B-DArbonne'!S68)</f>
        <v>0</v>
      </c>
      <c r="R68" s="203">
        <f t="shared" si="43"/>
        <v>0</v>
      </c>
      <c r="S68" s="351">
        <f t="shared" si="32"/>
        <v>0</v>
      </c>
      <c r="T68" s="362">
        <f t="shared" si="44"/>
        <v>0</v>
      </c>
      <c r="U68" s="287">
        <f>'Table 5C1A-Madison Prep'!U68</f>
        <v>2089</v>
      </c>
      <c r="V68" s="328">
        <f t="shared" si="57"/>
        <v>0</v>
      </c>
      <c r="W68" s="995">
        <f>'[1]Oct midyear DArbonne'!E65</f>
        <v>0</v>
      </c>
      <c r="X68" s="290">
        <f t="shared" si="45"/>
        <v>0</v>
      </c>
      <c r="Y68" s="289">
        <f>'[1]Feb midyear DArbonne'!E65</f>
        <v>0</v>
      </c>
      <c r="Z68" s="290">
        <f t="shared" si="46"/>
        <v>0</v>
      </c>
      <c r="AA68" s="288">
        <f t="shared" si="47"/>
        <v>0</v>
      </c>
      <c r="AB68" s="328">
        <f t="shared" si="48"/>
        <v>0</v>
      </c>
      <c r="AC68" s="292">
        <f t="shared" si="49"/>
        <v>0</v>
      </c>
      <c r="AD68" s="328">
        <f t="shared" si="50"/>
        <v>0</v>
      </c>
      <c r="AE68" s="290">
        <v>0</v>
      </c>
      <c r="AF68" s="328">
        <f t="shared" si="51"/>
        <v>0</v>
      </c>
      <c r="AG68" s="290">
        <f>'[2]Table 5C1B-DArbonne'!AI68+'[14]Table 5C1B-DArbonne'!AI68+(6*'[20]Table 5C1B-DArbonne'!AI68)</f>
        <v>0</v>
      </c>
      <c r="AH68" s="290">
        <f t="shared" si="52"/>
        <v>0</v>
      </c>
      <c r="AI68" s="328">
        <f t="shared" si="34"/>
        <v>0</v>
      </c>
      <c r="AJ68" s="291">
        <f t="shared" si="35"/>
        <v>0</v>
      </c>
      <c r="AK68" s="318">
        <f t="shared" si="53"/>
        <v>0</v>
      </c>
      <c r="AM68" s="286">
        <v>0</v>
      </c>
      <c r="AN68" s="286">
        <f t="shared" si="54"/>
        <v>0</v>
      </c>
      <c r="AO68" s="286">
        <f t="shared" si="55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2.1.14'!H65</f>
        <v>0</v>
      </c>
      <c r="D69" s="201">
        <f>+'Table 5C1A-Madison Prep'!D69</f>
        <v>4124.3813481848092</v>
      </c>
      <c r="E69" s="202">
        <f t="shared" si="36"/>
        <v>0</v>
      </c>
      <c r="F69" s="202">
        <f>+'Table 5C1A-Madison Prep'!F69</f>
        <v>756.79</v>
      </c>
      <c r="G69" s="202">
        <f t="shared" si="37"/>
        <v>0</v>
      </c>
      <c r="H69" s="345">
        <f t="shared" si="38"/>
        <v>0</v>
      </c>
      <c r="I69" s="991">
        <f>'[1]Oct midyear DArbonne'!K66</f>
        <v>0</v>
      </c>
      <c r="J69" s="203">
        <f>'[1]Feb midyear DArbonne'!K66</f>
        <v>0</v>
      </c>
      <c r="K69" s="204">
        <f t="shared" si="39"/>
        <v>0</v>
      </c>
      <c r="L69" s="345">
        <f t="shared" si="56"/>
        <v>0</v>
      </c>
      <c r="M69" s="286">
        <f t="shared" si="40"/>
        <v>0</v>
      </c>
      <c r="N69" s="345">
        <f t="shared" si="41"/>
        <v>0</v>
      </c>
      <c r="O69" s="201">
        <v>0</v>
      </c>
      <c r="P69" s="351">
        <f t="shared" si="42"/>
        <v>0</v>
      </c>
      <c r="Q69" s="203">
        <f>'[2]Table 5C1B-DArbonne'!S69+'[14]Table 5C1B-DArbonne'!S69+(6*'[20]Table 5C1B-DArbonne'!S69)</f>
        <v>0</v>
      </c>
      <c r="R69" s="203">
        <f t="shared" si="43"/>
        <v>0</v>
      </c>
      <c r="S69" s="351">
        <f t="shared" si="32"/>
        <v>0</v>
      </c>
      <c r="T69" s="362">
        <f t="shared" si="44"/>
        <v>0</v>
      </c>
      <c r="U69" s="287">
        <f>'Table 5C1A-Madison Prep'!U69</f>
        <v>7403</v>
      </c>
      <c r="V69" s="328">
        <f t="shared" si="57"/>
        <v>0</v>
      </c>
      <c r="W69" s="995">
        <f>'[1]Oct midyear DArbonne'!E66</f>
        <v>0</v>
      </c>
      <c r="X69" s="290">
        <f t="shared" si="45"/>
        <v>0</v>
      </c>
      <c r="Y69" s="289">
        <f>'[1]Feb midyear DArbonne'!E66</f>
        <v>0</v>
      </c>
      <c r="Z69" s="290">
        <f t="shared" si="46"/>
        <v>0</v>
      </c>
      <c r="AA69" s="288">
        <f t="shared" si="47"/>
        <v>0</v>
      </c>
      <c r="AB69" s="328">
        <f t="shared" si="48"/>
        <v>0</v>
      </c>
      <c r="AC69" s="292">
        <f t="shared" si="49"/>
        <v>0</v>
      </c>
      <c r="AD69" s="328">
        <f t="shared" si="50"/>
        <v>0</v>
      </c>
      <c r="AE69" s="290">
        <v>0</v>
      </c>
      <c r="AF69" s="328">
        <f t="shared" si="51"/>
        <v>0</v>
      </c>
      <c r="AG69" s="290">
        <f>'[2]Table 5C1B-DArbonne'!AI69+'[14]Table 5C1B-DArbonne'!AI69+(6*'[20]Table 5C1B-DArbonne'!AI69)</f>
        <v>0</v>
      </c>
      <c r="AH69" s="290">
        <f t="shared" si="52"/>
        <v>0</v>
      </c>
      <c r="AI69" s="328">
        <f t="shared" si="34"/>
        <v>0</v>
      </c>
      <c r="AJ69" s="291">
        <f t="shared" si="35"/>
        <v>0</v>
      </c>
      <c r="AK69" s="318">
        <f t="shared" si="53"/>
        <v>0</v>
      </c>
      <c r="AM69" s="286">
        <v>0</v>
      </c>
      <c r="AN69" s="286">
        <f t="shared" si="54"/>
        <v>0</v>
      </c>
      <c r="AO69" s="286">
        <f t="shared" si="55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2.1.14'!H66</f>
        <v>0</v>
      </c>
      <c r="D70" s="201">
        <f>+'Table 5C1A-Madison Prep'!D70</f>
        <v>6277.8307532778254</v>
      </c>
      <c r="E70" s="202">
        <f t="shared" si="36"/>
        <v>0</v>
      </c>
      <c r="F70" s="202">
        <f>+'Table 5C1A-Madison Prep'!F70</f>
        <v>592.66</v>
      </c>
      <c r="G70" s="202">
        <f t="shared" si="37"/>
        <v>0</v>
      </c>
      <c r="H70" s="345">
        <f t="shared" si="38"/>
        <v>0</v>
      </c>
      <c r="I70" s="991">
        <f>'[1]Oct midyear DArbonne'!K67</f>
        <v>0</v>
      </c>
      <c r="J70" s="203">
        <f>'[1]Feb midyear DArbonne'!K67</f>
        <v>0</v>
      </c>
      <c r="K70" s="204">
        <f t="shared" si="39"/>
        <v>0</v>
      </c>
      <c r="L70" s="345">
        <f t="shared" si="56"/>
        <v>0</v>
      </c>
      <c r="M70" s="286">
        <f t="shared" si="40"/>
        <v>0</v>
      </c>
      <c r="N70" s="345">
        <f t="shared" si="41"/>
        <v>0</v>
      </c>
      <c r="O70" s="201">
        <v>0</v>
      </c>
      <c r="P70" s="351">
        <f t="shared" si="42"/>
        <v>0</v>
      </c>
      <c r="Q70" s="203">
        <f>'[2]Table 5C1B-DArbonne'!S70+'[14]Table 5C1B-DArbonne'!S70+(6*'[20]Table 5C1B-DArbonne'!S70)</f>
        <v>0</v>
      </c>
      <c r="R70" s="203">
        <f t="shared" si="43"/>
        <v>0</v>
      </c>
      <c r="S70" s="351">
        <f t="shared" si="32"/>
        <v>0</v>
      </c>
      <c r="T70" s="362">
        <f t="shared" si="44"/>
        <v>0</v>
      </c>
      <c r="U70" s="287">
        <f>'Table 5C1A-Madison Prep'!U70</f>
        <v>2802</v>
      </c>
      <c r="V70" s="328">
        <f t="shared" si="57"/>
        <v>0</v>
      </c>
      <c r="W70" s="995">
        <f>'[1]Oct midyear DArbonne'!E67</f>
        <v>0</v>
      </c>
      <c r="X70" s="290">
        <f t="shared" si="45"/>
        <v>0</v>
      </c>
      <c r="Y70" s="289">
        <f>'[1]Feb midyear DArbonne'!E67</f>
        <v>0</v>
      </c>
      <c r="Z70" s="290">
        <f t="shared" si="46"/>
        <v>0</v>
      </c>
      <c r="AA70" s="288">
        <f t="shared" si="47"/>
        <v>0</v>
      </c>
      <c r="AB70" s="328">
        <f t="shared" si="48"/>
        <v>0</v>
      </c>
      <c r="AC70" s="292">
        <f t="shared" si="49"/>
        <v>0</v>
      </c>
      <c r="AD70" s="328">
        <f t="shared" si="50"/>
        <v>0</v>
      </c>
      <c r="AE70" s="290">
        <v>0</v>
      </c>
      <c r="AF70" s="328">
        <f t="shared" si="51"/>
        <v>0</v>
      </c>
      <c r="AG70" s="290">
        <f>'[2]Table 5C1B-DArbonne'!AI70+'[14]Table 5C1B-DArbonne'!AI70+(6*'[20]Table 5C1B-DArbonne'!AI70)</f>
        <v>0</v>
      </c>
      <c r="AH70" s="290">
        <f t="shared" si="52"/>
        <v>0</v>
      </c>
      <c r="AI70" s="328">
        <f t="shared" si="34"/>
        <v>0</v>
      </c>
      <c r="AJ70" s="291">
        <f t="shared" si="35"/>
        <v>0</v>
      </c>
      <c r="AK70" s="318">
        <f t="shared" si="53"/>
        <v>0</v>
      </c>
      <c r="AM70" s="286">
        <v>0</v>
      </c>
      <c r="AN70" s="286">
        <f t="shared" si="54"/>
        <v>0</v>
      </c>
      <c r="AO70" s="286">
        <f t="shared" si="55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2.1.14'!H67</f>
        <v>3</v>
      </c>
      <c r="D71" s="194">
        <f>+'Table 5C1A-Madison Prep'!D71</f>
        <v>4775.1605543943642</v>
      </c>
      <c r="E71" s="195">
        <f t="shared" si="36"/>
        <v>14325.481663183093</v>
      </c>
      <c r="F71" s="195">
        <f>+'Table 5C1A-Madison Prep'!F71</f>
        <v>829.12</v>
      </c>
      <c r="G71" s="195">
        <f t="shared" si="37"/>
        <v>2487.36</v>
      </c>
      <c r="H71" s="346">
        <f t="shared" si="38"/>
        <v>16812.841663183091</v>
      </c>
      <c r="I71" s="992">
        <f>'[1]Oct midyear DArbonne'!K68</f>
        <v>-11208.561108788728</v>
      </c>
      <c r="J71" s="196">
        <f>'[1]Feb midyear DArbonne'!K68</f>
        <v>-2802.1402771971821</v>
      </c>
      <c r="K71" s="197">
        <f t="shared" si="39"/>
        <v>-14010.701385985911</v>
      </c>
      <c r="L71" s="346">
        <f t="shared" ref="L71:L76" si="58">H71+K71</f>
        <v>2802.1402771971807</v>
      </c>
      <c r="M71" s="296">
        <f t="shared" si="40"/>
        <v>-7.0053506929929519</v>
      </c>
      <c r="N71" s="346">
        <f t="shared" si="41"/>
        <v>2795.1349265041877</v>
      </c>
      <c r="O71" s="194">
        <v>0</v>
      </c>
      <c r="P71" s="352">
        <f t="shared" si="42"/>
        <v>2795.1349265041877</v>
      </c>
      <c r="Q71" s="622">
        <f>'[2]Table 5C1B-DArbonne'!S71+'[14]Table 5C1B-DArbonne'!S71+(6*'[20]Table 5C1B-DArbonne'!S71)</f>
        <v>11178</v>
      </c>
      <c r="R71" s="196">
        <f t="shared" si="43"/>
        <v>-8382.8650734958119</v>
      </c>
      <c r="S71" s="356">
        <f t="shared" ref="S71:S76" si="59">ROUND(R71/$S$89,0)</f>
        <v>-2096</v>
      </c>
      <c r="T71" s="356">
        <f t="shared" si="44"/>
        <v>2795.1349265041877</v>
      </c>
      <c r="U71" s="281">
        <f>'Table 5C1A-Madison Prep'!U71</f>
        <v>5215</v>
      </c>
      <c r="V71" s="329">
        <f t="shared" ref="V71:V75" si="60">C71*U71</f>
        <v>15645</v>
      </c>
      <c r="W71" s="996">
        <f>'[1]Oct midyear DArbonne'!E68</f>
        <v>-2</v>
      </c>
      <c r="X71" s="282">
        <f t="shared" si="45"/>
        <v>-10430</v>
      </c>
      <c r="Y71" s="884">
        <f>'[1]Feb midyear DArbonne'!E68</f>
        <v>-1</v>
      </c>
      <c r="Z71" s="282">
        <f t="shared" si="46"/>
        <v>-2607.5</v>
      </c>
      <c r="AA71" s="283">
        <f t="shared" si="47"/>
        <v>-13037.5</v>
      </c>
      <c r="AB71" s="329">
        <f t="shared" si="48"/>
        <v>2607.5</v>
      </c>
      <c r="AC71" s="298">
        <f t="shared" si="49"/>
        <v>-6.5187499999999998</v>
      </c>
      <c r="AD71" s="329">
        <f t="shared" si="50"/>
        <v>2600.9812499999998</v>
      </c>
      <c r="AE71" s="282">
        <v>0</v>
      </c>
      <c r="AF71" s="329">
        <f t="shared" si="51"/>
        <v>2600.9812499999998</v>
      </c>
      <c r="AG71" s="282">
        <f>'[2]Table 5C1B-DArbonne'!AI71+'[14]Table 5C1B-DArbonne'!AI71+(6*'[20]Table 5C1B-DArbonne'!AI71)</f>
        <v>10192</v>
      </c>
      <c r="AH71" s="282">
        <f t="shared" si="52"/>
        <v>-7591.0187500000002</v>
      </c>
      <c r="AI71" s="329">
        <f t="shared" ref="AI71:AI74" si="61">ROUND(AH71/$AI$89,0)</f>
        <v>-1898</v>
      </c>
      <c r="AJ71" s="297">
        <f t="shared" ref="AJ71:AJ75" si="62">T71+AF71</f>
        <v>5396.116176504187</v>
      </c>
      <c r="AK71" s="319">
        <f t="shared" si="53"/>
        <v>-3994</v>
      </c>
      <c r="AM71" s="296">
        <v>-38.325000000000003</v>
      </c>
      <c r="AN71" s="296">
        <f t="shared" si="54"/>
        <v>-6.5187499999999998</v>
      </c>
      <c r="AO71" s="296">
        <f t="shared" si="55"/>
        <v>31.806250000000002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2.1.14'!H68</f>
        <v>0</v>
      </c>
      <c r="D72" s="208">
        <f>+'Table 5C1A-Madison Prep'!D72</f>
        <v>6564.0085433910035</v>
      </c>
      <c r="E72" s="209">
        <f t="shared" ref="E72:E76" si="63">C72*D72</f>
        <v>0</v>
      </c>
      <c r="F72" s="209">
        <f>+'Table 5C1A-Madison Prep'!F72</f>
        <v>730.06</v>
      </c>
      <c r="G72" s="209">
        <f t="shared" ref="G72:G76" si="64">C72*F72</f>
        <v>0</v>
      </c>
      <c r="H72" s="344">
        <f t="shared" ref="H72:H76" si="65">E72+G72</f>
        <v>0</v>
      </c>
      <c r="I72" s="990">
        <f>'[1]Oct midyear DArbonne'!K69</f>
        <v>0</v>
      </c>
      <c r="J72" s="210">
        <f>'[1]Feb midyear DArbonne'!K69</f>
        <v>0</v>
      </c>
      <c r="K72" s="211">
        <f t="shared" ref="K72:K76" si="66">I72+J72</f>
        <v>0</v>
      </c>
      <c r="L72" s="344">
        <f t="shared" si="58"/>
        <v>0</v>
      </c>
      <c r="M72" s="273">
        <f t="shared" ref="M72:M76" si="67">-(0.25%*L72)</f>
        <v>0</v>
      </c>
      <c r="N72" s="344">
        <f t="shared" ref="N72:N76" si="68">SUM(L72:M72)</f>
        <v>0</v>
      </c>
      <c r="O72" s="208">
        <v>0</v>
      </c>
      <c r="P72" s="350">
        <f t="shared" ref="P72:P76" si="69">SUM(N72:O72)</f>
        <v>0</v>
      </c>
      <c r="Q72" s="210">
        <f>'[2]Table 5C1B-DArbonne'!S72+'[14]Table 5C1B-DArbonne'!S72+(6*'[20]Table 5C1B-DArbonne'!S72)</f>
        <v>0</v>
      </c>
      <c r="R72" s="210">
        <f t="shared" ref="R72:R76" si="70">P72-Q72</f>
        <v>0</v>
      </c>
      <c r="S72" s="350">
        <f t="shared" si="59"/>
        <v>0</v>
      </c>
      <c r="T72" s="361">
        <f t="shared" ref="T72:T76" si="71">+P72</f>
        <v>0</v>
      </c>
      <c r="U72" s="274">
        <f>'Table 5C1A-Madison Prep'!U72</f>
        <v>3609</v>
      </c>
      <c r="V72" s="327">
        <f t="shared" si="60"/>
        <v>0</v>
      </c>
      <c r="W72" s="994">
        <f>'[1]Oct midyear DArbonne'!E69</f>
        <v>0</v>
      </c>
      <c r="X72" s="276">
        <f t="shared" ref="X72:X75" si="72">W72*U72</f>
        <v>0</v>
      </c>
      <c r="Y72" s="883">
        <f>'[1]Feb midyear DArbonne'!E69</f>
        <v>0</v>
      </c>
      <c r="Z72" s="276">
        <f t="shared" ref="Z72:Z75" si="73">+U72*Y72*0.5</f>
        <v>0</v>
      </c>
      <c r="AA72" s="275">
        <f t="shared" ref="AA72:AA75" si="74">+X72+Z72</f>
        <v>0</v>
      </c>
      <c r="AB72" s="327">
        <f t="shared" ref="AB72:AB75" si="75">V72+AA72</f>
        <v>0</v>
      </c>
      <c r="AC72" s="278">
        <f t="shared" ref="AC72:AC75" si="76">-(0.25%*AB72)</f>
        <v>0</v>
      </c>
      <c r="AD72" s="327">
        <f t="shared" ref="AD72:AD75" si="77">SUM(AB72:AC72)</f>
        <v>0</v>
      </c>
      <c r="AE72" s="276">
        <v>0</v>
      </c>
      <c r="AF72" s="327">
        <f t="shared" ref="AF72:AF75" si="78">SUM(AD72:AE72)</f>
        <v>0</v>
      </c>
      <c r="AG72" s="276">
        <f>'[2]Table 5C1B-DArbonne'!AI72+'[14]Table 5C1B-DArbonne'!AI72+(6*'[20]Table 5C1B-DArbonne'!AI72)</f>
        <v>0</v>
      </c>
      <c r="AH72" s="276">
        <f t="shared" ref="AH72:AH75" si="79">AF72-AG72</f>
        <v>0</v>
      </c>
      <c r="AI72" s="327">
        <f t="shared" si="61"/>
        <v>0</v>
      </c>
      <c r="AJ72" s="277">
        <f t="shared" si="62"/>
        <v>0</v>
      </c>
      <c r="AK72" s="317">
        <f t="shared" ref="AK72:AK75" si="80">S72+AI72</f>
        <v>0</v>
      </c>
      <c r="AM72" s="273">
        <v>0</v>
      </c>
      <c r="AN72" s="273">
        <f t="shared" ref="AN72:AN76" si="81">+AC72</f>
        <v>0</v>
      </c>
      <c r="AO72" s="273">
        <f t="shared" ref="AO72:AO76" si="82">+AN72-AM72</f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2.1.14'!H69</f>
        <v>0</v>
      </c>
      <c r="D73" s="201">
        <f>+'Table 5C1A-Madison Prep'!D73</f>
        <v>5029.1467736134118</v>
      </c>
      <c r="E73" s="202">
        <f t="shared" si="63"/>
        <v>0</v>
      </c>
      <c r="F73" s="202">
        <f>+'Table 5C1A-Madison Prep'!F73</f>
        <v>715.61</v>
      </c>
      <c r="G73" s="202">
        <f t="shared" si="64"/>
        <v>0</v>
      </c>
      <c r="H73" s="345">
        <f t="shared" si="65"/>
        <v>0</v>
      </c>
      <c r="I73" s="991">
        <f>'[1]Oct midyear DArbonne'!K70</f>
        <v>0</v>
      </c>
      <c r="J73" s="203">
        <f>'[1]Feb midyear DArbonne'!K70</f>
        <v>0</v>
      </c>
      <c r="K73" s="204">
        <f t="shared" si="66"/>
        <v>0</v>
      </c>
      <c r="L73" s="345">
        <f t="shared" si="58"/>
        <v>0</v>
      </c>
      <c r="M73" s="286">
        <f t="shared" si="67"/>
        <v>0</v>
      </c>
      <c r="N73" s="345">
        <f t="shared" si="68"/>
        <v>0</v>
      </c>
      <c r="O73" s="201">
        <v>0</v>
      </c>
      <c r="P73" s="351">
        <f t="shared" si="69"/>
        <v>0</v>
      </c>
      <c r="Q73" s="203">
        <f>'[2]Table 5C1B-DArbonne'!S73+'[14]Table 5C1B-DArbonne'!S73+(6*'[20]Table 5C1B-DArbonne'!S73)</f>
        <v>0</v>
      </c>
      <c r="R73" s="203">
        <f t="shared" si="70"/>
        <v>0</v>
      </c>
      <c r="S73" s="351">
        <f t="shared" si="59"/>
        <v>0</v>
      </c>
      <c r="T73" s="362">
        <f t="shared" si="71"/>
        <v>0</v>
      </c>
      <c r="U73" s="287">
        <f>'Table 5C1A-Madison Prep'!U73</f>
        <v>5069</v>
      </c>
      <c r="V73" s="328">
        <f t="shared" si="60"/>
        <v>0</v>
      </c>
      <c r="W73" s="995">
        <f>'[1]Oct midyear DArbonne'!E70</f>
        <v>0</v>
      </c>
      <c r="X73" s="290">
        <f t="shared" si="72"/>
        <v>0</v>
      </c>
      <c r="Y73" s="289">
        <f>'[1]Feb midyear DArbonne'!E70</f>
        <v>0</v>
      </c>
      <c r="Z73" s="290">
        <f t="shared" si="73"/>
        <v>0</v>
      </c>
      <c r="AA73" s="288">
        <f t="shared" si="74"/>
        <v>0</v>
      </c>
      <c r="AB73" s="328">
        <f t="shared" si="75"/>
        <v>0</v>
      </c>
      <c r="AC73" s="292">
        <f t="shared" si="76"/>
        <v>0</v>
      </c>
      <c r="AD73" s="328">
        <f t="shared" si="77"/>
        <v>0</v>
      </c>
      <c r="AE73" s="290">
        <v>0</v>
      </c>
      <c r="AF73" s="328">
        <f t="shared" si="78"/>
        <v>0</v>
      </c>
      <c r="AG73" s="290">
        <f>'[2]Table 5C1B-DArbonne'!AI73+'[14]Table 5C1B-DArbonne'!AI73+(6*'[20]Table 5C1B-DArbonne'!AI73)</f>
        <v>0</v>
      </c>
      <c r="AH73" s="290">
        <f t="shared" si="79"/>
        <v>0</v>
      </c>
      <c r="AI73" s="328">
        <f t="shared" si="61"/>
        <v>0</v>
      </c>
      <c r="AJ73" s="291">
        <f t="shared" si="62"/>
        <v>0</v>
      </c>
      <c r="AK73" s="318">
        <f t="shared" si="80"/>
        <v>0</v>
      </c>
      <c r="AM73" s="286">
        <v>0</v>
      </c>
      <c r="AN73" s="286">
        <f t="shared" si="81"/>
        <v>0</v>
      </c>
      <c r="AO73" s="286">
        <f t="shared" si="82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2.1.14'!H70</f>
        <v>0</v>
      </c>
      <c r="D74" s="201">
        <f>+'Table 5C1A-Madison Prep'!D74</f>
        <v>6390.1644202560601</v>
      </c>
      <c r="E74" s="202">
        <f t="shared" si="63"/>
        <v>0</v>
      </c>
      <c r="F74" s="202">
        <f>+'Table 5C1A-Madison Prep'!F74</f>
        <v>798.7</v>
      </c>
      <c r="G74" s="202">
        <f t="shared" si="64"/>
        <v>0</v>
      </c>
      <c r="H74" s="345">
        <f t="shared" si="65"/>
        <v>0</v>
      </c>
      <c r="I74" s="991">
        <f>'[1]Oct midyear DArbonne'!K71</f>
        <v>0</v>
      </c>
      <c r="J74" s="203">
        <f>'[1]Feb midyear DArbonne'!K71</f>
        <v>0</v>
      </c>
      <c r="K74" s="204">
        <f t="shared" si="66"/>
        <v>0</v>
      </c>
      <c r="L74" s="345">
        <f t="shared" si="58"/>
        <v>0</v>
      </c>
      <c r="M74" s="286">
        <f t="shared" si="67"/>
        <v>0</v>
      </c>
      <c r="N74" s="345">
        <f t="shared" si="68"/>
        <v>0</v>
      </c>
      <c r="O74" s="201">
        <v>0</v>
      </c>
      <c r="P74" s="351">
        <f t="shared" si="69"/>
        <v>0</v>
      </c>
      <c r="Q74" s="203">
        <f>'[2]Table 5C1B-DArbonne'!S74+'[14]Table 5C1B-DArbonne'!S74+(6*'[20]Table 5C1B-DArbonne'!S74)</f>
        <v>0</v>
      </c>
      <c r="R74" s="203">
        <f t="shared" si="70"/>
        <v>0</v>
      </c>
      <c r="S74" s="351">
        <f t="shared" si="59"/>
        <v>0</v>
      </c>
      <c r="T74" s="362">
        <f t="shared" si="71"/>
        <v>0</v>
      </c>
      <c r="U74" s="287">
        <f>'Table 5C1A-Madison Prep'!U74</f>
        <v>2880</v>
      </c>
      <c r="V74" s="328">
        <f t="shared" si="60"/>
        <v>0</v>
      </c>
      <c r="W74" s="995">
        <f>'[1]Oct midyear DArbonne'!E71</f>
        <v>0</v>
      </c>
      <c r="X74" s="290">
        <f t="shared" si="72"/>
        <v>0</v>
      </c>
      <c r="Y74" s="289">
        <f>'[1]Feb midyear DArbonne'!E71</f>
        <v>0</v>
      </c>
      <c r="Z74" s="290">
        <f t="shared" si="73"/>
        <v>0</v>
      </c>
      <c r="AA74" s="288">
        <f t="shared" si="74"/>
        <v>0</v>
      </c>
      <c r="AB74" s="328">
        <f t="shared" si="75"/>
        <v>0</v>
      </c>
      <c r="AC74" s="292">
        <f t="shared" si="76"/>
        <v>0</v>
      </c>
      <c r="AD74" s="328">
        <f t="shared" si="77"/>
        <v>0</v>
      </c>
      <c r="AE74" s="290">
        <v>0</v>
      </c>
      <c r="AF74" s="328">
        <f t="shared" si="78"/>
        <v>0</v>
      </c>
      <c r="AG74" s="290">
        <f>'[2]Table 5C1B-DArbonne'!AI74+'[14]Table 5C1B-DArbonne'!AI74+(6*'[20]Table 5C1B-DArbonne'!AI74)</f>
        <v>0</v>
      </c>
      <c r="AH74" s="290">
        <f t="shared" si="79"/>
        <v>0</v>
      </c>
      <c r="AI74" s="328">
        <f t="shared" si="61"/>
        <v>0</v>
      </c>
      <c r="AJ74" s="291">
        <f t="shared" si="62"/>
        <v>0</v>
      </c>
      <c r="AK74" s="318">
        <f t="shared" si="80"/>
        <v>0</v>
      </c>
      <c r="AM74" s="286">
        <v>0</v>
      </c>
      <c r="AN74" s="286">
        <f t="shared" si="81"/>
        <v>0</v>
      </c>
      <c r="AO74" s="286">
        <f t="shared" si="82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2.1.14'!H71</f>
        <v>0</v>
      </c>
      <c r="D75" s="201">
        <f>+'Table 5C1A-Madison Prep'!D75</f>
        <v>5722.4947921281337</v>
      </c>
      <c r="E75" s="202">
        <f t="shared" si="63"/>
        <v>0</v>
      </c>
      <c r="F75" s="202">
        <f>+'Table 5C1A-Madison Prep'!F75</f>
        <v>705.67</v>
      </c>
      <c r="G75" s="202">
        <f t="shared" si="64"/>
        <v>0</v>
      </c>
      <c r="H75" s="345">
        <f t="shared" si="65"/>
        <v>0</v>
      </c>
      <c r="I75" s="991">
        <f>'[1]Oct midyear DArbonne'!K72</f>
        <v>0</v>
      </c>
      <c r="J75" s="203">
        <f>'[1]Feb midyear DArbonne'!K72</f>
        <v>0</v>
      </c>
      <c r="K75" s="204">
        <f t="shared" si="66"/>
        <v>0</v>
      </c>
      <c r="L75" s="345">
        <f t="shared" si="58"/>
        <v>0</v>
      </c>
      <c r="M75" s="286">
        <f t="shared" si="67"/>
        <v>0</v>
      </c>
      <c r="N75" s="345">
        <f t="shared" si="68"/>
        <v>0</v>
      </c>
      <c r="O75" s="201">
        <v>0</v>
      </c>
      <c r="P75" s="351">
        <f t="shared" si="69"/>
        <v>0</v>
      </c>
      <c r="Q75" s="203">
        <f>'[2]Table 5C1B-DArbonne'!S75+'[14]Table 5C1B-DArbonne'!S75+(6*'[20]Table 5C1B-DArbonne'!S75)</f>
        <v>0</v>
      </c>
      <c r="R75" s="203">
        <f t="shared" si="70"/>
        <v>0</v>
      </c>
      <c r="S75" s="351">
        <f t="shared" si="59"/>
        <v>0</v>
      </c>
      <c r="T75" s="362">
        <f t="shared" si="71"/>
        <v>0</v>
      </c>
      <c r="U75" s="287">
        <f>'Table 5C1A-Madison Prep'!U75</f>
        <v>3330</v>
      </c>
      <c r="V75" s="328">
        <f t="shared" si="60"/>
        <v>0</v>
      </c>
      <c r="W75" s="995">
        <f>'[1]Oct midyear DArbonne'!E72</f>
        <v>0</v>
      </c>
      <c r="X75" s="290">
        <f t="shared" si="72"/>
        <v>0</v>
      </c>
      <c r="Y75" s="289">
        <f>'[1]Feb midyear DArbonne'!E72</f>
        <v>0</v>
      </c>
      <c r="Z75" s="290">
        <f t="shared" si="73"/>
        <v>0</v>
      </c>
      <c r="AA75" s="288">
        <f t="shared" si="74"/>
        <v>0</v>
      </c>
      <c r="AB75" s="328">
        <f t="shared" si="75"/>
        <v>0</v>
      </c>
      <c r="AC75" s="292">
        <f t="shared" si="76"/>
        <v>0</v>
      </c>
      <c r="AD75" s="328">
        <f t="shared" si="77"/>
        <v>0</v>
      </c>
      <c r="AE75" s="290">
        <v>0</v>
      </c>
      <c r="AF75" s="328">
        <f t="shared" si="78"/>
        <v>0</v>
      </c>
      <c r="AG75" s="290">
        <f>'[2]Table 5C1B-DArbonne'!AI75+'[14]Table 5C1B-DArbonne'!AI75+(6*'[20]Table 5C1B-DArbonne'!AI75)</f>
        <v>0</v>
      </c>
      <c r="AH75" s="290">
        <f t="shared" si="79"/>
        <v>0</v>
      </c>
      <c r="AI75" s="328">
        <f>ROUND(AH75/$AI$89,0)</f>
        <v>0</v>
      </c>
      <c r="AJ75" s="291">
        <f t="shared" si="62"/>
        <v>0</v>
      </c>
      <c r="AK75" s="318">
        <f t="shared" si="80"/>
        <v>0</v>
      </c>
      <c r="AM75" s="286">
        <v>0</v>
      </c>
      <c r="AN75" s="286">
        <f t="shared" si="81"/>
        <v>0</v>
      </c>
      <c r="AO75" s="286">
        <f t="shared" si="82"/>
        <v>0</v>
      </c>
    </row>
    <row r="76" spans="1:41" ht="16.149999999999999" customHeight="1">
      <c r="A76" s="191"/>
      <c r="B76" s="192" t="s">
        <v>263</v>
      </c>
      <c r="C76" s="996">
        <f>+'Table 8 Membership 2.1.14'!H72</f>
        <v>1</v>
      </c>
      <c r="D76" s="194">
        <f>+D62</f>
        <v>5028.4909408288286</v>
      </c>
      <c r="E76" s="195">
        <f t="shared" si="63"/>
        <v>5028.4909408288286</v>
      </c>
      <c r="F76" s="195">
        <f>+F62</f>
        <v>614.66000000000008</v>
      </c>
      <c r="G76" s="195">
        <f t="shared" si="64"/>
        <v>614.66000000000008</v>
      </c>
      <c r="H76" s="346">
        <f t="shared" si="65"/>
        <v>5643.1509408288284</v>
      </c>
      <c r="I76" s="992">
        <f>'[1]Oct midyear DArbonne'!K73</f>
        <v>0</v>
      </c>
      <c r="J76" s="196">
        <f>'[1]Feb midyear DArbonne'!K73</f>
        <v>-2821.5754704144142</v>
      </c>
      <c r="K76" s="197">
        <f t="shared" si="66"/>
        <v>-2821.5754704144142</v>
      </c>
      <c r="L76" s="346">
        <f t="shared" si="58"/>
        <v>2821.5754704144142</v>
      </c>
      <c r="M76" s="296">
        <f t="shared" si="67"/>
        <v>-7.0539386760360356</v>
      </c>
      <c r="N76" s="346">
        <f t="shared" si="68"/>
        <v>2814.5215317383781</v>
      </c>
      <c r="O76" s="194">
        <v>0</v>
      </c>
      <c r="P76" s="352">
        <f t="shared" si="69"/>
        <v>2814.5215317383781</v>
      </c>
      <c r="Q76" s="622">
        <f>'[2]Table 5C1B-DArbonne'!S76+'[14]Table 5C1B-DArbonne'!S76+(6*'[20]Table 5C1B-DArbonne'!S76)</f>
        <v>3752</v>
      </c>
      <c r="R76" s="196">
        <f t="shared" si="70"/>
        <v>-937.47846826162186</v>
      </c>
      <c r="S76" s="356">
        <f t="shared" si="59"/>
        <v>-234</v>
      </c>
      <c r="T76" s="416">
        <f t="shared" si="71"/>
        <v>2814.5215317383781</v>
      </c>
      <c r="U76" s="281"/>
      <c r="V76" s="329"/>
      <c r="W76" s="996"/>
      <c r="X76" s="282"/>
      <c r="Y76" s="884"/>
      <c r="Z76" s="282"/>
      <c r="AA76" s="283"/>
      <c r="AB76" s="329"/>
      <c r="AC76" s="298"/>
      <c r="AD76" s="329"/>
      <c r="AE76" s="282"/>
      <c r="AF76" s="329"/>
      <c r="AG76" s="282"/>
      <c r="AH76" s="282"/>
      <c r="AI76" s="329"/>
      <c r="AJ76" s="297">
        <f>T76+AF76</f>
        <v>2814.5215317383781</v>
      </c>
      <c r="AK76" s="319">
        <f>S76+AI76</f>
        <v>-234</v>
      </c>
      <c r="AM76" s="296">
        <v>0</v>
      </c>
      <c r="AN76" s="286">
        <f t="shared" si="81"/>
        <v>0</v>
      </c>
      <c r="AO76" s="296">
        <f t="shared" si="82"/>
        <v>0</v>
      </c>
    </row>
    <row r="77" spans="1:41" ht="16.149999999999999" customHeight="1" thickBot="1">
      <c r="A77" s="1442" t="s">
        <v>711</v>
      </c>
      <c r="B77" s="1415"/>
      <c r="C77" s="997">
        <f>SUM(C7:C76)</f>
        <v>705</v>
      </c>
      <c r="D77" s="128">
        <f>+'Table 5C1A-Madison Prep'!D76</f>
        <v>4479.9292126977662</v>
      </c>
      <c r="E77" s="129">
        <f>SUM(E7:E76)</f>
        <v>3540755.2418517685</v>
      </c>
      <c r="F77" s="129">
        <f>+'Table 5C1A-Madison Prep'!F76</f>
        <v>704.64781030742063</v>
      </c>
      <c r="G77" s="129">
        <f t="shared" ref="G77:T77" si="83">SUM(G7:G76)</f>
        <v>434560.21</v>
      </c>
      <c r="H77" s="349">
        <f t="shared" si="83"/>
        <v>3975315.4518517684</v>
      </c>
      <c r="I77" s="132">
        <f t="shared" ref="I77:K77" si="84">SUM(I7:I76)</f>
        <v>572606.7265106925</v>
      </c>
      <c r="J77" s="133">
        <f t="shared" si="84"/>
        <v>-80792.488970996375</v>
      </c>
      <c r="K77" s="993">
        <f t="shared" si="84"/>
        <v>491814.2375396961</v>
      </c>
      <c r="L77" s="349">
        <f>SUM(L7:L76)</f>
        <v>4467129.689391464</v>
      </c>
      <c r="M77" s="130">
        <f t="shared" si="83"/>
        <v>-11167.824223478661</v>
      </c>
      <c r="N77" s="349">
        <f t="shared" si="83"/>
        <v>4455961.8651679857</v>
      </c>
      <c r="O77" s="133">
        <f t="shared" si="83"/>
        <v>0</v>
      </c>
      <c r="P77" s="349">
        <f t="shared" si="83"/>
        <v>4455961.8651679857</v>
      </c>
      <c r="Q77" s="128">
        <f t="shared" si="83"/>
        <v>3044148</v>
      </c>
      <c r="R77" s="128">
        <f t="shared" si="83"/>
        <v>1411813.8651679852</v>
      </c>
      <c r="S77" s="349">
        <f t="shared" si="83"/>
        <v>352953</v>
      </c>
      <c r="T77" s="417">
        <f t="shared" si="83"/>
        <v>4455961.8651679857</v>
      </c>
      <c r="U77" s="131">
        <f>'Table 5C1A-Madison Prep'!U76</f>
        <v>4703</v>
      </c>
      <c r="V77" s="369">
        <f t="shared" ref="V77:AI77" si="85">SUM(V7:V76)</f>
        <v>2048783</v>
      </c>
      <c r="W77" s="997">
        <f>SUM(W7:W76)</f>
        <v>101</v>
      </c>
      <c r="X77" s="134">
        <f>SUM(X7:X76)</f>
        <v>307626</v>
      </c>
      <c r="Y77" s="136">
        <f t="shared" ref="Y77:AA77" si="86">SUM(Y7:Y76)</f>
        <v>-28</v>
      </c>
      <c r="Z77" s="134">
        <f t="shared" si="86"/>
        <v>-40326.5</v>
      </c>
      <c r="AA77" s="316">
        <f t="shared" si="86"/>
        <v>267299.5</v>
      </c>
      <c r="AB77" s="369">
        <f>SUM(AB7:AB76)</f>
        <v>2316082.5</v>
      </c>
      <c r="AC77" s="132">
        <f t="shared" si="85"/>
        <v>-5790.2062500000002</v>
      </c>
      <c r="AD77" s="369">
        <f t="shared" si="85"/>
        <v>2310292.2937500002</v>
      </c>
      <c r="AE77" s="135">
        <f t="shared" si="85"/>
        <v>0</v>
      </c>
      <c r="AF77" s="369">
        <f t="shared" si="85"/>
        <v>2310292.2937500002</v>
      </c>
      <c r="AG77" s="135">
        <f t="shared" si="85"/>
        <v>1584374</v>
      </c>
      <c r="AH77" s="135">
        <f t="shared" si="85"/>
        <v>725918.29375000019</v>
      </c>
      <c r="AI77" s="369">
        <f t="shared" si="85"/>
        <v>181479</v>
      </c>
      <c r="AJ77" s="320">
        <f>SUM(AJ7:AJ76)</f>
        <v>6766254.1589179849</v>
      </c>
      <c r="AK77" s="320">
        <f>SUM(AK7:AK76)</f>
        <v>534432</v>
      </c>
      <c r="AM77" s="130">
        <f>SUM(AM7:AM76)</f>
        <v>-5136.1900000000005</v>
      </c>
      <c r="AN77" s="130">
        <f t="shared" ref="AN77:AO77" si="87">SUM(AN7:AN76)</f>
        <v>-5790.2062500000002</v>
      </c>
      <c r="AO77" s="130">
        <f t="shared" si="87"/>
        <v>-654.01624999999922</v>
      </c>
    </row>
    <row r="78" spans="1:41" ht="16.149999999999999" customHeight="1" thickTop="1">
      <c r="A78" s="1547" t="s">
        <v>705</v>
      </c>
      <c r="B78" s="1548"/>
      <c r="C78" s="999"/>
      <c r="D78" s="220"/>
      <c r="E78" s="220"/>
      <c r="F78" s="220"/>
      <c r="G78" s="220"/>
      <c r="H78" s="220"/>
      <c r="I78" s="222"/>
      <c r="J78" s="222"/>
      <c r="K78" s="222"/>
      <c r="L78" s="220"/>
      <c r="M78" s="310"/>
      <c r="N78" s="220"/>
      <c r="O78" s="220"/>
      <c r="P78" s="295">
        <f>'Table 4 Level 4'!$E96</f>
        <v>0</v>
      </c>
      <c r="Q78" s="203">
        <f>'[2]Table 5C1B-DArbonne'!S78+'[14]Table 5C1B-DArbonne'!S78+(6*'[20]Table 5C1B-DArbonne'!S78)</f>
        <v>0</v>
      </c>
      <c r="R78" s="222">
        <f t="shared" ref="R78" si="88">P78-Q78</f>
        <v>0</v>
      </c>
      <c r="S78" s="351">
        <f t="shared" ref="S78" si="89">ROUND(R78/$S$89,0)</f>
        <v>0</v>
      </c>
      <c r="T78" s="362">
        <f>'Table 4 Level 4'!$E96</f>
        <v>0</v>
      </c>
      <c r="U78" s="287"/>
      <c r="V78" s="290"/>
      <c r="W78" s="412"/>
      <c r="X78" s="290"/>
      <c r="Y78" s="289"/>
      <c r="Z78" s="290"/>
      <c r="AA78" s="290"/>
      <c r="AB78" s="293"/>
      <c r="AC78" s="290"/>
      <c r="AD78" s="290"/>
      <c r="AE78" s="290"/>
      <c r="AF78" s="290"/>
      <c r="AG78" s="290"/>
      <c r="AH78" s="290"/>
      <c r="AI78" s="290"/>
      <c r="AJ78" s="321">
        <f t="shared" ref="AJ78:AJ82" si="90">T78+AF78</f>
        <v>0</v>
      </c>
      <c r="AK78" s="321">
        <f t="shared" ref="AK78" si="91">S78+AI78</f>
        <v>0</v>
      </c>
    </row>
    <row r="79" spans="1:41" ht="16.149999999999999" customHeight="1">
      <c r="A79" s="1549" t="s">
        <v>706</v>
      </c>
      <c r="B79" s="1550"/>
      <c r="C79" s="999"/>
      <c r="D79" s="220"/>
      <c r="E79" s="220"/>
      <c r="F79" s="220"/>
      <c r="G79" s="220"/>
      <c r="H79" s="220"/>
      <c r="I79" s="222"/>
      <c r="J79" s="222"/>
      <c r="K79" s="222"/>
      <c r="L79" s="220"/>
      <c r="M79" s="310"/>
      <c r="N79" s="220"/>
      <c r="O79" s="220"/>
      <c r="P79" s="222"/>
      <c r="Q79" s="203"/>
      <c r="R79" s="222"/>
      <c r="S79" s="203"/>
      <c r="T79" s="362">
        <f>'Table 4 Level 4'!$J96</f>
        <v>0</v>
      </c>
      <c r="U79" s="287"/>
      <c r="V79" s="290"/>
      <c r="W79" s="412"/>
      <c r="X79" s="290"/>
      <c r="Y79" s="289"/>
      <c r="Z79" s="290"/>
      <c r="AA79" s="290"/>
      <c r="AB79" s="293"/>
      <c r="AC79" s="290"/>
      <c r="AD79" s="290"/>
      <c r="AE79" s="290"/>
      <c r="AF79" s="290"/>
      <c r="AG79" s="290"/>
      <c r="AH79" s="290"/>
      <c r="AI79" s="290"/>
      <c r="AJ79" s="321">
        <f t="shared" si="90"/>
        <v>0</v>
      </c>
      <c r="AK79" s="293"/>
    </row>
    <row r="80" spans="1:41" ht="16.149999999999999" customHeight="1">
      <c r="A80" s="1549" t="s">
        <v>707</v>
      </c>
      <c r="B80" s="1550"/>
      <c r="C80" s="999"/>
      <c r="D80" s="220"/>
      <c r="E80" s="220"/>
      <c r="F80" s="220"/>
      <c r="G80" s="220"/>
      <c r="H80" s="220"/>
      <c r="I80" s="222"/>
      <c r="J80" s="222"/>
      <c r="K80" s="222"/>
      <c r="L80" s="220"/>
      <c r="M80" s="310"/>
      <c r="N80" s="220"/>
      <c r="O80" s="220"/>
      <c r="P80" s="222"/>
      <c r="Q80" s="203"/>
      <c r="R80" s="222"/>
      <c r="S80" s="203"/>
      <c r="T80" s="362">
        <f>'Table 4 Level 4'!$L96</f>
        <v>10000</v>
      </c>
      <c r="U80" s="287"/>
      <c r="V80" s="290"/>
      <c r="W80" s="412"/>
      <c r="X80" s="290"/>
      <c r="Y80" s="289"/>
      <c r="Z80" s="290"/>
      <c r="AA80" s="290"/>
      <c r="AB80" s="293"/>
      <c r="AC80" s="290"/>
      <c r="AD80" s="290"/>
      <c r="AE80" s="290"/>
      <c r="AF80" s="290"/>
      <c r="AG80" s="290"/>
      <c r="AH80" s="290"/>
      <c r="AI80" s="290"/>
      <c r="AJ80" s="321">
        <f t="shared" si="90"/>
        <v>10000</v>
      </c>
      <c r="AK80" s="293"/>
    </row>
    <row r="81" spans="1:37" ht="16.149999999999999" customHeight="1">
      <c r="A81" s="1549" t="s">
        <v>708</v>
      </c>
      <c r="B81" s="1550"/>
      <c r="C81" s="999"/>
      <c r="D81" s="220"/>
      <c r="E81" s="220"/>
      <c r="F81" s="312"/>
      <c r="G81" s="220"/>
      <c r="H81" s="220"/>
      <c r="I81" s="311"/>
      <c r="J81" s="311"/>
      <c r="K81" s="311"/>
      <c r="L81" s="313"/>
      <c r="M81" s="314"/>
      <c r="N81" s="220"/>
      <c r="O81" s="220"/>
      <c r="P81" s="222"/>
      <c r="Q81" s="203"/>
      <c r="R81" s="222"/>
      <c r="S81" s="203"/>
      <c r="T81" s="362">
        <f>'Table 4 Level 4'!$M96</f>
        <v>0</v>
      </c>
      <c r="U81" s="287"/>
      <c r="V81" s="290"/>
      <c r="W81" s="998"/>
      <c r="X81" s="290"/>
      <c r="Y81" s="289"/>
      <c r="Z81" s="290"/>
      <c r="AA81" s="290"/>
      <c r="AB81" s="293"/>
      <c r="AC81" s="290"/>
      <c r="AD81" s="290"/>
      <c r="AE81" s="290"/>
      <c r="AF81" s="290"/>
      <c r="AG81" s="290"/>
      <c r="AH81" s="290"/>
      <c r="AI81" s="290"/>
      <c r="AJ81" s="321">
        <f t="shared" si="90"/>
        <v>0</v>
      </c>
      <c r="AK81" s="293"/>
    </row>
    <row r="82" spans="1:37" ht="16.149999999999999" customHeight="1">
      <c r="A82" s="1545" t="s">
        <v>709</v>
      </c>
      <c r="B82" s="1546"/>
      <c r="C82" s="1000"/>
      <c r="D82" s="215"/>
      <c r="E82" s="215"/>
      <c r="F82" s="215"/>
      <c r="G82" s="215"/>
      <c r="H82" s="215"/>
      <c r="I82" s="217"/>
      <c r="J82" s="217"/>
      <c r="K82" s="217"/>
      <c r="L82" s="215"/>
      <c r="M82" s="300"/>
      <c r="N82" s="215"/>
      <c r="O82" s="215"/>
      <c r="P82" s="353">
        <f>'Table 4 Level 4'!$O96</f>
        <v>4992</v>
      </c>
      <c r="Q82" s="885">
        <f>'[2]Table 5C1B-DArbonne'!S82+'[14]Table 5C1B-DArbonne'!S82+(6*'[20]Table 5C1B-DArbonne'!S82)</f>
        <v>3328</v>
      </c>
      <c r="R82" s="217">
        <f t="shared" ref="R82" si="92">P82-Q82</f>
        <v>1664</v>
      </c>
      <c r="S82" s="358">
        <f>ROUND(R82/$S$89,0)</f>
        <v>416</v>
      </c>
      <c r="T82" s="358">
        <f>P82</f>
        <v>4992</v>
      </c>
      <c r="U82" s="308"/>
      <c r="V82" s="302"/>
      <c r="W82" s="413"/>
      <c r="X82" s="302"/>
      <c r="Y82" s="301"/>
      <c r="Z82" s="302"/>
      <c r="AA82" s="302"/>
      <c r="AB82" s="307"/>
      <c r="AC82" s="302"/>
      <c r="AD82" s="302"/>
      <c r="AE82" s="302"/>
      <c r="AF82" s="302"/>
      <c r="AG82" s="302"/>
      <c r="AH82" s="302"/>
      <c r="AI82" s="302"/>
      <c r="AJ82" s="322">
        <f t="shared" si="90"/>
        <v>4992</v>
      </c>
      <c r="AK82" s="322">
        <f t="shared" ref="AK82" si="93">S82+AI82</f>
        <v>416</v>
      </c>
    </row>
    <row r="83" spans="1:37" ht="16.149999999999999" customHeight="1" thickBot="1">
      <c r="A83" s="1442" t="s">
        <v>710</v>
      </c>
      <c r="B83" s="1415"/>
      <c r="C83" s="136">
        <f>SUM(C77:C82)</f>
        <v>705</v>
      </c>
      <c r="D83" s="128">
        <f t="shared" ref="D83:AK83" si="94">SUM(D77:D82)</f>
        <v>4479.9292126977662</v>
      </c>
      <c r="E83" s="128">
        <f t="shared" si="94"/>
        <v>3540755.2418517685</v>
      </c>
      <c r="F83" s="128">
        <f t="shared" si="94"/>
        <v>704.64781030742063</v>
      </c>
      <c r="G83" s="128">
        <f t="shared" si="94"/>
        <v>434560.21</v>
      </c>
      <c r="H83" s="128">
        <f t="shared" si="94"/>
        <v>3975315.4518517684</v>
      </c>
      <c r="I83" s="134">
        <f t="shared" si="94"/>
        <v>572606.7265106925</v>
      </c>
      <c r="J83" s="133">
        <f t="shared" si="94"/>
        <v>-80792.488970996375</v>
      </c>
      <c r="K83" s="133">
        <f t="shared" si="94"/>
        <v>491814.2375396961</v>
      </c>
      <c r="L83" s="128">
        <f t="shared" si="94"/>
        <v>4467129.689391464</v>
      </c>
      <c r="M83" s="130">
        <f t="shared" si="94"/>
        <v>-11167.824223478661</v>
      </c>
      <c r="N83" s="128">
        <f t="shared" si="94"/>
        <v>4455961.8651679857</v>
      </c>
      <c r="O83" s="133">
        <f t="shared" si="94"/>
        <v>0</v>
      </c>
      <c r="P83" s="349">
        <f t="shared" si="94"/>
        <v>4460953.8651679857</v>
      </c>
      <c r="Q83" s="128">
        <f t="shared" si="94"/>
        <v>3047476</v>
      </c>
      <c r="R83" s="128">
        <f t="shared" si="94"/>
        <v>1413477.8651679852</v>
      </c>
      <c r="S83" s="349">
        <f t="shared" si="94"/>
        <v>353369</v>
      </c>
      <c r="T83" s="417">
        <f t="shared" si="94"/>
        <v>4470953.8651679857</v>
      </c>
      <c r="U83" s="131">
        <f t="shared" si="94"/>
        <v>4703</v>
      </c>
      <c r="V83" s="135">
        <f t="shared" si="94"/>
        <v>2048783</v>
      </c>
      <c r="W83" s="136">
        <f t="shared" si="94"/>
        <v>101</v>
      </c>
      <c r="X83" s="134">
        <f t="shared" si="94"/>
        <v>307626</v>
      </c>
      <c r="Y83" s="136">
        <f t="shared" si="94"/>
        <v>-28</v>
      </c>
      <c r="Z83" s="134">
        <f t="shared" si="94"/>
        <v>-40326.5</v>
      </c>
      <c r="AA83" s="134">
        <f t="shared" si="94"/>
        <v>267299.5</v>
      </c>
      <c r="AB83" s="135">
        <f t="shared" si="94"/>
        <v>2316082.5</v>
      </c>
      <c r="AC83" s="134">
        <f t="shared" si="94"/>
        <v>-5790.2062500000002</v>
      </c>
      <c r="AD83" s="135">
        <f t="shared" si="94"/>
        <v>2310292.2937500002</v>
      </c>
      <c r="AE83" s="135">
        <f t="shared" si="94"/>
        <v>0</v>
      </c>
      <c r="AF83" s="135">
        <f t="shared" si="94"/>
        <v>2310292.2937500002</v>
      </c>
      <c r="AG83" s="135">
        <f t="shared" si="94"/>
        <v>1584374</v>
      </c>
      <c r="AH83" s="135">
        <f t="shared" si="94"/>
        <v>725918.29375000019</v>
      </c>
      <c r="AI83" s="135">
        <f t="shared" si="94"/>
        <v>181479</v>
      </c>
      <c r="AJ83" s="320">
        <f t="shared" si="94"/>
        <v>6781246.1589179849</v>
      </c>
      <c r="AK83" s="320">
        <f t="shared" si="94"/>
        <v>534848</v>
      </c>
    </row>
    <row r="84" spans="1:37" ht="16.149999999999999" hidden="1" customHeight="1" thickTop="1">
      <c r="M84" s="627"/>
    </row>
    <row r="85" spans="1:37" ht="16.149999999999999" hidden="1" customHeight="1">
      <c r="M85" s="627">
        <v>-9938.28862962942</v>
      </c>
      <c r="N85" s="747" t="s">
        <v>1044</v>
      </c>
    </row>
    <row r="86" spans="1:37" ht="16.149999999999999" hidden="1" customHeight="1">
      <c r="M86" s="627">
        <f>M83-M85</f>
        <v>-1229.5355938492412</v>
      </c>
      <c r="N86" s="747" t="s">
        <v>1045</v>
      </c>
    </row>
    <row r="87" spans="1:37" ht="16.149999999999999" hidden="1" customHeight="1">
      <c r="M87" s="627"/>
    </row>
    <row r="88" spans="1:37" ht="16.149999999999999" hidden="1" customHeight="1">
      <c r="M88" s="627"/>
    </row>
    <row r="89" spans="1:37" ht="16.149999999999999" hidden="1" customHeight="1">
      <c r="R89" s="427" t="str">
        <f>'Table 2_State Distrib and Adjs'!$AK$77</f>
        <v>Monthly Pmts Remaining</v>
      </c>
      <c r="S89" s="427">
        <f>'Table 2_State Distrib and Adjs'!$AL$77</f>
        <v>4</v>
      </c>
      <c r="AH89" s="427" t="str">
        <f>'Table 2_State Distrib and Adjs'!$AK$77</f>
        <v>Monthly Pmts Remaining</v>
      </c>
      <c r="AI89" s="427">
        <f>'Table 2_State Distrib and Adjs'!$AL$77</f>
        <v>4</v>
      </c>
    </row>
    <row r="90" spans="1:37" ht="16.149999999999999" customHeight="1" thickTop="1"/>
    <row r="98" ht="13.9" customHeight="1"/>
  </sheetData>
  <mergeCells count="45">
    <mergeCell ref="U1:AB1"/>
    <mergeCell ref="AC1:AI1"/>
    <mergeCell ref="AG3:AG4"/>
    <mergeCell ref="AH3:AH4"/>
    <mergeCell ref="AI3:AI4"/>
    <mergeCell ref="W2:AA2"/>
    <mergeCell ref="Q3:Q4"/>
    <mergeCell ref="R3:R4"/>
    <mergeCell ref="AB3:AB4"/>
    <mergeCell ref="A1:B4"/>
    <mergeCell ref="L3:L4"/>
    <mergeCell ref="I2:K2"/>
    <mergeCell ref="W3:W4"/>
    <mergeCell ref="X3:X4"/>
    <mergeCell ref="P3:P4"/>
    <mergeCell ref="S3:S4"/>
    <mergeCell ref="U3:U4"/>
    <mergeCell ref="Y3:Y4"/>
    <mergeCell ref="Z3:Z4"/>
    <mergeCell ref="T3:T4"/>
    <mergeCell ref="C1:L1"/>
    <mergeCell ref="K3:K4"/>
    <mergeCell ref="AJ1:AJ4"/>
    <mergeCell ref="AK1:AK4"/>
    <mergeCell ref="C3:C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I3:I4"/>
    <mergeCell ref="J3:J4"/>
    <mergeCell ref="M1:T1"/>
    <mergeCell ref="A82:B82"/>
    <mergeCell ref="A83:B83"/>
    <mergeCell ref="A77:B77"/>
    <mergeCell ref="A78:B78"/>
    <mergeCell ref="A79:B79"/>
    <mergeCell ref="A80:B80"/>
    <mergeCell ref="A81:B81"/>
  </mergeCells>
  <printOptions horizontalCentered="1"/>
  <pageMargins left="0.3" right="0.3" top="0.75" bottom="0.75" header="0.3" footer="0.3"/>
  <pageSetup paperSize="5" scale="60" firstPageNumber="52" orientation="portrait" r:id="rId1"/>
  <headerFooter>
    <oddHeader>&amp;L&amp;"Arial,Bold"&amp;20&amp;K000000Table 5C1-B: FY2014-15 MFP Budget Letter (March 2015)
D'Arbonne Woods Charter School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427" customWidth="1"/>
    <col min="2" max="2" width="37.7109375" style="427" customWidth="1"/>
    <col min="3" max="3" width="12.140625" style="427" bestFit="1" customWidth="1"/>
    <col min="4" max="4" width="13.7109375" style="427" bestFit="1" customWidth="1"/>
    <col min="5" max="5" width="10.140625" style="427" bestFit="1" customWidth="1"/>
    <col min="6" max="7" width="12.28515625" style="427" bestFit="1" customWidth="1"/>
    <col min="8" max="8" width="11.5703125" style="427" bestFit="1" customWidth="1"/>
    <col min="9" max="12" width="11.85546875" style="427" bestFit="1" customWidth="1"/>
    <col min="13" max="13" width="10.85546875" style="427" bestFit="1" customWidth="1"/>
    <col min="14" max="14" width="13.140625" style="427" customWidth="1"/>
    <col min="15" max="15" width="13.42578125" style="427" bestFit="1" customWidth="1"/>
    <col min="16" max="16" width="14.7109375" style="427" customWidth="1"/>
    <col min="17" max="18" width="14" style="427" customWidth="1"/>
    <col min="19" max="19" width="10.7109375" style="427" customWidth="1"/>
    <col min="20" max="20" width="14.85546875" style="427" customWidth="1"/>
    <col min="21" max="22" width="14.5703125" style="427" customWidth="1"/>
    <col min="23" max="27" width="11.7109375" style="427" customWidth="1"/>
    <col min="28" max="28" width="14.42578125" style="427" bestFit="1" customWidth="1"/>
    <col min="29" max="29" width="10.5703125" style="427" customWidth="1"/>
    <col min="30" max="30" width="14.42578125" style="427" bestFit="1" customWidth="1"/>
    <col min="31" max="31" width="11.85546875" style="427" bestFit="1" customWidth="1"/>
    <col min="32" max="32" width="14.42578125" style="427" bestFit="1" customWidth="1"/>
    <col min="33" max="34" width="10.7109375" style="427" bestFit="1" customWidth="1"/>
    <col min="35" max="37" width="14.42578125" style="427" bestFit="1" customWidth="1"/>
    <col min="38" max="38" width="0" style="427" hidden="1" customWidth="1"/>
    <col min="39" max="40" width="12.28515625" style="427" hidden="1" customWidth="1"/>
    <col min="41" max="41" width="10" style="427" hidden="1" customWidth="1"/>
    <col min="42" max="16384" width="8.85546875" style="427"/>
  </cols>
  <sheetData>
    <row r="1" spans="1:41" ht="23.45" customHeight="1">
      <c r="A1" s="1556" t="s">
        <v>750</v>
      </c>
      <c r="B1" s="1557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558"/>
      <c r="B2" s="1559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60"/>
      <c r="B3" s="1559"/>
      <c r="C3" s="1525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886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61"/>
      <c r="B4" s="1562"/>
      <c r="C4" s="1520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8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ref="I5" si="2">H5+1</f>
        <v>7</v>
      </c>
      <c r="J5" s="23">
        <f t="shared" ref="J5" si="3">I5+1</f>
        <v>8</v>
      </c>
      <c r="K5" s="23">
        <f t="shared" ref="K5" si="4">J5+1</f>
        <v>9</v>
      </c>
      <c r="L5" s="23">
        <f t="shared" ref="L5" si="5">K5+1</f>
        <v>10</v>
      </c>
      <c r="M5" s="23">
        <f t="shared" ref="M5" si="6">L5+1</f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ref="Q5" si="7">P5+1</f>
        <v>15</v>
      </c>
      <c r="R5" s="23">
        <f t="shared" ref="R5" si="8">Q5+1</f>
        <v>16</v>
      </c>
      <c r="S5" s="23">
        <f t="shared" ref="S5" si="9">R5+1</f>
        <v>17</v>
      </c>
      <c r="T5" s="23">
        <f t="shared" ref="T5" si="10">S5+1</f>
        <v>18</v>
      </c>
      <c r="U5" s="23">
        <f t="shared" ref="U5" si="11">T5+1</f>
        <v>19</v>
      </c>
      <c r="V5" s="23">
        <f t="shared" si="1"/>
        <v>20</v>
      </c>
      <c r="W5" s="23">
        <f t="shared" ref="W5" si="12">V5+1</f>
        <v>21</v>
      </c>
      <c r="X5" s="23">
        <f t="shared" ref="X5" si="13">W5+1</f>
        <v>22</v>
      </c>
      <c r="Y5" s="23">
        <f t="shared" ref="Y5" si="14">X5+1</f>
        <v>23</v>
      </c>
      <c r="Z5" s="23">
        <f t="shared" ref="Z5" si="15">Y5+1</f>
        <v>24</v>
      </c>
      <c r="AA5" s="23">
        <f t="shared" ref="AA5" si="16">Z5+1</f>
        <v>25</v>
      </c>
      <c r="AB5" s="23">
        <f t="shared" ref="AB5" si="17">AA5+1</f>
        <v>26</v>
      </c>
      <c r="AC5" s="23">
        <f t="shared" ref="AC5" si="18">AB5+1</f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ref="AG5" si="19">AF5+1</f>
        <v>31</v>
      </c>
      <c r="AH5" s="23">
        <f t="shared" ref="AH5" si="20">AG5+1</f>
        <v>32</v>
      </c>
      <c r="AI5" s="23">
        <f t="shared" ref="AI5" si="21">AH5+1</f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2.1.14'!K3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Intl_VIBE'!K4</f>
        <v>0</v>
      </c>
      <c r="J7" s="210">
        <f>'[1]Feb midyear Intl_VIBE'!K4</f>
        <v>0</v>
      </c>
      <c r="K7" s="211">
        <f>I7+J7</f>
        <v>0</v>
      </c>
      <c r="L7" s="344">
        <f>+H7+K7</f>
        <v>0</v>
      </c>
      <c r="M7" s="273">
        <f>-(0.25%*L7)</f>
        <v>0</v>
      </c>
      <c r="N7" s="344">
        <f>SUM(L7:M7)</f>
        <v>0</v>
      </c>
      <c r="O7" s="208">
        <v>0</v>
      </c>
      <c r="P7" s="344">
        <f>SUM(N7:O7)</f>
        <v>0</v>
      </c>
      <c r="Q7" s="208">
        <f>8*'[2]Table 5C1C-Intl_VIBE'!S7</f>
        <v>0</v>
      </c>
      <c r="R7" s="208">
        <f>+P7-Q7</f>
        <v>0</v>
      </c>
      <c r="S7" s="344">
        <f t="shared" ref="S7:S38" si="22">ROUND(R7/$S$88,0)</f>
        <v>0</v>
      </c>
      <c r="T7" s="344">
        <f>+P7</f>
        <v>0</v>
      </c>
      <c r="U7" s="280">
        <f>+'Table 5C1A-Madison Prep'!U7</f>
        <v>2424</v>
      </c>
      <c r="V7" s="323">
        <f t="shared" ref="V7:V38" si="23">C7*U7</f>
        <v>0</v>
      </c>
      <c r="W7" s="883">
        <f>'[1]Oct midyear Intl_VIBE'!E4</f>
        <v>0</v>
      </c>
      <c r="X7" s="276">
        <f>+U7*W7</f>
        <v>0</v>
      </c>
      <c r="Y7" s="883">
        <f>'[1]Feb midyear Intl_VIBE'!E4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6">
        <f>8*'[2]Table 5C1C-Intl_VIBE'!AI7</f>
        <v>0</v>
      </c>
      <c r="AH7" s="276">
        <f>+AF7-AG7</f>
        <v>0</v>
      </c>
      <c r="AI7" s="327">
        <f t="shared" ref="AI7:AI38" si="24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25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2.1.14'!K4</f>
        <v>0</v>
      </c>
      <c r="D8" s="201">
        <f>+'Table 5C1A-Madison Prep'!D8</f>
        <v>6316.6266417386641</v>
      </c>
      <c r="E8" s="202">
        <f t="shared" ref="E8:E71" si="26">C8*D8</f>
        <v>0</v>
      </c>
      <c r="F8" s="202">
        <f>+'Table 5C1A-Madison Prep'!F8</f>
        <v>842.32</v>
      </c>
      <c r="G8" s="202">
        <f t="shared" ref="G8:G71" si="27">C8*F8</f>
        <v>0</v>
      </c>
      <c r="H8" s="345">
        <f t="shared" ref="H8:H71" si="28">E8+G8</f>
        <v>0</v>
      </c>
      <c r="I8" s="203">
        <f>'[1]Oct midyear Intl_VIBE'!K5</f>
        <v>0</v>
      </c>
      <c r="J8" s="203">
        <f>'[1]Feb midyear Intl_VIBE'!K5</f>
        <v>0</v>
      </c>
      <c r="K8" s="204">
        <f t="shared" ref="K8:K71" si="29">I8+J8</f>
        <v>0</v>
      </c>
      <c r="L8" s="345">
        <f t="shared" ref="L8:L71" si="30">+H8+K8</f>
        <v>0</v>
      </c>
      <c r="M8" s="286">
        <f t="shared" ref="M8:M71" si="31">-(0.25%*L8)</f>
        <v>0</v>
      </c>
      <c r="N8" s="345">
        <f t="shared" ref="N8:N71" si="32">SUM(L8:M8)</f>
        <v>0</v>
      </c>
      <c r="O8" s="201">
        <v>0</v>
      </c>
      <c r="P8" s="345">
        <f t="shared" ref="P8:P71" si="33">SUM(N8:O8)</f>
        <v>0</v>
      </c>
      <c r="Q8" s="201">
        <f>8*'[2]Table 5C1C-Intl_VIBE'!S8</f>
        <v>0</v>
      </c>
      <c r="R8" s="201">
        <f t="shared" ref="R8:R71" si="34">+P8-Q8</f>
        <v>0</v>
      </c>
      <c r="S8" s="345">
        <f t="shared" si="22"/>
        <v>0</v>
      </c>
      <c r="T8" s="345">
        <f t="shared" ref="T8:T71" si="35">+P8</f>
        <v>0</v>
      </c>
      <c r="U8" s="294">
        <f>+'Table 5C1A-Madison Prep'!U8</f>
        <v>2786</v>
      </c>
      <c r="V8" s="324">
        <f t="shared" si="23"/>
        <v>0</v>
      </c>
      <c r="W8" s="289">
        <f>'[1]Oct midyear Intl_VIBE'!E5</f>
        <v>0</v>
      </c>
      <c r="X8" s="290">
        <f t="shared" ref="X8:X71" si="36">+U8*W8</f>
        <v>0</v>
      </c>
      <c r="Y8" s="289">
        <f>'[1]Feb midyear Intl_VIBE'!E5</f>
        <v>0</v>
      </c>
      <c r="Z8" s="290">
        <f t="shared" ref="Z8:Z71" si="37">+U8*Y8*0.5</f>
        <v>0</v>
      </c>
      <c r="AA8" s="288">
        <f t="shared" ref="AA8:AA71" si="38">+X8+Z8</f>
        <v>0</v>
      </c>
      <c r="AB8" s="324">
        <f t="shared" ref="AB8:AB71" si="39">+V8+AA8</f>
        <v>0</v>
      </c>
      <c r="AC8" s="292">
        <f t="shared" ref="AC8:AC71" si="40">-(0.25%*AB8)</f>
        <v>0</v>
      </c>
      <c r="AD8" s="324">
        <f t="shared" ref="AD8:AD71" si="41">SUM(AB8:AC8)</f>
        <v>0</v>
      </c>
      <c r="AE8" s="293">
        <v>0</v>
      </c>
      <c r="AF8" s="324">
        <f t="shared" ref="AF8:AF71" si="42">SUM(AD8:AE8)</f>
        <v>0</v>
      </c>
      <c r="AG8" s="290">
        <f>8*'[2]Table 5C1C-Intl_VIBE'!AI8</f>
        <v>0</v>
      </c>
      <c r="AH8" s="290">
        <f t="shared" ref="AH8:AH71" si="43">+AF8-AG8</f>
        <v>0</v>
      </c>
      <c r="AI8" s="328">
        <f t="shared" si="24"/>
        <v>0</v>
      </c>
      <c r="AJ8" s="321">
        <f t="shared" ref="AJ8:AJ71" si="44">T8+AF8</f>
        <v>0</v>
      </c>
      <c r="AK8" s="342">
        <f t="shared" ref="AK8:AK71" si="45">S8+AI8</f>
        <v>0</v>
      </c>
      <c r="AM8" s="286">
        <v>0</v>
      </c>
      <c r="AN8" s="286">
        <f t="shared" ref="AN8:AN71" si="46">+AC8</f>
        <v>0</v>
      </c>
      <c r="AO8" s="286">
        <f t="shared" si="25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2.1.14'!K5</f>
        <v>0</v>
      </c>
      <c r="D9" s="201">
        <f>+'Table 5C1A-Madison Prep'!D9</f>
        <v>4155.1862027396819</v>
      </c>
      <c r="E9" s="202">
        <f t="shared" si="26"/>
        <v>0</v>
      </c>
      <c r="F9" s="202">
        <f>+'Table 5C1A-Madison Prep'!F9</f>
        <v>596.84</v>
      </c>
      <c r="G9" s="202">
        <f t="shared" si="27"/>
        <v>0</v>
      </c>
      <c r="H9" s="345">
        <f t="shared" si="28"/>
        <v>0</v>
      </c>
      <c r="I9" s="203">
        <f>'[1]Oct midyear Intl_VIBE'!K6</f>
        <v>0</v>
      </c>
      <c r="J9" s="203">
        <f>'[1]Feb midyear Intl_VIBE'!K6</f>
        <v>0</v>
      </c>
      <c r="K9" s="204">
        <f t="shared" si="29"/>
        <v>0</v>
      </c>
      <c r="L9" s="345">
        <f t="shared" si="30"/>
        <v>0</v>
      </c>
      <c r="M9" s="286">
        <f t="shared" si="31"/>
        <v>0</v>
      </c>
      <c r="N9" s="345">
        <f t="shared" si="32"/>
        <v>0</v>
      </c>
      <c r="O9" s="201">
        <v>0</v>
      </c>
      <c r="P9" s="345">
        <f t="shared" si="33"/>
        <v>0</v>
      </c>
      <c r="Q9" s="201">
        <f>8*'[2]Table 5C1C-Intl_VIBE'!S9</f>
        <v>0</v>
      </c>
      <c r="R9" s="201">
        <f t="shared" si="34"/>
        <v>0</v>
      </c>
      <c r="S9" s="345">
        <f t="shared" si="22"/>
        <v>0</v>
      </c>
      <c r="T9" s="345">
        <f t="shared" si="35"/>
        <v>0</v>
      </c>
      <c r="U9" s="294">
        <f>+'Table 5C1A-Madison Prep'!U9</f>
        <v>5927</v>
      </c>
      <c r="V9" s="324">
        <f t="shared" si="23"/>
        <v>0</v>
      </c>
      <c r="W9" s="289">
        <f>'[1]Oct midyear Intl_VIBE'!E6</f>
        <v>0</v>
      </c>
      <c r="X9" s="290">
        <f t="shared" si="36"/>
        <v>0</v>
      </c>
      <c r="Y9" s="289">
        <f>'[1]Feb midyear Intl_VIBE'!E6</f>
        <v>0</v>
      </c>
      <c r="Z9" s="290">
        <f t="shared" si="37"/>
        <v>0</v>
      </c>
      <c r="AA9" s="288">
        <f t="shared" si="38"/>
        <v>0</v>
      </c>
      <c r="AB9" s="324">
        <f t="shared" si="39"/>
        <v>0</v>
      </c>
      <c r="AC9" s="292">
        <f t="shared" si="40"/>
        <v>0</v>
      </c>
      <c r="AD9" s="324">
        <f t="shared" si="41"/>
        <v>0</v>
      </c>
      <c r="AE9" s="293">
        <v>0</v>
      </c>
      <c r="AF9" s="324">
        <f t="shared" si="42"/>
        <v>0</v>
      </c>
      <c r="AG9" s="290">
        <f>8*'[2]Table 5C1C-Intl_VIBE'!AI9</f>
        <v>0</v>
      </c>
      <c r="AH9" s="290">
        <f t="shared" si="43"/>
        <v>0</v>
      </c>
      <c r="AI9" s="328">
        <f t="shared" si="24"/>
        <v>0</v>
      </c>
      <c r="AJ9" s="321">
        <f t="shared" si="44"/>
        <v>0</v>
      </c>
      <c r="AK9" s="342">
        <f t="shared" si="45"/>
        <v>0</v>
      </c>
      <c r="AM9" s="286">
        <v>0</v>
      </c>
      <c r="AN9" s="286">
        <f t="shared" si="46"/>
        <v>0</v>
      </c>
      <c r="AO9" s="286">
        <f t="shared" si="25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2.1.14'!K6</f>
        <v>0</v>
      </c>
      <c r="D10" s="201">
        <f>+'Table 5C1A-Madison Prep'!D10</f>
        <v>6119.0581446878568</v>
      </c>
      <c r="E10" s="202">
        <f t="shared" si="26"/>
        <v>0</v>
      </c>
      <c r="F10" s="202">
        <f>+'Table 5C1A-Madison Prep'!F10</f>
        <v>585.76</v>
      </c>
      <c r="G10" s="202">
        <f t="shared" si="27"/>
        <v>0</v>
      </c>
      <c r="H10" s="345">
        <f t="shared" si="28"/>
        <v>0</v>
      </c>
      <c r="I10" s="203">
        <f>'[1]Oct midyear Intl_VIBE'!K7</f>
        <v>0</v>
      </c>
      <c r="J10" s="203">
        <f>'[1]Feb midyear Intl_VIBE'!K7</f>
        <v>0</v>
      </c>
      <c r="K10" s="204">
        <f t="shared" si="29"/>
        <v>0</v>
      </c>
      <c r="L10" s="345">
        <f t="shared" si="30"/>
        <v>0</v>
      </c>
      <c r="M10" s="286">
        <f t="shared" si="31"/>
        <v>0</v>
      </c>
      <c r="N10" s="345">
        <f t="shared" si="32"/>
        <v>0</v>
      </c>
      <c r="O10" s="201">
        <v>0</v>
      </c>
      <c r="P10" s="345">
        <f t="shared" si="33"/>
        <v>0</v>
      </c>
      <c r="Q10" s="201">
        <f>8*'[2]Table 5C1C-Intl_VIBE'!S10</f>
        <v>0</v>
      </c>
      <c r="R10" s="201">
        <f t="shared" si="34"/>
        <v>0</v>
      </c>
      <c r="S10" s="345">
        <f t="shared" si="22"/>
        <v>0</v>
      </c>
      <c r="T10" s="345">
        <f t="shared" si="35"/>
        <v>0</v>
      </c>
      <c r="U10" s="294">
        <f>+'Table 5C1A-Madison Prep'!U10</f>
        <v>4203</v>
      </c>
      <c r="V10" s="324">
        <f t="shared" si="23"/>
        <v>0</v>
      </c>
      <c r="W10" s="289">
        <f>'[1]Oct midyear Intl_VIBE'!E7</f>
        <v>0</v>
      </c>
      <c r="X10" s="290">
        <f t="shared" si="36"/>
        <v>0</v>
      </c>
      <c r="Y10" s="289">
        <f>'[1]Feb midyear Intl_VIBE'!E7</f>
        <v>0</v>
      </c>
      <c r="Z10" s="290">
        <f t="shared" si="37"/>
        <v>0</v>
      </c>
      <c r="AA10" s="288">
        <f t="shared" si="38"/>
        <v>0</v>
      </c>
      <c r="AB10" s="324">
        <f t="shared" si="39"/>
        <v>0</v>
      </c>
      <c r="AC10" s="292">
        <f t="shared" si="40"/>
        <v>0</v>
      </c>
      <c r="AD10" s="324">
        <f t="shared" si="41"/>
        <v>0</v>
      </c>
      <c r="AE10" s="293">
        <v>0</v>
      </c>
      <c r="AF10" s="324">
        <f t="shared" si="42"/>
        <v>0</v>
      </c>
      <c r="AG10" s="290">
        <f>8*'[2]Table 5C1C-Intl_VIBE'!AI10</f>
        <v>0</v>
      </c>
      <c r="AH10" s="290">
        <f t="shared" si="43"/>
        <v>0</v>
      </c>
      <c r="AI10" s="328">
        <f t="shared" si="24"/>
        <v>0</v>
      </c>
      <c r="AJ10" s="321">
        <f t="shared" si="44"/>
        <v>0</v>
      </c>
      <c r="AK10" s="342">
        <f t="shared" si="45"/>
        <v>0</v>
      </c>
      <c r="AM10" s="286">
        <v>0</v>
      </c>
      <c r="AN10" s="286">
        <f t="shared" si="46"/>
        <v>0</v>
      </c>
      <c r="AO10" s="286">
        <f t="shared" si="25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2.1.14'!K7</f>
        <v>0</v>
      </c>
      <c r="D11" s="194">
        <f>+'Table 5C1A-Madison Prep'!D11</f>
        <v>5268.940566009911</v>
      </c>
      <c r="E11" s="195">
        <f t="shared" si="26"/>
        <v>0</v>
      </c>
      <c r="F11" s="195">
        <f>+'Table 5C1A-Madison Prep'!F11</f>
        <v>555.91</v>
      </c>
      <c r="G11" s="195">
        <f t="shared" si="27"/>
        <v>0</v>
      </c>
      <c r="H11" s="346">
        <f t="shared" si="28"/>
        <v>0</v>
      </c>
      <c r="I11" s="196">
        <f>'[1]Oct midyear Intl_VIBE'!K8</f>
        <v>0</v>
      </c>
      <c r="J11" s="196">
        <f>'[1]Feb midyear Intl_VIBE'!K8</f>
        <v>0</v>
      </c>
      <c r="K11" s="197">
        <f t="shared" si="29"/>
        <v>0</v>
      </c>
      <c r="L11" s="346">
        <f t="shared" si="30"/>
        <v>0</v>
      </c>
      <c r="M11" s="296">
        <f t="shared" si="31"/>
        <v>0</v>
      </c>
      <c r="N11" s="346">
        <f t="shared" si="32"/>
        <v>0</v>
      </c>
      <c r="O11" s="194">
        <v>0</v>
      </c>
      <c r="P11" s="346">
        <f t="shared" si="33"/>
        <v>0</v>
      </c>
      <c r="Q11" s="194">
        <f>8*'[2]Table 5C1C-Intl_VIBE'!S11</f>
        <v>0</v>
      </c>
      <c r="R11" s="194">
        <f t="shared" si="34"/>
        <v>0</v>
      </c>
      <c r="S11" s="346">
        <f t="shared" si="22"/>
        <v>0</v>
      </c>
      <c r="T11" s="346">
        <f t="shared" si="35"/>
        <v>0</v>
      </c>
      <c r="U11" s="285">
        <f>+'Table 5C1A-Madison Prep'!U11</f>
        <v>1923</v>
      </c>
      <c r="V11" s="325">
        <f t="shared" si="23"/>
        <v>0</v>
      </c>
      <c r="W11" s="884">
        <f>'[1]Oct midyear Intl_VIBE'!E8</f>
        <v>0</v>
      </c>
      <c r="X11" s="282">
        <f t="shared" si="36"/>
        <v>0</v>
      </c>
      <c r="Y11" s="884">
        <f>'[1]Feb midyear Intl_VIBE'!E8</f>
        <v>0</v>
      </c>
      <c r="Z11" s="282">
        <f t="shared" si="37"/>
        <v>0</v>
      </c>
      <c r="AA11" s="283">
        <f t="shared" si="38"/>
        <v>0</v>
      </c>
      <c r="AB11" s="325">
        <f t="shared" si="39"/>
        <v>0</v>
      </c>
      <c r="AC11" s="298">
        <f t="shared" si="40"/>
        <v>0</v>
      </c>
      <c r="AD11" s="325">
        <f t="shared" si="41"/>
        <v>0</v>
      </c>
      <c r="AE11" s="284">
        <v>0</v>
      </c>
      <c r="AF11" s="325">
        <f t="shared" si="42"/>
        <v>0</v>
      </c>
      <c r="AG11" s="282">
        <f>8*'[2]Table 5C1C-Intl_VIBE'!AI11</f>
        <v>0</v>
      </c>
      <c r="AH11" s="282">
        <f t="shared" si="43"/>
        <v>0</v>
      </c>
      <c r="AI11" s="329">
        <f t="shared" si="24"/>
        <v>0</v>
      </c>
      <c r="AJ11" s="338">
        <f t="shared" si="44"/>
        <v>0</v>
      </c>
      <c r="AK11" s="343">
        <f t="shared" si="45"/>
        <v>0</v>
      </c>
      <c r="AM11" s="296">
        <v>0</v>
      </c>
      <c r="AN11" s="296">
        <f t="shared" si="46"/>
        <v>0</v>
      </c>
      <c r="AO11" s="296">
        <f t="shared" si="25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2.1.14'!K8</f>
        <v>0</v>
      </c>
      <c r="D12" s="208">
        <f>+'Table 5C1A-Madison Prep'!D12</f>
        <v>5378.5086124955869</v>
      </c>
      <c r="E12" s="209">
        <f t="shared" si="26"/>
        <v>0</v>
      </c>
      <c r="F12" s="209">
        <f>+'Table 5C1A-Madison Prep'!F12</f>
        <v>545.4799999999999</v>
      </c>
      <c r="G12" s="209">
        <f t="shared" si="27"/>
        <v>0</v>
      </c>
      <c r="H12" s="344">
        <f t="shared" si="28"/>
        <v>0</v>
      </c>
      <c r="I12" s="210">
        <f>'[1]Oct midyear Intl_VIBE'!K9</f>
        <v>0</v>
      </c>
      <c r="J12" s="210">
        <f>'[1]Feb midyear Intl_VIBE'!K9</f>
        <v>0</v>
      </c>
      <c r="K12" s="211">
        <f t="shared" si="29"/>
        <v>0</v>
      </c>
      <c r="L12" s="344">
        <f t="shared" si="30"/>
        <v>0</v>
      </c>
      <c r="M12" s="273">
        <f t="shared" si="31"/>
        <v>0</v>
      </c>
      <c r="N12" s="344">
        <f t="shared" si="32"/>
        <v>0</v>
      </c>
      <c r="O12" s="208">
        <v>0</v>
      </c>
      <c r="P12" s="344">
        <f t="shared" si="33"/>
        <v>0</v>
      </c>
      <c r="Q12" s="208">
        <f>8*'[2]Table 5C1C-Intl_VIBE'!S12</f>
        <v>0</v>
      </c>
      <c r="R12" s="208">
        <f t="shared" si="34"/>
        <v>0</v>
      </c>
      <c r="S12" s="344">
        <f t="shared" si="22"/>
        <v>0</v>
      </c>
      <c r="T12" s="344">
        <f t="shared" si="35"/>
        <v>0</v>
      </c>
      <c r="U12" s="280">
        <f>+'Table 5C1A-Madison Prep'!U12</f>
        <v>4057</v>
      </c>
      <c r="V12" s="323">
        <f t="shared" si="23"/>
        <v>0</v>
      </c>
      <c r="W12" s="883">
        <f>'[1]Oct midyear Intl_VIBE'!E9</f>
        <v>0</v>
      </c>
      <c r="X12" s="276">
        <f t="shared" si="36"/>
        <v>0</v>
      </c>
      <c r="Y12" s="883">
        <f>'[1]Feb midyear Intl_VIBE'!E9</f>
        <v>0</v>
      </c>
      <c r="Z12" s="276">
        <f t="shared" si="37"/>
        <v>0</v>
      </c>
      <c r="AA12" s="275">
        <f t="shared" si="38"/>
        <v>0</v>
      </c>
      <c r="AB12" s="323">
        <f t="shared" si="39"/>
        <v>0</v>
      </c>
      <c r="AC12" s="278">
        <f t="shared" si="40"/>
        <v>0</v>
      </c>
      <c r="AD12" s="323">
        <f t="shared" si="41"/>
        <v>0</v>
      </c>
      <c r="AE12" s="279">
        <v>0</v>
      </c>
      <c r="AF12" s="323">
        <f t="shared" si="42"/>
        <v>0</v>
      </c>
      <c r="AG12" s="276">
        <f>8*'[2]Table 5C1C-Intl_VIBE'!AI12</f>
        <v>0</v>
      </c>
      <c r="AH12" s="276">
        <f t="shared" si="43"/>
        <v>0</v>
      </c>
      <c r="AI12" s="327">
        <f t="shared" si="24"/>
        <v>0</v>
      </c>
      <c r="AJ12" s="337">
        <f t="shared" si="44"/>
        <v>0</v>
      </c>
      <c r="AK12" s="341">
        <f t="shared" si="45"/>
        <v>0</v>
      </c>
      <c r="AM12" s="273">
        <v>0</v>
      </c>
      <c r="AN12" s="273">
        <f t="shared" si="46"/>
        <v>0</v>
      </c>
      <c r="AO12" s="273">
        <f t="shared" si="25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2.1.14'!K9</f>
        <v>0</v>
      </c>
      <c r="D13" s="201">
        <f>+'Table 5C1A-Madison Prep'!D13</f>
        <v>2243.0031963470319</v>
      </c>
      <c r="E13" s="202">
        <f t="shared" si="26"/>
        <v>0</v>
      </c>
      <c r="F13" s="202">
        <f>+'Table 5C1A-Madison Prep'!F13</f>
        <v>756.91999999999985</v>
      </c>
      <c r="G13" s="202">
        <f t="shared" si="27"/>
        <v>0</v>
      </c>
      <c r="H13" s="345">
        <f t="shared" si="28"/>
        <v>0</v>
      </c>
      <c r="I13" s="203">
        <f>'[1]Oct midyear Intl_VIBE'!K10</f>
        <v>0</v>
      </c>
      <c r="J13" s="203">
        <f>'[1]Feb midyear Intl_VIBE'!K10</f>
        <v>0</v>
      </c>
      <c r="K13" s="204">
        <f t="shared" si="29"/>
        <v>0</v>
      </c>
      <c r="L13" s="345">
        <f t="shared" si="30"/>
        <v>0</v>
      </c>
      <c r="M13" s="286">
        <f t="shared" si="31"/>
        <v>0</v>
      </c>
      <c r="N13" s="345">
        <f t="shared" si="32"/>
        <v>0</v>
      </c>
      <c r="O13" s="201">
        <v>0</v>
      </c>
      <c r="P13" s="345">
        <f t="shared" si="33"/>
        <v>0</v>
      </c>
      <c r="Q13" s="201">
        <f>8*'[2]Table 5C1C-Intl_VIBE'!S13</f>
        <v>0</v>
      </c>
      <c r="R13" s="201">
        <f t="shared" si="34"/>
        <v>0</v>
      </c>
      <c r="S13" s="345">
        <f t="shared" si="22"/>
        <v>0</v>
      </c>
      <c r="T13" s="345">
        <f t="shared" si="35"/>
        <v>0</v>
      </c>
      <c r="U13" s="294">
        <f>+'Table 5C1A-Madison Prep'!U13</f>
        <v>12112</v>
      </c>
      <c r="V13" s="324">
        <f t="shared" si="23"/>
        <v>0</v>
      </c>
      <c r="W13" s="289">
        <f>'[1]Oct midyear Intl_VIBE'!E10</f>
        <v>0</v>
      </c>
      <c r="X13" s="290">
        <f t="shared" si="36"/>
        <v>0</v>
      </c>
      <c r="Y13" s="289">
        <f>'[1]Feb midyear Intl_VIBE'!E10</f>
        <v>0</v>
      </c>
      <c r="Z13" s="290">
        <f t="shared" si="37"/>
        <v>0</v>
      </c>
      <c r="AA13" s="288">
        <f t="shared" si="38"/>
        <v>0</v>
      </c>
      <c r="AB13" s="324">
        <f t="shared" si="39"/>
        <v>0</v>
      </c>
      <c r="AC13" s="292">
        <f t="shared" si="40"/>
        <v>0</v>
      </c>
      <c r="AD13" s="324">
        <f t="shared" si="41"/>
        <v>0</v>
      </c>
      <c r="AE13" s="293">
        <v>0</v>
      </c>
      <c r="AF13" s="324">
        <f t="shared" si="42"/>
        <v>0</v>
      </c>
      <c r="AG13" s="290">
        <f>8*'[2]Table 5C1C-Intl_VIBE'!AI13</f>
        <v>0</v>
      </c>
      <c r="AH13" s="290">
        <f t="shared" si="43"/>
        <v>0</v>
      </c>
      <c r="AI13" s="328">
        <f t="shared" si="24"/>
        <v>0</v>
      </c>
      <c r="AJ13" s="321">
        <f t="shared" si="44"/>
        <v>0</v>
      </c>
      <c r="AK13" s="342">
        <f t="shared" si="45"/>
        <v>0</v>
      </c>
      <c r="AM13" s="286">
        <v>0</v>
      </c>
      <c r="AN13" s="286">
        <f t="shared" si="46"/>
        <v>0</v>
      </c>
      <c r="AO13" s="286">
        <f t="shared" si="25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2.1.14'!K10</f>
        <v>0</v>
      </c>
      <c r="D14" s="201">
        <f>+'Table 5C1A-Madison Prep'!D14</f>
        <v>4669.802459558854</v>
      </c>
      <c r="E14" s="202">
        <f t="shared" si="26"/>
        <v>0</v>
      </c>
      <c r="F14" s="202">
        <f>+'Table 5C1A-Madison Prep'!F14</f>
        <v>725.76</v>
      </c>
      <c r="G14" s="202">
        <f t="shared" si="27"/>
        <v>0</v>
      </c>
      <c r="H14" s="345">
        <f t="shared" si="28"/>
        <v>0</v>
      </c>
      <c r="I14" s="203">
        <f>'[1]Oct midyear Intl_VIBE'!K11</f>
        <v>0</v>
      </c>
      <c r="J14" s="203">
        <f>'[1]Feb midyear Intl_VIBE'!K11</f>
        <v>0</v>
      </c>
      <c r="K14" s="204">
        <f t="shared" si="29"/>
        <v>0</v>
      </c>
      <c r="L14" s="345">
        <f t="shared" si="30"/>
        <v>0</v>
      </c>
      <c r="M14" s="286">
        <f t="shared" si="31"/>
        <v>0</v>
      </c>
      <c r="N14" s="345">
        <f t="shared" si="32"/>
        <v>0</v>
      </c>
      <c r="O14" s="201">
        <v>0</v>
      </c>
      <c r="P14" s="345">
        <f t="shared" si="33"/>
        <v>0</v>
      </c>
      <c r="Q14" s="201">
        <f>8*'[2]Table 5C1C-Intl_VIBE'!S14</f>
        <v>0</v>
      </c>
      <c r="R14" s="201">
        <f t="shared" si="34"/>
        <v>0</v>
      </c>
      <c r="S14" s="345">
        <f t="shared" si="22"/>
        <v>0</v>
      </c>
      <c r="T14" s="345">
        <f t="shared" si="35"/>
        <v>0</v>
      </c>
      <c r="U14" s="294">
        <f>+'Table 5C1A-Madison Prep'!U14</f>
        <v>4124</v>
      </c>
      <c r="V14" s="324">
        <f t="shared" si="23"/>
        <v>0</v>
      </c>
      <c r="W14" s="289">
        <f>'[1]Oct midyear Intl_VIBE'!E11</f>
        <v>0</v>
      </c>
      <c r="X14" s="290">
        <f t="shared" si="36"/>
        <v>0</v>
      </c>
      <c r="Y14" s="289">
        <f>'[1]Feb midyear Intl_VIBE'!E11</f>
        <v>0</v>
      </c>
      <c r="Z14" s="290">
        <f t="shared" si="37"/>
        <v>0</v>
      </c>
      <c r="AA14" s="288">
        <f t="shared" si="38"/>
        <v>0</v>
      </c>
      <c r="AB14" s="324">
        <f t="shared" si="39"/>
        <v>0</v>
      </c>
      <c r="AC14" s="292">
        <f t="shared" si="40"/>
        <v>0</v>
      </c>
      <c r="AD14" s="324">
        <f t="shared" si="41"/>
        <v>0</v>
      </c>
      <c r="AE14" s="293">
        <v>0</v>
      </c>
      <c r="AF14" s="324">
        <f t="shared" si="42"/>
        <v>0</v>
      </c>
      <c r="AG14" s="290">
        <f>8*'[2]Table 5C1C-Intl_VIBE'!AI14</f>
        <v>0</v>
      </c>
      <c r="AH14" s="290">
        <f t="shared" si="43"/>
        <v>0</v>
      </c>
      <c r="AI14" s="328">
        <f t="shared" si="24"/>
        <v>0</v>
      </c>
      <c r="AJ14" s="321">
        <f t="shared" si="44"/>
        <v>0</v>
      </c>
      <c r="AK14" s="342">
        <f t="shared" si="45"/>
        <v>0</v>
      </c>
      <c r="AM14" s="286">
        <v>0</v>
      </c>
      <c r="AN14" s="286">
        <f t="shared" si="46"/>
        <v>0</v>
      </c>
      <c r="AO14" s="286">
        <f t="shared" si="25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2.1.14'!K11</f>
        <v>0</v>
      </c>
      <c r="D15" s="201">
        <f>+'Table 5C1A-Madison Prep'!D15</f>
        <v>4632.4615072045008</v>
      </c>
      <c r="E15" s="202">
        <f t="shared" si="26"/>
        <v>0</v>
      </c>
      <c r="F15" s="202">
        <f>+'Table 5C1A-Madison Prep'!F15</f>
        <v>744.76</v>
      </c>
      <c r="G15" s="202">
        <f t="shared" si="27"/>
        <v>0</v>
      </c>
      <c r="H15" s="345">
        <f t="shared" si="28"/>
        <v>0</v>
      </c>
      <c r="I15" s="203">
        <f>'[1]Oct midyear Intl_VIBE'!K12</f>
        <v>0</v>
      </c>
      <c r="J15" s="203">
        <f>'[1]Feb midyear Intl_VIBE'!K12</f>
        <v>0</v>
      </c>
      <c r="K15" s="204">
        <f t="shared" si="29"/>
        <v>0</v>
      </c>
      <c r="L15" s="345">
        <f t="shared" si="30"/>
        <v>0</v>
      </c>
      <c r="M15" s="286">
        <f t="shared" si="31"/>
        <v>0</v>
      </c>
      <c r="N15" s="345">
        <f t="shared" si="32"/>
        <v>0</v>
      </c>
      <c r="O15" s="201">
        <v>0</v>
      </c>
      <c r="P15" s="345">
        <f t="shared" si="33"/>
        <v>0</v>
      </c>
      <c r="Q15" s="201">
        <f>8*'[2]Table 5C1C-Intl_VIBE'!S15</f>
        <v>0</v>
      </c>
      <c r="R15" s="201">
        <f t="shared" si="34"/>
        <v>0</v>
      </c>
      <c r="S15" s="345">
        <f t="shared" si="22"/>
        <v>0</v>
      </c>
      <c r="T15" s="345">
        <f t="shared" si="35"/>
        <v>0</v>
      </c>
      <c r="U15" s="294">
        <f>+'Table 5C1A-Madison Prep'!U15</f>
        <v>4901</v>
      </c>
      <c r="V15" s="324">
        <f t="shared" si="23"/>
        <v>0</v>
      </c>
      <c r="W15" s="289">
        <f>'[1]Oct midyear Intl_VIBE'!E12</f>
        <v>0</v>
      </c>
      <c r="X15" s="290">
        <f t="shared" si="36"/>
        <v>0</v>
      </c>
      <c r="Y15" s="289">
        <f>'[1]Feb midyear Intl_VIBE'!E12</f>
        <v>0</v>
      </c>
      <c r="Z15" s="290">
        <f t="shared" si="37"/>
        <v>0</v>
      </c>
      <c r="AA15" s="288">
        <f t="shared" si="38"/>
        <v>0</v>
      </c>
      <c r="AB15" s="324">
        <f t="shared" si="39"/>
        <v>0</v>
      </c>
      <c r="AC15" s="292">
        <f t="shared" si="40"/>
        <v>0</v>
      </c>
      <c r="AD15" s="324">
        <f t="shared" si="41"/>
        <v>0</v>
      </c>
      <c r="AE15" s="293">
        <v>0</v>
      </c>
      <c r="AF15" s="324">
        <f t="shared" si="42"/>
        <v>0</v>
      </c>
      <c r="AG15" s="290">
        <f>8*'[2]Table 5C1C-Intl_VIBE'!AI15</f>
        <v>0</v>
      </c>
      <c r="AH15" s="290">
        <f t="shared" si="43"/>
        <v>0</v>
      </c>
      <c r="AI15" s="328">
        <f t="shared" si="24"/>
        <v>0</v>
      </c>
      <c r="AJ15" s="321">
        <f t="shared" si="44"/>
        <v>0</v>
      </c>
      <c r="AK15" s="342">
        <f t="shared" si="45"/>
        <v>0</v>
      </c>
      <c r="AM15" s="286">
        <v>0</v>
      </c>
      <c r="AN15" s="286">
        <f t="shared" si="46"/>
        <v>0</v>
      </c>
      <c r="AO15" s="286">
        <f t="shared" si="25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2.1.14'!K12</f>
        <v>0</v>
      </c>
      <c r="D16" s="194">
        <f>+'Table 5C1A-Madison Prep'!D16</f>
        <v>4384.374733918472</v>
      </c>
      <c r="E16" s="195">
        <f t="shared" si="26"/>
        <v>0</v>
      </c>
      <c r="F16" s="195">
        <f>+'Table 5C1A-Madison Prep'!F16</f>
        <v>608.04000000000008</v>
      </c>
      <c r="G16" s="195">
        <f t="shared" si="27"/>
        <v>0</v>
      </c>
      <c r="H16" s="346">
        <f t="shared" si="28"/>
        <v>0</v>
      </c>
      <c r="I16" s="196">
        <f>'[1]Oct midyear Intl_VIBE'!K13</f>
        <v>0</v>
      </c>
      <c r="J16" s="196">
        <f>'[1]Feb midyear Intl_VIBE'!K13</f>
        <v>0</v>
      </c>
      <c r="K16" s="197">
        <f t="shared" si="29"/>
        <v>0</v>
      </c>
      <c r="L16" s="346">
        <f t="shared" si="30"/>
        <v>0</v>
      </c>
      <c r="M16" s="296">
        <f t="shared" si="31"/>
        <v>0</v>
      </c>
      <c r="N16" s="346">
        <f t="shared" si="32"/>
        <v>0</v>
      </c>
      <c r="O16" s="194">
        <v>0</v>
      </c>
      <c r="P16" s="346">
        <f t="shared" si="33"/>
        <v>0</v>
      </c>
      <c r="Q16" s="194">
        <f>8*'[2]Table 5C1C-Intl_VIBE'!S16</f>
        <v>0</v>
      </c>
      <c r="R16" s="194">
        <f t="shared" si="34"/>
        <v>0</v>
      </c>
      <c r="S16" s="346">
        <f t="shared" si="22"/>
        <v>0</v>
      </c>
      <c r="T16" s="346">
        <f t="shared" si="35"/>
        <v>0</v>
      </c>
      <c r="U16" s="285">
        <f>+'Table 5C1A-Madison Prep'!U16</f>
        <v>4619</v>
      </c>
      <c r="V16" s="325">
        <f t="shared" si="23"/>
        <v>0</v>
      </c>
      <c r="W16" s="884">
        <f>'[1]Oct midyear Intl_VIBE'!E13</f>
        <v>0</v>
      </c>
      <c r="X16" s="282">
        <f t="shared" si="36"/>
        <v>0</v>
      </c>
      <c r="Y16" s="884">
        <f>'[1]Feb midyear Intl_VIBE'!E13</f>
        <v>0</v>
      </c>
      <c r="Z16" s="282">
        <f t="shared" si="37"/>
        <v>0</v>
      </c>
      <c r="AA16" s="283">
        <f t="shared" si="38"/>
        <v>0</v>
      </c>
      <c r="AB16" s="325">
        <f t="shared" si="39"/>
        <v>0</v>
      </c>
      <c r="AC16" s="298">
        <f t="shared" si="40"/>
        <v>0</v>
      </c>
      <c r="AD16" s="325">
        <f t="shared" si="41"/>
        <v>0</v>
      </c>
      <c r="AE16" s="284">
        <v>0</v>
      </c>
      <c r="AF16" s="325">
        <f t="shared" si="42"/>
        <v>0</v>
      </c>
      <c r="AG16" s="282">
        <f>8*'[2]Table 5C1C-Intl_VIBE'!AI16</f>
        <v>0</v>
      </c>
      <c r="AH16" s="282">
        <f t="shared" si="43"/>
        <v>0</v>
      </c>
      <c r="AI16" s="329">
        <f t="shared" si="24"/>
        <v>0</v>
      </c>
      <c r="AJ16" s="338">
        <f t="shared" si="44"/>
        <v>0</v>
      </c>
      <c r="AK16" s="343">
        <f t="shared" si="45"/>
        <v>0</v>
      </c>
      <c r="AM16" s="296">
        <v>0</v>
      </c>
      <c r="AN16" s="296">
        <f t="shared" si="46"/>
        <v>0</v>
      </c>
      <c r="AO16" s="296">
        <f t="shared" si="25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2.1.14'!K13</f>
        <v>0</v>
      </c>
      <c r="D17" s="208">
        <f>+'Table 5C1A-Madison Prep'!D17</f>
        <v>7098.5372236353351</v>
      </c>
      <c r="E17" s="209">
        <f t="shared" si="26"/>
        <v>0</v>
      </c>
      <c r="F17" s="209">
        <f>+'Table 5C1A-Madison Prep'!F17</f>
        <v>706.55</v>
      </c>
      <c r="G17" s="209">
        <f t="shared" si="27"/>
        <v>0</v>
      </c>
      <c r="H17" s="344">
        <f t="shared" si="28"/>
        <v>0</v>
      </c>
      <c r="I17" s="210">
        <f>'[1]Oct midyear Intl_VIBE'!K14</f>
        <v>0</v>
      </c>
      <c r="J17" s="210">
        <f>'[1]Feb midyear Intl_VIBE'!K14</f>
        <v>0</v>
      </c>
      <c r="K17" s="211">
        <f t="shared" si="29"/>
        <v>0</v>
      </c>
      <c r="L17" s="344">
        <f t="shared" si="30"/>
        <v>0</v>
      </c>
      <c r="M17" s="273">
        <f t="shared" si="31"/>
        <v>0</v>
      </c>
      <c r="N17" s="344">
        <f t="shared" si="32"/>
        <v>0</v>
      </c>
      <c r="O17" s="208">
        <v>0</v>
      </c>
      <c r="P17" s="344">
        <f t="shared" si="33"/>
        <v>0</v>
      </c>
      <c r="Q17" s="208">
        <f>8*'[2]Table 5C1C-Intl_VIBE'!S17</f>
        <v>0</v>
      </c>
      <c r="R17" s="208">
        <f t="shared" si="34"/>
        <v>0</v>
      </c>
      <c r="S17" s="344">
        <f t="shared" si="22"/>
        <v>0</v>
      </c>
      <c r="T17" s="344">
        <f t="shared" si="35"/>
        <v>0</v>
      </c>
      <c r="U17" s="280">
        <f>+'Table 5C1A-Madison Prep'!U17</f>
        <v>3580</v>
      </c>
      <c r="V17" s="323">
        <f t="shared" si="23"/>
        <v>0</v>
      </c>
      <c r="W17" s="883">
        <f>'[1]Oct midyear Intl_VIBE'!E14</f>
        <v>0</v>
      </c>
      <c r="X17" s="276">
        <f t="shared" si="36"/>
        <v>0</v>
      </c>
      <c r="Y17" s="883">
        <f>'[1]Feb midyear Intl_VIBE'!E14</f>
        <v>0</v>
      </c>
      <c r="Z17" s="276">
        <f t="shared" si="37"/>
        <v>0</v>
      </c>
      <c r="AA17" s="275">
        <f t="shared" si="38"/>
        <v>0</v>
      </c>
      <c r="AB17" s="323">
        <f t="shared" si="39"/>
        <v>0</v>
      </c>
      <c r="AC17" s="278">
        <f t="shared" si="40"/>
        <v>0</v>
      </c>
      <c r="AD17" s="323">
        <f t="shared" si="41"/>
        <v>0</v>
      </c>
      <c r="AE17" s="279">
        <v>0</v>
      </c>
      <c r="AF17" s="323">
        <f t="shared" si="42"/>
        <v>0</v>
      </c>
      <c r="AG17" s="276">
        <f>8*'[2]Table 5C1C-Intl_VIBE'!AI17</f>
        <v>0</v>
      </c>
      <c r="AH17" s="276">
        <f t="shared" si="43"/>
        <v>0</v>
      </c>
      <c r="AI17" s="327">
        <f t="shared" si="24"/>
        <v>0</v>
      </c>
      <c r="AJ17" s="337">
        <f t="shared" si="44"/>
        <v>0</v>
      </c>
      <c r="AK17" s="341">
        <f t="shared" si="45"/>
        <v>0</v>
      </c>
      <c r="AM17" s="273">
        <v>0</v>
      </c>
      <c r="AN17" s="273">
        <f t="shared" si="46"/>
        <v>0</v>
      </c>
      <c r="AO17" s="273">
        <f t="shared" si="25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2.1.14'!K14</f>
        <v>0</v>
      </c>
      <c r="D18" s="201">
        <f>+'Table 5C1A-Madison Prep'!D18</f>
        <v>1666.6040983606558</v>
      </c>
      <c r="E18" s="202">
        <f t="shared" si="26"/>
        <v>0</v>
      </c>
      <c r="F18" s="202">
        <f>+'Table 5C1A-Madison Prep'!F18</f>
        <v>1063.31</v>
      </c>
      <c r="G18" s="202">
        <f t="shared" si="27"/>
        <v>0</v>
      </c>
      <c r="H18" s="345">
        <f t="shared" si="28"/>
        <v>0</v>
      </c>
      <c r="I18" s="203">
        <f>'[1]Oct midyear Intl_VIBE'!K15</f>
        <v>0</v>
      </c>
      <c r="J18" s="203">
        <f>'[1]Feb midyear Intl_VIBE'!K15</f>
        <v>0</v>
      </c>
      <c r="K18" s="204">
        <f t="shared" si="29"/>
        <v>0</v>
      </c>
      <c r="L18" s="345">
        <f t="shared" si="30"/>
        <v>0</v>
      </c>
      <c r="M18" s="286">
        <f t="shared" si="31"/>
        <v>0</v>
      </c>
      <c r="N18" s="345">
        <f t="shared" si="32"/>
        <v>0</v>
      </c>
      <c r="O18" s="201">
        <v>0</v>
      </c>
      <c r="P18" s="345">
        <f t="shared" si="33"/>
        <v>0</v>
      </c>
      <c r="Q18" s="201">
        <f>8*'[2]Table 5C1C-Intl_VIBE'!S18</f>
        <v>0</v>
      </c>
      <c r="R18" s="201">
        <f t="shared" si="34"/>
        <v>0</v>
      </c>
      <c r="S18" s="345">
        <f t="shared" si="22"/>
        <v>0</v>
      </c>
      <c r="T18" s="345">
        <f t="shared" si="35"/>
        <v>0</v>
      </c>
      <c r="U18" s="294">
        <f>+'Table 5C1A-Madison Prep'!U18</f>
        <v>8094</v>
      </c>
      <c r="V18" s="324">
        <f t="shared" si="23"/>
        <v>0</v>
      </c>
      <c r="W18" s="289">
        <f>'[1]Oct midyear Intl_VIBE'!E15</f>
        <v>0</v>
      </c>
      <c r="X18" s="290">
        <f t="shared" si="36"/>
        <v>0</v>
      </c>
      <c r="Y18" s="289">
        <f>'[1]Feb midyear Intl_VIBE'!E15</f>
        <v>0</v>
      </c>
      <c r="Z18" s="290">
        <f t="shared" si="37"/>
        <v>0</v>
      </c>
      <c r="AA18" s="288">
        <f t="shared" si="38"/>
        <v>0</v>
      </c>
      <c r="AB18" s="324">
        <f t="shared" si="39"/>
        <v>0</v>
      </c>
      <c r="AC18" s="292">
        <f t="shared" si="40"/>
        <v>0</v>
      </c>
      <c r="AD18" s="324">
        <f t="shared" si="41"/>
        <v>0</v>
      </c>
      <c r="AE18" s="293">
        <v>0</v>
      </c>
      <c r="AF18" s="324">
        <f t="shared" si="42"/>
        <v>0</v>
      </c>
      <c r="AG18" s="290">
        <f>8*'[2]Table 5C1C-Intl_VIBE'!AI18</f>
        <v>0</v>
      </c>
      <c r="AH18" s="290">
        <f t="shared" si="43"/>
        <v>0</v>
      </c>
      <c r="AI18" s="328">
        <f t="shared" si="24"/>
        <v>0</v>
      </c>
      <c r="AJ18" s="321">
        <f t="shared" si="44"/>
        <v>0</v>
      </c>
      <c r="AK18" s="342">
        <f t="shared" si="45"/>
        <v>0</v>
      </c>
      <c r="AM18" s="286">
        <v>0</v>
      </c>
      <c r="AN18" s="286">
        <f t="shared" si="46"/>
        <v>0</v>
      </c>
      <c r="AO18" s="286">
        <f t="shared" si="25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2.1.14'!K15</f>
        <v>0</v>
      </c>
      <c r="D19" s="201">
        <f>+'Table 5C1A-Madison Prep'!D19</f>
        <v>6433.6297758332212</v>
      </c>
      <c r="E19" s="202">
        <f t="shared" si="26"/>
        <v>0</v>
      </c>
      <c r="F19" s="202">
        <f>+'Table 5C1A-Madison Prep'!F19</f>
        <v>749.43000000000006</v>
      </c>
      <c r="G19" s="202">
        <f t="shared" si="27"/>
        <v>0</v>
      </c>
      <c r="H19" s="345">
        <f t="shared" si="28"/>
        <v>0</v>
      </c>
      <c r="I19" s="203">
        <f>'[1]Oct midyear Intl_VIBE'!K16</f>
        <v>0</v>
      </c>
      <c r="J19" s="203">
        <f>'[1]Feb midyear Intl_VIBE'!K16</f>
        <v>0</v>
      </c>
      <c r="K19" s="204">
        <f t="shared" si="29"/>
        <v>0</v>
      </c>
      <c r="L19" s="345">
        <f t="shared" si="30"/>
        <v>0</v>
      </c>
      <c r="M19" s="286">
        <f t="shared" si="31"/>
        <v>0</v>
      </c>
      <c r="N19" s="345">
        <f t="shared" si="32"/>
        <v>0</v>
      </c>
      <c r="O19" s="201">
        <v>0</v>
      </c>
      <c r="P19" s="345">
        <f t="shared" si="33"/>
        <v>0</v>
      </c>
      <c r="Q19" s="201">
        <f>8*'[2]Table 5C1C-Intl_VIBE'!S19</f>
        <v>0</v>
      </c>
      <c r="R19" s="201">
        <f t="shared" si="34"/>
        <v>0</v>
      </c>
      <c r="S19" s="345">
        <f t="shared" si="22"/>
        <v>0</v>
      </c>
      <c r="T19" s="345">
        <f t="shared" si="35"/>
        <v>0</v>
      </c>
      <c r="U19" s="294">
        <f>+'Table 5C1A-Madison Prep'!U19</f>
        <v>2762</v>
      </c>
      <c r="V19" s="324">
        <f t="shared" si="23"/>
        <v>0</v>
      </c>
      <c r="W19" s="289">
        <f>'[1]Oct midyear Intl_VIBE'!E16</f>
        <v>0</v>
      </c>
      <c r="X19" s="290">
        <f t="shared" si="36"/>
        <v>0</v>
      </c>
      <c r="Y19" s="289">
        <f>'[1]Feb midyear Intl_VIBE'!E16</f>
        <v>0</v>
      </c>
      <c r="Z19" s="290">
        <f t="shared" si="37"/>
        <v>0</v>
      </c>
      <c r="AA19" s="288">
        <f t="shared" si="38"/>
        <v>0</v>
      </c>
      <c r="AB19" s="324">
        <f t="shared" si="39"/>
        <v>0</v>
      </c>
      <c r="AC19" s="292">
        <f t="shared" si="40"/>
        <v>0</v>
      </c>
      <c r="AD19" s="324">
        <f t="shared" si="41"/>
        <v>0</v>
      </c>
      <c r="AE19" s="293">
        <v>0</v>
      </c>
      <c r="AF19" s="324">
        <f t="shared" si="42"/>
        <v>0</v>
      </c>
      <c r="AG19" s="290">
        <f>8*'[2]Table 5C1C-Intl_VIBE'!AI19</f>
        <v>0</v>
      </c>
      <c r="AH19" s="290">
        <f t="shared" si="43"/>
        <v>0</v>
      </c>
      <c r="AI19" s="328">
        <f t="shared" si="24"/>
        <v>0</v>
      </c>
      <c r="AJ19" s="321">
        <f t="shared" si="44"/>
        <v>0</v>
      </c>
      <c r="AK19" s="342">
        <f t="shared" si="45"/>
        <v>0</v>
      </c>
      <c r="AM19" s="286">
        <v>0</v>
      </c>
      <c r="AN19" s="286">
        <f t="shared" si="46"/>
        <v>0</v>
      </c>
      <c r="AO19" s="286">
        <f t="shared" si="25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2.1.14'!K16</f>
        <v>0</v>
      </c>
      <c r="D20" s="201">
        <f>+'Table 5C1A-Madison Prep'!D20</f>
        <v>5334.9509412500001</v>
      </c>
      <c r="E20" s="202">
        <f t="shared" si="26"/>
        <v>0</v>
      </c>
      <c r="F20" s="202">
        <f>+'Table 5C1A-Madison Prep'!F20</f>
        <v>809.9799999999999</v>
      </c>
      <c r="G20" s="202">
        <f t="shared" si="27"/>
        <v>0</v>
      </c>
      <c r="H20" s="345">
        <f t="shared" si="28"/>
        <v>0</v>
      </c>
      <c r="I20" s="203">
        <f>'[1]Oct midyear Intl_VIBE'!K17</f>
        <v>0</v>
      </c>
      <c r="J20" s="203">
        <f>'[1]Feb midyear Intl_VIBE'!K17</f>
        <v>0</v>
      </c>
      <c r="K20" s="204">
        <f t="shared" si="29"/>
        <v>0</v>
      </c>
      <c r="L20" s="345">
        <f t="shared" si="30"/>
        <v>0</v>
      </c>
      <c r="M20" s="286">
        <f t="shared" si="31"/>
        <v>0</v>
      </c>
      <c r="N20" s="345">
        <f t="shared" si="32"/>
        <v>0</v>
      </c>
      <c r="O20" s="201">
        <v>0</v>
      </c>
      <c r="P20" s="345">
        <f t="shared" si="33"/>
        <v>0</v>
      </c>
      <c r="Q20" s="201">
        <f>8*'[2]Table 5C1C-Intl_VIBE'!S20</f>
        <v>0</v>
      </c>
      <c r="R20" s="201">
        <f t="shared" si="34"/>
        <v>0</v>
      </c>
      <c r="S20" s="345">
        <f t="shared" si="22"/>
        <v>0</v>
      </c>
      <c r="T20" s="345">
        <f t="shared" si="35"/>
        <v>0</v>
      </c>
      <c r="U20" s="294">
        <f>+'Table 5C1A-Madison Prep'!U20</f>
        <v>4171</v>
      </c>
      <c r="V20" s="324">
        <f t="shared" si="23"/>
        <v>0</v>
      </c>
      <c r="W20" s="289">
        <f>'[1]Oct midyear Intl_VIBE'!E17</f>
        <v>0</v>
      </c>
      <c r="X20" s="290">
        <f t="shared" si="36"/>
        <v>0</v>
      </c>
      <c r="Y20" s="289">
        <f>'[1]Feb midyear Intl_VIBE'!E17</f>
        <v>0</v>
      </c>
      <c r="Z20" s="290">
        <f t="shared" si="37"/>
        <v>0</v>
      </c>
      <c r="AA20" s="288">
        <f t="shared" si="38"/>
        <v>0</v>
      </c>
      <c r="AB20" s="324">
        <f t="shared" si="39"/>
        <v>0</v>
      </c>
      <c r="AC20" s="292">
        <f t="shared" si="40"/>
        <v>0</v>
      </c>
      <c r="AD20" s="324">
        <f t="shared" si="41"/>
        <v>0</v>
      </c>
      <c r="AE20" s="293">
        <v>0</v>
      </c>
      <c r="AF20" s="324">
        <f t="shared" si="42"/>
        <v>0</v>
      </c>
      <c r="AG20" s="290">
        <f>8*'[2]Table 5C1C-Intl_VIBE'!AI20</f>
        <v>0</v>
      </c>
      <c r="AH20" s="290">
        <f t="shared" si="43"/>
        <v>0</v>
      </c>
      <c r="AI20" s="328">
        <f t="shared" si="24"/>
        <v>0</v>
      </c>
      <c r="AJ20" s="321">
        <f t="shared" si="44"/>
        <v>0</v>
      </c>
      <c r="AK20" s="342">
        <f t="shared" si="45"/>
        <v>0</v>
      </c>
      <c r="AM20" s="286">
        <v>0</v>
      </c>
      <c r="AN20" s="286">
        <f t="shared" si="46"/>
        <v>0</v>
      </c>
      <c r="AO20" s="286">
        <f t="shared" si="25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2.1.14'!K17</f>
        <v>0</v>
      </c>
      <c r="D21" s="194">
        <f>+'Table 5C1A-Madison Prep'!D21</f>
        <v>5749.8285214059952</v>
      </c>
      <c r="E21" s="195">
        <f t="shared" si="26"/>
        <v>0</v>
      </c>
      <c r="F21" s="195">
        <f>+'Table 5C1A-Madison Prep'!F21</f>
        <v>553.79999999999995</v>
      </c>
      <c r="G21" s="195">
        <f t="shared" si="27"/>
        <v>0</v>
      </c>
      <c r="H21" s="346">
        <f t="shared" si="28"/>
        <v>0</v>
      </c>
      <c r="I21" s="196">
        <f>'[1]Oct midyear Intl_VIBE'!K18</f>
        <v>0</v>
      </c>
      <c r="J21" s="196">
        <f>'[1]Feb midyear Intl_VIBE'!K18</f>
        <v>0</v>
      </c>
      <c r="K21" s="197">
        <f t="shared" si="29"/>
        <v>0</v>
      </c>
      <c r="L21" s="346">
        <f t="shared" si="30"/>
        <v>0</v>
      </c>
      <c r="M21" s="296">
        <f t="shared" si="31"/>
        <v>0</v>
      </c>
      <c r="N21" s="346">
        <f t="shared" si="32"/>
        <v>0</v>
      </c>
      <c r="O21" s="194">
        <v>0</v>
      </c>
      <c r="P21" s="346">
        <f t="shared" si="33"/>
        <v>0</v>
      </c>
      <c r="Q21" s="194">
        <f>8*'[2]Table 5C1C-Intl_VIBE'!S21</f>
        <v>0</v>
      </c>
      <c r="R21" s="194">
        <f t="shared" si="34"/>
        <v>0</v>
      </c>
      <c r="S21" s="346">
        <f t="shared" si="22"/>
        <v>0</v>
      </c>
      <c r="T21" s="346">
        <f t="shared" si="35"/>
        <v>0</v>
      </c>
      <c r="U21" s="285">
        <f>+'Table 5C1A-Madison Prep'!U21</f>
        <v>2880</v>
      </c>
      <c r="V21" s="325">
        <f t="shared" si="23"/>
        <v>0</v>
      </c>
      <c r="W21" s="884">
        <f>'[1]Oct midyear Intl_VIBE'!E18</f>
        <v>0</v>
      </c>
      <c r="X21" s="282">
        <f t="shared" si="36"/>
        <v>0</v>
      </c>
      <c r="Y21" s="884">
        <f>'[1]Feb midyear Intl_VIBE'!E18</f>
        <v>0</v>
      </c>
      <c r="Z21" s="282">
        <f t="shared" si="37"/>
        <v>0</v>
      </c>
      <c r="AA21" s="283">
        <f t="shared" si="38"/>
        <v>0</v>
      </c>
      <c r="AB21" s="325">
        <f t="shared" si="39"/>
        <v>0</v>
      </c>
      <c r="AC21" s="298">
        <f t="shared" si="40"/>
        <v>0</v>
      </c>
      <c r="AD21" s="325">
        <f t="shared" si="41"/>
        <v>0</v>
      </c>
      <c r="AE21" s="284">
        <v>0</v>
      </c>
      <c r="AF21" s="325">
        <f t="shared" si="42"/>
        <v>0</v>
      </c>
      <c r="AG21" s="282">
        <f>8*'[2]Table 5C1C-Intl_VIBE'!AI21</f>
        <v>0</v>
      </c>
      <c r="AH21" s="282">
        <f t="shared" si="43"/>
        <v>0</v>
      </c>
      <c r="AI21" s="329">
        <f t="shared" si="24"/>
        <v>0</v>
      </c>
      <c r="AJ21" s="338">
        <f t="shared" si="44"/>
        <v>0</v>
      </c>
      <c r="AK21" s="343">
        <f t="shared" si="45"/>
        <v>0</v>
      </c>
      <c r="AM21" s="296">
        <v>0</v>
      </c>
      <c r="AN21" s="296">
        <f t="shared" si="46"/>
        <v>0</v>
      </c>
      <c r="AO21" s="296">
        <f t="shared" si="25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2.1.14'!K18</f>
        <v>0</v>
      </c>
      <c r="D22" s="208">
        <f>+'Table 5C1A-Madison Prep'!D22</f>
        <v>1980.2494354342025</v>
      </c>
      <c r="E22" s="209">
        <f t="shared" si="26"/>
        <v>0</v>
      </c>
      <c r="F22" s="209">
        <f>+'Table 5C1A-Madison Prep'!F22</f>
        <v>686.73</v>
      </c>
      <c r="G22" s="209">
        <f t="shared" si="27"/>
        <v>0</v>
      </c>
      <c r="H22" s="344">
        <f t="shared" si="28"/>
        <v>0</v>
      </c>
      <c r="I22" s="210">
        <f>'[1]Oct midyear Intl_VIBE'!K19</f>
        <v>0</v>
      </c>
      <c r="J22" s="210">
        <f>'[1]Feb midyear Intl_VIBE'!K19</f>
        <v>0</v>
      </c>
      <c r="K22" s="211">
        <f t="shared" si="29"/>
        <v>0</v>
      </c>
      <c r="L22" s="344">
        <f t="shared" si="30"/>
        <v>0</v>
      </c>
      <c r="M22" s="273">
        <f t="shared" si="31"/>
        <v>0</v>
      </c>
      <c r="N22" s="344">
        <f t="shared" si="32"/>
        <v>0</v>
      </c>
      <c r="O22" s="208">
        <v>0</v>
      </c>
      <c r="P22" s="344">
        <f t="shared" si="33"/>
        <v>0</v>
      </c>
      <c r="Q22" s="208">
        <f>8*'[2]Table 5C1C-Intl_VIBE'!S22</f>
        <v>0</v>
      </c>
      <c r="R22" s="208">
        <f t="shared" si="34"/>
        <v>0</v>
      </c>
      <c r="S22" s="344">
        <f t="shared" si="22"/>
        <v>0</v>
      </c>
      <c r="T22" s="344">
        <f t="shared" si="35"/>
        <v>0</v>
      </c>
      <c r="U22" s="280">
        <f>+'Table 5C1A-Madison Prep'!U22</f>
        <v>13021</v>
      </c>
      <c r="V22" s="323">
        <f t="shared" si="23"/>
        <v>0</v>
      </c>
      <c r="W22" s="883">
        <f>'[1]Oct midyear Intl_VIBE'!E19</f>
        <v>0</v>
      </c>
      <c r="X22" s="276">
        <f t="shared" si="36"/>
        <v>0</v>
      </c>
      <c r="Y22" s="883">
        <f>'[1]Feb midyear Intl_VIBE'!E19</f>
        <v>0</v>
      </c>
      <c r="Z22" s="276">
        <f t="shared" si="37"/>
        <v>0</v>
      </c>
      <c r="AA22" s="275">
        <f t="shared" si="38"/>
        <v>0</v>
      </c>
      <c r="AB22" s="323">
        <f t="shared" si="39"/>
        <v>0</v>
      </c>
      <c r="AC22" s="278">
        <f t="shared" si="40"/>
        <v>0</v>
      </c>
      <c r="AD22" s="323">
        <f t="shared" si="41"/>
        <v>0</v>
      </c>
      <c r="AE22" s="279">
        <v>0</v>
      </c>
      <c r="AF22" s="323">
        <f t="shared" si="42"/>
        <v>0</v>
      </c>
      <c r="AG22" s="276">
        <f>8*'[2]Table 5C1C-Intl_VIBE'!AI22</f>
        <v>0</v>
      </c>
      <c r="AH22" s="276">
        <f t="shared" si="43"/>
        <v>0</v>
      </c>
      <c r="AI22" s="327">
        <f t="shared" si="24"/>
        <v>0</v>
      </c>
      <c r="AJ22" s="337">
        <f t="shared" si="44"/>
        <v>0</v>
      </c>
      <c r="AK22" s="341">
        <f t="shared" si="45"/>
        <v>0</v>
      </c>
      <c r="AM22" s="273">
        <v>0</v>
      </c>
      <c r="AN22" s="273">
        <f t="shared" si="46"/>
        <v>0</v>
      </c>
      <c r="AO22" s="273">
        <f t="shared" si="25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2.1.14'!K19</f>
        <v>0</v>
      </c>
      <c r="D23" s="201">
        <f>+'Table 5C1A-Madison Prep'!D23</f>
        <v>3363.5980368254495</v>
      </c>
      <c r="E23" s="202">
        <f t="shared" si="26"/>
        <v>0</v>
      </c>
      <c r="F23" s="202">
        <f>+'Table 5C1A-Madison Prep'!F23</f>
        <v>801.47762416806802</v>
      </c>
      <c r="G23" s="202">
        <f t="shared" si="27"/>
        <v>0</v>
      </c>
      <c r="H23" s="345">
        <f t="shared" si="28"/>
        <v>0</v>
      </c>
      <c r="I23" s="203">
        <f>'[1]Oct midyear Intl_VIBE'!K20</f>
        <v>0</v>
      </c>
      <c r="J23" s="203">
        <f>'[1]Feb midyear Intl_VIBE'!K20</f>
        <v>0</v>
      </c>
      <c r="K23" s="204">
        <f t="shared" si="29"/>
        <v>0</v>
      </c>
      <c r="L23" s="345">
        <f t="shared" si="30"/>
        <v>0</v>
      </c>
      <c r="M23" s="286">
        <f t="shared" si="31"/>
        <v>0</v>
      </c>
      <c r="N23" s="345">
        <f t="shared" si="32"/>
        <v>0</v>
      </c>
      <c r="O23" s="201">
        <v>0</v>
      </c>
      <c r="P23" s="345">
        <f t="shared" si="33"/>
        <v>0</v>
      </c>
      <c r="Q23" s="201">
        <f>8*'[2]Table 5C1C-Intl_VIBE'!S23</f>
        <v>0</v>
      </c>
      <c r="R23" s="201">
        <f t="shared" si="34"/>
        <v>0</v>
      </c>
      <c r="S23" s="345">
        <f t="shared" si="22"/>
        <v>0</v>
      </c>
      <c r="T23" s="345">
        <f t="shared" si="35"/>
        <v>0</v>
      </c>
      <c r="U23" s="294">
        <f>+'Table 5C1A-Madison Prep'!U23</f>
        <v>6954</v>
      </c>
      <c r="V23" s="324">
        <f t="shared" si="23"/>
        <v>0</v>
      </c>
      <c r="W23" s="289">
        <f>'[1]Oct midyear Intl_VIBE'!E20</f>
        <v>0</v>
      </c>
      <c r="X23" s="290">
        <f t="shared" si="36"/>
        <v>0</v>
      </c>
      <c r="Y23" s="289">
        <f>'[1]Feb midyear Intl_VIBE'!E20</f>
        <v>0</v>
      </c>
      <c r="Z23" s="290">
        <f t="shared" si="37"/>
        <v>0</v>
      </c>
      <c r="AA23" s="288">
        <f t="shared" si="38"/>
        <v>0</v>
      </c>
      <c r="AB23" s="324">
        <f t="shared" si="39"/>
        <v>0</v>
      </c>
      <c r="AC23" s="292">
        <f t="shared" si="40"/>
        <v>0</v>
      </c>
      <c r="AD23" s="324">
        <f t="shared" si="41"/>
        <v>0</v>
      </c>
      <c r="AE23" s="293">
        <v>0</v>
      </c>
      <c r="AF23" s="324">
        <f t="shared" si="42"/>
        <v>0</v>
      </c>
      <c r="AG23" s="290">
        <f>8*'[2]Table 5C1C-Intl_VIBE'!AI23</f>
        <v>0</v>
      </c>
      <c r="AH23" s="290">
        <f t="shared" si="43"/>
        <v>0</v>
      </c>
      <c r="AI23" s="328">
        <f t="shared" si="24"/>
        <v>0</v>
      </c>
      <c r="AJ23" s="321">
        <f t="shared" si="44"/>
        <v>0</v>
      </c>
      <c r="AK23" s="342">
        <f t="shared" si="45"/>
        <v>0</v>
      </c>
      <c r="AM23" s="286">
        <v>0</v>
      </c>
      <c r="AN23" s="286">
        <f t="shared" si="46"/>
        <v>0</v>
      </c>
      <c r="AO23" s="286">
        <f t="shared" si="25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2.1.14'!K20</f>
        <v>0</v>
      </c>
      <c r="D24" s="201">
        <f>+'Table 5C1A-Madison Prep'!D24</f>
        <v>6354.5533500475731</v>
      </c>
      <c r="E24" s="202">
        <f t="shared" si="26"/>
        <v>0</v>
      </c>
      <c r="F24" s="202">
        <f>+'Table 5C1A-Madison Prep'!F24</f>
        <v>845.94999999999993</v>
      </c>
      <c r="G24" s="202">
        <f t="shared" si="27"/>
        <v>0</v>
      </c>
      <c r="H24" s="345">
        <f t="shared" si="28"/>
        <v>0</v>
      </c>
      <c r="I24" s="203">
        <f>'[1]Oct midyear Intl_VIBE'!K21</f>
        <v>0</v>
      </c>
      <c r="J24" s="203">
        <f>'[1]Feb midyear Intl_VIBE'!K21</f>
        <v>0</v>
      </c>
      <c r="K24" s="204">
        <f t="shared" si="29"/>
        <v>0</v>
      </c>
      <c r="L24" s="345">
        <f t="shared" si="30"/>
        <v>0</v>
      </c>
      <c r="M24" s="286">
        <f t="shared" si="31"/>
        <v>0</v>
      </c>
      <c r="N24" s="345">
        <f t="shared" si="32"/>
        <v>0</v>
      </c>
      <c r="O24" s="201">
        <v>0</v>
      </c>
      <c r="P24" s="345">
        <f t="shared" si="33"/>
        <v>0</v>
      </c>
      <c r="Q24" s="201">
        <f>8*'[2]Table 5C1C-Intl_VIBE'!S24</f>
        <v>0</v>
      </c>
      <c r="R24" s="201">
        <f t="shared" si="34"/>
        <v>0</v>
      </c>
      <c r="S24" s="345">
        <f t="shared" si="22"/>
        <v>0</v>
      </c>
      <c r="T24" s="345">
        <f t="shared" si="35"/>
        <v>0</v>
      </c>
      <c r="U24" s="294">
        <f>+'Table 5C1A-Madison Prep'!U24</f>
        <v>2442</v>
      </c>
      <c r="V24" s="324">
        <f t="shared" si="23"/>
        <v>0</v>
      </c>
      <c r="W24" s="289">
        <f>'[1]Oct midyear Intl_VIBE'!E21</f>
        <v>0</v>
      </c>
      <c r="X24" s="290">
        <f t="shared" si="36"/>
        <v>0</v>
      </c>
      <c r="Y24" s="289">
        <f>'[1]Feb midyear Intl_VIBE'!E21</f>
        <v>0</v>
      </c>
      <c r="Z24" s="290">
        <f t="shared" si="37"/>
        <v>0</v>
      </c>
      <c r="AA24" s="288">
        <f t="shared" si="38"/>
        <v>0</v>
      </c>
      <c r="AB24" s="324">
        <f t="shared" si="39"/>
        <v>0</v>
      </c>
      <c r="AC24" s="292">
        <f t="shared" si="40"/>
        <v>0</v>
      </c>
      <c r="AD24" s="324">
        <f t="shared" si="41"/>
        <v>0</v>
      </c>
      <c r="AE24" s="293">
        <v>0</v>
      </c>
      <c r="AF24" s="324">
        <f t="shared" si="42"/>
        <v>0</v>
      </c>
      <c r="AG24" s="290">
        <f>8*'[2]Table 5C1C-Intl_VIBE'!AI24</f>
        <v>0</v>
      </c>
      <c r="AH24" s="290">
        <f t="shared" si="43"/>
        <v>0</v>
      </c>
      <c r="AI24" s="328">
        <f t="shared" si="24"/>
        <v>0</v>
      </c>
      <c r="AJ24" s="321">
        <f t="shared" si="44"/>
        <v>0</v>
      </c>
      <c r="AK24" s="342">
        <f t="shared" si="45"/>
        <v>0</v>
      </c>
      <c r="AM24" s="286">
        <v>0</v>
      </c>
      <c r="AN24" s="286">
        <f t="shared" si="46"/>
        <v>0</v>
      </c>
      <c r="AO24" s="286">
        <f t="shared" si="25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2.1.14'!K21</f>
        <v>0</v>
      </c>
      <c r="D25" s="201">
        <f>+'Table 5C1A-Madison Prep'!D25</f>
        <v>5314.3921869460446</v>
      </c>
      <c r="E25" s="202">
        <f t="shared" si="26"/>
        <v>0</v>
      </c>
      <c r="F25" s="202">
        <f>+'Table 5C1A-Madison Prep'!F25</f>
        <v>905.43</v>
      </c>
      <c r="G25" s="202">
        <f t="shared" si="27"/>
        <v>0</v>
      </c>
      <c r="H25" s="345">
        <f t="shared" si="28"/>
        <v>0</v>
      </c>
      <c r="I25" s="203">
        <f>'[1]Oct midyear Intl_VIBE'!K22</f>
        <v>0</v>
      </c>
      <c r="J25" s="203">
        <f>'[1]Feb midyear Intl_VIBE'!K22</f>
        <v>0</v>
      </c>
      <c r="K25" s="204">
        <f t="shared" si="29"/>
        <v>0</v>
      </c>
      <c r="L25" s="345">
        <f t="shared" si="30"/>
        <v>0</v>
      </c>
      <c r="M25" s="286">
        <f t="shared" si="31"/>
        <v>0</v>
      </c>
      <c r="N25" s="345">
        <f t="shared" si="32"/>
        <v>0</v>
      </c>
      <c r="O25" s="201">
        <v>0</v>
      </c>
      <c r="P25" s="345">
        <f t="shared" si="33"/>
        <v>0</v>
      </c>
      <c r="Q25" s="201">
        <f>8*'[2]Table 5C1C-Intl_VIBE'!S25</f>
        <v>0</v>
      </c>
      <c r="R25" s="201">
        <f t="shared" si="34"/>
        <v>0</v>
      </c>
      <c r="S25" s="345">
        <f t="shared" si="22"/>
        <v>0</v>
      </c>
      <c r="T25" s="345">
        <f t="shared" si="35"/>
        <v>0</v>
      </c>
      <c r="U25" s="294">
        <f>+'Table 5C1A-Madison Prep'!U25</f>
        <v>3051</v>
      </c>
      <c r="V25" s="324">
        <f t="shared" si="23"/>
        <v>0</v>
      </c>
      <c r="W25" s="289">
        <f>'[1]Oct midyear Intl_VIBE'!E22</f>
        <v>0</v>
      </c>
      <c r="X25" s="290">
        <f t="shared" si="36"/>
        <v>0</v>
      </c>
      <c r="Y25" s="289">
        <f>'[1]Feb midyear Intl_VIBE'!E22</f>
        <v>0</v>
      </c>
      <c r="Z25" s="290">
        <f t="shared" si="37"/>
        <v>0</v>
      </c>
      <c r="AA25" s="288">
        <f t="shared" si="38"/>
        <v>0</v>
      </c>
      <c r="AB25" s="324">
        <f t="shared" si="39"/>
        <v>0</v>
      </c>
      <c r="AC25" s="292">
        <f t="shared" si="40"/>
        <v>0</v>
      </c>
      <c r="AD25" s="324">
        <f t="shared" si="41"/>
        <v>0</v>
      </c>
      <c r="AE25" s="293">
        <v>0</v>
      </c>
      <c r="AF25" s="324">
        <f t="shared" si="42"/>
        <v>0</v>
      </c>
      <c r="AG25" s="290">
        <f>8*'[2]Table 5C1C-Intl_VIBE'!AI25</f>
        <v>0</v>
      </c>
      <c r="AH25" s="290">
        <f t="shared" si="43"/>
        <v>0</v>
      </c>
      <c r="AI25" s="328">
        <f t="shared" si="24"/>
        <v>0</v>
      </c>
      <c r="AJ25" s="321">
        <f t="shared" si="44"/>
        <v>0</v>
      </c>
      <c r="AK25" s="342">
        <f t="shared" si="45"/>
        <v>0</v>
      </c>
      <c r="AM25" s="286">
        <v>0</v>
      </c>
      <c r="AN25" s="286">
        <f t="shared" si="46"/>
        <v>0</v>
      </c>
      <c r="AO25" s="286">
        <f t="shared" si="25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2.1.14'!K22</f>
        <v>0</v>
      </c>
      <c r="D26" s="194">
        <f>+'Table 5C1A-Madison Prep'!D26</f>
        <v>5278.5201565562011</v>
      </c>
      <c r="E26" s="195">
        <f t="shared" si="26"/>
        <v>0</v>
      </c>
      <c r="F26" s="195">
        <f>+'Table 5C1A-Madison Prep'!F26</f>
        <v>586.16999999999996</v>
      </c>
      <c r="G26" s="195">
        <f t="shared" si="27"/>
        <v>0</v>
      </c>
      <c r="H26" s="346">
        <f t="shared" si="28"/>
        <v>0</v>
      </c>
      <c r="I26" s="196">
        <f>'[1]Oct midyear Intl_VIBE'!K23</f>
        <v>0</v>
      </c>
      <c r="J26" s="196">
        <f>'[1]Feb midyear Intl_VIBE'!K23</f>
        <v>0</v>
      </c>
      <c r="K26" s="197">
        <f t="shared" si="29"/>
        <v>0</v>
      </c>
      <c r="L26" s="346">
        <f t="shared" si="30"/>
        <v>0</v>
      </c>
      <c r="M26" s="296">
        <f t="shared" si="31"/>
        <v>0</v>
      </c>
      <c r="N26" s="346">
        <f t="shared" si="32"/>
        <v>0</v>
      </c>
      <c r="O26" s="194">
        <v>0</v>
      </c>
      <c r="P26" s="346">
        <f t="shared" si="33"/>
        <v>0</v>
      </c>
      <c r="Q26" s="194">
        <f>8*'[2]Table 5C1C-Intl_VIBE'!S26</f>
        <v>0</v>
      </c>
      <c r="R26" s="194">
        <f t="shared" si="34"/>
        <v>0</v>
      </c>
      <c r="S26" s="346">
        <f t="shared" si="22"/>
        <v>0</v>
      </c>
      <c r="T26" s="346">
        <f t="shared" si="35"/>
        <v>0</v>
      </c>
      <c r="U26" s="285">
        <f>+'Table 5C1A-Madison Prep'!U26</f>
        <v>2484</v>
      </c>
      <c r="V26" s="325">
        <f t="shared" si="23"/>
        <v>0</v>
      </c>
      <c r="W26" s="884">
        <f>'[1]Oct midyear Intl_VIBE'!E23</f>
        <v>0</v>
      </c>
      <c r="X26" s="282">
        <f t="shared" si="36"/>
        <v>0</v>
      </c>
      <c r="Y26" s="884">
        <f>'[1]Feb midyear Intl_VIBE'!E23</f>
        <v>0</v>
      </c>
      <c r="Z26" s="282">
        <f t="shared" si="37"/>
        <v>0</v>
      </c>
      <c r="AA26" s="283">
        <f t="shared" si="38"/>
        <v>0</v>
      </c>
      <c r="AB26" s="325">
        <f t="shared" si="39"/>
        <v>0</v>
      </c>
      <c r="AC26" s="298">
        <f t="shared" si="40"/>
        <v>0</v>
      </c>
      <c r="AD26" s="325">
        <f t="shared" si="41"/>
        <v>0</v>
      </c>
      <c r="AE26" s="284">
        <v>0</v>
      </c>
      <c r="AF26" s="325">
        <f t="shared" si="42"/>
        <v>0</v>
      </c>
      <c r="AG26" s="282">
        <f>8*'[2]Table 5C1C-Intl_VIBE'!AI26</f>
        <v>0</v>
      </c>
      <c r="AH26" s="282">
        <f t="shared" si="43"/>
        <v>0</v>
      </c>
      <c r="AI26" s="329">
        <f t="shared" si="24"/>
        <v>0</v>
      </c>
      <c r="AJ26" s="338">
        <f t="shared" si="44"/>
        <v>0</v>
      </c>
      <c r="AK26" s="343">
        <f t="shared" si="45"/>
        <v>0</v>
      </c>
      <c r="AM26" s="296">
        <v>0</v>
      </c>
      <c r="AN26" s="296">
        <f t="shared" si="46"/>
        <v>0</v>
      </c>
      <c r="AO26" s="296">
        <f t="shared" si="25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2.1.14'!K23</f>
        <v>0</v>
      </c>
      <c r="D27" s="208">
        <f>+'Table 5C1A-Madison Prep'!D27</f>
        <v>6082.3042295867763</v>
      </c>
      <c r="E27" s="209">
        <f t="shared" si="26"/>
        <v>0</v>
      </c>
      <c r="F27" s="209">
        <f>+'Table 5C1A-Madison Prep'!F27</f>
        <v>610.35</v>
      </c>
      <c r="G27" s="209">
        <f t="shared" si="27"/>
        <v>0</v>
      </c>
      <c r="H27" s="344">
        <f t="shared" si="28"/>
        <v>0</v>
      </c>
      <c r="I27" s="210">
        <f>'[1]Oct midyear Intl_VIBE'!K24</f>
        <v>0</v>
      </c>
      <c r="J27" s="210">
        <f>'[1]Feb midyear Intl_VIBE'!K24</f>
        <v>0</v>
      </c>
      <c r="K27" s="211">
        <f t="shared" si="29"/>
        <v>0</v>
      </c>
      <c r="L27" s="344">
        <f t="shared" si="30"/>
        <v>0</v>
      </c>
      <c r="M27" s="273">
        <f t="shared" si="31"/>
        <v>0</v>
      </c>
      <c r="N27" s="344">
        <f t="shared" si="32"/>
        <v>0</v>
      </c>
      <c r="O27" s="208">
        <v>0</v>
      </c>
      <c r="P27" s="344">
        <f t="shared" si="33"/>
        <v>0</v>
      </c>
      <c r="Q27" s="208">
        <f>8*'[2]Table 5C1C-Intl_VIBE'!S27</f>
        <v>0</v>
      </c>
      <c r="R27" s="208">
        <f t="shared" si="34"/>
        <v>0</v>
      </c>
      <c r="S27" s="344">
        <f t="shared" si="22"/>
        <v>0</v>
      </c>
      <c r="T27" s="344">
        <f t="shared" si="35"/>
        <v>0</v>
      </c>
      <c r="U27" s="280">
        <f>+'Table 5C1A-Madison Prep'!U27</f>
        <v>2487</v>
      </c>
      <c r="V27" s="323">
        <f t="shared" si="23"/>
        <v>0</v>
      </c>
      <c r="W27" s="883">
        <f>'[1]Oct midyear Intl_VIBE'!E24</f>
        <v>0</v>
      </c>
      <c r="X27" s="276">
        <f t="shared" si="36"/>
        <v>0</v>
      </c>
      <c r="Y27" s="883">
        <f>'[1]Feb midyear Intl_VIBE'!E24</f>
        <v>0</v>
      </c>
      <c r="Z27" s="276">
        <f t="shared" si="37"/>
        <v>0</v>
      </c>
      <c r="AA27" s="275">
        <f t="shared" si="38"/>
        <v>0</v>
      </c>
      <c r="AB27" s="323">
        <f t="shared" si="39"/>
        <v>0</v>
      </c>
      <c r="AC27" s="278">
        <f t="shared" si="40"/>
        <v>0</v>
      </c>
      <c r="AD27" s="323">
        <f t="shared" si="41"/>
        <v>0</v>
      </c>
      <c r="AE27" s="279">
        <v>0</v>
      </c>
      <c r="AF27" s="323">
        <f t="shared" si="42"/>
        <v>0</v>
      </c>
      <c r="AG27" s="276">
        <f>8*'[2]Table 5C1C-Intl_VIBE'!AI27</f>
        <v>0</v>
      </c>
      <c r="AH27" s="276">
        <f t="shared" si="43"/>
        <v>0</v>
      </c>
      <c r="AI27" s="327">
        <f t="shared" si="24"/>
        <v>0</v>
      </c>
      <c r="AJ27" s="337">
        <f t="shared" si="44"/>
        <v>0</v>
      </c>
      <c r="AK27" s="341">
        <f t="shared" si="45"/>
        <v>0</v>
      </c>
      <c r="AM27" s="273">
        <v>0</v>
      </c>
      <c r="AN27" s="273">
        <f t="shared" si="46"/>
        <v>0</v>
      </c>
      <c r="AO27" s="273">
        <f t="shared" si="25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2.1.14'!K24</f>
        <v>0</v>
      </c>
      <c r="D28" s="201">
        <f>+'Table 5C1A-Madison Prep'!D28</f>
        <v>6416.1099808195995</v>
      </c>
      <c r="E28" s="202">
        <f t="shared" si="26"/>
        <v>0</v>
      </c>
      <c r="F28" s="202">
        <f>+'Table 5C1A-Madison Prep'!F28</f>
        <v>496.36</v>
      </c>
      <c r="G28" s="202">
        <f t="shared" si="27"/>
        <v>0</v>
      </c>
      <c r="H28" s="345">
        <f t="shared" si="28"/>
        <v>0</v>
      </c>
      <c r="I28" s="203">
        <f>'[1]Oct midyear Intl_VIBE'!K25</f>
        <v>0</v>
      </c>
      <c r="J28" s="203">
        <f>'[1]Feb midyear Intl_VIBE'!K25</f>
        <v>0</v>
      </c>
      <c r="K28" s="204">
        <f t="shared" si="29"/>
        <v>0</v>
      </c>
      <c r="L28" s="345">
        <f t="shared" si="30"/>
        <v>0</v>
      </c>
      <c r="M28" s="286">
        <f t="shared" si="31"/>
        <v>0</v>
      </c>
      <c r="N28" s="345">
        <f t="shared" si="32"/>
        <v>0</v>
      </c>
      <c r="O28" s="201">
        <v>0</v>
      </c>
      <c r="P28" s="345">
        <f t="shared" si="33"/>
        <v>0</v>
      </c>
      <c r="Q28" s="201">
        <f>8*'[2]Table 5C1C-Intl_VIBE'!S28</f>
        <v>0</v>
      </c>
      <c r="R28" s="201">
        <f t="shared" si="34"/>
        <v>0</v>
      </c>
      <c r="S28" s="345">
        <f t="shared" si="22"/>
        <v>0</v>
      </c>
      <c r="T28" s="345">
        <f t="shared" si="35"/>
        <v>0</v>
      </c>
      <c r="U28" s="294">
        <f>+'Table 5C1A-Madison Prep'!U28</f>
        <v>1584</v>
      </c>
      <c r="V28" s="324">
        <f t="shared" si="23"/>
        <v>0</v>
      </c>
      <c r="W28" s="289">
        <f>'[1]Oct midyear Intl_VIBE'!E25</f>
        <v>0</v>
      </c>
      <c r="X28" s="290">
        <f t="shared" si="36"/>
        <v>0</v>
      </c>
      <c r="Y28" s="289">
        <f>'[1]Feb midyear Intl_VIBE'!E25</f>
        <v>0</v>
      </c>
      <c r="Z28" s="290">
        <f t="shared" si="37"/>
        <v>0</v>
      </c>
      <c r="AA28" s="288">
        <f t="shared" si="38"/>
        <v>0</v>
      </c>
      <c r="AB28" s="324">
        <f t="shared" si="39"/>
        <v>0</v>
      </c>
      <c r="AC28" s="292">
        <f t="shared" si="40"/>
        <v>0</v>
      </c>
      <c r="AD28" s="324">
        <f t="shared" si="41"/>
        <v>0</v>
      </c>
      <c r="AE28" s="293">
        <v>0</v>
      </c>
      <c r="AF28" s="324">
        <f t="shared" si="42"/>
        <v>0</v>
      </c>
      <c r="AG28" s="290">
        <f>8*'[2]Table 5C1C-Intl_VIBE'!AI28</f>
        <v>0</v>
      </c>
      <c r="AH28" s="290">
        <f t="shared" si="43"/>
        <v>0</v>
      </c>
      <c r="AI28" s="328">
        <f t="shared" si="24"/>
        <v>0</v>
      </c>
      <c r="AJ28" s="321">
        <f t="shared" si="44"/>
        <v>0</v>
      </c>
      <c r="AK28" s="342">
        <f t="shared" si="45"/>
        <v>0</v>
      </c>
      <c r="AM28" s="286">
        <v>0</v>
      </c>
      <c r="AN28" s="286">
        <f t="shared" si="46"/>
        <v>0</v>
      </c>
      <c r="AO28" s="286">
        <f t="shared" si="25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2.1.14'!K25</f>
        <v>0</v>
      </c>
      <c r="D29" s="201">
        <f>+'Table 5C1A-Madison Prep'!D29</f>
        <v>5011.0215265979159</v>
      </c>
      <c r="E29" s="202">
        <f t="shared" si="26"/>
        <v>0</v>
      </c>
      <c r="F29" s="202">
        <f>+'Table 5C1A-Madison Prep'!F29</f>
        <v>688.58</v>
      </c>
      <c r="G29" s="202">
        <f t="shared" si="27"/>
        <v>0</v>
      </c>
      <c r="H29" s="345">
        <f t="shared" si="28"/>
        <v>0</v>
      </c>
      <c r="I29" s="203">
        <f>'[1]Oct midyear Intl_VIBE'!K26</f>
        <v>0</v>
      </c>
      <c r="J29" s="203">
        <f>'[1]Feb midyear Intl_VIBE'!K26</f>
        <v>0</v>
      </c>
      <c r="K29" s="204">
        <f t="shared" si="29"/>
        <v>0</v>
      </c>
      <c r="L29" s="345">
        <f t="shared" si="30"/>
        <v>0</v>
      </c>
      <c r="M29" s="286">
        <f t="shared" si="31"/>
        <v>0</v>
      </c>
      <c r="N29" s="345">
        <f t="shared" si="32"/>
        <v>0</v>
      </c>
      <c r="O29" s="201">
        <v>0</v>
      </c>
      <c r="P29" s="345">
        <f t="shared" si="33"/>
        <v>0</v>
      </c>
      <c r="Q29" s="201">
        <f>8*'[2]Table 5C1C-Intl_VIBE'!S29</f>
        <v>0</v>
      </c>
      <c r="R29" s="201">
        <f t="shared" si="34"/>
        <v>0</v>
      </c>
      <c r="S29" s="345">
        <f t="shared" si="22"/>
        <v>0</v>
      </c>
      <c r="T29" s="345">
        <f t="shared" si="35"/>
        <v>0</v>
      </c>
      <c r="U29" s="294">
        <f>+'Table 5C1A-Madison Prep'!U29</f>
        <v>3500</v>
      </c>
      <c r="V29" s="324">
        <f t="shared" si="23"/>
        <v>0</v>
      </c>
      <c r="W29" s="289">
        <f>'[1]Oct midyear Intl_VIBE'!E26</f>
        <v>0</v>
      </c>
      <c r="X29" s="290">
        <f t="shared" si="36"/>
        <v>0</v>
      </c>
      <c r="Y29" s="289">
        <f>'[1]Feb midyear Intl_VIBE'!E26</f>
        <v>0</v>
      </c>
      <c r="Z29" s="290">
        <f t="shared" si="37"/>
        <v>0</v>
      </c>
      <c r="AA29" s="288">
        <f t="shared" si="38"/>
        <v>0</v>
      </c>
      <c r="AB29" s="324">
        <f t="shared" si="39"/>
        <v>0</v>
      </c>
      <c r="AC29" s="292">
        <f t="shared" si="40"/>
        <v>0</v>
      </c>
      <c r="AD29" s="324">
        <f t="shared" si="41"/>
        <v>0</v>
      </c>
      <c r="AE29" s="293">
        <v>0</v>
      </c>
      <c r="AF29" s="324">
        <f t="shared" si="42"/>
        <v>0</v>
      </c>
      <c r="AG29" s="290">
        <f>8*'[2]Table 5C1C-Intl_VIBE'!AI29</f>
        <v>0</v>
      </c>
      <c r="AH29" s="290">
        <f t="shared" si="43"/>
        <v>0</v>
      </c>
      <c r="AI29" s="328">
        <f t="shared" si="24"/>
        <v>0</v>
      </c>
      <c r="AJ29" s="321">
        <f t="shared" si="44"/>
        <v>0</v>
      </c>
      <c r="AK29" s="342">
        <f t="shared" si="45"/>
        <v>0</v>
      </c>
      <c r="AM29" s="286">
        <v>0</v>
      </c>
      <c r="AN29" s="286">
        <f t="shared" si="46"/>
        <v>0</v>
      </c>
      <c r="AO29" s="286">
        <f t="shared" si="25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2.1.14'!K26</f>
        <v>0</v>
      </c>
      <c r="D30" s="201">
        <f>+'Table 5C1A-Madison Prep'!D30</f>
        <v>2611.6740361576999</v>
      </c>
      <c r="E30" s="202">
        <f t="shared" si="26"/>
        <v>0</v>
      </c>
      <c r="F30" s="202">
        <f>+'Table 5C1A-Madison Prep'!F30</f>
        <v>854.24999999999989</v>
      </c>
      <c r="G30" s="202">
        <f t="shared" si="27"/>
        <v>0</v>
      </c>
      <c r="H30" s="345">
        <f t="shared" si="28"/>
        <v>0</v>
      </c>
      <c r="I30" s="203">
        <f>'[1]Oct midyear Intl_VIBE'!K27</f>
        <v>0</v>
      </c>
      <c r="J30" s="203">
        <f>'[1]Feb midyear Intl_VIBE'!K27</f>
        <v>0</v>
      </c>
      <c r="K30" s="204">
        <f t="shared" si="29"/>
        <v>0</v>
      </c>
      <c r="L30" s="345">
        <f t="shared" si="30"/>
        <v>0</v>
      </c>
      <c r="M30" s="286">
        <f t="shared" si="31"/>
        <v>0</v>
      </c>
      <c r="N30" s="345">
        <f t="shared" si="32"/>
        <v>0</v>
      </c>
      <c r="O30" s="201">
        <v>0</v>
      </c>
      <c r="P30" s="345">
        <f t="shared" si="33"/>
        <v>0</v>
      </c>
      <c r="Q30" s="201">
        <f>8*'[2]Table 5C1C-Intl_VIBE'!S30</f>
        <v>0</v>
      </c>
      <c r="R30" s="201">
        <f t="shared" si="34"/>
        <v>0</v>
      </c>
      <c r="S30" s="345">
        <f t="shared" si="22"/>
        <v>0</v>
      </c>
      <c r="T30" s="345">
        <f t="shared" si="35"/>
        <v>0</v>
      </c>
      <c r="U30" s="294">
        <f>+'Table 5C1A-Madison Prep'!U30</f>
        <v>11051</v>
      </c>
      <c r="V30" s="324">
        <f t="shared" si="23"/>
        <v>0</v>
      </c>
      <c r="W30" s="289">
        <f>'[1]Oct midyear Intl_VIBE'!E27</f>
        <v>0</v>
      </c>
      <c r="X30" s="290">
        <f t="shared" si="36"/>
        <v>0</v>
      </c>
      <c r="Y30" s="289">
        <f>'[1]Feb midyear Intl_VIBE'!E27</f>
        <v>0</v>
      </c>
      <c r="Z30" s="290">
        <f t="shared" si="37"/>
        <v>0</v>
      </c>
      <c r="AA30" s="288">
        <f t="shared" si="38"/>
        <v>0</v>
      </c>
      <c r="AB30" s="324">
        <f t="shared" si="39"/>
        <v>0</v>
      </c>
      <c r="AC30" s="292">
        <f t="shared" si="40"/>
        <v>0</v>
      </c>
      <c r="AD30" s="324">
        <f t="shared" si="41"/>
        <v>0</v>
      </c>
      <c r="AE30" s="293">
        <v>0</v>
      </c>
      <c r="AF30" s="324">
        <f t="shared" si="42"/>
        <v>0</v>
      </c>
      <c r="AG30" s="290">
        <f>8*'[2]Table 5C1C-Intl_VIBE'!AI30</f>
        <v>0</v>
      </c>
      <c r="AH30" s="290">
        <f t="shared" si="43"/>
        <v>0</v>
      </c>
      <c r="AI30" s="328">
        <f t="shared" si="24"/>
        <v>0</v>
      </c>
      <c r="AJ30" s="321">
        <f t="shared" si="44"/>
        <v>0</v>
      </c>
      <c r="AK30" s="342">
        <f t="shared" si="45"/>
        <v>0</v>
      </c>
      <c r="AM30" s="286">
        <v>0</v>
      </c>
      <c r="AN30" s="286">
        <f t="shared" si="46"/>
        <v>0</v>
      </c>
      <c r="AO30" s="286">
        <f t="shared" si="25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2.1.14'!K27</f>
        <v>0</v>
      </c>
      <c r="D31" s="194">
        <f>+'Table 5C1A-Madison Prep'!D31</f>
        <v>4173.0720274945697</v>
      </c>
      <c r="E31" s="195">
        <f t="shared" si="26"/>
        <v>0</v>
      </c>
      <c r="F31" s="195">
        <f>+'Table 5C1A-Madison Prep'!F31</f>
        <v>653.73</v>
      </c>
      <c r="G31" s="195">
        <f t="shared" si="27"/>
        <v>0</v>
      </c>
      <c r="H31" s="346">
        <f t="shared" si="28"/>
        <v>0</v>
      </c>
      <c r="I31" s="196">
        <f>'[1]Oct midyear Intl_VIBE'!K28</f>
        <v>0</v>
      </c>
      <c r="J31" s="196">
        <f>'[1]Feb midyear Intl_VIBE'!K28</f>
        <v>0</v>
      </c>
      <c r="K31" s="197">
        <f t="shared" si="29"/>
        <v>0</v>
      </c>
      <c r="L31" s="346">
        <f t="shared" si="30"/>
        <v>0</v>
      </c>
      <c r="M31" s="296">
        <f t="shared" si="31"/>
        <v>0</v>
      </c>
      <c r="N31" s="346">
        <f t="shared" si="32"/>
        <v>0</v>
      </c>
      <c r="O31" s="194">
        <v>0</v>
      </c>
      <c r="P31" s="346">
        <f t="shared" si="33"/>
        <v>0</v>
      </c>
      <c r="Q31" s="194">
        <f>8*'[2]Table 5C1C-Intl_VIBE'!S31</f>
        <v>0</v>
      </c>
      <c r="R31" s="194">
        <f t="shared" si="34"/>
        <v>0</v>
      </c>
      <c r="S31" s="346">
        <f t="shared" si="22"/>
        <v>0</v>
      </c>
      <c r="T31" s="346">
        <f t="shared" si="35"/>
        <v>0</v>
      </c>
      <c r="U31" s="285">
        <f>+'Table 5C1A-Madison Prep'!U31</f>
        <v>5156</v>
      </c>
      <c r="V31" s="325">
        <f t="shared" si="23"/>
        <v>0</v>
      </c>
      <c r="W31" s="884">
        <f>'[1]Oct midyear Intl_VIBE'!E28</f>
        <v>0</v>
      </c>
      <c r="X31" s="282">
        <f t="shared" si="36"/>
        <v>0</v>
      </c>
      <c r="Y31" s="884">
        <f>'[1]Feb midyear Intl_VIBE'!E28</f>
        <v>0</v>
      </c>
      <c r="Z31" s="282">
        <f t="shared" si="37"/>
        <v>0</v>
      </c>
      <c r="AA31" s="283">
        <f t="shared" si="38"/>
        <v>0</v>
      </c>
      <c r="AB31" s="325">
        <f t="shared" si="39"/>
        <v>0</v>
      </c>
      <c r="AC31" s="298">
        <f t="shared" si="40"/>
        <v>0</v>
      </c>
      <c r="AD31" s="325">
        <f t="shared" si="41"/>
        <v>0</v>
      </c>
      <c r="AE31" s="284">
        <v>0</v>
      </c>
      <c r="AF31" s="325">
        <f t="shared" si="42"/>
        <v>0</v>
      </c>
      <c r="AG31" s="282">
        <f>8*'[2]Table 5C1C-Intl_VIBE'!AI31</f>
        <v>0</v>
      </c>
      <c r="AH31" s="282">
        <f t="shared" si="43"/>
        <v>0</v>
      </c>
      <c r="AI31" s="329">
        <f t="shared" si="24"/>
        <v>0</v>
      </c>
      <c r="AJ31" s="338">
        <f t="shared" si="44"/>
        <v>0</v>
      </c>
      <c r="AK31" s="343">
        <f t="shared" si="45"/>
        <v>0</v>
      </c>
      <c r="AM31" s="296">
        <v>0</v>
      </c>
      <c r="AN31" s="296">
        <f t="shared" si="46"/>
        <v>0</v>
      </c>
      <c r="AO31" s="296">
        <f t="shared" si="25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2.1.14'!K28</f>
        <v>58</v>
      </c>
      <c r="D32" s="208">
        <f>+'Table 5C1A-Madison Prep'!D32</f>
        <v>3424.5649970570835</v>
      </c>
      <c r="E32" s="209">
        <f t="shared" si="26"/>
        <v>198624.76982931086</v>
      </c>
      <c r="F32" s="209">
        <f>+'Table 5C1A-Madison Prep'!F32</f>
        <v>836.83</v>
      </c>
      <c r="G32" s="209">
        <f t="shared" si="27"/>
        <v>48536.14</v>
      </c>
      <c r="H32" s="344">
        <f t="shared" si="28"/>
        <v>247160.90982931084</v>
      </c>
      <c r="I32" s="210">
        <f>'[1]Oct midyear Intl_VIBE'!K29</f>
        <v>93750.689935255839</v>
      </c>
      <c r="J32" s="210">
        <f>'[1]Feb midyear Intl_VIBE'!K29</f>
        <v>-14914.882489699794</v>
      </c>
      <c r="K32" s="211">
        <f t="shared" si="29"/>
        <v>78835.807445556042</v>
      </c>
      <c r="L32" s="344">
        <f t="shared" si="30"/>
        <v>325996.71727486688</v>
      </c>
      <c r="M32" s="273">
        <f t="shared" si="31"/>
        <v>-814.99179318716722</v>
      </c>
      <c r="N32" s="344">
        <f t="shared" si="32"/>
        <v>325181.72548167972</v>
      </c>
      <c r="O32" s="208">
        <v>0</v>
      </c>
      <c r="P32" s="344">
        <f t="shared" si="33"/>
        <v>325181.72548167972</v>
      </c>
      <c r="Q32" s="208">
        <f>8*'[2]Table 5C1C-Intl_VIBE'!S32</f>
        <v>164360</v>
      </c>
      <c r="R32" s="208">
        <f t="shared" si="34"/>
        <v>160821.72548167972</v>
      </c>
      <c r="S32" s="344">
        <f t="shared" si="22"/>
        <v>40205</v>
      </c>
      <c r="T32" s="344">
        <f t="shared" si="35"/>
        <v>325181.72548167972</v>
      </c>
      <c r="U32" s="280">
        <f>+'Table 5C1A-Madison Prep'!U32</f>
        <v>5153</v>
      </c>
      <c r="V32" s="323">
        <f t="shared" si="23"/>
        <v>298874</v>
      </c>
      <c r="W32" s="883">
        <f>'[1]Oct midyear Intl_VIBE'!E29</f>
        <v>22</v>
      </c>
      <c r="X32" s="276">
        <f t="shared" si="36"/>
        <v>113366</v>
      </c>
      <c r="Y32" s="883">
        <f>'[1]Feb midyear Intl_VIBE'!E29</f>
        <v>-7</v>
      </c>
      <c r="Z32" s="276">
        <f t="shared" si="37"/>
        <v>-18035.5</v>
      </c>
      <c r="AA32" s="275">
        <f t="shared" si="38"/>
        <v>95330.5</v>
      </c>
      <c r="AB32" s="323">
        <f t="shared" si="39"/>
        <v>394204.5</v>
      </c>
      <c r="AC32" s="278">
        <f t="shared" si="40"/>
        <v>-985.51125000000002</v>
      </c>
      <c r="AD32" s="323">
        <f t="shared" si="41"/>
        <v>393218.98875000002</v>
      </c>
      <c r="AE32" s="279">
        <v>0</v>
      </c>
      <c r="AF32" s="323">
        <f t="shared" si="42"/>
        <v>393218.98875000002</v>
      </c>
      <c r="AG32" s="276">
        <f>8*'[2]Table 5C1C-Intl_VIBE'!AI32</f>
        <v>202880</v>
      </c>
      <c r="AH32" s="276">
        <f t="shared" si="43"/>
        <v>190338.98875000002</v>
      </c>
      <c r="AI32" s="327">
        <f t="shared" si="24"/>
        <v>47585</v>
      </c>
      <c r="AJ32" s="337">
        <f t="shared" si="44"/>
        <v>718400.71423167968</v>
      </c>
      <c r="AK32" s="341">
        <f t="shared" si="45"/>
        <v>87790</v>
      </c>
      <c r="AM32" s="273">
        <v>-762.7</v>
      </c>
      <c r="AN32" s="273">
        <f t="shared" si="46"/>
        <v>-985.51125000000002</v>
      </c>
      <c r="AO32" s="273">
        <f t="shared" si="25"/>
        <v>-222.81124999999997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2.1.14'!K29</f>
        <v>0</v>
      </c>
      <c r="D33" s="201">
        <f>+'Table 5C1A-Madison Prep'!D33</f>
        <v>5804.9013839977006</v>
      </c>
      <c r="E33" s="202">
        <f t="shared" si="26"/>
        <v>0</v>
      </c>
      <c r="F33" s="202">
        <f>+'Table 5C1A-Madison Prep'!F33</f>
        <v>693.06</v>
      </c>
      <c r="G33" s="202">
        <f t="shared" si="27"/>
        <v>0</v>
      </c>
      <c r="H33" s="345">
        <f t="shared" si="28"/>
        <v>0</v>
      </c>
      <c r="I33" s="203">
        <f>'[1]Oct midyear Intl_VIBE'!K30</f>
        <v>0</v>
      </c>
      <c r="J33" s="203">
        <f>'[1]Feb midyear Intl_VIBE'!K30</f>
        <v>0</v>
      </c>
      <c r="K33" s="204">
        <f t="shared" si="29"/>
        <v>0</v>
      </c>
      <c r="L33" s="345">
        <f t="shared" si="30"/>
        <v>0</v>
      </c>
      <c r="M33" s="286">
        <f t="shared" si="31"/>
        <v>0</v>
      </c>
      <c r="N33" s="345">
        <f t="shared" si="32"/>
        <v>0</v>
      </c>
      <c r="O33" s="201">
        <v>0</v>
      </c>
      <c r="P33" s="345">
        <f t="shared" si="33"/>
        <v>0</v>
      </c>
      <c r="Q33" s="201">
        <f>8*'[2]Table 5C1C-Intl_VIBE'!S33</f>
        <v>0</v>
      </c>
      <c r="R33" s="201">
        <f t="shared" si="34"/>
        <v>0</v>
      </c>
      <c r="S33" s="345">
        <f t="shared" si="22"/>
        <v>0</v>
      </c>
      <c r="T33" s="345">
        <f t="shared" si="35"/>
        <v>0</v>
      </c>
      <c r="U33" s="294">
        <f>+'Table 5C1A-Madison Prep'!U33</f>
        <v>3225</v>
      </c>
      <c r="V33" s="324">
        <f t="shared" si="23"/>
        <v>0</v>
      </c>
      <c r="W33" s="289">
        <f>'[1]Oct midyear Intl_VIBE'!E30</f>
        <v>0</v>
      </c>
      <c r="X33" s="290">
        <f t="shared" si="36"/>
        <v>0</v>
      </c>
      <c r="Y33" s="289">
        <f>'[1]Feb midyear Intl_VIBE'!E30</f>
        <v>0</v>
      </c>
      <c r="Z33" s="290">
        <f t="shared" si="37"/>
        <v>0</v>
      </c>
      <c r="AA33" s="288">
        <f t="shared" si="38"/>
        <v>0</v>
      </c>
      <c r="AB33" s="324">
        <f t="shared" si="39"/>
        <v>0</v>
      </c>
      <c r="AC33" s="292">
        <f t="shared" si="40"/>
        <v>0</v>
      </c>
      <c r="AD33" s="324">
        <f t="shared" si="41"/>
        <v>0</v>
      </c>
      <c r="AE33" s="293">
        <v>0</v>
      </c>
      <c r="AF33" s="324">
        <f t="shared" si="42"/>
        <v>0</v>
      </c>
      <c r="AG33" s="290">
        <f>8*'[2]Table 5C1C-Intl_VIBE'!AI33</f>
        <v>0</v>
      </c>
      <c r="AH33" s="290">
        <f t="shared" si="43"/>
        <v>0</v>
      </c>
      <c r="AI33" s="328">
        <f t="shared" si="24"/>
        <v>0</v>
      </c>
      <c r="AJ33" s="321">
        <f t="shared" si="44"/>
        <v>0</v>
      </c>
      <c r="AK33" s="342">
        <f t="shared" si="45"/>
        <v>0</v>
      </c>
      <c r="AM33" s="286">
        <v>0</v>
      </c>
      <c r="AN33" s="286">
        <f t="shared" si="46"/>
        <v>0</v>
      </c>
      <c r="AO33" s="286">
        <f t="shared" si="25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2.1.14'!K30</f>
        <v>0</v>
      </c>
      <c r="D34" s="201">
        <f>+'Table 5C1A-Madison Prep'!D34</f>
        <v>3137.4158846568821</v>
      </c>
      <c r="E34" s="202">
        <f t="shared" si="26"/>
        <v>0</v>
      </c>
      <c r="F34" s="202">
        <f>+'Table 5C1A-Madison Prep'!F34</f>
        <v>694.4</v>
      </c>
      <c r="G34" s="202">
        <f t="shared" si="27"/>
        <v>0</v>
      </c>
      <c r="H34" s="345">
        <f t="shared" si="28"/>
        <v>0</v>
      </c>
      <c r="I34" s="203">
        <f>'[1]Oct midyear Intl_VIBE'!K31</f>
        <v>0</v>
      </c>
      <c r="J34" s="203">
        <f>'[1]Feb midyear Intl_VIBE'!K31</f>
        <v>0</v>
      </c>
      <c r="K34" s="204">
        <f t="shared" si="29"/>
        <v>0</v>
      </c>
      <c r="L34" s="345">
        <f t="shared" si="30"/>
        <v>0</v>
      </c>
      <c r="M34" s="286">
        <f t="shared" si="31"/>
        <v>0</v>
      </c>
      <c r="N34" s="345">
        <f t="shared" si="32"/>
        <v>0</v>
      </c>
      <c r="O34" s="201">
        <v>0</v>
      </c>
      <c r="P34" s="345">
        <f t="shared" si="33"/>
        <v>0</v>
      </c>
      <c r="Q34" s="201">
        <f>8*'[2]Table 5C1C-Intl_VIBE'!S34</f>
        <v>0</v>
      </c>
      <c r="R34" s="201">
        <f t="shared" si="34"/>
        <v>0</v>
      </c>
      <c r="S34" s="345">
        <f t="shared" si="22"/>
        <v>0</v>
      </c>
      <c r="T34" s="345">
        <f t="shared" si="35"/>
        <v>0</v>
      </c>
      <c r="U34" s="294">
        <f>+'Table 5C1A-Madison Prep'!U34</f>
        <v>5816</v>
      </c>
      <c r="V34" s="324">
        <f t="shared" si="23"/>
        <v>0</v>
      </c>
      <c r="W34" s="289">
        <f>'[1]Oct midyear Intl_VIBE'!E31</f>
        <v>0</v>
      </c>
      <c r="X34" s="290">
        <f t="shared" si="36"/>
        <v>0</v>
      </c>
      <c r="Y34" s="289">
        <f>'[1]Feb midyear Intl_VIBE'!E31</f>
        <v>0</v>
      </c>
      <c r="Z34" s="290">
        <f t="shared" si="37"/>
        <v>0</v>
      </c>
      <c r="AA34" s="288">
        <f t="shared" si="38"/>
        <v>0</v>
      </c>
      <c r="AB34" s="324">
        <f t="shared" si="39"/>
        <v>0</v>
      </c>
      <c r="AC34" s="292">
        <f t="shared" si="40"/>
        <v>0</v>
      </c>
      <c r="AD34" s="324">
        <f t="shared" si="41"/>
        <v>0</v>
      </c>
      <c r="AE34" s="293">
        <v>0</v>
      </c>
      <c r="AF34" s="324">
        <f t="shared" si="42"/>
        <v>0</v>
      </c>
      <c r="AG34" s="290">
        <f>8*'[2]Table 5C1C-Intl_VIBE'!AI34</f>
        <v>0</v>
      </c>
      <c r="AH34" s="290">
        <f t="shared" si="43"/>
        <v>0</v>
      </c>
      <c r="AI34" s="328">
        <f t="shared" si="24"/>
        <v>0</v>
      </c>
      <c r="AJ34" s="321">
        <f t="shared" si="44"/>
        <v>0</v>
      </c>
      <c r="AK34" s="342">
        <f t="shared" si="45"/>
        <v>0</v>
      </c>
      <c r="AM34" s="286">
        <v>0</v>
      </c>
      <c r="AN34" s="286">
        <f t="shared" si="46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2.1.14'!K31</f>
        <v>0</v>
      </c>
      <c r="D35" s="201">
        <f>+'Table 5C1A-Madison Prep'!D35</f>
        <v>3839.0123210173724</v>
      </c>
      <c r="E35" s="202">
        <f t="shared" si="26"/>
        <v>0</v>
      </c>
      <c r="F35" s="202">
        <f>+'Table 5C1A-Madison Prep'!F35</f>
        <v>754.94999999999993</v>
      </c>
      <c r="G35" s="202">
        <f t="shared" si="27"/>
        <v>0</v>
      </c>
      <c r="H35" s="345">
        <f t="shared" si="28"/>
        <v>0</v>
      </c>
      <c r="I35" s="203">
        <f>'[1]Oct midyear Intl_VIBE'!K32</f>
        <v>0</v>
      </c>
      <c r="J35" s="203">
        <f>'[1]Feb midyear Intl_VIBE'!K32</f>
        <v>0</v>
      </c>
      <c r="K35" s="204">
        <f t="shared" si="29"/>
        <v>0</v>
      </c>
      <c r="L35" s="345">
        <f t="shared" si="30"/>
        <v>0</v>
      </c>
      <c r="M35" s="286">
        <f t="shared" si="31"/>
        <v>0</v>
      </c>
      <c r="N35" s="345">
        <f t="shared" si="32"/>
        <v>0</v>
      </c>
      <c r="O35" s="201">
        <v>0</v>
      </c>
      <c r="P35" s="345">
        <f t="shared" si="33"/>
        <v>0</v>
      </c>
      <c r="Q35" s="201">
        <f>8*'[2]Table 5C1C-Intl_VIBE'!S35</f>
        <v>0</v>
      </c>
      <c r="R35" s="201">
        <f t="shared" si="34"/>
        <v>0</v>
      </c>
      <c r="S35" s="345">
        <f t="shared" si="22"/>
        <v>0</v>
      </c>
      <c r="T35" s="345">
        <f t="shared" si="35"/>
        <v>0</v>
      </c>
      <c r="U35" s="294">
        <f>+'Table 5C1A-Madison Prep'!U35</f>
        <v>5046</v>
      </c>
      <c r="V35" s="324">
        <f t="shared" si="23"/>
        <v>0</v>
      </c>
      <c r="W35" s="289">
        <f>'[1]Oct midyear Intl_VIBE'!E32</f>
        <v>0</v>
      </c>
      <c r="X35" s="290">
        <f t="shared" si="36"/>
        <v>0</v>
      </c>
      <c r="Y35" s="289">
        <f>'[1]Feb midyear Intl_VIBE'!E32</f>
        <v>0</v>
      </c>
      <c r="Z35" s="290">
        <f t="shared" si="37"/>
        <v>0</v>
      </c>
      <c r="AA35" s="288">
        <f t="shared" si="38"/>
        <v>0</v>
      </c>
      <c r="AB35" s="324">
        <f t="shared" si="39"/>
        <v>0</v>
      </c>
      <c r="AC35" s="292">
        <f t="shared" si="40"/>
        <v>0</v>
      </c>
      <c r="AD35" s="324">
        <f t="shared" si="41"/>
        <v>0</v>
      </c>
      <c r="AE35" s="293">
        <v>0</v>
      </c>
      <c r="AF35" s="324">
        <f t="shared" si="42"/>
        <v>0</v>
      </c>
      <c r="AG35" s="290">
        <f>8*'[2]Table 5C1C-Intl_VIBE'!AI35</f>
        <v>0</v>
      </c>
      <c r="AH35" s="290">
        <f t="shared" si="43"/>
        <v>0</v>
      </c>
      <c r="AI35" s="328">
        <f t="shared" si="24"/>
        <v>0</v>
      </c>
      <c r="AJ35" s="321">
        <f t="shared" si="44"/>
        <v>0</v>
      </c>
      <c r="AK35" s="342">
        <f t="shared" si="45"/>
        <v>0</v>
      </c>
      <c r="AM35" s="286">
        <v>0</v>
      </c>
      <c r="AN35" s="286">
        <f t="shared" si="46"/>
        <v>0</v>
      </c>
      <c r="AO35" s="286">
        <f t="shared" ref="AO35:AO75" si="47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2.1.14'!K32</f>
        <v>0</v>
      </c>
      <c r="D36" s="194">
        <f>+'Table 5C1A-Madison Prep'!D36</f>
        <v>5804.5327273996763</v>
      </c>
      <c r="E36" s="195">
        <f t="shared" si="26"/>
        <v>0</v>
      </c>
      <c r="F36" s="195">
        <f>+'Table 5C1A-Madison Prep'!F36</f>
        <v>727.17</v>
      </c>
      <c r="G36" s="195">
        <f t="shared" si="27"/>
        <v>0</v>
      </c>
      <c r="H36" s="346">
        <f t="shared" si="28"/>
        <v>0</v>
      </c>
      <c r="I36" s="196">
        <f>'[1]Oct midyear Intl_VIBE'!K33</f>
        <v>0</v>
      </c>
      <c r="J36" s="196">
        <f>'[1]Feb midyear Intl_VIBE'!K33</f>
        <v>0</v>
      </c>
      <c r="K36" s="197">
        <f t="shared" si="29"/>
        <v>0</v>
      </c>
      <c r="L36" s="346">
        <f t="shared" si="30"/>
        <v>0</v>
      </c>
      <c r="M36" s="296">
        <f t="shared" si="31"/>
        <v>0</v>
      </c>
      <c r="N36" s="346">
        <f t="shared" si="32"/>
        <v>0</v>
      </c>
      <c r="O36" s="194">
        <v>0</v>
      </c>
      <c r="P36" s="346">
        <f t="shared" si="33"/>
        <v>0</v>
      </c>
      <c r="Q36" s="194">
        <f>8*'[2]Table 5C1C-Intl_VIBE'!S36</f>
        <v>0</v>
      </c>
      <c r="R36" s="194">
        <f t="shared" si="34"/>
        <v>0</v>
      </c>
      <c r="S36" s="346">
        <f t="shared" si="22"/>
        <v>0</v>
      </c>
      <c r="T36" s="346">
        <f t="shared" si="35"/>
        <v>0</v>
      </c>
      <c r="U36" s="285">
        <f>+'Table 5C1A-Madison Prep'!U36</f>
        <v>3999</v>
      </c>
      <c r="V36" s="325">
        <f t="shared" si="23"/>
        <v>0</v>
      </c>
      <c r="W36" s="884">
        <f>'[1]Oct midyear Intl_VIBE'!E33</f>
        <v>0</v>
      </c>
      <c r="X36" s="282">
        <f t="shared" si="36"/>
        <v>0</v>
      </c>
      <c r="Y36" s="884">
        <f>'[1]Feb midyear Intl_VIBE'!E33</f>
        <v>0</v>
      </c>
      <c r="Z36" s="282">
        <f t="shared" si="37"/>
        <v>0</v>
      </c>
      <c r="AA36" s="283">
        <f t="shared" si="38"/>
        <v>0</v>
      </c>
      <c r="AB36" s="325">
        <f t="shared" si="39"/>
        <v>0</v>
      </c>
      <c r="AC36" s="298">
        <f t="shared" si="40"/>
        <v>0</v>
      </c>
      <c r="AD36" s="325">
        <f t="shared" si="41"/>
        <v>0</v>
      </c>
      <c r="AE36" s="284">
        <v>0</v>
      </c>
      <c r="AF36" s="325">
        <f t="shared" si="42"/>
        <v>0</v>
      </c>
      <c r="AG36" s="282">
        <f>8*'[2]Table 5C1C-Intl_VIBE'!AI36</f>
        <v>0</v>
      </c>
      <c r="AH36" s="282">
        <f t="shared" si="43"/>
        <v>0</v>
      </c>
      <c r="AI36" s="329">
        <f t="shared" si="24"/>
        <v>0</v>
      </c>
      <c r="AJ36" s="338">
        <f t="shared" si="44"/>
        <v>0</v>
      </c>
      <c r="AK36" s="343">
        <f t="shared" si="45"/>
        <v>0</v>
      </c>
      <c r="AM36" s="296">
        <v>0</v>
      </c>
      <c r="AN36" s="296">
        <f t="shared" si="46"/>
        <v>0</v>
      </c>
      <c r="AO36" s="296">
        <f t="shared" si="47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2.1.14'!K33</f>
        <v>0</v>
      </c>
      <c r="D37" s="208">
        <f>+'Table 5C1A-Madison Prep'!D37</f>
        <v>4520.6176716868531</v>
      </c>
      <c r="E37" s="209">
        <f t="shared" si="26"/>
        <v>0</v>
      </c>
      <c r="F37" s="209">
        <f>+'Table 5C1A-Madison Prep'!F37</f>
        <v>620.83000000000004</v>
      </c>
      <c r="G37" s="209">
        <f t="shared" si="27"/>
        <v>0</v>
      </c>
      <c r="H37" s="344">
        <f t="shared" si="28"/>
        <v>0</v>
      </c>
      <c r="I37" s="210">
        <f>'[1]Oct midyear Intl_VIBE'!K34</f>
        <v>0</v>
      </c>
      <c r="J37" s="210">
        <f>'[1]Feb midyear Intl_VIBE'!K34</f>
        <v>0</v>
      </c>
      <c r="K37" s="211">
        <f t="shared" si="29"/>
        <v>0</v>
      </c>
      <c r="L37" s="344">
        <f t="shared" si="30"/>
        <v>0</v>
      </c>
      <c r="M37" s="273">
        <f t="shared" si="31"/>
        <v>0</v>
      </c>
      <c r="N37" s="344">
        <f t="shared" si="32"/>
        <v>0</v>
      </c>
      <c r="O37" s="208">
        <v>0</v>
      </c>
      <c r="P37" s="344">
        <f t="shared" si="33"/>
        <v>0</v>
      </c>
      <c r="Q37" s="208">
        <f>8*'[2]Table 5C1C-Intl_VIBE'!S37</f>
        <v>0</v>
      </c>
      <c r="R37" s="208">
        <f t="shared" si="34"/>
        <v>0</v>
      </c>
      <c r="S37" s="344">
        <f t="shared" si="22"/>
        <v>0</v>
      </c>
      <c r="T37" s="344">
        <f t="shared" si="35"/>
        <v>0</v>
      </c>
      <c r="U37" s="280">
        <f>+'Table 5C1A-Madison Prep'!U37</f>
        <v>5028</v>
      </c>
      <c r="V37" s="323">
        <f t="shared" si="23"/>
        <v>0</v>
      </c>
      <c r="W37" s="883">
        <f>'[1]Oct midyear Intl_VIBE'!E34</f>
        <v>0</v>
      </c>
      <c r="X37" s="276">
        <f t="shared" si="36"/>
        <v>0</v>
      </c>
      <c r="Y37" s="883">
        <f>'[1]Feb midyear Intl_VIBE'!E34</f>
        <v>0</v>
      </c>
      <c r="Z37" s="276">
        <f t="shared" si="37"/>
        <v>0</v>
      </c>
      <c r="AA37" s="275">
        <f t="shared" si="38"/>
        <v>0</v>
      </c>
      <c r="AB37" s="323">
        <f t="shared" si="39"/>
        <v>0</v>
      </c>
      <c r="AC37" s="278">
        <f t="shared" si="40"/>
        <v>0</v>
      </c>
      <c r="AD37" s="323">
        <f t="shared" si="41"/>
        <v>0</v>
      </c>
      <c r="AE37" s="279">
        <v>0</v>
      </c>
      <c r="AF37" s="323">
        <f t="shared" si="42"/>
        <v>0</v>
      </c>
      <c r="AG37" s="276">
        <f>8*'[2]Table 5C1C-Intl_VIBE'!AI37</f>
        <v>0</v>
      </c>
      <c r="AH37" s="276">
        <f t="shared" si="43"/>
        <v>0</v>
      </c>
      <c r="AI37" s="327">
        <f t="shared" si="24"/>
        <v>0</v>
      </c>
      <c r="AJ37" s="337">
        <f t="shared" si="44"/>
        <v>0</v>
      </c>
      <c r="AK37" s="341">
        <f t="shared" si="45"/>
        <v>0</v>
      </c>
      <c r="AM37" s="273">
        <v>0</v>
      </c>
      <c r="AN37" s="273">
        <f t="shared" si="46"/>
        <v>0</v>
      </c>
      <c r="AO37" s="273">
        <f t="shared" si="47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2.1.14'!K34</f>
        <v>0</v>
      </c>
      <c r="D38" s="201">
        <f>+'Table 5C1A-Madison Prep'!D38</f>
        <v>5652.819189061127</v>
      </c>
      <c r="E38" s="202">
        <f t="shared" si="26"/>
        <v>0</v>
      </c>
      <c r="F38" s="202">
        <f>+'Table 5C1A-Madison Prep'!F38</f>
        <v>559.77</v>
      </c>
      <c r="G38" s="202">
        <f t="shared" si="27"/>
        <v>0</v>
      </c>
      <c r="H38" s="345">
        <f t="shared" si="28"/>
        <v>0</v>
      </c>
      <c r="I38" s="203">
        <f>'[1]Oct midyear Intl_VIBE'!K35</f>
        <v>0</v>
      </c>
      <c r="J38" s="203">
        <f>'[1]Feb midyear Intl_VIBE'!K35</f>
        <v>0</v>
      </c>
      <c r="K38" s="204">
        <f t="shared" si="29"/>
        <v>0</v>
      </c>
      <c r="L38" s="345">
        <f t="shared" si="30"/>
        <v>0</v>
      </c>
      <c r="M38" s="286">
        <f t="shared" si="31"/>
        <v>0</v>
      </c>
      <c r="N38" s="345">
        <f t="shared" si="32"/>
        <v>0</v>
      </c>
      <c r="O38" s="201">
        <v>0</v>
      </c>
      <c r="P38" s="345">
        <f t="shared" si="33"/>
        <v>0</v>
      </c>
      <c r="Q38" s="201">
        <f>8*'[2]Table 5C1C-Intl_VIBE'!S38</f>
        <v>0</v>
      </c>
      <c r="R38" s="201">
        <f t="shared" si="34"/>
        <v>0</v>
      </c>
      <c r="S38" s="345">
        <f t="shared" si="22"/>
        <v>0</v>
      </c>
      <c r="T38" s="345">
        <f t="shared" si="35"/>
        <v>0</v>
      </c>
      <c r="U38" s="294">
        <f>+'Table 5C1A-Madison Prep'!U38</f>
        <v>2139</v>
      </c>
      <c r="V38" s="324">
        <f t="shared" si="23"/>
        <v>0</v>
      </c>
      <c r="W38" s="289">
        <f>'[1]Oct midyear Intl_VIBE'!E35</f>
        <v>0</v>
      </c>
      <c r="X38" s="290">
        <f t="shared" si="36"/>
        <v>0</v>
      </c>
      <c r="Y38" s="289">
        <f>'[1]Feb midyear Intl_VIBE'!E35</f>
        <v>0</v>
      </c>
      <c r="Z38" s="290">
        <f t="shared" si="37"/>
        <v>0</v>
      </c>
      <c r="AA38" s="288">
        <f t="shared" si="38"/>
        <v>0</v>
      </c>
      <c r="AB38" s="324">
        <f t="shared" si="39"/>
        <v>0</v>
      </c>
      <c r="AC38" s="292">
        <f t="shared" si="40"/>
        <v>0</v>
      </c>
      <c r="AD38" s="324">
        <f t="shared" si="41"/>
        <v>0</v>
      </c>
      <c r="AE38" s="293">
        <v>0</v>
      </c>
      <c r="AF38" s="324">
        <f t="shared" si="42"/>
        <v>0</v>
      </c>
      <c r="AG38" s="290">
        <f>8*'[2]Table 5C1C-Intl_VIBE'!AI38</f>
        <v>0</v>
      </c>
      <c r="AH38" s="290">
        <f t="shared" si="43"/>
        <v>0</v>
      </c>
      <c r="AI38" s="328">
        <f t="shared" si="24"/>
        <v>0</v>
      </c>
      <c r="AJ38" s="321">
        <f t="shared" si="44"/>
        <v>0</v>
      </c>
      <c r="AK38" s="342">
        <f t="shared" si="45"/>
        <v>0</v>
      </c>
      <c r="AM38" s="286">
        <v>0</v>
      </c>
      <c r="AN38" s="286">
        <f t="shared" si="46"/>
        <v>0</v>
      </c>
      <c r="AO38" s="286">
        <f t="shared" si="47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2.1.14'!K35</f>
        <v>0</v>
      </c>
      <c r="D39" s="201">
        <f>+'Table 5C1A-Madison Prep'!D39</f>
        <v>5456.2254558085233</v>
      </c>
      <c r="E39" s="202">
        <f t="shared" si="26"/>
        <v>0</v>
      </c>
      <c r="F39" s="202">
        <f>+'Table 5C1A-Madison Prep'!F39</f>
        <v>655.31000000000006</v>
      </c>
      <c r="G39" s="202">
        <f t="shared" si="27"/>
        <v>0</v>
      </c>
      <c r="H39" s="345">
        <f t="shared" si="28"/>
        <v>0</v>
      </c>
      <c r="I39" s="203">
        <f>'[1]Oct midyear Intl_VIBE'!K36</f>
        <v>0</v>
      </c>
      <c r="J39" s="203">
        <f>'[1]Feb midyear Intl_VIBE'!K36</f>
        <v>0</v>
      </c>
      <c r="K39" s="204">
        <f t="shared" si="29"/>
        <v>0</v>
      </c>
      <c r="L39" s="345">
        <f t="shared" si="30"/>
        <v>0</v>
      </c>
      <c r="M39" s="286">
        <f t="shared" si="31"/>
        <v>0</v>
      </c>
      <c r="N39" s="345">
        <f t="shared" si="32"/>
        <v>0</v>
      </c>
      <c r="O39" s="201">
        <v>0</v>
      </c>
      <c r="P39" s="345">
        <f t="shared" si="33"/>
        <v>0</v>
      </c>
      <c r="Q39" s="201">
        <f>8*'[2]Table 5C1C-Intl_VIBE'!S39</f>
        <v>0</v>
      </c>
      <c r="R39" s="201">
        <f t="shared" si="34"/>
        <v>0</v>
      </c>
      <c r="S39" s="345">
        <f t="shared" ref="S39:S70" si="48">ROUND(R39/$S$88,0)</f>
        <v>0</v>
      </c>
      <c r="T39" s="345">
        <f t="shared" si="35"/>
        <v>0</v>
      </c>
      <c r="U39" s="294">
        <f>+'Table 5C1A-Madison Prep'!U39</f>
        <v>3784</v>
      </c>
      <c r="V39" s="324">
        <f t="shared" ref="V39:V70" si="49">C39*U39</f>
        <v>0</v>
      </c>
      <c r="W39" s="289">
        <f>'[1]Oct midyear Intl_VIBE'!E36</f>
        <v>0</v>
      </c>
      <c r="X39" s="290">
        <f t="shared" si="36"/>
        <v>0</v>
      </c>
      <c r="Y39" s="289">
        <f>'[1]Feb midyear Intl_VIBE'!E36</f>
        <v>0</v>
      </c>
      <c r="Z39" s="290">
        <f t="shared" si="37"/>
        <v>0</v>
      </c>
      <c r="AA39" s="288">
        <f t="shared" si="38"/>
        <v>0</v>
      </c>
      <c r="AB39" s="324">
        <f t="shared" si="39"/>
        <v>0</v>
      </c>
      <c r="AC39" s="292">
        <f t="shared" si="40"/>
        <v>0</v>
      </c>
      <c r="AD39" s="324">
        <f t="shared" si="41"/>
        <v>0</v>
      </c>
      <c r="AE39" s="293">
        <v>0</v>
      </c>
      <c r="AF39" s="324">
        <f t="shared" si="42"/>
        <v>0</v>
      </c>
      <c r="AG39" s="290">
        <f>8*'[2]Table 5C1C-Intl_VIBE'!AI39</f>
        <v>0</v>
      </c>
      <c r="AH39" s="290">
        <f t="shared" si="43"/>
        <v>0</v>
      </c>
      <c r="AI39" s="328">
        <f t="shared" ref="AI39:AI70" si="50">ROUND(AH39/$AI$88,0)</f>
        <v>0</v>
      </c>
      <c r="AJ39" s="321">
        <f t="shared" si="44"/>
        <v>0</v>
      </c>
      <c r="AK39" s="342">
        <f t="shared" si="45"/>
        <v>0</v>
      </c>
      <c r="AM39" s="286">
        <v>0</v>
      </c>
      <c r="AN39" s="286">
        <f t="shared" si="46"/>
        <v>0</v>
      </c>
      <c r="AO39" s="286">
        <f t="shared" si="47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2.1.14'!K36</f>
        <v>0</v>
      </c>
      <c r="D40" s="201">
        <f>+'Table 5C1A-Madison Prep'!D40</f>
        <v>6292.0976842789005</v>
      </c>
      <c r="E40" s="202">
        <f t="shared" si="26"/>
        <v>0</v>
      </c>
      <c r="F40" s="202">
        <f>+'Table 5C1A-Madison Prep'!F40</f>
        <v>644.11000000000013</v>
      </c>
      <c r="G40" s="202">
        <f t="shared" si="27"/>
        <v>0</v>
      </c>
      <c r="H40" s="345">
        <f t="shared" si="28"/>
        <v>0</v>
      </c>
      <c r="I40" s="203">
        <f>'[1]Oct midyear Intl_VIBE'!K37</f>
        <v>0</v>
      </c>
      <c r="J40" s="203">
        <f>'[1]Feb midyear Intl_VIBE'!K37</f>
        <v>0</v>
      </c>
      <c r="K40" s="204">
        <f t="shared" si="29"/>
        <v>0</v>
      </c>
      <c r="L40" s="345">
        <f t="shared" si="30"/>
        <v>0</v>
      </c>
      <c r="M40" s="286">
        <f t="shared" si="31"/>
        <v>0</v>
      </c>
      <c r="N40" s="345">
        <f t="shared" si="32"/>
        <v>0</v>
      </c>
      <c r="O40" s="201">
        <v>0</v>
      </c>
      <c r="P40" s="345">
        <f t="shared" si="33"/>
        <v>0</v>
      </c>
      <c r="Q40" s="201">
        <f>8*'[2]Table 5C1C-Intl_VIBE'!S40</f>
        <v>0</v>
      </c>
      <c r="R40" s="201">
        <f t="shared" si="34"/>
        <v>0</v>
      </c>
      <c r="S40" s="345">
        <f t="shared" si="48"/>
        <v>0</v>
      </c>
      <c r="T40" s="345">
        <f t="shared" si="35"/>
        <v>0</v>
      </c>
      <c r="U40" s="294">
        <f>+'Table 5C1A-Madison Prep'!U40</f>
        <v>2911</v>
      </c>
      <c r="V40" s="324">
        <f t="shared" si="49"/>
        <v>0</v>
      </c>
      <c r="W40" s="289">
        <f>'[1]Oct midyear Intl_VIBE'!E37</f>
        <v>0</v>
      </c>
      <c r="X40" s="290">
        <f t="shared" si="36"/>
        <v>0</v>
      </c>
      <c r="Y40" s="289">
        <f>'[1]Feb midyear Intl_VIBE'!E37</f>
        <v>0</v>
      </c>
      <c r="Z40" s="290">
        <f t="shared" si="37"/>
        <v>0</v>
      </c>
      <c r="AA40" s="288">
        <f t="shared" si="38"/>
        <v>0</v>
      </c>
      <c r="AB40" s="324">
        <f t="shared" si="39"/>
        <v>0</v>
      </c>
      <c r="AC40" s="292">
        <f t="shared" si="40"/>
        <v>0</v>
      </c>
      <c r="AD40" s="324">
        <f t="shared" si="41"/>
        <v>0</v>
      </c>
      <c r="AE40" s="293">
        <v>0</v>
      </c>
      <c r="AF40" s="324">
        <f t="shared" si="42"/>
        <v>0</v>
      </c>
      <c r="AG40" s="290">
        <f>8*'[2]Table 5C1C-Intl_VIBE'!AI40</f>
        <v>0</v>
      </c>
      <c r="AH40" s="290">
        <f t="shared" si="43"/>
        <v>0</v>
      </c>
      <c r="AI40" s="328">
        <f t="shared" si="50"/>
        <v>0</v>
      </c>
      <c r="AJ40" s="321">
        <f t="shared" si="44"/>
        <v>0</v>
      </c>
      <c r="AK40" s="342">
        <f t="shared" si="45"/>
        <v>0</v>
      </c>
      <c r="AM40" s="286">
        <v>0</v>
      </c>
      <c r="AN40" s="286">
        <f t="shared" si="46"/>
        <v>0</v>
      </c>
      <c r="AO40" s="286">
        <f t="shared" si="47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2.1.14'!K37</f>
        <v>0</v>
      </c>
      <c r="D41" s="194">
        <f>+'Table 5C1A-Madison Prep'!D41</f>
        <v>5166.2482060477605</v>
      </c>
      <c r="E41" s="195">
        <f t="shared" si="26"/>
        <v>0</v>
      </c>
      <c r="F41" s="195">
        <f>+'Table 5C1A-Madison Prep'!F41</f>
        <v>537.96</v>
      </c>
      <c r="G41" s="195">
        <f t="shared" si="27"/>
        <v>0</v>
      </c>
      <c r="H41" s="346">
        <f t="shared" si="28"/>
        <v>0</v>
      </c>
      <c r="I41" s="196">
        <f>'[1]Oct midyear Intl_VIBE'!K38</f>
        <v>0</v>
      </c>
      <c r="J41" s="196">
        <f>'[1]Feb midyear Intl_VIBE'!K38</f>
        <v>0</v>
      </c>
      <c r="K41" s="197">
        <f t="shared" si="29"/>
        <v>0</v>
      </c>
      <c r="L41" s="346">
        <f t="shared" si="30"/>
        <v>0</v>
      </c>
      <c r="M41" s="296">
        <f t="shared" si="31"/>
        <v>0</v>
      </c>
      <c r="N41" s="346">
        <f t="shared" si="32"/>
        <v>0</v>
      </c>
      <c r="O41" s="194">
        <v>0</v>
      </c>
      <c r="P41" s="346">
        <f t="shared" si="33"/>
        <v>0</v>
      </c>
      <c r="Q41" s="194">
        <f>8*'[2]Table 5C1C-Intl_VIBE'!S41</f>
        <v>0</v>
      </c>
      <c r="R41" s="194">
        <f t="shared" si="34"/>
        <v>0</v>
      </c>
      <c r="S41" s="346">
        <f t="shared" si="48"/>
        <v>0</v>
      </c>
      <c r="T41" s="346">
        <f t="shared" si="35"/>
        <v>0</v>
      </c>
      <c r="U41" s="285">
        <f>+'Table 5C1A-Madison Prep'!U41</f>
        <v>3337</v>
      </c>
      <c r="V41" s="325">
        <f t="shared" si="49"/>
        <v>0</v>
      </c>
      <c r="W41" s="884">
        <f>'[1]Oct midyear Intl_VIBE'!E38</f>
        <v>0</v>
      </c>
      <c r="X41" s="282">
        <f t="shared" si="36"/>
        <v>0</v>
      </c>
      <c r="Y41" s="884">
        <f>'[1]Feb midyear Intl_VIBE'!E38</f>
        <v>0</v>
      </c>
      <c r="Z41" s="282">
        <f t="shared" si="37"/>
        <v>0</v>
      </c>
      <c r="AA41" s="283">
        <f t="shared" si="38"/>
        <v>0</v>
      </c>
      <c r="AB41" s="325">
        <f t="shared" si="39"/>
        <v>0</v>
      </c>
      <c r="AC41" s="298">
        <f t="shared" si="40"/>
        <v>0</v>
      </c>
      <c r="AD41" s="325">
        <f t="shared" si="41"/>
        <v>0</v>
      </c>
      <c r="AE41" s="284">
        <v>0</v>
      </c>
      <c r="AF41" s="325">
        <f t="shared" si="42"/>
        <v>0</v>
      </c>
      <c r="AG41" s="282">
        <f>8*'[2]Table 5C1C-Intl_VIBE'!AI41</f>
        <v>0</v>
      </c>
      <c r="AH41" s="282">
        <f t="shared" si="43"/>
        <v>0</v>
      </c>
      <c r="AI41" s="329">
        <f t="shared" si="50"/>
        <v>0</v>
      </c>
      <c r="AJ41" s="338">
        <f t="shared" si="44"/>
        <v>0</v>
      </c>
      <c r="AK41" s="343">
        <f t="shared" si="45"/>
        <v>0</v>
      </c>
      <c r="AM41" s="296">
        <v>0</v>
      </c>
      <c r="AN41" s="296">
        <f t="shared" si="46"/>
        <v>0</v>
      </c>
      <c r="AO41" s="296">
        <f t="shared" si="47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2.1.14'!K38</f>
        <v>399</v>
      </c>
      <c r="D42" s="208">
        <f>+'Table 5C1A-Madison Prep'!D42</f>
        <v>3602.7009974327857</v>
      </c>
      <c r="E42" s="209">
        <f t="shared" si="26"/>
        <v>1437477.6979756814</v>
      </c>
      <c r="F42" s="209">
        <f>+'Table 5C1A-Madison Prep'!F42</f>
        <v>746.0335616438357</v>
      </c>
      <c r="G42" s="209">
        <f t="shared" si="27"/>
        <v>297667.39109589043</v>
      </c>
      <c r="H42" s="344">
        <f t="shared" si="28"/>
        <v>1735145.0890715718</v>
      </c>
      <c r="I42" s="210">
        <f>'[1]Oct midyear Intl_VIBE'!K39</f>
        <v>269621.54266275052</v>
      </c>
      <c r="J42" s="210">
        <f>'[1]Feb midyear Intl_VIBE'!K39</f>
        <v>-13046.203677229865</v>
      </c>
      <c r="K42" s="211">
        <f t="shared" si="29"/>
        <v>256575.33898552065</v>
      </c>
      <c r="L42" s="344">
        <f t="shared" si="30"/>
        <v>1991720.4280570925</v>
      </c>
      <c r="M42" s="273">
        <f t="shared" si="31"/>
        <v>-4979.3010701427311</v>
      </c>
      <c r="N42" s="344">
        <f t="shared" si="32"/>
        <v>1986741.1269869497</v>
      </c>
      <c r="O42" s="208">
        <v>0</v>
      </c>
      <c r="P42" s="344">
        <f t="shared" si="33"/>
        <v>1986741.1269869497</v>
      </c>
      <c r="Q42" s="208">
        <f>8*'[2]Table 5C1C-Intl_VIBE'!S42</f>
        <v>1153872</v>
      </c>
      <c r="R42" s="208">
        <f t="shared" si="34"/>
        <v>832869.1269869497</v>
      </c>
      <c r="S42" s="344">
        <f t="shared" si="48"/>
        <v>208217</v>
      </c>
      <c r="T42" s="344">
        <f t="shared" si="35"/>
        <v>1986741.1269869497</v>
      </c>
      <c r="U42" s="408">
        <f>'Table 5B1_RSD_Orleans'!Z4</f>
        <v>4809</v>
      </c>
      <c r="V42" s="323">
        <f t="shared" si="49"/>
        <v>1918791</v>
      </c>
      <c r="W42" s="883">
        <f>'[1]Oct midyear Intl_VIBE'!E39</f>
        <v>62</v>
      </c>
      <c r="X42" s="276">
        <f t="shared" si="36"/>
        <v>298158</v>
      </c>
      <c r="Y42" s="883">
        <f>'[1]Feb midyear Intl_VIBE'!E39</f>
        <v>-6</v>
      </c>
      <c r="Z42" s="276">
        <f t="shared" si="37"/>
        <v>-14427</v>
      </c>
      <c r="AA42" s="275">
        <f t="shared" si="38"/>
        <v>283731</v>
      </c>
      <c r="AB42" s="323">
        <f t="shared" si="39"/>
        <v>2202522</v>
      </c>
      <c r="AC42" s="278">
        <f t="shared" si="40"/>
        <v>-5506.3050000000003</v>
      </c>
      <c r="AD42" s="323">
        <f t="shared" si="41"/>
        <v>2197015.6949999998</v>
      </c>
      <c r="AE42" s="279">
        <v>0</v>
      </c>
      <c r="AF42" s="323">
        <f t="shared" si="42"/>
        <v>2197015.6949999998</v>
      </c>
      <c r="AG42" s="276">
        <f>8*'[2]Table 5C1C-Intl_VIBE'!AI42</f>
        <v>1239112</v>
      </c>
      <c r="AH42" s="276">
        <f t="shared" si="43"/>
        <v>957903.69499999983</v>
      </c>
      <c r="AI42" s="327">
        <f t="shared" si="50"/>
        <v>239476</v>
      </c>
      <c r="AJ42" s="337">
        <f t="shared" si="44"/>
        <v>4183756.8219869495</v>
      </c>
      <c r="AK42" s="341">
        <f t="shared" si="45"/>
        <v>447693</v>
      </c>
      <c r="AM42" s="273">
        <v>-4658.3249999999998</v>
      </c>
      <c r="AN42" s="273">
        <f t="shared" si="46"/>
        <v>-5506.3050000000003</v>
      </c>
      <c r="AO42" s="273">
        <f t="shared" si="47"/>
        <v>-847.98000000000047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2.1.14'!K39</f>
        <v>0</v>
      </c>
      <c r="D43" s="201">
        <f>+'Table 5C1A-Madison Prep'!D43</f>
        <v>5665.3839260317691</v>
      </c>
      <c r="E43" s="202">
        <f t="shared" si="26"/>
        <v>0</v>
      </c>
      <c r="F43" s="202">
        <f>+'Table 5C1A-Madison Prep'!F43</f>
        <v>653.61</v>
      </c>
      <c r="G43" s="202">
        <f t="shared" si="27"/>
        <v>0</v>
      </c>
      <c r="H43" s="345">
        <f t="shared" si="28"/>
        <v>0</v>
      </c>
      <c r="I43" s="203">
        <f>'[1]Oct midyear Intl_VIBE'!K40</f>
        <v>0</v>
      </c>
      <c r="J43" s="203">
        <f>'[1]Feb midyear Intl_VIBE'!K40</f>
        <v>0</v>
      </c>
      <c r="K43" s="204">
        <f t="shared" si="29"/>
        <v>0</v>
      </c>
      <c r="L43" s="345">
        <f t="shared" si="30"/>
        <v>0</v>
      </c>
      <c r="M43" s="286">
        <f t="shared" si="31"/>
        <v>0</v>
      </c>
      <c r="N43" s="345">
        <f t="shared" si="32"/>
        <v>0</v>
      </c>
      <c r="O43" s="201">
        <v>0</v>
      </c>
      <c r="P43" s="345">
        <f t="shared" si="33"/>
        <v>0</v>
      </c>
      <c r="Q43" s="201">
        <f>8*'[2]Table 5C1C-Intl_VIBE'!S43</f>
        <v>0</v>
      </c>
      <c r="R43" s="201">
        <f t="shared" si="34"/>
        <v>0</v>
      </c>
      <c r="S43" s="345">
        <f t="shared" si="48"/>
        <v>0</v>
      </c>
      <c r="T43" s="345">
        <f t="shared" si="35"/>
        <v>0</v>
      </c>
      <c r="U43" s="294">
        <f>+'Table 5C1A-Madison Prep'!U43</f>
        <v>3424</v>
      </c>
      <c r="V43" s="324">
        <f t="shared" si="49"/>
        <v>0</v>
      </c>
      <c r="W43" s="289">
        <f>'[1]Oct midyear Intl_VIBE'!E40</f>
        <v>0</v>
      </c>
      <c r="X43" s="290">
        <f t="shared" si="36"/>
        <v>0</v>
      </c>
      <c r="Y43" s="289">
        <f>'[1]Feb midyear Intl_VIBE'!E40</f>
        <v>0</v>
      </c>
      <c r="Z43" s="290">
        <f t="shared" si="37"/>
        <v>0</v>
      </c>
      <c r="AA43" s="288">
        <f t="shared" si="38"/>
        <v>0</v>
      </c>
      <c r="AB43" s="324">
        <f t="shared" si="39"/>
        <v>0</v>
      </c>
      <c r="AC43" s="292">
        <f t="shared" si="40"/>
        <v>0</v>
      </c>
      <c r="AD43" s="324">
        <f t="shared" si="41"/>
        <v>0</v>
      </c>
      <c r="AE43" s="293">
        <v>0</v>
      </c>
      <c r="AF43" s="324">
        <f t="shared" si="42"/>
        <v>0</v>
      </c>
      <c r="AG43" s="290">
        <f>8*'[2]Table 5C1C-Intl_VIBE'!AI43</f>
        <v>0</v>
      </c>
      <c r="AH43" s="290">
        <f t="shared" si="43"/>
        <v>0</v>
      </c>
      <c r="AI43" s="328">
        <f t="shared" si="50"/>
        <v>0</v>
      </c>
      <c r="AJ43" s="321">
        <f t="shared" si="44"/>
        <v>0</v>
      </c>
      <c r="AK43" s="342">
        <f t="shared" si="45"/>
        <v>0</v>
      </c>
      <c r="AM43" s="286">
        <v>0</v>
      </c>
      <c r="AN43" s="286">
        <f t="shared" si="46"/>
        <v>0</v>
      </c>
      <c r="AO43" s="286">
        <f t="shared" si="47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2.1.14'!K40</f>
        <v>0</v>
      </c>
      <c r="D44" s="201">
        <f>+'Table 5C1A-Madison Prep'!D44</f>
        <v>2088.8017552916881</v>
      </c>
      <c r="E44" s="202">
        <f t="shared" si="26"/>
        <v>0</v>
      </c>
      <c r="F44" s="202">
        <f>+'Table 5C1A-Madison Prep'!F44</f>
        <v>829.92000000000007</v>
      </c>
      <c r="G44" s="202">
        <f t="shared" si="27"/>
        <v>0</v>
      </c>
      <c r="H44" s="345">
        <f t="shared" si="28"/>
        <v>0</v>
      </c>
      <c r="I44" s="203">
        <f>'[1]Oct midyear Intl_VIBE'!K41</f>
        <v>0</v>
      </c>
      <c r="J44" s="203">
        <f>'[1]Feb midyear Intl_VIBE'!K41</f>
        <v>0</v>
      </c>
      <c r="K44" s="204">
        <f t="shared" si="29"/>
        <v>0</v>
      </c>
      <c r="L44" s="345">
        <f t="shared" si="30"/>
        <v>0</v>
      </c>
      <c r="M44" s="286">
        <f t="shared" si="31"/>
        <v>0</v>
      </c>
      <c r="N44" s="345">
        <f t="shared" si="32"/>
        <v>0</v>
      </c>
      <c r="O44" s="201">
        <v>0</v>
      </c>
      <c r="P44" s="345">
        <f t="shared" si="33"/>
        <v>0</v>
      </c>
      <c r="Q44" s="201">
        <f>8*'[2]Table 5C1C-Intl_VIBE'!S44</f>
        <v>0</v>
      </c>
      <c r="R44" s="201">
        <f t="shared" si="34"/>
        <v>0</v>
      </c>
      <c r="S44" s="345">
        <f t="shared" si="48"/>
        <v>0</v>
      </c>
      <c r="T44" s="345">
        <f t="shared" si="35"/>
        <v>0</v>
      </c>
      <c r="U44" s="294">
        <f>+'Table 5C1A-Madison Prep'!U44</f>
        <v>11060</v>
      </c>
      <c r="V44" s="324">
        <f t="shared" si="49"/>
        <v>0</v>
      </c>
      <c r="W44" s="289">
        <f>'[1]Oct midyear Intl_VIBE'!E41</f>
        <v>0</v>
      </c>
      <c r="X44" s="290">
        <f t="shared" si="36"/>
        <v>0</v>
      </c>
      <c r="Y44" s="289">
        <f>'[1]Feb midyear Intl_VIBE'!E41</f>
        <v>0</v>
      </c>
      <c r="Z44" s="290">
        <f t="shared" si="37"/>
        <v>0</v>
      </c>
      <c r="AA44" s="288">
        <f t="shared" si="38"/>
        <v>0</v>
      </c>
      <c r="AB44" s="324">
        <f t="shared" si="39"/>
        <v>0</v>
      </c>
      <c r="AC44" s="292">
        <f t="shared" si="40"/>
        <v>0</v>
      </c>
      <c r="AD44" s="324">
        <f t="shared" si="41"/>
        <v>0</v>
      </c>
      <c r="AE44" s="293">
        <v>0</v>
      </c>
      <c r="AF44" s="324">
        <f t="shared" si="42"/>
        <v>0</v>
      </c>
      <c r="AG44" s="290">
        <f>8*'[2]Table 5C1C-Intl_VIBE'!AI44</f>
        <v>0</v>
      </c>
      <c r="AH44" s="290">
        <f t="shared" si="43"/>
        <v>0</v>
      </c>
      <c r="AI44" s="328">
        <f t="shared" si="50"/>
        <v>0</v>
      </c>
      <c r="AJ44" s="321">
        <f t="shared" si="44"/>
        <v>0</v>
      </c>
      <c r="AK44" s="342">
        <f t="shared" si="45"/>
        <v>0</v>
      </c>
      <c r="AM44" s="286">
        <v>0</v>
      </c>
      <c r="AN44" s="286">
        <f t="shared" si="46"/>
        <v>0</v>
      </c>
      <c r="AO44" s="286">
        <f t="shared" si="47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2.1.14'!K41</f>
        <v>0</v>
      </c>
      <c r="D45" s="201">
        <f>+'Table 5C1A-Madison Prep'!D45</f>
        <v>3656.9056809295676</v>
      </c>
      <c r="E45" s="202">
        <f t="shared" si="26"/>
        <v>0</v>
      </c>
      <c r="F45" s="202">
        <f>+'Table 5C1A-Madison Prep'!F45</f>
        <v>779.65573042776396</v>
      </c>
      <c r="G45" s="202">
        <f t="shared" si="27"/>
        <v>0</v>
      </c>
      <c r="H45" s="345">
        <f t="shared" si="28"/>
        <v>0</v>
      </c>
      <c r="I45" s="203">
        <f>'[1]Oct midyear Intl_VIBE'!K42</f>
        <v>0</v>
      </c>
      <c r="J45" s="203">
        <f>'[1]Feb midyear Intl_VIBE'!K42</f>
        <v>0</v>
      </c>
      <c r="K45" s="204">
        <f t="shared" si="29"/>
        <v>0</v>
      </c>
      <c r="L45" s="345">
        <f t="shared" si="30"/>
        <v>0</v>
      </c>
      <c r="M45" s="286">
        <f t="shared" si="31"/>
        <v>0</v>
      </c>
      <c r="N45" s="345">
        <f t="shared" si="32"/>
        <v>0</v>
      </c>
      <c r="O45" s="201">
        <v>0</v>
      </c>
      <c r="P45" s="345">
        <f t="shared" si="33"/>
        <v>0</v>
      </c>
      <c r="Q45" s="201">
        <f>8*'[2]Table 5C1C-Intl_VIBE'!S45</f>
        <v>0</v>
      </c>
      <c r="R45" s="201">
        <f t="shared" si="34"/>
        <v>0</v>
      </c>
      <c r="S45" s="345">
        <f t="shared" si="48"/>
        <v>0</v>
      </c>
      <c r="T45" s="345">
        <f t="shared" si="35"/>
        <v>0</v>
      </c>
      <c r="U45" s="294">
        <f>+'Table 5C1A-Madison Prep'!U45</f>
        <v>4922</v>
      </c>
      <c r="V45" s="324">
        <f t="shared" si="49"/>
        <v>0</v>
      </c>
      <c r="W45" s="289">
        <f>'[1]Oct midyear Intl_VIBE'!E42</f>
        <v>0</v>
      </c>
      <c r="X45" s="290">
        <f t="shared" si="36"/>
        <v>0</v>
      </c>
      <c r="Y45" s="289">
        <f>'[1]Feb midyear Intl_VIBE'!E42</f>
        <v>0</v>
      </c>
      <c r="Z45" s="290">
        <f t="shared" si="37"/>
        <v>0</v>
      </c>
      <c r="AA45" s="288">
        <f t="shared" si="38"/>
        <v>0</v>
      </c>
      <c r="AB45" s="324">
        <f t="shared" si="39"/>
        <v>0</v>
      </c>
      <c r="AC45" s="292">
        <f t="shared" si="40"/>
        <v>0</v>
      </c>
      <c r="AD45" s="324">
        <f t="shared" si="41"/>
        <v>0</v>
      </c>
      <c r="AE45" s="293">
        <v>0</v>
      </c>
      <c r="AF45" s="324">
        <f t="shared" si="42"/>
        <v>0</v>
      </c>
      <c r="AG45" s="290">
        <f>8*'[2]Table 5C1C-Intl_VIBE'!AI45</f>
        <v>0</v>
      </c>
      <c r="AH45" s="290">
        <f t="shared" si="43"/>
        <v>0</v>
      </c>
      <c r="AI45" s="328">
        <f t="shared" si="50"/>
        <v>0</v>
      </c>
      <c r="AJ45" s="321">
        <f t="shared" si="44"/>
        <v>0</v>
      </c>
      <c r="AK45" s="342">
        <f t="shared" si="45"/>
        <v>0</v>
      </c>
      <c r="AM45" s="286">
        <v>0</v>
      </c>
      <c r="AN45" s="286">
        <f t="shared" si="46"/>
        <v>0</v>
      </c>
      <c r="AO45" s="286">
        <f t="shared" si="47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2.1.14'!K42</f>
        <v>0</v>
      </c>
      <c r="D46" s="194">
        <f>+'Table 5C1A-Madison Prep'!D46</f>
        <v>5121.8110285698403</v>
      </c>
      <c r="E46" s="195">
        <f t="shared" si="26"/>
        <v>0</v>
      </c>
      <c r="F46" s="195">
        <f>+'Table 5C1A-Madison Prep'!F46</f>
        <v>700.2700000000001</v>
      </c>
      <c r="G46" s="195">
        <f t="shared" si="27"/>
        <v>0</v>
      </c>
      <c r="H46" s="346">
        <f t="shared" si="28"/>
        <v>0</v>
      </c>
      <c r="I46" s="196">
        <f>'[1]Oct midyear Intl_VIBE'!K43</f>
        <v>0</v>
      </c>
      <c r="J46" s="196">
        <f>'[1]Feb midyear Intl_VIBE'!K43</f>
        <v>0</v>
      </c>
      <c r="K46" s="197">
        <f t="shared" si="29"/>
        <v>0</v>
      </c>
      <c r="L46" s="346">
        <f t="shared" si="30"/>
        <v>0</v>
      </c>
      <c r="M46" s="296">
        <f t="shared" si="31"/>
        <v>0</v>
      </c>
      <c r="N46" s="346">
        <f t="shared" si="32"/>
        <v>0</v>
      </c>
      <c r="O46" s="194">
        <v>0</v>
      </c>
      <c r="P46" s="346">
        <f t="shared" si="33"/>
        <v>0</v>
      </c>
      <c r="Q46" s="194">
        <f>8*'[2]Table 5C1C-Intl_VIBE'!S46</f>
        <v>0</v>
      </c>
      <c r="R46" s="194">
        <f t="shared" si="34"/>
        <v>0</v>
      </c>
      <c r="S46" s="346">
        <f t="shared" si="48"/>
        <v>0</v>
      </c>
      <c r="T46" s="346">
        <f t="shared" si="35"/>
        <v>0</v>
      </c>
      <c r="U46" s="285">
        <f>+'Table 5C1A-Madison Prep'!U46</f>
        <v>3152</v>
      </c>
      <c r="V46" s="325">
        <f t="shared" si="49"/>
        <v>0</v>
      </c>
      <c r="W46" s="884">
        <f>'[1]Oct midyear Intl_VIBE'!E43</f>
        <v>0</v>
      </c>
      <c r="X46" s="282">
        <f t="shared" si="36"/>
        <v>0</v>
      </c>
      <c r="Y46" s="884">
        <f>'[1]Feb midyear Intl_VIBE'!E43</f>
        <v>0</v>
      </c>
      <c r="Z46" s="282">
        <f t="shared" si="37"/>
        <v>0</v>
      </c>
      <c r="AA46" s="283">
        <f t="shared" si="38"/>
        <v>0</v>
      </c>
      <c r="AB46" s="325">
        <f t="shared" si="39"/>
        <v>0</v>
      </c>
      <c r="AC46" s="298">
        <f t="shared" si="40"/>
        <v>0</v>
      </c>
      <c r="AD46" s="325">
        <f t="shared" si="41"/>
        <v>0</v>
      </c>
      <c r="AE46" s="284">
        <v>0</v>
      </c>
      <c r="AF46" s="325">
        <f t="shared" si="42"/>
        <v>0</v>
      </c>
      <c r="AG46" s="282">
        <f>8*'[2]Table 5C1C-Intl_VIBE'!AI46</f>
        <v>0</v>
      </c>
      <c r="AH46" s="282">
        <f t="shared" si="43"/>
        <v>0</v>
      </c>
      <c r="AI46" s="329">
        <f t="shared" si="50"/>
        <v>0</v>
      </c>
      <c r="AJ46" s="338">
        <f t="shared" si="44"/>
        <v>0</v>
      </c>
      <c r="AK46" s="343">
        <f t="shared" si="45"/>
        <v>0</v>
      </c>
      <c r="AM46" s="296">
        <v>0</v>
      </c>
      <c r="AN46" s="296">
        <f t="shared" si="46"/>
        <v>0</v>
      </c>
      <c r="AO46" s="296">
        <f t="shared" si="47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2.1.14'!K43</f>
        <v>0</v>
      </c>
      <c r="D47" s="208">
        <f>+'Table 5C1A-Madison Prep'!D47</f>
        <v>3291.1948574716475</v>
      </c>
      <c r="E47" s="209">
        <f t="shared" si="26"/>
        <v>0</v>
      </c>
      <c r="F47" s="209">
        <f>+'Table 5C1A-Madison Prep'!F47</f>
        <v>886.22</v>
      </c>
      <c r="G47" s="209">
        <f t="shared" si="27"/>
        <v>0</v>
      </c>
      <c r="H47" s="344">
        <f t="shared" si="28"/>
        <v>0</v>
      </c>
      <c r="I47" s="210">
        <f>'[1]Oct midyear Intl_VIBE'!K44</f>
        <v>0</v>
      </c>
      <c r="J47" s="210">
        <f>'[1]Feb midyear Intl_VIBE'!K44</f>
        <v>0</v>
      </c>
      <c r="K47" s="211">
        <f t="shared" si="29"/>
        <v>0</v>
      </c>
      <c r="L47" s="344">
        <f t="shared" si="30"/>
        <v>0</v>
      </c>
      <c r="M47" s="273">
        <f t="shared" si="31"/>
        <v>0</v>
      </c>
      <c r="N47" s="344">
        <f t="shared" si="32"/>
        <v>0</v>
      </c>
      <c r="O47" s="208">
        <v>0</v>
      </c>
      <c r="P47" s="344">
        <f t="shared" si="33"/>
        <v>0</v>
      </c>
      <c r="Q47" s="208">
        <f>8*'[2]Table 5C1C-Intl_VIBE'!S47</f>
        <v>0</v>
      </c>
      <c r="R47" s="208">
        <f t="shared" si="34"/>
        <v>0</v>
      </c>
      <c r="S47" s="344">
        <f t="shared" si="48"/>
        <v>0</v>
      </c>
      <c r="T47" s="344">
        <f t="shared" si="35"/>
        <v>0</v>
      </c>
      <c r="U47" s="280">
        <f>+'Table 5C1A-Madison Prep'!U47</f>
        <v>9422</v>
      </c>
      <c r="V47" s="323">
        <f t="shared" si="49"/>
        <v>0</v>
      </c>
      <c r="W47" s="883">
        <f>'[1]Oct midyear Intl_VIBE'!E44</f>
        <v>0</v>
      </c>
      <c r="X47" s="276">
        <f t="shared" si="36"/>
        <v>0</v>
      </c>
      <c r="Y47" s="883">
        <f>'[1]Feb midyear Intl_VIBE'!E44</f>
        <v>0</v>
      </c>
      <c r="Z47" s="276">
        <f t="shared" si="37"/>
        <v>0</v>
      </c>
      <c r="AA47" s="275">
        <f t="shared" si="38"/>
        <v>0</v>
      </c>
      <c r="AB47" s="323">
        <f t="shared" si="39"/>
        <v>0</v>
      </c>
      <c r="AC47" s="278">
        <f t="shared" si="40"/>
        <v>0</v>
      </c>
      <c r="AD47" s="323">
        <f t="shared" si="41"/>
        <v>0</v>
      </c>
      <c r="AE47" s="279">
        <v>0</v>
      </c>
      <c r="AF47" s="323">
        <f t="shared" si="42"/>
        <v>0</v>
      </c>
      <c r="AG47" s="276">
        <f>8*'[2]Table 5C1C-Intl_VIBE'!AI47</f>
        <v>0</v>
      </c>
      <c r="AH47" s="276">
        <f t="shared" si="43"/>
        <v>0</v>
      </c>
      <c r="AI47" s="327">
        <f t="shared" si="50"/>
        <v>0</v>
      </c>
      <c r="AJ47" s="337">
        <f t="shared" si="44"/>
        <v>0</v>
      </c>
      <c r="AK47" s="341">
        <f t="shared" si="45"/>
        <v>0</v>
      </c>
      <c r="AM47" s="273">
        <v>0</v>
      </c>
      <c r="AN47" s="273">
        <f t="shared" si="46"/>
        <v>0</v>
      </c>
      <c r="AO47" s="273">
        <f t="shared" si="47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2.1.14'!K44</f>
        <v>0</v>
      </c>
      <c r="D48" s="201">
        <f>+'Table 5C1A-Madison Prep'!D48</f>
        <v>5113.6077751368684</v>
      </c>
      <c r="E48" s="202">
        <f t="shared" si="26"/>
        <v>0</v>
      </c>
      <c r="F48" s="202">
        <f>+'Table 5C1A-Madison Prep'!F48</f>
        <v>534.28</v>
      </c>
      <c r="G48" s="202">
        <f t="shared" si="27"/>
        <v>0</v>
      </c>
      <c r="H48" s="345">
        <f t="shared" si="28"/>
        <v>0</v>
      </c>
      <c r="I48" s="203">
        <f>'[1]Oct midyear Intl_VIBE'!K45</f>
        <v>0</v>
      </c>
      <c r="J48" s="203">
        <f>'[1]Feb midyear Intl_VIBE'!K45</f>
        <v>0</v>
      </c>
      <c r="K48" s="204">
        <f t="shared" si="29"/>
        <v>0</v>
      </c>
      <c r="L48" s="345">
        <f t="shared" si="30"/>
        <v>0</v>
      </c>
      <c r="M48" s="286">
        <f t="shared" si="31"/>
        <v>0</v>
      </c>
      <c r="N48" s="345">
        <f t="shared" si="32"/>
        <v>0</v>
      </c>
      <c r="O48" s="201">
        <v>0</v>
      </c>
      <c r="P48" s="345">
        <f t="shared" si="33"/>
        <v>0</v>
      </c>
      <c r="Q48" s="201">
        <f>8*'[2]Table 5C1C-Intl_VIBE'!S48</f>
        <v>0</v>
      </c>
      <c r="R48" s="201">
        <f t="shared" si="34"/>
        <v>0</v>
      </c>
      <c r="S48" s="345">
        <f t="shared" si="48"/>
        <v>0</v>
      </c>
      <c r="T48" s="345">
        <f t="shared" si="35"/>
        <v>0</v>
      </c>
      <c r="U48" s="294">
        <f>+'Table 5C1A-Madison Prep'!U48</f>
        <v>3415</v>
      </c>
      <c r="V48" s="324">
        <f t="shared" si="49"/>
        <v>0</v>
      </c>
      <c r="W48" s="289">
        <f>'[1]Oct midyear Intl_VIBE'!E45</f>
        <v>0</v>
      </c>
      <c r="X48" s="290">
        <f t="shared" si="36"/>
        <v>0</v>
      </c>
      <c r="Y48" s="289">
        <f>'[1]Feb midyear Intl_VIBE'!E45</f>
        <v>0</v>
      </c>
      <c r="Z48" s="290">
        <f t="shared" si="37"/>
        <v>0</v>
      </c>
      <c r="AA48" s="288">
        <f t="shared" si="38"/>
        <v>0</v>
      </c>
      <c r="AB48" s="324">
        <f t="shared" si="39"/>
        <v>0</v>
      </c>
      <c r="AC48" s="292">
        <f t="shared" si="40"/>
        <v>0</v>
      </c>
      <c r="AD48" s="324">
        <f t="shared" si="41"/>
        <v>0</v>
      </c>
      <c r="AE48" s="293">
        <v>0</v>
      </c>
      <c r="AF48" s="324">
        <f t="shared" si="42"/>
        <v>0</v>
      </c>
      <c r="AG48" s="290">
        <f>8*'[2]Table 5C1C-Intl_VIBE'!AI48</f>
        <v>0</v>
      </c>
      <c r="AH48" s="290">
        <f t="shared" si="43"/>
        <v>0</v>
      </c>
      <c r="AI48" s="328">
        <f t="shared" si="50"/>
        <v>0</v>
      </c>
      <c r="AJ48" s="321">
        <f t="shared" si="44"/>
        <v>0</v>
      </c>
      <c r="AK48" s="342">
        <f t="shared" si="45"/>
        <v>0</v>
      </c>
      <c r="AM48" s="286">
        <v>0</v>
      </c>
      <c r="AN48" s="286">
        <f t="shared" si="46"/>
        <v>0</v>
      </c>
      <c r="AO48" s="286">
        <f t="shared" si="47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2.1.14'!K45</f>
        <v>0</v>
      </c>
      <c r="D49" s="201">
        <f>+'Table 5C1A-Madison Prep'!D49</f>
        <v>5788.74387205947</v>
      </c>
      <c r="E49" s="202">
        <f t="shared" si="26"/>
        <v>0</v>
      </c>
      <c r="F49" s="202">
        <f>+'Table 5C1A-Madison Prep'!F49</f>
        <v>574.6099999999999</v>
      </c>
      <c r="G49" s="202">
        <f t="shared" si="27"/>
        <v>0</v>
      </c>
      <c r="H49" s="345">
        <f t="shared" si="28"/>
        <v>0</v>
      </c>
      <c r="I49" s="203">
        <f>'[1]Oct midyear Intl_VIBE'!K46</f>
        <v>0</v>
      </c>
      <c r="J49" s="203">
        <f>'[1]Feb midyear Intl_VIBE'!K46</f>
        <v>0</v>
      </c>
      <c r="K49" s="204">
        <f t="shared" si="29"/>
        <v>0</v>
      </c>
      <c r="L49" s="345">
        <f t="shared" si="30"/>
        <v>0</v>
      </c>
      <c r="M49" s="286">
        <f t="shared" si="31"/>
        <v>0</v>
      </c>
      <c r="N49" s="345">
        <f t="shared" si="32"/>
        <v>0</v>
      </c>
      <c r="O49" s="201">
        <v>0</v>
      </c>
      <c r="P49" s="345">
        <f t="shared" si="33"/>
        <v>0</v>
      </c>
      <c r="Q49" s="201">
        <f>8*'[2]Table 5C1C-Intl_VIBE'!S49</f>
        <v>0</v>
      </c>
      <c r="R49" s="201">
        <f t="shared" si="34"/>
        <v>0</v>
      </c>
      <c r="S49" s="345">
        <f t="shared" si="48"/>
        <v>0</v>
      </c>
      <c r="T49" s="345">
        <f t="shared" si="35"/>
        <v>0</v>
      </c>
      <c r="U49" s="294">
        <f>+'Table 5C1A-Madison Prep'!U49</f>
        <v>3334</v>
      </c>
      <c r="V49" s="324">
        <f t="shared" si="49"/>
        <v>0</v>
      </c>
      <c r="W49" s="289">
        <f>'[1]Oct midyear Intl_VIBE'!E46</f>
        <v>0</v>
      </c>
      <c r="X49" s="290">
        <f t="shared" si="36"/>
        <v>0</v>
      </c>
      <c r="Y49" s="289">
        <f>'[1]Feb midyear Intl_VIBE'!E46</f>
        <v>0</v>
      </c>
      <c r="Z49" s="290">
        <f t="shared" si="37"/>
        <v>0</v>
      </c>
      <c r="AA49" s="288">
        <f t="shared" si="38"/>
        <v>0</v>
      </c>
      <c r="AB49" s="324">
        <f t="shared" si="39"/>
        <v>0</v>
      </c>
      <c r="AC49" s="292">
        <f t="shared" si="40"/>
        <v>0</v>
      </c>
      <c r="AD49" s="324">
        <f t="shared" si="41"/>
        <v>0</v>
      </c>
      <c r="AE49" s="293">
        <v>0</v>
      </c>
      <c r="AF49" s="324">
        <f t="shared" si="42"/>
        <v>0</v>
      </c>
      <c r="AG49" s="290">
        <f>8*'[2]Table 5C1C-Intl_VIBE'!AI49</f>
        <v>0</v>
      </c>
      <c r="AH49" s="290">
        <f t="shared" si="43"/>
        <v>0</v>
      </c>
      <c r="AI49" s="328">
        <f t="shared" si="50"/>
        <v>0</v>
      </c>
      <c r="AJ49" s="321">
        <f t="shared" si="44"/>
        <v>0</v>
      </c>
      <c r="AK49" s="342">
        <f t="shared" si="45"/>
        <v>0</v>
      </c>
      <c r="AM49" s="286">
        <v>0</v>
      </c>
      <c r="AN49" s="286">
        <f t="shared" si="46"/>
        <v>0</v>
      </c>
      <c r="AO49" s="286">
        <f t="shared" si="47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2.1.14'!K46</f>
        <v>2</v>
      </c>
      <c r="D50" s="201">
        <f>+'Table 5C1A-Madison Prep'!D50</f>
        <v>4897.5958151820359</v>
      </c>
      <c r="E50" s="202">
        <f t="shared" si="26"/>
        <v>9795.1916303640719</v>
      </c>
      <c r="F50" s="202">
        <f>+'Table 5C1A-Madison Prep'!F50</f>
        <v>663.16000000000008</v>
      </c>
      <c r="G50" s="202">
        <f t="shared" si="27"/>
        <v>1326.3200000000002</v>
      </c>
      <c r="H50" s="345">
        <f t="shared" si="28"/>
        <v>11121.511630364072</v>
      </c>
      <c r="I50" s="203">
        <f>'[1]Oct midyear Intl_VIBE'!K47</f>
        <v>11121.511630364072</v>
      </c>
      <c r="J50" s="203">
        <f>'[1]Feb midyear Intl_VIBE'!K47</f>
        <v>-2780.3779075910179</v>
      </c>
      <c r="K50" s="204">
        <f t="shared" si="29"/>
        <v>8341.1337227730546</v>
      </c>
      <c r="L50" s="345">
        <f t="shared" si="30"/>
        <v>19462.645353137126</v>
      </c>
      <c r="M50" s="286">
        <f t="shared" si="31"/>
        <v>-48.656613382842814</v>
      </c>
      <c r="N50" s="345">
        <f t="shared" si="32"/>
        <v>19413.988739754284</v>
      </c>
      <c r="O50" s="201">
        <v>0</v>
      </c>
      <c r="P50" s="345">
        <f t="shared" si="33"/>
        <v>19413.988739754284</v>
      </c>
      <c r="Q50" s="201">
        <f>8*'[2]Table 5C1C-Intl_VIBE'!S50</f>
        <v>7392</v>
      </c>
      <c r="R50" s="201">
        <f t="shared" si="34"/>
        <v>12021.988739754284</v>
      </c>
      <c r="S50" s="345">
        <f t="shared" si="48"/>
        <v>3005</v>
      </c>
      <c r="T50" s="345">
        <f t="shared" si="35"/>
        <v>19413.988739754284</v>
      </c>
      <c r="U50" s="294">
        <f>+'Table 5C1A-Madison Prep'!U50</f>
        <v>3587</v>
      </c>
      <c r="V50" s="324">
        <f t="shared" si="49"/>
        <v>7174</v>
      </c>
      <c r="W50" s="289">
        <f>'[1]Oct midyear Intl_VIBE'!E47</f>
        <v>2</v>
      </c>
      <c r="X50" s="290">
        <f t="shared" si="36"/>
        <v>7174</v>
      </c>
      <c r="Y50" s="289">
        <f>'[1]Feb midyear Intl_VIBE'!E47</f>
        <v>-1</v>
      </c>
      <c r="Z50" s="290">
        <f t="shared" si="37"/>
        <v>-1793.5</v>
      </c>
      <c r="AA50" s="288">
        <f t="shared" si="38"/>
        <v>5380.5</v>
      </c>
      <c r="AB50" s="324">
        <f t="shared" si="39"/>
        <v>12554.5</v>
      </c>
      <c r="AC50" s="292">
        <f t="shared" si="40"/>
        <v>-31.38625</v>
      </c>
      <c r="AD50" s="324">
        <f t="shared" si="41"/>
        <v>12523.11375</v>
      </c>
      <c r="AE50" s="293">
        <v>0</v>
      </c>
      <c r="AF50" s="324">
        <f t="shared" si="42"/>
        <v>12523.11375</v>
      </c>
      <c r="AG50" s="290">
        <f>8*'[2]Table 5C1C-Intl_VIBE'!AI50</f>
        <v>4944</v>
      </c>
      <c r="AH50" s="290">
        <f t="shared" si="43"/>
        <v>7579.1137500000004</v>
      </c>
      <c r="AI50" s="328">
        <f t="shared" si="50"/>
        <v>1895</v>
      </c>
      <c r="AJ50" s="321">
        <f t="shared" si="44"/>
        <v>31937.102489754285</v>
      </c>
      <c r="AK50" s="342">
        <f t="shared" si="45"/>
        <v>4900</v>
      </c>
      <c r="AM50" s="286">
        <v>-18.594999999999999</v>
      </c>
      <c r="AN50" s="286">
        <f t="shared" si="46"/>
        <v>-31.38625</v>
      </c>
      <c r="AO50" s="286">
        <f t="shared" si="47"/>
        <v>-12.791250000000002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2.1.14'!K47</f>
        <v>0</v>
      </c>
      <c r="D51" s="194">
        <f>+'Table 5C1A-Madison Prep'!D51</f>
        <v>2054.0472499469101</v>
      </c>
      <c r="E51" s="195">
        <f t="shared" si="26"/>
        <v>0</v>
      </c>
      <c r="F51" s="195">
        <f>+'Table 5C1A-Madison Prep'!F51</f>
        <v>753.96000000000015</v>
      </c>
      <c r="G51" s="195">
        <f t="shared" si="27"/>
        <v>0</v>
      </c>
      <c r="H51" s="346">
        <f t="shared" si="28"/>
        <v>0</v>
      </c>
      <c r="I51" s="196">
        <f>'[1]Oct midyear Intl_VIBE'!K48</f>
        <v>0</v>
      </c>
      <c r="J51" s="196">
        <f>'[1]Feb midyear Intl_VIBE'!K48</f>
        <v>0</v>
      </c>
      <c r="K51" s="197">
        <f t="shared" si="29"/>
        <v>0</v>
      </c>
      <c r="L51" s="346">
        <f t="shared" si="30"/>
        <v>0</v>
      </c>
      <c r="M51" s="296">
        <f t="shared" si="31"/>
        <v>0</v>
      </c>
      <c r="N51" s="346">
        <f t="shared" si="32"/>
        <v>0</v>
      </c>
      <c r="O51" s="194">
        <v>0</v>
      </c>
      <c r="P51" s="346">
        <f t="shared" si="33"/>
        <v>0</v>
      </c>
      <c r="Q51" s="194">
        <f>8*'[2]Table 5C1C-Intl_VIBE'!S51</f>
        <v>0</v>
      </c>
      <c r="R51" s="194">
        <f t="shared" si="34"/>
        <v>0</v>
      </c>
      <c r="S51" s="346">
        <f t="shared" si="48"/>
        <v>0</v>
      </c>
      <c r="T51" s="346">
        <f t="shared" si="35"/>
        <v>0</v>
      </c>
      <c r="U51" s="285">
        <f>+'Table 5C1A-Madison Prep'!U51</f>
        <v>12134</v>
      </c>
      <c r="V51" s="325">
        <f t="shared" si="49"/>
        <v>0</v>
      </c>
      <c r="W51" s="884">
        <f>'[1]Oct midyear Intl_VIBE'!E48</f>
        <v>0</v>
      </c>
      <c r="X51" s="282">
        <f t="shared" si="36"/>
        <v>0</v>
      </c>
      <c r="Y51" s="884">
        <f>'[1]Feb midyear Intl_VIBE'!E48</f>
        <v>0</v>
      </c>
      <c r="Z51" s="282">
        <f t="shared" si="37"/>
        <v>0</v>
      </c>
      <c r="AA51" s="283">
        <f t="shared" si="38"/>
        <v>0</v>
      </c>
      <c r="AB51" s="325">
        <f t="shared" si="39"/>
        <v>0</v>
      </c>
      <c r="AC51" s="298">
        <f t="shared" si="40"/>
        <v>0</v>
      </c>
      <c r="AD51" s="325">
        <f t="shared" si="41"/>
        <v>0</v>
      </c>
      <c r="AE51" s="284">
        <v>0</v>
      </c>
      <c r="AF51" s="325">
        <f t="shared" si="42"/>
        <v>0</v>
      </c>
      <c r="AG51" s="282">
        <f>8*'[2]Table 5C1C-Intl_VIBE'!AI51</f>
        <v>0</v>
      </c>
      <c r="AH51" s="282">
        <f t="shared" si="43"/>
        <v>0</v>
      </c>
      <c r="AI51" s="329">
        <f t="shared" si="50"/>
        <v>0</v>
      </c>
      <c r="AJ51" s="338">
        <f t="shared" si="44"/>
        <v>0</v>
      </c>
      <c r="AK51" s="343">
        <f t="shared" si="45"/>
        <v>0</v>
      </c>
      <c r="AM51" s="296">
        <v>0</v>
      </c>
      <c r="AN51" s="296">
        <f t="shared" si="46"/>
        <v>0</v>
      </c>
      <c r="AO51" s="296">
        <f t="shared" si="47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2.1.14'!K48</f>
        <v>0</v>
      </c>
      <c r="D52" s="208">
        <f>+'Table 5C1A-Madison Prep'!D52</f>
        <v>6051.2144468088381</v>
      </c>
      <c r="E52" s="209">
        <f t="shared" si="26"/>
        <v>0</v>
      </c>
      <c r="F52" s="209">
        <f>+'Table 5C1A-Madison Prep'!F52</f>
        <v>728.06</v>
      </c>
      <c r="G52" s="209">
        <f t="shared" si="27"/>
        <v>0</v>
      </c>
      <c r="H52" s="344">
        <f t="shared" si="28"/>
        <v>0</v>
      </c>
      <c r="I52" s="210">
        <f>'[1]Oct midyear Intl_VIBE'!K49</f>
        <v>0</v>
      </c>
      <c r="J52" s="210">
        <f>'[1]Feb midyear Intl_VIBE'!K49</f>
        <v>0</v>
      </c>
      <c r="K52" s="211">
        <f t="shared" si="29"/>
        <v>0</v>
      </c>
      <c r="L52" s="344">
        <f t="shared" si="30"/>
        <v>0</v>
      </c>
      <c r="M52" s="273">
        <f t="shared" si="31"/>
        <v>0</v>
      </c>
      <c r="N52" s="344">
        <f t="shared" si="32"/>
        <v>0</v>
      </c>
      <c r="O52" s="208">
        <v>0</v>
      </c>
      <c r="P52" s="344">
        <f t="shared" si="33"/>
        <v>0</v>
      </c>
      <c r="Q52" s="208">
        <f>8*'[2]Table 5C1C-Intl_VIBE'!S52</f>
        <v>0</v>
      </c>
      <c r="R52" s="208">
        <f t="shared" si="34"/>
        <v>0</v>
      </c>
      <c r="S52" s="344">
        <f t="shared" si="48"/>
        <v>0</v>
      </c>
      <c r="T52" s="344">
        <f t="shared" si="35"/>
        <v>0</v>
      </c>
      <c r="U52" s="280">
        <f>+'Table 5C1A-Madison Prep'!U52</f>
        <v>2554</v>
      </c>
      <c r="V52" s="323">
        <f t="shared" si="49"/>
        <v>0</v>
      </c>
      <c r="W52" s="883">
        <f>'[1]Oct midyear Intl_VIBE'!E49</f>
        <v>0</v>
      </c>
      <c r="X52" s="276">
        <f t="shared" si="36"/>
        <v>0</v>
      </c>
      <c r="Y52" s="883">
        <f>'[1]Feb midyear Intl_VIBE'!E49</f>
        <v>0</v>
      </c>
      <c r="Z52" s="276">
        <f t="shared" si="37"/>
        <v>0</v>
      </c>
      <c r="AA52" s="275">
        <f t="shared" si="38"/>
        <v>0</v>
      </c>
      <c r="AB52" s="323">
        <f t="shared" si="39"/>
        <v>0</v>
      </c>
      <c r="AC52" s="278">
        <f t="shared" si="40"/>
        <v>0</v>
      </c>
      <c r="AD52" s="323">
        <f t="shared" si="41"/>
        <v>0</v>
      </c>
      <c r="AE52" s="279">
        <v>0</v>
      </c>
      <c r="AF52" s="323">
        <f t="shared" si="42"/>
        <v>0</v>
      </c>
      <c r="AG52" s="276">
        <f>8*'[2]Table 5C1C-Intl_VIBE'!AI52</f>
        <v>0</v>
      </c>
      <c r="AH52" s="276">
        <f t="shared" si="43"/>
        <v>0</v>
      </c>
      <c r="AI52" s="327">
        <f t="shared" si="50"/>
        <v>0</v>
      </c>
      <c r="AJ52" s="337">
        <f t="shared" si="44"/>
        <v>0</v>
      </c>
      <c r="AK52" s="341">
        <f t="shared" si="45"/>
        <v>0</v>
      </c>
      <c r="AM52" s="273">
        <v>0</v>
      </c>
      <c r="AN52" s="273">
        <f t="shared" si="46"/>
        <v>0</v>
      </c>
      <c r="AO52" s="273">
        <f t="shared" si="47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2.1.14'!K49</f>
        <v>0</v>
      </c>
      <c r="D53" s="201">
        <f>+'Table 5C1A-Madison Prep'!D53</f>
        <v>2524.1485257646736</v>
      </c>
      <c r="E53" s="202">
        <f t="shared" si="26"/>
        <v>0</v>
      </c>
      <c r="F53" s="202">
        <f>+'Table 5C1A-Madison Prep'!F53</f>
        <v>910.76</v>
      </c>
      <c r="G53" s="202">
        <f t="shared" si="27"/>
        <v>0</v>
      </c>
      <c r="H53" s="345">
        <f t="shared" si="28"/>
        <v>0</v>
      </c>
      <c r="I53" s="203">
        <f>'[1]Oct midyear Intl_VIBE'!K50</f>
        <v>0</v>
      </c>
      <c r="J53" s="203">
        <f>'[1]Feb midyear Intl_VIBE'!K50</f>
        <v>0</v>
      </c>
      <c r="K53" s="204">
        <f t="shared" si="29"/>
        <v>0</v>
      </c>
      <c r="L53" s="345">
        <f t="shared" si="30"/>
        <v>0</v>
      </c>
      <c r="M53" s="286">
        <f t="shared" si="31"/>
        <v>0</v>
      </c>
      <c r="N53" s="345">
        <f t="shared" si="32"/>
        <v>0</v>
      </c>
      <c r="O53" s="201">
        <v>0</v>
      </c>
      <c r="P53" s="345">
        <f t="shared" si="33"/>
        <v>0</v>
      </c>
      <c r="Q53" s="201">
        <f>8*'[2]Table 5C1C-Intl_VIBE'!S53</f>
        <v>0</v>
      </c>
      <c r="R53" s="201">
        <f t="shared" si="34"/>
        <v>0</v>
      </c>
      <c r="S53" s="345">
        <f t="shared" si="48"/>
        <v>0</v>
      </c>
      <c r="T53" s="345">
        <f t="shared" si="35"/>
        <v>0</v>
      </c>
      <c r="U53" s="294">
        <f>+'Table 5C1A-Madison Prep'!U53</f>
        <v>11506</v>
      </c>
      <c r="V53" s="324">
        <f t="shared" si="49"/>
        <v>0</v>
      </c>
      <c r="W53" s="289">
        <f>'[1]Oct midyear Intl_VIBE'!E50</f>
        <v>0</v>
      </c>
      <c r="X53" s="290">
        <f t="shared" si="36"/>
        <v>0</v>
      </c>
      <c r="Y53" s="289">
        <f>'[1]Feb midyear Intl_VIBE'!E50</f>
        <v>0</v>
      </c>
      <c r="Z53" s="290">
        <f t="shared" si="37"/>
        <v>0</v>
      </c>
      <c r="AA53" s="288">
        <f t="shared" si="38"/>
        <v>0</v>
      </c>
      <c r="AB53" s="324">
        <f t="shared" si="39"/>
        <v>0</v>
      </c>
      <c r="AC53" s="292">
        <f t="shared" si="40"/>
        <v>0</v>
      </c>
      <c r="AD53" s="324">
        <f t="shared" si="41"/>
        <v>0</v>
      </c>
      <c r="AE53" s="293">
        <v>0</v>
      </c>
      <c r="AF53" s="324">
        <f t="shared" si="42"/>
        <v>0</v>
      </c>
      <c r="AG53" s="290">
        <f>8*'[2]Table 5C1C-Intl_VIBE'!AI53</f>
        <v>0</v>
      </c>
      <c r="AH53" s="290">
        <f t="shared" si="43"/>
        <v>0</v>
      </c>
      <c r="AI53" s="328">
        <f t="shared" si="50"/>
        <v>0</v>
      </c>
      <c r="AJ53" s="321">
        <f t="shared" si="44"/>
        <v>0</v>
      </c>
      <c r="AK53" s="342">
        <f t="shared" si="45"/>
        <v>0</v>
      </c>
      <c r="AM53" s="286">
        <v>0</v>
      </c>
      <c r="AN53" s="286">
        <f t="shared" si="46"/>
        <v>0</v>
      </c>
      <c r="AO53" s="286">
        <f t="shared" si="47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2.1.14'!K50</f>
        <v>2</v>
      </c>
      <c r="D54" s="201">
        <f>+'Table 5C1A-Madison Prep'!D54</f>
        <v>3983.3582529800719</v>
      </c>
      <c r="E54" s="202">
        <f t="shared" si="26"/>
        <v>7966.7165059601439</v>
      </c>
      <c r="F54" s="202">
        <f>+'Table 5C1A-Madison Prep'!F54</f>
        <v>871.07</v>
      </c>
      <c r="G54" s="202">
        <f t="shared" si="27"/>
        <v>1742.14</v>
      </c>
      <c r="H54" s="345">
        <f t="shared" si="28"/>
        <v>9708.8565059601442</v>
      </c>
      <c r="I54" s="203">
        <f>'[1]Oct midyear Intl_VIBE'!K51</f>
        <v>-9708.8565059601442</v>
      </c>
      <c r="J54" s="203">
        <f>'[1]Feb midyear Intl_VIBE'!K51</f>
        <v>0</v>
      </c>
      <c r="K54" s="204">
        <f t="shared" si="29"/>
        <v>-9708.8565059601442</v>
      </c>
      <c r="L54" s="345">
        <f t="shared" si="30"/>
        <v>0</v>
      </c>
      <c r="M54" s="286">
        <f t="shared" si="31"/>
        <v>0</v>
      </c>
      <c r="N54" s="345">
        <f t="shared" si="32"/>
        <v>0</v>
      </c>
      <c r="O54" s="201">
        <v>0</v>
      </c>
      <c r="P54" s="345">
        <f t="shared" si="33"/>
        <v>0</v>
      </c>
      <c r="Q54" s="201">
        <f>8*'[2]Table 5C1C-Intl_VIBE'!S54</f>
        <v>6456</v>
      </c>
      <c r="R54" s="201">
        <f t="shared" si="34"/>
        <v>-6456</v>
      </c>
      <c r="S54" s="345">
        <f t="shared" si="48"/>
        <v>-1614</v>
      </c>
      <c r="T54" s="345">
        <f t="shared" si="35"/>
        <v>0</v>
      </c>
      <c r="U54" s="294">
        <f>+'Table 5C1A-Madison Prep'!U54</f>
        <v>6827</v>
      </c>
      <c r="V54" s="324">
        <f t="shared" si="49"/>
        <v>13654</v>
      </c>
      <c r="W54" s="289">
        <f>'[1]Oct midyear Intl_VIBE'!E51</f>
        <v>-2</v>
      </c>
      <c r="X54" s="290">
        <f t="shared" si="36"/>
        <v>-13654</v>
      </c>
      <c r="Y54" s="289">
        <f>'[1]Feb midyear Intl_VIBE'!E51</f>
        <v>0</v>
      </c>
      <c r="Z54" s="290">
        <f t="shared" si="37"/>
        <v>0</v>
      </c>
      <c r="AA54" s="288">
        <f t="shared" si="38"/>
        <v>-13654</v>
      </c>
      <c r="AB54" s="324">
        <f t="shared" si="39"/>
        <v>0</v>
      </c>
      <c r="AC54" s="292">
        <f t="shared" si="40"/>
        <v>0</v>
      </c>
      <c r="AD54" s="324">
        <f t="shared" si="41"/>
        <v>0</v>
      </c>
      <c r="AE54" s="293">
        <v>0</v>
      </c>
      <c r="AF54" s="324">
        <f t="shared" si="42"/>
        <v>0</v>
      </c>
      <c r="AG54" s="290">
        <f>8*'[2]Table 5C1C-Intl_VIBE'!AI54</f>
        <v>9760</v>
      </c>
      <c r="AH54" s="290">
        <f t="shared" si="43"/>
        <v>-9760</v>
      </c>
      <c r="AI54" s="328">
        <f t="shared" si="50"/>
        <v>-2440</v>
      </c>
      <c r="AJ54" s="321">
        <f t="shared" si="44"/>
        <v>0</v>
      </c>
      <c r="AK54" s="342">
        <f t="shared" si="45"/>
        <v>-4054</v>
      </c>
      <c r="AM54" s="286">
        <v>-36.69</v>
      </c>
      <c r="AN54" s="286">
        <f t="shared" si="46"/>
        <v>0</v>
      </c>
      <c r="AO54" s="286">
        <f t="shared" si="47"/>
        <v>36.69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2.1.14'!K51</f>
        <v>0</v>
      </c>
      <c r="D55" s="201">
        <f>+'Table 5C1A-Madison Prep'!D55</f>
        <v>4995.8755315659191</v>
      </c>
      <c r="E55" s="202">
        <f t="shared" si="26"/>
        <v>0</v>
      </c>
      <c r="F55" s="202">
        <f>+'Table 5C1A-Madison Prep'!F55</f>
        <v>574.43999999999994</v>
      </c>
      <c r="G55" s="202">
        <f t="shared" si="27"/>
        <v>0</v>
      </c>
      <c r="H55" s="345">
        <f t="shared" si="28"/>
        <v>0</v>
      </c>
      <c r="I55" s="203">
        <f>'[1]Oct midyear Intl_VIBE'!K52</f>
        <v>0</v>
      </c>
      <c r="J55" s="203">
        <f>'[1]Feb midyear Intl_VIBE'!K52</f>
        <v>0</v>
      </c>
      <c r="K55" s="204">
        <f t="shared" si="29"/>
        <v>0</v>
      </c>
      <c r="L55" s="345">
        <f t="shared" si="30"/>
        <v>0</v>
      </c>
      <c r="M55" s="286">
        <f t="shared" si="31"/>
        <v>0</v>
      </c>
      <c r="N55" s="345">
        <f t="shared" si="32"/>
        <v>0</v>
      </c>
      <c r="O55" s="201">
        <v>0</v>
      </c>
      <c r="P55" s="345">
        <f t="shared" si="33"/>
        <v>0</v>
      </c>
      <c r="Q55" s="201">
        <f>8*'[2]Table 5C1C-Intl_VIBE'!S55</f>
        <v>0</v>
      </c>
      <c r="R55" s="201">
        <f t="shared" si="34"/>
        <v>0</v>
      </c>
      <c r="S55" s="345">
        <f t="shared" si="48"/>
        <v>0</v>
      </c>
      <c r="T55" s="345">
        <f t="shared" si="35"/>
        <v>0</v>
      </c>
      <c r="U55" s="294">
        <f>+'Table 5C1A-Madison Prep'!U55</f>
        <v>2399</v>
      </c>
      <c r="V55" s="324">
        <f t="shared" si="49"/>
        <v>0</v>
      </c>
      <c r="W55" s="289">
        <f>'[1]Oct midyear Intl_VIBE'!E52</f>
        <v>0</v>
      </c>
      <c r="X55" s="290">
        <f t="shared" si="36"/>
        <v>0</v>
      </c>
      <c r="Y55" s="289">
        <f>'[1]Feb midyear Intl_VIBE'!E52</f>
        <v>0</v>
      </c>
      <c r="Z55" s="290">
        <f t="shared" si="37"/>
        <v>0</v>
      </c>
      <c r="AA55" s="288">
        <f t="shared" si="38"/>
        <v>0</v>
      </c>
      <c r="AB55" s="324">
        <f t="shared" si="39"/>
        <v>0</v>
      </c>
      <c r="AC55" s="292">
        <f t="shared" si="40"/>
        <v>0</v>
      </c>
      <c r="AD55" s="324">
        <f t="shared" si="41"/>
        <v>0</v>
      </c>
      <c r="AE55" s="293">
        <v>0</v>
      </c>
      <c r="AF55" s="324">
        <f t="shared" si="42"/>
        <v>0</v>
      </c>
      <c r="AG55" s="290">
        <f>8*'[2]Table 5C1C-Intl_VIBE'!AI55</f>
        <v>0</v>
      </c>
      <c r="AH55" s="290">
        <f t="shared" si="43"/>
        <v>0</v>
      </c>
      <c r="AI55" s="328">
        <f t="shared" si="50"/>
        <v>0</v>
      </c>
      <c r="AJ55" s="321">
        <f t="shared" si="44"/>
        <v>0</v>
      </c>
      <c r="AK55" s="342">
        <f t="shared" si="45"/>
        <v>0</v>
      </c>
      <c r="AM55" s="286">
        <v>0</v>
      </c>
      <c r="AN55" s="286">
        <f t="shared" si="46"/>
        <v>0</v>
      </c>
      <c r="AO55" s="286">
        <f t="shared" si="47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2.1.14'!K52</f>
        <v>0</v>
      </c>
      <c r="D56" s="194">
        <f>+'Table 5C1A-Madison Prep'!D56</f>
        <v>5177.6892722701677</v>
      </c>
      <c r="E56" s="195">
        <f t="shared" si="26"/>
        <v>0</v>
      </c>
      <c r="F56" s="195">
        <f>+'Table 5C1A-Madison Prep'!F56</f>
        <v>634.46</v>
      </c>
      <c r="G56" s="195">
        <f t="shared" si="27"/>
        <v>0</v>
      </c>
      <c r="H56" s="346">
        <f t="shared" si="28"/>
        <v>0</v>
      </c>
      <c r="I56" s="196">
        <f>'[1]Oct midyear Intl_VIBE'!K53</f>
        <v>0</v>
      </c>
      <c r="J56" s="196">
        <f>'[1]Feb midyear Intl_VIBE'!K53</f>
        <v>0</v>
      </c>
      <c r="K56" s="197">
        <f t="shared" si="29"/>
        <v>0</v>
      </c>
      <c r="L56" s="346">
        <f t="shared" si="30"/>
        <v>0</v>
      </c>
      <c r="M56" s="296">
        <f t="shared" si="31"/>
        <v>0</v>
      </c>
      <c r="N56" s="346">
        <f t="shared" si="32"/>
        <v>0</v>
      </c>
      <c r="O56" s="194">
        <v>0</v>
      </c>
      <c r="P56" s="346">
        <f t="shared" si="33"/>
        <v>0</v>
      </c>
      <c r="Q56" s="194">
        <f>8*'[2]Table 5C1C-Intl_VIBE'!S56</f>
        <v>0</v>
      </c>
      <c r="R56" s="194">
        <f t="shared" si="34"/>
        <v>0</v>
      </c>
      <c r="S56" s="346">
        <f t="shared" si="48"/>
        <v>0</v>
      </c>
      <c r="T56" s="346">
        <f t="shared" si="35"/>
        <v>0</v>
      </c>
      <c r="U56" s="285">
        <f>+'Table 5C1A-Madison Prep'!U56</f>
        <v>3413</v>
      </c>
      <c r="V56" s="325">
        <f t="shared" si="49"/>
        <v>0</v>
      </c>
      <c r="W56" s="884">
        <f>'[1]Oct midyear Intl_VIBE'!E53</f>
        <v>0</v>
      </c>
      <c r="X56" s="282">
        <f t="shared" si="36"/>
        <v>0</v>
      </c>
      <c r="Y56" s="884">
        <f>'[1]Feb midyear Intl_VIBE'!E53</f>
        <v>0</v>
      </c>
      <c r="Z56" s="282">
        <f t="shared" si="37"/>
        <v>0</v>
      </c>
      <c r="AA56" s="283">
        <f t="shared" si="38"/>
        <v>0</v>
      </c>
      <c r="AB56" s="325">
        <f t="shared" si="39"/>
        <v>0</v>
      </c>
      <c r="AC56" s="298">
        <f t="shared" si="40"/>
        <v>0</v>
      </c>
      <c r="AD56" s="325">
        <f t="shared" si="41"/>
        <v>0</v>
      </c>
      <c r="AE56" s="284">
        <v>0</v>
      </c>
      <c r="AF56" s="325">
        <f t="shared" si="42"/>
        <v>0</v>
      </c>
      <c r="AG56" s="282">
        <f>8*'[2]Table 5C1C-Intl_VIBE'!AI56</f>
        <v>0</v>
      </c>
      <c r="AH56" s="282">
        <f t="shared" si="43"/>
        <v>0</v>
      </c>
      <c r="AI56" s="329">
        <f t="shared" si="50"/>
        <v>0</v>
      </c>
      <c r="AJ56" s="338">
        <f t="shared" si="44"/>
        <v>0</v>
      </c>
      <c r="AK56" s="343">
        <f t="shared" si="45"/>
        <v>0</v>
      </c>
      <c r="AM56" s="296">
        <v>0</v>
      </c>
      <c r="AN56" s="296">
        <f t="shared" si="46"/>
        <v>0</v>
      </c>
      <c r="AO56" s="296">
        <f t="shared" si="47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2.1.14'!K53</f>
        <v>0</v>
      </c>
      <c r="D57" s="208">
        <f>+'Table 5C1A-Madison Prep'!D57</f>
        <v>4154.1928602178996</v>
      </c>
      <c r="E57" s="209">
        <f t="shared" si="26"/>
        <v>0</v>
      </c>
      <c r="F57" s="209">
        <f>+'Table 5C1A-Madison Prep'!F57</f>
        <v>706.66</v>
      </c>
      <c r="G57" s="209">
        <f t="shared" si="27"/>
        <v>0</v>
      </c>
      <c r="H57" s="344">
        <f t="shared" si="28"/>
        <v>0</v>
      </c>
      <c r="I57" s="210">
        <f>'[1]Oct midyear Intl_VIBE'!K54</f>
        <v>0</v>
      </c>
      <c r="J57" s="210">
        <f>'[1]Feb midyear Intl_VIBE'!K54</f>
        <v>0</v>
      </c>
      <c r="K57" s="211">
        <f t="shared" si="29"/>
        <v>0</v>
      </c>
      <c r="L57" s="344">
        <f t="shared" si="30"/>
        <v>0</v>
      </c>
      <c r="M57" s="273">
        <f t="shared" si="31"/>
        <v>0</v>
      </c>
      <c r="N57" s="344">
        <f t="shared" si="32"/>
        <v>0</v>
      </c>
      <c r="O57" s="208">
        <v>0</v>
      </c>
      <c r="P57" s="344">
        <f t="shared" si="33"/>
        <v>0</v>
      </c>
      <c r="Q57" s="208">
        <f>8*'[2]Table 5C1C-Intl_VIBE'!S57</f>
        <v>0</v>
      </c>
      <c r="R57" s="208">
        <f t="shared" si="34"/>
        <v>0</v>
      </c>
      <c r="S57" s="344">
        <f t="shared" si="48"/>
        <v>0</v>
      </c>
      <c r="T57" s="344">
        <f t="shared" si="35"/>
        <v>0</v>
      </c>
      <c r="U57" s="280">
        <f>+'Table 5C1A-Madison Prep'!U57</f>
        <v>4512</v>
      </c>
      <c r="V57" s="323">
        <f t="shared" si="49"/>
        <v>0</v>
      </c>
      <c r="W57" s="883">
        <f>'[1]Oct midyear Intl_VIBE'!E54</f>
        <v>0</v>
      </c>
      <c r="X57" s="276">
        <f t="shared" si="36"/>
        <v>0</v>
      </c>
      <c r="Y57" s="883">
        <f>'[1]Feb midyear Intl_VIBE'!E54</f>
        <v>0</v>
      </c>
      <c r="Z57" s="276">
        <f t="shared" si="37"/>
        <v>0</v>
      </c>
      <c r="AA57" s="275">
        <f t="shared" si="38"/>
        <v>0</v>
      </c>
      <c r="AB57" s="323">
        <f t="shared" si="39"/>
        <v>0</v>
      </c>
      <c r="AC57" s="278">
        <f t="shared" si="40"/>
        <v>0</v>
      </c>
      <c r="AD57" s="323">
        <f t="shared" si="41"/>
        <v>0</v>
      </c>
      <c r="AE57" s="279">
        <v>0</v>
      </c>
      <c r="AF57" s="323">
        <f t="shared" si="42"/>
        <v>0</v>
      </c>
      <c r="AG57" s="276">
        <f>8*'[2]Table 5C1C-Intl_VIBE'!AI57</f>
        <v>0</v>
      </c>
      <c r="AH57" s="276">
        <f t="shared" si="43"/>
        <v>0</v>
      </c>
      <c r="AI57" s="327">
        <f t="shared" si="50"/>
        <v>0</v>
      </c>
      <c r="AJ57" s="337">
        <f t="shared" si="44"/>
        <v>0</v>
      </c>
      <c r="AK57" s="341">
        <f t="shared" si="45"/>
        <v>0</v>
      </c>
      <c r="AM57" s="273">
        <v>0</v>
      </c>
      <c r="AN57" s="273">
        <f t="shared" si="46"/>
        <v>0</v>
      </c>
      <c r="AO57" s="273">
        <f t="shared" si="47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2.1.14'!K54</f>
        <v>0</v>
      </c>
      <c r="D58" s="201">
        <f>+'Table 5C1A-Madison Prep'!D58</f>
        <v>5062.2745845228173</v>
      </c>
      <c r="E58" s="202">
        <f t="shared" si="26"/>
        <v>0</v>
      </c>
      <c r="F58" s="202">
        <f>+'Table 5C1A-Madison Prep'!F58</f>
        <v>658.37</v>
      </c>
      <c r="G58" s="202">
        <f t="shared" si="27"/>
        <v>0</v>
      </c>
      <c r="H58" s="345">
        <f t="shared" si="28"/>
        <v>0</v>
      </c>
      <c r="I58" s="203">
        <f>'[1]Oct midyear Intl_VIBE'!K55</f>
        <v>5720.6445845228172</v>
      </c>
      <c r="J58" s="203">
        <f>'[1]Feb midyear Intl_VIBE'!K55</f>
        <v>-2860.3222922614086</v>
      </c>
      <c r="K58" s="204">
        <f t="shared" si="29"/>
        <v>2860.3222922614086</v>
      </c>
      <c r="L58" s="345">
        <f t="shared" si="30"/>
        <v>2860.3222922614086</v>
      </c>
      <c r="M58" s="286">
        <f t="shared" si="31"/>
        <v>-7.1508057306535218</v>
      </c>
      <c r="N58" s="345">
        <f t="shared" si="32"/>
        <v>2853.1714865307549</v>
      </c>
      <c r="O58" s="201">
        <v>0</v>
      </c>
      <c r="P58" s="345">
        <f t="shared" si="33"/>
        <v>2853.1714865307549</v>
      </c>
      <c r="Q58" s="201">
        <f>8*'[2]Table 5C1C-Intl_VIBE'!S58</f>
        <v>0</v>
      </c>
      <c r="R58" s="201">
        <f t="shared" si="34"/>
        <v>2853.1714865307549</v>
      </c>
      <c r="S58" s="345">
        <f t="shared" si="48"/>
        <v>713</v>
      </c>
      <c r="T58" s="345">
        <f t="shared" si="35"/>
        <v>2853.1714865307549</v>
      </c>
      <c r="U58" s="294">
        <f>+'Table 5C1A-Madison Prep'!U58</f>
        <v>5289</v>
      </c>
      <c r="V58" s="324">
        <f t="shared" si="49"/>
        <v>0</v>
      </c>
      <c r="W58" s="289">
        <f>'[1]Oct midyear Intl_VIBE'!E55</f>
        <v>1</v>
      </c>
      <c r="X58" s="290">
        <f t="shared" si="36"/>
        <v>5289</v>
      </c>
      <c r="Y58" s="289">
        <f>'[1]Feb midyear Intl_VIBE'!E55</f>
        <v>-1</v>
      </c>
      <c r="Z58" s="290">
        <f t="shared" si="37"/>
        <v>-2644.5</v>
      </c>
      <c r="AA58" s="288">
        <f t="shared" si="38"/>
        <v>2644.5</v>
      </c>
      <c r="AB58" s="324">
        <f t="shared" si="39"/>
        <v>2644.5</v>
      </c>
      <c r="AC58" s="292">
        <f t="shared" si="40"/>
        <v>-6.6112500000000001</v>
      </c>
      <c r="AD58" s="324">
        <f t="shared" si="41"/>
        <v>2637.8887500000001</v>
      </c>
      <c r="AE58" s="293">
        <v>0</v>
      </c>
      <c r="AF58" s="324">
        <f t="shared" si="42"/>
        <v>2637.8887500000001</v>
      </c>
      <c r="AG58" s="290">
        <f>8*'[2]Table 5C1C-Intl_VIBE'!AI58</f>
        <v>0</v>
      </c>
      <c r="AH58" s="290">
        <f t="shared" si="43"/>
        <v>2637.8887500000001</v>
      </c>
      <c r="AI58" s="328">
        <f t="shared" si="50"/>
        <v>659</v>
      </c>
      <c r="AJ58" s="321">
        <f t="shared" si="44"/>
        <v>5491.060236530755</v>
      </c>
      <c r="AK58" s="342">
        <f t="shared" si="45"/>
        <v>1372</v>
      </c>
      <c r="AM58" s="286">
        <v>0</v>
      </c>
      <c r="AN58" s="286">
        <f t="shared" si="46"/>
        <v>-6.6112500000000001</v>
      </c>
      <c r="AO58" s="286">
        <f t="shared" si="47"/>
        <v>-6.6112500000000001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2.1.14'!K55</f>
        <v>0</v>
      </c>
      <c r="D59" s="201">
        <f>+'Table 5C1A-Madison Prep'!D59</f>
        <v>5060.1508194045482</v>
      </c>
      <c r="E59" s="202">
        <f t="shared" si="26"/>
        <v>0</v>
      </c>
      <c r="F59" s="202">
        <f>+'Table 5C1A-Madison Prep'!F59</f>
        <v>689.74</v>
      </c>
      <c r="G59" s="202">
        <f t="shared" si="27"/>
        <v>0</v>
      </c>
      <c r="H59" s="345">
        <f t="shared" si="28"/>
        <v>0</v>
      </c>
      <c r="I59" s="203">
        <f>'[1]Oct midyear Intl_VIBE'!K56</f>
        <v>0</v>
      </c>
      <c r="J59" s="203">
        <f>'[1]Feb midyear Intl_VIBE'!K56</f>
        <v>0</v>
      </c>
      <c r="K59" s="204">
        <f t="shared" si="29"/>
        <v>0</v>
      </c>
      <c r="L59" s="345">
        <f t="shared" si="30"/>
        <v>0</v>
      </c>
      <c r="M59" s="286">
        <f t="shared" si="31"/>
        <v>0</v>
      </c>
      <c r="N59" s="345">
        <f t="shared" si="32"/>
        <v>0</v>
      </c>
      <c r="O59" s="201">
        <v>0</v>
      </c>
      <c r="P59" s="345">
        <f t="shared" si="33"/>
        <v>0</v>
      </c>
      <c r="Q59" s="201">
        <f>8*'[2]Table 5C1C-Intl_VIBE'!S59</f>
        <v>0</v>
      </c>
      <c r="R59" s="201">
        <f t="shared" si="34"/>
        <v>0</v>
      </c>
      <c r="S59" s="345">
        <f t="shared" si="48"/>
        <v>0</v>
      </c>
      <c r="T59" s="345">
        <f t="shared" si="35"/>
        <v>0</v>
      </c>
      <c r="U59" s="294">
        <f>+'Table 5C1A-Madison Prep'!U59</f>
        <v>2101</v>
      </c>
      <c r="V59" s="324">
        <f t="shared" si="49"/>
        <v>0</v>
      </c>
      <c r="W59" s="289">
        <f>'[1]Oct midyear Intl_VIBE'!E56</f>
        <v>0</v>
      </c>
      <c r="X59" s="290">
        <f t="shared" si="36"/>
        <v>0</v>
      </c>
      <c r="Y59" s="289">
        <f>'[1]Feb midyear Intl_VIBE'!E56</f>
        <v>0</v>
      </c>
      <c r="Z59" s="290">
        <f t="shared" si="37"/>
        <v>0</v>
      </c>
      <c r="AA59" s="288">
        <f t="shared" si="38"/>
        <v>0</v>
      </c>
      <c r="AB59" s="324">
        <f t="shared" si="39"/>
        <v>0</v>
      </c>
      <c r="AC59" s="292">
        <f t="shared" si="40"/>
        <v>0</v>
      </c>
      <c r="AD59" s="324">
        <f t="shared" si="41"/>
        <v>0</v>
      </c>
      <c r="AE59" s="293">
        <v>0</v>
      </c>
      <c r="AF59" s="324">
        <f t="shared" si="42"/>
        <v>0</v>
      </c>
      <c r="AG59" s="290">
        <f>8*'[2]Table 5C1C-Intl_VIBE'!AI59</f>
        <v>0</v>
      </c>
      <c r="AH59" s="290">
        <f t="shared" si="43"/>
        <v>0</v>
      </c>
      <c r="AI59" s="328">
        <f t="shared" si="50"/>
        <v>0</v>
      </c>
      <c r="AJ59" s="321">
        <f t="shared" si="44"/>
        <v>0</v>
      </c>
      <c r="AK59" s="342">
        <f t="shared" si="45"/>
        <v>0</v>
      </c>
      <c r="AM59" s="286">
        <v>0</v>
      </c>
      <c r="AN59" s="286">
        <f t="shared" si="46"/>
        <v>0</v>
      </c>
      <c r="AO59" s="286">
        <f t="shared" si="47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2.1.14'!K56</f>
        <v>0</v>
      </c>
      <c r="D60" s="201">
        <f>+'Table 5C1A-Madison Prep'!D60</f>
        <v>5867.0798370516713</v>
      </c>
      <c r="E60" s="202">
        <f t="shared" si="26"/>
        <v>0</v>
      </c>
      <c r="F60" s="202">
        <f>+'Table 5C1A-Madison Prep'!F60</f>
        <v>951.45</v>
      </c>
      <c r="G60" s="202">
        <f t="shared" si="27"/>
        <v>0</v>
      </c>
      <c r="H60" s="345">
        <f t="shared" si="28"/>
        <v>0</v>
      </c>
      <c r="I60" s="203">
        <f>'[1]Oct midyear Intl_VIBE'!K57</f>
        <v>0</v>
      </c>
      <c r="J60" s="203">
        <f>'[1]Feb midyear Intl_VIBE'!K57</f>
        <v>0</v>
      </c>
      <c r="K60" s="204">
        <f t="shared" si="29"/>
        <v>0</v>
      </c>
      <c r="L60" s="345">
        <f t="shared" si="30"/>
        <v>0</v>
      </c>
      <c r="M60" s="286">
        <f t="shared" si="31"/>
        <v>0</v>
      </c>
      <c r="N60" s="345">
        <f t="shared" si="32"/>
        <v>0</v>
      </c>
      <c r="O60" s="201">
        <v>0</v>
      </c>
      <c r="P60" s="345">
        <f t="shared" si="33"/>
        <v>0</v>
      </c>
      <c r="Q60" s="201">
        <f>8*'[2]Table 5C1C-Intl_VIBE'!S60</f>
        <v>0</v>
      </c>
      <c r="R60" s="201">
        <f t="shared" si="34"/>
        <v>0</v>
      </c>
      <c r="S60" s="345">
        <f t="shared" si="48"/>
        <v>0</v>
      </c>
      <c r="T60" s="345">
        <f t="shared" si="35"/>
        <v>0</v>
      </c>
      <c r="U60" s="294">
        <f>+'Table 5C1A-Madison Prep'!U60</f>
        <v>4150</v>
      </c>
      <c r="V60" s="324">
        <f t="shared" si="49"/>
        <v>0</v>
      </c>
      <c r="W60" s="289">
        <f>'[1]Oct midyear Intl_VIBE'!E57</f>
        <v>0</v>
      </c>
      <c r="X60" s="290">
        <f t="shared" si="36"/>
        <v>0</v>
      </c>
      <c r="Y60" s="289">
        <f>'[1]Feb midyear Intl_VIBE'!E57</f>
        <v>0</v>
      </c>
      <c r="Z60" s="290">
        <f t="shared" si="37"/>
        <v>0</v>
      </c>
      <c r="AA60" s="288">
        <f t="shared" si="38"/>
        <v>0</v>
      </c>
      <c r="AB60" s="324">
        <f t="shared" si="39"/>
        <v>0</v>
      </c>
      <c r="AC60" s="292">
        <f t="shared" si="40"/>
        <v>0</v>
      </c>
      <c r="AD60" s="324">
        <f t="shared" si="41"/>
        <v>0</v>
      </c>
      <c r="AE60" s="293">
        <v>0</v>
      </c>
      <c r="AF60" s="324">
        <f t="shared" si="42"/>
        <v>0</v>
      </c>
      <c r="AG60" s="290">
        <f>8*'[2]Table 5C1C-Intl_VIBE'!AI60</f>
        <v>0</v>
      </c>
      <c r="AH60" s="290">
        <f t="shared" si="43"/>
        <v>0</v>
      </c>
      <c r="AI60" s="328">
        <f t="shared" si="50"/>
        <v>0</v>
      </c>
      <c r="AJ60" s="321">
        <f t="shared" si="44"/>
        <v>0</v>
      </c>
      <c r="AK60" s="342">
        <f t="shared" si="45"/>
        <v>0</v>
      </c>
      <c r="AM60" s="286">
        <v>0</v>
      </c>
      <c r="AN60" s="286">
        <f t="shared" si="46"/>
        <v>0</v>
      </c>
      <c r="AO60" s="286">
        <f t="shared" si="47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2.1.14'!K57</f>
        <v>0</v>
      </c>
      <c r="D61" s="194">
        <f>+'Table 5C1A-Madison Prep'!D61</f>
        <v>4266.8225491298481</v>
      </c>
      <c r="E61" s="195">
        <f t="shared" si="26"/>
        <v>0</v>
      </c>
      <c r="F61" s="195">
        <f>+'Table 5C1A-Madison Prep'!F61</f>
        <v>795.14</v>
      </c>
      <c r="G61" s="195">
        <f t="shared" si="27"/>
        <v>0</v>
      </c>
      <c r="H61" s="346">
        <f t="shared" si="28"/>
        <v>0</v>
      </c>
      <c r="I61" s="196">
        <f>'[1]Oct midyear Intl_VIBE'!K58</f>
        <v>0</v>
      </c>
      <c r="J61" s="196">
        <f>'[1]Feb midyear Intl_VIBE'!K58</f>
        <v>0</v>
      </c>
      <c r="K61" s="197">
        <f t="shared" si="29"/>
        <v>0</v>
      </c>
      <c r="L61" s="346">
        <f t="shared" si="30"/>
        <v>0</v>
      </c>
      <c r="M61" s="296">
        <f t="shared" si="31"/>
        <v>0</v>
      </c>
      <c r="N61" s="346">
        <f t="shared" si="32"/>
        <v>0</v>
      </c>
      <c r="O61" s="194">
        <v>0</v>
      </c>
      <c r="P61" s="346">
        <f t="shared" si="33"/>
        <v>0</v>
      </c>
      <c r="Q61" s="194">
        <f>8*'[2]Table 5C1C-Intl_VIBE'!S61</f>
        <v>0</v>
      </c>
      <c r="R61" s="194">
        <f t="shared" si="34"/>
        <v>0</v>
      </c>
      <c r="S61" s="346">
        <f t="shared" si="48"/>
        <v>0</v>
      </c>
      <c r="T61" s="346">
        <f t="shared" si="35"/>
        <v>0</v>
      </c>
      <c r="U61" s="285">
        <f>+'Table 5C1A-Madison Prep'!U61</f>
        <v>3637</v>
      </c>
      <c r="V61" s="325">
        <f t="shared" si="49"/>
        <v>0</v>
      </c>
      <c r="W61" s="884">
        <f>'[1]Oct midyear Intl_VIBE'!E58</f>
        <v>0</v>
      </c>
      <c r="X61" s="282">
        <f t="shared" si="36"/>
        <v>0</v>
      </c>
      <c r="Y61" s="884">
        <f>'[1]Feb midyear Intl_VIBE'!E58</f>
        <v>0</v>
      </c>
      <c r="Z61" s="282">
        <f t="shared" si="37"/>
        <v>0</v>
      </c>
      <c r="AA61" s="283">
        <f t="shared" si="38"/>
        <v>0</v>
      </c>
      <c r="AB61" s="325">
        <f t="shared" si="39"/>
        <v>0</v>
      </c>
      <c r="AC61" s="298">
        <f t="shared" si="40"/>
        <v>0</v>
      </c>
      <c r="AD61" s="325">
        <f t="shared" si="41"/>
        <v>0</v>
      </c>
      <c r="AE61" s="284">
        <v>0</v>
      </c>
      <c r="AF61" s="325">
        <f t="shared" si="42"/>
        <v>0</v>
      </c>
      <c r="AG61" s="282">
        <f>8*'[2]Table 5C1C-Intl_VIBE'!AI61</f>
        <v>0</v>
      </c>
      <c r="AH61" s="282">
        <f t="shared" si="43"/>
        <v>0</v>
      </c>
      <c r="AI61" s="329">
        <f t="shared" si="50"/>
        <v>0</v>
      </c>
      <c r="AJ61" s="338">
        <f t="shared" si="44"/>
        <v>0</v>
      </c>
      <c r="AK61" s="343">
        <f t="shared" si="45"/>
        <v>0</v>
      </c>
      <c r="AM61" s="296">
        <v>0</v>
      </c>
      <c r="AN61" s="296">
        <f t="shared" si="46"/>
        <v>0</v>
      </c>
      <c r="AO61" s="296">
        <f t="shared" si="47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2.1.14'!K58</f>
        <v>0</v>
      </c>
      <c r="D62" s="208">
        <f>+'Table 5C1A-Madison Prep'!D62</f>
        <v>5028.4909408288286</v>
      </c>
      <c r="E62" s="209">
        <f t="shared" si="26"/>
        <v>0</v>
      </c>
      <c r="F62" s="209">
        <f>+'Table 5C1A-Madison Prep'!F62</f>
        <v>614.66000000000008</v>
      </c>
      <c r="G62" s="209">
        <f t="shared" si="27"/>
        <v>0</v>
      </c>
      <c r="H62" s="344">
        <f t="shared" si="28"/>
        <v>0</v>
      </c>
      <c r="I62" s="210">
        <f>'[1]Oct midyear Intl_VIBE'!K59</f>
        <v>0</v>
      </c>
      <c r="J62" s="210">
        <f>'[1]Feb midyear Intl_VIBE'!K59</f>
        <v>0</v>
      </c>
      <c r="K62" s="211">
        <f t="shared" si="29"/>
        <v>0</v>
      </c>
      <c r="L62" s="344">
        <f t="shared" si="30"/>
        <v>0</v>
      </c>
      <c r="M62" s="273">
        <f t="shared" si="31"/>
        <v>0</v>
      </c>
      <c r="N62" s="344">
        <f t="shared" si="32"/>
        <v>0</v>
      </c>
      <c r="O62" s="208">
        <v>0</v>
      </c>
      <c r="P62" s="344">
        <f t="shared" si="33"/>
        <v>0</v>
      </c>
      <c r="Q62" s="208">
        <f>8*'[2]Table 5C1C-Intl_VIBE'!S62</f>
        <v>0</v>
      </c>
      <c r="R62" s="208">
        <f t="shared" si="34"/>
        <v>0</v>
      </c>
      <c r="S62" s="344">
        <f t="shared" si="48"/>
        <v>0</v>
      </c>
      <c r="T62" s="344">
        <f t="shared" si="35"/>
        <v>0</v>
      </c>
      <c r="U62" s="280">
        <f>+'Table 5C1A-Madison Prep'!U62</f>
        <v>2857</v>
      </c>
      <c r="V62" s="323">
        <f t="shared" si="49"/>
        <v>0</v>
      </c>
      <c r="W62" s="883">
        <f>'[1]Oct midyear Intl_VIBE'!E59</f>
        <v>0</v>
      </c>
      <c r="X62" s="276">
        <f t="shared" si="36"/>
        <v>0</v>
      </c>
      <c r="Y62" s="883">
        <f>'[1]Feb midyear Intl_VIBE'!E59</f>
        <v>0</v>
      </c>
      <c r="Z62" s="276">
        <f t="shared" si="37"/>
        <v>0</v>
      </c>
      <c r="AA62" s="275">
        <f t="shared" si="38"/>
        <v>0</v>
      </c>
      <c r="AB62" s="323">
        <f t="shared" si="39"/>
        <v>0</v>
      </c>
      <c r="AC62" s="278">
        <f t="shared" si="40"/>
        <v>0</v>
      </c>
      <c r="AD62" s="323">
        <f t="shared" si="41"/>
        <v>0</v>
      </c>
      <c r="AE62" s="279">
        <v>0</v>
      </c>
      <c r="AF62" s="323">
        <f t="shared" si="42"/>
        <v>0</v>
      </c>
      <c r="AG62" s="276">
        <f>8*'[2]Table 5C1C-Intl_VIBE'!AI62</f>
        <v>0</v>
      </c>
      <c r="AH62" s="276">
        <f t="shared" si="43"/>
        <v>0</v>
      </c>
      <c r="AI62" s="327">
        <f t="shared" si="50"/>
        <v>0</v>
      </c>
      <c r="AJ62" s="337">
        <f t="shared" si="44"/>
        <v>0</v>
      </c>
      <c r="AK62" s="341">
        <f t="shared" si="45"/>
        <v>0</v>
      </c>
      <c r="AM62" s="273">
        <v>0</v>
      </c>
      <c r="AN62" s="273">
        <f t="shared" si="46"/>
        <v>0</v>
      </c>
      <c r="AO62" s="273">
        <f t="shared" si="47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2.1.14'!K59</f>
        <v>0</v>
      </c>
      <c r="D63" s="201">
        <f>+'Table 5C1A-Madison Prep'!D63</f>
        <v>4625.9922979230687</v>
      </c>
      <c r="E63" s="202">
        <f t="shared" si="26"/>
        <v>0</v>
      </c>
      <c r="F63" s="202">
        <f>+'Table 5C1A-Madison Prep'!F63</f>
        <v>764.51</v>
      </c>
      <c r="G63" s="202">
        <f t="shared" si="27"/>
        <v>0</v>
      </c>
      <c r="H63" s="345">
        <f t="shared" si="28"/>
        <v>0</v>
      </c>
      <c r="I63" s="203">
        <f>'[1]Oct midyear Intl_VIBE'!K60</f>
        <v>0</v>
      </c>
      <c r="J63" s="203">
        <f>'[1]Feb midyear Intl_VIBE'!K60</f>
        <v>0</v>
      </c>
      <c r="K63" s="204">
        <f t="shared" si="29"/>
        <v>0</v>
      </c>
      <c r="L63" s="345">
        <f t="shared" si="30"/>
        <v>0</v>
      </c>
      <c r="M63" s="286">
        <f t="shared" si="31"/>
        <v>0</v>
      </c>
      <c r="N63" s="345">
        <f t="shared" si="32"/>
        <v>0</v>
      </c>
      <c r="O63" s="201">
        <v>0</v>
      </c>
      <c r="P63" s="345">
        <f t="shared" si="33"/>
        <v>0</v>
      </c>
      <c r="Q63" s="201">
        <f>8*'[2]Table 5C1C-Intl_VIBE'!S63</f>
        <v>0</v>
      </c>
      <c r="R63" s="201">
        <f t="shared" si="34"/>
        <v>0</v>
      </c>
      <c r="S63" s="345">
        <f t="shared" si="48"/>
        <v>0</v>
      </c>
      <c r="T63" s="345">
        <f t="shared" si="35"/>
        <v>0</v>
      </c>
      <c r="U63" s="294">
        <f>+'Table 5C1A-Madison Prep'!U63</f>
        <v>3465</v>
      </c>
      <c r="V63" s="324">
        <f t="shared" si="49"/>
        <v>0</v>
      </c>
      <c r="W63" s="289">
        <f>'[1]Oct midyear Intl_VIBE'!E60</f>
        <v>0</v>
      </c>
      <c r="X63" s="290">
        <f t="shared" si="36"/>
        <v>0</v>
      </c>
      <c r="Y63" s="289">
        <f>'[1]Feb midyear Intl_VIBE'!E60</f>
        <v>0</v>
      </c>
      <c r="Z63" s="290">
        <f t="shared" si="37"/>
        <v>0</v>
      </c>
      <c r="AA63" s="288">
        <f t="shared" si="38"/>
        <v>0</v>
      </c>
      <c r="AB63" s="324">
        <f t="shared" si="39"/>
        <v>0</v>
      </c>
      <c r="AC63" s="292">
        <f t="shared" si="40"/>
        <v>0</v>
      </c>
      <c r="AD63" s="324">
        <f t="shared" si="41"/>
        <v>0</v>
      </c>
      <c r="AE63" s="293">
        <v>0</v>
      </c>
      <c r="AF63" s="324">
        <f t="shared" si="42"/>
        <v>0</v>
      </c>
      <c r="AG63" s="290">
        <f>8*'[2]Table 5C1C-Intl_VIBE'!AI63</f>
        <v>0</v>
      </c>
      <c r="AH63" s="290">
        <f t="shared" si="43"/>
        <v>0</v>
      </c>
      <c r="AI63" s="328">
        <f t="shared" si="50"/>
        <v>0</v>
      </c>
      <c r="AJ63" s="321">
        <f t="shared" si="44"/>
        <v>0</v>
      </c>
      <c r="AK63" s="342">
        <f t="shared" si="45"/>
        <v>0</v>
      </c>
      <c r="AM63" s="286">
        <v>0</v>
      </c>
      <c r="AN63" s="286">
        <f t="shared" si="46"/>
        <v>0</v>
      </c>
      <c r="AO63" s="286">
        <f t="shared" si="47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2.1.14'!K60</f>
        <v>0</v>
      </c>
      <c r="D64" s="201">
        <f>+'Table 5C1A-Madison Prep'!D64</f>
        <v>5673.1129637882123</v>
      </c>
      <c r="E64" s="202">
        <f t="shared" si="26"/>
        <v>0</v>
      </c>
      <c r="F64" s="202">
        <f>+'Table 5C1A-Madison Prep'!F64</f>
        <v>697.04</v>
      </c>
      <c r="G64" s="202">
        <f t="shared" si="27"/>
        <v>0</v>
      </c>
      <c r="H64" s="345">
        <f t="shared" si="28"/>
        <v>0</v>
      </c>
      <c r="I64" s="203">
        <f>'[1]Oct midyear Intl_VIBE'!K61</f>
        <v>0</v>
      </c>
      <c r="J64" s="203">
        <f>'[1]Feb midyear Intl_VIBE'!K61</f>
        <v>0</v>
      </c>
      <c r="K64" s="204">
        <f t="shared" si="29"/>
        <v>0</v>
      </c>
      <c r="L64" s="345">
        <f t="shared" si="30"/>
        <v>0</v>
      </c>
      <c r="M64" s="286">
        <f t="shared" si="31"/>
        <v>0</v>
      </c>
      <c r="N64" s="345">
        <f t="shared" si="32"/>
        <v>0</v>
      </c>
      <c r="O64" s="201">
        <v>0</v>
      </c>
      <c r="P64" s="345">
        <f t="shared" si="33"/>
        <v>0</v>
      </c>
      <c r="Q64" s="201">
        <f>8*'[2]Table 5C1C-Intl_VIBE'!S64</f>
        <v>0</v>
      </c>
      <c r="R64" s="201">
        <f t="shared" si="34"/>
        <v>0</v>
      </c>
      <c r="S64" s="345">
        <f t="shared" si="48"/>
        <v>0</v>
      </c>
      <c r="T64" s="345">
        <f t="shared" si="35"/>
        <v>0</v>
      </c>
      <c r="U64" s="294">
        <f>+'Table 5C1A-Madison Prep'!U64</f>
        <v>2167</v>
      </c>
      <c r="V64" s="324">
        <f t="shared" si="49"/>
        <v>0</v>
      </c>
      <c r="W64" s="289">
        <f>'[1]Oct midyear Intl_VIBE'!E61</f>
        <v>0</v>
      </c>
      <c r="X64" s="290">
        <f t="shared" si="36"/>
        <v>0</v>
      </c>
      <c r="Y64" s="289">
        <f>'[1]Feb midyear Intl_VIBE'!E61</f>
        <v>0</v>
      </c>
      <c r="Z64" s="290">
        <f t="shared" si="37"/>
        <v>0</v>
      </c>
      <c r="AA64" s="288">
        <f t="shared" si="38"/>
        <v>0</v>
      </c>
      <c r="AB64" s="324">
        <f t="shared" si="39"/>
        <v>0</v>
      </c>
      <c r="AC64" s="292">
        <f t="shared" si="40"/>
        <v>0</v>
      </c>
      <c r="AD64" s="324">
        <f t="shared" si="41"/>
        <v>0</v>
      </c>
      <c r="AE64" s="293">
        <v>0</v>
      </c>
      <c r="AF64" s="324">
        <f t="shared" si="42"/>
        <v>0</v>
      </c>
      <c r="AG64" s="290">
        <f>8*'[2]Table 5C1C-Intl_VIBE'!AI64</f>
        <v>0</v>
      </c>
      <c r="AH64" s="290">
        <f t="shared" si="43"/>
        <v>0</v>
      </c>
      <c r="AI64" s="328">
        <f t="shared" si="50"/>
        <v>0</v>
      </c>
      <c r="AJ64" s="321">
        <f t="shared" si="44"/>
        <v>0</v>
      </c>
      <c r="AK64" s="342">
        <f t="shared" si="45"/>
        <v>0</v>
      </c>
      <c r="AM64" s="286">
        <v>0</v>
      </c>
      <c r="AN64" s="286">
        <f t="shared" si="46"/>
        <v>0</v>
      </c>
      <c r="AO64" s="286">
        <f t="shared" si="47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2.1.14'!K61</f>
        <v>0</v>
      </c>
      <c r="D65" s="201">
        <f>+'Table 5C1A-Madison Prep'!D65</f>
        <v>6621.946293521848</v>
      </c>
      <c r="E65" s="202">
        <f t="shared" si="26"/>
        <v>0</v>
      </c>
      <c r="F65" s="202">
        <f>+'Table 5C1A-Madison Prep'!F65</f>
        <v>689.52</v>
      </c>
      <c r="G65" s="202">
        <f t="shared" si="27"/>
        <v>0</v>
      </c>
      <c r="H65" s="345">
        <f t="shared" si="28"/>
        <v>0</v>
      </c>
      <c r="I65" s="203">
        <f>'[1]Oct midyear Intl_VIBE'!K62</f>
        <v>0</v>
      </c>
      <c r="J65" s="203">
        <f>'[1]Feb midyear Intl_VIBE'!K62</f>
        <v>0</v>
      </c>
      <c r="K65" s="204">
        <f t="shared" si="29"/>
        <v>0</v>
      </c>
      <c r="L65" s="345">
        <f t="shared" si="30"/>
        <v>0</v>
      </c>
      <c r="M65" s="286">
        <f t="shared" si="31"/>
        <v>0</v>
      </c>
      <c r="N65" s="345">
        <f t="shared" si="32"/>
        <v>0</v>
      </c>
      <c r="O65" s="201">
        <v>0</v>
      </c>
      <c r="P65" s="345">
        <f t="shared" si="33"/>
        <v>0</v>
      </c>
      <c r="Q65" s="201">
        <f>8*'[2]Table 5C1C-Intl_VIBE'!S65</f>
        <v>0</v>
      </c>
      <c r="R65" s="201">
        <f t="shared" si="34"/>
        <v>0</v>
      </c>
      <c r="S65" s="345">
        <f t="shared" si="48"/>
        <v>0</v>
      </c>
      <c r="T65" s="345">
        <f t="shared" si="35"/>
        <v>0</v>
      </c>
      <c r="U65" s="294">
        <f>+'Table 5C1A-Madison Prep'!U65</f>
        <v>1521</v>
      </c>
      <c r="V65" s="324">
        <f t="shared" si="49"/>
        <v>0</v>
      </c>
      <c r="W65" s="289">
        <f>'[1]Oct midyear Intl_VIBE'!E62</f>
        <v>0</v>
      </c>
      <c r="X65" s="290">
        <f t="shared" si="36"/>
        <v>0</v>
      </c>
      <c r="Y65" s="289">
        <f>'[1]Feb midyear Intl_VIBE'!E62</f>
        <v>0</v>
      </c>
      <c r="Z65" s="290">
        <f t="shared" si="37"/>
        <v>0</v>
      </c>
      <c r="AA65" s="288">
        <f t="shared" si="38"/>
        <v>0</v>
      </c>
      <c r="AB65" s="324">
        <f t="shared" si="39"/>
        <v>0</v>
      </c>
      <c r="AC65" s="292">
        <f t="shared" si="40"/>
        <v>0</v>
      </c>
      <c r="AD65" s="324">
        <f t="shared" si="41"/>
        <v>0</v>
      </c>
      <c r="AE65" s="293">
        <v>0</v>
      </c>
      <c r="AF65" s="324">
        <f t="shared" si="42"/>
        <v>0</v>
      </c>
      <c r="AG65" s="290">
        <f>8*'[2]Table 5C1C-Intl_VIBE'!AI65</f>
        <v>0</v>
      </c>
      <c r="AH65" s="290">
        <f t="shared" si="43"/>
        <v>0</v>
      </c>
      <c r="AI65" s="328">
        <f t="shared" si="50"/>
        <v>0</v>
      </c>
      <c r="AJ65" s="321">
        <f t="shared" si="44"/>
        <v>0</v>
      </c>
      <c r="AK65" s="342">
        <f t="shared" si="45"/>
        <v>0</v>
      </c>
      <c r="AM65" s="286">
        <v>0</v>
      </c>
      <c r="AN65" s="286">
        <f t="shared" si="46"/>
        <v>0</v>
      </c>
      <c r="AO65" s="286">
        <f t="shared" si="47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2.1.14'!K62</f>
        <v>0</v>
      </c>
      <c r="D66" s="194">
        <f>+'Table 5C1A-Madison Prep'!D66</f>
        <v>5301.224090063828</v>
      </c>
      <c r="E66" s="195">
        <f t="shared" si="26"/>
        <v>0</v>
      </c>
      <c r="F66" s="195">
        <f>+'Table 5C1A-Madison Prep'!F66</f>
        <v>594.04</v>
      </c>
      <c r="G66" s="195">
        <f t="shared" si="27"/>
        <v>0</v>
      </c>
      <c r="H66" s="346">
        <f t="shared" si="28"/>
        <v>0</v>
      </c>
      <c r="I66" s="196">
        <f>'[1]Oct midyear Intl_VIBE'!K63</f>
        <v>0</v>
      </c>
      <c r="J66" s="196">
        <f>'[1]Feb midyear Intl_VIBE'!K63</f>
        <v>0</v>
      </c>
      <c r="K66" s="197">
        <f t="shared" si="29"/>
        <v>0</v>
      </c>
      <c r="L66" s="346">
        <f t="shared" si="30"/>
        <v>0</v>
      </c>
      <c r="M66" s="296">
        <f t="shared" si="31"/>
        <v>0</v>
      </c>
      <c r="N66" s="346">
        <f t="shared" si="32"/>
        <v>0</v>
      </c>
      <c r="O66" s="194">
        <v>0</v>
      </c>
      <c r="P66" s="346">
        <f t="shared" si="33"/>
        <v>0</v>
      </c>
      <c r="Q66" s="194">
        <f>8*'[2]Table 5C1C-Intl_VIBE'!S66</f>
        <v>0</v>
      </c>
      <c r="R66" s="194">
        <f t="shared" si="34"/>
        <v>0</v>
      </c>
      <c r="S66" s="346">
        <f t="shared" si="48"/>
        <v>0</v>
      </c>
      <c r="T66" s="346">
        <f t="shared" si="35"/>
        <v>0</v>
      </c>
      <c r="U66" s="285">
        <f>+'Table 5C1A-Madison Prep'!U66</f>
        <v>4024</v>
      </c>
      <c r="V66" s="325">
        <f t="shared" si="49"/>
        <v>0</v>
      </c>
      <c r="W66" s="884">
        <f>'[1]Oct midyear Intl_VIBE'!E63</f>
        <v>0</v>
      </c>
      <c r="X66" s="282">
        <f t="shared" si="36"/>
        <v>0</v>
      </c>
      <c r="Y66" s="884">
        <f>'[1]Feb midyear Intl_VIBE'!E63</f>
        <v>0</v>
      </c>
      <c r="Z66" s="282">
        <f t="shared" si="37"/>
        <v>0</v>
      </c>
      <c r="AA66" s="283">
        <f t="shared" si="38"/>
        <v>0</v>
      </c>
      <c r="AB66" s="325">
        <f t="shared" si="39"/>
        <v>0</v>
      </c>
      <c r="AC66" s="298">
        <f t="shared" si="40"/>
        <v>0</v>
      </c>
      <c r="AD66" s="325">
        <f t="shared" si="41"/>
        <v>0</v>
      </c>
      <c r="AE66" s="284">
        <v>0</v>
      </c>
      <c r="AF66" s="325">
        <f t="shared" si="42"/>
        <v>0</v>
      </c>
      <c r="AG66" s="282">
        <f>8*'[2]Table 5C1C-Intl_VIBE'!AI66</f>
        <v>0</v>
      </c>
      <c r="AH66" s="282">
        <f t="shared" si="43"/>
        <v>0</v>
      </c>
      <c r="AI66" s="329">
        <f t="shared" si="50"/>
        <v>0</v>
      </c>
      <c r="AJ66" s="338">
        <f t="shared" si="44"/>
        <v>0</v>
      </c>
      <c r="AK66" s="343">
        <f t="shared" si="45"/>
        <v>0</v>
      </c>
      <c r="AM66" s="296">
        <v>0</v>
      </c>
      <c r="AN66" s="296">
        <f t="shared" si="46"/>
        <v>0</v>
      </c>
      <c r="AO66" s="296">
        <f t="shared" si="47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2.1.14'!K63</f>
        <v>0</v>
      </c>
      <c r="D67" s="208">
        <f>+'Table 5C1A-Madison Prep'!D67</f>
        <v>2854.1575356369185</v>
      </c>
      <c r="E67" s="209">
        <f t="shared" si="26"/>
        <v>0</v>
      </c>
      <c r="F67" s="209">
        <f>+'Table 5C1A-Madison Prep'!F67</f>
        <v>833.70999999999992</v>
      </c>
      <c r="G67" s="209">
        <f t="shared" si="27"/>
        <v>0</v>
      </c>
      <c r="H67" s="344">
        <f t="shared" si="28"/>
        <v>0</v>
      </c>
      <c r="I67" s="210">
        <f>'[1]Oct midyear Intl_VIBE'!K64</f>
        <v>0</v>
      </c>
      <c r="J67" s="210">
        <f>'[1]Feb midyear Intl_VIBE'!K64</f>
        <v>0</v>
      </c>
      <c r="K67" s="211">
        <f t="shared" si="29"/>
        <v>0</v>
      </c>
      <c r="L67" s="344">
        <f t="shared" si="30"/>
        <v>0</v>
      </c>
      <c r="M67" s="273">
        <f t="shared" si="31"/>
        <v>0</v>
      </c>
      <c r="N67" s="344">
        <f t="shared" si="32"/>
        <v>0</v>
      </c>
      <c r="O67" s="208">
        <v>0</v>
      </c>
      <c r="P67" s="344">
        <f t="shared" si="33"/>
        <v>0</v>
      </c>
      <c r="Q67" s="208">
        <f>8*'[2]Table 5C1C-Intl_VIBE'!S67</f>
        <v>0</v>
      </c>
      <c r="R67" s="208">
        <f t="shared" si="34"/>
        <v>0</v>
      </c>
      <c r="S67" s="344">
        <f t="shared" si="48"/>
        <v>0</v>
      </c>
      <c r="T67" s="344">
        <f t="shared" si="35"/>
        <v>0</v>
      </c>
      <c r="U67" s="280">
        <f>+'Table 5C1A-Madison Prep'!U67</f>
        <v>6739</v>
      </c>
      <c r="V67" s="323">
        <f t="shared" si="49"/>
        <v>0</v>
      </c>
      <c r="W67" s="883">
        <f>'[1]Oct midyear Intl_VIBE'!E64</f>
        <v>0</v>
      </c>
      <c r="X67" s="276">
        <f t="shared" si="36"/>
        <v>0</v>
      </c>
      <c r="Y67" s="883">
        <f>'[1]Feb midyear Intl_VIBE'!E64</f>
        <v>0</v>
      </c>
      <c r="Z67" s="276">
        <f t="shared" si="37"/>
        <v>0</v>
      </c>
      <c r="AA67" s="275">
        <f t="shared" si="38"/>
        <v>0</v>
      </c>
      <c r="AB67" s="323">
        <f t="shared" si="39"/>
        <v>0</v>
      </c>
      <c r="AC67" s="278">
        <f t="shared" si="40"/>
        <v>0</v>
      </c>
      <c r="AD67" s="323">
        <f t="shared" si="41"/>
        <v>0</v>
      </c>
      <c r="AE67" s="279">
        <v>0</v>
      </c>
      <c r="AF67" s="323">
        <f t="shared" si="42"/>
        <v>0</v>
      </c>
      <c r="AG67" s="276">
        <f>8*'[2]Table 5C1C-Intl_VIBE'!AI67</f>
        <v>0</v>
      </c>
      <c r="AH67" s="276">
        <f t="shared" si="43"/>
        <v>0</v>
      </c>
      <c r="AI67" s="327">
        <f t="shared" si="50"/>
        <v>0</v>
      </c>
      <c r="AJ67" s="337">
        <f t="shared" si="44"/>
        <v>0</v>
      </c>
      <c r="AK67" s="341">
        <f t="shared" si="45"/>
        <v>0</v>
      </c>
      <c r="AM67" s="273">
        <v>0</v>
      </c>
      <c r="AN67" s="273">
        <f t="shared" si="46"/>
        <v>0</v>
      </c>
      <c r="AO67" s="273">
        <f t="shared" si="47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2.1.14'!K64</f>
        <v>0</v>
      </c>
      <c r="D68" s="201">
        <f>+'Table 5C1A-Madison Prep'!D68</f>
        <v>5901.074538516008</v>
      </c>
      <c r="E68" s="202">
        <f t="shared" si="26"/>
        <v>0</v>
      </c>
      <c r="F68" s="202">
        <f>+'Table 5C1A-Madison Prep'!F68</f>
        <v>516.08000000000004</v>
      </c>
      <c r="G68" s="202">
        <f t="shared" si="27"/>
        <v>0</v>
      </c>
      <c r="H68" s="345">
        <f t="shared" si="28"/>
        <v>0</v>
      </c>
      <c r="I68" s="203">
        <f>'[1]Oct midyear Intl_VIBE'!K65</f>
        <v>0</v>
      </c>
      <c r="J68" s="203">
        <f>'[1]Feb midyear Intl_VIBE'!K65</f>
        <v>0</v>
      </c>
      <c r="K68" s="204">
        <f t="shared" si="29"/>
        <v>0</v>
      </c>
      <c r="L68" s="345">
        <f t="shared" si="30"/>
        <v>0</v>
      </c>
      <c r="M68" s="286">
        <f t="shared" si="31"/>
        <v>0</v>
      </c>
      <c r="N68" s="345">
        <f t="shared" si="32"/>
        <v>0</v>
      </c>
      <c r="O68" s="201">
        <v>0</v>
      </c>
      <c r="P68" s="345">
        <f t="shared" si="33"/>
        <v>0</v>
      </c>
      <c r="Q68" s="201">
        <f>8*'[2]Table 5C1C-Intl_VIBE'!S68</f>
        <v>0</v>
      </c>
      <c r="R68" s="201">
        <f t="shared" si="34"/>
        <v>0</v>
      </c>
      <c r="S68" s="345">
        <f t="shared" si="48"/>
        <v>0</v>
      </c>
      <c r="T68" s="345">
        <f t="shared" si="35"/>
        <v>0</v>
      </c>
      <c r="U68" s="294">
        <f>+'Table 5C1A-Madison Prep'!U68</f>
        <v>2089</v>
      </c>
      <c r="V68" s="324">
        <f t="shared" si="49"/>
        <v>0</v>
      </c>
      <c r="W68" s="289">
        <f>'[1]Oct midyear Intl_VIBE'!E65</f>
        <v>0</v>
      </c>
      <c r="X68" s="290">
        <f t="shared" si="36"/>
        <v>0</v>
      </c>
      <c r="Y68" s="289">
        <f>'[1]Feb midyear Intl_VIBE'!E65</f>
        <v>0</v>
      </c>
      <c r="Z68" s="290">
        <f t="shared" si="37"/>
        <v>0</v>
      </c>
      <c r="AA68" s="288">
        <f t="shared" si="38"/>
        <v>0</v>
      </c>
      <c r="AB68" s="324">
        <f t="shared" si="39"/>
        <v>0</v>
      </c>
      <c r="AC68" s="292">
        <f t="shared" si="40"/>
        <v>0</v>
      </c>
      <c r="AD68" s="324">
        <f t="shared" si="41"/>
        <v>0</v>
      </c>
      <c r="AE68" s="293">
        <v>0</v>
      </c>
      <c r="AF68" s="324">
        <f t="shared" si="42"/>
        <v>0</v>
      </c>
      <c r="AG68" s="290">
        <f>8*'[2]Table 5C1C-Intl_VIBE'!AI68</f>
        <v>0</v>
      </c>
      <c r="AH68" s="290">
        <f t="shared" si="43"/>
        <v>0</v>
      </c>
      <c r="AI68" s="328">
        <f t="shared" si="50"/>
        <v>0</v>
      </c>
      <c r="AJ68" s="321">
        <f t="shared" si="44"/>
        <v>0</v>
      </c>
      <c r="AK68" s="342">
        <f t="shared" si="45"/>
        <v>0</v>
      </c>
      <c r="AM68" s="286">
        <v>0</v>
      </c>
      <c r="AN68" s="286">
        <f t="shared" si="46"/>
        <v>0</v>
      </c>
      <c r="AO68" s="286">
        <f t="shared" si="47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2.1.14'!K65</f>
        <v>0</v>
      </c>
      <c r="D69" s="201">
        <f>+'Table 5C1A-Madison Prep'!D69</f>
        <v>4124.3813481848092</v>
      </c>
      <c r="E69" s="202">
        <f t="shared" si="26"/>
        <v>0</v>
      </c>
      <c r="F69" s="202">
        <f>+'Table 5C1A-Madison Prep'!F69</f>
        <v>756.79</v>
      </c>
      <c r="G69" s="202">
        <f t="shared" si="27"/>
        <v>0</v>
      </c>
      <c r="H69" s="345">
        <f t="shared" si="28"/>
        <v>0</v>
      </c>
      <c r="I69" s="203">
        <f>'[1]Oct midyear Intl_VIBE'!K66</f>
        <v>0</v>
      </c>
      <c r="J69" s="203">
        <f>'[1]Feb midyear Intl_VIBE'!K66</f>
        <v>0</v>
      </c>
      <c r="K69" s="204">
        <f t="shared" si="29"/>
        <v>0</v>
      </c>
      <c r="L69" s="345">
        <f t="shared" si="30"/>
        <v>0</v>
      </c>
      <c r="M69" s="286">
        <f t="shared" si="31"/>
        <v>0</v>
      </c>
      <c r="N69" s="345">
        <f t="shared" si="32"/>
        <v>0</v>
      </c>
      <c r="O69" s="201">
        <v>0</v>
      </c>
      <c r="P69" s="345">
        <f t="shared" si="33"/>
        <v>0</v>
      </c>
      <c r="Q69" s="201">
        <f>8*'[2]Table 5C1C-Intl_VIBE'!S69</f>
        <v>0</v>
      </c>
      <c r="R69" s="201">
        <f t="shared" si="34"/>
        <v>0</v>
      </c>
      <c r="S69" s="345">
        <f t="shared" si="48"/>
        <v>0</v>
      </c>
      <c r="T69" s="345">
        <f t="shared" si="35"/>
        <v>0</v>
      </c>
      <c r="U69" s="294">
        <f>+'Table 5C1A-Madison Prep'!U69</f>
        <v>7403</v>
      </c>
      <c r="V69" s="324">
        <f t="shared" si="49"/>
        <v>0</v>
      </c>
      <c r="W69" s="289">
        <f>'[1]Oct midyear Intl_VIBE'!E66</f>
        <v>0</v>
      </c>
      <c r="X69" s="290">
        <f t="shared" si="36"/>
        <v>0</v>
      </c>
      <c r="Y69" s="289">
        <f>'[1]Feb midyear Intl_VIBE'!E66</f>
        <v>0</v>
      </c>
      <c r="Z69" s="290">
        <f t="shared" si="37"/>
        <v>0</v>
      </c>
      <c r="AA69" s="288">
        <f t="shared" si="38"/>
        <v>0</v>
      </c>
      <c r="AB69" s="324">
        <f t="shared" si="39"/>
        <v>0</v>
      </c>
      <c r="AC69" s="292">
        <f t="shared" si="40"/>
        <v>0</v>
      </c>
      <c r="AD69" s="324">
        <f t="shared" si="41"/>
        <v>0</v>
      </c>
      <c r="AE69" s="293">
        <v>0</v>
      </c>
      <c r="AF69" s="324">
        <f t="shared" si="42"/>
        <v>0</v>
      </c>
      <c r="AG69" s="290">
        <f>8*'[2]Table 5C1C-Intl_VIBE'!AI69</f>
        <v>0</v>
      </c>
      <c r="AH69" s="290">
        <f t="shared" si="43"/>
        <v>0</v>
      </c>
      <c r="AI69" s="328">
        <f t="shared" si="50"/>
        <v>0</v>
      </c>
      <c r="AJ69" s="321">
        <f t="shared" si="44"/>
        <v>0</v>
      </c>
      <c r="AK69" s="342">
        <f t="shared" si="45"/>
        <v>0</v>
      </c>
      <c r="AM69" s="286">
        <v>0</v>
      </c>
      <c r="AN69" s="286">
        <f t="shared" si="46"/>
        <v>0</v>
      </c>
      <c r="AO69" s="286">
        <f t="shared" si="47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2.1.14'!K66</f>
        <v>0</v>
      </c>
      <c r="D70" s="201">
        <f>+'Table 5C1A-Madison Prep'!D70</f>
        <v>6277.8307532778254</v>
      </c>
      <c r="E70" s="202">
        <f t="shared" si="26"/>
        <v>0</v>
      </c>
      <c r="F70" s="202">
        <f>+'Table 5C1A-Madison Prep'!F70</f>
        <v>592.66</v>
      </c>
      <c r="G70" s="202">
        <f t="shared" si="27"/>
        <v>0</v>
      </c>
      <c r="H70" s="345">
        <f t="shared" si="28"/>
        <v>0</v>
      </c>
      <c r="I70" s="203">
        <f>'[1]Oct midyear Intl_VIBE'!K67</f>
        <v>0</v>
      </c>
      <c r="J70" s="203">
        <f>'[1]Feb midyear Intl_VIBE'!K67</f>
        <v>0</v>
      </c>
      <c r="K70" s="204">
        <f t="shared" si="29"/>
        <v>0</v>
      </c>
      <c r="L70" s="345">
        <f t="shared" si="30"/>
        <v>0</v>
      </c>
      <c r="M70" s="286">
        <f t="shared" si="31"/>
        <v>0</v>
      </c>
      <c r="N70" s="345">
        <f t="shared" si="32"/>
        <v>0</v>
      </c>
      <c r="O70" s="201">
        <v>0</v>
      </c>
      <c r="P70" s="345">
        <f t="shared" si="33"/>
        <v>0</v>
      </c>
      <c r="Q70" s="201">
        <f>8*'[2]Table 5C1C-Intl_VIBE'!S70</f>
        <v>0</v>
      </c>
      <c r="R70" s="201">
        <f t="shared" si="34"/>
        <v>0</v>
      </c>
      <c r="S70" s="345">
        <f t="shared" si="48"/>
        <v>0</v>
      </c>
      <c r="T70" s="345">
        <f t="shared" si="35"/>
        <v>0</v>
      </c>
      <c r="U70" s="294">
        <f>+'Table 5C1A-Madison Prep'!U70</f>
        <v>2802</v>
      </c>
      <c r="V70" s="324">
        <f t="shared" si="49"/>
        <v>0</v>
      </c>
      <c r="W70" s="289">
        <f>'[1]Oct midyear Intl_VIBE'!E67</f>
        <v>0</v>
      </c>
      <c r="X70" s="290">
        <f t="shared" si="36"/>
        <v>0</v>
      </c>
      <c r="Y70" s="289">
        <f>'[1]Feb midyear Intl_VIBE'!E67</f>
        <v>0</v>
      </c>
      <c r="Z70" s="290">
        <f t="shared" si="37"/>
        <v>0</v>
      </c>
      <c r="AA70" s="288">
        <f t="shared" si="38"/>
        <v>0</v>
      </c>
      <c r="AB70" s="324">
        <f t="shared" si="39"/>
        <v>0</v>
      </c>
      <c r="AC70" s="292">
        <f t="shared" si="40"/>
        <v>0</v>
      </c>
      <c r="AD70" s="324">
        <f t="shared" si="41"/>
        <v>0</v>
      </c>
      <c r="AE70" s="293">
        <v>0</v>
      </c>
      <c r="AF70" s="324">
        <f t="shared" si="42"/>
        <v>0</v>
      </c>
      <c r="AG70" s="290">
        <f>8*'[2]Table 5C1C-Intl_VIBE'!AI70</f>
        <v>0</v>
      </c>
      <c r="AH70" s="290">
        <f t="shared" si="43"/>
        <v>0</v>
      </c>
      <c r="AI70" s="328">
        <f t="shared" si="50"/>
        <v>0</v>
      </c>
      <c r="AJ70" s="321">
        <f t="shared" si="44"/>
        <v>0</v>
      </c>
      <c r="AK70" s="342">
        <f t="shared" si="45"/>
        <v>0</v>
      </c>
      <c r="AM70" s="286">
        <v>0</v>
      </c>
      <c r="AN70" s="286">
        <f t="shared" si="46"/>
        <v>0</v>
      </c>
      <c r="AO70" s="286">
        <f t="shared" si="47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2.1.14'!K67</f>
        <v>0</v>
      </c>
      <c r="D71" s="194">
        <f>+'Table 5C1A-Madison Prep'!D71</f>
        <v>4775.1605543943642</v>
      </c>
      <c r="E71" s="195">
        <f t="shared" si="26"/>
        <v>0</v>
      </c>
      <c r="F71" s="195">
        <f>+'Table 5C1A-Madison Prep'!F71</f>
        <v>829.12</v>
      </c>
      <c r="G71" s="195">
        <f t="shared" si="27"/>
        <v>0</v>
      </c>
      <c r="H71" s="346">
        <f t="shared" si="28"/>
        <v>0</v>
      </c>
      <c r="I71" s="196">
        <f>'[1]Oct midyear Intl_VIBE'!K68</f>
        <v>0</v>
      </c>
      <c r="J71" s="196">
        <f>'[1]Feb midyear Intl_VIBE'!K68</f>
        <v>0</v>
      </c>
      <c r="K71" s="197">
        <f t="shared" si="29"/>
        <v>0</v>
      </c>
      <c r="L71" s="346">
        <f t="shared" si="30"/>
        <v>0</v>
      </c>
      <c r="M71" s="296">
        <f t="shared" si="31"/>
        <v>0</v>
      </c>
      <c r="N71" s="346">
        <f t="shared" si="32"/>
        <v>0</v>
      </c>
      <c r="O71" s="194">
        <v>0</v>
      </c>
      <c r="P71" s="346">
        <f t="shared" si="33"/>
        <v>0</v>
      </c>
      <c r="Q71" s="194">
        <f>8*'[2]Table 5C1C-Intl_VIBE'!S71</f>
        <v>0</v>
      </c>
      <c r="R71" s="194">
        <f t="shared" si="34"/>
        <v>0</v>
      </c>
      <c r="S71" s="346">
        <f t="shared" ref="S71:S75" si="51">ROUND(R71/$S$88,0)</f>
        <v>0</v>
      </c>
      <c r="T71" s="346">
        <f t="shared" si="35"/>
        <v>0</v>
      </c>
      <c r="U71" s="285">
        <f>+'Table 5C1A-Madison Prep'!U71</f>
        <v>5215</v>
      </c>
      <c r="V71" s="325">
        <f t="shared" ref="V71:V75" si="52">C71*U71</f>
        <v>0</v>
      </c>
      <c r="W71" s="884">
        <f>'[1]Oct midyear Intl_VIBE'!E68</f>
        <v>0</v>
      </c>
      <c r="X71" s="282">
        <f t="shared" si="36"/>
        <v>0</v>
      </c>
      <c r="Y71" s="884">
        <f>'[1]Feb midyear Intl_VIBE'!E68</f>
        <v>0</v>
      </c>
      <c r="Z71" s="282">
        <f t="shared" si="37"/>
        <v>0</v>
      </c>
      <c r="AA71" s="283">
        <f t="shared" si="38"/>
        <v>0</v>
      </c>
      <c r="AB71" s="325">
        <f t="shared" si="39"/>
        <v>0</v>
      </c>
      <c r="AC71" s="298">
        <f t="shared" si="40"/>
        <v>0</v>
      </c>
      <c r="AD71" s="325">
        <f t="shared" si="41"/>
        <v>0</v>
      </c>
      <c r="AE71" s="284">
        <v>0</v>
      </c>
      <c r="AF71" s="325">
        <f t="shared" si="42"/>
        <v>0</v>
      </c>
      <c r="AG71" s="282">
        <f>8*'[2]Table 5C1C-Intl_VIBE'!AI71</f>
        <v>0</v>
      </c>
      <c r="AH71" s="282">
        <f t="shared" si="43"/>
        <v>0</v>
      </c>
      <c r="AI71" s="329">
        <f t="shared" ref="AI71:AI75" si="53">ROUND(AH71/$AI$88,0)</f>
        <v>0</v>
      </c>
      <c r="AJ71" s="338">
        <f t="shared" si="44"/>
        <v>0</v>
      </c>
      <c r="AK71" s="343">
        <f t="shared" si="45"/>
        <v>0</v>
      </c>
      <c r="AM71" s="296">
        <v>0</v>
      </c>
      <c r="AN71" s="296">
        <f t="shared" si="46"/>
        <v>0</v>
      </c>
      <c r="AO71" s="296">
        <f t="shared" si="47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2.1.14'!K68</f>
        <v>0</v>
      </c>
      <c r="D72" s="208">
        <f>+'Table 5C1A-Madison Prep'!D72</f>
        <v>6564.0085433910035</v>
      </c>
      <c r="E72" s="209">
        <f t="shared" ref="E72:E75" si="54">C72*D72</f>
        <v>0</v>
      </c>
      <c r="F72" s="209">
        <f>+'Table 5C1A-Madison Prep'!F72</f>
        <v>730.06</v>
      </c>
      <c r="G72" s="209">
        <f t="shared" ref="G72:G75" si="55">C72*F72</f>
        <v>0</v>
      </c>
      <c r="H72" s="344">
        <f t="shared" ref="H72:H75" si="56">E72+G72</f>
        <v>0</v>
      </c>
      <c r="I72" s="210">
        <f>'[1]Oct midyear Intl_VIBE'!K69</f>
        <v>0</v>
      </c>
      <c r="J72" s="210">
        <f>'[1]Feb midyear Intl_VIBE'!K69</f>
        <v>0</v>
      </c>
      <c r="K72" s="211">
        <f t="shared" ref="K72:K75" si="57">I72+J72</f>
        <v>0</v>
      </c>
      <c r="L72" s="344">
        <f t="shared" ref="L72:L75" si="58">+H72+K72</f>
        <v>0</v>
      </c>
      <c r="M72" s="273">
        <f t="shared" ref="M72:M75" si="59">-(0.25%*L72)</f>
        <v>0</v>
      </c>
      <c r="N72" s="344">
        <f t="shared" ref="N72:N75" si="60">SUM(L72:M72)</f>
        <v>0</v>
      </c>
      <c r="O72" s="208">
        <v>0</v>
      </c>
      <c r="P72" s="344">
        <f t="shared" ref="P72:P75" si="61">SUM(N72:O72)</f>
        <v>0</v>
      </c>
      <c r="Q72" s="208">
        <f>8*'[2]Table 5C1C-Intl_VIBE'!S72</f>
        <v>0</v>
      </c>
      <c r="R72" s="208">
        <f t="shared" ref="R72:R75" si="62">+P72-Q72</f>
        <v>0</v>
      </c>
      <c r="S72" s="344">
        <f t="shared" si="51"/>
        <v>0</v>
      </c>
      <c r="T72" s="344">
        <f t="shared" ref="T72:T75" si="63">+P72</f>
        <v>0</v>
      </c>
      <c r="U72" s="280">
        <f>+'Table 5C1A-Madison Prep'!U72</f>
        <v>3609</v>
      </c>
      <c r="V72" s="323">
        <f t="shared" si="52"/>
        <v>0</v>
      </c>
      <c r="W72" s="883">
        <f>'[1]Oct midyear Intl_VIBE'!E69</f>
        <v>0</v>
      </c>
      <c r="X72" s="276">
        <f t="shared" ref="X72:X75" si="64">+U72*W72</f>
        <v>0</v>
      </c>
      <c r="Y72" s="883">
        <f>'[1]Feb midyear Intl_VIBE'!E69</f>
        <v>0</v>
      </c>
      <c r="Z72" s="276">
        <f t="shared" ref="Z72:Z75" si="65">+U72*Y72*0.5</f>
        <v>0</v>
      </c>
      <c r="AA72" s="275">
        <f t="shared" ref="AA72:AA75" si="66">+X72+Z72</f>
        <v>0</v>
      </c>
      <c r="AB72" s="323">
        <f t="shared" ref="AB72:AB75" si="67">+V72+AA72</f>
        <v>0</v>
      </c>
      <c r="AC72" s="278">
        <f t="shared" ref="AC72:AC75" si="68">-(0.25%*AB72)</f>
        <v>0</v>
      </c>
      <c r="AD72" s="323">
        <f t="shared" ref="AD72:AD75" si="69">SUM(AB72:AC72)</f>
        <v>0</v>
      </c>
      <c r="AE72" s="279">
        <v>0</v>
      </c>
      <c r="AF72" s="323">
        <f t="shared" ref="AF72:AF75" si="70">SUM(AD72:AE72)</f>
        <v>0</v>
      </c>
      <c r="AG72" s="276">
        <f>8*'[2]Table 5C1C-Intl_VIBE'!AI72</f>
        <v>0</v>
      </c>
      <c r="AH72" s="276">
        <f t="shared" ref="AH72:AH75" si="71">+AF72-AG72</f>
        <v>0</v>
      </c>
      <c r="AI72" s="327">
        <f t="shared" si="53"/>
        <v>0</v>
      </c>
      <c r="AJ72" s="337">
        <f t="shared" ref="AJ72:AJ75" si="72">T72+AF72</f>
        <v>0</v>
      </c>
      <c r="AK72" s="341">
        <f t="shared" ref="AK72:AK75" si="73">S72+AI72</f>
        <v>0</v>
      </c>
      <c r="AM72" s="310">
        <v>0</v>
      </c>
      <c r="AN72" s="310">
        <f t="shared" ref="AN72:AN75" si="74">+AC72</f>
        <v>0</v>
      </c>
      <c r="AO72" s="310">
        <f t="shared" si="47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2.1.14'!K69</f>
        <v>0</v>
      </c>
      <c r="D73" s="201">
        <f>+'Table 5C1A-Madison Prep'!D73</f>
        <v>5029.1467736134118</v>
      </c>
      <c r="E73" s="202">
        <f t="shared" si="54"/>
        <v>0</v>
      </c>
      <c r="F73" s="202">
        <f>+'Table 5C1A-Madison Prep'!F73</f>
        <v>715.61</v>
      </c>
      <c r="G73" s="202">
        <f t="shared" si="55"/>
        <v>0</v>
      </c>
      <c r="H73" s="345">
        <f t="shared" si="56"/>
        <v>0</v>
      </c>
      <c r="I73" s="203">
        <f>'[1]Oct midyear Intl_VIBE'!K70</f>
        <v>0</v>
      </c>
      <c r="J73" s="203">
        <f>'[1]Feb midyear Intl_VIBE'!K70</f>
        <v>0</v>
      </c>
      <c r="K73" s="204">
        <f t="shared" si="57"/>
        <v>0</v>
      </c>
      <c r="L73" s="345">
        <f t="shared" si="58"/>
        <v>0</v>
      </c>
      <c r="M73" s="286">
        <f t="shared" si="59"/>
        <v>0</v>
      </c>
      <c r="N73" s="345">
        <f t="shared" si="60"/>
        <v>0</v>
      </c>
      <c r="O73" s="201">
        <v>0</v>
      </c>
      <c r="P73" s="345">
        <f t="shared" si="61"/>
        <v>0</v>
      </c>
      <c r="Q73" s="201">
        <f>8*'[2]Table 5C1C-Intl_VIBE'!S73</f>
        <v>0</v>
      </c>
      <c r="R73" s="201">
        <f t="shared" si="62"/>
        <v>0</v>
      </c>
      <c r="S73" s="345">
        <f t="shared" si="51"/>
        <v>0</v>
      </c>
      <c r="T73" s="345">
        <f t="shared" si="63"/>
        <v>0</v>
      </c>
      <c r="U73" s="294">
        <f>+'Table 5C1A-Madison Prep'!U73</f>
        <v>5069</v>
      </c>
      <c r="V73" s="324">
        <f t="shared" si="52"/>
        <v>0</v>
      </c>
      <c r="W73" s="289">
        <f>'[1]Oct midyear Intl_VIBE'!E70</f>
        <v>0</v>
      </c>
      <c r="X73" s="290">
        <f t="shared" si="64"/>
        <v>0</v>
      </c>
      <c r="Y73" s="289">
        <f>'[1]Feb midyear Intl_VIBE'!E70</f>
        <v>0</v>
      </c>
      <c r="Z73" s="290">
        <f t="shared" si="65"/>
        <v>0</v>
      </c>
      <c r="AA73" s="288">
        <f t="shared" si="66"/>
        <v>0</v>
      </c>
      <c r="AB73" s="324">
        <f t="shared" si="67"/>
        <v>0</v>
      </c>
      <c r="AC73" s="292">
        <f t="shared" si="68"/>
        <v>0</v>
      </c>
      <c r="AD73" s="324">
        <f t="shared" si="69"/>
        <v>0</v>
      </c>
      <c r="AE73" s="293">
        <v>0</v>
      </c>
      <c r="AF73" s="324">
        <f t="shared" si="70"/>
        <v>0</v>
      </c>
      <c r="AG73" s="290">
        <f>8*'[2]Table 5C1C-Intl_VIBE'!AI73</f>
        <v>0</v>
      </c>
      <c r="AH73" s="290">
        <f t="shared" si="71"/>
        <v>0</v>
      </c>
      <c r="AI73" s="328">
        <f t="shared" si="53"/>
        <v>0</v>
      </c>
      <c r="AJ73" s="321">
        <f t="shared" si="72"/>
        <v>0</v>
      </c>
      <c r="AK73" s="342">
        <f t="shared" si="73"/>
        <v>0</v>
      </c>
      <c r="AM73" s="310">
        <v>0</v>
      </c>
      <c r="AN73" s="310">
        <f t="shared" si="74"/>
        <v>0</v>
      </c>
      <c r="AO73" s="310">
        <f t="shared" si="47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2.1.14'!K70</f>
        <v>0</v>
      </c>
      <c r="D74" s="201">
        <f>+'Table 5C1A-Madison Prep'!D74</f>
        <v>6390.1644202560601</v>
      </c>
      <c r="E74" s="202">
        <f t="shared" si="54"/>
        <v>0</v>
      </c>
      <c r="F74" s="202">
        <f>+'Table 5C1A-Madison Prep'!F74</f>
        <v>798.7</v>
      </c>
      <c r="G74" s="202">
        <f t="shared" si="55"/>
        <v>0</v>
      </c>
      <c r="H74" s="345">
        <f t="shared" si="56"/>
        <v>0</v>
      </c>
      <c r="I74" s="203">
        <f>'[1]Oct midyear Intl_VIBE'!K71</f>
        <v>0</v>
      </c>
      <c r="J74" s="203">
        <f>'[1]Feb midyear Intl_VIBE'!K71</f>
        <v>0</v>
      </c>
      <c r="K74" s="204">
        <f t="shared" si="57"/>
        <v>0</v>
      </c>
      <c r="L74" s="345">
        <f t="shared" si="58"/>
        <v>0</v>
      </c>
      <c r="M74" s="286">
        <f t="shared" si="59"/>
        <v>0</v>
      </c>
      <c r="N74" s="345">
        <f t="shared" si="60"/>
        <v>0</v>
      </c>
      <c r="O74" s="201">
        <v>0</v>
      </c>
      <c r="P74" s="345">
        <f t="shared" si="61"/>
        <v>0</v>
      </c>
      <c r="Q74" s="201">
        <f>8*'[2]Table 5C1C-Intl_VIBE'!S74</f>
        <v>0</v>
      </c>
      <c r="R74" s="201">
        <f t="shared" si="62"/>
        <v>0</v>
      </c>
      <c r="S74" s="345">
        <f t="shared" si="51"/>
        <v>0</v>
      </c>
      <c r="T74" s="345">
        <f t="shared" si="63"/>
        <v>0</v>
      </c>
      <c r="U74" s="294">
        <f>+'Table 5C1A-Madison Prep'!U74</f>
        <v>2880</v>
      </c>
      <c r="V74" s="324">
        <f t="shared" si="52"/>
        <v>0</v>
      </c>
      <c r="W74" s="289">
        <f>'[1]Oct midyear Intl_VIBE'!E71</f>
        <v>0</v>
      </c>
      <c r="X74" s="290">
        <f t="shared" si="64"/>
        <v>0</v>
      </c>
      <c r="Y74" s="289">
        <f>'[1]Feb midyear Intl_VIBE'!E71</f>
        <v>0</v>
      </c>
      <c r="Z74" s="290">
        <f t="shared" si="65"/>
        <v>0</v>
      </c>
      <c r="AA74" s="288">
        <f t="shared" si="66"/>
        <v>0</v>
      </c>
      <c r="AB74" s="324">
        <f t="shared" si="67"/>
        <v>0</v>
      </c>
      <c r="AC74" s="292">
        <f t="shared" si="68"/>
        <v>0</v>
      </c>
      <c r="AD74" s="324">
        <f t="shared" si="69"/>
        <v>0</v>
      </c>
      <c r="AE74" s="293">
        <v>0</v>
      </c>
      <c r="AF74" s="324">
        <f t="shared" si="70"/>
        <v>0</v>
      </c>
      <c r="AG74" s="290">
        <f>8*'[2]Table 5C1C-Intl_VIBE'!AI74</f>
        <v>0</v>
      </c>
      <c r="AH74" s="290">
        <f t="shared" si="71"/>
        <v>0</v>
      </c>
      <c r="AI74" s="328">
        <f t="shared" si="53"/>
        <v>0</v>
      </c>
      <c r="AJ74" s="321">
        <f t="shared" si="72"/>
        <v>0</v>
      </c>
      <c r="AK74" s="342">
        <f t="shared" si="73"/>
        <v>0</v>
      </c>
      <c r="AM74" s="310">
        <v>0</v>
      </c>
      <c r="AN74" s="310">
        <f t="shared" si="74"/>
        <v>0</v>
      </c>
      <c r="AO74" s="310">
        <f t="shared" si="47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2.1.14'!K71</f>
        <v>0</v>
      </c>
      <c r="D75" s="201">
        <f>+'Table 5C1A-Madison Prep'!D75</f>
        <v>5722.4947921281337</v>
      </c>
      <c r="E75" s="202">
        <f t="shared" si="54"/>
        <v>0</v>
      </c>
      <c r="F75" s="202">
        <f>+'Table 5C1A-Madison Prep'!F75</f>
        <v>705.67</v>
      </c>
      <c r="G75" s="202">
        <f t="shared" si="55"/>
        <v>0</v>
      </c>
      <c r="H75" s="345">
        <f t="shared" si="56"/>
        <v>0</v>
      </c>
      <c r="I75" s="203">
        <f>'[1]Oct midyear Intl_VIBE'!K72</f>
        <v>0</v>
      </c>
      <c r="J75" s="203">
        <f>'[1]Feb midyear Intl_VIBE'!K72</f>
        <v>0</v>
      </c>
      <c r="K75" s="204">
        <f t="shared" si="57"/>
        <v>0</v>
      </c>
      <c r="L75" s="345">
        <f t="shared" si="58"/>
        <v>0</v>
      </c>
      <c r="M75" s="286">
        <f t="shared" si="59"/>
        <v>0</v>
      </c>
      <c r="N75" s="345">
        <f t="shared" si="60"/>
        <v>0</v>
      </c>
      <c r="O75" s="201">
        <v>0</v>
      </c>
      <c r="P75" s="345">
        <f t="shared" si="61"/>
        <v>0</v>
      </c>
      <c r="Q75" s="201">
        <f>8*'[2]Table 5C1C-Intl_VIBE'!S75</f>
        <v>0</v>
      </c>
      <c r="R75" s="201">
        <f t="shared" si="62"/>
        <v>0</v>
      </c>
      <c r="S75" s="345">
        <f t="shared" si="51"/>
        <v>0</v>
      </c>
      <c r="T75" s="345">
        <f t="shared" si="63"/>
        <v>0</v>
      </c>
      <c r="U75" s="294">
        <f>+'Table 5C1A-Madison Prep'!U75</f>
        <v>3330</v>
      </c>
      <c r="V75" s="324">
        <f t="shared" si="52"/>
        <v>0</v>
      </c>
      <c r="W75" s="289">
        <f>'[1]Oct midyear Intl_VIBE'!E72</f>
        <v>0</v>
      </c>
      <c r="X75" s="290">
        <f t="shared" si="64"/>
        <v>0</v>
      </c>
      <c r="Y75" s="289">
        <f>'[1]Feb midyear Intl_VIBE'!E72</f>
        <v>0</v>
      </c>
      <c r="Z75" s="290">
        <f t="shared" si="65"/>
        <v>0</v>
      </c>
      <c r="AA75" s="288">
        <f t="shared" si="66"/>
        <v>0</v>
      </c>
      <c r="AB75" s="324">
        <f t="shared" si="67"/>
        <v>0</v>
      </c>
      <c r="AC75" s="292">
        <f t="shared" si="68"/>
        <v>0</v>
      </c>
      <c r="AD75" s="324">
        <f t="shared" si="69"/>
        <v>0</v>
      </c>
      <c r="AE75" s="293">
        <v>0</v>
      </c>
      <c r="AF75" s="324">
        <f t="shared" si="70"/>
        <v>0</v>
      </c>
      <c r="AG75" s="290">
        <f>8*'[2]Table 5C1C-Intl_VIBE'!AI75</f>
        <v>0</v>
      </c>
      <c r="AH75" s="290">
        <f t="shared" si="71"/>
        <v>0</v>
      </c>
      <c r="AI75" s="328">
        <f t="shared" si="53"/>
        <v>0</v>
      </c>
      <c r="AJ75" s="321">
        <f t="shared" si="72"/>
        <v>0</v>
      </c>
      <c r="AK75" s="342">
        <f t="shared" si="73"/>
        <v>0</v>
      </c>
      <c r="AM75" s="300">
        <v>0</v>
      </c>
      <c r="AN75" s="300">
        <f t="shared" si="74"/>
        <v>0</v>
      </c>
      <c r="AO75" s="300">
        <f t="shared" si="47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461</v>
      </c>
      <c r="D76" s="28">
        <f>+'Table 5C1A-Madison Prep'!D76</f>
        <v>4479.9292126977662</v>
      </c>
      <c r="E76" s="35">
        <f>SUM(E7:E75)</f>
        <v>1653864.3759413166</v>
      </c>
      <c r="F76" s="35">
        <f>+'Table 5C1A-Madison Prep'!F76</f>
        <v>704.64781030742063</v>
      </c>
      <c r="G76" s="35">
        <f t="shared" ref="G76:T76" si="75">SUM(G7:G75)</f>
        <v>349271.99109589047</v>
      </c>
      <c r="H76" s="348">
        <f t="shared" si="75"/>
        <v>2003136.3670372069</v>
      </c>
      <c r="I76" s="70">
        <f t="shared" si="75"/>
        <v>370505.53230693308</v>
      </c>
      <c r="J76" s="70">
        <f t="shared" si="75"/>
        <v>-33601.786366782086</v>
      </c>
      <c r="K76" s="56">
        <f t="shared" si="75"/>
        <v>336903.74594015098</v>
      </c>
      <c r="L76" s="364">
        <f t="shared" si="75"/>
        <v>2340040.1129773576</v>
      </c>
      <c r="M76" s="36">
        <f t="shared" si="75"/>
        <v>-5850.1002824433945</v>
      </c>
      <c r="N76" s="348">
        <f t="shared" si="75"/>
        <v>2334190.0126949144</v>
      </c>
      <c r="O76" s="66">
        <f t="shared" si="75"/>
        <v>0</v>
      </c>
      <c r="P76" s="348">
        <f t="shared" si="75"/>
        <v>2334190.0126949144</v>
      </c>
      <c r="Q76" s="87">
        <f t="shared" si="75"/>
        <v>1332080</v>
      </c>
      <c r="R76" s="87">
        <f t="shared" si="75"/>
        <v>1002110.0126949145</v>
      </c>
      <c r="S76" s="348">
        <f t="shared" si="75"/>
        <v>250526</v>
      </c>
      <c r="T76" s="348">
        <f t="shared" si="75"/>
        <v>2334190.0126949144</v>
      </c>
      <c r="U76" s="31">
        <f>+'Table 5C1A-Madison Prep'!U76</f>
        <v>4703</v>
      </c>
      <c r="V76" s="326">
        <f t="shared" ref="V76:AK76" si="76">SUM(V7:V75)</f>
        <v>2238493</v>
      </c>
      <c r="W76" s="74">
        <f t="shared" si="76"/>
        <v>85</v>
      </c>
      <c r="X76" s="75">
        <f t="shared" si="76"/>
        <v>410333</v>
      </c>
      <c r="Y76" s="74">
        <f t="shared" si="76"/>
        <v>-15</v>
      </c>
      <c r="Z76" s="75">
        <f t="shared" si="76"/>
        <v>-36900.5</v>
      </c>
      <c r="AA76" s="63">
        <f t="shared" si="76"/>
        <v>373432.5</v>
      </c>
      <c r="AB76" s="331">
        <f t="shared" si="76"/>
        <v>2611925.5</v>
      </c>
      <c r="AC76" s="37">
        <f t="shared" si="76"/>
        <v>-6529.8137499999993</v>
      </c>
      <c r="AD76" s="326">
        <f t="shared" si="76"/>
        <v>2605395.6862499998</v>
      </c>
      <c r="AE76" s="88">
        <f t="shared" si="76"/>
        <v>0</v>
      </c>
      <c r="AF76" s="326">
        <f t="shared" si="76"/>
        <v>2605395.6862499998</v>
      </c>
      <c r="AG76" s="75">
        <f t="shared" si="76"/>
        <v>1456696</v>
      </c>
      <c r="AH76" s="75">
        <f t="shared" si="76"/>
        <v>1148699.6862499998</v>
      </c>
      <c r="AI76" s="330">
        <f t="shared" si="76"/>
        <v>287175</v>
      </c>
      <c r="AJ76" s="339">
        <f t="shared" si="76"/>
        <v>4939585.6989449142</v>
      </c>
      <c r="AK76" s="339">
        <f t="shared" si="76"/>
        <v>537701</v>
      </c>
      <c r="AM76" s="36">
        <f>SUM(AM7:AM75)</f>
        <v>-5476.3099999999995</v>
      </c>
      <c r="AN76" s="36">
        <f>SUM(AN7:AN75)</f>
        <v>-6529.8137499999993</v>
      </c>
      <c r="AO76" s="36">
        <f>SUM(AO7:AO75)</f>
        <v>-1053.5037500000003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9">
        <f>'Table 4 Level 4'!$E99</f>
        <v>0</v>
      </c>
      <c r="Q77" s="220">
        <f>8*'[2]Table 5C1C-Intl_VIBE'!S77</f>
        <v>0</v>
      </c>
      <c r="R77" s="220">
        <f t="shared" ref="R77" si="77">+P77-Q77</f>
        <v>0</v>
      </c>
      <c r="S77" s="299">
        <f t="shared" ref="S77:S81" si="78">ROUND(R77/$S$88,0)</f>
        <v>0</v>
      </c>
      <c r="T77" s="299">
        <f>'Table 4 Level 4'!$E99</f>
        <v>0</v>
      </c>
      <c r="U77" s="294"/>
      <c r="V77" s="293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0"/>
      <c r="AH77" s="290"/>
      <c r="AI77" s="290"/>
      <c r="AJ77" s="321">
        <f t="shared" ref="AJ77:AJ81" si="79">T77+AF77</f>
        <v>0</v>
      </c>
      <c r="AK77" s="321">
        <f t="shared" ref="AK77:AK81" si="80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0"/>
      <c r="Q78" s="220"/>
      <c r="R78" s="220"/>
      <c r="S78" s="220"/>
      <c r="T78" s="299">
        <f>'Table 4 Level 4'!$J99</f>
        <v>0</v>
      </c>
      <c r="U78" s="294"/>
      <c r="V78" s="293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0"/>
      <c r="AH78" s="290"/>
      <c r="AI78" s="290"/>
      <c r="AJ78" s="321">
        <f t="shared" si="79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0"/>
      <c r="Q79" s="220"/>
      <c r="R79" s="220"/>
      <c r="S79" s="220"/>
      <c r="T79" s="299">
        <f>'Table 4 Level 4'!$L99</f>
        <v>10000</v>
      </c>
      <c r="U79" s="294"/>
      <c r="V79" s="293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0"/>
      <c r="AH79" s="290"/>
      <c r="AI79" s="290"/>
      <c r="AJ79" s="321">
        <f t="shared" si="79"/>
        <v>10000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0"/>
      <c r="Q80" s="220"/>
      <c r="R80" s="220"/>
      <c r="S80" s="220"/>
      <c r="T80" s="299">
        <f>'Table 4 Level 4'!$M99</f>
        <v>11333</v>
      </c>
      <c r="U80" s="294"/>
      <c r="V80" s="293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0"/>
      <c r="AH80" s="290"/>
      <c r="AI80" s="290"/>
      <c r="AJ80" s="321">
        <f t="shared" si="79"/>
        <v>11333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47">
        <f>'Table 4 Level 4'!O99</f>
        <v>11986</v>
      </c>
      <c r="Q81" s="215">
        <f>8*'[2]Table 5C1C-Intl_VIBE'!S81</f>
        <v>7992</v>
      </c>
      <c r="R81" s="215">
        <f t="shared" ref="R81" si="81">+P81-Q81</f>
        <v>3994</v>
      </c>
      <c r="S81" s="347">
        <f t="shared" si="78"/>
        <v>999</v>
      </c>
      <c r="T81" s="347">
        <f>P81</f>
        <v>11986</v>
      </c>
      <c r="U81" s="309"/>
      <c r="V81" s="307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2"/>
      <c r="AH81" s="302"/>
      <c r="AI81" s="302"/>
      <c r="AJ81" s="322">
        <f t="shared" si="79"/>
        <v>11986</v>
      </c>
      <c r="AK81" s="322">
        <f t="shared" si="80"/>
        <v>999</v>
      </c>
    </row>
    <row r="82" spans="1:37" ht="16.149999999999999" customHeight="1" thickBot="1">
      <c r="A82" s="1442" t="s">
        <v>710</v>
      </c>
      <c r="B82" s="1415"/>
      <c r="C82" s="136">
        <f>SUM(C76:C81)</f>
        <v>461</v>
      </c>
      <c r="D82" s="128">
        <f t="shared" ref="D82:AK82" si="82">SUM(D76:D81)</f>
        <v>4479.9292126977662</v>
      </c>
      <c r="E82" s="128">
        <f t="shared" si="82"/>
        <v>1653864.3759413166</v>
      </c>
      <c r="F82" s="128">
        <f t="shared" si="82"/>
        <v>704.64781030742063</v>
      </c>
      <c r="G82" s="128">
        <f t="shared" si="82"/>
        <v>349271.99109589047</v>
      </c>
      <c r="H82" s="128">
        <f t="shared" si="82"/>
        <v>2003136.3670372069</v>
      </c>
      <c r="I82" s="133">
        <f t="shared" si="82"/>
        <v>370505.53230693308</v>
      </c>
      <c r="J82" s="133">
        <f t="shared" si="82"/>
        <v>-33601.786366782086</v>
      </c>
      <c r="K82" s="133">
        <f t="shared" si="82"/>
        <v>336903.74594015098</v>
      </c>
      <c r="L82" s="128">
        <f t="shared" si="82"/>
        <v>2340040.1129773576</v>
      </c>
      <c r="M82" s="133">
        <f t="shared" si="82"/>
        <v>-5850.1002824433945</v>
      </c>
      <c r="N82" s="128">
        <f t="shared" si="82"/>
        <v>2334190.0126949144</v>
      </c>
      <c r="O82" s="133">
        <f t="shared" si="82"/>
        <v>0</v>
      </c>
      <c r="P82" s="349">
        <f t="shared" si="82"/>
        <v>2346176.0126949144</v>
      </c>
      <c r="Q82" s="128">
        <f t="shared" si="82"/>
        <v>1340072</v>
      </c>
      <c r="R82" s="128">
        <f t="shared" si="82"/>
        <v>1006104.0126949145</v>
      </c>
      <c r="S82" s="349">
        <f t="shared" si="82"/>
        <v>251525</v>
      </c>
      <c r="T82" s="349">
        <f t="shared" si="82"/>
        <v>2367509.0126949144</v>
      </c>
      <c r="U82" s="131">
        <f t="shared" si="82"/>
        <v>4703</v>
      </c>
      <c r="V82" s="135">
        <f t="shared" si="82"/>
        <v>2238493</v>
      </c>
      <c r="W82" s="136">
        <f t="shared" si="82"/>
        <v>85</v>
      </c>
      <c r="X82" s="134">
        <f t="shared" si="82"/>
        <v>410333</v>
      </c>
      <c r="Y82" s="136">
        <f t="shared" si="82"/>
        <v>-15</v>
      </c>
      <c r="Z82" s="134">
        <f t="shared" si="82"/>
        <v>-36900.5</v>
      </c>
      <c r="AA82" s="134">
        <f t="shared" si="82"/>
        <v>373432.5</v>
      </c>
      <c r="AB82" s="135">
        <f t="shared" si="82"/>
        <v>2611925.5</v>
      </c>
      <c r="AC82" s="134">
        <f t="shared" si="82"/>
        <v>-6529.8137499999993</v>
      </c>
      <c r="AD82" s="135">
        <f t="shared" si="82"/>
        <v>2605395.6862499998</v>
      </c>
      <c r="AE82" s="135">
        <f t="shared" si="82"/>
        <v>0</v>
      </c>
      <c r="AF82" s="135">
        <f t="shared" si="82"/>
        <v>2605395.6862499998</v>
      </c>
      <c r="AG82" s="134">
        <f t="shared" si="82"/>
        <v>1456696</v>
      </c>
      <c r="AH82" s="134">
        <f t="shared" si="82"/>
        <v>1148699.6862499998</v>
      </c>
      <c r="AI82" s="134">
        <f t="shared" si="82"/>
        <v>287175</v>
      </c>
      <c r="AJ82" s="320">
        <f t="shared" si="82"/>
        <v>4972904.6989449142</v>
      </c>
      <c r="AK82" s="320">
        <f t="shared" si="82"/>
        <v>538700</v>
      </c>
    </row>
    <row r="83" spans="1:37" ht="16.149999999999999" hidden="1" customHeight="1" thickTop="1">
      <c r="C83" s="727"/>
      <c r="I83" s="627"/>
      <c r="J83" s="627"/>
      <c r="K83" s="627"/>
      <c r="W83" s="727"/>
      <c r="Y83" s="727"/>
    </row>
    <row r="84" spans="1:37" ht="16.149999999999999" hidden="1" customHeight="1">
      <c r="C84" s="727"/>
      <c r="I84" s="627"/>
      <c r="J84" s="627"/>
      <c r="K84" s="627"/>
      <c r="M84" s="627">
        <v>-5007.8409175930174</v>
      </c>
      <c r="N84" s="427" t="s">
        <v>1044</v>
      </c>
      <c r="W84" s="727"/>
      <c r="Y84" s="727"/>
    </row>
    <row r="85" spans="1:37" ht="16.149999999999999" hidden="1" customHeight="1">
      <c r="C85" s="727"/>
      <c r="I85" s="627"/>
      <c r="J85" s="627"/>
      <c r="K85" s="627"/>
      <c r="M85" s="627">
        <f>M82-M84</f>
        <v>-842.2593648503771</v>
      </c>
      <c r="N85" s="427" t="s">
        <v>1045</v>
      </c>
      <c r="W85" s="727"/>
      <c r="Y85" s="727"/>
    </row>
    <row r="86" spans="1:37" ht="16.149999999999999" hidden="1" customHeight="1">
      <c r="C86" s="727"/>
      <c r="I86" s="627"/>
      <c r="J86" s="627"/>
      <c r="K86" s="627"/>
      <c r="M86" s="627"/>
      <c r="W86" s="727"/>
      <c r="Y86" s="727"/>
    </row>
    <row r="87" spans="1:37" ht="16.149999999999999" hidden="1" customHeight="1">
      <c r="C87" s="727"/>
      <c r="I87" s="627"/>
      <c r="J87" s="627"/>
      <c r="K87" s="627"/>
      <c r="M87" s="627"/>
      <c r="W87" s="727"/>
      <c r="Y87" s="727"/>
    </row>
    <row r="88" spans="1:37" ht="16.149999999999999" hidden="1" customHeight="1">
      <c r="C88" s="727"/>
      <c r="M88" s="627"/>
      <c r="R88" s="427" t="str">
        <f>'Table 2_State Distrib and Adjs'!$AK$77</f>
        <v>Monthly Pmts Remaining</v>
      </c>
      <c r="S88" s="427">
        <f>'Table 2_State Distrib and Adjs'!$AL$77</f>
        <v>4</v>
      </c>
      <c r="AH88" s="427" t="str">
        <f>'Table 2_State Distrib and Adjs'!$AK$77</f>
        <v>Monthly Pmts Remaining</v>
      </c>
      <c r="AI88" s="427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3">
    <mergeCell ref="AG3:AG4"/>
    <mergeCell ref="AH3:AH4"/>
    <mergeCell ref="AI3:AI4"/>
    <mergeCell ref="U1:AB1"/>
    <mergeCell ref="AC1:AI1"/>
    <mergeCell ref="U3:U4"/>
    <mergeCell ref="AB3:AB4"/>
    <mergeCell ref="A1:B4"/>
    <mergeCell ref="K3:K4"/>
    <mergeCell ref="L3:L4"/>
    <mergeCell ref="W2:AA2"/>
    <mergeCell ref="W3:W4"/>
    <mergeCell ref="X3:X4"/>
    <mergeCell ref="Y3:Y4"/>
    <mergeCell ref="Z3:Z4"/>
    <mergeCell ref="C1:L1"/>
    <mergeCell ref="M1:T1"/>
    <mergeCell ref="P3:P4"/>
    <mergeCell ref="S3:S4"/>
    <mergeCell ref="T3:T4"/>
    <mergeCell ref="AJ1:AJ4"/>
    <mergeCell ref="AK1:AK4"/>
    <mergeCell ref="C3:C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I2:K2"/>
    <mergeCell ref="I3:I4"/>
    <mergeCell ref="J3:J4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3" right="0.35" top="0.75" bottom="0.75" header="0.3" footer="0.3"/>
  <pageSetup paperSize="5" scale="60" firstPageNumber="54" orientation="portrait" r:id="rId1"/>
  <headerFooter>
    <oddHeader>&amp;L&amp;"Arial,Bold"&amp;20&amp;K000000Table 5C1-C: FY2014-15 MFP Budget Letter (March 2015)
International High School of New Orleans</oddHeader>
    <oddFooter>&amp;R&amp;P</oddFooter>
  </headerFooter>
  <colBreaks count="4" manualBreakCount="4">
    <brk id="12" max="1048575" man="1"/>
    <brk id="20" max="1048575" man="1"/>
    <brk id="28" max="84" man="1"/>
    <brk id="38" max="8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O98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427" customWidth="1"/>
    <col min="2" max="2" width="37.7109375" style="427" customWidth="1"/>
    <col min="3" max="3" width="12.140625" style="427" bestFit="1" customWidth="1"/>
    <col min="4" max="4" width="13.7109375" style="427" bestFit="1" customWidth="1"/>
    <col min="5" max="5" width="10.140625" style="427" bestFit="1" customWidth="1"/>
    <col min="6" max="7" width="12.28515625" style="427" bestFit="1" customWidth="1"/>
    <col min="8" max="8" width="11.5703125" style="427" bestFit="1" customWidth="1"/>
    <col min="9" max="12" width="11.85546875" style="427" bestFit="1" customWidth="1"/>
    <col min="13" max="13" width="10.85546875" style="427" bestFit="1" customWidth="1"/>
    <col min="14" max="14" width="13.140625" style="427" customWidth="1"/>
    <col min="15" max="15" width="13.42578125" style="427" bestFit="1" customWidth="1"/>
    <col min="16" max="16" width="14.7109375" style="427" customWidth="1"/>
    <col min="17" max="18" width="14" style="427" customWidth="1"/>
    <col min="19" max="19" width="10.7109375" style="427" customWidth="1"/>
    <col min="20" max="20" width="14.85546875" style="427" customWidth="1"/>
    <col min="21" max="22" width="14.5703125" style="427" customWidth="1"/>
    <col min="23" max="23" width="11.7109375" style="427" customWidth="1"/>
    <col min="24" max="24" width="14.42578125" style="427" bestFit="1" customWidth="1"/>
    <col min="25" max="27" width="11.7109375" style="427" customWidth="1"/>
    <col min="28" max="28" width="14.42578125" style="427" bestFit="1" customWidth="1"/>
    <col min="29" max="29" width="10.5703125" style="427" customWidth="1"/>
    <col min="30" max="30" width="14.42578125" style="427" bestFit="1" customWidth="1"/>
    <col min="31" max="31" width="11.85546875" style="427" bestFit="1" customWidth="1"/>
    <col min="32" max="32" width="14.42578125" style="427" bestFit="1" customWidth="1"/>
    <col min="33" max="34" width="10.7109375" style="427" bestFit="1" customWidth="1"/>
    <col min="35" max="37" width="14.42578125" style="427" bestFit="1" customWidth="1"/>
    <col min="38" max="38" width="0" style="427" hidden="1" customWidth="1"/>
    <col min="39" max="40" width="12.28515625" style="427" hidden="1" customWidth="1"/>
    <col min="41" max="41" width="10" style="427" hidden="1" customWidth="1"/>
    <col min="42" max="16384" width="8.85546875" style="427"/>
  </cols>
  <sheetData>
    <row r="1" spans="1:41" ht="23.45" customHeight="1">
      <c r="A1" s="1566" t="s">
        <v>268</v>
      </c>
      <c r="B1" s="1567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568"/>
      <c r="B2" s="1569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70"/>
      <c r="B3" s="1569"/>
      <c r="C3" s="1525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71"/>
      <c r="B4" s="1572"/>
      <c r="C4" s="1520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H5" si="1">E5+1</f>
        <v>4</v>
      </c>
      <c r="G5" s="23">
        <f t="shared" si="1"/>
        <v>5</v>
      </c>
      <c r="H5" s="23">
        <f t="shared" si="1"/>
        <v>6</v>
      </c>
      <c r="I5" s="23">
        <f t="shared" ref="I5" si="2">H5+1</f>
        <v>7</v>
      </c>
      <c r="J5" s="23">
        <f t="shared" ref="J5" si="3">I5+1</f>
        <v>8</v>
      </c>
      <c r="K5" s="23">
        <f t="shared" ref="K5" si="4">J5+1</f>
        <v>9</v>
      </c>
      <c r="L5" s="23">
        <f t="shared" ref="L5" si="5">K5+1</f>
        <v>10</v>
      </c>
      <c r="M5" s="23">
        <f t="shared" ref="M5" si="6">L5+1</f>
        <v>11</v>
      </c>
      <c r="N5" s="23">
        <f t="shared" ref="N5" si="7">M5+1</f>
        <v>12</v>
      </c>
      <c r="O5" s="23">
        <f t="shared" ref="O5" si="8">N5+1</f>
        <v>13</v>
      </c>
      <c r="P5" s="23">
        <f t="shared" ref="P5" si="9">O5+1</f>
        <v>14</v>
      </c>
      <c r="Q5" s="23">
        <f t="shared" ref="Q5" si="10">P5+1</f>
        <v>15</v>
      </c>
      <c r="R5" s="23">
        <f t="shared" ref="R5" si="11">Q5+1</f>
        <v>16</v>
      </c>
      <c r="S5" s="23">
        <f t="shared" ref="S5" si="12">R5+1</f>
        <v>17</v>
      </c>
      <c r="T5" s="23">
        <f t="shared" ref="T5" si="13">S5+1</f>
        <v>18</v>
      </c>
      <c r="U5" s="23">
        <f t="shared" ref="U5" si="14">T5+1</f>
        <v>19</v>
      </c>
      <c r="V5" s="23">
        <f t="shared" ref="V5" si="15">U5+1</f>
        <v>20</v>
      </c>
      <c r="W5" s="23">
        <f t="shared" ref="W5" si="16">V5+1</f>
        <v>21</v>
      </c>
      <c r="X5" s="23">
        <f t="shared" ref="X5" si="17">W5+1</f>
        <v>22</v>
      </c>
      <c r="Y5" s="23">
        <f t="shared" ref="Y5" si="18">X5+1</f>
        <v>23</v>
      </c>
      <c r="Z5" s="23">
        <f t="shared" ref="Z5" si="19">Y5+1</f>
        <v>24</v>
      </c>
      <c r="AA5" s="23">
        <f t="shared" ref="AA5" si="20">Z5+1</f>
        <v>25</v>
      </c>
      <c r="AB5" s="23">
        <f t="shared" ref="AB5" si="21">AA5+1</f>
        <v>26</v>
      </c>
      <c r="AC5" s="23">
        <f t="shared" ref="AC5" si="22">AB5+1</f>
        <v>27</v>
      </c>
      <c r="AD5" s="23">
        <f t="shared" ref="AD5" si="23">AC5+1</f>
        <v>28</v>
      </c>
      <c r="AE5" s="23">
        <f t="shared" ref="AE5" si="24">AD5+1</f>
        <v>29</v>
      </c>
      <c r="AF5" s="23">
        <f t="shared" ref="AF5" si="25">AE5+1</f>
        <v>30</v>
      </c>
      <c r="AG5" s="23">
        <f t="shared" ref="AG5" si="26">AF5+1</f>
        <v>31</v>
      </c>
      <c r="AH5" s="23">
        <f t="shared" ref="AH5" si="27">AG5+1</f>
        <v>32</v>
      </c>
      <c r="AI5" s="23">
        <f t="shared" ref="AI5" si="28">AH5+1</f>
        <v>33</v>
      </c>
      <c r="AJ5" s="23">
        <f t="shared" ref="AJ5" si="29">AI5+1</f>
        <v>34</v>
      </c>
      <c r="AK5" s="23">
        <f t="shared" ref="AK5" si="30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46"/>
      <c r="J6" s="46"/>
      <c r="K6" s="46"/>
      <c r="L6" s="46"/>
      <c r="M6" s="30"/>
      <c r="N6" s="30"/>
      <c r="O6" s="30"/>
      <c r="P6" s="30"/>
      <c r="Q6" s="51"/>
      <c r="R6" s="51"/>
      <c r="S6" s="30"/>
      <c r="T6" s="30"/>
      <c r="U6" s="30"/>
      <c r="V6" s="30"/>
      <c r="W6" s="51"/>
      <c r="X6" s="51"/>
      <c r="Y6" s="55"/>
      <c r="Z6" s="55"/>
      <c r="AA6" s="55"/>
      <c r="AB6" s="51"/>
      <c r="AC6" s="30"/>
      <c r="AD6" s="30"/>
      <c r="AE6" s="30"/>
      <c r="AF6" s="30"/>
      <c r="AG6" s="51"/>
      <c r="AH6" s="51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2.1.14'!O3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990">
        <f>'[1]Oct midyear NOMMA'!K4</f>
        <v>0</v>
      </c>
      <c r="J7" s="210">
        <f>'[1]Feb midyear NOMMA'!K4</f>
        <v>0</v>
      </c>
      <c r="K7" s="211">
        <f>I7+J7</f>
        <v>0</v>
      </c>
      <c r="L7" s="344">
        <f t="shared" ref="L7:L38" si="31">H7+K7</f>
        <v>0</v>
      </c>
      <c r="M7" s="273">
        <f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'[2]Table 5C1D-NOMMA'!S7+'[14]Table 5C1D-NOMMA'!S7+(6*'[20]Table 5C1D-NOMMA'!S7)</f>
        <v>0</v>
      </c>
      <c r="R7" s="210">
        <f>P7-Q7</f>
        <v>0</v>
      </c>
      <c r="S7" s="350">
        <f t="shared" ref="S7:S38" si="32">ROUND(R7/$S$88,0)</f>
        <v>0</v>
      </c>
      <c r="T7" s="350">
        <f>+P7</f>
        <v>0</v>
      </c>
      <c r="U7" s="274">
        <f>'Table 5C1A-Madison Prep'!U7</f>
        <v>2424</v>
      </c>
      <c r="V7" s="327">
        <f t="shared" ref="V7:V38" si="33">C7*U7</f>
        <v>0</v>
      </c>
      <c r="W7" s="883">
        <f>'[1]Oct midyear NOMMA'!E4</f>
        <v>0</v>
      </c>
      <c r="X7" s="276">
        <f>W7*U7</f>
        <v>0</v>
      </c>
      <c r="Y7" s="883">
        <f>'[1]Feb midyear NOMMA'!E4</f>
        <v>0</v>
      </c>
      <c r="Z7" s="276">
        <f>+U7*Y7*0.5</f>
        <v>0</v>
      </c>
      <c r="AA7" s="275">
        <f t="shared" ref="AA7:AA49" si="34">+X7+Z7</f>
        <v>0</v>
      </c>
      <c r="AB7" s="323">
        <f>AA7+V7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6">
        <f>'[2]Table 5C1D-NOMMA'!AI7+'[14]Table 5C1D-NOMMA'!AI7+(6*'[20]Table 5C1D-NOMMA'!AI7)</f>
        <v>0</v>
      </c>
      <c r="AH7" s="276">
        <f>AF7-AG7</f>
        <v>0</v>
      </c>
      <c r="AI7" s="327">
        <f t="shared" ref="AI7:AI38" si="35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36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2.1.14'!O4</f>
        <v>0</v>
      </c>
      <c r="D8" s="201">
        <f>+'Table 5C1A-Madison Prep'!D8</f>
        <v>6316.6266417386641</v>
      </c>
      <c r="E8" s="202">
        <f t="shared" ref="E8:E71" si="37">C8*D8</f>
        <v>0</v>
      </c>
      <c r="F8" s="202">
        <f>+'Table 5C1A-Madison Prep'!F8</f>
        <v>842.32</v>
      </c>
      <c r="G8" s="202">
        <f t="shared" ref="G8:G71" si="38">C8*F8</f>
        <v>0</v>
      </c>
      <c r="H8" s="345">
        <f t="shared" ref="H8:H71" si="39">E8+G8</f>
        <v>0</v>
      </c>
      <c r="I8" s="991">
        <f>'[1]Oct midyear NOMMA'!K5</f>
        <v>0</v>
      </c>
      <c r="J8" s="203">
        <f>'[1]Feb midyear NOMMA'!K5</f>
        <v>0</v>
      </c>
      <c r="K8" s="204">
        <f t="shared" ref="K8:K71" si="40">I8+J8</f>
        <v>0</v>
      </c>
      <c r="L8" s="345">
        <f t="shared" si="31"/>
        <v>0</v>
      </c>
      <c r="M8" s="286">
        <f t="shared" ref="M8:M71" si="41">-(0.25%*L8)</f>
        <v>0</v>
      </c>
      <c r="N8" s="345">
        <f>SUM(L8:M8)</f>
        <v>0</v>
      </c>
      <c r="O8" s="201">
        <v>0</v>
      </c>
      <c r="P8" s="351">
        <f t="shared" ref="P8:P71" si="42">SUM(N8:O8)</f>
        <v>0</v>
      </c>
      <c r="Q8" s="203">
        <f>'[2]Table 5C1D-NOMMA'!S8+'[14]Table 5C1D-NOMMA'!S8+(6*'[20]Table 5C1D-NOMMA'!S8)</f>
        <v>0</v>
      </c>
      <c r="R8" s="203">
        <f t="shared" ref="R8:R71" si="43">P8-Q8</f>
        <v>0</v>
      </c>
      <c r="S8" s="351">
        <f t="shared" si="32"/>
        <v>0</v>
      </c>
      <c r="T8" s="351">
        <f t="shared" ref="T8:T71" si="44">+P8</f>
        <v>0</v>
      </c>
      <c r="U8" s="287">
        <f>'Table 5C1A-Madison Prep'!U8</f>
        <v>2786</v>
      </c>
      <c r="V8" s="328">
        <f t="shared" si="33"/>
        <v>0</v>
      </c>
      <c r="W8" s="289">
        <f>'[1]Oct midyear NOMMA'!E5</f>
        <v>0</v>
      </c>
      <c r="X8" s="290">
        <f t="shared" ref="X8:X71" si="45">W8*U8</f>
        <v>0</v>
      </c>
      <c r="Y8" s="289">
        <f>'[1]Feb midyear NOMMA'!E5</f>
        <v>0</v>
      </c>
      <c r="Z8" s="290">
        <f t="shared" ref="Z8:Z71" si="46">+U8*Y8*0.5</f>
        <v>0</v>
      </c>
      <c r="AA8" s="288">
        <f t="shared" si="34"/>
        <v>0</v>
      </c>
      <c r="AB8" s="324">
        <f t="shared" ref="AB8:AB71" si="47">AA8+V8</f>
        <v>0</v>
      </c>
      <c r="AC8" s="292">
        <f t="shared" ref="AC8:AC71" si="48">-(0.25%*AB8)</f>
        <v>0</v>
      </c>
      <c r="AD8" s="324">
        <f t="shared" ref="AD8:AD71" si="49">SUM(AB8:AC8)</f>
        <v>0</v>
      </c>
      <c r="AE8" s="293">
        <v>0</v>
      </c>
      <c r="AF8" s="324">
        <f t="shared" ref="AF8:AF71" si="50">SUM(AD8:AE8)</f>
        <v>0</v>
      </c>
      <c r="AG8" s="290">
        <f>'[2]Table 5C1D-NOMMA'!AI8+'[14]Table 5C1D-NOMMA'!AI8+(6*'[20]Table 5C1D-NOMMA'!AI8)</f>
        <v>0</v>
      </c>
      <c r="AH8" s="290">
        <f t="shared" ref="AH8:AH71" si="51">AF8-AG8</f>
        <v>0</v>
      </c>
      <c r="AI8" s="328">
        <f t="shared" si="35"/>
        <v>0</v>
      </c>
      <c r="AJ8" s="321">
        <f t="shared" ref="AJ8:AJ71" si="52">T8+AF8</f>
        <v>0</v>
      </c>
      <c r="AK8" s="342">
        <f t="shared" ref="AK8:AK71" si="53">S8+AI8</f>
        <v>0</v>
      </c>
      <c r="AM8" s="286">
        <v>0</v>
      </c>
      <c r="AN8" s="286">
        <f t="shared" ref="AN8:AN71" si="54">+AC8</f>
        <v>0</v>
      </c>
      <c r="AO8" s="286">
        <f t="shared" si="36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2.1.14'!O5</f>
        <v>0</v>
      </c>
      <c r="D9" s="201">
        <f>+'Table 5C1A-Madison Prep'!D9</f>
        <v>4155.1862027396819</v>
      </c>
      <c r="E9" s="202">
        <f t="shared" si="37"/>
        <v>0</v>
      </c>
      <c r="F9" s="202">
        <f>+'Table 5C1A-Madison Prep'!F9</f>
        <v>596.84</v>
      </c>
      <c r="G9" s="202">
        <f t="shared" si="38"/>
        <v>0</v>
      </c>
      <c r="H9" s="345">
        <f t="shared" si="39"/>
        <v>0</v>
      </c>
      <c r="I9" s="991">
        <f>'[1]Oct midyear NOMMA'!K6</f>
        <v>0</v>
      </c>
      <c r="J9" s="203">
        <f>'[1]Feb midyear NOMMA'!K6</f>
        <v>0</v>
      </c>
      <c r="K9" s="204">
        <f t="shared" si="40"/>
        <v>0</v>
      </c>
      <c r="L9" s="345">
        <f t="shared" si="31"/>
        <v>0</v>
      </c>
      <c r="M9" s="286">
        <f t="shared" si="41"/>
        <v>0</v>
      </c>
      <c r="N9" s="345">
        <f t="shared" ref="N9:N71" si="55">SUM(L9:M9)</f>
        <v>0</v>
      </c>
      <c r="O9" s="201">
        <v>0</v>
      </c>
      <c r="P9" s="351">
        <f t="shared" si="42"/>
        <v>0</v>
      </c>
      <c r="Q9" s="203">
        <f>'[2]Table 5C1D-NOMMA'!S9+'[14]Table 5C1D-NOMMA'!S9+(6*'[20]Table 5C1D-NOMMA'!S9)</f>
        <v>0</v>
      </c>
      <c r="R9" s="203">
        <f t="shared" si="43"/>
        <v>0</v>
      </c>
      <c r="S9" s="351">
        <f t="shared" si="32"/>
        <v>0</v>
      </c>
      <c r="T9" s="351">
        <f t="shared" si="44"/>
        <v>0</v>
      </c>
      <c r="U9" s="287">
        <f>'Table 5C1A-Madison Prep'!U9</f>
        <v>5927</v>
      </c>
      <c r="V9" s="328">
        <f t="shared" si="33"/>
        <v>0</v>
      </c>
      <c r="W9" s="289">
        <f>'[1]Oct midyear NOMMA'!E6</f>
        <v>0</v>
      </c>
      <c r="X9" s="290">
        <f t="shared" si="45"/>
        <v>0</v>
      </c>
      <c r="Y9" s="289">
        <f>'[1]Feb midyear NOMMA'!E6</f>
        <v>0</v>
      </c>
      <c r="Z9" s="290">
        <f t="shared" si="46"/>
        <v>0</v>
      </c>
      <c r="AA9" s="288">
        <f t="shared" si="34"/>
        <v>0</v>
      </c>
      <c r="AB9" s="324">
        <f t="shared" si="47"/>
        <v>0</v>
      </c>
      <c r="AC9" s="292">
        <f t="shared" si="48"/>
        <v>0</v>
      </c>
      <c r="AD9" s="324">
        <f t="shared" si="49"/>
        <v>0</v>
      </c>
      <c r="AE9" s="293">
        <v>0</v>
      </c>
      <c r="AF9" s="324">
        <f t="shared" si="50"/>
        <v>0</v>
      </c>
      <c r="AG9" s="290">
        <f>'[2]Table 5C1D-NOMMA'!AI9+'[14]Table 5C1D-NOMMA'!AI9+(6*'[20]Table 5C1D-NOMMA'!AI9)</f>
        <v>0</v>
      </c>
      <c r="AH9" s="290">
        <f t="shared" si="51"/>
        <v>0</v>
      </c>
      <c r="AI9" s="328">
        <f t="shared" si="35"/>
        <v>0</v>
      </c>
      <c r="AJ9" s="321">
        <f t="shared" si="52"/>
        <v>0</v>
      </c>
      <c r="AK9" s="342">
        <f t="shared" si="53"/>
        <v>0</v>
      </c>
      <c r="AM9" s="286">
        <v>0</v>
      </c>
      <c r="AN9" s="286">
        <f t="shared" si="54"/>
        <v>0</v>
      </c>
      <c r="AO9" s="286">
        <f t="shared" si="36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2.1.14'!O6</f>
        <v>0</v>
      </c>
      <c r="D10" s="201">
        <f>+'Table 5C1A-Madison Prep'!D10</f>
        <v>6119.0581446878568</v>
      </c>
      <c r="E10" s="202">
        <f t="shared" si="37"/>
        <v>0</v>
      </c>
      <c r="F10" s="202">
        <f>+'Table 5C1A-Madison Prep'!F10</f>
        <v>585.76</v>
      </c>
      <c r="G10" s="202">
        <f t="shared" si="38"/>
        <v>0</v>
      </c>
      <c r="H10" s="345">
        <f t="shared" si="39"/>
        <v>0</v>
      </c>
      <c r="I10" s="991">
        <f>'[1]Oct midyear NOMMA'!K7</f>
        <v>0</v>
      </c>
      <c r="J10" s="203">
        <f>'[1]Feb midyear NOMMA'!K7</f>
        <v>0</v>
      </c>
      <c r="K10" s="204">
        <f t="shared" si="40"/>
        <v>0</v>
      </c>
      <c r="L10" s="345">
        <f t="shared" si="31"/>
        <v>0</v>
      </c>
      <c r="M10" s="286">
        <f t="shared" si="41"/>
        <v>0</v>
      </c>
      <c r="N10" s="345">
        <f t="shared" si="55"/>
        <v>0</v>
      </c>
      <c r="O10" s="201">
        <v>0</v>
      </c>
      <c r="P10" s="351">
        <f t="shared" si="42"/>
        <v>0</v>
      </c>
      <c r="Q10" s="203">
        <f>'[2]Table 5C1D-NOMMA'!S10+'[14]Table 5C1D-NOMMA'!S10+(6*'[20]Table 5C1D-NOMMA'!S10)</f>
        <v>0</v>
      </c>
      <c r="R10" s="203">
        <f t="shared" si="43"/>
        <v>0</v>
      </c>
      <c r="S10" s="351">
        <f t="shared" si="32"/>
        <v>0</v>
      </c>
      <c r="T10" s="351">
        <f t="shared" si="44"/>
        <v>0</v>
      </c>
      <c r="U10" s="287">
        <f>'Table 5C1A-Madison Prep'!U10</f>
        <v>4203</v>
      </c>
      <c r="V10" s="328">
        <f t="shared" si="33"/>
        <v>0</v>
      </c>
      <c r="W10" s="289">
        <f>'[1]Oct midyear NOMMA'!E7</f>
        <v>0</v>
      </c>
      <c r="X10" s="290">
        <f t="shared" si="45"/>
        <v>0</v>
      </c>
      <c r="Y10" s="289">
        <f>'[1]Feb midyear NOMMA'!E7</f>
        <v>0</v>
      </c>
      <c r="Z10" s="290">
        <f t="shared" si="46"/>
        <v>0</v>
      </c>
      <c r="AA10" s="288">
        <f t="shared" si="34"/>
        <v>0</v>
      </c>
      <c r="AB10" s="324">
        <f t="shared" si="47"/>
        <v>0</v>
      </c>
      <c r="AC10" s="292">
        <f t="shared" si="48"/>
        <v>0</v>
      </c>
      <c r="AD10" s="324">
        <f t="shared" si="49"/>
        <v>0</v>
      </c>
      <c r="AE10" s="293">
        <v>0</v>
      </c>
      <c r="AF10" s="324">
        <f t="shared" si="50"/>
        <v>0</v>
      </c>
      <c r="AG10" s="290">
        <f>'[2]Table 5C1D-NOMMA'!AI10+'[14]Table 5C1D-NOMMA'!AI10+(6*'[20]Table 5C1D-NOMMA'!AI10)</f>
        <v>0</v>
      </c>
      <c r="AH10" s="290">
        <f t="shared" si="51"/>
        <v>0</v>
      </c>
      <c r="AI10" s="328">
        <f t="shared" si="35"/>
        <v>0</v>
      </c>
      <c r="AJ10" s="321">
        <f t="shared" si="52"/>
        <v>0</v>
      </c>
      <c r="AK10" s="342">
        <f t="shared" si="53"/>
        <v>0</v>
      </c>
      <c r="AM10" s="286">
        <v>0</v>
      </c>
      <c r="AN10" s="286">
        <f t="shared" si="54"/>
        <v>0</v>
      </c>
      <c r="AO10" s="286">
        <f t="shared" si="36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2.1.14'!O7</f>
        <v>0</v>
      </c>
      <c r="D11" s="194">
        <f>+'Table 5C1A-Madison Prep'!D11</f>
        <v>5268.940566009911</v>
      </c>
      <c r="E11" s="195">
        <f t="shared" si="37"/>
        <v>0</v>
      </c>
      <c r="F11" s="195">
        <f>+'Table 5C1A-Madison Prep'!F11</f>
        <v>555.91</v>
      </c>
      <c r="G11" s="195">
        <f t="shared" si="38"/>
        <v>0</v>
      </c>
      <c r="H11" s="346">
        <f t="shared" si="39"/>
        <v>0</v>
      </c>
      <c r="I11" s="992">
        <f>'[1]Oct midyear NOMMA'!K8</f>
        <v>0</v>
      </c>
      <c r="J11" s="196">
        <f>'[1]Feb midyear NOMMA'!K8</f>
        <v>0</v>
      </c>
      <c r="K11" s="197">
        <f t="shared" si="40"/>
        <v>0</v>
      </c>
      <c r="L11" s="346">
        <f t="shared" si="31"/>
        <v>0</v>
      </c>
      <c r="M11" s="296">
        <f t="shared" si="41"/>
        <v>0</v>
      </c>
      <c r="N11" s="346">
        <f t="shared" si="55"/>
        <v>0</v>
      </c>
      <c r="O11" s="194">
        <v>0</v>
      </c>
      <c r="P11" s="352">
        <f t="shared" si="42"/>
        <v>0</v>
      </c>
      <c r="Q11" s="622">
        <f>'[2]Table 5C1D-NOMMA'!S11+'[14]Table 5C1D-NOMMA'!S11+(6*'[20]Table 5C1D-NOMMA'!S11)</f>
        <v>0</v>
      </c>
      <c r="R11" s="196">
        <f t="shared" si="43"/>
        <v>0</v>
      </c>
      <c r="S11" s="356">
        <f t="shared" si="32"/>
        <v>0</v>
      </c>
      <c r="T11" s="356">
        <f t="shared" si="44"/>
        <v>0</v>
      </c>
      <c r="U11" s="281">
        <f>'Table 5C1A-Madison Prep'!U11</f>
        <v>1923</v>
      </c>
      <c r="V11" s="329">
        <f t="shared" si="33"/>
        <v>0</v>
      </c>
      <c r="W11" s="884">
        <f>'[1]Oct midyear NOMMA'!E8</f>
        <v>0</v>
      </c>
      <c r="X11" s="282">
        <f t="shared" si="45"/>
        <v>0</v>
      </c>
      <c r="Y11" s="884">
        <f>'[1]Feb midyear NOMMA'!E8</f>
        <v>0</v>
      </c>
      <c r="Z11" s="282">
        <f t="shared" si="46"/>
        <v>0</v>
      </c>
      <c r="AA11" s="283">
        <f t="shared" si="34"/>
        <v>0</v>
      </c>
      <c r="AB11" s="325">
        <f t="shared" si="47"/>
        <v>0</v>
      </c>
      <c r="AC11" s="298">
        <f t="shared" si="48"/>
        <v>0</v>
      </c>
      <c r="AD11" s="325">
        <f t="shared" si="49"/>
        <v>0</v>
      </c>
      <c r="AE11" s="284">
        <v>0</v>
      </c>
      <c r="AF11" s="325">
        <f t="shared" si="50"/>
        <v>0</v>
      </c>
      <c r="AG11" s="282">
        <f>'[2]Table 5C1D-NOMMA'!AI11+'[14]Table 5C1D-NOMMA'!AI11+(6*'[20]Table 5C1D-NOMMA'!AI11)</f>
        <v>0</v>
      </c>
      <c r="AH11" s="282">
        <f t="shared" si="51"/>
        <v>0</v>
      </c>
      <c r="AI11" s="329">
        <f t="shared" si="35"/>
        <v>0</v>
      </c>
      <c r="AJ11" s="338">
        <f t="shared" si="52"/>
        <v>0</v>
      </c>
      <c r="AK11" s="343">
        <f t="shared" si="53"/>
        <v>0</v>
      </c>
      <c r="AM11" s="296">
        <v>0</v>
      </c>
      <c r="AN11" s="296">
        <f t="shared" si="54"/>
        <v>0</v>
      </c>
      <c r="AO11" s="296">
        <f t="shared" si="36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2.1.14'!O8</f>
        <v>0</v>
      </c>
      <c r="D12" s="208">
        <f>+'Table 5C1A-Madison Prep'!D12</f>
        <v>5378.5086124955869</v>
      </c>
      <c r="E12" s="209">
        <f t="shared" si="37"/>
        <v>0</v>
      </c>
      <c r="F12" s="209">
        <f>+'Table 5C1A-Madison Prep'!F12</f>
        <v>545.4799999999999</v>
      </c>
      <c r="G12" s="209">
        <f t="shared" si="38"/>
        <v>0</v>
      </c>
      <c r="H12" s="344">
        <f t="shared" si="39"/>
        <v>0</v>
      </c>
      <c r="I12" s="990">
        <f>'[1]Oct midyear NOMMA'!K9</f>
        <v>0</v>
      </c>
      <c r="J12" s="210">
        <f>'[1]Feb midyear NOMMA'!K9</f>
        <v>0</v>
      </c>
      <c r="K12" s="211">
        <f t="shared" si="40"/>
        <v>0</v>
      </c>
      <c r="L12" s="344">
        <f t="shared" si="31"/>
        <v>0</v>
      </c>
      <c r="M12" s="273">
        <f t="shared" si="41"/>
        <v>0</v>
      </c>
      <c r="N12" s="344">
        <f t="shared" si="55"/>
        <v>0</v>
      </c>
      <c r="O12" s="208">
        <v>0</v>
      </c>
      <c r="P12" s="350">
        <f t="shared" si="42"/>
        <v>0</v>
      </c>
      <c r="Q12" s="210">
        <f>'[2]Table 5C1D-NOMMA'!S12+'[14]Table 5C1D-NOMMA'!S12+(6*'[20]Table 5C1D-NOMMA'!S12)</f>
        <v>0</v>
      </c>
      <c r="R12" s="210">
        <f t="shared" si="43"/>
        <v>0</v>
      </c>
      <c r="S12" s="350">
        <f t="shared" si="32"/>
        <v>0</v>
      </c>
      <c r="T12" s="350">
        <f t="shared" si="44"/>
        <v>0</v>
      </c>
      <c r="U12" s="274">
        <f>'Table 5C1A-Madison Prep'!U12</f>
        <v>4057</v>
      </c>
      <c r="V12" s="327">
        <f t="shared" si="33"/>
        <v>0</v>
      </c>
      <c r="W12" s="883">
        <f>'[1]Oct midyear NOMMA'!E9</f>
        <v>0</v>
      </c>
      <c r="X12" s="276">
        <f t="shared" si="45"/>
        <v>0</v>
      </c>
      <c r="Y12" s="883">
        <f>'[1]Feb midyear NOMMA'!E9</f>
        <v>0</v>
      </c>
      <c r="Z12" s="276">
        <f t="shared" si="46"/>
        <v>0</v>
      </c>
      <c r="AA12" s="275">
        <f t="shared" si="34"/>
        <v>0</v>
      </c>
      <c r="AB12" s="323">
        <f t="shared" si="47"/>
        <v>0</v>
      </c>
      <c r="AC12" s="278">
        <f t="shared" si="48"/>
        <v>0</v>
      </c>
      <c r="AD12" s="323">
        <f t="shared" si="49"/>
        <v>0</v>
      </c>
      <c r="AE12" s="279">
        <v>0</v>
      </c>
      <c r="AF12" s="323">
        <f t="shared" si="50"/>
        <v>0</v>
      </c>
      <c r="AG12" s="276">
        <f>'[2]Table 5C1D-NOMMA'!AI12+'[14]Table 5C1D-NOMMA'!AI12+(6*'[20]Table 5C1D-NOMMA'!AI12)</f>
        <v>0</v>
      </c>
      <c r="AH12" s="276">
        <f t="shared" si="51"/>
        <v>0</v>
      </c>
      <c r="AI12" s="327">
        <f t="shared" si="35"/>
        <v>0</v>
      </c>
      <c r="AJ12" s="337">
        <f t="shared" si="52"/>
        <v>0</v>
      </c>
      <c r="AK12" s="341">
        <f t="shared" si="53"/>
        <v>0</v>
      </c>
      <c r="AM12" s="273">
        <v>0</v>
      </c>
      <c r="AN12" s="273">
        <f t="shared" si="54"/>
        <v>0</v>
      </c>
      <c r="AO12" s="273">
        <f t="shared" si="36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2.1.14'!O9</f>
        <v>0</v>
      </c>
      <c r="D13" s="201">
        <f>+'Table 5C1A-Madison Prep'!D13</f>
        <v>2243.0031963470319</v>
      </c>
      <c r="E13" s="202">
        <f t="shared" si="37"/>
        <v>0</v>
      </c>
      <c r="F13" s="202">
        <f>+'Table 5C1A-Madison Prep'!F13</f>
        <v>756.91999999999985</v>
      </c>
      <c r="G13" s="202">
        <f t="shared" si="38"/>
        <v>0</v>
      </c>
      <c r="H13" s="345">
        <f t="shared" si="39"/>
        <v>0</v>
      </c>
      <c r="I13" s="991">
        <f>'[1]Oct midyear NOMMA'!K10</f>
        <v>0</v>
      </c>
      <c r="J13" s="203">
        <f>'[1]Feb midyear NOMMA'!K10</f>
        <v>0</v>
      </c>
      <c r="K13" s="204">
        <f t="shared" si="40"/>
        <v>0</v>
      </c>
      <c r="L13" s="345">
        <f t="shared" si="31"/>
        <v>0</v>
      </c>
      <c r="M13" s="286">
        <f t="shared" si="41"/>
        <v>0</v>
      </c>
      <c r="N13" s="345">
        <f t="shared" si="55"/>
        <v>0</v>
      </c>
      <c r="O13" s="201">
        <v>0</v>
      </c>
      <c r="P13" s="351">
        <f t="shared" si="42"/>
        <v>0</v>
      </c>
      <c r="Q13" s="203">
        <f>'[2]Table 5C1D-NOMMA'!S13+'[14]Table 5C1D-NOMMA'!S13+(6*'[20]Table 5C1D-NOMMA'!S13)</f>
        <v>0</v>
      </c>
      <c r="R13" s="203">
        <f t="shared" si="43"/>
        <v>0</v>
      </c>
      <c r="S13" s="351">
        <f t="shared" si="32"/>
        <v>0</v>
      </c>
      <c r="T13" s="351">
        <f t="shared" si="44"/>
        <v>0</v>
      </c>
      <c r="U13" s="287">
        <f>'Table 5C1A-Madison Prep'!U13</f>
        <v>12112</v>
      </c>
      <c r="V13" s="328">
        <f t="shared" si="33"/>
        <v>0</v>
      </c>
      <c r="W13" s="289">
        <f>'[1]Oct midyear NOMMA'!E10</f>
        <v>0</v>
      </c>
      <c r="X13" s="290">
        <f t="shared" si="45"/>
        <v>0</v>
      </c>
      <c r="Y13" s="289">
        <f>'[1]Feb midyear NOMMA'!E10</f>
        <v>0</v>
      </c>
      <c r="Z13" s="290">
        <f t="shared" si="46"/>
        <v>0</v>
      </c>
      <c r="AA13" s="288">
        <f t="shared" si="34"/>
        <v>0</v>
      </c>
      <c r="AB13" s="324">
        <f t="shared" si="47"/>
        <v>0</v>
      </c>
      <c r="AC13" s="292">
        <f t="shared" si="48"/>
        <v>0</v>
      </c>
      <c r="AD13" s="324">
        <f t="shared" si="49"/>
        <v>0</v>
      </c>
      <c r="AE13" s="293">
        <v>0</v>
      </c>
      <c r="AF13" s="324">
        <f t="shared" si="50"/>
        <v>0</v>
      </c>
      <c r="AG13" s="290">
        <f>'[2]Table 5C1D-NOMMA'!AI13+'[14]Table 5C1D-NOMMA'!AI13+(6*'[20]Table 5C1D-NOMMA'!AI13)</f>
        <v>0</v>
      </c>
      <c r="AH13" s="290">
        <f t="shared" si="51"/>
        <v>0</v>
      </c>
      <c r="AI13" s="328">
        <f t="shared" si="35"/>
        <v>0</v>
      </c>
      <c r="AJ13" s="321">
        <f t="shared" si="52"/>
        <v>0</v>
      </c>
      <c r="AK13" s="342">
        <f t="shared" si="53"/>
        <v>0</v>
      </c>
      <c r="AM13" s="286">
        <v>0</v>
      </c>
      <c r="AN13" s="286">
        <f t="shared" si="54"/>
        <v>0</v>
      </c>
      <c r="AO13" s="286">
        <f t="shared" si="36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2.1.14'!O10</f>
        <v>0</v>
      </c>
      <c r="D14" s="201">
        <f>+'Table 5C1A-Madison Prep'!D14</f>
        <v>4669.802459558854</v>
      </c>
      <c r="E14" s="202">
        <f t="shared" si="37"/>
        <v>0</v>
      </c>
      <c r="F14" s="202">
        <f>+'Table 5C1A-Madison Prep'!F14</f>
        <v>725.76</v>
      </c>
      <c r="G14" s="202">
        <f t="shared" si="38"/>
        <v>0</v>
      </c>
      <c r="H14" s="345">
        <f t="shared" si="39"/>
        <v>0</v>
      </c>
      <c r="I14" s="991">
        <f>'[1]Oct midyear NOMMA'!K11</f>
        <v>0</v>
      </c>
      <c r="J14" s="203">
        <f>'[1]Feb midyear NOMMA'!K11</f>
        <v>0</v>
      </c>
      <c r="K14" s="204">
        <f t="shared" si="40"/>
        <v>0</v>
      </c>
      <c r="L14" s="345">
        <f t="shared" si="31"/>
        <v>0</v>
      </c>
      <c r="M14" s="286">
        <f t="shared" si="41"/>
        <v>0</v>
      </c>
      <c r="N14" s="345">
        <f t="shared" si="55"/>
        <v>0</v>
      </c>
      <c r="O14" s="201">
        <v>0</v>
      </c>
      <c r="P14" s="351">
        <f t="shared" si="42"/>
        <v>0</v>
      </c>
      <c r="Q14" s="203">
        <f>'[2]Table 5C1D-NOMMA'!S14+'[14]Table 5C1D-NOMMA'!S14+(6*'[20]Table 5C1D-NOMMA'!S14)</f>
        <v>0</v>
      </c>
      <c r="R14" s="203">
        <f t="shared" si="43"/>
        <v>0</v>
      </c>
      <c r="S14" s="351">
        <f t="shared" si="32"/>
        <v>0</v>
      </c>
      <c r="T14" s="351">
        <f t="shared" si="44"/>
        <v>0</v>
      </c>
      <c r="U14" s="287">
        <f>'Table 5C1A-Madison Prep'!U14</f>
        <v>4124</v>
      </c>
      <c r="V14" s="328">
        <f t="shared" si="33"/>
        <v>0</v>
      </c>
      <c r="W14" s="289">
        <f>'[1]Oct midyear NOMMA'!E11</f>
        <v>0</v>
      </c>
      <c r="X14" s="290">
        <f t="shared" si="45"/>
        <v>0</v>
      </c>
      <c r="Y14" s="289">
        <f>'[1]Feb midyear NOMMA'!E11</f>
        <v>0</v>
      </c>
      <c r="Z14" s="290">
        <f t="shared" si="46"/>
        <v>0</v>
      </c>
      <c r="AA14" s="288">
        <f t="shared" si="34"/>
        <v>0</v>
      </c>
      <c r="AB14" s="324">
        <f t="shared" si="47"/>
        <v>0</v>
      </c>
      <c r="AC14" s="292">
        <f t="shared" si="48"/>
        <v>0</v>
      </c>
      <c r="AD14" s="324">
        <f t="shared" si="49"/>
        <v>0</v>
      </c>
      <c r="AE14" s="293">
        <v>0</v>
      </c>
      <c r="AF14" s="324">
        <f t="shared" si="50"/>
        <v>0</v>
      </c>
      <c r="AG14" s="290">
        <f>'[2]Table 5C1D-NOMMA'!AI14+'[14]Table 5C1D-NOMMA'!AI14+(6*'[20]Table 5C1D-NOMMA'!AI14)</f>
        <v>0</v>
      </c>
      <c r="AH14" s="290">
        <f t="shared" si="51"/>
        <v>0</v>
      </c>
      <c r="AI14" s="328">
        <f t="shared" si="35"/>
        <v>0</v>
      </c>
      <c r="AJ14" s="321">
        <f t="shared" si="52"/>
        <v>0</v>
      </c>
      <c r="AK14" s="342">
        <f t="shared" si="53"/>
        <v>0</v>
      </c>
      <c r="AM14" s="286">
        <v>0</v>
      </c>
      <c r="AN14" s="286">
        <f t="shared" si="54"/>
        <v>0</v>
      </c>
      <c r="AO14" s="286">
        <f t="shared" si="36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2.1.14'!O11</f>
        <v>0</v>
      </c>
      <c r="D15" s="201">
        <f>+'Table 5C1A-Madison Prep'!D15</f>
        <v>4632.4615072045008</v>
      </c>
      <c r="E15" s="202">
        <f t="shared" si="37"/>
        <v>0</v>
      </c>
      <c r="F15" s="202">
        <f>+'Table 5C1A-Madison Prep'!F15</f>
        <v>744.76</v>
      </c>
      <c r="G15" s="202">
        <f t="shared" si="38"/>
        <v>0</v>
      </c>
      <c r="H15" s="345">
        <f t="shared" si="39"/>
        <v>0</v>
      </c>
      <c r="I15" s="991">
        <f>'[1]Oct midyear NOMMA'!K12</f>
        <v>0</v>
      </c>
      <c r="J15" s="203">
        <f>'[1]Feb midyear NOMMA'!K12</f>
        <v>0</v>
      </c>
      <c r="K15" s="204">
        <f t="shared" si="40"/>
        <v>0</v>
      </c>
      <c r="L15" s="345">
        <f t="shared" si="31"/>
        <v>0</v>
      </c>
      <c r="M15" s="286">
        <f t="shared" si="41"/>
        <v>0</v>
      </c>
      <c r="N15" s="345">
        <f t="shared" si="55"/>
        <v>0</v>
      </c>
      <c r="O15" s="201">
        <v>0</v>
      </c>
      <c r="P15" s="351">
        <f t="shared" si="42"/>
        <v>0</v>
      </c>
      <c r="Q15" s="203">
        <f>'[2]Table 5C1D-NOMMA'!S15+'[14]Table 5C1D-NOMMA'!S15+(6*'[20]Table 5C1D-NOMMA'!S15)</f>
        <v>0</v>
      </c>
      <c r="R15" s="203">
        <f t="shared" si="43"/>
        <v>0</v>
      </c>
      <c r="S15" s="351">
        <f t="shared" si="32"/>
        <v>0</v>
      </c>
      <c r="T15" s="351">
        <f t="shared" si="44"/>
        <v>0</v>
      </c>
      <c r="U15" s="287">
        <f>'Table 5C1A-Madison Prep'!U15</f>
        <v>4901</v>
      </c>
      <c r="V15" s="328">
        <f t="shared" si="33"/>
        <v>0</v>
      </c>
      <c r="W15" s="289">
        <f>'[1]Oct midyear NOMMA'!E12</f>
        <v>0</v>
      </c>
      <c r="X15" s="290">
        <f t="shared" si="45"/>
        <v>0</v>
      </c>
      <c r="Y15" s="289">
        <f>'[1]Feb midyear NOMMA'!E12</f>
        <v>0</v>
      </c>
      <c r="Z15" s="290">
        <f t="shared" si="46"/>
        <v>0</v>
      </c>
      <c r="AA15" s="288">
        <f t="shared" si="34"/>
        <v>0</v>
      </c>
      <c r="AB15" s="324">
        <f t="shared" si="47"/>
        <v>0</v>
      </c>
      <c r="AC15" s="292">
        <f t="shared" si="48"/>
        <v>0</v>
      </c>
      <c r="AD15" s="324">
        <f t="shared" si="49"/>
        <v>0</v>
      </c>
      <c r="AE15" s="293">
        <v>0</v>
      </c>
      <c r="AF15" s="324">
        <f t="shared" si="50"/>
        <v>0</v>
      </c>
      <c r="AG15" s="290">
        <f>'[2]Table 5C1D-NOMMA'!AI15+'[14]Table 5C1D-NOMMA'!AI15+(6*'[20]Table 5C1D-NOMMA'!AI15)</f>
        <v>0</v>
      </c>
      <c r="AH15" s="290">
        <f t="shared" si="51"/>
        <v>0</v>
      </c>
      <c r="AI15" s="328">
        <f t="shared" si="35"/>
        <v>0</v>
      </c>
      <c r="AJ15" s="321">
        <f t="shared" si="52"/>
        <v>0</v>
      </c>
      <c r="AK15" s="342">
        <f t="shared" si="53"/>
        <v>0</v>
      </c>
      <c r="AM15" s="286">
        <v>0</v>
      </c>
      <c r="AN15" s="286">
        <f t="shared" si="54"/>
        <v>0</v>
      </c>
      <c r="AO15" s="286">
        <f t="shared" si="36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2.1.14'!O12</f>
        <v>0</v>
      </c>
      <c r="D16" s="194">
        <f>+'Table 5C1A-Madison Prep'!D16</f>
        <v>4384.374733918472</v>
      </c>
      <c r="E16" s="195">
        <f t="shared" si="37"/>
        <v>0</v>
      </c>
      <c r="F16" s="195">
        <f>+'Table 5C1A-Madison Prep'!F16</f>
        <v>608.04000000000008</v>
      </c>
      <c r="G16" s="195">
        <f t="shared" si="38"/>
        <v>0</v>
      </c>
      <c r="H16" s="346">
        <f t="shared" si="39"/>
        <v>0</v>
      </c>
      <c r="I16" s="992">
        <f>'[1]Oct midyear NOMMA'!K13</f>
        <v>0</v>
      </c>
      <c r="J16" s="196">
        <f>'[1]Feb midyear NOMMA'!K13</f>
        <v>0</v>
      </c>
      <c r="K16" s="197">
        <f t="shared" si="40"/>
        <v>0</v>
      </c>
      <c r="L16" s="346">
        <f t="shared" si="31"/>
        <v>0</v>
      </c>
      <c r="M16" s="296">
        <f t="shared" si="41"/>
        <v>0</v>
      </c>
      <c r="N16" s="346">
        <f t="shared" si="55"/>
        <v>0</v>
      </c>
      <c r="O16" s="194">
        <v>0</v>
      </c>
      <c r="P16" s="352">
        <f t="shared" si="42"/>
        <v>0</v>
      </c>
      <c r="Q16" s="622">
        <f>'[2]Table 5C1D-NOMMA'!S16+'[14]Table 5C1D-NOMMA'!S16+(6*'[20]Table 5C1D-NOMMA'!S16)</f>
        <v>0</v>
      </c>
      <c r="R16" s="196">
        <f t="shared" si="43"/>
        <v>0</v>
      </c>
      <c r="S16" s="356">
        <f t="shared" si="32"/>
        <v>0</v>
      </c>
      <c r="T16" s="356">
        <f t="shared" si="44"/>
        <v>0</v>
      </c>
      <c r="U16" s="281">
        <f>'Table 5C1A-Madison Prep'!U16</f>
        <v>4619</v>
      </c>
      <c r="V16" s="329">
        <f t="shared" si="33"/>
        <v>0</v>
      </c>
      <c r="W16" s="884">
        <f>'[1]Oct midyear NOMMA'!E13</f>
        <v>0</v>
      </c>
      <c r="X16" s="282">
        <f t="shared" si="45"/>
        <v>0</v>
      </c>
      <c r="Y16" s="884">
        <f>'[1]Feb midyear NOMMA'!E13</f>
        <v>0</v>
      </c>
      <c r="Z16" s="282">
        <f t="shared" si="46"/>
        <v>0</v>
      </c>
      <c r="AA16" s="283">
        <f t="shared" si="34"/>
        <v>0</v>
      </c>
      <c r="AB16" s="325">
        <f t="shared" si="47"/>
        <v>0</v>
      </c>
      <c r="AC16" s="298">
        <f t="shared" si="48"/>
        <v>0</v>
      </c>
      <c r="AD16" s="325">
        <f t="shared" si="49"/>
        <v>0</v>
      </c>
      <c r="AE16" s="284">
        <v>0</v>
      </c>
      <c r="AF16" s="325">
        <f t="shared" si="50"/>
        <v>0</v>
      </c>
      <c r="AG16" s="282">
        <f>'[2]Table 5C1D-NOMMA'!AI16+'[14]Table 5C1D-NOMMA'!AI16+(6*'[20]Table 5C1D-NOMMA'!AI16)</f>
        <v>0</v>
      </c>
      <c r="AH16" s="282">
        <f t="shared" si="51"/>
        <v>0</v>
      </c>
      <c r="AI16" s="329">
        <f t="shared" si="35"/>
        <v>0</v>
      </c>
      <c r="AJ16" s="338">
        <f t="shared" si="52"/>
        <v>0</v>
      </c>
      <c r="AK16" s="343">
        <f t="shared" si="53"/>
        <v>0</v>
      </c>
      <c r="AM16" s="296">
        <v>0</v>
      </c>
      <c r="AN16" s="296">
        <f t="shared" si="54"/>
        <v>0</v>
      </c>
      <c r="AO16" s="296">
        <f t="shared" si="36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2.1.14'!O13</f>
        <v>0</v>
      </c>
      <c r="D17" s="208">
        <f>+'Table 5C1A-Madison Prep'!D17</f>
        <v>7098.5372236353351</v>
      </c>
      <c r="E17" s="209">
        <f t="shared" si="37"/>
        <v>0</v>
      </c>
      <c r="F17" s="209">
        <f>+'Table 5C1A-Madison Prep'!F17</f>
        <v>706.55</v>
      </c>
      <c r="G17" s="209">
        <f t="shared" si="38"/>
        <v>0</v>
      </c>
      <c r="H17" s="344">
        <f t="shared" si="39"/>
        <v>0</v>
      </c>
      <c r="I17" s="990">
        <f>'[1]Oct midyear NOMMA'!K14</f>
        <v>0</v>
      </c>
      <c r="J17" s="210">
        <f>'[1]Feb midyear NOMMA'!K14</f>
        <v>0</v>
      </c>
      <c r="K17" s="211">
        <f t="shared" si="40"/>
        <v>0</v>
      </c>
      <c r="L17" s="344">
        <f t="shared" si="31"/>
        <v>0</v>
      </c>
      <c r="M17" s="273">
        <f t="shared" si="41"/>
        <v>0</v>
      </c>
      <c r="N17" s="344">
        <f t="shared" si="55"/>
        <v>0</v>
      </c>
      <c r="O17" s="208">
        <v>0</v>
      </c>
      <c r="P17" s="350">
        <f t="shared" si="42"/>
        <v>0</v>
      </c>
      <c r="Q17" s="210">
        <f>'[2]Table 5C1D-NOMMA'!S17+'[14]Table 5C1D-NOMMA'!S17+(6*'[20]Table 5C1D-NOMMA'!S17)</f>
        <v>0</v>
      </c>
      <c r="R17" s="210">
        <f t="shared" si="43"/>
        <v>0</v>
      </c>
      <c r="S17" s="350">
        <f t="shared" si="32"/>
        <v>0</v>
      </c>
      <c r="T17" s="350">
        <f t="shared" si="44"/>
        <v>0</v>
      </c>
      <c r="U17" s="274">
        <f>'Table 5C1A-Madison Prep'!U17</f>
        <v>3580</v>
      </c>
      <c r="V17" s="327">
        <f t="shared" si="33"/>
        <v>0</v>
      </c>
      <c r="W17" s="883">
        <f>'[1]Oct midyear NOMMA'!E14</f>
        <v>0</v>
      </c>
      <c r="X17" s="276">
        <f t="shared" si="45"/>
        <v>0</v>
      </c>
      <c r="Y17" s="883">
        <f>'[1]Feb midyear NOMMA'!E14</f>
        <v>0</v>
      </c>
      <c r="Z17" s="276">
        <f t="shared" si="46"/>
        <v>0</v>
      </c>
      <c r="AA17" s="275">
        <f t="shared" si="34"/>
        <v>0</v>
      </c>
      <c r="AB17" s="323">
        <f t="shared" si="47"/>
        <v>0</v>
      </c>
      <c r="AC17" s="278">
        <f t="shared" si="48"/>
        <v>0</v>
      </c>
      <c r="AD17" s="323">
        <f t="shared" si="49"/>
        <v>0</v>
      </c>
      <c r="AE17" s="279">
        <v>0</v>
      </c>
      <c r="AF17" s="323">
        <f t="shared" si="50"/>
        <v>0</v>
      </c>
      <c r="AG17" s="276">
        <f>'[2]Table 5C1D-NOMMA'!AI17+'[14]Table 5C1D-NOMMA'!AI17+(6*'[20]Table 5C1D-NOMMA'!AI17)</f>
        <v>0</v>
      </c>
      <c r="AH17" s="276">
        <f t="shared" si="51"/>
        <v>0</v>
      </c>
      <c r="AI17" s="327">
        <f t="shared" si="35"/>
        <v>0</v>
      </c>
      <c r="AJ17" s="337">
        <f t="shared" si="52"/>
        <v>0</v>
      </c>
      <c r="AK17" s="341">
        <f t="shared" si="53"/>
        <v>0</v>
      </c>
      <c r="AM17" s="273">
        <v>0</v>
      </c>
      <c r="AN17" s="273">
        <f t="shared" si="54"/>
        <v>0</v>
      </c>
      <c r="AO17" s="273">
        <f t="shared" si="36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2.1.14'!O14</f>
        <v>0</v>
      </c>
      <c r="D18" s="201">
        <f>+'Table 5C1A-Madison Prep'!D18</f>
        <v>1666.6040983606558</v>
      </c>
      <c r="E18" s="202">
        <f t="shared" si="37"/>
        <v>0</v>
      </c>
      <c r="F18" s="202">
        <f>+'Table 5C1A-Madison Prep'!F18</f>
        <v>1063.31</v>
      </c>
      <c r="G18" s="202">
        <f t="shared" si="38"/>
        <v>0</v>
      </c>
      <c r="H18" s="345">
        <f t="shared" si="39"/>
        <v>0</v>
      </c>
      <c r="I18" s="991">
        <f>'[1]Oct midyear NOMMA'!K15</f>
        <v>0</v>
      </c>
      <c r="J18" s="203">
        <f>'[1]Feb midyear NOMMA'!K15</f>
        <v>0</v>
      </c>
      <c r="K18" s="204">
        <f t="shared" si="40"/>
        <v>0</v>
      </c>
      <c r="L18" s="345">
        <f t="shared" si="31"/>
        <v>0</v>
      </c>
      <c r="M18" s="286">
        <f t="shared" si="41"/>
        <v>0</v>
      </c>
      <c r="N18" s="345">
        <f t="shared" si="55"/>
        <v>0</v>
      </c>
      <c r="O18" s="201">
        <v>0</v>
      </c>
      <c r="P18" s="351">
        <f t="shared" si="42"/>
        <v>0</v>
      </c>
      <c r="Q18" s="203">
        <f>'[2]Table 5C1D-NOMMA'!S18+'[14]Table 5C1D-NOMMA'!S18+(6*'[20]Table 5C1D-NOMMA'!S18)</f>
        <v>0</v>
      </c>
      <c r="R18" s="203">
        <f t="shared" si="43"/>
        <v>0</v>
      </c>
      <c r="S18" s="351">
        <f t="shared" si="32"/>
        <v>0</v>
      </c>
      <c r="T18" s="351">
        <f t="shared" si="44"/>
        <v>0</v>
      </c>
      <c r="U18" s="287">
        <f>'Table 5C1A-Madison Prep'!U18</f>
        <v>8094</v>
      </c>
      <c r="V18" s="328">
        <f t="shared" si="33"/>
        <v>0</v>
      </c>
      <c r="W18" s="289">
        <f>'[1]Oct midyear NOMMA'!E15</f>
        <v>0</v>
      </c>
      <c r="X18" s="290">
        <f t="shared" si="45"/>
        <v>0</v>
      </c>
      <c r="Y18" s="289">
        <f>'[1]Feb midyear NOMMA'!E15</f>
        <v>0</v>
      </c>
      <c r="Z18" s="290">
        <f t="shared" si="46"/>
        <v>0</v>
      </c>
      <c r="AA18" s="288">
        <f t="shared" si="34"/>
        <v>0</v>
      </c>
      <c r="AB18" s="324">
        <f t="shared" si="47"/>
        <v>0</v>
      </c>
      <c r="AC18" s="292">
        <f t="shared" si="48"/>
        <v>0</v>
      </c>
      <c r="AD18" s="324">
        <f t="shared" si="49"/>
        <v>0</v>
      </c>
      <c r="AE18" s="293">
        <v>0</v>
      </c>
      <c r="AF18" s="324">
        <f t="shared" si="50"/>
        <v>0</v>
      </c>
      <c r="AG18" s="290">
        <f>'[2]Table 5C1D-NOMMA'!AI18+'[14]Table 5C1D-NOMMA'!AI18+(6*'[20]Table 5C1D-NOMMA'!AI18)</f>
        <v>0</v>
      </c>
      <c r="AH18" s="290">
        <f t="shared" si="51"/>
        <v>0</v>
      </c>
      <c r="AI18" s="328">
        <f t="shared" si="35"/>
        <v>0</v>
      </c>
      <c r="AJ18" s="321">
        <f t="shared" si="52"/>
        <v>0</v>
      </c>
      <c r="AK18" s="342">
        <f t="shared" si="53"/>
        <v>0</v>
      </c>
      <c r="AM18" s="286">
        <v>0</v>
      </c>
      <c r="AN18" s="286">
        <f t="shared" si="54"/>
        <v>0</v>
      </c>
      <c r="AO18" s="286">
        <f t="shared" si="36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2.1.14'!O15</f>
        <v>0</v>
      </c>
      <c r="D19" s="201">
        <f>+'Table 5C1A-Madison Prep'!D19</f>
        <v>6433.6297758332212</v>
      </c>
      <c r="E19" s="202">
        <f t="shared" si="37"/>
        <v>0</v>
      </c>
      <c r="F19" s="202">
        <f>+'Table 5C1A-Madison Prep'!F19</f>
        <v>749.43000000000006</v>
      </c>
      <c r="G19" s="202">
        <f t="shared" si="38"/>
        <v>0</v>
      </c>
      <c r="H19" s="345">
        <f t="shared" si="39"/>
        <v>0</v>
      </c>
      <c r="I19" s="991">
        <f>'[1]Oct midyear NOMMA'!K16</f>
        <v>0</v>
      </c>
      <c r="J19" s="203">
        <f>'[1]Feb midyear NOMMA'!K16</f>
        <v>0</v>
      </c>
      <c r="K19" s="204">
        <f t="shared" si="40"/>
        <v>0</v>
      </c>
      <c r="L19" s="345">
        <f t="shared" si="31"/>
        <v>0</v>
      </c>
      <c r="M19" s="286">
        <f t="shared" si="41"/>
        <v>0</v>
      </c>
      <c r="N19" s="345">
        <f t="shared" si="55"/>
        <v>0</v>
      </c>
      <c r="O19" s="201">
        <v>0</v>
      </c>
      <c r="P19" s="351">
        <f t="shared" si="42"/>
        <v>0</v>
      </c>
      <c r="Q19" s="203">
        <f>'[2]Table 5C1D-NOMMA'!S19+'[14]Table 5C1D-NOMMA'!S19+(6*'[20]Table 5C1D-NOMMA'!S19)</f>
        <v>0</v>
      </c>
      <c r="R19" s="203">
        <f t="shared" si="43"/>
        <v>0</v>
      </c>
      <c r="S19" s="351">
        <f t="shared" si="32"/>
        <v>0</v>
      </c>
      <c r="T19" s="351">
        <f t="shared" si="44"/>
        <v>0</v>
      </c>
      <c r="U19" s="287">
        <f>'Table 5C1A-Madison Prep'!U19</f>
        <v>2762</v>
      </c>
      <c r="V19" s="328">
        <f t="shared" si="33"/>
        <v>0</v>
      </c>
      <c r="W19" s="289">
        <f>'[1]Oct midyear NOMMA'!E16</f>
        <v>0</v>
      </c>
      <c r="X19" s="290">
        <f t="shared" si="45"/>
        <v>0</v>
      </c>
      <c r="Y19" s="289">
        <f>'[1]Feb midyear NOMMA'!E16</f>
        <v>0</v>
      </c>
      <c r="Z19" s="290">
        <f t="shared" si="46"/>
        <v>0</v>
      </c>
      <c r="AA19" s="288">
        <f t="shared" si="34"/>
        <v>0</v>
      </c>
      <c r="AB19" s="324">
        <f t="shared" si="47"/>
        <v>0</v>
      </c>
      <c r="AC19" s="292">
        <f t="shared" si="48"/>
        <v>0</v>
      </c>
      <c r="AD19" s="324">
        <f t="shared" si="49"/>
        <v>0</v>
      </c>
      <c r="AE19" s="293">
        <v>0</v>
      </c>
      <c r="AF19" s="324">
        <f t="shared" si="50"/>
        <v>0</v>
      </c>
      <c r="AG19" s="290">
        <f>'[2]Table 5C1D-NOMMA'!AI19+'[14]Table 5C1D-NOMMA'!AI19+(6*'[20]Table 5C1D-NOMMA'!AI19)</f>
        <v>0</v>
      </c>
      <c r="AH19" s="290">
        <f t="shared" si="51"/>
        <v>0</v>
      </c>
      <c r="AI19" s="328">
        <f t="shared" si="35"/>
        <v>0</v>
      </c>
      <c r="AJ19" s="321">
        <f t="shared" si="52"/>
        <v>0</v>
      </c>
      <c r="AK19" s="342">
        <f t="shared" si="53"/>
        <v>0</v>
      </c>
      <c r="AM19" s="286">
        <v>0</v>
      </c>
      <c r="AN19" s="286">
        <f t="shared" si="54"/>
        <v>0</v>
      </c>
      <c r="AO19" s="286">
        <f t="shared" si="36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2.1.14'!O16</f>
        <v>0</v>
      </c>
      <c r="D20" s="201">
        <f>+'Table 5C1A-Madison Prep'!D20</f>
        <v>5334.9509412500001</v>
      </c>
      <c r="E20" s="202">
        <f t="shared" si="37"/>
        <v>0</v>
      </c>
      <c r="F20" s="202">
        <f>+'Table 5C1A-Madison Prep'!F20</f>
        <v>809.9799999999999</v>
      </c>
      <c r="G20" s="202">
        <f t="shared" si="38"/>
        <v>0</v>
      </c>
      <c r="H20" s="345">
        <f t="shared" si="39"/>
        <v>0</v>
      </c>
      <c r="I20" s="991">
        <f>'[1]Oct midyear NOMMA'!K17</f>
        <v>0</v>
      </c>
      <c r="J20" s="203">
        <f>'[1]Feb midyear NOMMA'!K17</f>
        <v>0</v>
      </c>
      <c r="K20" s="204">
        <f t="shared" si="40"/>
        <v>0</v>
      </c>
      <c r="L20" s="345">
        <f t="shared" si="31"/>
        <v>0</v>
      </c>
      <c r="M20" s="286">
        <f t="shared" si="41"/>
        <v>0</v>
      </c>
      <c r="N20" s="345">
        <f t="shared" si="55"/>
        <v>0</v>
      </c>
      <c r="O20" s="201">
        <v>0</v>
      </c>
      <c r="P20" s="351">
        <f t="shared" si="42"/>
        <v>0</v>
      </c>
      <c r="Q20" s="203">
        <f>'[2]Table 5C1D-NOMMA'!S20+'[14]Table 5C1D-NOMMA'!S20+(6*'[20]Table 5C1D-NOMMA'!S20)</f>
        <v>0</v>
      </c>
      <c r="R20" s="203">
        <f t="shared" si="43"/>
        <v>0</v>
      </c>
      <c r="S20" s="351">
        <f t="shared" si="32"/>
        <v>0</v>
      </c>
      <c r="T20" s="351">
        <f t="shared" si="44"/>
        <v>0</v>
      </c>
      <c r="U20" s="287">
        <f>'Table 5C1A-Madison Prep'!U20</f>
        <v>4171</v>
      </c>
      <c r="V20" s="328">
        <f t="shared" si="33"/>
        <v>0</v>
      </c>
      <c r="W20" s="289">
        <f>'[1]Oct midyear NOMMA'!E17</f>
        <v>0</v>
      </c>
      <c r="X20" s="290">
        <f t="shared" si="45"/>
        <v>0</v>
      </c>
      <c r="Y20" s="289">
        <f>'[1]Feb midyear NOMMA'!E17</f>
        <v>0</v>
      </c>
      <c r="Z20" s="290">
        <f t="shared" si="46"/>
        <v>0</v>
      </c>
      <c r="AA20" s="288">
        <f t="shared" si="34"/>
        <v>0</v>
      </c>
      <c r="AB20" s="324">
        <f t="shared" si="47"/>
        <v>0</v>
      </c>
      <c r="AC20" s="292">
        <f t="shared" si="48"/>
        <v>0</v>
      </c>
      <c r="AD20" s="324">
        <f t="shared" si="49"/>
        <v>0</v>
      </c>
      <c r="AE20" s="293">
        <v>0</v>
      </c>
      <c r="AF20" s="324">
        <f t="shared" si="50"/>
        <v>0</v>
      </c>
      <c r="AG20" s="290">
        <f>'[2]Table 5C1D-NOMMA'!AI20+'[14]Table 5C1D-NOMMA'!AI20+(6*'[20]Table 5C1D-NOMMA'!AI20)</f>
        <v>0</v>
      </c>
      <c r="AH20" s="290">
        <f t="shared" si="51"/>
        <v>0</v>
      </c>
      <c r="AI20" s="328">
        <f t="shared" si="35"/>
        <v>0</v>
      </c>
      <c r="AJ20" s="321">
        <f t="shared" si="52"/>
        <v>0</v>
      </c>
      <c r="AK20" s="342">
        <f t="shared" si="53"/>
        <v>0</v>
      </c>
      <c r="AM20" s="286">
        <v>0</v>
      </c>
      <c r="AN20" s="286">
        <f t="shared" si="54"/>
        <v>0</v>
      </c>
      <c r="AO20" s="286">
        <f t="shared" si="36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2.1.14'!O17</f>
        <v>0</v>
      </c>
      <c r="D21" s="194">
        <f>+'Table 5C1A-Madison Prep'!D21</f>
        <v>5749.8285214059952</v>
      </c>
      <c r="E21" s="195">
        <f t="shared" si="37"/>
        <v>0</v>
      </c>
      <c r="F21" s="195">
        <f>+'Table 5C1A-Madison Prep'!F21</f>
        <v>553.79999999999995</v>
      </c>
      <c r="G21" s="195">
        <f t="shared" si="38"/>
        <v>0</v>
      </c>
      <c r="H21" s="346">
        <f t="shared" si="39"/>
        <v>0</v>
      </c>
      <c r="I21" s="992">
        <f>'[1]Oct midyear NOMMA'!K18</f>
        <v>0</v>
      </c>
      <c r="J21" s="196">
        <f>'[1]Feb midyear NOMMA'!K18</f>
        <v>0</v>
      </c>
      <c r="K21" s="197">
        <f t="shared" si="40"/>
        <v>0</v>
      </c>
      <c r="L21" s="346">
        <f t="shared" si="31"/>
        <v>0</v>
      </c>
      <c r="M21" s="296">
        <f t="shared" si="41"/>
        <v>0</v>
      </c>
      <c r="N21" s="346">
        <f t="shared" si="55"/>
        <v>0</v>
      </c>
      <c r="O21" s="194">
        <v>0</v>
      </c>
      <c r="P21" s="352">
        <f t="shared" si="42"/>
        <v>0</v>
      </c>
      <c r="Q21" s="622">
        <f>'[2]Table 5C1D-NOMMA'!S21+'[14]Table 5C1D-NOMMA'!S21+(6*'[20]Table 5C1D-NOMMA'!S21)</f>
        <v>0</v>
      </c>
      <c r="R21" s="196">
        <f t="shared" si="43"/>
        <v>0</v>
      </c>
      <c r="S21" s="356">
        <f t="shared" si="32"/>
        <v>0</v>
      </c>
      <c r="T21" s="356">
        <f t="shared" si="44"/>
        <v>0</v>
      </c>
      <c r="U21" s="281">
        <f>'Table 5C1A-Madison Prep'!U21</f>
        <v>2880</v>
      </c>
      <c r="V21" s="329">
        <f t="shared" si="33"/>
        <v>0</v>
      </c>
      <c r="W21" s="884">
        <f>'[1]Oct midyear NOMMA'!E18</f>
        <v>0</v>
      </c>
      <c r="X21" s="282">
        <f t="shared" si="45"/>
        <v>0</v>
      </c>
      <c r="Y21" s="884">
        <f>'[1]Feb midyear NOMMA'!E18</f>
        <v>0</v>
      </c>
      <c r="Z21" s="282">
        <f t="shared" si="46"/>
        <v>0</v>
      </c>
      <c r="AA21" s="283">
        <f t="shared" si="34"/>
        <v>0</v>
      </c>
      <c r="AB21" s="325">
        <f t="shared" si="47"/>
        <v>0</v>
      </c>
      <c r="AC21" s="298">
        <f t="shared" si="48"/>
        <v>0</v>
      </c>
      <c r="AD21" s="325">
        <f t="shared" si="49"/>
        <v>0</v>
      </c>
      <c r="AE21" s="284">
        <v>0</v>
      </c>
      <c r="AF21" s="325">
        <f t="shared" si="50"/>
        <v>0</v>
      </c>
      <c r="AG21" s="282">
        <f>'[2]Table 5C1D-NOMMA'!AI21+'[14]Table 5C1D-NOMMA'!AI21+(6*'[20]Table 5C1D-NOMMA'!AI21)</f>
        <v>0</v>
      </c>
      <c r="AH21" s="282">
        <f t="shared" si="51"/>
        <v>0</v>
      </c>
      <c r="AI21" s="329">
        <f t="shared" si="35"/>
        <v>0</v>
      </c>
      <c r="AJ21" s="338">
        <f t="shared" si="52"/>
        <v>0</v>
      </c>
      <c r="AK21" s="343">
        <f t="shared" si="53"/>
        <v>0</v>
      </c>
      <c r="AM21" s="296">
        <v>0</v>
      </c>
      <c r="AN21" s="296">
        <f t="shared" si="54"/>
        <v>0</v>
      </c>
      <c r="AO21" s="296">
        <f t="shared" si="36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2.1.14'!O18</f>
        <v>0</v>
      </c>
      <c r="D22" s="208">
        <f>+'Table 5C1A-Madison Prep'!D22</f>
        <v>1980.2494354342025</v>
      </c>
      <c r="E22" s="209">
        <f t="shared" si="37"/>
        <v>0</v>
      </c>
      <c r="F22" s="209">
        <f>+'Table 5C1A-Madison Prep'!F22</f>
        <v>686.73</v>
      </c>
      <c r="G22" s="209">
        <f t="shared" si="38"/>
        <v>0</v>
      </c>
      <c r="H22" s="344">
        <f t="shared" si="39"/>
        <v>0</v>
      </c>
      <c r="I22" s="990">
        <f>'[1]Oct midyear NOMMA'!K19</f>
        <v>0</v>
      </c>
      <c r="J22" s="210">
        <f>'[1]Feb midyear NOMMA'!K19</f>
        <v>0</v>
      </c>
      <c r="K22" s="211">
        <f t="shared" si="40"/>
        <v>0</v>
      </c>
      <c r="L22" s="344">
        <f t="shared" si="31"/>
        <v>0</v>
      </c>
      <c r="M22" s="273">
        <f t="shared" si="41"/>
        <v>0</v>
      </c>
      <c r="N22" s="344">
        <f t="shared" si="55"/>
        <v>0</v>
      </c>
      <c r="O22" s="208">
        <v>0</v>
      </c>
      <c r="P22" s="350">
        <f t="shared" si="42"/>
        <v>0</v>
      </c>
      <c r="Q22" s="210">
        <f>'[2]Table 5C1D-NOMMA'!S22+'[14]Table 5C1D-NOMMA'!S22+(6*'[20]Table 5C1D-NOMMA'!S22)</f>
        <v>0</v>
      </c>
      <c r="R22" s="210">
        <f t="shared" si="43"/>
        <v>0</v>
      </c>
      <c r="S22" s="350">
        <f t="shared" si="32"/>
        <v>0</v>
      </c>
      <c r="T22" s="350">
        <f t="shared" si="44"/>
        <v>0</v>
      </c>
      <c r="U22" s="274">
        <f>'Table 5C1A-Madison Prep'!U22</f>
        <v>13021</v>
      </c>
      <c r="V22" s="327">
        <f t="shared" si="33"/>
        <v>0</v>
      </c>
      <c r="W22" s="883">
        <f>'[1]Oct midyear NOMMA'!E19</f>
        <v>0</v>
      </c>
      <c r="X22" s="276">
        <f t="shared" si="45"/>
        <v>0</v>
      </c>
      <c r="Y22" s="883">
        <f>'[1]Feb midyear NOMMA'!E19</f>
        <v>0</v>
      </c>
      <c r="Z22" s="276">
        <f t="shared" si="46"/>
        <v>0</v>
      </c>
      <c r="AA22" s="275">
        <f t="shared" si="34"/>
        <v>0</v>
      </c>
      <c r="AB22" s="323">
        <f t="shared" si="47"/>
        <v>0</v>
      </c>
      <c r="AC22" s="278">
        <f t="shared" si="48"/>
        <v>0</v>
      </c>
      <c r="AD22" s="323">
        <f t="shared" si="49"/>
        <v>0</v>
      </c>
      <c r="AE22" s="279">
        <v>0</v>
      </c>
      <c r="AF22" s="323">
        <f t="shared" si="50"/>
        <v>0</v>
      </c>
      <c r="AG22" s="276">
        <f>'[2]Table 5C1D-NOMMA'!AI22+'[14]Table 5C1D-NOMMA'!AI22+(6*'[20]Table 5C1D-NOMMA'!AI22)</f>
        <v>0</v>
      </c>
      <c r="AH22" s="276">
        <f t="shared" si="51"/>
        <v>0</v>
      </c>
      <c r="AI22" s="327">
        <f t="shared" si="35"/>
        <v>0</v>
      </c>
      <c r="AJ22" s="337">
        <f t="shared" si="52"/>
        <v>0</v>
      </c>
      <c r="AK22" s="341">
        <f t="shared" si="53"/>
        <v>0</v>
      </c>
      <c r="AM22" s="273">
        <v>0</v>
      </c>
      <c r="AN22" s="273">
        <f t="shared" si="54"/>
        <v>0</v>
      </c>
      <c r="AO22" s="273">
        <f t="shared" si="36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2.1.14'!O19</f>
        <v>0</v>
      </c>
      <c r="D23" s="201">
        <f>+'Table 5C1A-Madison Prep'!D23</f>
        <v>3363.5980368254495</v>
      </c>
      <c r="E23" s="202">
        <f t="shared" si="37"/>
        <v>0</v>
      </c>
      <c r="F23" s="202">
        <f>+'Table 5C1A-Madison Prep'!F23</f>
        <v>801.47762416806802</v>
      </c>
      <c r="G23" s="202">
        <f t="shared" si="38"/>
        <v>0</v>
      </c>
      <c r="H23" s="345">
        <f t="shared" si="39"/>
        <v>0</v>
      </c>
      <c r="I23" s="991">
        <f>'[1]Oct midyear NOMMA'!K20</f>
        <v>0</v>
      </c>
      <c r="J23" s="203">
        <f>'[1]Feb midyear NOMMA'!K20</f>
        <v>0</v>
      </c>
      <c r="K23" s="204">
        <f t="shared" si="40"/>
        <v>0</v>
      </c>
      <c r="L23" s="345">
        <f t="shared" si="31"/>
        <v>0</v>
      </c>
      <c r="M23" s="286">
        <f t="shared" si="41"/>
        <v>0</v>
      </c>
      <c r="N23" s="345">
        <f t="shared" si="55"/>
        <v>0</v>
      </c>
      <c r="O23" s="201">
        <v>0</v>
      </c>
      <c r="P23" s="351">
        <f t="shared" si="42"/>
        <v>0</v>
      </c>
      <c r="Q23" s="203">
        <f>'[2]Table 5C1D-NOMMA'!S23+'[14]Table 5C1D-NOMMA'!S23+(6*'[20]Table 5C1D-NOMMA'!S23)</f>
        <v>0</v>
      </c>
      <c r="R23" s="203">
        <f t="shared" si="43"/>
        <v>0</v>
      </c>
      <c r="S23" s="351">
        <f t="shared" si="32"/>
        <v>0</v>
      </c>
      <c r="T23" s="351">
        <f t="shared" si="44"/>
        <v>0</v>
      </c>
      <c r="U23" s="287">
        <f>'Table 5C1A-Madison Prep'!U23</f>
        <v>6954</v>
      </c>
      <c r="V23" s="328">
        <f t="shared" si="33"/>
        <v>0</v>
      </c>
      <c r="W23" s="289">
        <f>'[1]Oct midyear NOMMA'!E20</f>
        <v>0</v>
      </c>
      <c r="X23" s="290">
        <f t="shared" si="45"/>
        <v>0</v>
      </c>
      <c r="Y23" s="289">
        <f>'[1]Feb midyear NOMMA'!E20</f>
        <v>0</v>
      </c>
      <c r="Z23" s="290">
        <f t="shared" si="46"/>
        <v>0</v>
      </c>
      <c r="AA23" s="288">
        <f t="shared" si="34"/>
        <v>0</v>
      </c>
      <c r="AB23" s="324">
        <f t="shared" si="47"/>
        <v>0</v>
      </c>
      <c r="AC23" s="292">
        <f t="shared" si="48"/>
        <v>0</v>
      </c>
      <c r="AD23" s="324">
        <f t="shared" si="49"/>
        <v>0</v>
      </c>
      <c r="AE23" s="293">
        <v>0</v>
      </c>
      <c r="AF23" s="324">
        <f t="shared" si="50"/>
        <v>0</v>
      </c>
      <c r="AG23" s="290">
        <f>'[2]Table 5C1D-NOMMA'!AI23+'[14]Table 5C1D-NOMMA'!AI23+(6*'[20]Table 5C1D-NOMMA'!AI23)</f>
        <v>0</v>
      </c>
      <c r="AH23" s="290">
        <f t="shared" si="51"/>
        <v>0</v>
      </c>
      <c r="AI23" s="328">
        <f t="shared" si="35"/>
        <v>0</v>
      </c>
      <c r="AJ23" s="321">
        <f t="shared" si="52"/>
        <v>0</v>
      </c>
      <c r="AK23" s="342">
        <f t="shared" si="53"/>
        <v>0</v>
      </c>
      <c r="AM23" s="286">
        <v>0</v>
      </c>
      <c r="AN23" s="286">
        <f t="shared" si="54"/>
        <v>0</v>
      </c>
      <c r="AO23" s="286">
        <f t="shared" si="36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2.1.14'!O20</f>
        <v>0</v>
      </c>
      <c r="D24" s="201">
        <f>+'Table 5C1A-Madison Prep'!D24</f>
        <v>6354.5533500475731</v>
      </c>
      <c r="E24" s="202">
        <f t="shared" si="37"/>
        <v>0</v>
      </c>
      <c r="F24" s="202">
        <f>+'Table 5C1A-Madison Prep'!F24</f>
        <v>845.94999999999993</v>
      </c>
      <c r="G24" s="202">
        <f t="shared" si="38"/>
        <v>0</v>
      </c>
      <c r="H24" s="345">
        <f t="shared" si="39"/>
        <v>0</v>
      </c>
      <c r="I24" s="991">
        <f>'[1]Oct midyear NOMMA'!K21</f>
        <v>0</v>
      </c>
      <c r="J24" s="203">
        <f>'[1]Feb midyear NOMMA'!K21</f>
        <v>0</v>
      </c>
      <c r="K24" s="204">
        <f t="shared" si="40"/>
        <v>0</v>
      </c>
      <c r="L24" s="345">
        <f t="shared" si="31"/>
        <v>0</v>
      </c>
      <c r="M24" s="286">
        <f t="shared" si="41"/>
        <v>0</v>
      </c>
      <c r="N24" s="345">
        <f t="shared" si="55"/>
        <v>0</v>
      </c>
      <c r="O24" s="201">
        <v>0</v>
      </c>
      <c r="P24" s="351">
        <f t="shared" si="42"/>
        <v>0</v>
      </c>
      <c r="Q24" s="203">
        <f>'[2]Table 5C1D-NOMMA'!S24+'[14]Table 5C1D-NOMMA'!S24+(6*'[20]Table 5C1D-NOMMA'!S24)</f>
        <v>0</v>
      </c>
      <c r="R24" s="203">
        <f t="shared" si="43"/>
        <v>0</v>
      </c>
      <c r="S24" s="351">
        <f t="shared" si="32"/>
        <v>0</v>
      </c>
      <c r="T24" s="351">
        <f t="shared" si="44"/>
        <v>0</v>
      </c>
      <c r="U24" s="287">
        <f>'Table 5C1A-Madison Prep'!U24</f>
        <v>2442</v>
      </c>
      <c r="V24" s="328">
        <f t="shared" si="33"/>
        <v>0</v>
      </c>
      <c r="W24" s="289">
        <f>'[1]Oct midyear NOMMA'!E21</f>
        <v>0</v>
      </c>
      <c r="X24" s="290">
        <f t="shared" si="45"/>
        <v>0</v>
      </c>
      <c r="Y24" s="289">
        <f>'[1]Feb midyear NOMMA'!E21</f>
        <v>0</v>
      </c>
      <c r="Z24" s="290">
        <f t="shared" si="46"/>
        <v>0</v>
      </c>
      <c r="AA24" s="288">
        <f t="shared" si="34"/>
        <v>0</v>
      </c>
      <c r="AB24" s="324">
        <f t="shared" si="47"/>
        <v>0</v>
      </c>
      <c r="AC24" s="292">
        <f t="shared" si="48"/>
        <v>0</v>
      </c>
      <c r="AD24" s="324">
        <f t="shared" si="49"/>
        <v>0</v>
      </c>
      <c r="AE24" s="293">
        <v>0</v>
      </c>
      <c r="AF24" s="324">
        <f t="shared" si="50"/>
        <v>0</v>
      </c>
      <c r="AG24" s="290">
        <f>'[2]Table 5C1D-NOMMA'!AI24+'[14]Table 5C1D-NOMMA'!AI24+(6*'[20]Table 5C1D-NOMMA'!AI24)</f>
        <v>0</v>
      </c>
      <c r="AH24" s="290">
        <f t="shared" si="51"/>
        <v>0</v>
      </c>
      <c r="AI24" s="328">
        <f t="shared" si="35"/>
        <v>0</v>
      </c>
      <c r="AJ24" s="321">
        <f t="shared" si="52"/>
        <v>0</v>
      </c>
      <c r="AK24" s="342">
        <f t="shared" si="53"/>
        <v>0</v>
      </c>
      <c r="AM24" s="286">
        <v>0</v>
      </c>
      <c r="AN24" s="286">
        <f t="shared" si="54"/>
        <v>0</v>
      </c>
      <c r="AO24" s="286">
        <f t="shared" si="36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2.1.14'!O21</f>
        <v>0</v>
      </c>
      <c r="D25" s="201">
        <f>+'Table 5C1A-Madison Prep'!D25</f>
        <v>5314.3921869460446</v>
      </c>
      <c r="E25" s="202">
        <f t="shared" si="37"/>
        <v>0</v>
      </c>
      <c r="F25" s="202">
        <f>+'Table 5C1A-Madison Prep'!F25</f>
        <v>905.43</v>
      </c>
      <c r="G25" s="202">
        <f t="shared" si="38"/>
        <v>0</v>
      </c>
      <c r="H25" s="345">
        <f t="shared" si="39"/>
        <v>0</v>
      </c>
      <c r="I25" s="991">
        <f>'[1]Oct midyear NOMMA'!K22</f>
        <v>0</v>
      </c>
      <c r="J25" s="203">
        <f>'[1]Feb midyear NOMMA'!K22</f>
        <v>0</v>
      </c>
      <c r="K25" s="204">
        <f t="shared" si="40"/>
        <v>0</v>
      </c>
      <c r="L25" s="345">
        <f t="shared" si="31"/>
        <v>0</v>
      </c>
      <c r="M25" s="286">
        <f t="shared" si="41"/>
        <v>0</v>
      </c>
      <c r="N25" s="345">
        <f t="shared" si="55"/>
        <v>0</v>
      </c>
      <c r="O25" s="201">
        <v>0</v>
      </c>
      <c r="P25" s="351">
        <f t="shared" si="42"/>
        <v>0</v>
      </c>
      <c r="Q25" s="203">
        <f>'[2]Table 5C1D-NOMMA'!S25+'[14]Table 5C1D-NOMMA'!S25+(6*'[20]Table 5C1D-NOMMA'!S25)</f>
        <v>0</v>
      </c>
      <c r="R25" s="203">
        <f t="shared" si="43"/>
        <v>0</v>
      </c>
      <c r="S25" s="351">
        <f t="shared" si="32"/>
        <v>0</v>
      </c>
      <c r="T25" s="351">
        <f t="shared" si="44"/>
        <v>0</v>
      </c>
      <c r="U25" s="287">
        <f>'Table 5C1A-Madison Prep'!U25</f>
        <v>3051</v>
      </c>
      <c r="V25" s="328">
        <f t="shared" si="33"/>
        <v>0</v>
      </c>
      <c r="W25" s="289">
        <f>'[1]Oct midyear NOMMA'!E22</f>
        <v>0</v>
      </c>
      <c r="X25" s="290">
        <f t="shared" si="45"/>
        <v>0</v>
      </c>
      <c r="Y25" s="289">
        <f>'[1]Feb midyear NOMMA'!E22</f>
        <v>0</v>
      </c>
      <c r="Z25" s="290">
        <f t="shared" si="46"/>
        <v>0</v>
      </c>
      <c r="AA25" s="288">
        <f t="shared" si="34"/>
        <v>0</v>
      </c>
      <c r="AB25" s="324">
        <f t="shared" si="47"/>
        <v>0</v>
      </c>
      <c r="AC25" s="292">
        <f t="shared" si="48"/>
        <v>0</v>
      </c>
      <c r="AD25" s="324">
        <f t="shared" si="49"/>
        <v>0</v>
      </c>
      <c r="AE25" s="293">
        <v>0</v>
      </c>
      <c r="AF25" s="324">
        <f t="shared" si="50"/>
        <v>0</v>
      </c>
      <c r="AG25" s="290">
        <f>'[2]Table 5C1D-NOMMA'!AI25+'[14]Table 5C1D-NOMMA'!AI25+(6*'[20]Table 5C1D-NOMMA'!AI25)</f>
        <v>0</v>
      </c>
      <c r="AH25" s="290">
        <f t="shared" si="51"/>
        <v>0</v>
      </c>
      <c r="AI25" s="328">
        <f t="shared" si="35"/>
        <v>0</v>
      </c>
      <c r="AJ25" s="321">
        <f t="shared" si="52"/>
        <v>0</v>
      </c>
      <c r="AK25" s="342">
        <f t="shared" si="53"/>
        <v>0</v>
      </c>
      <c r="AM25" s="286">
        <v>0</v>
      </c>
      <c r="AN25" s="286">
        <f t="shared" si="54"/>
        <v>0</v>
      </c>
      <c r="AO25" s="286">
        <f t="shared" si="36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2.1.14'!O22</f>
        <v>0</v>
      </c>
      <c r="D26" s="194">
        <f>+'Table 5C1A-Madison Prep'!D26</f>
        <v>5278.5201565562011</v>
      </c>
      <c r="E26" s="195">
        <f t="shared" si="37"/>
        <v>0</v>
      </c>
      <c r="F26" s="195">
        <f>+'Table 5C1A-Madison Prep'!F26</f>
        <v>586.16999999999996</v>
      </c>
      <c r="G26" s="195">
        <f t="shared" si="38"/>
        <v>0</v>
      </c>
      <c r="H26" s="346">
        <f t="shared" si="39"/>
        <v>0</v>
      </c>
      <c r="I26" s="992">
        <f>'[1]Oct midyear NOMMA'!K23</f>
        <v>0</v>
      </c>
      <c r="J26" s="196">
        <f>'[1]Feb midyear NOMMA'!K23</f>
        <v>0</v>
      </c>
      <c r="K26" s="197">
        <f t="shared" si="40"/>
        <v>0</v>
      </c>
      <c r="L26" s="346">
        <f t="shared" si="31"/>
        <v>0</v>
      </c>
      <c r="M26" s="296">
        <f t="shared" si="41"/>
        <v>0</v>
      </c>
      <c r="N26" s="346">
        <f t="shared" si="55"/>
        <v>0</v>
      </c>
      <c r="O26" s="194">
        <v>0</v>
      </c>
      <c r="P26" s="352">
        <f t="shared" si="42"/>
        <v>0</v>
      </c>
      <c r="Q26" s="622">
        <f>'[2]Table 5C1D-NOMMA'!S26+'[14]Table 5C1D-NOMMA'!S26+(6*'[20]Table 5C1D-NOMMA'!S26)</f>
        <v>0</v>
      </c>
      <c r="R26" s="196">
        <f t="shared" si="43"/>
        <v>0</v>
      </c>
      <c r="S26" s="356">
        <f t="shared" si="32"/>
        <v>0</v>
      </c>
      <c r="T26" s="356">
        <f t="shared" si="44"/>
        <v>0</v>
      </c>
      <c r="U26" s="281">
        <f>'Table 5C1A-Madison Prep'!U26</f>
        <v>2484</v>
      </c>
      <c r="V26" s="329">
        <f t="shared" si="33"/>
        <v>0</v>
      </c>
      <c r="W26" s="884">
        <f>'[1]Oct midyear NOMMA'!E23</f>
        <v>0</v>
      </c>
      <c r="X26" s="282">
        <f t="shared" si="45"/>
        <v>0</v>
      </c>
      <c r="Y26" s="884">
        <f>'[1]Feb midyear NOMMA'!E23</f>
        <v>0</v>
      </c>
      <c r="Z26" s="282">
        <f t="shared" si="46"/>
        <v>0</v>
      </c>
      <c r="AA26" s="283">
        <f t="shared" si="34"/>
        <v>0</v>
      </c>
      <c r="AB26" s="325">
        <f t="shared" si="47"/>
        <v>0</v>
      </c>
      <c r="AC26" s="298">
        <f t="shared" si="48"/>
        <v>0</v>
      </c>
      <c r="AD26" s="325">
        <f t="shared" si="49"/>
        <v>0</v>
      </c>
      <c r="AE26" s="284">
        <v>0</v>
      </c>
      <c r="AF26" s="325">
        <f t="shared" si="50"/>
        <v>0</v>
      </c>
      <c r="AG26" s="282">
        <f>'[2]Table 5C1D-NOMMA'!AI26+'[14]Table 5C1D-NOMMA'!AI26+(6*'[20]Table 5C1D-NOMMA'!AI26)</f>
        <v>0</v>
      </c>
      <c r="AH26" s="282">
        <f t="shared" si="51"/>
        <v>0</v>
      </c>
      <c r="AI26" s="329">
        <f t="shared" si="35"/>
        <v>0</v>
      </c>
      <c r="AJ26" s="338">
        <f t="shared" si="52"/>
        <v>0</v>
      </c>
      <c r="AK26" s="343">
        <f t="shared" si="53"/>
        <v>0</v>
      </c>
      <c r="AM26" s="296">
        <v>0</v>
      </c>
      <c r="AN26" s="296">
        <f t="shared" si="54"/>
        <v>0</v>
      </c>
      <c r="AO26" s="296">
        <f t="shared" si="36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2.1.14'!O23</f>
        <v>0</v>
      </c>
      <c r="D27" s="208">
        <f>+'Table 5C1A-Madison Prep'!D27</f>
        <v>6082.3042295867763</v>
      </c>
      <c r="E27" s="209">
        <f t="shared" si="37"/>
        <v>0</v>
      </c>
      <c r="F27" s="209">
        <f>+'Table 5C1A-Madison Prep'!F27</f>
        <v>610.35</v>
      </c>
      <c r="G27" s="209">
        <f t="shared" si="38"/>
        <v>0</v>
      </c>
      <c r="H27" s="344">
        <f t="shared" si="39"/>
        <v>0</v>
      </c>
      <c r="I27" s="990">
        <f>'[1]Oct midyear NOMMA'!K24</f>
        <v>0</v>
      </c>
      <c r="J27" s="210">
        <f>'[1]Feb midyear NOMMA'!K24</f>
        <v>0</v>
      </c>
      <c r="K27" s="211">
        <f t="shared" si="40"/>
        <v>0</v>
      </c>
      <c r="L27" s="344">
        <f t="shared" si="31"/>
        <v>0</v>
      </c>
      <c r="M27" s="273">
        <f t="shared" si="41"/>
        <v>0</v>
      </c>
      <c r="N27" s="344">
        <f t="shared" si="55"/>
        <v>0</v>
      </c>
      <c r="O27" s="208">
        <v>0</v>
      </c>
      <c r="P27" s="350">
        <f t="shared" si="42"/>
        <v>0</v>
      </c>
      <c r="Q27" s="210">
        <f>'[2]Table 5C1D-NOMMA'!S27+'[14]Table 5C1D-NOMMA'!S27+(6*'[20]Table 5C1D-NOMMA'!S27)</f>
        <v>0</v>
      </c>
      <c r="R27" s="210">
        <f t="shared" si="43"/>
        <v>0</v>
      </c>
      <c r="S27" s="350">
        <f t="shared" si="32"/>
        <v>0</v>
      </c>
      <c r="T27" s="350">
        <f t="shared" si="44"/>
        <v>0</v>
      </c>
      <c r="U27" s="274">
        <f>'Table 5C1A-Madison Prep'!U27</f>
        <v>2487</v>
      </c>
      <c r="V27" s="327">
        <f t="shared" si="33"/>
        <v>0</v>
      </c>
      <c r="W27" s="883">
        <f>'[1]Oct midyear NOMMA'!E24</f>
        <v>0</v>
      </c>
      <c r="X27" s="276">
        <f t="shared" si="45"/>
        <v>0</v>
      </c>
      <c r="Y27" s="883">
        <f>'[1]Feb midyear NOMMA'!E24</f>
        <v>0</v>
      </c>
      <c r="Z27" s="276">
        <f t="shared" si="46"/>
        <v>0</v>
      </c>
      <c r="AA27" s="275">
        <f t="shared" si="34"/>
        <v>0</v>
      </c>
      <c r="AB27" s="323">
        <f t="shared" si="47"/>
        <v>0</v>
      </c>
      <c r="AC27" s="278">
        <f t="shared" si="48"/>
        <v>0</v>
      </c>
      <c r="AD27" s="323">
        <f t="shared" si="49"/>
        <v>0</v>
      </c>
      <c r="AE27" s="279">
        <v>0</v>
      </c>
      <c r="AF27" s="323">
        <f t="shared" si="50"/>
        <v>0</v>
      </c>
      <c r="AG27" s="276">
        <f>'[2]Table 5C1D-NOMMA'!AI27+'[14]Table 5C1D-NOMMA'!AI27+(6*'[20]Table 5C1D-NOMMA'!AI27)</f>
        <v>0</v>
      </c>
      <c r="AH27" s="276">
        <f t="shared" si="51"/>
        <v>0</v>
      </c>
      <c r="AI27" s="327">
        <f t="shared" si="35"/>
        <v>0</v>
      </c>
      <c r="AJ27" s="337">
        <f t="shared" si="52"/>
        <v>0</v>
      </c>
      <c r="AK27" s="341">
        <f t="shared" si="53"/>
        <v>0</v>
      </c>
      <c r="AM27" s="273">
        <v>0</v>
      </c>
      <c r="AN27" s="273">
        <f t="shared" si="54"/>
        <v>0</v>
      </c>
      <c r="AO27" s="273">
        <f t="shared" si="36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2.1.14'!O24</f>
        <v>0</v>
      </c>
      <c r="D28" s="201">
        <f>+'Table 5C1A-Madison Prep'!D28</f>
        <v>6416.1099808195995</v>
      </c>
      <c r="E28" s="202">
        <f t="shared" si="37"/>
        <v>0</v>
      </c>
      <c r="F28" s="202">
        <f>+'Table 5C1A-Madison Prep'!F28</f>
        <v>496.36</v>
      </c>
      <c r="G28" s="202">
        <f t="shared" si="38"/>
        <v>0</v>
      </c>
      <c r="H28" s="345">
        <f t="shared" si="39"/>
        <v>0</v>
      </c>
      <c r="I28" s="991">
        <f>'[1]Oct midyear NOMMA'!K25</f>
        <v>0</v>
      </c>
      <c r="J28" s="203">
        <f>'[1]Feb midyear NOMMA'!K25</f>
        <v>0</v>
      </c>
      <c r="K28" s="204">
        <f t="shared" si="40"/>
        <v>0</v>
      </c>
      <c r="L28" s="345">
        <f t="shared" si="31"/>
        <v>0</v>
      </c>
      <c r="M28" s="286">
        <f t="shared" si="41"/>
        <v>0</v>
      </c>
      <c r="N28" s="345">
        <f t="shared" si="55"/>
        <v>0</v>
      </c>
      <c r="O28" s="201">
        <v>0</v>
      </c>
      <c r="P28" s="351">
        <f t="shared" si="42"/>
        <v>0</v>
      </c>
      <c r="Q28" s="203">
        <f>'[2]Table 5C1D-NOMMA'!S28+'[14]Table 5C1D-NOMMA'!S28+(6*'[20]Table 5C1D-NOMMA'!S28)</f>
        <v>0</v>
      </c>
      <c r="R28" s="203">
        <f t="shared" si="43"/>
        <v>0</v>
      </c>
      <c r="S28" s="351">
        <f t="shared" si="32"/>
        <v>0</v>
      </c>
      <c r="T28" s="351">
        <f t="shared" si="44"/>
        <v>0</v>
      </c>
      <c r="U28" s="287">
        <f>'Table 5C1A-Madison Prep'!U28</f>
        <v>1584</v>
      </c>
      <c r="V28" s="328">
        <f t="shared" si="33"/>
        <v>0</v>
      </c>
      <c r="W28" s="289">
        <f>'[1]Oct midyear NOMMA'!E25</f>
        <v>0</v>
      </c>
      <c r="X28" s="290">
        <f t="shared" si="45"/>
        <v>0</v>
      </c>
      <c r="Y28" s="289">
        <f>'[1]Feb midyear NOMMA'!E25</f>
        <v>0</v>
      </c>
      <c r="Z28" s="290">
        <f t="shared" si="46"/>
        <v>0</v>
      </c>
      <c r="AA28" s="288">
        <f t="shared" si="34"/>
        <v>0</v>
      </c>
      <c r="AB28" s="324">
        <f t="shared" si="47"/>
        <v>0</v>
      </c>
      <c r="AC28" s="292">
        <f t="shared" si="48"/>
        <v>0</v>
      </c>
      <c r="AD28" s="324">
        <f t="shared" si="49"/>
        <v>0</v>
      </c>
      <c r="AE28" s="293">
        <v>0</v>
      </c>
      <c r="AF28" s="324">
        <f t="shared" si="50"/>
        <v>0</v>
      </c>
      <c r="AG28" s="290">
        <f>'[2]Table 5C1D-NOMMA'!AI28+'[14]Table 5C1D-NOMMA'!AI28+(6*'[20]Table 5C1D-NOMMA'!AI28)</f>
        <v>0</v>
      </c>
      <c r="AH28" s="290">
        <f t="shared" si="51"/>
        <v>0</v>
      </c>
      <c r="AI28" s="328">
        <f t="shared" si="35"/>
        <v>0</v>
      </c>
      <c r="AJ28" s="321">
        <f t="shared" si="52"/>
        <v>0</v>
      </c>
      <c r="AK28" s="342">
        <f t="shared" si="53"/>
        <v>0</v>
      </c>
      <c r="AM28" s="286">
        <v>0</v>
      </c>
      <c r="AN28" s="286">
        <f t="shared" si="54"/>
        <v>0</v>
      </c>
      <c r="AO28" s="286">
        <f t="shared" si="36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2.1.14'!O25</f>
        <v>0</v>
      </c>
      <c r="D29" s="201">
        <f>+'Table 5C1A-Madison Prep'!D29</f>
        <v>5011.0215265979159</v>
      </c>
      <c r="E29" s="202">
        <f t="shared" si="37"/>
        <v>0</v>
      </c>
      <c r="F29" s="202">
        <f>+'Table 5C1A-Madison Prep'!F29</f>
        <v>688.58</v>
      </c>
      <c r="G29" s="202">
        <f t="shared" si="38"/>
        <v>0</v>
      </c>
      <c r="H29" s="345">
        <f t="shared" si="39"/>
        <v>0</v>
      </c>
      <c r="I29" s="991">
        <f>'[1]Oct midyear NOMMA'!K26</f>
        <v>0</v>
      </c>
      <c r="J29" s="203">
        <f>'[1]Feb midyear NOMMA'!K26</f>
        <v>0</v>
      </c>
      <c r="K29" s="204">
        <f t="shared" si="40"/>
        <v>0</v>
      </c>
      <c r="L29" s="345">
        <f t="shared" si="31"/>
        <v>0</v>
      </c>
      <c r="M29" s="286">
        <f t="shared" si="41"/>
        <v>0</v>
      </c>
      <c r="N29" s="345">
        <f t="shared" si="55"/>
        <v>0</v>
      </c>
      <c r="O29" s="201">
        <v>0</v>
      </c>
      <c r="P29" s="351">
        <f t="shared" si="42"/>
        <v>0</v>
      </c>
      <c r="Q29" s="203">
        <f>'[2]Table 5C1D-NOMMA'!S29+'[14]Table 5C1D-NOMMA'!S29+(6*'[20]Table 5C1D-NOMMA'!S29)</f>
        <v>0</v>
      </c>
      <c r="R29" s="203">
        <f t="shared" si="43"/>
        <v>0</v>
      </c>
      <c r="S29" s="351">
        <f t="shared" si="32"/>
        <v>0</v>
      </c>
      <c r="T29" s="351">
        <f t="shared" si="44"/>
        <v>0</v>
      </c>
      <c r="U29" s="287">
        <f>'Table 5C1A-Madison Prep'!U29</f>
        <v>3500</v>
      </c>
      <c r="V29" s="328">
        <f t="shared" si="33"/>
        <v>0</v>
      </c>
      <c r="W29" s="289">
        <f>'[1]Oct midyear NOMMA'!E26</f>
        <v>0</v>
      </c>
      <c r="X29" s="290">
        <f t="shared" si="45"/>
        <v>0</v>
      </c>
      <c r="Y29" s="289">
        <f>'[1]Feb midyear NOMMA'!E26</f>
        <v>0</v>
      </c>
      <c r="Z29" s="290">
        <f t="shared" si="46"/>
        <v>0</v>
      </c>
      <c r="AA29" s="288">
        <f t="shared" si="34"/>
        <v>0</v>
      </c>
      <c r="AB29" s="324">
        <f t="shared" si="47"/>
        <v>0</v>
      </c>
      <c r="AC29" s="292">
        <f t="shared" si="48"/>
        <v>0</v>
      </c>
      <c r="AD29" s="324">
        <f t="shared" si="49"/>
        <v>0</v>
      </c>
      <c r="AE29" s="293">
        <v>0</v>
      </c>
      <c r="AF29" s="324">
        <f t="shared" si="50"/>
        <v>0</v>
      </c>
      <c r="AG29" s="290">
        <f>'[2]Table 5C1D-NOMMA'!AI29+'[14]Table 5C1D-NOMMA'!AI29+(6*'[20]Table 5C1D-NOMMA'!AI29)</f>
        <v>0</v>
      </c>
      <c r="AH29" s="290">
        <f t="shared" si="51"/>
        <v>0</v>
      </c>
      <c r="AI29" s="328">
        <f t="shared" si="35"/>
        <v>0</v>
      </c>
      <c r="AJ29" s="321">
        <f t="shared" si="52"/>
        <v>0</v>
      </c>
      <c r="AK29" s="342">
        <f t="shared" si="53"/>
        <v>0</v>
      </c>
      <c r="AM29" s="286">
        <v>0</v>
      </c>
      <c r="AN29" s="286">
        <f t="shared" si="54"/>
        <v>0</v>
      </c>
      <c r="AO29" s="286">
        <f t="shared" si="36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2.1.14'!O26</f>
        <v>0</v>
      </c>
      <c r="D30" s="201">
        <f>+'Table 5C1A-Madison Prep'!D30</f>
        <v>2611.6740361576999</v>
      </c>
      <c r="E30" s="202">
        <f t="shared" si="37"/>
        <v>0</v>
      </c>
      <c r="F30" s="202">
        <f>+'Table 5C1A-Madison Prep'!F30</f>
        <v>854.24999999999989</v>
      </c>
      <c r="G30" s="202">
        <f t="shared" si="38"/>
        <v>0</v>
      </c>
      <c r="H30" s="345">
        <f t="shared" si="39"/>
        <v>0</v>
      </c>
      <c r="I30" s="991">
        <f>'[1]Oct midyear NOMMA'!K27</f>
        <v>0</v>
      </c>
      <c r="J30" s="203">
        <f>'[1]Feb midyear NOMMA'!K27</f>
        <v>0</v>
      </c>
      <c r="K30" s="204">
        <f t="shared" si="40"/>
        <v>0</v>
      </c>
      <c r="L30" s="345">
        <f t="shared" si="31"/>
        <v>0</v>
      </c>
      <c r="M30" s="286">
        <f t="shared" si="41"/>
        <v>0</v>
      </c>
      <c r="N30" s="345">
        <f t="shared" si="55"/>
        <v>0</v>
      </c>
      <c r="O30" s="201">
        <v>0</v>
      </c>
      <c r="P30" s="351">
        <f t="shared" si="42"/>
        <v>0</v>
      </c>
      <c r="Q30" s="203">
        <f>'[2]Table 5C1D-NOMMA'!S30+'[14]Table 5C1D-NOMMA'!S30+(6*'[20]Table 5C1D-NOMMA'!S30)</f>
        <v>0</v>
      </c>
      <c r="R30" s="203">
        <f t="shared" si="43"/>
        <v>0</v>
      </c>
      <c r="S30" s="351">
        <f t="shared" si="32"/>
        <v>0</v>
      </c>
      <c r="T30" s="351">
        <f t="shared" si="44"/>
        <v>0</v>
      </c>
      <c r="U30" s="287">
        <f>'Table 5C1A-Madison Prep'!U30</f>
        <v>11051</v>
      </c>
      <c r="V30" s="328">
        <f t="shared" si="33"/>
        <v>0</v>
      </c>
      <c r="W30" s="289">
        <f>'[1]Oct midyear NOMMA'!E27</f>
        <v>0</v>
      </c>
      <c r="X30" s="290">
        <f t="shared" si="45"/>
        <v>0</v>
      </c>
      <c r="Y30" s="289">
        <f>'[1]Feb midyear NOMMA'!E27</f>
        <v>0</v>
      </c>
      <c r="Z30" s="290">
        <f t="shared" si="46"/>
        <v>0</v>
      </c>
      <c r="AA30" s="288">
        <f t="shared" si="34"/>
        <v>0</v>
      </c>
      <c r="AB30" s="324">
        <f t="shared" si="47"/>
        <v>0</v>
      </c>
      <c r="AC30" s="292">
        <f t="shared" si="48"/>
        <v>0</v>
      </c>
      <c r="AD30" s="324">
        <f t="shared" si="49"/>
        <v>0</v>
      </c>
      <c r="AE30" s="293">
        <v>0</v>
      </c>
      <c r="AF30" s="324">
        <f t="shared" si="50"/>
        <v>0</v>
      </c>
      <c r="AG30" s="290">
        <f>'[2]Table 5C1D-NOMMA'!AI30+'[14]Table 5C1D-NOMMA'!AI30+(6*'[20]Table 5C1D-NOMMA'!AI30)</f>
        <v>0</v>
      </c>
      <c r="AH30" s="290">
        <f t="shared" si="51"/>
        <v>0</v>
      </c>
      <c r="AI30" s="328">
        <f t="shared" si="35"/>
        <v>0</v>
      </c>
      <c r="AJ30" s="321">
        <f t="shared" si="52"/>
        <v>0</v>
      </c>
      <c r="AK30" s="342">
        <f t="shared" si="53"/>
        <v>0</v>
      </c>
      <c r="AM30" s="286">
        <v>0</v>
      </c>
      <c r="AN30" s="286">
        <f t="shared" si="54"/>
        <v>0</v>
      </c>
      <c r="AO30" s="286">
        <f t="shared" si="36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2.1.14'!O27</f>
        <v>0</v>
      </c>
      <c r="D31" s="194">
        <f>+'Table 5C1A-Madison Prep'!D31</f>
        <v>4173.0720274945697</v>
      </c>
      <c r="E31" s="195">
        <f t="shared" si="37"/>
        <v>0</v>
      </c>
      <c r="F31" s="195">
        <f>+'Table 5C1A-Madison Prep'!F31</f>
        <v>653.73</v>
      </c>
      <c r="G31" s="195">
        <f t="shared" si="38"/>
        <v>0</v>
      </c>
      <c r="H31" s="346">
        <f t="shared" si="39"/>
        <v>0</v>
      </c>
      <c r="I31" s="992">
        <f>'[1]Oct midyear NOMMA'!K28</f>
        <v>0</v>
      </c>
      <c r="J31" s="196">
        <f>'[1]Feb midyear NOMMA'!K28</f>
        <v>0</v>
      </c>
      <c r="K31" s="197">
        <f t="shared" si="40"/>
        <v>0</v>
      </c>
      <c r="L31" s="346">
        <f t="shared" si="31"/>
        <v>0</v>
      </c>
      <c r="M31" s="296">
        <f t="shared" si="41"/>
        <v>0</v>
      </c>
      <c r="N31" s="346">
        <f t="shared" si="55"/>
        <v>0</v>
      </c>
      <c r="O31" s="194">
        <v>0</v>
      </c>
      <c r="P31" s="352">
        <f t="shared" si="42"/>
        <v>0</v>
      </c>
      <c r="Q31" s="622">
        <f>'[2]Table 5C1D-NOMMA'!S31+'[14]Table 5C1D-NOMMA'!S31+(6*'[20]Table 5C1D-NOMMA'!S31)</f>
        <v>0</v>
      </c>
      <c r="R31" s="196">
        <f t="shared" si="43"/>
        <v>0</v>
      </c>
      <c r="S31" s="356">
        <f t="shared" si="32"/>
        <v>0</v>
      </c>
      <c r="T31" s="356">
        <f t="shared" si="44"/>
        <v>0</v>
      </c>
      <c r="U31" s="281">
        <f>'Table 5C1A-Madison Prep'!U31</f>
        <v>5156</v>
      </c>
      <c r="V31" s="329">
        <f t="shared" si="33"/>
        <v>0</v>
      </c>
      <c r="W31" s="884">
        <f>'[1]Oct midyear NOMMA'!E28</f>
        <v>0</v>
      </c>
      <c r="X31" s="282">
        <f t="shared" si="45"/>
        <v>0</v>
      </c>
      <c r="Y31" s="884">
        <f>'[1]Feb midyear NOMMA'!E28</f>
        <v>0</v>
      </c>
      <c r="Z31" s="282">
        <f t="shared" si="46"/>
        <v>0</v>
      </c>
      <c r="AA31" s="283">
        <f t="shared" si="34"/>
        <v>0</v>
      </c>
      <c r="AB31" s="325">
        <f t="shared" si="47"/>
        <v>0</v>
      </c>
      <c r="AC31" s="298">
        <f t="shared" si="48"/>
        <v>0</v>
      </c>
      <c r="AD31" s="325">
        <f t="shared" si="49"/>
        <v>0</v>
      </c>
      <c r="AE31" s="284">
        <v>0</v>
      </c>
      <c r="AF31" s="325">
        <f t="shared" si="50"/>
        <v>0</v>
      </c>
      <c r="AG31" s="282">
        <f>'[2]Table 5C1D-NOMMA'!AI31+'[14]Table 5C1D-NOMMA'!AI31+(6*'[20]Table 5C1D-NOMMA'!AI31)</f>
        <v>0</v>
      </c>
      <c r="AH31" s="282">
        <f t="shared" si="51"/>
        <v>0</v>
      </c>
      <c r="AI31" s="329">
        <f t="shared" si="35"/>
        <v>0</v>
      </c>
      <c r="AJ31" s="338">
        <f t="shared" si="52"/>
        <v>0</v>
      </c>
      <c r="AK31" s="343">
        <f t="shared" si="53"/>
        <v>0</v>
      </c>
      <c r="AM31" s="296">
        <v>0</v>
      </c>
      <c r="AN31" s="296">
        <f t="shared" si="54"/>
        <v>0</v>
      </c>
      <c r="AO31" s="296">
        <f t="shared" si="36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2.1.14'!O28</f>
        <v>191</v>
      </c>
      <c r="D32" s="208">
        <f>+'Table 5C1A-Madison Prep'!D32</f>
        <v>3424.5649970570835</v>
      </c>
      <c r="E32" s="209">
        <f t="shared" si="37"/>
        <v>654091.91443790297</v>
      </c>
      <c r="F32" s="209">
        <f>+'Table 5C1A-Madison Prep'!F32</f>
        <v>836.83</v>
      </c>
      <c r="G32" s="209">
        <f t="shared" si="38"/>
        <v>159834.53</v>
      </c>
      <c r="H32" s="344">
        <f t="shared" si="39"/>
        <v>813926.444437903</v>
      </c>
      <c r="I32" s="990">
        <f>'[1]Oct midyear NOMMA'!K29</f>
        <v>417616.70971159422</v>
      </c>
      <c r="J32" s="210">
        <f>'[1]Feb midyear NOMMA'!K29</f>
        <v>-21306.974985285418</v>
      </c>
      <c r="K32" s="211">
        <f t="shared" si="40"/>
        <v>396309.73472630879</v>
      </c>
      <c r="L32" s="344">
        <f t="shared" si="31"/>
        <v>1210236.1791642117</v>
      </c>
      <c r="M32" s="273">
        <f t="shared" si="41"/>
        <v>-3025.5904479105293</v>
      </c>
      <c r="N32" s="344">
        <f t="shared" si="55"/>
        <v>1207210.5887163011</v>
      </c>
      <c r="O32" s="208">
        <v>0</v>
      </c>
      <c r="P32" s="350">
        <f t="shared" si="42"/>
        <v>1207210.5887163011</v>
      </c>
      <c r="Q32" s="210">
        <f>'[2]Table 5C1D-NOMMA'!S32+'[14]Table 5C1D-NOMMA'!S32+(6*'[20]Table 5C1D-NOMMA'!S32)</f>
        <v>807280</v>
      </c>
      <c r="R32" s="210">
        <f t="shared" si="43"/>
        <v>399930.58871630114</v>
      </c>
      <c r="S32" s="350">
        <f t="shared" si="32"/>
        <v>99983</v>
      </c>
      <c r="T32" s="350">
        <f t="shared" si="44"/>
        <v>1207210.5887163011</v>
      </c>
      <c r="U32" s="274">
        <f>'Table 5C1A-Madison Prep'!U32</f>
        <v>5153</v>
      </c>
      <c r="V32" s="327">
        <f t="shared" si="33"/>
        <v>984223</v>
      </c>
      <c r="W32" s="883">
        <f>'[1]Oct midyear NOMMA'!E29</f>
        <v>98</v>
      </c>
      <c r="X32" s="276">
        <f t="shared" si="45"/>
        <v>504994</v>
      </c>
      <c r="Y32" s="883">
        <f>'[1]Feb midyear NOMMA'!E29</f>
        <v>-10</v>
      </c>
      <c r="Z32" s="276">
        <f t="shared" si="46"/>
        <v>-25765</v>
      </c>
      <c r="AA32" s="275">
        <f t="shared" si="34"/>
        <v>479229</v>
      </c>
      <c r="AB32" s="323">
        <f t="shared" si="47"/>
        <v>1463452</v>
      </c>
      <c r="AC32" s="278">
        <f t="shared" si="48"/>
        <v>-3658.63</v>
      </c>
      <c r="AD32" s="323">
        <f t="shared" si="49"/>
        <v>1459793.37</v>
      </c>
      <c r="AE32" s="279">
        <v>0</v>
      </c>
      <c r="AF32" s="323">
        <f t="shared" si="50"/>
        <v>1459793.37</v>
      </c>
      <c r="AG32" s="276">
        <f>'[2]Table 5C1D-NOMMA'!AI32+'[14]Table 5C1D-NOMMA'!AI32+(6*'[20]Table 5C1D-NOMMA'!AI32)</f>
        <v>996457</v>
      </c>
      <c r="AH32" s="276">
        <f t="shared" si="51"/>
        <v>463336.37000000011</v>
      </c>
      <c r="AI32" s="327">
        <f t="shared" si="35"/>
        <v>115834</v>
      </c>
      <c r="AJ32" s="337">
        <f t="shared" si="52"/>
        <v>2667003.9587163012</v>
      </c>
      <c r="AK32" s="341">
        <f t="shared" si="53"/>
        <v>215817</v>
      </c>
      <c r="AM32" s="273">
        <v>-2511.65</v>
      </c>
      <c r="AN32" s="273">
        <f t="shared" si="54"/>
        <v>-3658.63</v>
      </c>
      <c r="AO32" s="273">
        <f t="shared" si="36"/>
        <v>-1146.98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2.1.14'!O29</f>
        <v>0</v>
      </c>
      <c r="D33" s="201">
        <f>+'Table 5C1A-Madison Prep'!D33</f>
        <v>5804.9013839977006</v>
      </c>
      <c r="E33" s="202">
        <f t="shared" si="37"/>
        <v>0</v>
      </c>
      <c r="F33" s="202">
        <f>+'Table 5C1A-Madison Prep'!F33</f>
        <v>693.06</v>
      </c>
      <c r="G33" s="202">
        <f t="shared" si="38"/>
        <v>0</v>
      </c>
      <c r="H33" s="345">
        <f t="shared" si="39"/>
        <v>0</v>
      </c>
      <c r="I33" s="991">
        <f>'[1]Oct midyear NOMMA'!K30</f>
        <v>0</v>
      </c>
      <c r="J33" s="203">
        <f>'[1]Feb midyear NOMMA'!K30</f>
        <v>0</v>
      </c>
      <c r="K33" s="204">
        <f t="shared" si="40"/>
        <v>0</v>
      </c>
      <c r="L33" s="345">
        <f t="shared" si="31"/>
        <v>0</v>
      </c>
      <c r="M33" s="286">
        <f t="shared" si="41"/>
        <v>0</v>
      </c>
      <c r="N33" s="345">
        <f t="shared" si="55"/>
        <v>0</v>
      </c>
      <c r="O33" s="201">
        <v>0</v>
      </c>
      <c r="P33" s="351">
        <f t="shared" si="42"/>
        <v>0</v>
      </c>
      <c r="Q33" s="203">
        <f>'[2]Table 5C1D-NOMMA'!S33+'[14]Table 5C1D-NOMMA'!S33+(6*'[20]Table 5C1D-NOMMA'!S33)</f>
        <v>0</v>
      </c>
      <c r="R33" s="203">
        <f t="shared" si="43"/>
        <v>0</v>
      </c>
      <c r="S33" s="351">
        <f t="shared" si="32"/>
        <v>0</v>
      </c>
      <c r="T33" s="351">
        <f t="shared" si="44"/>
        <v>0</v>
      </c>
      <c r="U33" s="287">
        <f>'Table 5C1A-Madison Prep'!U33</f>
        <v>3225</v>
      </c>
      <c r="V33" s="328">
        <f t="shared" si="33"/>
        <v>0</v>
      </c>
      <c r="W33" s="289">
        <f>'[1]Oct midyear NOMMA'!E30</f>
        <v>0</v>
      </c>
      <c r="X33" s="290">
        <f t="shared" si="45"/>
        <v>0</v>
      </c>
      <c r="Y33" s="289">
        <f>'[1]Feb midyear NOMMA'!E30</f>
        <v>0</v>
      </c>
      <c r="Z33" s="290">
        <f t="shared" si="46"/>
        <v>0</v>
      </c>
      <c r="AA33" s="288">
        <f t="shared" si="34"/>
        <v>0</v>
      </c>
      <c r="AB33" s="324">
        <f t="shared" si="47"/>
        <v>0</v>
      </c>
      <c r="AC33" s="292">
        <f t="shared" si="48"/>
        <v>0</v>
      </c>
      <c r="AD33" s="324">
        <f t="shared" si="49"/>
        <v>0</v>
      </c>
      <c r="AE33" s="293">
        <v>0</v>
      </c>
      <c r="AF33" s="324">
        <f t="shared" si="50"/>
        <v>0</v>
      </c>
      <c r="AG33" s="290">
        <f>'[2]Table 5C1D-NOMMA'!AI33+'[14]Table 5C1D-NOMMA'!AI33+(6*'[20]Table 5C1D-NOMMA'!AI33)</f>
        <v>0</v>
      </c>
      <c r="AH33" s="290">
        <f t="shared" si="51"/>
        <v>0</v>
      </c>
      <c r="AI33" s="328">
        <f t="shared" si="35"/>
        <v>0</v>
      </c>
      <c r="AJ33" s="321">
        <f t="shared" si="52"/>
        <v>0</v>
      </c>
      <c r="AK33" s="342">
        <f t="shared" si="53"/>
        <v>0</v>
      </c>
      <c r="AM33" s="286">
        <v>0</v>
      </c>
      <c r="AN33" s="286">
        <f t="shared" si="54"/>
        <v>0</v>
      </c>
      <c r="AO33" s="286">
        <f t="shared" si="36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2.1.14'!O30</f>
        <v>0</v>
      </c>
      <c r="D34" s="201">
        <f>+'Table 5C1A-Madison Prep'!D34</f>
        <v>3137.4158846568821</v>
      </c>
      <c r="E34" s="202">
        <f t="shared" si="37"/>
        <v>0</v>
      </c>
      <c r="F34" s="202">
        <f>+'Table 5C1A-Madison Prep'!F34</f>
        <v>694.4</v>
      </c>
      <c r="G34" s="202">
        <f t="shared" si="38"/>
        <v>0</v>
      </c>
      <c r="H34" s="345">
        <f t="shared" si="39"/>
        <v>0</v>
      </c>
      <c r="I34" s="991">
        <f>'[1]Oct midyear NOMMA'!K31</f>
        <v>0</v>
      </c>
      <c r="J34" s="203">
        <f>'[1]Feb midyear NOMMA'!K31</f>
        <v>0</v>
      </c>
      <c r="K34" s="204">
        <f t="shared" si="40"/>
        <v>0</v>
      </c>
      <c r="L34" s="345">
        <f t="shared" si="31"/>
        <v>0</v>
      </c>
      <c r="M34" s="286">
        <f t="shared" si="41"/>
        <v>0</v>
      </c>
      <c r="N34" s="345">
        <f t="shared" si="55"/>
        <v>0</v>
      </c>
      <c r="O34" s="201">
        <v>0</v>
      </c>
      <c r="P34" s="351">
        <f t="shared" si="42"/>
        <v>0</v>
      </c>
      <c r="Q34" s="203">
        <f>'[2]Table 5C1D-NOMMA'!S34+'[14]Table 5C1D-NOMMA'!S34+(6*'[20]Table 5C1D-NOMMA'!S34)</f>
        <v>0</v>
      </c>
      <c r="R34" s="203">
        <f t="shared" si="43"/>
        <v>0</v>
      </c>
      <c r="S34" s="351">
        <f t="shared" si="32"/>
        <v>0</v>
      </c>
      <c r="T34" s="351">
        <f t="shared" si="44"/>
        <v>0</v>
      </c>
      <c r="U34" s="287">
        <f>'Table 5C1A-Madison Prep'!U34</f>
        <v>5816</v>
      </c>
      <c r="V34" s="328">
        <f t="shared" si="33"/>
        <v>0</v>
      </c>
      <c r="W34" s="289">
        <f>'[1]Oct midyear NOMMA'!E31</f>
        <v>0</v>
      </c>
      <c r="X34" s="290">
        <f t="shared" si="45"/>
        <v>0</v>
      </c>
      <c r="Y34" s="289">
        <f>'[1]Feb midyear NOMMA'!E31</f>
        <v>0</v>
      </c>
      <c r="Z34" s="290">
        <f t="shared" si="46"/>
        <v>0</v>
      </c>
      <c r="AA34" s="288">
        <f t="shared" si="34"/>
        <v>0</v>
      </c>
      <c r="AB34" s="324">
        <f t="shared" si="47"/>
        <v>0</v>
      </c>
      <c r="AC34" s="292">
        <f t="shared" si="48"/>
        <v>0</v>
      </c>
      <c r="AD34" s="324">
        <f t="shared" si="49"/>
        <v>0</v>
      </c>
      <c r="AE34" s="293">
        <v>0</v>
      </c>
      <c r="AF34" s="324">
        <f t="shared" si="50"/>
        <v>0</v>
      </c>
      <c r="AG34" s="290">
        <f>'[2]Table 5C1D-NOMMA'!AI34+'[14]Table 5C1D-NOMMA'!AI34+(6*'[20]Table 5C1D-NOMMA'!AI34)</f>
        <v>0</v>
      </c>
      <c r="AH34" s="290">
        <f t="shared" si="51"/>
        <v>0</v>
      </c>
      <c r="AI34" s="328">
        <f t="shared" si="35"/>
        <v>0</v>
      </c>
      <c r="AJ34" s="321">
        <f t="shared" si="52"/>
        <v>0</v>
      </c>
      <c r="AK34" s="342">
        <f t="shared" si="53"/>
        <v>0</v>
      </c>
      <c r="AM34" s="286">
        <v>0</v>
      </c>
      <c r="AN34" s="286">
        <f t="shared" si="54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2.1.14'!O31</f>
        <v>0</v>
      </c>
      <c r="D35" s="201">
        <f>+'Table 5C1A-Madison Prep'!D35</f>
        <v>3839.0123210173724</v>
      </c>
      <c r="E35" s="202">
        <f t="shared" si="37"/>
        <v>0</v>
      </c>
      <c r="F35" s="202">
        <f>+'Table 5C1A-Madison Prep'!F35</f>
        <v>754.94999999999993</v>
      </c>
      <c r="G35" s="202">
        <f t="shared" si="38"/>
        <v>0</v>
      </c>
      <c r="H35" s="345">
        <f t="shared" si="39"/>
        <v>0</v>
      </c>
      <c r="I35" s="991">
        <f>'[1]Oct midyear NOMMA'!K32</f>
        <v>0</v>
      </c>
      <c r="J35" s="203">
        <f>'[1]Feb midyear NOMMA'!K32</f>
        <v>0</v>
      </c>
      <c r="K35" s="204">
        <f t="shared" si="40"/>
        <v>0</v>
      </c>
      <c r="L35" s="345">
        <f t="shared" si="31"/>
        <v>0</v>
      </c>
      <c r="M35" s="286">
        <f t="shared" si="41"/>
        <v>0</v>
      </c>
      <c r="N35" s="345">
        <f t="shared" si="55"/>
        <v>0</v>
      </c>
      <c r="O35" s="201">
        <v>0</v>
      </c>
      <c r="P35" s="351">
        <f t="shared" si="42"/>
        <v>0</v>
      </c>
      <c r="Q35" s="203">
        <f>'[2]Table 5C1D-NOMMA'!S35+'[14]Table 5C1D-NOMMA'!S35+(6*'[20]Table 5C1D-NOMMA'!S35)</f>
        <v>0</v>
      </c>
      <c r="R35" s="203">
        <f t="shared" si="43"/>
        <v>0</v>
      </c>
      <c r="S35" s="351">
        <f t="shared" si="32"/>
        <v>0</v>
      </c>
      <c r="T35" s="351">
        <f t="shared" si="44"/>
        <v>0</v>
      </c>
      <c r="U35" s="287">
        <f>'Table 5C1A-Madison Prep'!U35</f>
        <v>5046</v>
      </c>
      <c r="V35" s="328">
        <f t="shared" si="33"/>
        <v>0</v>
      </c>
      <c r="W35" s="289">
        <f>'[1]Oct midyear NOMMA'!E32</f>
        <v>0</v>
      </c>
      <c r="X35" s="290">
        <f t="shared" si="45"/>
        <v>0</v>
      </c>
      <c r="Y35" s="289">
        <f>'[1]Feb midyear NOMMA'!E32</f>
        <v>0</v>
      </c>
      <c r="Z35" s="290">
        <f t="shared" si="46"/>
        <v>0</v>
      </c>
      <c r="AA35" s="288">
        <f t="shared" si="34"/>
        <v>0</v>
      </c>
      <c r="AB35" s="324">
        <f t="shared" si="47"/>
        <v>0</v>
      </c>
      <c r="AC35" s="292">
        <f t="shared" si="48"/>
        <v>0</v>
      </c>
      <c r="AD35" s="324">
        <f t="shared" si="49"/>
        <v>0</v>
      </c>
      <c r="AE35" s="293">
        <v>0</v>
      </c>
      <c r="AF35" s="324">
        <f t="shared" si="50"/>
        <v>0</v>
      </c>
      <c r="AG35" s="290">
        <f>'[2]Table 5C1D-NOMMA'!AI35+'[14]Table 5C1D-NOMMA'!AI35+(6*'[20]Table 5C1D-NOMMA'!AI35)</f>
        <v>0</v>
      </c>
      <c r="AH35" s="290">
        <f t="shared" si="51"/>
        <v>0</v>
      </c>
      <c r="AI35" s="328">
        <f t="shared" si="35"/>
        <v>0</v>
      </c>
      <c r="AJ35" s="321">
        <f t="shared" si="52"/>
        <v>0</v>
      </c>
      <c r="AK35" s="342">
        <f t="shared" si="53"/>
        <v>0</v>
      </c>
      <c r="AM35" s="286">
        <v>0</v>
      </c>
      <c r="AN35" s="286">
        <f t="shared" si="54"/>
        <v>0</v>
      </c>
      <c r="AO35" s="286">
        <f t="shared" ref="AO35:AO75" si="56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2.1.14'!O32</f>
        <v>0</v>
      </c>
      <c r="D36" s="194">
        <f>+'Table 5C1A-Madison Prep'!D36</f>
        <v>5804.5327273996763</v>
      </c>
      <c r="E36" s="195">
        <f t="shared" si="37"/>
        <v>0</v>
      </c>
      <c r="F36" s="195">
        <f>+'Table 5C1A-Madison Prep'!F36</f>
        <v>727.17</v>
      </c>
      <c r="G36" s="195">
        <f t="shared" si="38"/>
        <v>0</v>
      </c>
      <c r="H36" s="346">
        <f t="shared" si="39"/>
        <v>0</v>
      </c>
      <c r="I36" s="992">
        <f>'[1]Oct midyear NOMMA'!K33</f>
        <v>0</v>
      </c>
      <c r="J36" s="196">
        <f>'[1]Feb midyear NOMMA'!K33</f>
        <v>0</v>
      </c>
      <c r="K36" s="197">
        <f t="shared" si="40"/>
        <v>0</v>
      </c>
      <c r="L36" s="346">
        <f t="shared" si="31"/>
        <v>0</v>
      </c>
      <c r="M36" s="296">
        <f t="shared" si="41"/>
        <v>0</v>
      </c>
      <c r="N36" s="346">
        <f t="shared" si="55"/>
        <v>0</v>
      </c>
      <c r="O36" s="194">
        <v>0</v>
      </c>
      <c r="P36" s="352">
        <f t="shared" si="42"/>
        <v>0</v>
      </c>
      <c r="Q36" s="622">
        <f>'[2]Table 5C1D-NOMMA'!S36+'[14]Table 5C1D-NOMMA'!S36+(6*'[20]Table 5C1D-NOMMA'!S36)</f>
        <v>0</v>
      </c>
      <c r="R36" s="196">
        <f t="shared" si="43"/>
        <v>0</v>
      </c>
      <c r="S36" s="356">
        <f t="shared" si="32"/>
        <v>0</v>
      </c>
      <c r="T36" s="356">
        <f t="shared" si="44"/>
        <v>0</v>
      </c>
      <c r="U36" s="281">
        <f>'Table 5C1A-Madison Prep'!U36</f>
        <v>3999</v>
      </c>
      <c r="V36" s="329">
        <f t="shared" si="33"/>
        <v>0</v>
      </c>
      <c r="W36" s="884">
        <f>'[1]Oct midyear NOMMA'!E33</f>
        <v>0</v>
      </c>
      <c r="X36" s="282">
        <f t="shared" si="45"/>
        <v>0</v>
      </c>
      <c r="Y36" s="884">
        <f>'[1]Feb midyear NOMMA'!E33</f>
        <v>0</v>
      </c>
      <c r="Z36" s="282">
        <f t="shared" si="46"/>
        <v>0</v>
      </c>
      <c r="AA36" s="283">
        <f t="shared" si="34"/>
        <v>0</v>
      </c>
      <c r="AB36" s="325">
        <f t="shared" si="47"/>
        <v>0</v>
      </c>
      <c r="AC36" s="298">
        <f t="shared" si="48"/>
        <v>0</v>
      </c>
      <c r="AD36" s="325">
        <f t="shared" si="49"/>
        <v>0</v>
      </c>
      <c r="AE36" s="284">
        <v>0</v>
      </c>
      <c r="AF36" s="325">
        <f t="shared" si="50"/>
        <v>0</v>
      </c>
      <c r="AG36" s="282">
        <f>'[2]Table 5C1D-NOMMA'!AI36+'[14]Table 5C1D-NOMMA'!AI36+(6*'[20]Table 5C1D-NOMMA'!AI36)</f>
        <v>0</v>
      </c>
      <c r="AH36" s="282">
        <f t="shared" si="51"/>
        <v>0</v>
      </c>
      <c r="AI36" s="329">
        <f t="shared" si="35"/>
        <v>0</v>
      </c>
      <c r="AJ36" s="338">
        <f t="shared" si="52"/>
        <v>0</v>
      </c>
      <c r="AK36" s="343">
        <f t="shared" si="53"/>
        <v>0</v>
      </c>
      <c r="AM36" s="296">
        <v>0</v>
      </c>
      <c r="AN36" s="296">
        <f t="shared" si="54"/>
        <v>0</v>
      </c>
      <c r="AO36" s="296">
        <f t="shared" si="56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2.1.14'!O33</f>
        <v>0</v>
      </c>
      <c r="D37" s="208">
        <f>+'Table 5C1A-Madison Prep'!D37</f>
        <v>4520.6176716868531</v>
      </c>
      <c r="E37" s="209">
        <f t="shared" si="37"/>
        <v>0</v>
      </c>
      <c r="F37" s="209">
        <f>+'Table 5C1A-Madison Prep'!F37</f>
        <v>620.83000000000004</v>
      </c>
      <c r="G37" s="209">
        <f t="shared" si="38"/>
        <v>0</v>
      </c>
      <c r="H37" s="344">
        <f t="shared" si="39"/>
        <v>0</v>
      </c>
      <c r="I37" s="990">
        <f>'[1]Oct midyear NOMMA'!K34</f>
        <v>0</v>
      </c>
      <c r="J37" s="210">
        <f>'[1]Feb midyear NOMMA'!K34</f>
        <v>0</v>
      </c>
      <c r="K37" s="211">
        <f t="shared" si="40"/>
        <v>0</v>
      </c>
      <c r="L37" s="344">
        <f t="shared" si="31"/>
        <v>0</v>
      </c>
      <c r="M37" s="273">
        <f t="shared" si="41"/>
        <v>0</v>
      </c>
      <c r="N37" s="344">
        <f t="shared" si="55"/>
        <v>0</v>
      </c>
      <c r="O37" s="208">
        <v>0</v>
      </c>
      <c r="P37" s="350">
        <f t="shared" si="42"/>
        <v>0</v>
      </c>
      <c r="Q37" s="210">
        <f>'[2]Table 5C1D-NOMMA'!S37+'[14]Table 5C1D-NOMMA'!S37+(6*'[20]Table 5C1D-NOMMA'!S37)</f>
        <v>0</v>
      </c>
      <c r="R37" s="210">
        <f t="shared" si="43"/>
        <v>0</v>
      </c>
      <c r="S37" s="350">
        <f t="shared" si="32"/>
        <v>0</v>
      </c>
      <c r="T37" s="350">
        <f t="shared" si="44"/>
        <v>0</v>
      </c>
      <c r="U37" s="274">
        <f>'Table 5C1A-Madison Prep'!U37</f>
        <v>5028</v>
      </c>
      <c r="V37" s="327">
        <f t="shared" si="33"/>
        <v>0</v>
      </c>
      <c r="W37" s="883">
        <f>'[1]Oct midyear NOMMA'!E34</f>
        <v>0</v>
      </c>
      <c r="X37" s="276">
        <f t="shared" si="45"/>
        <v>0</v>
      </c>
      <c r="Y37" s="883">
        <f>'[1]Feb midyear NOMMA'!E34</f>
        <v>0</v>
      </c>
      <c r="Z37" s="276">
        <f t="shared" si="46"/>
        <v>0</v>
      </c>
      <c r="AA37" s="275">
        <f t="shared" si="34"/>
        <v>0</v>
      </c>
      <c r="AB37" s="323">
        <f t="shared" si="47"/>
        <v>0</v>
      </c>
      <c r="AC37" s="278">
        <f t="shared" si="48"/>
        <v>0</v>
      </c>
      <c r="AD37" s="323">
        <f t="shared" si="49"/>
        <v>0</v>
      </c>
      <c r="AE37" s="279">
        <v>0</v>
      </c>
      <c r="AF37" s="323">
        <f t="shared" si="50"/>
        <v>0</v>
      </c>
      <c r="AG37" s="276">
        <f>'[2]Table 5C1D-NOMMA'!AI37+'[14]Table 5C1D-NOMMA'!AI37+(6*'[20]Table 5C1D-NOMMA'!AI37)</f>
        <v>0</v>
      </c>
      <c r="AH37" s="276">
        <f t="shared" si="51"/>
        <v>0</v>
      </c>
      <c r="AI37" s="327">
        <f t="shared" si="35"/>
        <v>0</v>
      </c>
      <c r="AJ37" s="337">
        <f t="shared" si="52"/>
        <v>0</v>
      </c>
      <c r="AK37" s="341">
        <f t="shared" si="53"/>
        <v>0</v>
      </c>
      <c r="AM37" s="273">
        <v>0</v>
      </c>
      <c r="AN37" s="273">
        <f t="shared" si="54"/>
        <v>0</v>
      </c>
      <c r="AO37" s="273">
        <f t="shared" si="56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2.1.14'!O34</f>
        <v>0</v>
      </c>
      <c r="D38" s="201">
        <f>+'Table 5C1A-Madison Prep'!D38</f>
        <v>5652.819189061127</v>
      </c>
      <c r="E38" s="202">
        <f t="shared" si="37"/>
        <v>0</v>
      </c>
      <c r="F38" s="202">
        <f>+'Table 5C1A-Madison Prep'!F38</f>
        <v>559.77</v>
      </c>
      <c r="G38" s="202">
        <f t="shared" si="38"/>
        <v>0</v>
      </c>
      <c r="H38" s="345">
        <f t="shared" si="39"/>
        <v>0</v>
      </c>
      <c r="I38" s="991">
        <f>'[1]Oct midyear NOMMA'!K35</f>
        <v>0</v>
      </c>
      <c r="J38" s="203">
        <f>'[1]Feb midyear NOMMA'!K35</f>
        <v>0</v>
      </c>
      <c r="K38" s="204">
        <f t="shared" si="40"/>
        <v>0</v>
      </c>
      <c r="L38" s="345">
        <f t="shared" si="31"/>
        <v>0</v>
      </c>
      <c r="M38" s="286">
        <f t="shared" si="41"/>
        <v>0</v>
      </c>
      <c r="N38" s="345">
        <f t="shared" si="55"/>
        <v>0</v>
      </c>
      <c r="O38" s="201">
        <v>0</v>
      </c>
      <c r="P38" s="351">
        <f t="shared" si="42"/>
        <v>0</v>
      </c>
      <c r="Q38" s="203">
        <f>'[2]Table 5C1D-NOMMA'!S38+'[14]Table 5C1D-NOMMA'!S38+(6*'[20]Table 5C1D-NOMMA'!S38)</f>
        <v>0</v>
      </c>
      <c r="R38" s="203">
        <f t="shared" si="43"/>
        <v>0</v>
      </c>
      <c r="S38" s="351">
        <f t="shared" si="32"/>
        <v>0</v>
      </c>
      <c r="T38" s="351">
        <f t="shared" si="44"/>
        <v>0</v>
      </c>
      <c r="U38" s="287">
        <f>'Table 5C1A-Madison Prep'!U38</f>
        <v>2139</v>
      </c>
      <c r="V38" s="328">
        <f t="shared" si="33"/>
        <v>0</v>
      </c>
      <c r="W38" s="289">
        <f>'[1]Oct midyear NOMMA'!E35</f>
        <v>0</v>
      </c>
      <c r="X38" s="290">
        <f t="shared" si="45"/>
        <v>0</v>
      </c>
      <c r="Y38" s="289">
        <f>'[1]Feb midyear NOMMA'!E35</f>
        <v>0</v>
      </c>
      <c r="Z38" s="290">
        <f t="shared" si="46"/>
        <v>0</v>
      </c>
      <c r="AA38" s="288">
        <f t="shared" si="34"/>
        <v>0</v>
      </c>
      <c r="AB38" s="324">
        <f t="shared" si="47"/>
        <v>0</v>
      </c>
      <c r="AC38" s="292">
        <f t="shared" si="48"/>
        <v>0</v>
      </c>
      <c r="AD38" s="324">
        <f t="shared" si="49"/>
        <v>0</v>
      </c>
      <c r="AE38" s="293">
        <v>0</v>
      </c>
      <c r="AF38" s="324">
        <f t="shared" si="50"/>
        <v>0</v>
      </c>
      <c r="AG38" s="290">
        <f>'[2]Table 5C1D-NOMMA'!AI38+'[14]Table 5C1D-NOMMA'!AI38+(6*'[20]Table 5C1D-NOMMA'!AI38)</f>
        <v>0</v>
      </c>
      <c r="AH38" s="290">
        <f t="shared" si="51"/>
        <v>0</v>
      </c>
      <c r="AI38" s="328">
        <f t="shared" si="35"/>
        <v>0</v>
      </c>
      <c r="AJ38" s="321">
        <f t="shared" si="52"/>
        <v>0</v>
      </c>
      <c r="AK38" s="342">
        <f t="shared" si="53"/>
        <v>0</v>
      </c>
      <c r="AM38" s="286">
        <v>0</v>
      </c>
      <c r="AN38" s="286">
        <f t="shared" si="54"/>
        <v>0</v>
      </c>
      <c r="AO38" s="286">
        <f t="shared" si="56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2.1.14'!O35</f>
        <v>0</v>
      </c>
      <c r="D39" s="201">
        <f>+'Table 5C1A-Madison Prep'!D39</f>
        <v>5456.2254558085233</v>
      </c>
      <c r="E39" s="202">
        <f t="shared" si="37"/>
        <v>0</v>
      </c>
      <c r="F39" s="202">
        <f>+'Table 5C1A-Madison Prep'!F39</f>
        <v>655.31000000000006</v>
      </c>
      <c r="G39" s="202">
        <f t="shared" si="38"/>
        <v>0</v>
      </c>
      <c r="H39" s="345">
        <f t="shared" si="39"/>
        <v>0</v>
      </c>
      <c r="I39" s="991">
        <f>'[1]Oct midyear NOMMA'!K36</f>
        <v>0</v>
      </c>
      <c r="J39" s="203">
        <f>'[1]Feb midyear NOMMA'!K36</f>
        <v>0</v>
      </c>
      <c r="K39" s="204">
        <f t="shared" si="40"/>
        <v>0</v>
      </c>
      <c r="L39" s="345">
        <f t="shared" ref="L39:L70" si="57">H39+K39</f>
        <v>0</v>
      </c>
      <c r="M39" s="286">
        <f t="shared" si="41"/>
        <v>0</v>
      </c>
      <c r="N39" s="345">
        <f t="shared" si="55"/>
        <v>0</v>
      </c>
      <c r="O39" s="201">
        <v>0</v>
      </c>
      <c r="P39" s="351">
        <f t="shared" si="42"/>
        <v>0</v>
      </c>
      <c r="Q39" s="203">
        <f>'[2]Table 5C1D-NOMMA'!S39+'[14]Table 5C1D-NOMMA'!S39+(6*'[20]Table 5C1D-NOMMA'!S39)</f>
        <v>0</v>
      </c>
      <c r="R39" s="203">
        <f t="shared" si="43"/>
        <v>0</v>
      </c>
      <c r="S39" s="351">
        <f t="shared" ref="S39:S70" si="58">ROUND(R39/$S$88,0)</f>
        <v>0</v>
      </c>
      <c r="T39" s="351">
        <f t="shared" si="44"/>
        <v>0</v>
      </c>
      <c r="U39" s="287">
        <f>'Table 5C1A-Madison Prep'!U39</f>
        <v>3784</v>
      </c>
      <c r="V39" s="328">
        <f t="shared" ref="V39:V70" si="59">C39*U39</f>
        <v>0</v>
      </c>
      <c r="W39" s="289">
        <f>'[1]Oct midyear NOMMA'!E36</f>
        <v>0</v>
      </c>
      <c r="X39" s="290">
        <f t="shared" si="45"/>
        <v>0</v>
      </c>
      <c r="Y39" s="289">
        <f>'[1]Feb midyear NOMMA'!E36</f>
        <v>0</v>
      </c>
      <c r="Z39" s="290">
        <f t="shared" si="46"/>
        <v>0</v>
      </c>
      <c r="AA39" s="288">
        <f t="shared" si="34"/>
        <v>0</v>
      </c>
      <c r="AB39" s="324">
        <f t="shared" si="47"/>
        <v>0</v>
      </c>
      <c r="AC39" s="292">
        <f t="shared" si="48"/>
        <v>0</v>
      </c>
      <c r="AD39" s="324">
        <f t="shared" si="49"/>
        <v>0</v>
      </c>
      <c r="AE39" s="293">
        <v>0</v>
      </c>
      <c r="AF39" s="324">
        <f t="shared" si="50"/>
        <v>0</v>
      </c>
      <c r="AG39" s="290">
        <f>'[2]Table 5C1D-NOMMA'!AI39+'[14]Table 5C1D-NOMMA'!AI39+(6*'[20]Table 5C1D-NOMMA'!AI39)</f>
        <v>0</v>
      </c>
      <c r="AH39" s="290">
        <f t="shared" si="51"/>
        <v>0</v>
      </c>
      <c r="AI39" s="328">
        <f t="shared" ref="AI39:AI70" si="60">ROUND(AH39/$AI$88,0)</f>
        <v>0</v>
      </c>
      <c r="AJ39" s="321">
        <f t="shared" si="52"/>
        <v>0</v>
      </c>
      <c r="AK39" s="342">
        <f t="shared" si="53"/>
        <v>0</v>
      </c>
      <c r="AM39" s="286">
        <v>0</v>
      </c>
      <c r="AN39" s="286">
        <f t="shared" si="54"/>
        <v>0</v>
      </c>
      <c r="AO39" s="286">
        <f t="shared" si="56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2.1.14'!O36</f>
        <v>0</v>
      </c>
      <c r="D40" s="201">
        <f>+'Table 5C1A-Madison Prep'!D40</f>
        <v>6292.0976842789005</v>
      </c>
      <c r="E40" s="202">
        <f t="shared" si="37"/>
        <v>0</v>
      </c>
      <c r="F40" s="202">
        <f>+'Table 5C1A-Madison Prep'!F40</f>
        <v>644.11000000000013</v>
      </c>
      <c r="G40" s="202">
        <f t="shared" si="38"/>
        <v>0</v>
      </c>
      <c r="H40" s="345">
        <f t="shared" si="39"/>
        <v>0</v>
      </c>
      <c r="I40" s="991">
        <f>'[1]Oct midyear NOMMA'!K37</f>
        <v>0</v>
      </c>
      <c r="J40" s="203">
        <f>'[1]Feb midyear NOMMA'!K37</f>
        <v>0</v>
      </c>
      <c r="K40" s="204">
        <f t="shared" si="40"/>
        <v>0</v>
      </c>
      <c r="L40" s="345">
        <f t="shared" si="57"/>
        <v>0</v>
      </c>
      <c r="M40" s="286">
        <f t="shared" si="41"/>
        <v>0</v>
      </c>
      <c r="N40" s="345">
        <f t="shared" si="55"/>
        <v>0</v>
      </c>
      <c r="O40" s="201">
        <v>0</v>
      </c>
      <c r="P40" s="351">
        <f t="shared" si="42"/>
        <v>0</v>
      </c>
      <c r="Q40" s="203">
        <f>'[2]Table 5C1D-NOMMA'!S40+'[14]Table 5C1D-NOMMA'!S40+(6*'[20]Table 5C1D-NOMMA'!S40)</f>
        <v>0</v>
      </c>
      <c r="R40" s="203">
        <f t="shared" si="43"/>
        <v>0</v>
      </c>
      <c r="S40" s="351">
        <f t="shared" si="58"/>
        <v>0</v>
      </c>
      <c r="T40" s="351">
        <f t="shared" si="44"/>
        <v>0</v>
      </c>
      <c r="U40" s="287">
        <f>'Table 5C1A-Madison Prep'!U40</f>
        <v>2911</v>
      </c>
      <c r="V40" s="328">
        <f t="shared" si="59"/>
        <v>0</v>
      </c>
      <c r="W40" s="289">
        <f>'[1]Oct midyear NOMMA'!E37</f>
        <v>0</v>
      </c>
      <c r="X40" s="290">
        <f t="shared" si="45"/>
        <v>0</v>
      </c>
      <c r="Y40" s="289">
        <f>'[1]Feb midyear NOMMA'!E37</f>
        <v>0</v>
      </c>
      <c r="Z40" s="290">
        <f t="shared" si="46"/>
        <v>0</v>
      </c>
      <c r="AA40" s="288">
        <f t="shared" si="34"/>
        <v>0</v>
      </c>
      <c r="AB40" s="324">
        <f t="shared" si="47"/>
        <v>0</v>
      </c>
      <c r="AC40" s="292">
        <f t="shared" si="48"/>
        <v>0</v>
      </c>
      <c r="AD40" s="324">
        <f t="shared" si="49"/>
        <v>0</v>
      </c>
      <c r="AE40" s="293">
        <v>0</v>
      </c>
      <c r="AF40" s="324">
        <f t="shared" si="50"/>
        <v>0</v>
      </c>
      <c r="AG40" s="290">
        <f>'[2]Table 5C1D-NOMMA'!AI40+'[14]Table 5C1D-NOMMA'!AI40+(6*'[20]Table 5C1D-NOMMA'!AI40)</f>
        <v>0</v>
      </c>
      <c r="AH40" s="290">
        <f t="shared" si="51"/>
        <v>0</v>
      </c>
      <c r="AI40" s="328">
        <f t="shared" si="60"/>
        <v>0</v>
      </c>
      <c r="AJ40" s="321">
        <f t="shared" si="52"/>
        <v>0</v>
      </c>
      <c r="AK40" s="342">
        <f t="shared" si="53"/>
        <v>0</v>
      </c>
      <c r="AM40" s="286">
        <v>0</v>
      </c>
      <c r="AN40" s="286">
        <f t="shared" si="54"/>
        <v>0</v>
      </c>
      <c r="AO40" s="286">
        <f t="shared" si="56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2.1.14'!O37</f>
        <v>0</v>
      </c>
      <c r="D41" s="194">
        <f>+'Table 5C1A-Madison Prep'!D41</f>
        <v>5166.2482060477605</v>
      </c>
      <c r="E41" s="195">
        <f t="shared" si="37"/>
        <v>0</v>
      </c>
      <c r="F41" s="195">
        <f>+'Table 5C1A-Madison Prep'!F41</f>
        <v>537.96</v>
      </c>
      <c r="G41" s="195">
        <f t="shared" si="38"/>
        <v>0</v>
      </c>
      <c r="H41" s="346">
        <f t="shared" si="39"/>
        <v>0</v>
      </c>
      <c r="I41" s="992">
        <f>'[1]Oct midyear NOMMA'!K38</f>
        <v>0</v>
      </c>
      <c r="J41" s="196">
        <f>'[1]Feb midyear NOMMA'!K38</f>
        <v>0</v>
      </c>
      <c r="K41" s="197">
        <f t="shared" si="40"/>
        <v>0</v>
      </c>
      <c r="L41" s="346">
        <f t="shared" si="57"/>
        <v>0</v>
      </c>
      <c r="M41" s="296">
        <f t="shared" si="41"/>
        <v>0</v>
      </c>
      <c r="N41" s="346">
        <f t="shared" si="55"/>
        <v>0</v>
      </c>
      <c r="O41" s="194">
        <v>0</v>
      </c>
      <c r="P41" s="352">
        <f t="shared" si="42"/>
        <v>0</v>
      </c>
      <c r="Q41" s="622">
        <f>'[2]Table 5C1D-NOMMA'!S41+'[14]Table 5C1D-NOMMA'!S41+(6*'[20]Table 5C1D-NOMMA'!S41)</f>
        <v>0</v>
      </c>
      <c r="R41" s="196">
        <f t="shared" si="43"/>
        <v>0</v>
      </c>
      <c r="S41" s="356">
        <f t="shared" si="58"/>
        <v>0</v>
      </c>
      <c r="T41" s="356">
        <f t="shared" si="44"/>
        <v>0</v>
      </c>
      <c r="U41" s="281">
        <f>'Table 5C1A-Madison Prep'!U41</f>
        <v>3337</v>
      </c>
      <c r="V41" s="329">
        <f t="shared" si="59"/>
        <v>0</v>
      </c>
      <c r="W41" s="884">
        <f>'[1]Oct midyear NOMMA'!E38</f>
        <v>0</v>
      </c>
      <c r="X41" s="282">
        <f t="shared" si="45"/>
        <v>0</v>
      </c>
      <c r="Y41" s="884">
        <f>'[1]Feb midyear NOMMA'!E38</f>
        <v>0</v>
      </c>
      <c r="Z41" s="282">
        <f t="shared" si="46"/>
        <v>0</v>
      </c>
      <c r="AA41" s="283">
        <f t="shared" si="34"/>
        <v>0</v>
      </c>
      <c r="AB41" s="325">
        <f t="shared" si="47"/>
        <v>0</v>
      </c>
      <c r="AC41" s="298">
        <f t="shared" si="48"/>
        <v>0</v>
      </c>
      <c r="AD41" s="325">
        <f t="shared" si="49"/>
        <v>0</v>
      </c>
      <c r="AE41" s="284">
        <v>0</v>
      </c>
      <c r="AF41" s="325">
        <f t="shared" si="50"/>
        <v>0</v>
      </c>
      <c r="AG41" s="282">
        <f>'[2]Table 5C1D-NOMMA'!AI41+'[14]Table 5C1D-NOMMA'!AI41+(6*'[20]Table 5C1D-NOMMA'!AI41)</f>
        <v>0</v>
      </c>
      <c r="AH41" s="282">
        <f t="shared" si="51"/>
        <v>0</v>
      </c>
      <c r="AI41" s="329">
        <f t="shared" si="60"/>
        <v>0</v>
      </c>
      <c r="AJ41" s="338">
        <f t="shared" si="52"/>
        <v>0</v>
      </c>
      <c r="AK41" s="343">
        <f t="shared" si="53"/>
        <v>0</v>
      </c>
      <c r="AM41" s="296">
        <v>0</v>
      </c>
      <c r="AN41" s="296">
        <f t="shared" si="54"/>
        <v>0</v>
      </c>
      <c r="AO41" s="296">
        <f t="shared" si="56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2.1.14'!O38</f>
        <v>158</v>
      </c>
      <c r="D42" s="208">
        <f>+'Table 5C1A-Madison Prep'!D42</f>
        <v>3602.7009974327857</v>
      </c>
      <c r="E42" s="209">
        <f t="shared" si="37"/>
        <v>569226.75759438018</v>
      </c>
      <c r="F42" s="209">
        <f>+'Table 5C1A-Madison Prep'!F42</f>
        <v>746.0335616438357</v>
      </c>
      <c r="G42" s="209">
        <f t="shared" si="38"/>
        <v>117873.30273972604</v>
      </c>
      <c r="H42" s="344">
        <f t="shared" si="39"/>
        <v>687100.06033410621</v>
      </c>
      <c r="I42" s="990">
        <f>'[1]Oct midyear NOMMA'!K39</f>
        <v>326155.09193074662</v>
      </c>
      <c r="J42" s="210">
        <f>'[1]Feb midyear NOMMA'!K39</f>
        <v>-4348.7345590766217</v>
      </c>
      <c r="K42" s="211">
        <f t="shared" si="40"/>
        <v>321806.35737167002</v>
      </c>
      <c r="L42" s="344">
        <f t="shared" si="57"/>
        <v>1008906.4177057762</v>
      </c>
      <c r="M42" s="273">
        <f t="shared" si="41"/>
        <v>-2522.2660442644406</v>
      </c>
      <c r="N42" s="344">
        <f t="shared" si="55"/>
        <v>1006384.1516615117</v>
      </c>
      <c r="O42" s="208">
        <v>0</v>
      </c>
      <c r="P42" s="350">
        <f t="shared" si="42"/>
        <v>1006384.1516615117</v>
      </c>
      <c r="Q42" s="210">
        <f>'[2]Table 5C1D-NOMMA'!S42+'[14]Table 5C1D-NOMMA'!S42+(6*'[20]Table 5C1D-NOMMA'!S42)</f>
        <v>657017</v>
      </c>
      <c r="R42" s="210">
        <f t="shared" si="43"/>
        <v>349367.15166151174</v>
      </c>
      <c r="S42" s="350">
        <f t="shared" si="58"/>
        <v>87342</v>
      </c>
      <c r="T42" s="350">
        <f t="shared" si="44"/>
        <v>1006384.1516615117</v>
      </c>
      <c r="U42" s="274">
        <f>'Table 5C1A-Madison Prep'!U42</f>
        <v>5469</v>
      </c>
      <c r="V42" s="327">
        <f t="shared" si="59"/>
        <v>864102</v>
      </c>
      <c r="W42" s="883">
        <f>'[1]Oct midyear NOMMA'!E39</f>
        <v>75</v>
      </c>
      <c r="X42" s="276">
        <f t="shared" si="45"/>
        <v>410175</v>
      </c>
      <c r="Y42" s="883">
        <f>'[1]Feb midyear NOMMA'!E39</f>
        <v>-2</v>
      </c>
      <c r="Z42" s="276">
        <f t="shared" si="46"/>
        <v>-5469</v>
      </c>
      <c r="AA42" s="275">
        <f t="shared" si="34"/>
        <v>404706</v>
      </c>
      <c r="AB42" s="323">
        <f t="shared" si="47"/>
        <v>1268808</v>
      </c>
      <c r="AC42" s="278">
        <f t="shared" si="48"/>
        <v>-3172.02</v>
      </c>
      <c r="AD42" s="323">
        <f t="shared" si="49"/>
        <v>1265635.98</v>
      </c>
      <c r="AE42" s="279">
        <v>0</v>
      </c>
      <c r="AF42" s="323">
        <f t="shared" si="50"/>
        <v>1265635.98</v>
      </c>
      <c r="AG42" s="276">
        <f>'[2]Table 5C1D-NOMMA'!AI42+'[14]Table 5C1D-NOMMA'!AI42+(6*'[20]Table 5C1D-NOMMA'!AI42)</f>
        <v>821131</v>
      </c>
      <c r="AH42" s="276">
        <f t="shared" si="51"/>
        <v>444504.98</v>
      </c>
      <c r="AI42" s="327">
        <f t="shared" si="60"/>
        <v>111126</v>
      </c>
      <c r="AJ42" s="337">
        <f t="shared" si="52"/>
        <v>2272020.131661512</v>
      </c>
      <c r="AK42" s="341">
        <f t="shared" si="53"/>
        <v>198468</v>
      </c>
      <c r="AM42" s="273">
        <v>-2146.8249999999998</v>
      </c>
      <c r="AN42" s="273">
        <f t="shared" si="54"/>
        <v>-3172.02</v>
      </c>
      <c r="AO42" s="273">
        <f t="shared" si="56"/>
        <v>-1025.1950000000002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2.1.14'!O39</f>
        <v>0</v>
      </c>
      <c r="D43" s="201">
        <f>+'Table 5C1A-Madison Prep'!D43</f>
        <v>5665.3839260317691</v>
      </c>
      <c r="E43" s="202">
        <f t="shared" si="37"/>
        <v>0</v>
      </c>
      <c r="F43" s="202">
        <f>+'Table 5C1A-Madison Prep'!F43</f>
        <v>653.61</v>
      </c>
      <c r="G43" s="202">
        <f t="shared" si="38"/>
        <v>0</v>
      </c>
      <c r="H43" s="345">
        <f t="shared" si="39"/>
        <v>0</v>
      </c>
      <c r="I43" s="991">
        <f>'[1]Oct midyear NOMMA'!K40</f>
        <v>0</v>
      </c>
      <c r="J43" s="203">
        <f>'[1]Feb midyear NOMMA'!K40</f>
        <v>0</v>
      </c>
      <c r="K43" s="204">
        <f t="shared" si="40"/>
        <v>0</v>
      </c>
      <c r="L43" s="345">
        <f t="shared" si="57"/>
        <v>0</v>
      </c>
      <c r="M43" s="286">
        <f t="shared" si="41"/>
        <v>0</v>
      </c>
      <c r="N43" s="345">
        <f t="shared" si="55"/>
        <v>0</v>
      </c>
      <c r="O43" s="201">
        <v>0</v>
      </c>
      <c r="P43" s="351">
        <f t="shared" si="42"/>
        <v>0</v>
      </c>
      <c r="Q43" s="203">
        <f>'[2]Table 5C1D-NOMMA'!S43+'[14]Table 5C1D-NOMMA'!S43+(6*'[20]Table 5C1D-NOMMA'!S43)</f>
        <v>0</v>
      </c>
      <c r="R43" s="203">
        <f t="shared" si="43"/>
        <v>0</v>
      </c>
      <c r="S43" s="351">
        <f t="shared" si="58"/>
        <v>0</v>
      </c>
      <c r="T43" s="351">
        <f t="shared" si="44"/>
        <v>0</v>
      </c>
      <c r="U43" s="287">
        <f>'Table 5C1A-Madison Prep'!U43</f>
        <v>3424</v>
      </c>
      <c r="V43" s="328">
        <f t="shared" si="59"/>
        <v>0</v>
      </c>
      <c r="W43" s="289">
        <f>'[1]Oct midyear NOMMA'!E40</f>
        <v>0</v>
      </c>
      <c r="X43" s="290">
        <f t="shared" si="45"/>
        <v>0</v>
      </c>
      <c r="Y43" s="289">
        <f>'[1]Feb midyear NOMMA'!E40</f>
        <v>0</v>
      </c>
      <c r="Z43" s="290">
        <f t="shared" si="46"/>
        <v>0</v>
      </c>
      <c r="AA43" s="288">
        <f t="shared" si="34"/>
        <v>0</v>
      </c>
      <c r="AB43" s="324">
        <f t="shared" si="47"/>
        <v>0</v>
      </c>
      <c r="AC43" s="292">
        <f t="shared" si="48"/>
        <v>0</v>
      </c>
      <c r="AD43" s="324">
        <f t="shared" si="49"/>
        <v>0</v>
      </c>
      <c r="AE43" s="293">
        <v>0</v>
      </c>
      <c r="AF43" s="324">
        <f t="shared" si="50"/>
        <v>0</v>
      </c>
      <c r="AG43" s="290">
        <f>'[2]Table 5C1D-NOMMA'!AI43+'[14]Table 5C1D-NOMMA'!AI43+(6*'[20]Table 5C1D-NOMMA'!AI43)</f>
        <v>0</v>
      </c>
      <c r="AH43" s="290">
        <f t="shared" si="51"/>
        <v>0</v>
      </c>
      <c r="AI43" s="328">
        <f t="shared" si="60"/>
        <v>0</v>
      </c>
      <c r="AJ43" s="321">
        <f t="shared" si="52"/>
        <v>0</v>
      </c>
      <c r="AK43" s="342">
        <f t="shared" si="53"/>
        <v>0</v>
      </c>
      <c r="AM43" s="286">
        <v>0</v>
      </c>
      <c r="AN43" s="286">
        <f t="shared" si="54"/>
        <v>0</v>
      </c>
      <c r="AO43" s="286">
        <f t="shared" si="56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2.1.14'!O40</f>
        <v>7</v>
      </c>
      <c r="D44" s="201">
        <f>+'Table 5C1A-Madison Prep'!D44</f>
        <v>2088.8017552916881</v>
      </c>
      <c r="E44" s="202">
        <f t="shared" si="37"/>
        <v>14621.612287041817</v>
      </c>
      <c r="F44" s="202">
        <f>+'Table 5C1A-Madison Prep'!F44</f>
        <v>829.92000000000007</v>
      </c>
      <c r="G44" s="202">
        <f t="shared" si="38"/>
        <v>5809.4400000000005</v>
      </c>
      <c r="H44" s="345">
        <f t="shared" si="39"/>
        <v>20431.052287041817</v>
      </c>
      <c r="I44" s="991">
        <f>'[1]Oct midyear NOMMA'!K41</f>
        <v>29187.217552916882</v>
      </c>
      <c r="J44" s="203">
        <f>'[1]Feb midyear NOMMA'!K41</f>
        <v>-1459.3608776458441</v>
      </c>
      <c r="K44" s="204">
        <f t="shared" si="40"/>
        <v>27727.856675271039</v>
      </c>
      <c r="L44" s="345">
        <f t="shared" si="57"/>
        <v>48158.908962312853</v>
      </c>
      <c r="M44" s="286">
        <f t="shared" si="41"/>
        <v>-120.39727240578213</v>
      </c>
      <c r="N44" s="345">
        <f t="shared" si="55"/>
        <v>48038.511689907071</v>
      </c>
      <c r="O44" s="201">
        <v>0</v>
      </c>
      <c r="P44" s="351">
        <f t="shared" si="42"/>
        <v>48038.511689907071</v>
      </c>
      <c r="Q44" s="203">
        <f>'[2]Table 5C1D-NOMMA'!S44+'[14]Table 5C1D-NOMMA'!S44+(6*'[20]Table 5C1D-NOMMA'!S44)</f>
        <v>28410</v>
      </c>
      <c r="R44" s="203">
        <f t="shared" si="43"/>
        <v>19628.511689907071</v>
      </c>
      <c r="S44" s="351">
        <f t="shared" si="58"/>
        <v>4907</v>
      </c>
      <c r="T44" s="351">
        <f t="shared" si="44"/>
        <v>48038.511689907071</v>
      </c>
      <c r="U44" s="287">
        <f>'Table 5C1A-Madison Prep'!U44</f>
        <v>11060</v>
      </c>
      <c r="V44" s="328">
        <f t="shared" si="59"/>
        <v>77420</v>
      </c>
      <c r="W44" s="289">
        <f>'[1]Oct midyear NOMMA'!E41</f>
        <v>10</v>
      </c>
      <c r="X44" s="290">
        <f t="shared" si="45"/>
        <v>110600</v>
      </c>
      <c r="Y44" s="289">
        <f>'[1]Feb midyear NOMMA'!E41</f>
        <v>-1</v>
      </c>
      <c r="Z44" s="290">
        <f t="shared" si="46"/>
        <v>-5530</v>
      </c>
      <c r="AA44" s="288">
        <f t="shared" si="34"/>
        <v>105070</v>
      </c>
      <c r="AB44" s="324">
        <f t="shared" si="47"/>
        <v>182490</v>
      </c>
      <c r="AC44" s="292">
        <f t="shared" si="48"/>
        <v>-456.22500000000002</v>
      </c>
      <c r="AD44" s="324">
        <f t="shared" si="49"/>
        <v>182033.77499999999</v>
      </c>
      <c r="AE44" s="293">
        <v>0</v>
      </c>
      <c r="AF44" s="324">
        <f t="shared" si="50"/>
        <v>182033.77499999999</v>
      </c>
      <c r="AG44" s="290">
        <f>'[2]Table 5C1D-NOMMA'!AI44+'[14]Table 5C1D-NOMMA'!AI44+(6*'[20]Table 5C1D-NOMMA'!AI44)</f>
        <v>110753</v>
      </c>
      <c r="AH44" s="290">
        <f t="shared" si="51"/>
        <v>71280.774999999994</v>
      </c>
      <c r="AI44" s="328">
        <f t="shared" si="60"/>
        <v>17820</v>
      </c>
      <c r="AJ44" s="321">
        <f t="shared" si="52"/>
        <v>230072.28668990708</v>
      </c>
      <c r="AK44" s="342">
        <f t="shared" si="53"/>
        <v>22727</v>
      </c>
      <c r="AM44" s="286">
        <v>-199.13249999999999</v>
      </c>
      <c r="AN44" s="286">
        <f t="shared" si="54"/>
        <v>-456.22500000000002</v>
      </c>
      <c r="AO44" s="286">
        <f t="shared" si="56"/>
        <v>-257.09250000000003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2.1.14'!O41</f>
        <v>0</v>
      </c>
      <c r="D45" s="201">
        <f>+'Table 5C1A-Madison Prep'!D45</f>
        <v>3656.9056809295676</v>
      </c>
      <c r="E45" s="202">
        <f t="shared" si="37"/>
        <v>0</v>
      </c>
      <c r="F45" s="202">
        <f>+'Table 5C1A-Madison Prep'!F45</f>
        <v>779.65573042776396</v>
      </c>
      <c r="G45" s="202">
        <f t="shared" si="38"/>
        <v>0</v>
      </c>
      <c r="H45" s="345">
        <f t="shared" si="39"/>
        <v>0</v>
      </c>
      <c r="I45" s="991">
        <f>'[1]Oct midyear NOMMA'!K42</f>
        <v>0</v>
      </c>
      <c r="J45" s="203">
        <f>'[1]Feb midyear NOMMA'!K42</f>
        <v>0</v>
      </c>
      <c r="K45" s="204">
        <f t="shared" si="40"/>
        <v>0</v>
      </c>
      <c r="L45" s="345">
        <f t="shared" si="57"/>
        <v>0</v>
      </c>
      <c r="M45" s="286">
        <f t="shared" si="41"/>
        <v>0</v>
      </c>
      <c r="N45" s="345">
        <f t="shared" si="55"/>
        <v>0</v>
      </c>
      <c r="O45" s="201">
        <v>0</v>
      </c>
      <c r="P45" s="351">
        <f t="shared" si="42"/>
        <v>0</v>
      </c>
      <c r="Q45" s="203">
        <f>'[2]Table 5C1D-NOMMA'!S45+'[14]Table 5C1D-NOMMA'!S45+(6*'[20]Table 5C1D-NOMMA'!S45)</f>
        <v>0</v>
      </c>
      <c r="R45" s="203">
        <f t="shared" si="43"/>
        <v>0</v>
      </c>
      <c r="S45" s="351">
        <f t="shared" si="58"/>
        <v>0</v>
      </c>
      <c r="T45" s="351">
        <f t="shared" si="44"/>
        <v>0</v>
      </c>
      <c r="U45" s="287">
        <f>'Table 5C1A-Madison Prep'!U45</f>
        <v>4922</v>
      </c>
      <c r="V45" s="328">
        <f t="shared" si="59"/>
        <v>0</v>
      </c>
      <c r="W45" s="289">
        <f>'[1]Oct midyear NOMMA'!E42</f>
        <v>0</v>
      </c>
      <c r="X45" s="290">
        <f t="shared" si="45"/>
        <v>0</v>
      </c>
      <c r="Y45" s="289">
        <f>'[1]Feb midyear NOMMA'!E42</f>
        <v>0</v>
      </c>
      <c r="Z45" s="290">
        <f t="shared" si="46"/>
        <v>0</v>
      </c>
      <c r="AA45" s="288">
        <f t="shared" si="34"/>
        <v>0</v>
      </c>
      <c r="AB45" s="324">
        <f t="shared" si="47"/>
        <v>0</v>
      </c>
      <c r="AC45" s="292">
        <f t="shared" si="48"/>
        <v>0</v>
      </c>
      <c r="AD45" s="324">
        <f t="shared" si="49"/>
        <v>0</v>
      </c>
      <c r="AE45" s="293">
        <v>0</v>
      </c>
      <c r="AF45" s="324">
        <f t="shared" si="50"/>
        <v>0</v>
      </c>
      <c r="AG45" s="290">
        <f>'[2]Table 5C1D-NOMMA'!AI45+'[14]Table 5C1D-NOMMA'!AI45+(6*'[20]Table 5C1D-NOMMA'!AI45)</f>
        <v>0</v>
      </c>
      <c r="AH45" s="290">
        <f t="shared" si="51"/>
        <v>0</v>
      </c>
      <c r="AI45" s="328">
        <f t="shared" si="60"/>
        <v>0</v>
      </c>
      <c r="AJ45" s="321">
        <f t="shared" si="52"/>
        <v>0</v>
      </c>
      <c r="AK45" s="342">
        <f t="shared" si="53"/>
        <v>0</v>
      </c>
      <c r="AM45" s="286">
        <v>0</v>
      </c>
      <c r="AN45" s="286">
        <f t="shared" si="54"/>
        <v>0</v>
      </c>
      <c r="AO45" s="286">
        <f t="shared" si="56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2.1.14'!O42</f>
        <v>0</v>
      </c>
      <c r="D46" s="194">
        <f>+'Table 5C1A-Madison Prep'!D46</f>
        <v>5121.8110285698403</v>
      </c>
      <c r="E46" s="195">
        <f t="shared" si="37"/>
        <v>0</v>
      </c>
      <c r="F46" s="195">
        <f>+'Table 5C1A-Madison Prep'!F46</f>
        <v>700.2700000000001</v>
      </c>
      <c r="G46" s="195">
        <f t="shared" si="38"/>
        <v>0</v>
      </c>
      <c r="H46" s="346">
        <f t="shared" si="39"/>
        <v>0</v>
      </c>
      <c r="I46" s="992">
        <f>'[1]Oct midyear NOMMA'!K43</f>
        <v>0</v>
      </c>
      <c r="J46" s="196">
        <f>'[1]Feb midyear NOMMA'!K43</f>
        <v>0</v>
      </c>
      <c r="K46" s="197">
        <f t="shared" si="40"/>
        <v>0</v>
      </c>
      <c r="L46" s="346">
        <f t="shared" si="57"/>
        <v>0</v>
      </c>
      <c r="M46" s="296">
        <f t="shared" si="41"/>
        <v>0</v>
      </c>
      <c r="N46" s="346">
        <f t="shared" si="55"/>
        <v>0</v>
      </c>
      <c r="O46" s="194">
        <v>0</v>
      </c>
      <c r="P46" s="352">
        <f t="shared" si="42"/>
        <v>0</v>
      </c>
      <c r="Q46" s="622">
        <f>'[2]Table 5C1D-NOMMA'!S46+'[14]Table 5C1D-NOMMA'!S46+(6*'[20]Table 5C1D-NOMMA'!S46)</f>
        <v>0</v>
      </c>
      <c r="R46" s="196">
        <f t="shared" si="43"/>
        <v>0</v>
      </c>
      <c r="S46" s="356">
        <f t="shared" si="58"/>
        <v>0</v>
      </c>
      <c r="T46" s="356">
        <f t="shared" si="44"/>
        <v>0</v>
      </c>
      <c r="U46" s="281">
        <f>'Table 5C1A-Madison Prep'!U46</f>
        <v>3152</v>
      </c>
      <c r="V46" s="329">
        <f t="shared" si="59"/>
        <v>0</v>
      </c>
      <c r="W46" s="884">
        <f>'[1]Oct midyear NOMMA'!E43</f>
        <v>0</v>
      </c>
      <c r="X46" s="282">
        <f t="shared" si="45"/>
        <v>0</v>
      </c>
      <c r="Y46" s="884">
        <f>'[1]Feb midyear NOMMA'!E43</f>
        <v>0</v>
      </c>
      <c r="Z46" s="282">
        <f t="shared" si="46"/>
        <v>0</v>
      </c>
      <c r="AA46" s="283">
        <f t="shared" si="34"/>
        <v>0</v>
      </c>
      <c r="AB46" s="325">
        <f t="shared" si="47"/>
        <v>0</v>
      </c>
      <c r="AC46" s="298">
        <f t="shared" si="48"/>
        <v>0</v>
      </c>
      <c r="AD46" s="325">
        <f t="shared" si="49"/>
        <v>0</v>
      </c>
      <c r="AE46" s="284">
        <v>0</v>
      </c>
      <c r="AF46" s="325">
        <f t="shared" si="50"/>
        <v>0</v>
      </c>
      <c r="AG46" s="282">
        <f>'[2]Table 5C1D-NOMMA'!AI46+'[14]Table 5C1D-NOMMA'!AI46+(6*'[20]Table 5C1D-NOMMA'!AI46)</f>
        <v>0</v>
      </c>
      <c r="AH46" s="282">
        <f t="shared" si="51"/>
        <v>0</v>
      </c>
      <c r="AI46" s="329">
        <f t="shared" si="60"/>
        <v>0</v>
      </c>
      <c r="AJ46" s="338">
        <f t="shared" si="52"/>
        <v>0</v>
      </c>
      <c r="AK46" s="343">
        <f t="shared" si="53"/>
        <v>0</v>
      </c>
      <c r="AM46" s="296">
        <v>0</v>
      </c>
      <c r="AN46" s="296">
        <f t="shared" si="54"/>
        <v>0</v>
      </c>
      <c r="AO46" s="296">
        <f t="shared" si="56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2.1.14'!O43</f>
        <v>0</v>
      </c>
      <c r="D47" s="208">
        <f>+'Table 5C1A-Madison Prep'!D47</f>
        <v>3291.1948574716475</v>
      </c>
      <c r="E47" s="209">
        <f t="shared" si="37"/>
        <v>0</v>
      </c>
      <c r="F47" s="209">
        <f>+'Table 5C1A-Madison Prep'!F47</f>
        <v>886.22</v>
      </c>
      <c r="G47" s="209">
        <f t="shared" si="38"/>
        <v>0</v>
      </c>
      <c r="H47" s="344">
        <f t="shared" si="39"/>
        <v>0</v>
      </c>
      <c r="I47" s="990">
        <f>'[1]Oct midyear NOMMA'!K44</f>
        <v>0</v>
      </c>
      <c r="J47" s="210">
        <f>'[1]Feb midyear NOMMA'!K44</f>
        <v>0</v>
      </c>
      <c r="K47" s="211">
        <f t="shared" si="40"/>
        <v>0</v>
      </c>
      <c r="L47" s="344">
        <f t="shared" si="57"/>
        <v>0</v>
      </c>
      <c r="M47" s="273">
        <f t="shared" si="41"/>
        <v>0</v>
      </c>
      <c r="N47" s="344">
        <f t="shared" si="55"/>
        <v>0</v>
      </c>
      <c r="O47" s="208">
        <v>0</v>
      </c>
      <c r="P47" s="350">
        <f t="shared" si="42"/>
        <v>0</v>
      </c>
      <c r="Q47" s="210">
        <f>'[2]Table 5C1D-NOMMA'!S47+'[14]Table 5C1D-NOMMA'!S47+(6*'[20]Table 5C1D-NOMMA'!S47)</f>
        <v>0</v>
      </c>
      <c r="R47" s="210">
        <f t="shared" si="43"/>
        <v>0</v>
      </c>
      <c r="S47" s="350">
        <f t="shared" si="58"/>
        <v>0</v>
      </c>
      <c r="T47" s="350">
        <f t="shared" si="44"/>
        <v>0</v>
      </c>
      <c r="U47" s="274">
        <f>'Table 5C1A-Madison Prep'!U47</f>
        <v>9422</v>
      </c>
      <c r="V47" s="327">
        <f t="shared" si="59"/>
        <v>0</v>
      </c>
      <c r="W47" s="883">
        <f>'[1]Oct midyear NOMMA'!E44</f>
        <v>0</v>
      </c>
      <c r="X47" s="276">
        <f t="shared" si="45"/>
        <v>0</v>
      </c>
      <c r="Y47" s="883">
        <f>'[1]Feb midyear NOMMA'!E44</f>
        <v>0</v>
      </c>
      <c r="Z47" s="276">
        <f t="shared" si="46"/>
        <v>0</v>
      </c>
      <c r="AA47" s="275">
        <f t="shared" si="34"/>
        <v>0</v>
      </c>
      <c r="AB47" s="323">
        <f t="shared" si="47"/>
        <v>0</v>
      </c>
      <c r="AC47" s="278">
        <f t="shared" si="48"/>
        <v>0</v>
      </c>
      <c r="AD47" s="323">
        <f t="shared" si="49"/>
        <v>0</v>
      </c>
      <c r="AE47" s="279">
        <v>0</v>
      </c>
      <c r="AF47" s="323">
        <f t="shared" si="50"/>
        <v>0</v>
      </c>
      <c r="AG47" s="276">
        <f>'[2]Table 5C1D-NOMMA'!AI47+'[14]Table 5C1D-NOMMA'!AI47+(6*'[20]Table 5C1D-NOMMA'!AI47)</f>
        <v>0</v>
      </c>
      <c r="AH47" s="276">
        <f t="shared" si="51"/>
        <v>0</v>
      </c>
      <c r="AI47" s="327">
        <f t="shared" si="60"/>
        <v>0</v>
      </c>
      <c r="AJ47" s="337">
        <f t="shared" si="52"/>
        <v>0</v>
      </c>
      <c r="AK47" s="341">
        <f t="shared" si="53"/>
        <v>0</v>
      </c>
      <c r="AM47" s="273">
        <v>0</v>
      </c>
      <c r="AN47" s="273">
        <f t="shared" si="54"/>
        <v>0</v>
      </c>
      <c r="AO47" s="273">
        <f t="shared" si="56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2.1.14'!O44</f>
        <v>0</v>
      </c>
      <c r="D48" s="201">
        <f>+'Table 5C1A-Madison Prep'!D48</f>
        <v>5113.6077751368684</v>
      </c>
      <c r="E48" s="202">
        <f t="shared" si="37"/>
        <v>0</v>
      </c>
      <c r="F48" s="202">
        <f>+'Table 5C1A-Madison Prep'!F48</f>
        <v>534.28</v>
      </c>
      <c r="G48" s="202">
        <f t="shared" si="38"/>
        <v>0</v>
      </c>
      <c r="H48" s="345">
        <f t="shared" si="39"/>
        <v>0</v>
      </c>
      <c r="I48" s="991">
        <f>'[1]Oct midyear NOMMA'!K45</f>
        <v>0</v>
      </c>
      <c r="J48" s="203">
        <f>'[1]Feb midyear NOMMA'!K45</f>
        <v>0</v>
      </c>
      <c r="K48" s="204">
        <f t="shared" si="40"/>
        <v>0</v>
      </c>
      <c r="L48" s="345">
        <f t="shared" si="57"/>
        <v>0</v>
      </c>
      <c r="M48" s="286">
        <f t="shared" si="41"/>
        <v>0</v>
      </c>
      <c r="N48" s="345">
        <f t="shared" si="55"/>
        <v>0</v>
      </c>
      <c r="O48" s="201">
        <v>0</v>
      </c>
      <c r="P48" s="351">
        <f t="shared" si="42"/>
        <v>0</v>
      </c>
      <c r="Q48" s="203">
        <f>'[2]Table 5C1D-NOMMA'!S48+'[14]Table 5C1D-NOMMA'!S48+(6*'[20]Table 5C1D-NOMMA'!S48)</f>
        <v>0</v>
      </c>
      <c r="R48" s="203">
        <f t="shared" si="43"/>
        <v>0</v>
      </c>
      <c r="S48" s="351">
        <f t="shared" si="58"/>
        <v>0</v>
      </c>
      <c r="T48" s="351">
        <f t="shared" si="44"/>
        <v>0</v>
      </c>
      <c r="U48" s="287">
        <f>'Table 5C1A-Madison Prep'!U48</f>
        <v>3415</v>
      </c>
      <c r="V48" s="328">
        <f t="shared" si="59"/>
        <v>0</v>
      </c>
      <c r="W48" s="289">
        <f>'[1]Oct midyear NOMMA'!E45</f>
        <v>0</v>
      </c>
      <c r="X48" s="290">
        <f t="shared" si="45"/>
        <v>0</v>
      </c>
      <c r="Y48" s="289">
        <f>'[1]Feb midyear NOMMA'!E45</f>
        <v>0</v>
      </c>
      <c r="Z48" s="290">
        <f t="shared" si="46"/>
        <v>0</v>
      </c>
      <c r="AA48" s="288">
        <f t="shared" si="34"/>
        <v>0</v>
      </c>
      <c r="AB48" s="324">
        <f t="shared" si="47"/>
        <v>0</v>
      </c>
      <c r="AC48" s="292">
        <f t="shared" si="48"/>
        <v>0</v>
      </c>
      <c r="AD48" s="324">
        <f t="shared" si="49"/>
        <v>0</v>
      </c>
      <c r="AE48" s="293">
        <v>0</v>
      </c>
      <c r="AF48" s="324">
        <f t="shared" si="50"/>
        <v>0</v>
      </c>
      <c r="AG48" s="290">
        <f>'[2]Table 5C1D-NOMMA'!AI48+'[14]Table 5C1D-NOMMA'!AI48+(6*'[20]Table 5C1D-NOMMA'!AI48)</f>
        <v>0</v>
      </c>
      <c r="AH48" s="290">
        <f t="shared" si="51"/>
        <v>0</v>
      </c>
      <c r="AI48" s="328">
        <f t="shared" si="60"/>
        <v>0</v>
      </c>
      <c r="AJ48" s="321">
        <f t="shared" si="52"/>
        <v>0</v>
      </c>
      <c r="AK48" s="342">
        <f t="shared" si="53"/>
        <v>0</v>
      </c>
      <c r="AM48" s="286">
        <v>0</v>
      </c>
      <c r="AN48" s="286">
        <f t="shared" si="54"/>
        <v>0</v>
      </c>
      <c r="AO48" s="286">
        <f t="shared" si="56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2.1.14'!O45</f>
        <v>0</v>
      </c>
      <c r="D49" s="201">
        <f>+'Table 5C1A-Madison Prep'!D49</f>
        <v>5788.74387205947</v>
      </c>
      <c r="E49" s="202">
        <f t="shared" si="37"/>
        <v>0</v>
      </c>
      <c r="F49" s="202">
        <f>+'Table 5C1A-Madison Prep'!F49</f>
        <v>574.6099999999999</v>
      </c>
      <c r="G49" s="202">
        <f t="shared" si="38"/>
        <v>0</v>
      </c>
      <c r="H49" s="345">
        <f t="shared" si="39"/>
        <v>0</v>
      </c>
      <c r="I49" s="991">
        <f>'[1]Oct midyear NOMMA'!K46</f>
        <v>0</v>
      </c>
      <c r="J49" s="203">
        <f>'[1]Feb midyear NOMMA'!K46</f>
        <v>0</v>
      </c>
      <c r="K49" s="204">
        <f t="shared" si="40"/>
        <v>0</v>
      </c>
      <c r="L49" s="345">
        <f t="shared" si="57"/>
        <v>0</v>
      </c>
      <c r="M49" s="286">
        <f t="shared" si="41"/>
        <v>0</v>
      </c>
      <c r="N49" s="345">
        <f t="shared" si="55"/>
        <v>0</v>
      </c>
      <c r="O49" s="201">
        <v>0</v>
      </c>
      <c r="P49" s="351">
        <f t="shared" si="42"/>
        <v>0</v>
      </c>
      <c r="Q49" s="203">
        <f>'[2]Table 5C1D-NOMMA'!S49+'[14]Table 5C1D-NOMMA'!S49+(6*'[20]Table 5C1D-NOMMA'!S49)</f>
        <v>0</v>
      </c>
      <c r="R49" s="203">
        <f t="shared" si="43"/>
        <v>0</v>
      </c>
      <c r="S49" s="351">
        <f t="shared" si="58"/>
        <v>0</v>
      </c>
      <c r="T49" s="351">
        <f t="shared" si="44"/>
        <v>0</v>
      </c>
      <c r="U49" s="287">
        <f>'Table 5C1A-Madison Prep'!U49</f>
        <v>3334</v>
      </c>
      <c r="V49" s="328">
        <f t="shared" si="59"/>
        <v>0</v>
      </c>
      <c r="W49" s="289">
        <f>'[1]Oct midyear NOMMA'!E46</f>
        <v>0</v>
      </c>
      <c r="X49" s="290">
        <f t="shared" si="45"/>
        <v>0</v>
      </c>
      <c r="Y49" s="289">
        <f>'[1]Feb midyear NOMMA'!E46</f>
        <v>0</v>
      </c>
      <c r="Z49" s="290">
        <f t="shared" si="46"/>
        <v>0</v>
      </c>
      <c r="AA49" s="288">
        <f t="shared" si="34"/>
        <v>0</v>
      </c>
      <c r="AB49" s="324">
        <f t="shared" si="47"/>
        <v>0</v>
      </c>
      <c r="AC49" s="292">
        <f t="shared" si="48"/>
        <v>0</v>
      </c>
      <c r="AD49" s="324">
        <f t="shared" si="49"/>
        <v>0</v>
      </c>
      <c r="AE49" s="293">
        <v>0</v>
      </c>
      <c r="AF49" s="324">
        <f t="shared" si="50"/>
        <v>0</v>
      </c>
      <c r="AG49" s="290">
        <f>'[2]Table 5C1D-NOMMA'!AI49+'[14]Table 5C1D-NOMMA'!AI49+(6*'[20]Table 5C1D-NOMMA'!AI49)</f>
        <v>0</v>
      </c>
      <c r="AH49" s="290">
        <f t="shared" si="51"/>
        <v>0</v>
      </c>
      <c r="AI49" s="328">
        <f t="shared" si="60"/>
        <v>0</v>
      </c>
      <c r="AJ49" s="321">
        <f t="shared" si="52"/>
        <v>0</v>
      </c>
      <c r="AK49" s="342">
        <f t="shared" si="53"/>
        <v>0</v>
      </c>
      <c r="AM49" s="286">
        <v>0</v>
      </c>
      <c r="AN49" s="286">
        <f t="shared" si="54"/>
        <v>0</v>
      </c>
      <c r="AO49" s="286">
        <f t="shared" si="56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2.1.14'!O46</f>
        <v>1</v>
      </c>
      <c r="D50" s="201">
        <f>+'Table 5C1A-Madison Prep'!D50</f>
        <v>4897.5958151820359</v>
      </c>
      <c r="E50" s="202">
        <f t="shared" si="37"/>
        <v>4897.5958151820359</v>
      </c>
      <c r="F50" s="202">
        <f>+'Table 5C1A-Madison Prep'!F50</f>
        <v>663.16000000000008</v>
      </c>
      <c r="G50" s="202">
        <f t="shared" si="38"/>
        <v>663.16000000000008</v>
      </c>
      <c r="H50" s="345">
        <f t="shared" si="39"/>
        <v>5560.7558151820358</v>
      </c>
      <c r="I50" s="991">
        <f>'[1]Oct midyear NOMMA'!K47</f>
        <v>0</v>
      </c>
      <c r="J50" s="203">
        <f>'[1]Feb midyear NOMMA'!K47</f>
        <v>0</v>
      </c>
      <c r="K50" s="204">
        <f t="shared" si="40"/>
        <v>0</v>
      </c>
      <c r="L50" s="345">
        <f t="shared" si="57"/>
        <v>5560.7558151820358</v>
      </c>
      <c r="M50" s="286">
        <f t="shared" si="41"/>
        <v>-13.901889537955089</v>
      </c>
      <c r="N50" s="345">
        <f t="shared" si="55"/>
        <v>5546.8539256440808</v>
      </c>
      <c r="O50" s="201">
        <v>0</v>
      </c>
      <c r="P50" s="351">
        <f t="shared" si="42"/>
        <v>5546.8539256440808</v>
      </c>
      <c r="Q50" s="203">
        <f>'[2]Table 5C1D-NOMMA'!S50+'[14]Table 5C1D-NOMMA'!S50+(6*'[20]Table 5C1D-NOMMA'!S50)</f>
        <v>4099</v>
      </c>
      <c r="R50" s="203">
        <f t="shared" si="43"/>
        <v>1447.8539256440808</v>
      </c>
      <c r="S50" s="351">
        <f t="shared" si="58"/>
        <v>362</v>
      </c>
      <c r="T50" s="351">
        <f t="shared" si="44"/>
        <v>5546.8539256440808</v>
      </c>
      <c r="U50" s="287">
        <f>'Table 5C1A-Madison Prep'!U50</f>
        <v>3587</v>
      </c>
      <c r="V50" s="328">
        <f t="shared" si="59"/>
        <v>3587</v>
      </c>
      <c r="W50" s="289">
        <f>'[1]Oct midyear NOMMA'!E47</f>
        <v>0</v>
      </c>
      <c r="X50" s="290">
        <f t="shared" si="45"/>
        <v>0</v>
      </c>
      <c r="Y50" s="289">
        <f>'[1]Feb midyear NOMMA'!E47</f>
        <v>0</v>
      </c>
      <c r="Z50" s="290">
        <f t="shared" si="46"/>
        <v>0</v>
      </c>
      <c r="AA50" s="288">
        <f>+X50+Z50</f>
        <v>0</v>
      </c>
      <c r="AB50" s="324">
        <f t="shared" si="47"/>
        <v>3587</v>
      </c>
      <c r="AC50" s="292">
        <f t="shared" si="48"/>
        <v>-8.9674999999999994</v>
      </c>
      <c r="AD50" s="324">
        <f t="shared" si="49"/>
        <v>3578.0324999999998</v>
      </c>
      <c r="AE50" s="293">
        <v>0</v>
      </c>
      <c r="AF50" s="324">
        <f t="shared" si="50"/>
        <v>3578.0324999999998</v>
      </c>
      <c r="AG50" s="290">
        <f>'[2]Table 5C1D-NOMMA'!AI50+'[14]Table 5C1D-NOMMA'!AI50+(6*'[20]Table 5C1D-NOMMA'!AI50)</f>
        <v>2745</v>
      </c>
      <c r="AH50" s="290">
        <f t="shared" si="51"/>
        <v>833.0324999999998</v>
      </c>
      <c r="AI50" s="328">
        <f t="shared" si="60"/>
        <v>208</v>
      </c>
      <c r="AJ50" s="321">
        <f t="shared" si="52"/>
        <v>9124.8864256440811</v>
      </c>
      <c r="AK50" s="342">
        <f t="shared" si="53"/>
        <v>570</v>
      </c>
      <c r="AM50" s="286">
        <v>-9.2974999999999994</v>
      </c>
      <c r="AN50" s="286">
        <f t="shared" si="54"/>
        <v>-8.9674999999999994</v>
      </c>
      <c r="AO50" s="286">
        <f t="shared" si="56"/>
        <v>0.33000000000000007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2.1.14'!O47</f>
        <v>0</v>
      </c>
      <c r="D51" s="194">
        <f>+'Table 5C1A-Madison Prep'!D51</f>
        <v>2054.0472499469101</v>
      </c>
      <c r="E51" s="195">
        <f t="shared" si="37"/>
        <v>0</v>
      </c>
      <c r="F51" s="195">
        <f>+'Table 5C1A-Madison Prep'!F51</f>
        <v>753.96000000000015</v>
      </c>
      <c r="G51" s="195">
        <f t="shared" si="38"/>
        <v>0</v>
      </c>
      <c r="H51" s="346">
        <f t="shared" si="39"/>
        <v>0</v>
      </c>
      <c r="I51" s="992">
        <f>'[1]Oct midyear NOMMA'!K48</f>
        <v>0</v>
      </c>
      <c r="J51" s="196">
        <f>'[1]Feb midyear NOMMA'!K48</f>
        <v>0</v>
      </c>
      <c r="K51" s="197">
        <f t="shared" si="40"/>
        <v>0</v>
      </c>
      <c r="L51" s="346">
        <f t="shared" si="57"/>
        <v>0</v>
      </c>
      <c r="M51" s="296">
        <f t="shared" si="41"/>
        <v>0</v>
      </c>
      <c r="N51" s="346">
        <f t="shared" si="55"/>
        <v>0</v>
      </c>
      <c r="O51" s="194">
        <v>0</v>
      </c>
      <c r="P51" s="352">
        <f t="shared" si="42"/>
        <v>0</v>
      </c>
      <c r="Q51" s="622">
        <f>'[2]Table 5C1D-NOMMA'!S51+'[14]Table 5C1D-NOMMA'!S51+(6*'[20]Table 5C1D-NOMMA'!S51)</f>
        <v>0</v>
      </c>
      <c r="R51" s="196">
        <f t="shared" si="43"/>
        <v>0</v>
      </c>
      <c r="S51" s="356">
        <f t="shared" si="58"/>
        <v>0</v>
      </c>
      <c r="T51" s="356">
        <f t="shared" si="44"/>
        <v>0</v>
      </c>
      <c r="U51" s="281">
        <f>'Table 5C1A-Madison Prep'!U51</f>
        <v>12134</v>
      </c>
      <c r="V51" s="329">
        <f t="shared" si="59"/>
        <v>0</v>
      </c>
      <c r="W51" s="884">
        <f>'[1]Oct midyear NOMMA'!E48</f>
        <v>0</v>
      </c>
      <c r="X51" s="282">
        <f t="shared" si="45"/>
        <v>0</v>
      </c>
      <c r="Y51" s="884">
        <f>'[1]Feb midyear NOMMA'!E48</f>
        <v>0</v>
      </c>
      <c r="Z51" s="282">
        <f t="shared" si="46"/>
        <v>0</v>
      </c>
      <c r="AA51" s="283">
        <f t="shared" ref="AA51:AA75" si="61">+X51+Z51</f>
        <v>0</v>
      </c>
      <c r="AB51" s="325">
        <f t="shared" si="47"/>
        <v>0</v>
      </c>
      <c r="AC51" s="298">
        <f t="shared" si="48"/>
        <v>0</v>
      </c>
      <c r="AD51" s="325">
        <f t="shared" si="49"/>
        <v>0</v>
      </c>
      <c r="AE51" s="284">
        <v>0</v>
      </c>
      <c r="AF51" s="325">
        <f t="shared" si="50"/>
        <v>0</v>
      </c>
      <c r="AG51" s="282">
        <f>'[2]Table 5C1D-NOMMA'!AI51+'[14]Table 5C1D-NOMMA'!AI51+(6*'[20]Table 5C1D-NOMMA'!AI51)</f>
        <v>0</v>
      </c>
      <c r="AH51" s="282">
        <f t="shared" si="51"/>
        <v>0</v>
      </c>
      <c r="AI51" s="329">
        <f t="shared" si="60"/>
        <v>0</v>
      </c>
      <c r="AJ51" s="338">
        <f t="shared" si="52"/>
        <v>0</v>
      </c>
      <c r="AK51" s="343">
        <f t="shared" si="53"/>
        <v>0</v>
      </c>
      <c r="AM51" s="296">
        <v>0</v>
      </c>
      <c r="AN51" s="296">
        <f t="shared" si="54"/>
        <v>0</v>
      </c>
      <c r="AO51" s="296">
        <f t="shared" si="56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2.1.14'!O48</f>
        <v>0</v>
      </c>
      <c r="D52" s="208">
        <f>+'Table 5C1A-Madison Prep'!D52</f>
        <v>6051.2144468088381</v>
      </c>
      <c r="E52" s="209">
        <f t="shared" si="37"/>
        <v>0</v>
      </c>
      <c r="F52" s="209">
        <f>+'Table 5C1A-Madison Prep'!F52</f>
        <v>728.06</v>
      </c>
      <c r="G52" s="209">
        <f t="shared" si="38"/>
        <v>0</v>
      </c>
      <c r="H52" s="344">
        <f t="shared" si="39"/>
        <v>0</v>
      </c>
      <c r="I52" s="990">
        <f>'[1]Oct midyear NOMMA'!K49</f>
        <v>0</v>
      </c>
      <c r="J52" s="210">
        <f>'[1]Feb midyear NOMMA'!K49</f>
        <v>0</v>
      </c>
      <c r="K52" s="211">
        <f t="shared" si="40"/>
        <v>0</v>
      </c>
      <c r="L52" s="344">
        <f t="shared" si="57"/>
        <v>0</v>
      </c>
      <c r="M52" s="273">
        <f t="shared" si="41"/>
        <v>0</v>
      </c>
      <c r="N52" s="344">
        <f t="shared" si="55"/>
        <v>0</v>
      </c>
      <c r="O52" s="208">
        <v>0</v>
      </c>
      <c r="P52" s="350">
        <f t="shared" si="42"/>
        <v>0</v>
      </c>
      <c r="Q52" s="210">
        <f>'[2]Table 5C1D-NOMMA'!S52+'[14]Table 5C1D-NOMMA'!S52+(6*'[20]Table 5C1D-NOMMA'!S52)</f>
        <v>0</v>
      </c>
      <c r="R52" s="210">
        <f t="shared" si="43"/>
        <v>0</v>
      </c>
      <c r="S52" s="350">
        <f t="shared" si="58"/>
        <v>0</v>
      </c>
      <c r="T52" s="350">
        <f t="shared" si="44"/>
        <v>0</v>
      </c>
      <c r="U52" s="274">
        <f>'Table 5C1A-Madison Prep'!U52</f>
        <v>2554</v>
      </c>
      <c r="V52" s="327">
        <f t="shared" si="59"/>
        <v>0</v>
      </c>
      <c r="W52" s="883">
        <f>'[1]Oct midyear NOMMA'!E49</f>
        <v>0</v>
      </c>
      <c r="X52" s="276">
        <f t="shared" si="45"/>
        <v>0</v>
      </c>
      <c r="Y52" s="883">
        <f>'[1]Feb midyear NOMMA'!E49</f>
        <v>0</v>
      </c>
      <c r="Z52" s="276">
        <f t="shared" si="46"/>
        <v>0</v>
      </c>
      <c r="AA52" s="275">
        <f t="shared" si="61"/>
        <v>0</v>
      </c>
      <c r="AB52" s="323">
        <f t="shared" si="47"/>
        <v>0</v>
      </c>
      <c r="AC52" s="278">
        <f t="shared" si="48"/>
        <v>0</v>
      </c>
      <c r="AD52" s="323">
        <f t="shared" si="49"/>
        <v>0</v>
      </c>
      <c r="AE52" s="279">
        <v>0</v>
      </c>
      <c r="AF52" s="323">
        <f t="shared" si="50"/>
        <v>0</v>
      </c>
      <c r="AG52" s="276">
        <f>'[2]Table 5C1D-NOMMA'!AI52+'[14]Table 5C1D-NOMMA'!AI52+(6*'[20]Table 5C1D-NOMMA'!AI52)</f>
        <v>0</v>
      </c>
      <c r="AH52" s="276">
        <f t="shared" si="51"/>
        <v>0</v>
      </c>
      <c r="AI52" s="327">
        <f t="shared" si="60"/>
        <v>0</v>
      </c>
      <c r="AJ52" s="337">
        <f t="shared" si="52"/>
        <v>0</v>
      </c>
      <c r="AK52" s="341">
        <f t="shared" si="53"/>
        <v>0</v>
      </c>
      <c r="AM52" s="273">
        <v>0</v>
      </c>
      <c r="AN52" s="273">
        <f t="shared" si="54"/>
        <v>0</v>
      </c>
      <c r="AO52" s="273">
        <f t="shared" si="56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2.1.14'!O49</f>
        <v>0</v>
      </c>
      <c r="D53" s="201">
        <f>+'Table 5C1A-Madison Prep'!D53</f>
        <v>2524.1485257646736</v>
      </c>
      <c r="E53" s="202">
        <f t="shared" si="37"/>
        <v>0</v>
      </c>
      <c r="F53" s="202">
        <f>+'Table 5C1A-Madison Prep'!F53</f>
        <v>910.76</v>
      </c>
      <c r="G53" s="202">
        <f t="shared" si="38"/>
        <v>0</v>
      </c>
      <c r="H53" s="345">
        <f t="shared" si="39"/>
        <v>0</v>
      </c>
      <c r="I53" s="991">
        <f>'[1]Oct midyear NOMMA'!K50</f>
        <v>0</v>
      </c>
      <c r="J53" s="203">
        <f>'[1]Feb midyear NOMMA'!K50</f>
        <v>0</v>
      </c>
      <c r="K53" s="204">
        <f t="shared" si="40"/>
        <v>0</v>
      </c>
      <c r="L53" s="345">
        <f t="shared" si="57"/>
        <v>0</v>
      </c>
      <c r="M53" s="286">
        <f t="shared" si="41"/>
        <v>0</v>
      </c>
      <c r="N53" s="345">
        <f t="shared" si="55"/>
        <v>0</v>
      </c>
      <c r="O53" s="201">
        <v>0</v>
      </c>
      <c r="P53" s="351">
        <f t="shared" si="42"/>
        <v>0</v>
      </c>
      <c r="Q53" s="203">
        <f>'[2]Table 5C1D-NOMMA'!S53+'[14]Table 5C1D-NOMMA'!S53+(6*'[20]Table 5C1D-NOMMA'!S53)</f>
        <v>0</v>
      </c>
      <c r="R53" s="203">
        <f t="shared" si="43"/>
        <v>0</v>
      </c>
      <c r="S53" s="351">
        <f t="shared" si="58"/>
        <v>0</v>
      </c>
      <c r="T53" s="351">
        <f t="shared" si="44"/>
        <v>0</v>
      </c>
      <c r="U53" s="287">
        <f>'Table 5C1A-Madison Prep'!U53</f>
        <v>11506</v>
      </c>
      <c r="V53" s="328">
        <f t="shared" si="59"/>
        <v>0</v>
      </c>
      <c r="W53" s="289">
        <f>'[1]Oct midyear NOMMA'!E50</f>
        <v>0</v>
      </c>
      <c r="X53" s="290">
        <f t="shared" si="45"/>
        <v>0</v>
      </c>
      <c r="Y53" s="289">
        <f>'[1]Feb midyear NOMMA'!E50</f>
        <v>0</v>
      </c>
      <c r="Z53" s="290">
        <f t="shared" si="46"/>
        <v>0</v>
      </c>
      <c r="AA53" s="288">
        <f t="shared" si="61"/>
        <v>0</v>
      </c>
      <c r="AB53" s="324">
        <f t="shared" si="47"/>
        <v>0</v>
      </c>
      <c r="AC53" s="292">
        <f t="shared" si="48"/>
        <v>0</v>
      </c>
      <c r="AD53" s="324">
        <f t="shared" si="49"/>
        <v>0</v>
      </c>
      <c r="AE53" s="293">
        <v>0</v>
      </c>
      <c r="AF53" s="324">
        <f t="shared" si="50"/>
        <v>0</v>
      </c>
      <c r="AG53" s="290">
        <f>'[2]Table 5C1D-NOMMA'!AI53+'[14]Table 5C1D-NOMMA'!AI53+(6*'[20]Table 5C1D-NOMMA'!AI53)</f>
        <v>0</v>
      </c>
      <c r="AH53" s="290">
        <f t="shared" si="51"/>
        <v>0</v>
      </c>
      <c r="AI53" s="328">
        <f t="shared" si="60"/>
        <v>0</v>
      </c>
      <c r="AJ53" s="321">
        <f t="shared" si="52"/>
        <v>0</v>
      </c>
      <c r="AK53" s="342">
        <f t="shared" si="53"/>
        <v>0</v>
      </c>
      <c r="AM53" s="286">
        <v>0</v>
      </c>
      <c r="AN53" s="286">
        <f t="shared" si="54"/>
        <v>0</v>
      </c>
      <c r="AO53" s="286">
        <f t="shared" si="56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2.1.14'!O50</f>
        <v>0</v>
      </c>
      <c r="D54" s="201">
        <f>+'Table 5C1A-Madison Prep'!D54</f>
        <v>3983.3582529800719</v>
      </c>
      <c r="E54" s="202">
        <f t="shared" si="37"/>
        <v>0</v>
      </c>
      <c r="F54" s="202">
        <f>+'Table 5C1A-Madison Prep'!F54</f>
        <v>871.07</v>
      </c>
      <c r="G54" s="202">
        <f t="shared" si="38"/>
        <v>0</v>
      </c>
      <c r="H54" s="345">
        <f t="shared" si="39"/>
        <v>0</v>
      </c>
      <c r="I54" s="991">
        <f>'[1]Oct midyear NOMMA'!K51</f>
        <v>0</v>
      </c>
      <c r="J54" s="203">
        <f>'[1]Feb midyear NOMMA'!K51</f>
        <v>0</v>
      </c>
      <c r="K54" s="204">
        <f t="shared" si="40"/>
        <v>0</v>
      </c>
      <c r="L54" s="345">
        <f t="shared" si="57"/>
        <v>0</v>
      </c>
      <c r="M54" s="286">
        <f t="shared" si="41"/>
        <v>0</v>
      </c>
      <c r="N54" s="345">
        <f t="shared" si="55"/>
        <v>0</v>
      </c>
      <c r="O54" s="201">
        <v>0</v>
      </c>
      <c r="P54" s="351">
        <f t="shared" si="42"/>
        <v>0</v>
      </c>
      <c r="Q54" s="203">
        <f>'[2]Table 5C1D-NOMMA'!S54+'[14]Table 5C1D-NOMMA'!S54+(6*'[20]Table 5C1D-NOMMA'!S54)</f>
        <v>0</v>
      </c>
      <c r="R54" s="203">
        <f t="shared" si="43"/>
        <v>0</v>
      </c>
      <c r="S54" s="351">
        <f t="shared" si="58"/>
        <v>0</v>
      </c>
      <c r="T54" s="351">
        <f t="shared" si="44"/>
        <v>0</v>
      </c>
      <c r="U54" s="287">
        <f>'Table 5C1A-Madison Prep'!U54</f>
        <v>6827</v>
      </c>
      <c r="V54" s="328">
        <f t="shared" si="59"/>
        <v>0</v>
      </c>
      <c r="W54" s="289">
        <f>'[1]Oct midyear NOMMA'!E51</f>
        <v>0</v>
      </c>
      <c r="X54" s="290">
        <f t="shared" si="45"/>
        <v>0</v>
      </c>
      <c r="Y54" s="289">
        <f>'[1]Feb midyear NOMMA'!E51</f>
        <v>0</v>
      </c>
      <c r="Z54" s="290">
        <f t="shared" si="46"/>
        <v>0</v>
      </c>
      <c r="AA54" s="288">
        <f t="shared" si="61"/>
        <v>0</v>
      </c>
      <c r="AB54" s="324">
        <f t="shared" si="47"/>
        <v>0</v>
      </c>
      <c r="AC54" s="292">
        <f t="shared" si="48"/>
        <v>0</v>
      </c>
      <c r="AD54" s="324">
        <f t="shared" si="49"/>
        <v>0</v>
      </c>
      <c r="AE54" s="293">
        <v>0</v>
      </c>
      <c r="AF54" s="324">
        <f t="shared" si="50"/>
        <v>0</v>
      </c>
      <c r="AG54" s="290">
        <f>'[2]Table 5C1D-NOMMA'!AI54+'[14]Table 5C1D-NOMMA'!AI54+(6*'[20]Table 5C1D-NOMMA'!AI54)</f>
        <v>0</v>
      </c>
      <c r="AH54" s="290">
        <f t="shared" si="51"/>
        <v>0</v>
      </c>
      <c r="AI54" s="328">
        <f t="shared" si="60"/>
        <v>0</v>
      </c>
      <c r="AJ54" s="321">
        <f t="shared" si="52"/>
        <v>0</v>
      </c>
      <c r="AK54" s="342">
        <f t="shared" si="53"/>
        <v>0</v>
      </c>
      <c r="AM54" s="286">
        <v>0</v>
      </c>
      <c r="AN54" s="286">
        <f t="shared" si="54"/>
        <v>0</v>
      </c>
      <c r="AO54" s="286">
        <f t="shared" si="56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2.1.14'!O51</f>
        <v>0</v>
      </c>
      <c r="D55" s="201">
        <f>+'Table 5C1A-Madison Prep'!D55</f>
        <v>4995.8755315659191</v>
      </c>
      <c r="E55" s="202">
        <f t="shared" si="37"/>
        <v>0</v>
      </c>
      <c r="F55" s="202">
        <f>+'Table 5C1A-Madison Prep'!F55</f>
        <v>574.43999999999994</v>
      </c>
      <c r="G55" s="202">
        <f t="shared" si="38"/>
        <v>0</v>
      </c>
      <c r="H55" s="345">
        <f t="shared" si="39"/>
        <v>0</v>
      </c>
      <c r="I55" s="991">
        <f>'[1]Oct midyear NOMMA'!K52</f>
        <v>0</v>
      </c>
      <c r="J55" s="203">
        <f>'[1]Feb midyear NOMMA'!K52</f>
        <v>0</v>
      </c>
      <c r="K55" s="204">
        <f t="shared" si="40"/>
        <v>0</v>
      </c>
      <c r="L55" s="345">
        <f t="shared" si="57"/>
        <v>0</v>
      </c>
      <c r="M55" s="286">
        <f t="shared" si="41"/>
        <v>0</v>
      </c>
      <c r="N55" s="345">
        <f t="shared" si="55"/>
        <v>0</v>
      </c>
      <c r="O55" s="201">
        <v>0</v>
      </c>
      <c r="P55" s="351">
        <f t="shared" si="42"/>
        <v>0</v>
      </c>
      <c r="Q55" s="203">
        <f>'[2]Table 5C1D-NOMMA'!S55+'[14]Table 5C1D-NOMMA'!S55+(6*'[20]Table 5C1D-NOMMA'!S55)</f>
        <v>0</v>
      </c>
      <c r="R55" s="203">
        <f t="shared" si="43"/>
        <v>0</v>
      </c>
      <c r="S55" s="351">
        <f t="shared" si="58"/>
        <v>0</v>
      </c>
      <c r="T55" s="351">
        <f t="shared" si="44"/>
        <v>0</v>
      </c>
      <c r="U55" s="287">
        <f>'Table 5C1A-Madison Prep'!U55</f>
        <v>2399</v>
      </c>
      <c r="V55" s="328">
        <f t="shared" si="59"/>
        <v>0</v>
      </c>
      <c r="W55" s="289">
        <f>'[1]Oct midyear NOMMA'!E52</f>
        <v>0</v>
      </c>
      <c r="X55" s="290">
        <f t="shared" si="45"/>
        <v>0</v>
      </c>
      <c r="Y55" s="289">
        <f>'[1]Feb midyear NOMMA'!E52</f>
        <v>0</v>
      </c>
      <c r="Z55" s="290">
        <f t="shared" si="46"/>
        <v>0</v>
      </c>
      <c r="AA55" s="288">
        <f t="shared" si="61"/>
        <v>0</v>
      </c>
      <c r="AB55" s="324">
        <f t="shared" si="47"/>
        <v>0</v>
      </c>
      <c r="AC55" s="292">
        <f t="shared" si="48"/>
        <v>0</v>
      </c>
      <c r="AD55" s="324">
        <f t="shared" si="49"/>
        <v>0</v>
      </c>
      <c r="AE55" s="293">
        <v>0</v>
      </c>
      <c r="AF55" s="324">
        <f t="shared" si="50"/>
        <v>0</v>
      </c>
      <c r="AG55" s="290">
        <f>'[2]Table 5C1D-NOMMA'!AI55+'[14]Table 5C1D-NOMMA'!AI55+(6*'[20]Table 5C1D-NOMMA'!AI55)</f>
        <v>0</v>
      </c>
      <c r="AH55" s="290">
        <f t="shared" si="51"/>
        <v>0</v>
      </c>
      <c r="AI55" s="328">
        <f t="shared" si="60"/>
        <v>0</v>
      </c>
      <c r="AJ55" s="321">
        <f t="shared" si="52"/>
        <v>0</v>
      </c>
      <c r="AK55" s="342">
        <f t="shared" si="53"/>
        <v>0</v>
      </c>
      <c r="AM55" s="286">
        <v>0</v>
      </c>
      <c r="AN55" s="286">
        <f t="shared" si="54"/>
        <v>0</v>
      </c>
      <c r="AO55" s="286">
        <f t="shared" si="56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2.1.14'!O52</f>
        <v>0</v>
      </c>
      <c r="D56" s="194">
        <f>+'Table 5C1A-Madison Prep'!D56</f>
        <v>5177.6892722701677</v>
      </c>
      <c r="E56" s="195">
        <f t="shared" si="37"/>
        <v>0</v>
      </c>
      <c r="F56" s="195">
        <f>+'Table 5C1A-Madison Prep'!F56</f>
        <v>634.46</v>
      </c>
      <c r="G56" s="195">
        <f t="shared" si="38"/>
        <v>0</v>
      </c>
      <c r="H56" s="346">
        <f t="shared" si="39"/>
        <v>0</v>
      </c>
      <c r="I56" s="992">
        <f>'[1]Oct midyear NOMMA'!K53</f>
        <v>0</v>
      </c>
      <c r="J56" s="196">
        <f>'[1]Feb midyear NOMMA'!K53</f>
        <v>0</v>
      </c>
      <c r="K56" s="197">
        <f t="shared" si="40"/>
        <v>0</v>
      </c>
      <c r="L56" s="346">
        <f t="shared" si="57"/>
        <v>0</v>
      </c>
      <c r="M56" s="296">
        <f t="shared" si="41"/>
        <v>0</v>
      </c>
      <c r="N56" s="346">
        <f t="shared" si="55"/>
        <v>0</v>
      </c>
      <c r="O56" s="194">
        <v>0</v>
      </c>
      <c r="P56" s="352">
        <f t="shared" si="42"/>
        <v>0</v>
      </c>
      <c r="Q56" s="622">
        <f>'[2]Table 5C1D-NOMMA'!S56+'[14]Table 5C1D-NOMMA'!S56+(6*'[20]Table 5C1D-NOMMA'!S56)</f>
        <v>0</v>
      </c>
      <c r="R56" s="196">
        <f t="shared" si="43"/>
        <v>0</v>
      </c>
      <c r="S56" s="356">
        <f t="shared" si="58"/>
        <v>0</v>
      </c>
      <c r="T56" s="356">
        <f t="shared" si="44"/>
        <v>0</v>
      </c>
      <c r="U56" s="281">
        <f>'Table 5C1A-Madison Prep'!U56</f>
        <v>3413</v>
      </c>
      <c r="V56" s="329">
        <f t="shared" si="59"/>
        <v>0</v>
      </c>
      <c r="W56" s="884">
        <f>'[1]Oct midyear NOMMA'!E53</f>
        <v>0</v>
      </c>
      <c r="X56" s="282">
        <f t="shared" si="45"/>
        <v>0</v>
      </c>
      <c r="Y56" s="884">
        <f>'[1]Feb midyear NOMMA'!E53</f>
        <v>0</v>
      </c>
      <c r="Z56" s="282">
        <f t="shared" si="46"/>
        <v>0</v>
      </c>
      <c r="AA56" s="283">
        <f t="shared" si="61"/>
        <v>0</v>
      </c>
      <c r="AB56" s="325">
        <f t="shared" si="47"/>
        <v>0</v>
      </c>
      <c r="AC56" s="298">
        <f t="shared" si="48"/>
        <v>0</v>
      </c>
      <c r="AD56" s="325">
        <f t="shared" si="49"/>
        <v>0</v>
      </c>
      <c r="AE56" s="284">
        <v>0</v>
      </c>
      <c r="AF56" s="325">
        <f t="shared" si="50"/>
        <v>0</v>
      </c>
      <c r="AG56" s="282">
        <f>'[2]Table 5C1D-NOMMA'!AI56+'[14]Table 5C1D-NOMMA'!AI56+(6*'[20]Table 5C1D-NOMMA'!AI56)</f>
        <v>0</v>
      </c>
      <c r="AH56" s="282">
        <f t="shared" si="51"/>
        <v>0</v>
      </c>
      <c r="AI56" s="329">
        <f t="shared" si="60"/>
        <v>0</v>
      </c>
      <c r="AJ56" s="338">
        <f t="shared" si="52"/>
        <v>0</v>
      </c>
      <c r="AK56" s="343">
        <f t="shared" si="53"/>
        <v>0</v>
      </c>
      <c r="AM56" s="296">
        <v>0</v>
      </c>
      <c r="AN56" s="296">
        <f t="shared" si="54"/>
        <v>0</v>
      </c>
      <c r="AO56" s="296">
        <f t="shared" si="56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2.1.14'!O53</f>
        <v>0</v>
      </c>
      <c r="D57" s="208">
        <f>+'Table 5C1A-Madison Prep'!D57</f>
        <v>4154.1928602178996</v>
      </c>
      <c r="E57" s="209">
        <f t="shared" si="37"/>
        <v>0</v>
      </c>
      <c r="F57" s="209">
        <f>+'Table 5C1A-Madison Prep'!F57</f>
        <v>706.66</v>
      </c>
      <c r="G57" s="209">
        <f t="shared" si="38"/>
        <v>0</v>
      </c>
      <c r="H57" s="344">
        <f t="shared" si="39"/>
        <v>0</v>
      </c>
      <c r="I57" s="990">
        <f>'[1]Oct midyear NOMMA'!K54</f>
        <v>0</v>
      </c>
      <c r="J57" s="210">
        <f>'[1]Feb midyear NOMMA'!K54</f>
        <v>0</v>
      </c>
      <c r="K57" s="211">
        <f t="shared" si="40"/>
        <v>0</v>
      </c>
      <c r="L57" s="344">
        <f t="shared" si="57"/>
        <v>0</v>
      </c>
      <c r="M57" s="273">
        <f t="shared" si="41"/>
        <v>0</v>
      </c>
      <c r="N57" s="344">
        <f t="shared" si="55"/>
        <v>0</v>
      </c>
      <c r="O57" s="208">
        <v>0</v>
      </c>
      <c r="P57" s="350">
        <f t="shared" si="42"/>
        <v>0</v>
      </c>
      <c r="Q57" s="210">
        <f>'[2]Table 5C1D-NOMMA'!S57+'[14]Table 5C1D-NOMMA'!S57+(6*'[20]Table 5C1D-NOMMA'!S57)</f>
        <v>0</v>
      </c>
      <c r="R57" s="210">
        <f t="shared" si="43"/>
        <v>0</v>
      </c>
      <c r="S57" s="350">
        <f t="shared" si="58"/>
        <v>0</v>
      </c>
      <c r="T57" s="350">
        <f t="shared" si="44"/>
        <v>0</v>
      </c>
      <c r="U57" s="274">
        <f>'Table 5C1A-Madison Prep'!U57</f>
        <v>4512</v>
      </c>
      <c r="V57" s="327">
        <f t="shared" si="59"/>
        <v>0</v>
      </c>
      <c r="W57" s="883">
        <f>'[1]Oct midyear NOMMA'!E54</f>
        <v>0</v>
      </c>
      <c r="X57" s="276">
        <f t="shared" si="45"/>
        <v>0</v>
      </c>
      <c r="Y57" s="883">
        <f>'[1]Feb midyear NOMMA'!E54</f>
        <v>0</v>
      </c>
      <c r="Z57" s="276">
        <f t="shared" si="46"/>
        <v>0</v>
      </c>
      <c r="AA57" s="275">
        <f t="shared" si="61"/>
        <v>0</v>
      </c>
      <c r="AB57" s="323">
        <f t="shared" si="47"/>
        <v>0</v>
      </c>
      <c r="AC57" s="278">
        <f t="shared" si="48"/>
        <v>0</v>
      </c>
      <c r="AD57" s="323">
        <f t="shared" si="49"/>
        <v>0</v>
      </c>
      <c r="AE57" s="279">
        <v>0</v>
      </c>
      <c r="AF57" s="323">
        <f t="shared" si="50"/>
        <v>0</v>
      </c>
      <c r="AG57" s="276">
        <f>'[2]Table 5C1D-NOMMA'!AI57+'[14]Table 5C1D-NOMMA'!AI57+(6*'[20]Table 5C1D-NOMMA'!AI57)</f>
        <v>0</v>
      </c>
      <c r="AH57" s="276">
        <f t="shared" si="51"/>
        <v>0</v>
      </c>
      <c r="AI57" s="327">
        <f t="shared" si="60"/>
        <v>0</v>
      </c>
      <c r="AJ57" s="337">
        <f t="shared" si="52"/>
        <v>0</v>
      </c>
      <c r="AK57" s="341">
        <f t="shared" si="53"/>
        <v>0</v>
      </c>
      <c r="AM57" s="273">
        <v>0</v>
      </c>
      <c r="AN57" s="273">
        <f t="shared" si="54"/>
        <v>0</v>
      </c>
      <c r="AO57" s="273">
        <f t="shared" si="56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2.1.14'!O54</f>
        <v>0</v>
      </c>
      <c r="D58" s="201">
        <f>+'Table 5C1A-Madison Prep'!D58</f>
        <v>5062.2745845228173</v>
      </c>
      <c r="E58" s="202">
        <f t="shared" si="37"/>
        <v>0</v>
      </c>
      <c r="F58" s="202">
        <f>+'Table 5C1A-Madison Prep'!F58</f>
        <v>658.37</v>
      </c>
      <c r="G58" s="202">
        <f t="shared" si="38"/>
        <v>0</v>
      </c>
      <c r="H58" s="345">
        <f t="shared" si="39"/>
        <v>0</v>
      </c>
      <c r="I58" s="991">
        <f>'[1]Oct midyear NOMMA'!K55</f>
        <v>0</v>
      </c>
      <c r="J58" s="203">
        <f>'[1]Feb midyear NOMMA'!K55</f>
        <v>0</v>
      </c>
      <c r="K58" s="204">
        <f t="shared" si="40"/>
        <v>0</v>
      </c>
      <c r="L58" s="345">
        <f t="shared" si="57"/>
        <v>0</v>
      </c>
      <c r="M58" s="286">
        <f t="shared" si="41"/>
        <v>0</v>
      </c>
      <c r="N58" s="345">
        <f t="shared" si="55"/>
        <v>0</v>
      </c>
      <c r="O58" s="201">
        <v>0</v>
      </c>
      <c r="P58" s="351">
        <f t="shared" si="42"/>
        <v>0</v>
      </c>
      <c r="Q58" s="203">
        <f>'[2]Table 5C1D-NOMMA'!S58+'[14]Table 5C1D-NOMMA'!S58+(6*'[20]Table 5C1D-NOMMA'!S58)</f>
        <v>0</v>
      </c>
      <c r="R58" s="203">
        <f t="shared" si="43"/>
        <v>0</v>
      </c>
      <c r="S58" s="351">
        <f t="shared" si="58"/>
        <v>0</v>
      </c>
      <c r="T58" s="351">
        <f t="shared" si="44"/>
        <v>0</v>
      </c>
      <c r="U58" s="287">
        <f>'Table 5C1A-Madison Prep'!U58</f>
        <v>5289</v>
      </c>
      <c r="V58" s="328">
        <f t="shared" si="59"/>
        <v>0</v>
      </c>
      <c r="W58" s="289">
        <f>'[1]Oct midyear NOMMA'!E55</f>
        <v>0</v>
      </c>
      <c r="X58" s="290">
        <f t="shared" si="45"/>
        <v>0</v>
      </c>
      <c r="Y58" s="289">
        <f>'[1]Feb midyear NOMMA'!E55</f>
        <v>0</v>
      </c>
      <c r="Z58" s="290">
        <f t="shared" si="46"/>
        <v>0</v>
      </c>
      <c r="AA58" s="288">
        <f t="shared" si="61"/>
        <v>0</v>
      </c>
      <c r="AB58" s="324">
        <f t="shared" si="47"/>
        <v>0</v>
      </c>
      <c r="AC58" s="292">
        <f t="shared" si="48"/>
        <v>0</v>
      </c>
      <c r="AD58" s="324">
        <f t="shared" si="49"/>
        <v>0</v>
      </c>
      <c r="AE58" s="293">
        <v>0</v>
      </c>
      <c r="AF58" s="324">
        <f t="shared" si="50"/>
        <v>0</v>
      </c>
      <c r="AG58" s="290">
        <f>'[2]Table 5C1D-NOMMA'!AI58+'[14]Table 5C1D-NOMMA'!AI58+(6*'[20]Table 5C1D-NOMMA'!AI58)</f>
        <v>0</v>
      </c>
      <c r="AH58" s="290">
        <f t="shared" si="51"/>
        <v>0</v>
      </c>
      <c r="AI58" s="328">
        <f t="shared" si="60"/>
        <v>0</v>
      </c>
      <c r="AJ58" s="321">
        <f t="shared" si="52"/>
        <v>0</v>
      </c>
      <c r="AK58" s="342">
        <f t="shared" si="53"/>
        <v>0</v>
      </c>
      <c r="AM58" s="286">
        <v>0</v>
      </c>
      <c r="AN58" s="286">
        <f t="shared" si="54"/>
        <v>0</v>
      </c>
      <c r="AO58" s="286">
        <f t="shared" si="56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2.1.14'!O55</f>
        <v>0</v>
      </c>
      <c r="D59" s="201">
        <f>+'Table 5C1A-Madison Prep'!D59</f>
        <v>5060.1508194045482</v>
      </c>
      <c r="E59" s="202">
        <f t="shared" si="37"/>
        <v>0</v>
      </c>
      <c r="F59" s="202">
        <f>+'Table 5C1A-Madison Prep'!F59</f>
        <v>689.74</v>
      </c>
      <c r="G59" s="202">
        <f t="shared" si="38"/>
        <v>0</v>
      </c>
      <c r="H59" s="345">
        <f t="shared" si="39"/>
        <v>0</v>
      </c>
      <c r="I59" s="991">
        <f>'[1]Oct midyear NOMMA'!K56</f>
        <v>0</v>
      </c>
      <c r="J59" s="203">
        <f>'[1]Feb midyear NOMMA'!K56</f>
        <v>0</v>
      </c>
      <c r="K59" s="204">
        <f t="shared" si="40"/>
        <v>0</v>
      </c>
      <c r="L59" s="345">
        <f t="shared" si="57"/>
        <v>0</v>
      </c>
      <c r="M59" s="286">
        <f t="shared" si="41"/>
        <v>0</v>
      </c>
      <c r="N59" s="345">
        <f t="shared" si="55"/>
        <v>0</v>
      </c>
      <c r="O59" s="201">
        <v>0</v>
      </c>
      <c r="P59" s="351">
        <f t="shared" si="42"/>
        <v>0</v>
      </c>
      <c r="Q59" s="203">
        <f>'[2]Table 5C1D-NOMMA'!S59+'[14]Table 5C1D-NOMMA'!S59+(6*'[20]Table 5C1D-NOMMA'!S59)</f>
        <v>0</v>
      </c>
      <c r="R59" s="203">
        <f t="shared" si="43"/>
        <v>0</v>
      </c>
      <c r="S59" s="351">
        <f t="shared" si="58"/>
        <v>0</v>
      </c>
      <c r="T59" s="351">
        <f t="shared" si="44"/>
        <v>0</v>
      </c>
      <c r="U59" s="287">
        <f>'Table 5C1A-Madison Prep'!U59</f>
        <v>2101</v>
      </c>
      <c r="V59" s="328">
        <f t="shared" si="59"/>
        <v>0</v>
      </c>
      <c r="W59" s="289">
        <f>'[1]Oct midyear NOMMA'!E56</f>
        <v>0</v>
      </c>
      <c r="X59" s="290">
        <f t="shared" si="45"/>
        <v>0</v>
      </c>
      <c r="Y59" s="289">
        <f>'[1]Feb midyear NOMMA'!E56</f>
        <v>0</v>
      </c>
      <c r="Z59" s="290">
        <f t="shared" si="46"/>
        <v>0</v>
      </c>
      <c r="AA59" s="288">
        <f t="shared" si="61"/>
        <v>0</v>
      </c>
      <c r="AB59" s="324">
        <f t="shared" si="47"/>
        <v>0</v>
      </c>
      <c r="AC59" s="292">
        <f t="shared" si="48"/>
        <v>0</v>
      </c>
      <c r="AD59" s="324">
        <f t="shared" si="49"/>
        <v>0</v>
      </c>
      <c r="AE59" s="293">
        <v>0</v>
      </c>
      <c r="AF59" s="324">
        <f t="shared" si="50"/>
        <v>0</v>
      </c>
      <c r="AG59" s="290">
        <f>'[2]Table 5C1D-NOMMA'!AI59+'[14]Table 5C1D-NOMMA'!AI59+(6*'[20]Table 5C1D-NOMMA'!AI59)</f>
        <v>0</v>
      </c>
      <c r="AH59" s="290">
        <f t="shared" si="51"/>
        <v>0</v>
      </c>
      <c r="AI59" s="328">
        <f t="shared" si="60"/>
        <v>0</v>
      </c>
      <c r="AJ59" s="321">
        <f t="shared" si="52"/>
        <v>0</v>
      </c>
      <c r="AK59" s="342">
        <f t="shared" si="53"/>
        <v>0</v>
      </c>
      <c r="AM59" s="286">
        <v>0</v>
      </c>
      <c r="AN59" s="286">
        <f t="shared" si="54"/>
        <v>0</v>
      </c>
      <c r="AO59" s="286">
        <f t="shared" si="56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2.1.14'!O56</f>
        <v>0</v>
      </c>
      <c r="D60" s="201">
        <f>+'Table 5C1A-Madison Prep'!D60</f>
        <v>5867.0798370516713</v>
      </c>
      <c r="E60" s="202">
        <f t="shared" si="37"/>
        <v>0</v>
      </c>
      <c r="F60" s="202">
        <f>+'Table 5C1A-Madison Prep'!F60</f>
        <v>951.45</v>
      </c>
      <c r="G60" s="202">
        <f t="shared" si="38"/>
        <v>0</v>
      </c>
      <c r="H60" s="345">
        <f t="shared" si="39"/>
        <v>0</v>
      </c>
      <c r="I60" s="991">
        <f>'[1]Oct midyear NOMMA'!K57</f>
        <v>0</v>
      </c>
      <c r="J60" s="203">
        <f>'[1]Feb midyear NOMMA'!K57</f>
        <v>0</v>
      </c>
      <c r="K60" s="204">
        <f t="shared" si="40"/>
        <v>0</v>
      </c>
      <c r="L60" s="345">
        <f t="shared" si="57"/>
        <v>0</v>
      </c>
      <c r="M60" s="286">
        <f t="shared" si="41"/>
        <v>0</v>
      </c>
      <c r="N60" s="345">
        <f t="shared" si="55"/>
        <v>0</v>
      </c>
      <c r="O60" s="201">
        <v>0</v>
      </c>
      <c r="P60" s="351">
        <f t="shared" si="42"/>
        <v>0</v>
      </c>
      <c r="Q60" s="203">
        <f>'[2]Table 5C1D-NOMMA'!S60+'[14]Table 5C1D-NOMMA'!S60+(6*'[20]Table 5C1D-NOMMA'!S60)</f>
        <v>0</v>
      </c>
      <c r="R60" s="203">
        <f t="shared" si="43"/>
        <v>0</v>
      </c>
      <c r="S60" s="351">
        <f t="shared" si="58"/>
        <v>0</v>
      </c>
      <c r="T60" s="351">
        <f t="shared" si="44"/>
        <v>0</v>
      </c>
      <c r="U60" s="287">
        <f>'Table 5C1A-Madison Prep'!U60</f>
        <v>4150</v>
      </c>
      <c r="V60" s="328">
        <f t="shared" si="59"/>
        <v>0</v>
      </c>
      <c r="W60" s="289">
        <f>'[1]Oct midyear NOMMA'!E57</f>
        <v>0</v>
      </c>
      <c r="X60" s="290">
        <f t="shared" si="45"/>
        <v>0</v>
      </c>
      <c r="Y60" s="289">
        <f>'[1]Feb midyear NOMMA'!E57</f>
        <v>0</v>
      </c>
      <c r="Z60" s="290">
        <f t="shared" si="46"/>
        <v>0</v>
      </c>
      <c r="AA60" s="288">
        <f t="shared" si="61"/>
        <v>0</v>
      </c>
      <c r="AB60" s="324">
        <f t="shared" si="47"/>
        <v>0</v>
      </c>
      <c r="AC60" s="292">
        <f t="shared" si="48"/>
        <v>0</v>
      </c>
      <c r="AD60" s="324">
        <f t="shared" si="49"/>
        <v>0</v>
      </c>
      <c r="AE60" s="293">
        <v>0</v>
      </c>
      <c r="AF60" s="324">
        <f t="shared" si="50"/>
        <v>0</v>
      </c>
      <c r="AG60" s="290">
        <f>'[2]Table 5C1D-NOMMA'!AI60+'[14]Table 5C1D-NOMMA'!AI60+(6*'[20]Table 5C1D-NOMMA'!AI60)</f>
        <v>0</v>
      </c>
      <c r="AH60" s="290">
        <f t="shared" si="51"/>
        <v>0</v>
      </c>
      <c r="AI60" s="328">
        <f t="shared" si="60"/>
        <v>0</v>
      </c>
      <c r="AJ60" s="321">
        <f t="shared" si="52"/>
        <v>0</v>
      </c>
      <c r="AK60" s="342">
        <f t="shared" si="53"/>
        <v>0</v>
      </c>
      <c r="AM60" s="286">
        <v>0</v>
      </c>
      <c r="AN60" s="286">
        <f t="shared" si="54"/>
        <v>0</v>
      </c>
      <c r="AO60" s="286">
        <f t="shared" si="56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2.1.14'!O57</f>
        <v>0</v>
      </c>
      <c r="D61" s="194">
        <f>+'Table 5C1A-Madison Prep'!D61</f>
        <v>4266.8225491298481</v>
      </c>
      <c r="E61" s="195">
        <f t="shared" si="37"/>
        <v>0</v>
      </c>
      <c r="F61" s="195">
        <f>+'Table 5C1A-Madison Prep'!F61</f>
        <v>795.14</v>
      </c>
      <c r="G61" s="195">
        <f t="shared" si="38"/>
        <v>0</v>
      </c>
      <c r="H61" s="346">
        <f t="shared" si="39"/>
        <v>0</v>
      </c>
      <c r="I61" s="992">
        <f>'[1]Oct midyear NOMMA'!K58</f>
        <v>0</v>
      </c>
      <c r="J61" s="196">
        <f>'[1]Feb midyear NOMMA'!K58</f>
        <v>0</v>
      </c>
      <c r="K61" s="197">
        <f t="shared" si="40"/>
        <v>0</v>
      </c>
      <c r="L61" s="346">
        <f t="shared" si="57"/>
        <v>0</v>
      </c>
      <c r="M61" s="296">
        <f t="shared" si="41"/>
        <v>0</v>
      </c>
      <c r="N61" s="346">
        <f t="shared" si="55"/>
        <v>0</v>
      </c>
      <c r="O61" s="194">
        <v>0</v>
      </c>
      <c r="P61" s="352">
        <f t="shared" si="42"/>
        <v>0</v>
      </c>
      <c r="Q61" s="622">
        <f>'[2]Table 5C1D-NOMMA'!S61+'[14]Table 5C1D-NOMMA'!S61+(6*'[20]Table 5C1D-NOMMA'!S61)</f>
        <v>0</v>
      </c>
      <c r="R61" s="196">
        <f t="shared" si="43"/>
        <v>0</v>
      </c>
      <c r="S61" s="356">
        <f t="shared" si="58"/>
        <v>0</v>
      </c>
      <c r="T61" s="356">
        <f t="shared" si="44"/>
        <v>0</v>
      </c>
      <c r="U61" s="281">
        <f>'Table 5C1A-Madison Prep'!U61</f>
        <v>3637</v>
      </c>
      <c r="V61" s="329">
        <f t="shared" si="59"/>
        <v>0</v>
      </c>
      <c r="W61" s="884">
        <f>'[1]Oct midyear NOMMA'!E58</f>
        <v>0</v>
      </c>
      <c r="X61" s="282">
        <f t="shared" si="45"/>
        <v>0</v>
      </c>
      <c r="Y61" s="884">
        <f>'[1]Feb midyear NOMMA'!E58</f>
        <v>0</v>
      </c>
      <c r="Z61" s="282">
        <f t="shared" si="46"/>
        <v>0</v>
      </c>
      <c r="AA61" s="283">
        <f t="shared" si="61"/>
        <v>0</v>
      </c>
      <c r="AB61" s="325">
        <f t="shared" si="47"/>
        <v>0</v>
      </c>
      <c r="AC61" s="298">
        <f t="shared" si="48"/>
        <v>0</v>
      </c>
      <c r="AD61" s="325">
        <f t="shared" si="49"/>
        <v>0</v>
      </c>
      <c r="AE61" s="284">
        <v>0</v>
      </c>
      <c r="AF61" s="325">
        <f t="shared" si="50"/>
        <v>0</v>
      </c>
      <c r="AG61" s="282">
        <f>'[2]Table 5C1D-NOMMA'!AI61+'[14]Table 5C1D-NOMMA'!AI61+(6*'[20]Table 5C1D-NOMMA'!AI61)</f>
        <v>0</v>
      </c>
      <c r="AH61" s="282">
        <f t="shared" si="51"/>
        <v>0</v>
      </c>
      <c r="AI61" s="329">
        <f t="shared" si="60"/>
        <v>0</v>
      </c>
      <c r="AJ61" s="338">
        <f t="shared" si="52"/>
        <v>0</v>
      </c>
      <c r="AK61" s="343">
        <f t="shared" si="53"/>
        <v>0</v>
      </c>
      <c r="AM61" s="296">
        <v>0</v>
      </c>
      <c r="AN61" s="296">
        <f t="shared" si="54"/>
        <v>0</v>
      </c>
      <c r="AO61" s="296">
        <f t="shared" si="56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2.1.14'!O58</f>
        <v>0</v>
      </c>
      <c r="D62" s="208">
        <f>+'Table 5C1A-Madison Prep'!D62</f>
        <v>5028.4909408288286</v>
      </c>
      <c r="E62" s="209">
        <f t="shared" si="37"/>
        <v>0</v>
      </c>
      <c r="F62" s="209">
        <f>+'Table 5C1A-Madison Prep'!F62</f>
        <v>614.66000000000008</v>
      </c>
      <c r="G62" s="209">
        <f t="shared" si="38"/>
        <v>0</v>
      </c>
      <c r="H62" s="344">
        <f t="shared" si="39"/>
        <v>0</v>
      </c>
      <c r="I62" s="990">
        <f>'[1]Oct midyear NOMMA'!K59</f>
        <v>0</v>
      </c>
      <c r="J62" s="210">
        <f>'[1]Feb midyear NOMMA'!K59</f>
        <v>0</v>
      </c>
      <c r="K62" s="211">
        <f t="shared" si="40"/>
        <v>0</v>
      </c>
      <c r="L62" s="344">
        <f t="shared" si="57"/>
        <v>0</v>
      </c>
      <c r="M62" s="273">
        <f t="shared" si="41"/>
        <v>0</v>
      </c>
      <c r="N62" s="344">
        <f t="shared" si="55"/>
        <v>0</v>
      </c>
      <c r="O62" s="208">
        <v>0</v>
      </c>
      <c r="P62" s="350">
        <f t="shared" si="42"/>
        <v>0</v>
      </c>
      <c r="Q62" s="210">
        <f>'[2]Table 5C1D-NOMMA'!S62+'[14]Table 5C1D-NOMMA'!S62+(6*'[20]Table 5C1D-NOMMA'!S62)</f>
        <v>0</v>
      </c>
      <c r="R62" s="210">
        <f t="shared" si="43"/>
        <v>0</v>
      </c>
      <c r="S62" s="350">
        <f t="shared" si="58"/>
        <v>0</v>
      </c>
      <c r="T62" s="350">
        <f t="shared" si="44"/>
        <v>0</v>
      </c>
      <c r="U62" s="274">
        <f>'Table 5C1A-Madison Prep'!U62</f>
        <v>2857</v>
      </c>
      <c r="V62" s="327">
        <f t="shared" si="59"/>
        <v>0</v>
      </c>
      <c r="W62" s="883">
        <f>'[1]Oct midyear NOMMA'!E59</f>
        <v>0</v>
      </c>
      <c r="X62" s="276">
        <f t="shared" si="45"/>
        <v>0</v>
      </c>
      <c r="Y62" s="883">
        <f>'[1]Feb midyear NOMMA'!E59</f>
        <v>0</v>
      </c>
      <c r="Z62" s="276">
        <f t="shared" si="46"/>
        <v>0</v>
      </c>
      <c r="AA62" s="275">
        <f t="shared" si="61"/>
        <v>0</v>
      </c>
      <c r="AB62" s="323">
        <f t="shared" si="47"/>
        <v>0</v>
      </c>
      <c r="AC62" s="278">
        <f t="shared" si="48"/>
        <v>0</v>
      </c>
      <c r="AD62" s="323">
        <f t="shared" si="49"/>
        <v>0</v>
      </c>
      <c r="AE62" s="279">
        <v>0</v>
      </c>
      <c r="AF62" s="323">
        <f t="shared" si="50"/>
        <v>0</v>
      </c>
      <c r="AG62" s="276">
        <f>'[2]Table 5C1D-NOMMA'!AI62+'[14]Table 5C1D-NOMMA'!AI62+(6*'[20]Table 5C1D-NOMMA'!AI62)</f>
        <v>0</v>
      </c>
      <c r="AH62" s="276">
        <f t="shared" si="51"/>
        <v>0</v>
      </c>
      <c r="AI62" s="327">
        <f t="shared" si="60"/>
        <v>0</v>
      </c>
      <c r="AJ62" s="337">
        <f t="shared" si="52"/>
        <v>0</v>
      </c>
      <c r="AK62" s="341">
        <f t="shared" si="53"/>
        <v>0</v>
      </c>
      <c r="AM62" s="273">
        <v>0</v>
      </c>
      <c r="AN62" s="273">
        <f t="shared" si="54"/>
        <v>0</v>
      </c>
      <c r="AO62" s="273">
        <f t="shared" si="56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2.1.14'!O59</f>
        <v>0</v>
      </c>
      <c r="D63" s="201">
        <f>+'Table 5C1A-Madison Prep'!D63</f>
        <v>4625.9922979230687</v>
      </c>
      <c r="E63" s="202">
        <f t="shared" si="37"/>
        <v>0</v>
      </c>
      <c r="F63" s="202">
        <f>+'Table 5C1A-Madison Prep'!F63</f>
        <v>764.51</v>
      </c>
      <c r="G63" s="202">
        <f t="shared" si="38"/>
        <v>0</v>
      </c>
      <c r="H63" s="345">
        <f t="shared" si="39"/>
        <v>0</v>
      </c>
      <c r="I63" s="991">
        <f>'[1]Oct midyear NOMMA'!K60</f>
        <v>0</v>
      </c>
      <c r="J63" s="203">
        <f>'[1]Feb midyear NOMMA'!K60</f>
        <v>0</v>
      </c>
      <c r="K63" s="204">
        <f t="shared" si="40"/>
        <v>0</v>
      </c>
      <c r="L63" s="345">
        <f t="shared" si="57"/>
        <v>0</v>
      </c>
      <c r="M63" s="286">
        <f t="shared" si="41"/>
        <v>0</v>
      </c>
      <c r="N63" s="345">
        <f t="shared" si="55"/>
        <v>0</v>
      </c>
      <c r="O63" s="201">
        <v>0</v>
      </c>
      <c r="P63" s="351">
        <f t="shared" si="42"/>
        <v>0</v>
      </c>
      <c r="Q63" s="203">
        <f>'[2]Table 5C1D-NOMMA'!S63+'[14]Table 5C1D-NOMMA'!S63+(6*'[20]Table 5C1D-NOMMA'!S63)</f>
        <v>0</v>
      </c>
      <c r="R63" s="203">
        <f t="shared" si="43"/>
        <v>0</v>
      </c>
      <c r="S63" s="351">
        <f t="shared" si="58"/>
        <v>0</v>
      </c>
      <c r="T63" s="351">
        <f t="shared" si="44"/>
        <v>0</v>
      </c>
      <c r="U63" s="287">
        <f>'Table 5C1A-Madison Prep'!U63</f>
        <v>3465</v>
      </c>
      <c r="V63" s="328">
        <f t="shared" si="59"/>
        <v>0</v>
      </c>
      <c r="W63" s="289">
        <f>'[1]Oct midyear NOMMA'!E60</f>
        <v>0</v>
      </c>
      <c r="X63" s="290">
        <f t="shared" si="45"/>
        <v>0</v>
      </c>
      <c r="Y63" s="289">
        <f>'[1]Feb midyear NOMMA'!E60</f>
        <v>0</v>
      </c>
      <c r="Z63" s="290">
        <f t="shared" si="46"/>
        <v>0</v>
      </c>
      <c r="AA63" s="288">
        <f t="shared" si="61"/>
        <v>0</v>
      </c>
      <c r="AB63" s="324">
        <f t="shared" si="47"/>
        <v>0</v>
      </c>
      <c r="AC63" s="292">
        <f t="shared" si="48"/>
        <v>0</v>
      </c>
      <c r="AD63" s="324">
        <f t="shared" si="49"/>
        <v>0</v>
      </c>
      <c r="AE63" s="293">
        <v>0</v>
      </c>
      <c r="AF63" s="324">
        <f t="shared" si="50"/>
        <v>0</v>
      </c>
      <c r="AG63" s="290">
        <f>'[2]Table 5C1D-NOMMA'!AI63+'[14]Table 5C1D-NOMMA'!AI63+(6*'[20]Table 5C1D-NOMMA'!AI63)</f>
        <v>0</v>
      </c>
      <c r="AH63" s="290">
        <f t="shared" si="51"/>
        <v>0</v>
      </c>
      <c r="AI63" s="328">
        <f t="shared" si="60"/>
        <v>0</v>
      </c>
      <c r="AJ63" s="321">
        <f t="shared" si="52"/>
        <v>0</v>
      </c>
      <c r="AK63" s="342">
        <f t="shared" si="53"/>
        <v>0</v>
      </c>
      <c r="AM63" s="286">
        <v>0</v>
      </c>
      <c r="AN63" s="286">
        <f t="shared" si="54"/>
        <v>0</v>
      </c>
      <c r="AO63" s="286">
        <f t="shared" si="56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2.1.14'!O60</f>
        <v>0</v>
      </c>
      <c r="D64" s="201">
        <f>+'Table 5C1A-Madison Prep'!D64</f>
        <v>5673.1129637882123</v>
      </c>
      <c r="E64" s="202">
        <f t="shared" si="37"/>
        <v>0</v>
      </c>
      <c r="F64" s="202">
        <f>+'Table 5C1A-Madison Prep'!F64</f>
        <v>697.04</v>
      </c>
      <c r="G64" s="202">
        <f t="shared" si="38"/>
        <v>0</v>
      </c>
      <c r="H64" s="345">
        <f t="shared" si="39"/>
        <v>0</v>
      </c>
      <c r="I64" s="991">
        <f>'[1]Oct midyear NOMMA'!K61</f>
        <v>0</v>
      </c>
      <c r="J64" s="203">
        <f>'[1]Feb midyear NOMMA'!K61</f>
        <v>0</v>
      </c>
      <c r="K64" s="204">
        <f t="shared" si="40"/>
        <v>0</v>
      </c>
      <c r="L64" s="345">
        <f t="shared" si="57"/>
        <v>0</v>
      </c>
      <c r="M64" s="286">
        <f t="shared" si="41"/>
        <v>0</v>
      </c>
      <c r="N64" s="345">
        <f t="shared" si="55"/>
        <v>0</v>
      </c>
      <c r="O64" s="201">
        <v>0</v>
      </c>
      <c r="P64" s="351">
        <f t="shared" si="42"/>
        <v>0</v>
      </c>
      <c r="Q64" s="203">
        <f>'[2]Table 5C1D-NOMMA'!S64+'[14]Table 5C1D-NOMMA'!S64+(6*'[20]Table 5C1D-NOMMA'!S64)</f>
        <v>0</v>
      </c>
      <c r="R64" s="203">
        <f t="shared" si="43"/>
        <v>0</v>
      </c>
      <c r="S64" s="351">
        <f t="shared" si="58"/>
        <v>0</v>
      </c>
      <c r="T64" s="351">
        <f t="shared" si="44"/>
        <v>0</v>
      </c>
      <c r="U64" s="287">
        <f>'Table 5C1A-Madison Prep'!U64</f>
        <v>2167</v>
      </c>
      <c r="V64" s="328">
        <f t="shared" si="59"/>
        <v>0</v>
      </c>
      <c r="W64" s="289">
        <f>'[1]Oct midyear NOMMA'!E61</f>
        <v>0</v>
      </c>
      <c r="X64" s="290">
        <f t="shared" si="45"/>
        <v>0</v>
      </c>
      <c r="Y64" s="289">
        <f>'[1]Feb midyear NOMMA'!E61</f>
        <v>0</v>
      </c>
      <c r="Z64" s="290">
        <f t="shared" si="46"/>
        <v>0</v>
      </c>
      <c r="AA64" s="288">
        <f t="shared" si="61"/>
        <v>0</v>
      </c>
      <c r="AB64" s="324">
        <f t="shared" si="47"/>
        <v>0</v>
      </c>
      <c r="AC64" s="292">
        <f t="shared" si="48"/>
        <v>0</v>
      </c>
      <c r="AD64" s="324">
        <f t="shared" si="49"/>
        <v>0</v>
      </c>
      <c r="AE64" s="293">
        <v>0</v>
      </c>
      <c r="AF64" s="324">
        <f t="shared" si="50"/>
        <v>0</v>
      </c>
      <c r="AG64" s="290">
        <f>'[2]Table 5C1D-NOMMA'!AI64+'[14]Table 5C1D-NOMMA'!AI64+(6*'[20]Table 5C1D-NOMMA'!AI64)</f>
        <v>0</v>
      </c>
      <c r="AH64" s="290">
        <f t="shared" si="51"/>
        <v>0</v>
      </c>
      <c r="AI64" s="328">
        <f t="shared" si="60"/>
        <v>0</v>
      </c>
      <c r="AJ64" s="321">
        <f t="shared" si="52"/>
        <v>0</v>
      </c>
      <c r="AK64" s="342">
        <f t="shared" si="53"/>
        <v>0</v>
      </c>
      <c r="AM64" s="286">
        <v>0</v>
      </c>
      <c r="AN64" s="286">
        <f t="shared" si="54"/>
        <v>0</v>
      </c>
      <c r="AO64" s="286">
        <f t="shared" si="56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2.1.14'!O61</f>
        <v>0</v>
      </c>
      <c r="D65" s="201">
        <f>+'Table 5C1A-Madison Prep'!D65</f>
        <v>6621.946293521848</v>
      </c>
      <c r="E65" s="202">
        <f t="shared" si="37"/>
        <v>0</v>
      </c>
      <c r="F65" s="202">
        <f>+'Table 5C1A-Madison Prep'!F65</f>
        <v>689.52</v>
      </c>
      <c r="G65" s="202">
        <f t="shared" si="38"/>
        <v>0</v>
      </c>
      <c r="H65" s="345">
        <f t="shared" si="39"/>
        <v>0</v>
      </c>
      <c r="I65" s="991">
        <f>'[1]Oct midyear NOMMA'!K62</f>
        <v>0</v>
      </c>
      <c r="J65" s="203">
        <f>'[1]Feb midyear NOMMA'!K62</f>
        <v>0</v>
      </c>
      <c r="K65" s="204">
        <f t="shared" si="40"/>
        <v>0</v>
      </c>
      <c r="L65" s="345">
        <f t="shared" si="57"/>
        <v>0</v>
      </c>
      <c r="M65" s="286">
        <f t="shared" si="41"/>
        <v>0</v>
      </c>
      <c r="N65" s="345">
        <f t="shared" si="55"/>
        <v>0</v>
      </c>
      <c r="O65" s="201">
        <v>0</v>
      </c>
      <c r="P65" s="351">
        <f t="shared" si="42"/>
        <v>0</v>
      </c>
      <c r="Q65" s="203">
        <f>'[2]Table 5C1D-NOMMA'!S65+'[14]Table 5C1D-NOMMA'!S65+(6*'[20]Table 5C1D-NOMMA'!S65)</f>
        <v>0</v>
      </c>
      <c r="R65" s="203">
        <f t="shared" si="43"/>
        <v>0</v>
      </c>
      <c r="S65" s="351">
        <f t="shared" si="58"/>
        <v>0</v>
      </c>
      <c r="T65" s="351">
        <f t="shared" si="44"/>
        <v>0</v>
      </c>
      <c r="U65" s="287">
        <f>'Table 5C1A-Madison Prep'!U65</f>
        <v>1521</v>
      </c>
      <c r="V65" s="328">
        <f t="shared" si="59"/>
        <v>0</v>
      </c>
      <c r="W65" s="289">
        <f>'[1]Oct midyear NOMMA'!E62</f>
        <v>0</v>
      </c>
      <c r="X65" s="290">
        <f t="shared" si="45"/>
        <v>0</v>
      </c>
      <c r="Y65" s="289">
        <f>'[1]Feb midyear NOMMA'!E62</f>
        <v>0</v>
      </c>
      <c r="Z65" s="290">
        <f t="shared" si="46"/>
        <v>0</v>
      </c>
      <c r="AA65" s="288">
        <f t="shared" si="61"/>
        <v>0</v>
      </c>
      <c r="AB65" s="324">
        <f t="shared" si="47"/>
        <v>0</v>
      </c>
      <c r="AC65" s="292">
        <f t="shared" si="48"/>
        <v>0</v>
      </c>
      <c r="AD65" s="324">
        <f t="shared" si="49"/>
        <v>0</v>
      </c>
      <c r="AE65" s="293">
        <v>0</v>
      </c>
      <c r="AF65" s="324">
        <f t="shared" si="50"/>
        <v>0</v>
      </c>
      <c r="AG65" s="290">
        <f>'[2]Table 5C1D-NOMMA'!AI65+'[14]Table 5C1D-NOMMA'!AI65+(6*'[20]Table 5C1D-NOMMA'!AI65)</f>
        <v>0</v>
      </c>
      <c r="AH65" s="290">
        <f t="shared" si="51"/>
        <v>0</v>
      </c>
      <c r="AI65" s="328">
        <f t="shared" si="60"/>
        <v>0</v>
      </c>
      <c r="AJ65" s="321">
        <f t="shared" si="52"/>
        <v>0</v>
      </c>
      <c r="AK65" s="342">
        <f t="shared" si="53"/>
        <v>0</v>
      </c>
      <c r="AM65" s="286">
        <v>0</v>
      </c>
      <c r="AN65" s="286">
        <f t="shared" si="54"/>
        <v>0</v>
      </c>
      <c r="AO65" s="286">
        <f t="shared" si="56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2.1.14'!O62</f>
        <v>0</v>
      </c>
      <c r="D66" s="194">
        <f>+'Table 5C1A-Madison Prep'!D66</f>
        <v>5301.224090063828</v>
      </c>
      <c r="E66" s="195">
        <f t="shared" si="37"/>
        <v>0</v>
      </c>
      <c r="F66" s="195">
        <f>+'Table 5C1A-Madison Prep'!F66</f>
        <v>594.04</v>
      </c>
      <c r="G66" s="195">
        <f t="shared" si="38"/>
        <v>0</v>
      </c>
      <c r="H66" s="346">
        <f t="shared" si="39"/>
        <v>0</v>
      </c>
      <c r="I66" s="992">
        <f>'[1]Oct midyear NOMMA'!K63</f>
        <v>0</v>
      </c>
      <c r="J66" s="196">
        <f>'[1]Feb midyear NOMMA'!K63</f>
        <v>0</v>
      </c>
      <c r="K66" s="197">
        <f t="shared" si="40"/>
        <v>0</v>
      </c>
      <c r="L66" s="346">
        <f t="shared" si="57"/>
        <v>0</v>
      </c>
      <c r="M66" s="296">
        <f t="shared" si="41"/>
        <v>0</v>
      </c>
      <c r="N66" s="346">
        <f t="shared" si="55"/>
        <v>0</v>
      </c>
      <c r="O66" s="194">
        <v>0</v>
      </c>
      <c r="P66" s="352">
        <f t="shared" si="42"/>
        <v>0</v>
      </c>
      <c r="Q66" s="622">
        <f>'[2]Table 5C1D-NOMMA'!S66+'[14]Table 5C1D-NOMMA'!S66+(6*'[20]Table 5C1D-NOMMA'!S66)</f>
        <v>0</v>
      </c>
      <c r="R66" s="196">
        <f t="shared" si="43"/>
        <v>0</v>
      </c>
      <c r="S66" s="356">
        <f t="shared" si="58"/>
        <v>0</v>
      </c>
      <c r="T66" s="356">
        <f t="shared" si="44"/>
        <v>0</v>
      </c>
      <c r="U66" s="281">
        <f>'Table 5C1A-Madison Prep'!U66</f>
        <v>4024</v>
      </c>
      <c r="V66" s="329">
        <f t="shared" si="59"/>
        <v>0</v>
      </c>
      <c r="W66" s="884">
        <f>'[1]Oct midyear NOMMA'!E63</f>
        <v>0</v>
      </c>
      <c r="X66" s="282">
        <f t="shared" si="45"/>
        <v>0</v>
      </c>
      <c r="Y66" s="884">
        <f>'[1]Feb midyear NOMMA'!E63</f>
        <v>0</v>
      </c>
      <c r="Z66" s="282">
        <f t="shared" si="46"/>
        <v>0</v>
      </c>
      <c r="AA66" s="283">
        <f t="shared" si="61"/>
        <v>0</v>
      </c>
      <c r="AB66" s="325">
        <f t="shared" si="47"/>
        <v>0</v>
      </c>
      <c r="AC66" s="298">
        <f t="shared" si="48"/>
        <v>0</v>
      </c>
      <c r="AD66" s="325">
        <f t="shared" si="49"/>
        <v>0</v>
      </c>
      <c r="AE66" s="284">
        <v>0</v>
      </c>
      <c r="AF66" s="325">
        <f t="shared" si="50"/>
        <v>0</v>
      </c>
      <c r="AG66" s="282">
        <f>'[2]Table 5C1D-NOMMA'!AI66+'[14]Table 5C1D-NOMMA'!AI66+(6*'[20]Table 5C1D-NOMMA'!AI66)</f>
        <v>0</v>
      </c>
      <c r="AH66" s="282">
        <f t="shared" si="51"/>
        <v>0</v>
      </c>
      <c r="AI66" s="329">
        <f t="shared" si="60"/>
        <v>0</v>
      </c>
      <c r="AJ66" s="338">
        <f t="shared" si="52"/>
        <v>0</v>
      </c>
      <c r="AK66" s="343">
        <f t="shared" si="53"/>
        <v>0</v>
      </c>
      <c r="AM66" s="296">
        <v>0</v>
      </c>
      <c r="AN66" s="296">
        <f t="shared" si="54"/>
        <v>0</v>
      </c>
      <c r="AO66" s="296">
        <f t="shared" si="56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2.1.14'!O63</f>
        <v>0</v>
      </c>
      <c r="D67" s="208">
        <f>+'Table 5C1A-Madison Prep'!D67</f>
        <v>2854.1575356369185</v>
      </c>
      <c r="E67" s="209">
        <f t="shared" si="37"/>
        <v>0</v>
      </c>
      <c r="F67" s="209">
        <f>+'Table 5C1A-Madison Prep'!F67</f>
        <v>833.70999999999992</v>
      </c>
      <c r="G67" s="209">
        <f t="shared" si="38"/>
        <v>0</v>
      </c>
      <c r="H67" s="344">
        <f t="shared" si="39"/>
        <v>0</v>
      </c>
      <c r="I67" s="990">
        <f>'[1]Oct midyear NOMMA'!K64</f>
        <v>0</v>
      </c>
      <c r="J67" s="210">
        <f>'[1]Feb midyear NOMMA'!K64</f>
        <v>0</v>
      </c>
      <c r="K67" s="211">
        <f t="shared" si="40"/>
        <v>0</v>
      </c>
      <c r="L67" s="344">
        <f t="shared" si="57"/>
        <v>0</v>
      </c>
      <c r="M67" s="273">
        <f t="shared" si="41"/>
        <v>0</v>
      </c>
      <c r="N67" s="344">
        <f t="shared" si="55"/>
        <v>0</v>
      </c>
      <c r="O67" s="208">
        <v>0</v>
      </c>
      <c r="P67" s="350">
        <f t="shared" si="42"/>
        <v>0</v>
      </c>
      <c r="Q67" s="210">
        <f>'[2]Table 5C1D-NOMMA'!S67+'[14]Table 5C1D-NOMMA'!S67+(6*'[20]Table 5C1D-NOMMA'!S67)</f>
        <v>0</v>
      </c>
      <c r="R67" s="210">
        <f t="shared" si="43"/>
        <v>0</v>
      </c>
      <c r="S67" s="350">
        <f t="shared" si="58"/>
        <v>0</v>
      </c>
      <c r="T67" s="350">
        <f t="shared" si="44"/>
        <v>0</v>
      </c>
      <c r="U67" s="274">
        <f>'Table 5C1A-Madison Prep'!U67</f>
        <v>6739</v>
      </c>
      <c r="V67" s="327">
        <f t="shared" si="59"/>
        <v>0</v>
      </c>
      <c r="W67" s="883">
        <f>'[1]Oct midyear NOMMA'!E64</f>
        <v>0</v>
      </c>
      <c r="X67" s="276">
        <f t="shared" si="45"/>
        <v>0</v>
      </c>
      <c r="Y67" s="883">
        <f>'[1]Feb midyear NOMMA'!E64</f>
        <v>0</v>
      </c>
      <c r="Z67" s="276">
        <f t="shared" si="46"/>
        <v>0</v>
      </c>
      <c r="AA67" s="275">
        <f t="shared" si="61"/>
        <v>0</v>
      </c>
      <c r="AB67" s="323">
        <f t="shared" si="47"/>
        <v>0</v>
      </c>
      <c r="AC67" s="278">
        <f t="shared" si="48"/>
        <v>0</v>
      </c>
      <c r="AD67" s="323">
        <f t="shared" si="49"/>
        <v>0</v>
      </c>
      <c r="AE67" s="279">
        <v>0</v>
      </c>
      <c r="AF67" s="323">
        <f t="shared" si="50"/>
        <v>0</v>
      </c>
      <c r="AG67" s="276">
        <f>'[2]Table 5C1D-NOMMA'!AI67+'[14]Table 5C1D-NOMMA'!AI67+(6*'[20]Table 5C1D-NOMMA'!AI67)</f>
        <v>0</v>
      </c>
      <c r="AH67" s="276">
        <f t="shared" si="51"/>
        <v>0</v>
      </c>
      <c r="AI67" s="327">
        <f t="shared" si="60"/>
        <v>0</v>
      </c>
      <c r="AJ67" s="337">
        <f t="shared" si="52"/>
        <v>0</v>
      </c>
      <c r="AK67" s="341">
        <f t="shared" si="53"/>
        <v>0</v>
      </c>
      <c r="AM67" s="273">
        <v>0</v>
      </c>
      <c r="AN67" s="273">
        <f t="shared" si="54"/>
        <v>0</v>
      </c>
      <c r="AO67" s="273">
        <f t="shared" si="56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2.1.14'!O64</f>
        <v>0</v>
      </c>
      <c r="D68" s="201">
        <f>+'Table 5C1A-Madison Prep'!D68</f>
        <v>5901.074538516008</v>
      </c>
      <c r="E68" s="202">
        <f t="shared" si="37"/>
        <v>0</v>
      </c>
      <c r="F68" s="202">
        <f>+'Table 5C1A-Madison Prep'!F68</f>
        <v>516.08000000000004</v>
      </c>
      <c r="G68" s="202">
        <f t="shared" si="38"/>
        <v>0</v>
      </c>
      <c r="H68" s="345">
        <f t="shared" si="39"/>
        <v>0</v>
      </c>
      <c r="I68" s="991">
        <f>'[1]Oct midyear NOMMA'!K65</f>
        <v>0</v>
      </c>
      <c r="J68" s="203">
        <f>'[1]Feb midyear NOMMA'!K65</f>
        <v>0</v>
      </c>
      <c r="K68" s="204">
        <f t="shared" si="40"/>
        <v>0</v>
      </c>
      <c r="L68" s="345">
        <f t="shared" si="57"/>
        <v>0</v>
      </c>
      <c r="M68" s="286">
        <f t="shared" si="41"/>
        <v>0</v>
      </c>
      <c r="N68" s="345">
        <f t="shared" si="55"/>
        <v>0</v>
      </c>
      <c r="O68" s="201">
        <v>0</v>
      </c>
      <c r="P68" s="351">
        <f t="shared" si="42"/>
        <v>0</v>
      </c>
      <c r="Q68" s="203">
        <f>'[2]Table 5C1D-NOMMA'!S68+'[14]Table 5C1D-NOMMA'!S68+(6*'[20]Table 5C1D-NOMMA'!S68)</f>
        <v>0</v>
      </c>
      <c r="R68" s="203">
        <f t="shared" si="43"/>
        <v>0</v>
      </c>
      <c r="S68" s="351">
        <f t="shared" si="58"/>
        <v>0</v>
      </c>
      <c r="T68" s="351">
        <f t="shared" si="44"/>
        <v>0</v>
      </c>
      <c r="U68" s="287">
        <f>'Table 5C1A-Madison Prep'!U68</f>
        <v>2089</v>
      </c>
      <c r="V68" s="328">
        <f t="shared" si="59"/>
        <v>0</v>
      </c>
      <c r="W68" s="289">
        <f>'[1]Oct midyear NOMMA'!E65</f>
        <v>0</v>
      </c>
      <c r="X68" s="290">
        <f t="shared" si="45"/>
        <v>0</v>
      </c>
      <c r="Y68" s="289">
        <f>'[1]Feb midyear NOMMA'!E65</f>
        <v>0</v>
      </c>
      <c r="Z68" s="290">
        <f t="shared" si="46"/>
        <v>0</v>
      </c>
      <c r="AA68" s="288">
        <f t="shared" si="61"/>
        <v>0</v>
      </c>
      <c r="AB68" s="324">
        <f t="shared" si="47"/>
        <v>0</v>
      </c>
      <c r="AC68" s="292">
        <f t="shared" si="48"/>
        <v>0</v>
      </c>
      <c r="AD68" s="324">
        <f t="shared" si="49"/>
        <v>0</v>
      </c>
      <c r="AE68" s="293">
        <v>0</v>
      </c>
      <c r="AF68" s="324">
        <f t="shared" si="50"/>
        <v>0</v>
      </c>
      <c r="AG68" s="290">
        <f>'[2]Table 5C1D-NOMMA'!AI68+'[14]Table 5C1D-NOMMA'!AI68+(6*'[20]Table 5C1D-NOMMA'!AI68)</f>
        <v>0</v>
      </c>
      <c r="AH68" s="290">
        <f t="shared" si="51"/>
        <v>0</v>
      </c>
      <c r="AI68" s="328">
        <f t="shared" si="60"/>
        <v>0</v>
      </c>
      <c r="AJ68" s="321">
        <f t="shared" si="52"/>
        <v>0</v>
      </c>
      <c r="AK68" s="342">
        <f t="shared" si="53"/>
        <v>0</v>
      </c>
      <c r="AM68" s="286">
        <v>0</v>
      </c>
      <c r="AN68" s="286">
        <f t="shared" si="54"/>
        <v>0</v>
      </c>
      <c r="AO68" s="286">
        <f t="shared" si="56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2.1.14'!O65</f>
        <v>0</v>
      </c>
      <c r="D69" s="201">
        <f>+'Table 5C1A-Madison Prep'!D69</f>
        <v>4124.3813481848092</v>
      </c>
      <c r="E69" s="202">
        <f t="shared" si="37"/>
        <v>0</v>
      </c>
      <c r="F69" s="202">
        <f>+'Table 5C1A-Madison Prep'!F69</f>
        <v>756.79</v>
      </c>
      <c r="G69" s="202">
        <f t="shared" si="38"/>
        <v>0</v>
      </c>
      <c r="H69" s="345">
        <f t="shared" si="39"/>
        <v>0</v>
      </c>
      <c r="I69" s="991">
        <f>'[1]Oct midyear NOMMA'!K66</f>
        <v>0</v>
      </c>
      <c r="J69" s="203">
        <f>'[1]Feb midyear NOMMA'!K66</f>
        <v>0</v>
      </c>
      <c r="K69" s="204">
        <f t="shared" si="40"/>
        <v>0</v>
      </c>
      <c r="L69" s="345">
        <f t="shared" si="57"/>
        <v>0</v>
      </c>
      <c r="M69" s="286">
        <f t="shared" si="41"/>
        <v>0</v>
      </c>
      <c r="N69" s="345">
        <f t="shared" si="55"/>
        <v>0</v>
      </c>
      <c r="O69" s="201">
        <v>0</v>
      </c>
      <c r="P69" s="351">
        <f t="shared" si="42"/>
        <v>0</v>
      </c>
      <c r="Q69" s="203">
        <f>'[2]Table 5C1D-NOMMA'!S69+'[14]Table 5C1D-NOMMA'!S69+(6*'[20]Table 5C1D-NOMMA'!S69)</f>
        <v>0</v>
      </c>
      <c r="R69" s="203">
        <f t="shared" si="43"/>
        <v>0</v>
      </c>
      <c r="S69" s="351">
        <f t="shared" si="58"/>
        <v>0</v>
      </c>
      <c r="T69" s="351">
        <f t="shared" si="44"/>
        <v>0</v>
      </c>
      <c r="U69" s="287">
        <f>'Table 5C1A-Madison Prep'!U69</f>
        <v>7403</v>
      </c>
      <c r="V69" s="328">
        <f t="shared" si="59"/>
        <v>0</v>
      </c>
      <c r="W69" s="289">
        <f>'[1]Oct midyear NOMMA'!E66</f>
        <v>0</v>
      </c>
      <c r="X69" s="290">
        <f t="shared" si="45"/>
        <v>0</v>
      </c>
      <c r="Y69" s="289">
        <f>'[1]Feb midyear NOMMA'!E66</f>
        <v>0</v>
      </c>
      <c r="Z69" s="290">
        <f t="shared" si="46"/>
        <v>0</v>
      </c>
      <c r="AA69" s="288">
        <f t="shared" si="61"/>
        <v>0</v>
      </c>
      <c r="AB69" s="324">
        <f t="shared" si="47"/>
        <v>0</v>
      </c>
      <c r="AC69" s="292">
        <f t="shared" si="48"/>
        <v>0</v>
      </c>
      <c r="AD69" s="324">
        <f t="shared" si="49"/>
        <v>0</v>
      </c>
      <c r="AE69" s="293">
        <v>0</v>
      </c>
      <c r="AF69" s="324">
        <f t="shared" si="50"/>
        <v>0</v>
      </c>
      <c r="AG69" s="290">
        <f>'[2]Table 5C1D-NOMMA'!AI69+'[14]Table 5C1D-NOMMA'!AI69+(6*'[20]Table 5C1D-NOMMA'!AI69)</f>
        <v>0</v>
      </c>
      <c r="AH69" s="290">
        <f t="shared" si="51"/>
        <v>0</v>
      </c>
      <c r="AI69" s="328">
        <f t="shared" si="60"/>
        <v>0</v>
      </c>
      <c r="AJ69" s="321">
        <f t="shared" si="52"/>
        <v>0</v>
      </c>
      <c r="AK69" s="342">
        <f t="shared" si="53"/>
        <v>0</v>
      </c>
      <c r="AM69" s="286">
        <v>0</v>
      </c>
      <c r="AN69" s="286">
        <f t="shared" si="54"/>
        <v>0</v>
      </c>
      <c r="AO69" s="286">
        <f t="shared" si="56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2.1.14'!O66</f>
        <v>0</v>
      </c>
      <c r="D70" s="201">
        <f>+'Table 5C1A-Madison Prep'!D70</f>
        <v>6277.8307532778254</v>
      </c>
      <c r="E70" s="202">
        <f t="shared" si="37"/>
        <v>0</v>
      </c>
      <c r="F70" s="202">
        <f>+'Table 5C1A-Madison Prep'!F70</f>
        <v>592.66</v>
      </c>
      <c r="G70" s="202">
        <f t="shared" si="38"/>
        <v>0</v>
      </c>
      <c r="H70" s="345">
        <f t="shared" si="39"/>
        <v>0</v>
      </c>
      <c r="I70" s="991">
        <f>'[1]Oct midyear NOMMA'!K67</f>
        <v>0</v>
      </c>
      <c r="J70" s="203">
        <f>'[1]Feb midyear NOMMA'!K67</f>
        <v>0</v>
      </c>
      <c r="K70" s="204">
        <f t="shared" si="40"/>
        <v>0</v>
      </c>
      <c r="L70" s="345">
        <f t="shared" si="57"/>
        <v>0</v>
      </c>
      <c r="M70" s="286">
        <f t="shared" si="41"/>
        <v>0</v>
      </c>
      <c r="N70" s="345">
        <f t="shared" si="55"/>
        <v>0</v>
      </c>
      <c r="O70" s="201">
        <v>0</v>
      </c>
      <c r="P70" s="351">
        <f t="shared" si="42"/>
        <v>0</v>
      </c>
      <c r="Q70" s="203">
        <f>'[2]Table 5C1D-NOMMA'!S70+'[14]Table 5C1D-NOMMA'!S70+(6*'[20]Table 5C1D-NOMMA'!S70)</f>
        <v>0</v>
      </c>
      <c r="R70" s="203">
        <f t="shared" si="43"/>
        <v>0</v>
      </c>
      <c r="S70" s="351">
        <f t="shared" si="58"/>
        <v>0</v>
      </c>
      <c r="T70" s="351">
        <f t="shared" si="44"/>
        <v>0</v>
      </c>
      <c r="U70" s="287">
        <f>'Table 5C1A-Madison Prep'!U70</f>
        <v>2802</v>
      </c>
      <c r="V70" s="328">
        <f t="shared" si="59"/>
        <v>0</v>
      </c>
      <c r="W70" s="289">
        <f>'[1]Oct midyear NOMMA'!E67</f>
        <v>0</v>
      </c>
      <c r="X70" s="290">
        <f t="shared" si="45"/>
        <v>0</v>
      </c>
      <c r="Y70" s="289">
        <f>'[1]Feb midyear NOMMA'!E67</f>
        <v>0</v>
      </c>
      <c r="Z70" s="290">
        <f t="shared" si="46"/>
        <v>0</v>
      </c>
      <c r="AA70" s="288">
        <f t="shared" si="61"/>
        <v>0</v>
      </c>
      <c r="AB70" s="324">
        <f t="shared" si="47"/>
        <v>0</v>
      </c>
      <c r="AC70" s="292">
        <f t="shared" si="48"/>
        <v>0</v>
      </c>
      <c r="AD70" s="324">
        <f t="shared" si="49"/>
        <v>0</v>
      </c>
      <c r="AE70" s="293">
        <v>0</v>
      </c>
      <c r="AF70" s="324">
        <f t="shared" si="50"/>
        <v>0</v>
      </c>
      <c r="AG70" s="290">
        <f>'[2]Table 5C1D-NOMMA'!AI70+'[14]Table 5C1D-NOMMA'!AI70+(6*'[20]Table 5C1D-NOMMA'!AI70)</f>
        <v>0</v>
      </c>
      <c r="AH70" s="290">
        <f t="shared" si="51"/>
        <v>0</v>
      </c>
      <c r="AI70" s="328">
        <f t="shared" si="60"/>
        <v>0</v>
      </c>
      <c r="AJ70" s="321">
        <f t="shared" si="52"/>
        <v>0</v>
      </c>
      <c r="AK70" s="342">
        <f t="shared" si="53"/>
        <v>0</v>
      </c>
      <c r="AM70" s="286">
        <v>0</v>
      </c>
      <c r="AN70" s="286">
        <f t="shared" si="54"/>
        <v>0</v>
      </c>
      <c r="AO70" s="286">
        <f t="shared" si="56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2.1.14'!O67</f>
        <v>0</v>
      </c>
      <c r="D71" s="194">
        <f>+'Table 5C1A-Madison Prep'!D71</f>
        <v>4775.1605543943642</v>
      </c>
      <c r="E71" s="195">
        <f t="shared" si="37"/>
        <v>0</v>
      </c>
      <c r="F71" s="195">
        <f>+'Table 5C1A-Madison Prep'!F71</f>
        <v>829.12</v>
      </c>
      <c r="G71" s="195">
        <f t="shared" si="38"/>
        <v>0</v>
      </c>
      <c r="H71" s="346">
        <f t="shared" si="39"/>
        <v>0</v>
      </c>
      <c r="I71" s="992">
        <f>'[1]Oct midyear NOMMA'!K68</f>
        <v>0</v>
      </c>
      <c r="J71" s="196">
        <f>'[1]Feb midyear NOMMA'!K68</f>
        <v>0</v>
      </c>
      <c r="K71" s="197">
        <f t="shared" si="40"/>
        <v>0</v>
      </c>
      <c r="L71" s="346">
        <f t="shared" ref="L71:L75" si="62">H71+K71</f>
        <v>0</v>
      </c>
      <c r="M71" s="296">
        <f t="shared" si="41"/>
        <v>0</v>
      </c>
      <c r="N71" s="346">
        <f t="shared" si="55"/>
        <v>0</v>
      </c>
      <c r="O71" s="194">
        <v>0</v>
      </c>
      <c r="P71" s="352">
        <f t="shared" si="42"/>
        <v>0</v>
      </c>
      <c r="Q71" s="622">
        <f>'[2]Table 5C1D-NOMMA'!S71+'[14]Table 5C1D-NOMMA'!S71+(6*'[20]Table 5C1D-NOMMA'!S71)</f>
        <v>0</v>
      </c>
      <c r="R71" s="196">
        <f t="shared" si="43"/>
        <v>0</v>
      </c>
      <c r="S71" s="356">
        <f t="shared" ref="S71:S75" si="63">ROUND(R71/$S$88,0)</f>
        <v>0</v>
      </c>
      <c r="T71" s="356">
        <f t="shared" si="44"/>
        <v>0</v>
      </c>
      <c r="U71" s="281">
        <f>'Table 5C1A-Madison Prep'!U71</f>
        <v>5215</v>
      </c>
      <c r="V71" s="329">
        <f t="shared" ref="V71:V75" si="64">C71*U71</f>
        <v>0</v>
      </c>
      <c r="W71" s="884">
        <f>'[1]Oct midyear NOMMA'!E68</f>
        <v>0</v>
      </c>
      <c r="X71" s="282">
        <f t="shared" si="45"/>
        <v>0</v>
      </c>
      <c r="Y71" s="884">
        <f>'[1]Feb midyear NOMMA'!E68</f>
        <v>0</v>
      </c>
      <c r="Z71" s="282">
        <f t="shared" si="46"/>
        <v>0</v>
      </c>
      <c r="AA71" s="283">
        <f t="shared" si="61"/>
        <v>0</v>
      </c>
      <c r="AB71" s="325">
        <f t="shared" si="47"/>
        <v>0</v>
      </c>
      <c r="AC71" s="298">
        <f t="shared" si="48"/>
        <v>0</v>
      </c>
      <c r="AD71" s="325">
        <f t="shared" si="49"/>
        <v>0</v>
      </c>
      <c r="AE71" s="284">
        <v>0</v>
      </c>
      <c r="AF71" s="325">
        <f t="shared" si="50"/>
        <v>0</v>
      </c>
      <c r="AG71" s="282">
        <f>'[2]Table 5C1D-NOMMA'!AI71+'[14]Table 5C1D-NOMMA'!AI71+(6*'[20]Table 5C1D-NOMMA'!AI71)</f>
        <v>0</v>
      </c>
      <c r="AH71" s="282">
        <f t="shared" si="51"/>
        <v>0</v>
      </c>
      <c r="AI71" s="329">
        <f t="shared" ref="AI71:AI75" si="65">ROUND(AH71/$AI$88,0)</f>
        <v>0</v>
      </c>
      <c r="AJ71" s="338">
        <f t="shared" si="52"/>
        <v>0</v>
      </c>
      <c r="AK71" s="343">
        <f t="shared" si="53"/>
        <v>0</v>
      </c>
      <c r="AM71" s="296">
        <v>0</v>
      </c>
      <c r="AN71" s="296">
        <f t="shared" si="54"/>
        <v>0</v>
      </c>
      <c r="AO71" s="296">
        <f t="shared" si="56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2.1.14'!O68</f>
        <v>0</v>
      </c>
      <c r="D72" s="208">
        <f>+'Table 5C1A-Madison Prep'!D72</f>
        <v>6564.0085433910035</v>
      </c>
      <c r="E72" s="209">
        <f t="shared" ref="E72:E75" si="66">C72*D72</f>
        <v>0</v>
      </c>
      <c r="F72" s="209">
        <f>+'Table 5C1A-Madison Prep'!F72</f>
        <v>730.06</v>
      </c>
      <c r="G72" s="209">
        <f t="shared" ref="G72:G75" si="67">C72*F72</f>
        <v>0</v>
      </c>
      <c r="H72" s="344">
        <f t="shared" ref="H72:H75" si="68">E72+G72</f>
        <v>0</v>
      </c>
      <c r="I72" s="990">
        <f>'[1]Oct midyear NOMMA'!K69</f>
        <v>0</v>
      </c>
      <c r="J72" s="210">
        <f>'[1]Feb midyear NOMMA'!K69</f>
        <v>0</v>
      </c>
      <c r="K72" s="211">
        <f t="shared" ref="K72:K75" si="69">I72+J72</f>
        <v>0</v>
      </c>
      <c r="L72" s="344">
        <f t="shared" si="62"/>
        <v>0</v>
      </c>
      <c r="M72" s="273">
        <f t="shared" ref="M72:M75" si="70">-(0.25%*L72)</f>
        <v>0</v>
      </c>
      <c r="N72" s="344">
        <f t="shared" ref="N72:N75" si="71">SUM(L72:M72)</f>
        <v>0</v>
      </c>
      <c r="O72" s="208">
        <v>0</v>
      </c>
      <c r="P72" s="350">
        <f t="shared" ref="P72:P75" si="72">SUM(N72:O72)</f>
        <v>0</v>
      </c>
      <c r="Q72" s="210">
        <f>'[2]Table 5C1D-NOMMA'!S72+'[14]Table 5C1D-NOMMA'!S72+(6*'[20]Table 5C1D-NOMMA'!S72)</f>
        <v>0</v>
      </c>
      <c r="R72" s="210">
        <f t="shared" ref="R72:R75" si="73">P72-Q72</f>
        <v>0</v>
      </c>
      <c r="S72" s="350">
        <f t="shared" si="63"/>
        <v>0</v>
      </c>
      <c r="T72" s="350">
        <f t="shared" ref="T72:T75" si="74">+P72</f>
        <v>0</v>
      </c>
      <c r="U72" s="274">
        <f>'Table 5C1A-Madison Prep'!U72</f>
        <v>3609</v>
      </c>
      <c r="V72" s="327">
        <f t="shared" si="64"/>
        <v>0</v>
      </c>
      <c r="W72" s="883">
        <f>'[1]Oct midyear NOMMA'!E69</f>
        <v>0</v>
      </c>
      <c r="X72" s="276">
        <f t="shared" ref="X72:X75" si="75">W72*U72</f>
        <v>0</v>
      </c>
      <c r="Y72" s="883">
        <f>'[1]Feb midyear NOMMA'!E69</f>
        <v>0</v>
      </c>
      <c r="Z72" s="276">
        <f t="shared" ref="Z72:Z75" si="76">+U72*Y72*0.5</f>
        <v>0</v>
      </c>
      <c r="AA72" s="275">
        <f t="shared" si="61"/>
        <v>0</v>
      </c>
      <c r="AB72" s="323">
        <f t="shared" ref="AB72:AB75" si="77">AA72+V72</f>
        <v>0</v>
      </c>
      <c r="AC72" s="278">
        <f t="shared" ref="AC72:AC75" si="78">-(0.25%*AB72)</f>
        <v>0</v>
      </c>
      <c r="AD72" s="323">
        <f t="shared" ref="AD72:AD75" si="79">SUM(AB72:AC72)</f>
        <v>0</v>
      </c>
      <c r="AE72" s="279">
        <v>0</v>
      </c>
      <c r="AF72" s="323">
        <f t="shared" ref="AF72:AF75" si="80">SUM(AD72:AE72)</f>
        <v>0</v>
      </c>
      <c r="AG72" s="276">
        <f>'[2]Table 5C1D-NOMMA'!AI72+'[14]Table 5C1D-NOMMA'!AI72+(6*'[20]Table 5C1D-NOMMA'!AI72)</f>
        <v>0</v>
      </c>
      <c r="AH72" s="276">
        <f t="shared" ref="AH72:AH75" si="81">AF72-AG72</f>
        <v>0</v>
      </c>
      <c r="AI72" s="327">
        <f t="shared" si="65"/>
        <v>0</v>
      </c>
      <c r="AJ72" s="337">
        <f t="shared" ref="AJ72:AJ75" si="82">T72+AF72</f>
        <v>0</v>
      </c>
      <c r="AK72" s="341">
        <f t="shared" ref="AK72:AK75" si="83">S72+AI72</f>
        <v>0</v>
      </c>
      <c r="AM72" s="310">
        <v>0</v>
      </c>
      <c r="AN72" s="310">
        <f t="shared" ref="AN72:AN75" si="84">+AC72</f>
        <v>0</v>
      </c>
      <c r="AO72" s="310">
        <f t="shared" si="56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2.1.14'!O69</f>
        <v>0</v>
      </c>
      <c r="D73" s="201">
        <f>+'Table 5C1A-Madison Prep'!D73</f>
        <v>5029.1467736134118</v>
      </c>
      <c r="E73" s="202">
        <f t="shared" si="66"/>
        <v>0</v>
      </c>
      <c r="F73" s="202">
        <f>+'Table 5C1A-Madison Prep'!F73</f>
        <v>715.61</v>
      </c>
      <c r="G73" s="202">
        <f t="shared" si="67"/>
        <v>0</v>
      </c>
      <c r="H73" s="345">
        <f t="shared" si="68"/>
        <v>0</v>
      </c>
      <c r="I73" s="991">
        <f>'[1]Oct midyear NOMMA'!K70</f>
        <v>0</v>
      </c>
      <c r="J73" s="203">
        <f>'[1]Feb midyear NOMMA'!K70</f>
        <v>0</v>
      </c>
      <c r="K73" s="204">
        <f t="shared" si="69"/>
        <v>0</v>
      </c>
      <c r="L73" s="345">
        <f t="shared" si="62"/>
        <v>0</v>
      </c>
      <c r="M73" s="286">
        <f t="shared" si="70"/>
        <v>0</v>
      </c>
      <c r="N73" s="345">
        <f t="shared" si="71"/>
        <v>0</v>
      </c>
      <c r="O73" s="201">
        <v>0</v>
      </c>
      <c r="P73" s="351">
        <f t="shared" si="72"/>
        <v>0</v>
      </c>
      <c r="Q73" s="203">
        <f>'[2]Table 5C1D-NOMMA'!S73+'[14]Table 5C1D-NOMMA'!S73+(6*'[20]Table 5C1D-NOMMA'!S73)</f>
        <v>0</v>
      </c>
      <c r="R73" s="203">
        <f t="shared" si="73"/>
        <v>0</v>
      </c>
      <c r="S73" s="351">
        <f t="shared" si="63"/>
        <v>0</v>
      </c>
      <c r="T73" s="351">
        <f t="shared" si="74"/>
        <v>0</v>
      </c>
      <c r="U73" s="287">
        <f>'Table 5C1A-Madison Prep'!U73</f>
        <v>5069</v>
      </c>
      <c r="V73" s="328">
        <f t="shared" si="64"/>
        <v>0</v>
      </c>
      <c r="W73" s="289">
        <f>'[1]Oct midyear NOMMA'!E70</f>
        <v>0</v>
      </c>
      <c r="X73" s="290">
        <f t="shared" si="75"/>
        <v>0</v>
      </c>
      <c r="Y73" s="289">
        <f>'[1]Feb midyear NOMMA'!E70</f>
        <v>0</v>
      </c>
      <c r="Z73" s="290">
        <f t="shared" si="76"/>
        <v>0</v>
      </c>
      <c r="AA73" s="288">
        <f t="shared" si="61"/>
        <v>0</v>
      </c>
      <c r="AB73" s="324">
        <f t="shared" si="77"/>
        <v>0</v>
      </c>
      <c r="AC73" s="292">
        <f t="shared" si="78"/>
        <v>0</v>
      </c>
      <c r="AD73" s="324">
        <f t="shared" si="79"/>
        <v>0</v>
      </c>
      <c r="AE73" s="293">
        <v>0</v>
      </c>
      <c r="AF73" s="324">
        <f t="shared" si="80"/>
        <v>0</v>
      </c>
      <c r="AG73" s="290">
        <f>'[2]Table 5C1D-NOMMA'!AI73+'[14]Table 5C1D-NOMMA'!AI73+(6*'[20]Table 5C1D-NOMMA'!AI73)</f>
        <v>0</v>
      </c>
      <c r="AH73" s="290">
        <f t="shared" si="81"/>
        <v>0</v>
      </c>
      <c r="AI73" s="328">
        <f t="shared" si="65"/>
        <v>0</v>
      </c>
      <c r="AJ73" s="321">
        <f t="shared" si="82"/>
        <v>0</v>
      </c>
      <c r="AK73" s="342">
        <f t="shared" si="83"/>
        <v>0</v>
      </c>
      <c r="AM73" s="310">
        <v>0</v>
      </c>
      <c r="AN73" s="310">
        <f t="shared" si="84"/>
        <v>0</v>
      </c>
      <c r="AO73" s="310">
        <f t="shared" si="56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2.1.14'!O70</f>
        <v>0</v>
      </c>
      <c r="D74" s="201">
        <f>+'Table 5C1A-Madison Prep'!D74</f>
        <v>6390.1644202560601</v>
      </c>
      <c r="E74" s="202">
        <f t="shared" si="66"/>
        <v>0</v>
      </c>
      <c r="F74" s="202">
        <f>+'Table 5C1A-Madison Prep'!F74</f>
        <v>798.7</v>
      </c>
      <c r="G74" s="202">
        <f t="shared" si="67"/>
        <v>0</v>
      </c>
      <c r="H74" s="345">
        <f t="shared" si="68"/>
        <v>0</v>
      </c>
      <c r="I74" s="991">
        <f>'[1]Oct midyear NOMMA'!K71</f>
        <v>0</v>
      </c>
      <c r="J74" s="203">
        <f>'[1]Feb midyear NOMMA'!K71</f>
        <v>0</v>
      </c>
      <c r="K74" s="204">
        <f t="shared" si="69"/>
        <v>0</v>
      </c>
      <c r="L74" s="345">
        <f t="shared" si="62"/>
        <v>0</v>
      </c>
      <c r="M74" s="286">
        <f t="shared" si="70"/>
        <v>0</v>
      </c>
      <c r="N74" s="345">
        <f t="shared" si="71"/>
        <v>0</v>
      </c>
      <c r="O74" s="201">
        <v>0</v>
      </c>
      <c r="P74" s="351">
        <f t="shared" si="72"/>
        <v>0</v>
      </c>
      <c r="Q74" s="203">
        <f>'[2]Table 5C1D-NOMMA'!S74+'[14]Table 5C1D-NOMMA'!S74+(6*'[20]Table 5C1D-NOMMA'!S74)</f>
        <v>0</v>
      </c>
      <c r="R74" s="203">
        <f t="shared" si="73"/>
        <v>0</v>
      </c>
      <c r="S74" s="351">
        <f t="shared" si="63"/>
        <v>0</v>
      </c>
      <c r="T74" s="351">
        <f t="shared" si="74"/>
        <v>0</v>
      </c>
      <c r="U74" s="287">
        <f>'Table 5C1A-Madison Prep'!U74</f>
        <v>2880</v>
      </c>
      <c r="V74" s="328">
        <f t="shared" si="64"/>
        <v>0</v>
      </c>
      <c r="W74" s="289">
        <f>'[1]Oct midyear NOMMA'!E71</f>
        <v>0</v>
      </c>
      <c r="X74" s="290">
        <f t="shared" si="75"/>
        <v>0</v>
      </c>
      <c r="Y74" s="289">
        <f>'[1]Feb midyear NOMMA'!E71</f>
        <v>0</v>
      </c>
      <c r="Z74" s="290">
        <f t="shared" si="76"/>
        <v>0</v>
      </c>
      <c r="AA74" s="288">
        <f t="shared" si="61"/>
        <v>0</v>
      </c>
      <c r="AB74" s="324">
        <f t="shared" si="77"/>
        <v>0</v>
      </c>
      <c r="AC74" s="292">
        <f t="shared" si="78"/>
        <v>0</v>
      </c>
      <c r="AD74" s="324">
        <f t="shared" si="79"/>
        <v>0</v>
      </c>
      <c r="AE74" s="293">
        <v>0</v>
      </c>
      <c r="AF74" s="324">
        <f t="shared" si="80"/>
        <v>0</v>
      </c>
      <c r="AG74" s="290">
        <f>'[2]Table 5C1D-NOMMA'!AI74+'[14]Table 5C1D-NOMMA'!AI74+(6*'[20]Table 5C1D-NOMMA'!AI74)</f>
        <v>0</v>
      </c>
      <c r="AH74" s="290">
        <f t="shared" si="81"/>
        <v>0</v>
      </c>
      <c r="AI74" s="328">
        <f t="shared" si="65"/>
        <v>0</v>
      </c>
      <c r="AJ74" s="321">
        <f t="shared" si="82"/>
        <v>0</v>
      </c>
      <c r="AK74" s="342">
        <f t="shared" si="83"/>
        <v>0</v>
      </c>
      <c r="AM74" s="310">
        <v>0</v>
      </c>
      <c r="AN74" s="310">
        <f t="shared" si="84"/>
        <v>0</v>
      </c>
      <c r="AO74" s="310">
        <f t="shared" si="56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2.1.14'!O71</f>
        <v>0</v>
      </c>
      <c r="D75" s="201">
        <f>+'Table 5C1A-Madison Prep'!D75</f>
        <v>5722.4947921281337</v>
      </c>
      <c r="E75" s="202">
        <f t="shared" si="66"/>
        <v>0</v>
      </c>
      <c r="F75" s="202">
        <f>+'Table 5C1A-Madison Prep'!F75</f>
        <v>705.67</v>
      </c>
      <c r="G75" s="202">
        <f t="shared" si="67"/>
        <v>0</v>
      </c>
      <c r="H75" s="345">
        <f t="shared" si="68"/>
        <v>0</v>
      </c>
      <c r="I75" s="991">
        <f>'[1]Oct midyear NOMMA'!K72</f>
        <v>0</v>
      </c>
      <c r="J75" s="203">
        <f>'[1]Feb midyear NOMMA'!K72</f>
        <v>0</v>
      </c>
      <c r="K75" s="204">
        <f t="shared" si="69"/>
        <v>0</v>
      </c>
      <c r="L75" s="345">
        <f t="shared" si="62"/>
        <v>0</v>
      </c>
      <c r="M75" s="286">
        <f t="shared" si="70"/>
        <v>0</v>
      </c>
      <c r="N75" s="345">
        <f t="shared" si="71"/>
        <v>0</v>
      </c>
      <c r="O75" s="201">
        <v>0</v>
      </c>
      <c r="P75" s="351">
        <f t="shared" si="72"/>
        <v>0</v>
      </c>
      <c r="Q75" s="203">
        <f>'[2]Table 5C1D-NOMMA'!S75+'[14]Table 5C1D-NOMMA'!S75+(6*'[20]Table 5C1D-NOMMA'!S75)</f>
        <v>0</v>
      </c>
      <c r="R75" s="203">
        <f t="shared" si="73"/>
        <v>0</v>
      </c>
      <c r="S75" s="351">
        <f t="shared" si="63"/>
        <v>0</v>
      </c>
      <c r="T75" s="351">
        <f t="shared" si="74"/>
        <v>0</v>
      </c>
      <c r="U75" s="287">
        <f>'Table 5C1A-Madison Prep'!U75</f>
        <v>3330</v>
      </c>
      <c r="V75" s="328">
        <f t="shared" si="64"/>
        <v>0</v>
      </c>
      <c r="W75" s="289">
        <f>'[1]Oct midyear NOMMA'!E72</f>
        <v>0</v>
      </c>
      <c r="X75" s="290">
        <f t="shared" si="75"/>
        <v>0</v>
      </c>
      <c r="Y75" s="289">
        <f>'[1]Feb midyear NOMMA'!E72</f>
        <v>0</v>
      </c>
      <c r="Z75" s="290">
        <f t="shared" si="76"/>
        <v>0</v>
      </c>
      <c r="AA75" s="288">
        <f t="shared" si="61"/>
        <v>0</v>
      </c>
      <c r="AB75" s="324">
        <f t="shared" si="77"/>
        <v>0</v>
      </c>
      <c r="AC75" s="292">
        <f t="shared" si="78"/>
        <v>0</v>
      </c>
      <c r="AD75" s="324">
        <f t="shared" si="79"/>
        <v>0</v>
      </c>
      <c r="AE75" s="293">
        <v>0</v>
      </c>
      <c r="AF75" s="324">
        <f t="shared" si="80"/>
        <v>0</v>
      </c>
      <c r="AG75" s="290">
        <f>'[2]Table 5C1D-NOMMA'!AI75+'[14]Table 5C1D-NOMMA'!AI75+(6*'[20]Table 5C1D-NOMMA'!AI75)</f>
        <v>0</v>
      </c>
      <c r="AH75" s="290">
        <f t="shared" si="81"/>
        <v>0</v>
      </c>
      <c r="AI75" s="328">
        <f t="shared" si="65"/>
        <v>0</v>
      </c>
      <c r="AJ75" s="321">
        <f t="shared" si="82"/>
        <v>0</v>
      </c>
      <c r="AK75" s="342">
        <f t="shared" si="83"/>
        <v>0</v>
      </c>
      <c r="AM75" s="300">
        <v>0</v>
      </c>
      <c r="AN75" s="300">
        <f t="shared" si="84"/>
        <v>0</v>
      </c>
      <c r="AO75" s="300">
        <f t="shared" si="56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357</v>
      </c>
      <c r="D76" s="28">
        <f>+'Table 5C1A-Madison Prep'!D76</f>
        <v>4479.9292126977662</v>
      </c>
      <c r="E76" s="35">
        <f>SUM(E7:E75)</f>
        <v>1242837.8801345068</v>
      </c>
      <c r="F76" s="35">
        <f>+'Table 5C1A-Madison Prep'!F76</f>
        <v>704.64781030742063</v>
      </c>
      <c r="G76" s="35">
        <f>SUM(G7:G75)</f>
        <v>284180.43273972603</v>
      </c>
      <c r="H76" s="348">
        <f>SUM(H7:H75)</f>
        <v>1527018.3128742334</v>
      </c>
      <c r="I76" s="37">
        <f>SUM(I7:I75)</f>
        <v>772959.01919525769</v>
      </c>
      <c r="J76" s="72">
        <f>SUM(J7:J75)</f>
        <v>-27115.070422007884</v>
      </c>
      <c r="K76" s="61">
        <f t="shared" ref="K76:T76" si="85">SUM(K7:K75)</f>
        <v>745843.94877324987</v>
      </c>
      <c r="L76" s="367">
        <f t="shared" si="85"/>
        <v>2272862.2616474824</v>
      </c>
      <c r="M76" s="36">
        <f t="shared" si="85"/>
        <v>-5682.1556541187065</v>
      </c>
      <c r="N76" s="348">
        <f t="shared" si="85"/>
        <v>2267180.1059933635</v>
      </c>
      <c r="O76" s="66">
        <f t="shared" si="85"/>
        <v>0</v>
      </c>
      <c r="P76" s="354">
        <f t="shared" si="85"/>
        <v>2267180.1059933635</v>
      </c>
      <c r="Q76" s="84">
        <f t="shared" si="85"/>
        <v>1496806</v>
      </c>
      <c r="R76" s="84">
        <f t="shared" si="85"/>
        <v>770374.10599336401</v>
      </c>
      <c r="S76" s="354">
        <f t="shared" si="85"/>
        <v>192594</v>
      </c>
      <c r="T76" s="354">
        <f t="shared" si="85"/>
        <v>2267180.1059933635</v>
      </c>
      <c r="U76" s="83">
        <f>'Table 5C1A-Madison Prep'!U76</f>
        <v>4703</v>
      </c>
      <c r="V76" s="330">
        <f t="shared" ref="V76:AK76" si="86">SUM(V7:V75)</f>
        <v>1929332</v>
      </c>
      <c r="W76" s="77">
        <f t="shared" si="86"/>
        <v>183</v>
      </c>
      <c r="X76" s="78">
        <f t="shared" si="86"/>
        <v>1025769</v>
      </c>
      <c r="Y76" s="74">
        <f t="shared" si="86"/>
        <v>-13</v>
      </c>
      <c r="Z76" s="75">
        <f t="shared" si="86"/>
        <v>-36764</v>
      </c>
      <c r="AA76" s="63">
        <f t="shared" si="86"/>
        <v>989005</v>
      </c>
      <c r="AB76" s="335">
        <f t="shared" si="86"/>
        <v>2918337</v>
      </c>
      <c r="AC76" s="37">
        <f t="shared" si="86"/>
        <v>-7295.8424999999997</v>
      </c>
      <c r="AD76" s="330">
        <f t="shared" si="86"/>
        <v>2911041.1575000002</v>
      </c>
      <c r="AE76" s="85">
        <f t="shared" si="86"/>
        <v>0</v>
      </c>
      <c r="AF76" s="330">
        <f t="shared" si="86"/>
        <v>2911041.1575000002</v>
      </c>
      <c r="AG76" s="86">
        <f t="shared" si="86"/>
        <v>1931086</v>
      </c>
      <c r="AH76" s="86">
        <f t="shared" si="86"/>
        <v>979955.15750000009</v>
      </c>
      <c r="AI76" s="330">
        <f t="shared" si="86"/>
        <v>244988</v>
      </c>
      <c r="AJ76" s="339">
        <f t="shared" si="86"/>
        <v>5178221.2634933647</v>
      </c>
      <c r="AK76" s="339">
        <f t="shared" si="86"/>
        <v>437582</v>
      </c>
      <c r="AM76" s="36">
        <f>SUM(AM7:AM75)</f>
        <v>-4866.9049999999997</v>
      </c>
      <c r="AN76" s="36">
        <f>SUM(AN7:AN75)</f>
        <v>-7295.8424999999997</v>
      </c>
      <c r="AO76" s="36">
        <f>SUM(AO7:AO75)</f>
        <v>-2428.9375000000005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4'!$E103</f>
        <v>0</v>
      </c>
      <c r="Q77" s="203">
        <f>'[2]Table 5C1D-NOMMA'!S77+'[14]Table 5C1D-NOMMA'!S77+(6*'[20]Table 5C1D-NOMMA'!S77)</f>
        <v>0</v>
      </c>
      <c r="R77" s="222">
        <f t="shared" ref="R77" si="87">P77-Q77</f>
        <v>0</v>
      </c>
      <c r="S77" s="351">
        <f t="shared" ref="S77:S81" si="88">ROUND(R77/$S$88,0)</f>
        <v>0</v>
      </c>
      <c r="T77" s="351">
        <f>'Table 4 Level 4'!$E103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0"/>
      <c r="AH77" s="290"/>
      <c r="AI77" s="290"/>
      <c r="AJ77" s="321">
        <f t="shared" ref="AJ77:AJ81" si="89">T77+AF77</f>
        <v>0</v>
      </c>
      <c r="AK77" s="321">
        <f t="shared" ref="AK77:AK81" si="90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03"/>
      <c r="R78" s="222"/>
      <c r="S78" s="203"/>
      <c r="T78" s="351">
        <f>'Table 4 Level 4'!$J103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0"/>
      <c r="AH78" s="290"/>
      <c r="AI78" s="290"/>
      <c r="AJ78" s="321">
        <f t="shared" si="89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03"/>
      <c r="R79" s="222"/>
      <c r="S79" s="203"/>
      <c r="T79" s="351">
        <f>'Table 4 Level 4'!$L103</f>
        <v>10000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0"/>
      <c r="AH79" s="290"/>
      <c r="AI79" s="290"/>
      <c r="AJ79" s="321">
        <f t="shared" si="89"/>
        <v>10000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03"/>
      <c r="R80" s="222"/>
      <c r="S80" s="203"/>
      <c r="T80" s="351">
        <f>'Table 4 Level 4'!$M103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0"/>
      <c r="AH80" s="290"/>
      <c r="AI80" s="290"/>
      <c r="AJ80" s="321">
        <f t="shared" si="89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4'!O103</f>
        <v>9282</v>
      </c>
      <c r="Q81" s="885">
        <f>'[2]Table 5C1D-NOMMA'!S81+'[14]Table 5C1D-NOMMA'!S81+(6*'[20]Table 5C1D-NOMMA'!S81)</f>
        <v>6191</v>
      </c>
      <c r="R81" s="217">
        <f t="shared" ref="R81" si="91">P81-Q81</f>
        <v>3091</v>
      </c>
      <c r="S81" s="358">
        <f t="shared" si="88"/>
        <v>773</v>
      </c>
      <c r="T81" s="358">
        <f>P81</f>
        <v>9282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2"/>
      <c r="AH81" s="302"/>
      <c r="AI81" s="302"/>
      <c r="AJ81" s="322">
        <f t="shared" si="89"/>
        <v>9282</v>
      </c>
      <c r="AK81" s="322">
        <f t="shared" si="90"/>
        <v>773</v>
      </c>
    </row>
    <row r="82" spans="1:37" ht="16.149999999999999" customHeight="1" thickBot="1">
      <c r="A82" s="1442" t="s">
        <v>710</v>
      </c>
      <c r="B82" s="1415"/>
      <c r="C82" s="136">
        <f>SUM(C76:C81)</f>
        <v>357</v>
      </c>
      <c r="D82" s="128">
        <f t="shared" ref="D82:AK82" si="92">SUM(D76:D81)</f>
        <v>4479.9292126977662</v>
      </c>
      <c r="E82" s="128">
        <f t="shared" si="92"/>
        <v>1242837.8801345068</v>
      </c>
      <c r="F82" s="128">
        <f t="shared" si="92"/>
        <v>704.64781030742063</v>
      </c>
      <c r="G82" s="128">
        <f t="shared" si="92"/>
        <v>284180.43273972603</v>
      </c>
      <c r="H82" s="128">
        <f t="shared" si="92"/>
        <v>1527018.3128742334</v>
      </c>
      <c r="I82" s="134">
        <f t="shared" si="92"/>
        <v>772959.01919525769</v>
      </c>
      <c r="J82" s="133">
        <f t="shared" si="92"/>
        <v>-27115.070422007884</v>
      </c>
      <c r="K82" s="133">
        <f t="shared" si="92"/>
        <v>745843.94877324987</v>
      </c>
      <c r="L82" s="128">
        <f t="shared" si="92"/>
        <v>2272862.2616474824</v>
      </c>
      <c r="M82" s="133">
        <f t="shared" si="92"/>
        <v>-5682.1556541187065</v>
      </c>
      <c r="N82" s="128">
        <f t="shared" si="92"/>
        <v>2267180.1059933635</v>
      </c>
      <c r="O82" s="133">
        <f t="shared" si="92"/>
        <v>0</v>
      </c>
      <c r="P82" s="355">
        <f t="shared" si="92"/>
        <v>2276462.1059933635</v>
      </c>
      <c r="Q82" s="133">
        <f t="shared" si="92"/>
        <v>1502997</v>
      </c>
      <c r="R82" s="133">
        <f t="shared" si="92"/>
        <v>773465.10599336401</v>
      </c>
      <c r="S82" s="355">
        <f t="shared" si="92"/>
        <v>193367</v>
      </c>
      <c r="T82" s="355">
        <f t="shared" si="92"/>
        <v>2286462.1059933635</v>
      </c>
      <c r="U82" s="137">
        <f t="shared" si="92"/>
        <v>4703</v>
      </c>
      <c r="V82" s="134">
        <f t="shared" si="92"/>
        <v>1929332</v>
      </c>
      <c r="W82" s="136">
        <f t="shared" si="92"/>
        <v>183</v>
      </c>
      <c r="X82" s="134">
        <f t="shared" si="92"/>
        <v>1025769</v>
      </c>
      <c r="Y82" s="136">
        <f t="shared" si="92"/>
        <v>-13</v>
      </c>
      <c r="Z82" s="134">
        <f t="shared" si="92"/>
        <v>-36764</v>
      </c>
      <c r="AA82" s="134">
        <f t="shared" si="92"/>
        <v>989005</v>
      </c>
      <c r="AB82" s="134">
        <f t="shared" si="92"/>
        <v>2918337</v>
      </c>
      <c r="AC82" s="134">
        <f t="shared" si="92"/>
        <v>-7295.8424999999997</v>
      </c>
      <c r="AD82" s="134">
        <f t="shared" si="92"/>
        <v>2911041.1575000002</v>
      </c>
      <c r="AE82" s="134">
        <f t="shared" si="92"/>
        <v>0</v>
      </c>
      <c r="AF82" s="134">
        <f t="shared" si="92"/>
        <v>2911041.1575000002</v>
      </c>
      <c r="AG82" s="134">
        <f t="shared" si="92"/>
        <v>1931086</v>
      </c>
      <c r="AH82" s="134">
        <f t="shared" si="92"/>
        <v>979955.15750000009</v>
      </c>
      <c r="AI82" s="134">
        <f t="shared" si="92"/>
        <v>244988</v>
      </c>
      <c r="AJ82" s="320">
        <f t="shared" si="92"/>
        <v>5197503.2634933647</v>
      </c>
      <c r="AK82" s="320">
        <f t="shared" si="92"/>
        <v>438355</v>
      </c>
    </row>
    <row r="83" spans="1:37" ht="16.149999999999999" hidden="1" customHeight="1" thickTop="1">
      <c r="C83" s="727"/>
      <c r="I83" s="627"/>
      <c r="J83" s="627"/>
      <c r="K83" s="627"/>
      <c r="W83" s="727"/>
      <c r="Y83" s="727"/>
    </row>
    <row r="84" spans="1:37" ht="16.149999999999999" hidden="1" customHeight="1">
      <c r="C84" s="727"/>
      <c r="I84" s="627"/>
      <c r="J84" s="627"/>
      <c r="K84" s="627"/>
      <c r="M84" s="627">
        <v>-3817.5457821855825</v>
      </c>
      <c r="N84" s="427" t="s">
        <v>1044</v>
      </c>
      <c r="W84" s="727"/>
      <c r="Y84" s="727"/>
    </row>
    <row r="85" spans="1:37" ht="16.149999999999999" hidden="1" customHeight="1">
      <c r="C85" s="727"/>
      <c r="I85" s="627"/>
      <c r="J85" s="627"/>
      <c r="K85" s="627"/>
      <c r="M85" s="627">
        <f>M82-M84</f>
        <v>-1864.6098719331239</v>
      </c>
      <c r="N85" s="427" t="s">
        <v>1045</v>
      </c>
      <c r="W85" s="727"/>
      <c r="Y85" s="727"/>
    </row>
    <row r="86" spans="1:37" ht="16.149999999999999" hidden="1" customHeight="1">
      <c r="C86" s="727"/>
      <c r="I86" s="627"/>
      <c r="J86" s="627"/>
      <c r="K86" s="627"/>
      <c r="M86" s="627"/>
      <c r="W86" s="727"/>
      <c r="Y86" s="727"/>
    </row>
    <row r="87" spans="1:37" ht="16.149999999999999" hidden="1" customHeight="1">
      <c r="C87" s="727"/>
      <c r="I87" s="627"/>
      <c r="J87" s="627"/>
      <c r="K87" s="627"/>
      <c r="M87" s="627"/>
      <c r="W87" s="727"/>
      <c r="Y87" s="727"/>
    </row>
    <row r="88" spans="1:37" ht="16.149999999999999" hidden="1" customHeight="1">
      <c r="C88" s="727"/>
      <c r="M88" s="627"/>
      <c r="R88" s="427" t="str">
        <f>'Table 2_State Distrib and Adjs'!$AK$77</f>
        <v>Monthly Pmts Remaining</v>
      </c>
      <c r="S88" s="427">
        <f>'Table 2_State Distrib and Adjs'!$AL$77</f>
        <v>4</v>
      </c>
      <c r="AH88" s="427" t="str">
        <f>'Table 2_State Distrib and Adjs'!$AK$77</f>
        <v>Monthly Pmts Remaining</v>
      </c>
      <c r="AI88" s="427">
        <f>'Table 2_State Distrib and Adjs'!$AL$77</f>
        <v>4</v>
      </c>
    </row>
    <row r="89" spans="1:37" ht="16.149999999999999" customHeight="1" thickTop="1"/>
    <row r="90" spans="1:37" ht="16.149999999999999" customHeight="1"/>
    <row r="98" ht="13.9" customHeight="1"/>
  </sheetData>
  <mergeCells count="43">
    <mergeCell ref="AH3:AH4"/>
    <mergeCell ref="AI3:AI4"/>
    <mergeCell ref="AB3:AB4"/>
    <mergeCell ref="W2:AA2"/>
    <mergeCell ref="U1:AB1"/>
    <mergeCell ref="AC1:AI1"/>
    <mergeCell ref="Y3:Y4"/>
    <mergeCell ref="Z3:Z4"/>
    <mergeCell ref="AG3:AG4"/>
    <mergeCell ref="A1:B4"/>
    <mergeCell ref="L3:L4"/>
    <mergeCell ref="I2:K2"/>
    <mergeCell ref="W3:W4"/>
    <mergeCell ref="X3:X4"/>
    <mergeCell ref="P3:P4"/>
    <mergeCell ref="S3:S4"/>
    <mergeCell ref="U3:U4"/>
    <mergeCell ref="T3:T4"/>
    <mergeCell ref="M1:T1"/>
    <mergeCell ref="C1:L1"/>
    <mergeCell ref="AJ1:AJ4"/>
    <mergeCell ref="AK1:AK4"/>
    <mergeCell ref="C3:C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I3:I4"/>
    <mergeCell ref="J3:J4"/>
    <mergeCell ref="K3:K4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5C1-D: FY2014-15 MFP Budget Letter (March 2015)
New Orleans Military/Maritime Academy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O98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427" customWidth="1"/>
    <col min="2" max="2" width="37.7109375" style="427" customWidth="1"/>
    <col min="3" max="3" width="12.140625" style="427" bestFit="1" customWidth="1"/>
    <col min="4" max="4" width="13.7109375" style="427" bestFit="1" customWidth="1"/>
    <col min="5" max="5" width="10.140625" style="427" bestFit="1" customWidth="1"/>
    <col min="6" max="7" width="12.28515625" style="427" bestFit="1" customWidth="1"/>
    <col min="8" max="8" width="11.5703125" style="427" bestFit="1" customWidth="1"/>
    <col min="9" max="11" width="11.85546875" style="427" bestFit="1" customWidth="1"/>
    <col min="12" max="12" width="13.7109375" style="427" bestFit="1" customWidth="1"/>
    <col min="13" max="13" width="10.85546875" style="427" bestFit="1" customWidth="1"/>
    <col min="14" max="14" width="13.140625" style="427" customWidth="1"/>
    <col min="15" max="15" width="13.42578125" style="427" bestFit="1" customWidth="1"/>
    <col min="16" max="16" width="14.7109375" style="427" customWidth="1"/>
    <col min="17" max="18" width="14" style="427" customWidth="1"/>
    <col min="19" max="19" width="10.7109375" style="427" customWidth="1"/>
    <col min="20" max="20" width="14.85546875" style="427" customWidth="1"/>
    <col min="21" max="22" width="14.5703125" style="427" customWidth="1"/>
    <col min="23" max="23" width="11.7109375" style="427" customWidth="1"/>
    <col min="24" max="24" width="14.42578125" style="427" bestFit="1" customWidth="1"/>
    <col min="25" max="27" width="11.7109375" style="427" customWidth="1"/>
    <col min="28" max="28" width="14.42578125" style="427" bestFit="1" customWidth="1"/>
    <col min="29" max="29" width="10.5703125" style="427" customWidth="1"/>
    <col min="30" max="30" width="14.42578125" style="427" bestFit="1" customWidth="1"/>
    <col min="31" max="31" width="11.85546875" style="427" bestFit="1" customWidth="1"/>
    <col min="32" max="32" width="14.42578125" style="427" bestFit="1" customWidth="1"/>
    <col min="33" max="34" width="10.7109375" style="427" bestFit="1" customWidth="1"/>
    <col min="35" max="37" width="14.42578125" style="427" bestFit="1" customWidth="1"/>
    <col min="38" max="38" width="0" style="427" hidden="1" customWidth="1"/>
    <col min="39" max="40" width="12.28515625" style="427" hidden="1" customWidth="1"/>
    <col min="41" max="41" width="10" style="427" hidden="1" customWidth="1"/>
    <col min="42" max="16384" width="8.85546875" style="427"/>
  </cols>
  <sheetData>
    <row r="1" spans="1:41" ht="23.45" customHeight="1">
      <c r="A1" s="1535" t="s">
        <v>267</v>
      </c>
      <c r="B1" s="1536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74" t="s">
        <v>875</v>
      </c>
      <c r="AK1" s="1574" t="s">
        <v>876</v>
      </c>
    </row>
    <row r="2" spans="1:41" ht="22.15" customHeight="1">
      <c r="A2" s="1454"/>
      <c r="B2" s="1455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37"/>
      <c r="B3" s="1455"/>
      <c r="C3" s="1525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73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39" t="s">
        <v>423</v>
      </c>
      <c r="T3" s="1539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75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2"/>
      <c r="AK3" s="1522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38"/>
      <c r="B4" s="1457"/>
      <c r="C4" s="1520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39"/>
      <c r="T4" s="1539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I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ref="J5" si="2">I5+1</f>
        <v>8</v>
      </c>
      <c r="K5" s="23">
        <f t="shared" ref="K5" si="3">J5+1</f>
        <v>9</v>
      </c>
      <c r="L5" s="23">
        <f t="shared" ref="L5" si="4">K5+1</f>
        <v>10</v>
      </c>
      <c r="M5" s="23">
        <f t="shared" ref="M5" si="5">L5+1</f>
        <v>11</v>
      </c>
      <c r="N5" s="23">
        <f t="shared" ref="N5" si="6">M5+1</f>
        <v>12</v>
      </c>
      <c r="O5" s="23">
        <f t="shared" ref="O5" si="7">N5+1</f>
        <v>13</v>
      </c>
      <c r="P5" s="23">
        <f t="shared" ref="P5" si="8">O5+1</f>
        <v>14</v>
      </c>
      <c r="Q5" s="23">
        <f t="shared" ref="Q5" si="9">P5+1</f>
        <v>15</v>
      </c>
      <c r="R5" s="23">
        <f t="shared" ref="R5" si="10">Q5+1</f>
        <v>16</v>
      </c>
      <c r="S5" s="23">
        <f t="shared" ref="S5" si="11">R5+1</f>
        <v>17</v>
      </c>
      <c r="T5" s="23">
        <f t="shared" ref="T5" si="12">S5+1</f>
        <v>18</v>
      </c>
      <c r="U5" s="23">
        <f t="shared" ref="U5" si="13">T5+1</f>
        <v>19</v>
      </c>
      <c r="V5" s="23">
        <f t="shared" ref="V5" si="14">U5+1</f>
        <v>20</v>
      </c>
      <c r="W5" s="23">
        <f t="shared" ref="W5" si="15">V5+1</f>
        <v>21</v>
      </c>
      <c r="X5" s="23">
        <f t="shared" ref="X5" si="16">W5+1</f>
        <v>22</v>
      </c>
      <c r="Y5" s="23">
        <f t="shared" ref="Y5" si="17">X5+1</f>
        <v>23</v>
      </c>
      <c r="Z5" s="23">
        <f t="shared" ref="Z5" si="18">Y5+1</f>
        <v>24</v>
      </c>
      <c r="AA5" s="23">
        <f t="shared" ref="AA5" si="19">Z5+1</f>
        <v>25</v>
      </c>
      <c r="AB5" s="23">
        <f t="shared" ref="AB5" si="20">AA5+1</f>
        <v>26</v>
      </c>
      <c r="AC5" s="23">
        <f t="shared" ref="AC5" si="21">AB5+1</f>
        <v>27</v>
      </c>
      <c r="AD5" s="23">
        <f t="shared" ref="AD5" si="22">AC5+1</f>
        <v>28</v>
      </c>
      <c r="AE5" s="23">
        <f t="shared" ref="AE5" si="23">AD5+1</f>
        <v>29</v>
      </c>
      <c r="AF5" s="23">
        <f t="shared" ref="AF5" si="24">AE5+1</f>
        <v>30</v>
      </c>
      <c r="AG5" s="23">
        <f t="shared" ref="AG5" si="25">AF5+1</f>
        <v>31</v>
      </c>
      <c r="AH5" s="23">
        <f t="shared" ref="AH5" si="26">AG5+1</f>
        <v>32</v>
      </c>
      <c r="AI5" s="23">
        <f t="shared" ref="AI5" si="27">AH5+1</f>
        <v>33</v>
      </c>
      <c r="AJ5" s="23">
        <f t="shared" ref="AJ5" si="28">AI5+1</f>
        <v>34</v>
      </c>
      <c r="AK5" s="23">
        <f t="shared" ref="AK5" si="29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1"/>
      <c r="J6" s="51"/>
      <c r="K6" s="51"/>
      <c r="L6" s="51"/>
      <c r="M6" s="30"/>
      <c r="N6" s="30"/>
      <c r="O6" s="30"/>
      <c r="P6" s="30"/>
      <c r="Q6" s="52"/>
      <c r="R6" s="52"/>
      <c r="S6" s="30"/>
      <c r="T6" s="30"/>
      <c r="U6" s="30"/>
      <c r="V6" s="30"/>
      <c r="W6" s="52"/>
      <c r="X6" s="52"/>
      <c r="Y6" s="55"/>
      <c r="Z6" s="55"/>
      <c r="AA6" s="55"/>
      <c r="AB6" s="52"/>
      <c r="AC6" s="30"/>
      <c r="AD6" s="30"/>
      <c r="AE6" s="30"/>
      <c r="AF6" s="30"/>
      <c r="AG6" s="52"/>
      <c r="AH6" s="52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2.1.14'!N3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990">
        <f>'[1]Oct midyear LFNO'!K4</f>
        <v>0</v>
      </c>
      <c r="J7" s="210">
        <f>'[1]Feb midyear LFNO'!K4</f>
        <v>0</v>
      </c>
      <c r="K7" s="211">
        <f>I7+J7</f>
        <v>0</v>
      </c>
      <c r="L7" s="344">
        <f>H7+K7</f>
        <v>0</v>
      </c>
      <c r="M7" s="273">
        <f>-(0.25%*L7)</f>
        <v>0</v>
      </c>
      <c r="N7" s="344">
        <f>SUM(L7:M7)</f>
        <v>0</v>
      </c>
      <c r="O7" s="208">
        <v>0</v>
      </c>
      <c r="P7" s="344">
        <f>SUM(N7:O7)</f>
        <v>0</v>
      </c>
      <c r="Q7" s="208">
        <f>'[2]Table 5C1E-LFNO'!S7+'[14]Table 5C1E-LFNO'!S7+(6*'[20]Table 5C1E-LFNO'!S7)</f>
        <v>0</v>
      </c>
      <c r="R7" s="208">
        <f>P7-Q7</f>
        <v>0</v>
      </c>
      <c r="S7" s="344">
        <f t="shared" ref="S7:S38" si="30">ROUND(R7/$S$88,0)</f>
        <v>0</v>
      </c>
      <c r="T7" s="344">
        <f>+P7</f>
        <v>0</v>
      </c>
      <c r="U7" s="280">
        <f>'Table 5C1A-Madison Prep'!U7</f>
        <v>2424</v>
      </c>
      <c r="V7" s="323">
        <f t="shared" ref="V7:V38" si="31">C7*U7</f>
        <v>0</v>
      </c>
      <c r="W7" s="994">
        <f>'[1]Oct midyear LFNO'!E4</f>
        <v>0</v>
      </c>
      <c r="X7" s="276">
        <f>W7*U7</f>
        <v>0</v>
      </c>
      <c r="Y7" s="883">
        <f>'[1]Feb midyear LFNO'!E4</f>
        <v>0</v>
      </c>
      <c r="Z7" s="276">
        <f>+U7*Y7*0.5</f>
        <v>0</v>
      </c>
      <c r="AA7" s="275">
        <f>+X7+Z7</f>
        <v>0</v>
      </c>
      <c r="AB7" s="323">
        <f>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6">
        <f>'[2]Table 5C1E-LFNO'!AI7+'[14]Table 5C1E-LFNO'!AI7+(6*'[20]Table 5C1E-LFNO'!AI7)</f>
        <v>0</v>
      </c>
      <c r="AH7" s="276">
        <f>AF7-AG7</f>
        <v>0</v>
      </c>
      <c r="AI7" s="323">
        <f t="shared" ref="AI7:AI38" si="32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33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2.1.14'!N4</f>
        <v>0</v>
      </c>
      <c r="D8" s="201">
        <f>+'Table 5C1A-Madison Prep'!D8</f>
        <v>6316.6266417386641</v>
      </c>
      <c r="E8" s="202">
        <f t="shared" ref="E8:E71" si="34">C8*D8</f>
        <v>0</v>
      </c>
      <c r="F8" s="202">
        <f>+'Table 5C1A-Madison Prep'!F8</f>
        <v>842.32</v>
      </c>
      <c r="G8" s="202">
        <f t="shared" ref="G8:G71" si="35">C8*F8</f>
        <v>0</v>
      </c>
      <c r="H8" s="345">
        <f t="shared" ref="H8:H71" si="36">E8+G8</f>
        <v>0</v>
      </c>
      <c r="I8" s="991">
        <f>'[1]Oct midyear LFNO'!K5</f>
        <v>0</v>
      </c>
      <c r="J8" s="203">
        <f>'[1]Feb midyear LFNO'!K5</f>
        <v>0</v>
      </c>
      <c r="K8" s="204">
        <f t="shared" ref="K8:K71" si="37">I8+J8</f>
        <v>0</v>
      </c>
      <c r="L8" s="345">
        <f t="shared" ref="L8:L38" si="38">H8+K8</f>
        <v>0</v>
      </c>
      <c r="M8" s="286">
        <f t="shared" ref="M8:M71" si="39">-(0.25%*L8)</f>
        <v>0</v>
      </c>
      <c r="N8" s="345">
        <f t="shared" ref="N8:N71" si="40">SUM(L8:M8)</f>
        <v>0</v>
      </c>
      <c r="O8" s="201">
        <v>0</v>
      </c>
      <c r="P8" s="345">
        <f t="shared" ref="P8:P71" si="41">SUM(N8:O8)</f>
        <v>0</v>
      </c>
      <c r="Q8" s="201">
        <f>'[2]Table 5C1E-LFNO'!S8+'[14]Table 5C1E-LFNO'!S8+(6*'[20]Table 5C1E-LFNO'!S8)</f>
        <v>0</v>
      </c>
      <c r="R8" s="201">
        <f t="shared" ref="R8:R71" si="42">P8-Q8</f>
        <v>0</v>
      </c>
      <c r="S8" s="345">
        <f t="shared" si="30"/>
        <v>0</v>
      </c>
      <c r="T8" s="345">
        <f t="shared" ref="T8:T71" si="43">+P8</f>
        <v>0</v>
      </c>
      <c r="U8" s="294">
        <f>'Table 5C1A-Madison Prep'!U8</f>
        <v>2786</v>
      </c>
      <c r="V8" s="324">
        <f t="shared" si="31"/>
        <v>0</v>
      </c>
      <c r="W8" s="995">
        <f>'[1]Oct midyear LFNO'!E5</f>
        <v>0</v>
      </c>
      <c r="X8" s="290">
        <f t="shared" ref="X8:X71" si="44">W8*U8</f>
        <v>0</v>
      </c>
      <c r="Y8" s="289">
        <f>'[1]Feb midyear LFNO'!E5</f>
        <v>0</v>
      </c>
      <c r="Z8" s="290">
        <f t="shared" ref="Z8:Z71" si="45">+U8*Y8*0.5</f>
        <v>0</v>
      </c>
      <c r="AA8" s="288">
        <f t="shared" ref="AA8:AA71" si="46">+X8+Z8</f>
        <v>0</v>
      </c>
      <c r="AB8" s="324">
        <f t="shared" ref="AB8:AB71" si="47">V8+AA8</f>
        <v>0</v>
      </c>
      <c r="AC8" s="292">
        <f t="shared" ref="AC8:AC71" si="48">-(0.25%*AB8)</f>
        <v>0</v>
      </c>
      <c r="AD8" s="324">
        <f t="shared" ref="AD8:AD71" si="49">SUM(AB8:AC8)</f>
        <v>0</v>
      </c>
      <c r="AE8" s="293">
        <v>0</v>
      </c>
      <c r="AF8" s="324">
        <f t="shared" ref="AF8:AF71" si="50">SUM(AD8:AE8)</f>
        <v>0</v>
      </c>
      <c r="AG8" s="290">
        <f>'[2]Table 5C1E-LFNO'!AI8+'[14]Table 5C1E-LFNO'!AI8+(6*'[20]Table 5C1E-LFNO'!AI8)</f>
        <v>0</v>
      </c>
      <c r="AH8" s="290">
        <f t="shared" ref="AH8:AH71" si="51">AF8-AG8</f>
        <v>0</v>
      </c>
      <c r="AI8" s="324">
        <f t="shared" si="32"/>
        <v>0</v>
      </c>
      <c r="AJ8" s="321">
        <f t="shared" ref="AJ8:AJ71" si="52">T8+AF8</f>
        <v>0</v>
      </c>
      <c r="AK8" s="342">
        <f t="shared" ref="AK8:AK38" si="53">S8+AI8</f>
        <v>0</v>
      </c>
      <c r="AM8" s="286">
        <v>0</v>
      </c>
      <c r="AN8" s="286">
        <f t="shared" ref="AN8:AN71" si="54">+AC8</f>
        <v>0</v>
      </c>
      <c r="AO8" s="286">
        <f t="shared" si="33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2.1.14'!N5</f>
        <v>0</v>
      </c>
      <c r="D9" s="201">
        <f>+'Table 5C1A-Madison Prep'!D9</f>
        <v>4155.1862027396819</v>
      </c>
      <c r="E9" s="202">
        <f t="shared" si="34"/>
        <v>0</v>
      </c>
      <c r="F9" s="202">
        <f>+'Table 5C1A-Madison Prep'!F9</f>
        <v>596.84</v>
      </c>
      <c r="G9" s="202">
        <f t="shared" si="35"/>
        <v>0</v>
      </c>
      <c r="H9" s="345">
        <f t="shared" si="36"/>
        <v>0</v>
      </c>
      <c r="I9" s="991">
        <f>'[1]Oct midyear LFNO'!K6</f>
        <v>0</v>
      </c>
      <c r="J9" s="203">
        <f>'[1]Feb midyear LFNO'!K6</f>
        <v>0</v>
      </c>
      <c r="K9" s="204">
        <f t="shared" si="37"/>
        <v>0</v>
      </c>
      <c r="L9" s="345">
        <f t="shared" si="38"/>
        <v>0</v>
      </c>
      <c r="M9" s="286">
        <f t="shared" si="39"/>
        <v>0</v>
      </c>
      <c r="N9" s="345">
        <f t="shared" si="40"/>
        <v>0</v>
      </c>
      <c r="O9" s="201">
        <v>0</v>
      </c>
      <c r="P9" s="345">
        <f t="shared" si="41"/>
        <v>0</v>
      </c>
      <c r="Q9" s="201">
        <f>'[2]Table 5C1E-LFNO'!S9+'[14]Table 5C1E-LFNO'!S9+(6*'[20]Table 5C1E-LFNO'!S9)</f>
        <v>0</v>
      </c>
      <c r="R9" s="201">
        <f t="shared" si="42"/>
        <v>0</v>
      </c>
      <c r="S9" s="345">
        <f t="shared" si="30"/>
        <v>0</v>
      </c>
      <c r="T9" s="345">
        <f t="shared" si="43"/>
        <v>0</v>
      </c>
      <c r="U9" s="294">
        <f>'Table 5C1A-Madison Prep'!U9</f>
        <v>5927</v>
      </c>
      <c r="V9" s="324">
        <f t="shared" si="31"/>
        <v>0</v>
      </c>
      <c r="W9" s="995">
        <f>'[1]Oct midyear LFNO'!E6</f>
        <v>0</v>
      </c>
      <c r="X9" s="290">
        <f t="shared" si="44"/>
        <v>0</v>
      </c>
      <c r="Y9" s="289">
        <f>'[1]Feb midyear LFNO'!E6</f>
        <v>0</v>
      </c>
      <c r="Z9" s="290">
        <f t="shared" si="45"/>
        <v>0</v>
      </c>
      <c r="AA9" s="288">
        <f t="shared" si="46"/>
        <v>0</v>
      </c>
      <c r="AB9" s="324">
        <f t="shared" si="47"/>
        <v>0</v>
      </c>
      <c r="AC9" s="292">
        <f t="shared" si="48"/>
        <v>0</v>
      </c>
      <c r="AD9" s="324">
        <f t="shared" si="49"/>
        <v>0</v>
      </c>
      <c r="AE9" s="293">
        <v>0</v>
      </c>
      <c r="AF9" s="324">
        <f t="shared" si="50"/>
        <v>0</v>
      </c>
      <c r="AG9" s="290">
        <f>'[2]Table 5C1E-LFNO'!AI9+'[14]Table 5C1E-LFNO'!AI9+(6*'[20]Table 5C1E-LFNO'!AI9)</f>
        <v>0</v>
      </c>
      <c r="AH9" s="290">
        <f t="shared" si="51"/>
        <v>0</v>
      </c>
      <c r="AI9" s="324">
        <f t="shared" si="32"/>
        <v>0</v>
      </c>
      <c r="AJ9" s="321">
        <f t="shared" si="52"/>
        <v>0</v>
      </c>
      <c r="AK9" s="342">
        <f t="shared" si="53"/>
        <v>0</v>
      </c>
      <c r="AM9" s="286">
        <v>0</v>
      </c>
      <c r="AN9" s="286">
        <f t="shared" si="54"/>
        <v>0</v>
      </c>
      <c r="AO9" s="286">
        <f t="shared" si="33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2.1.14'!N6</f>
        <v>0</v>
      </c>
      <c r="D10" s="201">
        <f>+'Table 5C1A-Madison Prep'!D10</f>
        <v>6119.0581446878568</v>
      </c>
      <c r="E10" s="202">
        <f t="shared" si="34"/>
        <v>0</v>
      </c>
      <c r="F10" s="202">
        <f>+'Table 5C1A-Madison Prep'!F10</f>
        <v>585.76</v>
      </c>
      <c r="G10" s="202">
        <f t="shared" si="35"/>
        <v>0</v>
      </c>
      <c r="H10" s="345">
        <f t="shared" si="36"/>
        <v>0</v>
      </c>
      <c r="I10" s="991">
        <f>'[1]Oct midyear LFNO'!K7</f>
        <v>0</v>
      </c>
      <c r="J10" s="203">
        <f>'[1]Feb midyear LFNO'!K7</f>
        <v>0</v>
      </c>
      <c r="K10" s="204">
        <f t="shared" si="37"/>
        <v>0</v>
      </c>
      <c r="L10" s="345">
        <f t="shared" si="38"/>
        <v>0</v>
      </c>
      <c r="M10" s="286">
        <f t="shared" si="39"/>
        <v>0</v>
      </c>
      <c r="N10" s="345">
        <f t="shared" si="40"/>
        <v>0</v>
      </c>
      <c r="O10" s="201">
        <v>0</v>
      </c>
      <c r="P10" s="345">
        <f t="shared" si="41"/>
        <v>0</v>
      </c>
      <c r="Q10" s="201">
        <f>'[2]Table 5C1E-LFNO'!S10+'[14]Table 5C1E-LFNO'!S10+(6*'[20]Table 5C1E-LFNO'!S10)</f>
        <v>0</v>
      </c>
      <c r="R10" s="201">
        <f t="shared" si="42"/>
        <v>0</v>
      </c>
      <c r="S10" s="345">
        <f t="shared" si="30"/>
        <v>0</v>
      </c>
      <c r="T10" s="345">
        <f t="shared" si="43"/>
        <v>0</v>
      </c>
      <c r="U10" s="294">
        <f>'Table 5C1A-Madison Prep'!U10</f>
        <v>4203</v>
      </c>
      <c r="V10" s="324">
        <f t="shared" si="31"/>
        <v>0</v>
      </c>
      <c r="W10" s="995">
        <f>'[1]Oct midyear LFNO'!E7</f>
        <v>0</v>
      </c>
      <c r="X10" s="290">
        <f t="shared" si="44"/>
        <v>0</v>
      </c>
      <c r="Y10" s="289">
        <f>'[1]Feb midyear LFNO'!E7</f>
        <v>0</v>
      </c>
      <c r="Z10" s="290">
        <f t="shared" si="45"/>
        <v>0</v>
      </c>
      <c r="AA10" s="288">
        <f t="shared" si="46"/>
        <v>0</v>
      </c>
      <c r="AB10" s="324">
        <f t="shared" si="47"/>
        <v>0</v>
      </c>
      <c r="AC10" s="292">
        <f t="shared" si="48"/>
        <v>0</v>
      </c>
      <c r="AD10" s="324">
        <f t="shared" si="49"/>
        <v>0</v>
      </c>
      <c r="AE10" s="293">
        <v>0</v>
      </c>
      <c r="AF10" s="324">
        <f t="shared" si="50"/>
        <v>0</v>
      </c>
      <c r="AG10" s="290">
        <f>'[2]Table 5C1E-LFNO'!AI10+'[14]Table 5C1E-LFNO'!AI10+(6*'[20]Table 5C1E-LFNO'!AI10)</f>
        <v>0</v>
      </c>
      <c r="AH10" s="290">
        <f t="shared" si="51"/>
        <v>0</v>
      </c>
      <c r="AI10" s="324">
        <f t="shared" si="32"/>
        <v>0</v>
      </c>
      <c r="AJ10" s="321">
        <f t="shared" si="52"/>
        <v>0</v>
      </c>
      <c r="AK10" s="342">
        <f t="shared" si="53"/>
        <v>0</v>
      </c>
      <c r="AM10" s="286">
        <v>0</v>
      </c>
      <c r="AN10" s="286">
        <f t="shared" si="54"/>
        <v>0</v>
      </c>
      <c r="AO10" s="286">
        <f t="shared" si="33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2.1.14'!N7</f>
        <v>0</v>
      </c>
      <c r="D11" s="194">
        <f>+'Table 5C1A-Madison Prep'!D11</f>
        <v>5268.940566009911</v>
      </c>
      <c r="E11" s="195">
        <f t="shared" si="34"/>
        <v>0</v>
      </c>
      <c r="F11" s="195">
        <f>+'Table 5C1A-Madison Prep'!F11</f>
        <v>555.91</v>
      </c>
      <c r="G11" s="195">
        <f t="shared" si="35"/>
        <v>0</v>
      </c>
      <c r="H11" s="346">
        <f t="shared" si="36"/>
        <v>0</v>
      </c>
      <c r="I11" s="992">
        <f>'[1]Oct midyear LFNO'!K8</f>
        <v>0</v>
      </c>
      <c r="J11" s="196">
        <f>'[1]Feb midyear LFNO'!K8</f>
        <v>0</v>
      </c>
      <c r="K11" s="197">
        <f t="shared" si="37"/>
        <v>0</v>
      </c>
      <c r="L11" s="346">
        <f t="shared" si="38"/>
        <v>0</v>
      </c>
      <c r="M11" s="296">
        <f t="shared" si="39"/>
        <v>0</v>
      </c>
      <c r="N11" s="346">
        <f t="shared" si="40"/>
        <v>0</v>
      </c>
      <c r="O11" s="194">
        <v>0</v>
      </c>
      <c r="P11" s="346">
        <f t="shared" si="41"/>
        <v>0</v>
      </c>
      <c r="Q11" s="541">
        <f>'[2]Table 5C1E-LFNO'!S11+'[14]Table 5C1E-LFNO'!S11+(6*'[20]Table 5C1E-LFNO'!S11)</f>
        <v>0</v>
      </c>
      <c r="R11" s="194">
        <f t="shared" si="42"/>
        <v>0</v>
      </c>
      <c r="S11" s="359">
        <f t="shared" si="30"/>
        <v>0</v>
      </c>
      <c r="T11" s="359">
        <f t="shared" si="43"/>
        <v>0</v>
      </c>
      <c r="U11" s="285">
        <f>'Table 5C1A-Madison Prep'!U11</f>
        <v>1923</v>
      </c>
      <c r="V11" s="325">
        <f t="shared" si="31"/>
        <v>0</v>
      </c>
      <c r="W11" s="996">
        <f>'[1]Oct midyear LFNO'!E8</f>
        <v>0</v>
      </c>
      <c r="X11" s="282">
        <f t="shared" si="44"/>
        <v>0</v>
      </c>
      <c r="Y11" s="884">
        <f>'[1]Feb midyear LFNO'!E8</f>
        <v>0</v>
      </c>
      <c r="Z11" s="282">
        <f t="shared" si="45"/>
        <v>0</v>
      </c>
      <c r="AA11" s="283">
        <f t="shared" si="46"/>
        <v>0</v>
      </c>
      <c r="AB11" s="325">
        <f t="shared" si="47"/>
        <v>0</v>
      </c>
      <c r="AC11" s="298">
        <f t="shared" si="48"/>
        <v>0</v>
      </c>
      <c r="AD11" s="325">
        <f t="shared" si="49"/>
        <v>0</v>
      </c>
      <c r="AE11" s="284">
        <v>0</v>
      </c>
      <c r="AF11" s="325">
        <f t="shared" si="50"/>
        <v>0</v>
      </c>
      <c r="AG11" s="282">
        <f>'[2]Table 5C1E-LFNO'!AI11+'[14]Table 5C1E-LFNO'!AI11+(6*'[20]Table 5C1E-LFNO'!AI11)</f>
        <v>0</v>
      </c>
      <c r="AH11" s="282">
        <f t="shared" si="51"/>
        <v>0</v>
      </c>
      <c r="AI11" s="325">
        <f t="shared" si="32"/>
        <v>0</v>
      </c>
      <c r="AJ11" s="338">
        <f t="shared" si="52"/>
        <v>0</v>
      </c>
      <c r="AK11" s="343">
        <f t="shared" si="53"/>
        <v>0</v>
      </c>
      <c r="AM11" s="296">
        <v>0</v>
      </c>
      <c r="AN11" s="296">
        <f t="shared" si="54"/>
        <v>0</v>
      </c>
      <c r="AO11" s="296">
        <f t="shared" si="33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2.1.14'!N8</f>
        <v>0</v>
      </c>
      <c r="D12" s="208">
        <f>+'Table 5C1A-Madison Prep'!D12</f>
        <v>5378.5086124955869</v>
      </c>
      <c r="E12" s="209">
        <f t="shared" si="34"/>
        <v>0</v>
      </c>
      <c r="F12" s="209">
        <f>+'Table 5C1A-Madison Prep'!F12</f>
        <v>545.4799999999999</v>
      </c>
      <c r="G12" s="209">
        <f t="shared" si="35"/>
        <v>0</v>
      </c>
      <c r="H12" s="344">
        <f t="shared" si="36"/>
        <v>0</v>
      </c>
      <c r="I12" s="990">
        <f>'[1]Oct midyear LFNO'!K9</f>
        <v>0</v>
      </c>
      <c r="J12" s="210">
        <f>'[1]Feb midyear LFNO'!K9</f>
        <v>0</v>
      </c>
      <c r="K12" s="211">
        <f t="shared" si="37"/>
        <v>0</v>
      </c>
      <c r="L12" s="344">
        <f t="shared" si="38"/>
        <v>0</v>
      </c>
      <c r="M12" s="273">
        <f t="shared" si="39"/>
        <v>0</v>
      </c>
      <c r="N12" s="344">
        <f t="shared" si="40"/>
        <v>0</v>
      </c>
      <c r="O12" s="208">
        <v>0</v>
      </c>
      <c r="P12" s="344">
        <f t="shared" si="41"/>
        <v>0</v>
      </c>
      <c r="Q12" s="208">
        <f>'[2]Table 5C1E-LFNO'!S12+'[14]Table 5C1E-LFNO'!S12+(6*'[20]Table 5C1E-LFNO'!S12)</f>
        <v>0</v>
      </c>
      <c r="R12" s="208">
        <f t="shared" si="42"/>
        <v>0</v>
      </c>
      <c r="S12" s="344">
        <f t="shared" si="30"/>
        <v>0</v>
      </c>
      <c r="T12" s="344">
        <f t="shared" si="43"/>
        <v>0</v>
      </c>
      <c r="U12" s="280">
        <f>'Table 5C1A-Madison Prep'!U12</f>
        <v>4057</v>
      </c>
      <c r="V12" s="323">
        <f t="shared" si="31"/>
        <v>0</v>
      </c>
      <c r="W12" s="994">
        <f>'[1]Oct midyear LFNO'!E9</f>
        <v>0</v>
      </c>
      <c r="X12" s="276">
        <f t="shared" si="44"/>
        <v>0</v>
      </c>
      <c r="Y12" s="883">
        <f>'[1]Feb midyear LFNO'!E9</f>
        <v>0</v>
      </c>
      <c r="Z12" s="276">
        <f t="shared" si="45"/>
        <v>0</v>
      </c>
      <c r="AA12" s="275">
        <f t="shared" si="46"/>
        <v>0</v>
      </c>
      <c r="AB12" s="323">
        <f t="shared" si="47"/>
        <v>0</v>
      </c>
      <c r="AC12" s="278">
        <f t="shared" si="48"/>
        <v>0</v>
      </c>
      <c r="AD12" s="323">
        <f t="shared" si="49"/>
        <v>0</v>
      </c>
      <c r="AE12" s="279">
        <v>0</v>
      </c>
      <c r="AF12" s="323">
        <f t="shared" si="50"/>
        <v>0</v>
      </c>
      <c r="AG12" s="276">
        <f>'[2]Table 5C1E-LFNO'!AI12+'[14]Table 5C1E-LFNO'!AI12+(6*'[20]Table 5C1E-LFNO'!AI12)</f>
        <v>0</v>
      </c>
      <c r="AH12" s="276">
        <f t="shared" si="51"/>
        <v>0</v>
      </c>
      <c r="AI12" s="323">
        <f t="shared" si="32"/>
        <v>0</v>
      </c>
      <c r="AJ12" s="337">
        <f t="shared" si="52"/>
        <v>0</v>
      </c>
      <c r="AK12" s="341">
        <f t="shared" si="53"/>
        <v>0</v>
      </c>
      <c r="AM12" s="273">
        <v>0</v>
      </c>
      <c r="AN12" s="273">
        <f t="shared" si="54"/>
        <v>0</v>
      </c>
      <c r="AO12" s="273">
        <f t="shared" si="33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2.1.14'!N9</f>
        <v>0</v>
      </c>
      <c r="D13" s="201">
        <f>+'Table 5C1A-Madison Prep'!D13</f>
        <v>2243.0031963470319</v>
      </c>
      <c r="E13" s="202">
        <f t="shared" si="34"/>
        <v>0</v>
      </c>
      <c r="F13" s="202">
        <f>+'Table 5C1A-Madison Prep'!F13</f>
        <v>756.91999999999985</v>
      </c>
      <c r="G13" s="202">
        <f t="shared" si="35"/>
        <v>0</v>
      </c>
      <c r="H13" s="345">
        <f t="shared" si="36"/>
        <v>0</v>
      </c>
      <c r="I13" s="991">
        <f>'[1]Oct midyear LFNO'!K10</f>
        <v>0</v>
      </c>
      <c r="J13" s="203">
        <f>'[1]Feb midyear LFNO'!K10</f>
        <v>0</v>
      </c>
      <c r="K13" s="204">
        <f t="shared" si="37"/>
        <v>0</v>
      </c>
      <c r="L13" s="345">
        <f t="shared" si="38"/>
        <v>0</v>
      </c>
      <c r="M13" s="286">
        <f t="shared" si="39"/>
        <v>0</v>
      </c>
      <c r="N13" s="345">
        <f t="shared" si="40"/>
        <v>0</v>
      </c>
      <c r="O13" s="201">
        <v>0</v>
      </c>
      <c r="P13" s="345">
        <f t="shared" si="41"/>
        <v>0</v>
      </c>
      <c r="Q13" s="201">
        <f>'[2]Table 5C1E-LFNO'!S13+'[14]Table 5C1E-LFNO'!S13+(6*'[20]Table 5C1E-LFNO'!S13)</f>
        <v>0</v>
      </c>
      <c r="R13" s="201">
        <f t="shared" si="42"/>
        <v>0</v>
      </c>
      <c r="S13" s="345">
        <f t="shared" si="30"/>
        <v>0</v>
      </c>
      <c r="T13" s="345">
        <f t="shared" si="43"/>
        <v>0</v>
      </c>
      <c r="U13" s="294">
        <f>'Table 5C1A-Madison Prep'!U13</f>
        <v>12112</v>
      </c>
      <c r="V13" s="324">
        <f t="shared" si="31"/>
        <v>0</v>
      </c>
      <c r="W13" s="995">
        <f>'[1]Oct midyear LFNO'!E10</f>
        <v>0</v>
      </c>
      <c r="X13" s="290">
        <f t="shared" si="44"/>
        <v>0</v>
      </c>
      <c r="Y13" s="289">
        <f>'[1]Feb midyear LFNO'!E10</f>
        <v>0</v>
      </c>
      <c r="Z13" s="290">
        <f t="shared" si="45"/>
        <v>0</v>
      </c>
      <c r="AA13" s="288">
        <f t="shared" si="46"/>
        <v>0</v>
      </c>
      <c r="AB13" s="324">
        <f t="shared" si="47"/>
        <v>0</v>
      </c>
      <c r="AC13" s="292">
        <f t="shared" si="48"/>
        <v>0</v>
      </c>
      <c r="AD13" s="324">
        <f t="shared" si="49"/>
        <v>0</v>
      </c>
      <c r="AE13" s="293">
        <v>0</v>
      </c>
      <c r="AF13" s="324">
        <f t="shared" si="50"/>
        <v>0</v>
      </c>
      <c r="AG13" s="290">
        <f>'[2]Table 5C1E-LFNO'!AI13+'[14]Table 5C1E-LFNO'!AI13+(6*'[20]Table 5C1E-LFNO'!AI13)</f>
        <v>0</v>
      </c>
      <c r="AH13" s="290">
        <f t="shared" si="51"/>
        <v>0</v>
      </c>
      <c r="AI13" s="324">
        <f t="shared" si="32"/>
        <v>0</v>
      </c>
      <c r="AJ13" s="321">
        <f t="shared" si="52"/>
        <v>0</v>
      </c>
      <c r="AK13" s="342">
        <f t="shared" si="53"/>
        <v>0</v>
      </c>
      <c r="AM13" s="286">
        <v>0</v>
      </c>
      <c r="AN13" s="286">
        <f t="shared" si="54"/>
        <v>0</v>
      </c>
      <c r="AO13" s="286">
        <f t="shared" si="33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2.1.14'!N10</f>
        <v>0</v>
      </c>
      <c r="D14" s="201">
        <f>+'Table 5C1A-Madison Prep'!D14</f>
        <v>4669.802459558854</v>
      </c>
      <c r="E14" s="202">
        <f t="shared" si="34"/>
        <v>0</v>
      </c>
      <c r="F14" s="202">
        <f>+'Table 5C1A-Madison Prep'!F14</f>
        <v>725.76</v>
      </c>
      <c r="G14" s="202">
        <f t="shared" si="35"/>
        <v>0</v>
      </c>
      <c r="H14" s="345">
        <f t="shared" si="36"/>
        <v>0</v>
      </c>
      <c r="I14" s="991">
        <f>'[1]Oct midyear LFNO'!K11</f>
        <v>0</v>
      </c>
      <c r="J14" s="203">
        <f>'[1]Feb midyear LFNO'!K11</f>
        <v>0</v>
      </c>
      <c r="K14" s="204">
        <f t="shared" si="37"/>
        <v>0</v>
      </c>
      <c r="L14" s="345">
        <f t="shared" si="38"/>
        <v>0</v>
      </c>
      <c r="M14" s="286">
        <f t="shared" si="39"/>
        <v>0</v>
      </c>
      <c r="N14" s="345">
        <f t="shared" si="40"/>
        <v>0</v>
      </c>
      <c r="O14" s="201">
        <v>0</v>
      </c>
      <c r="P14" s="345">
        <f t="shared" si="41"/>
        <v>0</v>
      </c>
      <c r="Q14" s="201">
        <f>'[2]Table 5C1E-LFNO'!S14+'[14]Table 5C1E-LFNO'!S14+(6*'[20]Table 5C1E-LFNO'!S14)</f>
        <v>0</v>
      </c>
      <c r="R14" s="201">
        <f t="shared" si="42"/>
        <v>0</v>
      </c>
      <c r="S14" s="345">
        <f t="shared" si="30"/>
        <v>0</v>
      </c>
      <c r="T14" s="345">
        <f t="shared" si="43"/>
        <v>0</v>
      </c>
      <c r="U14" s="294">
        <f>'Table 5C1A-Madison Prep'!U14</f>
        <v>4124</v>
      </c>
      <c r="V14" s="324">
        <f t="shared" si="31"/>
        <v>0</v>
      </c>
      <c r="W14" s="995">
        <f>'[1]Oct midyear LFNO'!E11</f>
        <v>0</v>
      </c>
      <c r="X14" s="290">
        <f t="shared" si="44"/>
        <v>0</v>
      </c>
      <c r="Y14" s="289">
        <f>'[1]Feb midyear LFNO'!E11</f>
        <v>0</v>
      </c>
      <c r="Z14" s="290">
        <f t="shared" si="45"/>
        <v>0</v>
      </c>
      <c r="AA14" s="288">
        <f t="shared" si="46"/>
        <v>0</v>
      </c>
      <c r="AB14" s="324">
        <f t="shared" si="47"/>
        <v>0</v>
      </c>
      <c r="AC14" s="292">
        <f t="shared" si="48"/>
        <v>0</v>
      </c>
      <c r="AD14" s="324">
        <f t="shared" si="49"/>
        <v>0</v>
      </c>
      <c r="AE14" s="293">
        <v>0</v>
      </c>
      <c r="AF14" s="324">
        <f t="shared" si="50"/>
        <v>0</v>
      </c>
      <c r="AG14" s="290">
        <f>'[2]Table 5C1E-LFNO'!AI14+'[14]Table 5C1E-LFNO'!AI14+(6*'[20]Table 5C1E-LFNO'!AI14)</f>
        <v>0</v>
      </c>
      <c r="AH14" s="290">
        <f t="shared" si="51"/>
        <v>0</v>
      </c>
      <c r="AI14" s="324">
        <f t="shared" si="32"/>
        <v>0</v>
      </c>
      <c r="AJ14" s="321">
        <f t="shared" si="52"/>
        <v>0</v>
      </c>
      <c r="AK14" s="342">
        <f t="shared" si="53"/>
        <v>0</v>
      </c>
      <c r="AM14" s="286">
        <v>0</v>
      </c>
      <c r="AN14" s="286">
        <f t="shared" si="54"/>
        <v>0</v>
      </c>
      <c r="AO14" s="286">
        <f t="shared" si="33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2.1.14'!N11</f>
        <v>0</v>
      </c>
      <c r="D15" s="201">
        <f>+'Table 5C1A-Madison Prep'!D15</f>
        <v>4632.4615072045008</v>
      </c>
      <c r="E15" s="202">
        <f t="shared" si="34"/>
        <v>0</v>
      </c>
      <c r="F15" s="202">
        <f>+'Table 5C1A-Madison Prep'!F15</f>
        <v>744.76</v>
      </c>
      <c r="G15" s="202">
        <f t="shared" si="35"/>
        <v>0</v>
      </c>
      <c r="H15" s="345">
        <f t="shared" si="36"/>
        <v>0</v>
      </c>
      <c r="I15" s="991">
        <f>'[1]Oct midyear LFNO'!K12</f>
        <v>0</v>
      </c>
      <c r="J15" s="203">
        <f>'[1]Feb midyear LFNO'!K12</f>
        <v>0</v>
      </c>
      <c r="K15" s="204">
        <f t="shared" si="37"/>
        <v>0</v>
      </c>
      <c r="L15" s="345">
        <f t="shared" si="38"/>
        <v>0</v>
      </c>
      <c r="M15" s="286">
        <f t="shared" si="39"/>
        <v>0</v>
      </c>
      <c r="N15" s="345">
        <f t="shared" si="40"/>
        <v>0</v>
      </c>
      <c r="O15" s="201">
        <v>0</v>
      </c>
      <c r="P15" s="345">
        <f t="shared" si="41"/>
        <v>0</v>
      </c>
      <c r="Q15" s="201">
        <f>'[2]Table 5C1E-LFNO'!S15+'[14]Table 5C1E-LFNO'!S15+(6*'[20]Table 5C1E-LFNO'!S15)</f>
        <v>0</v>
      </c>
      <c r="R15" s="201">
        <f t="shared" si="42"/>
        <v>0</v>
      </c>
      <c r="S15" s="345">
        <f t="shared" si="30"/>
        <v>0</v>
      </c>
      <c r="T15" s="345">
        <f t="shared" si="43"/>
        <v>0</v>
      </c>
      <c r="U15" s="294">
        <f>'Table 5C1A-Madison Prep'!U15</f>
        <v>4901</v>
      </c>
      <c r="V15" s="324">
        <f t="shared" si="31"/>
        <v>0</v>
      </c>
      <c r="W15" s="995">
        <f>'[1]Oct midyear LFNO'!E12</f>
        <v>0</v>
      </c>
      <c r="X15" s="290">
        <f t="shared" si="44"/>
        <v>0</v>
      </c>
      <c r="Y15" s="289">
        <f>'[1]Feb midyear LFNO'!E12</f>
        <v>0</v>
      </c>
      <c r="Z15" s="290">
        <f t="shared" si="45"/>
        <v>0</v>
      </c>
      <c r="AA15" s="288">
        <f t="shared" si="46"/>
        <v>0</v>
      </c>
      <c r="AB15" s="324">
        <f t="shared" si="47"/>
        <v>0</v>
      </c>
      <c r="AC15" s="292">
        <f t="shared" si="48"/>
        <v>0</v>
      </c>
      <c r="AD15" s="324">
        <f t="shared" si="49"/>
        <v>0</v>
      </c>
      <c r="AE15" s="293">
        <v>0</v>
      </c>
      <c r="AF15" s="324">
        <f t="shared" si="50"/>
        <v>0</v>
      </c>
      <c r="AG15" s="290">
        <f>'[2]Table 5C1E-LFNO'!AI15+'[14]Table 5C1E-LFNO'!AI15+(6*'[20]Table 5C1E-LFNO'!AI15)</f>
        <v>0</v>
      </c>
      <c r="AH15" s="290">
        <f t="shared" si="51"/>
        <v>0</v>
      </c>
      <c r="AI15" s="324">
        <f t="shared" si="32"/>
        <v>0</v>
      </c>
      <c r="AJ15" s="321">
        <f t="shared" si="52"/>
        <v>0</v>
      </c>
      <c r="AK15" s="342">
        <f t="shared" si="53"/>
        <v>0</v>
      </c>
      <c r="AM15" s="286">
        <v>0</v>
      </c>
      <c r="AN15" s="286">
        <f t="shared" si="54"/>
        <v>0</v>
      </c>
      <c r="AO15" s="286">
        <f t="shared" si="33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2.1.14'!N12</f>
        <v>0</v>
      </c>
      <c r="D16" s="194">
        <f>+'Table 5C1A-Madison Prep'!D16</f>
        <v>4384.374733918472</v>
      </c>
      <c r="E16" s="195">
        <f t="shared" si="34"/>
        <v>0</v>
      </c>
      <c r="F16" s="195">
        <f>+'Table 5C1A-Madison Prep'!F16</f>
        <v>608.04000000000008</v>
      </c>
      <c r="G16" s="195">
        <f t="shared" si="35"/>
        <v>0</v>
      </c>
      <c r="H16" s="346">
        <f t="shared" si="36"/>
        <v>0</v>
      </c>
      <c r="I16" s="992">
        <f>'[1]Oct midyear LFNO'!K13</f>
        <v>0</v>
      </c>
      <c r="J16" s="196">
        <f>'[1]Feb midyear LFNO'!K13</f>
        <v>0</v>
      </c>
      <c r="K16" s="197">
        <f t="shared" si="37"/>
        <v>0</v>
      </c>
      <c r="L16" s="346">
        <f t="shared" si="38"/>
        <v>0</v>
      </c>
      <c r="M16" s="296">
        <f t="shared" si="39"/>
        <v>0</v>
      </c>
      <c r="N16" s="346">
        <f t="shared" si="40"/>
        <v>0</v>
      </c>
      <c r="O16" s="194">
        <v>0</v>
      </c>
      <c r="P16" s="346">
        <f t="shared" si="41"/>
        <v>0</v>
      </c>
      <c r="Q16" s="541">
        <f>'[2]Table 5C1E-LFNO'!S16+'[14]Table 5C1E-LFNO'!S16+(6*'[20]Table 5C1E-LFNO'!S16)</f>
        <v>0</v>
      </c>
      <c r="R16" s="194">
        <f t="shared" si="42"/>
        <v>0</v>
      </c>
      <c r="S16" s="359">
        <f t="shared" si="30"/>
        <v>0</v>
      </c>
      <c r="T16" s="359">
        <f t="shared" si="43"/>
        <v>0</v>
      </c>
      <c r="U16" s="285">
        <f>'Table 5C1A-Madison Prep'!U16</f>
        <v>4619</v>
      </c>
      <c r="V16" s="325">
        <f t="shared" si="31"/>
        <v>0</v>
      </c>
      <c r="W16" s="996">
        <f>'[1]Oct midyear LFNO'!E13</f>
        <v>0</v>
      </c>
      <c r="X16" s="282">
        <f t="shared" si="44"/>
        <v>0</v>
      </c>
      <c r="Y16" s="884">
        <f>'[1]Feb midyear LFNO'!E13</f>
        <v>0</v>
      </c>
      <c r="Z16" s="282">
        <f t="shared" si="45"/>
        <v>0</v>
      </c>
      <c r="AA16" s="283">
        <f t="shared" si="46"/>
        <v>0</v>
      </c>
      <c r="AB16" s="325">
        <f t="shared" si="47"/>
        <v>0</v>
      </c>
      <c r="AC16" s="298">
        <f t="shared" si="48"/>
        <v>0</v>
      </c>
      <c r="AD16" s="325">
        <f t="shared" si="49"/>
        <v>0</v>
      </c>
      <c r="AE16" s="284">
        <v>0</v>
      </c>
      <c r="AF16" s="325">
        <f t="shared" si="50"/>
        <v>0</v>
      </c>
      <c r="AG16" s="282">
        <f>'[2]Table 5C1E-LFNO'!AI16+'[14]Table 5C1E-LFNO'!AI16+(6*'[20]Table 5C1E-LFNO'!AI16)</f>
        <v>0</v>
      </c>
      <c r="AH16" s="282">
        <f t="shared" si="51"/>
        <v>0</v>
      </c>
      <c r="AI16" s="325">
        <f t="shared" si="32"/>
        <v>0</v>
      </c>
      <c r="AJ16" s="338">
        <f t="shared" si="52"/>
        <v>0</v>
      </c>
      <c r="AK16" s="343">
        <f t="shared" si="53"/>
        <v>0</v>
      </c>
      <c r="AM16" s="296">
        <v>0</v>
      </c>
      <c r="AN16" s="296">
        <f t="shared" si="54"/>
        <v>0</v>
      </c>
      <c r="AO16" s="296">
        <f t="shared" si="33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2.1.14'!N13</f>
        <v>0</v>
      </c>
      <c r="D17" s="208">
        <f>+'Table 5C1A-Madison Prep'!D17</f>
        <v>7098.5372236353351</v>
      </c>
      <c r="E17" s="209">
        <f t="shared" si="34"/>
        <v>0</v>
      </c>
      <c r="F17" s="209">
        <f>+'Table 5C1A-Madison Prep'!F17</f>
        <v>706.55</v>
      </c>
      <c r="G17" s="209">
        <f t="shared" si="35"/>
        <v>0</v>
      </c>
      <c r="H17" s="344">
        <f t="shared" si="36"/>
        <v>0</v>
      </c>
      <c r="I17" s="990">
        <f>'[1]Oct midyear LFNO'!K14</f>
        <v>0</v>
      </c>
      <c r="J17" s="210">
        <f>'[1]Feb midyear LFNO'!K14</f>
        <v>0</v>
      </c>
      <c r="K17" s="211">
        <f t="shared" si="37"/>
        <v>0</v>
      </c>
      <c r="L17" s="344">
        <f t="shared" si="38"/>
        <v>0</v>
      </c>
      <c r="M17" s="273">
        <f t="shared" si="39"/>
        <v>0</v>
      </c>
      <c r="N17" s="344">
        <f t="shared" si="40"/>
        <v>0</v>
      </c>
      <c r="O17" s="208">
        <v>0</v>
      </c>
      <c r="P17" s="344">
        <f t="shared" si="41"/>
        <v>0</v>
      </c>
      <c r="Q17" s="208">
        <f>'[2]Table 5C1E-LFNO'!S17+'[14]Table 5C1E-LFNO'!S17+(6*'[20]Table 5C1E-LFNO'!S17)</f>
        <v>0</v>
      </c>
      <c r="R17" s="208">
        <f t="shared" si="42"/>
        <v>0</v>
      </c>
      <c r="S17" s="344">
        <f t="shared" si="30"/>
        <v>0</v>
      </c>
      <c r="T17" s="344">
        <f t="shared" si="43"/>
        <v>0</v>
      </c>
      <c r="U17" s="280">
        <f>'Table 5C1A-Madison Prep'!U17</f>
        <v>3580</v>
      </c>
      <c r="V17" s="323">
        <f t="shared" si="31"/>
        <v>0</v>
      </c>
      <c r="W17" s="994">
        <f>'[1]Oct midyear LFNO'!E14</f>
        <v>0</v>
      </c>
      <c r="X17" s="276">
        <f t="shared" si="44"/>
        <v>0</v>
      </c>
      <c r="Y17" s="883">
        <f>'[1]Feb midyear LFNO'!E14</f>
        <v>0</v>
      </c>
      <c r="Z17" s="276">
        <f t="shared" si="45"/>
        <v>0</v>
      </c>
      <c r="AA17" s="275">
        <f t="shared" si="46"/>
        <v>0</v>
      </c>
      <c r="AB17" s="323">
        <f t="shared" si="47"/>
        <v>0</v>
      </c>
      <c r="AC17" s="278">
        <f t="shared" si="48"/>
        <v>0</v>
      </c>
      <c r="AD17" s="323">
        <f t="shared" si="49"/>
        <v>0</v>
      </c>
      <c r="AE17" s="279">
        <v>0</v>
      </c>
      <c r="AF17" s="323">
        <f t="shared" si="50"/>
        <v>0</v>
      </c>
      <c r="AG17" s="276">
        <f>'[2]Table 5C1E-LFNO'!AI17+'[14]Table 5C1E-LFNO'!AI17+(6*'[20]Table 5C1E-LFNO'!AI17)</f>
        <v>0</v>
      </c>
      <c r="AH17" s="276">
        <f t="shared" si="51"/>
        <v>0</v>
      </c>
      <c r="AI17" s="323">
        <f t="shared" si="32"/>
        <v>0</v>
      </c>
      <c r="AJ17" s="337">
        <f t="shared" si="52"/>
        <v>0</v>
      </c>
      <c r="AK17" s="341">
        <f t="shared" si="53"/>
        <v>0</v>
      </c>
      <c r="AM17" s="273">
        <v>0</v>
      </c>
      <c r="AN17" s="273">
        <f t="shared" si="54"/>
        <v>0</v>
      </c>
      <c r="AO17" s="273">
        <f t="shared" si="33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2.1.14'!N14</f>
        <v>0</v>
      </c>
      <c r="D18" s="201">
        <f>+'Table 5C1A-Madison Prep'!D18</f>
        <v>1666.6040983606558</v>
      </c>
      <c r="E18" s="202">
        <f t="shared" si="34"/>
        <v>0</v>
      </c>
      <c r="F18" s="202">
        <f>+'Table 5C1A-Madison Prep'!F18</f>
        <v>1063.31</v>
      </c>
      <c r="G18" s="202">
        <f t="shared" si="35"/>
        <v>0</v>
      </c>
      <c r="H18" s="345">
        <f t="shared" si="36"/>
        <v>0</v>
      </c>
      <c r="I18" s="991">
        <f>'[1]Oct midyear LFNO'!K15</f>
        <v>0</v>
      </c>
      <c r="J18" s="203">
        <f>'[1]Feb midyear LFNO'!K15</f>
        <v>0</v>
      </c>
      <c r="K18" s="204">
        <f t="shared" si="37"/>
        <v>0</v>
      </c>
      <c r="L18" s="345">
        <f t="shared" si="38"/>
        <v>0</v>
      </c>
      <c r="M18" s="286">
        <f t="shared" si="39"/>
        <v>0</v>
      </c>
      <c r="N18" s="345">
        <f t="shared" si="40"/>
        <v>0</v>
      </c>
      <c r="O18" s="201">
        <v>0</v>
      </c>
      <c r="P18" s="345">
        <f t="shared" si="41"/>
        <v>0</v>
      </c>
      <c r="Q18" s="201">
        <f>'[2]Table 5C1E-LFNO'!S18+'[14]Table 5C1E-LFNO'!S18+(6*'[20]Table 5C1E-LFNO'!S18)</f>
        <v>0</v>
      </c>
      <c r="R18" s="201">
        <f t="shared" si="42"/>
        <v>0</v>
      </c>
      <c r="S18" s="345">
        <f t="shared" si="30"/>
        <v>0</v>
      </c>
      <c r="T18" s="345">
        <f t="shared" si="43"/>
        <v>0</v>
      </c>
      <c r="U18" s="294">
        <f>'Table 5C1A-Madison Prep'!U18</f>
        <v>8094</v>
      </c>
      <c r="V18" s="324">
        <f t="shared" si="31"/>
        <v>0</v>
      </c>
      <c r="W18" s="995">
        <f>'[1]Oct midyear LFNO'!E15</f>
        <v>0</v>
      </c>
      <c r="X18" s="290">
        <f t="shared" si="44"/>
        <v>0</v>
      </c>
      <c r="Y18" s="289">
        <f>'[1]Feb midyear LFNO'!E15</f>
        <v>0</v>
      </c>
      <c r="Z18" s="290">
        <f t="shared" si="45"/>
        <v>0</v>
      </c>
      <c r="AA18" s="288">
        <f t="shared" si="46"/>
        <v>0</v>
      </c>
      <c r="AB18" s="324">
        <f t="shared" si="47"/>
        <v>0</v>
      </c>
      <c r="AC18" s="292">
        <f t="shared" si="48"/>
        <v>0</v>
      </c>
      <c r="AD18" s="324">
        <f t="shared" si="49"/>
        <v>0</v>
      </c>
      <c r="AE18" s="293">
        <v>0</v>
      </c>
      <c r="AF18" s="324">
        <f t="shared" si="50"/>
        <v>0</v>
      </c>
      <c r="AG18" s="290">
        <f>'[2]Table 5C1E-LFNO'!AI18+'[14]Table 5C1E-LFNO'!AI18+(6*'[20]Table 5C1E-LFNO'!AI18)</f>
        <v>0</v>
      </c>
      <c r="AH18" s="290">
        <f t="shared" si="51"/>
        <v>0</v>
      </c>
      <c r="AI18" s="324">
        <f t="shared" si="32"/>
        <v>0</v>
      </c>
      <c r="AJ18" s="321">
        <f t="shared" si="52"/>
        <v>0</v>
      </c>
      <c r="AK18" s="342">
        <f t="shared" si="53"/>
        <v>0</v>
      </c>
      <c r="AM18" s="286">
        <v>0</v>
      </c>
      <c r="AN18" s="286">
        <f t="shared" si="54"/>
        <v>0</v>
      </c>
      <c r="AO18" s="286">
        <f t="shared" si="33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2.1.14'!N15</f>
        <v>0</v>
      </c>
      <c r="D19" s="201">
        <f>+'Table 5C1A-Madison Prep'!D19</f>
        <v>6433.6297758332212</v>
      </c>
      <c r="E19" s="202">
        <f t="shared" si="34"/>
        <v>0</v>
      </c>
      <c r="F19" s="202">
        <f>+'Table 5C1A-Madison Prep'!F19</f>
        <v>749.43000000000006</v>
      </c>
      <c r="G19" s="202">
        <f t="shared" si="35"/>
        <v>0</v>
      </c>
      <c r="H19" s="345">
        <f t="shared" si="36"/>
        <v>0</v>
      </c>
      <c r="I19" s="991">
        <f>'[1]Oct midyear LFNO'!K16</f>
        <v>0</v>
      </c>
      <c r="J19" s="203">
        <f>'[1]Feb midyear LFNO'!K16</f>
        <v>0</v>
      </c>
      <c r="K19" s="204">
        <f t="shared" si="37"/>
        <v>0</v>
      </c>
      <c r="L19" s="345">
        <f t="shared" si="38"/>
        <v>0</v>
      </c>
      <c r="M19" s="286">
        <f t="shared" si="39"/>
        <v>0</v>
      </c>
      <c r="N19" s="345">
        <f t="shared" si="40"/>
        <v>0</v>
      </c>
      <c r="O19" s="201">
        <v>0</v>
      </c>
      <c r="P19" s="345">
        <f t="shared" si="41"/>
        <v>0</v>
      </c>
      <c r="Q19" s="201">
        <f>'[2]Table 5C1E-LFNO'!S19+'[14]Table 5C1E-LFNO'!S19+(6*'[20]Table 5C1E-LFNO'!S19)</f>
        <v>0</v>
      </c>
      <c r="R19" s="201">
        <f t="shared" si="42"/>
        <v>0</v>
      </c>
      <c r="S19" s="345">
        <f t="shared" si="30"/>
        <v>0</v>
      </c>
      <c r="T19" s="345">
        <f t="shared" si="43"/>
        <v>0</v>
      </c>
      <c r="U19" s="294">
        <f>'Table 5C1A-Madison Prep'!U19</f>
        <v>2762</v>
      </c>
      <c r="V19" s="324">
        <f t="shared" si="31"/>
        <v>0</v>
      </c>
      <c r="W19" s="995">
        <f>'[1]Oct midyear LFNO'!E16</f>
        <v>0</v>
      </c>
      <c r="X19" s="290">
        <f t="shared" si="44"/>
        <v>0</v>
      </c>
      <c r="Y19" s="289">
        <f>'[1]Feb midyear LFNO'!E16</f>
        <v>0</v>
      </c>
      <c r="Z19" s="290">
        <f t="shared" si="45"/>
        <v>0</v>
      </c>
      <c r="AA19" s="288">
        <f t="shared" si="46"/>
        <v>0</v>
      </c>
      <c r="AB19" s="324">
        <f t="shared" si="47"/>
        <v>0</v>
      </c>
      <c r="AC19" s="292">
        <f t="shared" si="48"/>
        <v>0</v>
      </c>
      <c r="AD19" s="324">
        <f t="shared" si="49"/>
        <v>0</v>
      </c>
      <c r="AE19" s="293">
        <v>0</v>
      </c>
      <c r="AF19" s="324">
        <f t="shared" si="50"/>
        <v>0</v>
      </c>
      <c r="AG19" s="290">
        <f>'[2]Table 5C1E-LFNO'!AI19+'[14]Table 5C1E-LFNO'!AI19+(6*'[20]Table 5C1E-LFNO'!AI19)</f>
        <v>0</v>
      </c>
      <c r="AH19" s="290">
        <f t="shared" si="51"/>
        <v>0</v>
      </c>
      <c r="AI19" s="324">
        <f t="shared" si="32"/>
        <v>0</v>
      </c>
      <c r="AJ19" s="321">
        <f t="shared" si="52"/>
        <v>0</v>
      </c>
      <c r="AK19" s="342">
        <f t="shared" si="53"/>
        <v>0</v>
      </c>
      <c r="AM19" s="286">
        <v>0</v>
      </c>
      <c r="AN19" s="286">
        <f t="shared" si="54"/>
        <v>0</v>
      </c>
      <c r="AO19" s="286">
        <f t="shared" si="33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2.1.14'!N16</f>
        <v>0</v>
      </c>
      <c r="D20" s="201">
        <f>+'Table 5C1A-Madison Prep'!D20</f>
        <v>5334.9509412500001</v>
      </c>
      <c r="E20" s="202">
        <f t="shared" si="34"/>
        <v>0</v>
      </c>
      <c r="F20" s="202">
        <f>+'Table 5C1A-Madison Prep'!F20</f>
        <v>809.9799999999999</v>
      </c>
      <c r="G20" s="202">
        <f t="shared" si="35"/>
        <v>0</v>
      </c>
      <c r="H20" s="345">
        <f t="shared" si="36"/>
        <v>0</v>
      </c>
      <c r="I20" s="991">
        <f>'[1]Oct midyear LFNO'!K17</f>
        <v>0</v>
      </c>
      <c r="J20" s="203">
        <f>'[1]Feb midyear LFNO'!K17</f>
        <v>0</v>
      </c>
      <c r="K20" s="204">
        <f t="shared" si="37"/>
        <v>0</v>
      </c>
      <c r="L20" s="345">
        <f t="shared" si="38"/>
        <v>0</v>
      </c>
      <c r="M20" s="286">
        <f t="shared" si="39"/>
        <v>0</v>
      </c>
      <c r="N20" s="345">
        <f t="shared" si="40"/>
        <v>0</v>
      </c>
      <c r="O20" s="201">
        <v>0</v>
      </c>
      <c r="P20" s="345">
        <f t="shared" si="41"/>
        <v>0</v>
      </c>
      <c r="Q20" s="201">
        <f>'[2]Table 5C1E-LFNO'!S20+'[14]Table 5C1E-LFNO'!S20+(6*'[20]Table 5C1E-LFNO'!S20)</f>
        <v>0</v>
      </c>
      <c r="R20" s="201">
        <f t="shared" si="42"/>
        <v>0</v>
      </c>
      <c r="S20" s="345">
        <f t="shared" si="30"/>
        <v>0</v>
      </c>
      <c r="T20" s="345">
        <f t="shared" si="43"/>
        <v>0</v>
      </c>
      <c r="U20" s="294">
        <f>'Table 5C1A-Madison Prep'!U20</f>
        <v>4171</v>
      </c>
      <c r="V20" s="324">
        <f t="shared" si="31"/>
        <v>0</v>
      </c>
      <c r="W20" s="995">
        <f>'[1]Oct midyear LFNO'!E17</f>
        <v>0</v>
      </c>
      <c r="X20" s="290">
        <f t="shared" si="44"/>
        <v>0</v>
      </c>
      <c r="Y20" s="289">
        <f>'[1]Feb midyear LFNO'!E17</f>
        <v>0</v>
      </c>
      <c r="Z20" s="290">
        <f t="shared" si="45"/>
        <v>0</v>
      </c>
      <c r="AA20" s="288">
        <f t="shared" si="46"/>
        <v>0</v>
      </c>
      <c r="AB20" s="324">
        <f t="shared" si="47"/>
        <v>0</v>
      </c>
      <c r="AC20" s="292">
        <f t="shared" si="48"/>
        <v>0</v>
      </c>
      <c r="AD20" s="324">
        <f t="shared" si="49"/>
        <v>0</v>
      </c>
      <c r="AE20" s="293">
        <v>0</v>
      </c>
      <c r="AF20" s="324">
        <f t="shared" si="50"/>
        <v>0</v>
      </c>
      <c r="AG20" s="290">
        <f>'[2]Table 5C1E-LFNO'!AI20+'[14]Table 5C1E-LFNO'!AI20+(6*'[20]Table 5C1E-LFNO'!AI20)</f>
        <v>0</v>
      </c>
      <c r="AH20" s="290">
        <f t="shared" si="51"/>
        <v>0</v>
      </c>
      <c r="AI20" s="324">
        <f t="shared" si="32"/>
        <v>0</v>
      </c>
      <c r="AJ20" s="321">
        <f t="shared" si="52"/>
        <v>0</v>
      </c>
      <c r="AK20" s="342">
        <f t="shared" si="53"/>
        <v>0</v>
      </c>
      <c r="AM20" s="286">
        <v>0</v>
      </c>
      <c r="AN20" s="286">
        <f t="shared" si="54"/>
        <v>0</v>
      </c>
      <c r="AO20" s="286">
        <f t="shared" si="33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2.1.14'!N17</f>
        <v>0</v>
      </c>
      <c r="D21" s="194">
        <f>+'Table 5C1A-Madison Prep'!D21</f>
        <v>5749.8285214059952</v>
      </c>
      <c r="E21" s="195">
        <f t="shared" si="34"/>
        <v>0</v>
      </c>
      <c r="F21" s="195">
        <f>+'Table 5C1A-Madison Prep'!F21</f>
        <v>553.79999999999995</v>
      </c>
      <c r="G21" s="195">
        <f t="shared" si="35"/>
        <v>0</v>
      </c>
      <c r="H21" s="346">
        <f t="shared" si="36"/>
        <v>0</v>
      </c>
      <c r="I21" s="992">
        <f>'[1]Oct midyear LFNO'!K18</f>
        <v>0</v>
      </c>
      <c r="J21" s="196">
        <f>'[1]Feb midyear LFNO'!K18</f>
        <v>0</v>
      </c>
      <c r="K21" s="197">
        <f t="shared" si="37"/>
        <v>0</v>
      </c>
      <c r="L21" s="346">
        <f t="shared" si="38"/>
        <v>0</v>
      </c>
      <c r="M21" s="296">
        <f t="shared" si="39"/>
        <v>0</v>
      </c>
      <c r="N21" s="346">
        <f t="shared" si="40"/>
        <v>0</v>
      </c>
      <c r="O21" s="194">
        <v>0</v>
      </c>
      <c r="P21" s="346">
        <f t="shared" si="41"/>
        <v>0</v>
      </c>
      <c r="Q21" s="541">
        <f>'[2]Table 5C1E-LFNO'!S21+'[14]Table 5C1E-LFNO'!S21+(6*'[20]Table 5C1E-LFNO'!S21)</f>
        <v>0</v>
      </c>
      <c r="R21" s="194">
        <f t="shared" si="42"/>
        <v>0</v>
      </c>
      <c r="S21" s="359">
        <f t="shared" si="30"/>
        <v>0</v>
      </c>
      <c r="T21" s="359">
        <f t="shared" si="43"/>
        <v>0</v>
      </c>
      <c r="U21" s="285">
        <f>'Table 5C1A-Madison Prep'!U21</f>
        <v>2880</v>
      </c>
      <c r="V21" s="325">
        <f t="shared" si="31"/>
        <v>0</v>
      </c>
      <c r="W21" s="996">
        <f>'[1]Oct midyear LFNO'!E18</f>
        <v>0</v>
      </c>
      <c r="X21" s="282">
        <f t="shared" si="44"/>
        <v>0</v>
      </c>
      <c r="Y21" s="884">
        <f>'[1]Feb midyear LFNO'!E18</f>
        <v>0</v>
      </c>
      <c r="Z21" s="282">
        <f t="shared" si="45"/>
        <v>0</v>
      </c>
      <c r="AA21" s="283">
        <f t="shared" si="46"/>
        <v>0</v>
      </c>
      <c r="AB21" s="325">
        <f t="shared" si="47"/>
        <v>0</v>
      </c>
      <c r="AC21" s="298">
        <f t="shared" si="48"/>
        <v>0</v>
      </c>
      <c r="AD21" s="325">
        <f t="shared" si="49"/>
        <v>0</v>
      </c>
      <c r="AE21" s="284">
        <v>0</v>
      </c>
      <c r="AF21" s="325">
        <f t="shared" si="50"/>
        <v>0</v>
      </c>
      <c r="AG21" s="282">
        <f>'[2]Table 5C1E-LFNO'!AI21+'[14]Table 5C1E-LFNO'!AI21+(6*'[20]Table 5C1E-LFNO'!AI21)</f>
        <v>0</v>
      </c>
      <c r="AH21" s="282">
        <f t="shared" si="51"/>
        <v>0</v>
      </c>
      <c r="AI21" s="325">
        <f t="shared" si="32"/>
        <v>0</v>
      </c>
      <c r="AJ21" s="338">
        <f t="shared" si="52"/>
        <v>0</v>
      </c>
      <c r="AK21" s="343">
        <f t="shared" si="53"/>
        <v>0</v>
      </c>
      <c r="AM21" s="296">
        <v>0</v>
      </c>
      <c r="AN21" s="296">
        <f t="shared" si="54"/>
        <v>0</v>
      </c>
      <c r="AO21" s="296">
        <f t="shared" si="33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2.1.14'!N18</f>
        <v>0</v>
      </c>
      <c r="D22" s="208">
        <f>+'Table 5C1A-Madison Prep'!D22</f>
        <v>1980.2494354342025</v>
      </c>
      <c r="E22" s="209">
        <f t="shared" si="34"/>
        <v>0</v>
      </c>
      <c r="F22" s="209">
        <f>+'Table 5C1A-Madison Prep'!F22</f>
        <v>686.73</v>
      </c>
      <c r="G22" s="209">
        <f t="shared" si="35"/>
        <v>0</v>
      </c>
      <c r="H22" s="344">
        <f t="shared" si="36"/>
        <v>0</v>
      </c>
      <c r="I22" s="990">
        <f>'[1]Oct midyear LFNO'!K19</f>
        <v>0</v>
      </c>
      <c r="J22" s="210">
        <f>'[1]Feb midyear LFNO'!K19</f>
        <v>0</v>
      </c>
      <c r="K22" s="211">
        <f t="shared" si="37"/>
        <v>0</v>
      </c>
      <c r="L22" s="344">
        <f t="shared" si="38"/>
        <v>0</v>
      </c>
      <c r="M22" s="273">
        <f t="shared" si="39"/>
        <v>0</v>
      </c>
      <c r="N22" s="344">
        <f t="shared" si="40"/>
        <v>0</v>
      </c>
      <c r="O22" s="208">
        <v>0</v>
      </c>
      <c r="P22" s="344">
        <f t="shared" si="41"/>
        <v>0</v>
      </c>
      <c r="Q22" s="208">
        <f>'[2]Table 5C1E-LFNO'!S22+'[14]Table 5C1E-LFNO'!S22+(6*'[20]Table 5C1E-LFNO'!S22)</f>
        <v>0</v>
      </c>
      <c r="R22" s="208">
        <f t="shared" si="42"/>
        <v>0</v>
      </c>
      <c r="S22" s="344">
        <f t="shared" si="30"/>
        <v>0</v>
      </c>
      <c r="T22" s="344">
        <f t="shared" si="43"/>
        <v>0</v>
      </c>
      <c r="U22" s="280">
        <f>'Table 5C1A-Madison Prep'!U22</f>
        <v>13021</v>
      </c>
      <c r="V22" s="323">
        <f t="shared" si="31"/>
        <v>0</v>
      </c>
      <c r="W22" s="994">
        <f>'[1]Oct midyear LFNO'!E19</f>
        <v>0</v>
      </c>
      <c r="X22" s="276">
        <f t="shared" si="44"/>
        <v>0</v>
      </c>
      <c r="Y22" s="883">
        <f>'[1]Feb midyear LFNO'!E19</f>
        <v>0</v>
      </c>
      <c r="Z22" s="276">
        <f t="shared" si="45"/>
        <v>0</v>
      </c>
      <c r="AA22" s="275">
        <f t="shared" si="46"/>
        <v>0</v>
      </c>
      <c r="AB22" s="323">
        <f t="shared" si="47"/>
        <v>0</v>
      </c>
      <c r="AC22" s="278">
        <f t="shared" si="48"/>
        <v>0</v>
      </c>
      <c r="AD22" s="323">
        <f t="shared" si="49"/>
        <v>0</v>
      </c>
      <c r="AE22" s="279">
        <v>0</v>
      </c>
      <c r="AF22" s="323">
        <f t="shared" si="50"/>
        <v>0</v>
      </c>
      <c r="AG22" s="276">
        <f>'[2]Table 5C1E-LFNO'!AI22+'[14]Table 5C1E-LFNO'!AI22+(6*'[20]Table 5C1E-LFNO'!AI22)</f>
        <v>0</v>
      </c>
      <c r="AH22" s="276">
        <f t="shared" si="51"/>
        <v>0</v>
      </c>
      <c r="AI22" s="323">
        <f t="shared" si="32"/>
        <v>0</v>
      </c>
      <c r="AJ22" s="337">
        <f t="shared" si="52"/>
        <v>0</v>
      </c>
      <c r="AK22" s="341">
        <f t="shared" si="53"/>
        <v>0</v>
      </c>
      <c r="AM22" s="273">
        <v>0</v>
      </c>
      <c r="AN22" s="273">
        <f t="shared" si="54"/>
        <v>0</v>
      </c>
      <c r="AO22" s="273">
        <f t="shared" si="33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2.1.14'!N19</f>
        <v>0</v>
      </c>
      <c r="D23" s="201">
        <f>+'Table 5C1A-Madison Prep'!D23</f>
        <v>3363.5980368254495</v>
      </c>
      <c r="E23" s="202">
        <f t="shared" si="34"/>
        <v>0</v>
      </c>
      <c r="F23" s="202">
        <f>+'Table 5C1A-Madison Prep'!F23</f>
        <v>801.47762416806802</v>
      </c>
      <c r="G23" s="202">
        <f t="shared" si="35"/>
        <v>0</v>
      </c>
      <c r="H23" s="345">
        <f t="shared" si="36"/>
        <v>0</v>
      </c>
      <c r="I23" s="991">
        <f>'[1]Oct midyear LFNO'!K20</f>
        <v>0</v>
      </c>
      <c r="J23" s="203">
        <f>'[1]Feb midyear LFNO'!K20</f>
        <v>0</v>
      </c>
      <c r="K23" s="204">
        <f t="shared" si="37"/>
        <v>0</v>
      </c>
      <c r="L23" s="345">
        <f t="shared" si="38"/>
        <v>0</v>
      </c>
      <c r="M23" s="286">
        <f t="shared" si="39"/>
        <v>0</v>
      </c>
      <c r="N23" s="345">
        <f t="shared" si="40"/>
        <v>0</v>
      </c>
      <c r="O23" s="201">
        <v>0</v>
      </c>
      <c r="P23" s="345">
        <f t="shared" si="41"/>
        <v>0</v>
      </c>
      <c r="Q23" s="201">
        <f>'[2]Table 5C1E-LFNO'!S23+'[14]Table 5C1E-LFNO'!S23+(6*'[20]Table 5C1E-LFNO'!S23)</f>
        <v>0</v>
      </c>
      <c r="R23" s="201">
        <f t="shared" si="42"/>
        <v>0</v>
      </c>
      <c r="S23" s="345">
        <f t="shared" si="30"/>
        <v>0</v>
      </c>
      <c r="T23" s="345">
        <f t="shared" si="43"/>
        <v>0</v>
      </c>
      <c r="U23" s="294">
        <f>'Table 5C1A-Madison Prep'!U23</f>
        <v>6954</v>
      </c>
      <c r="V23" s="324">
        <f t="shared" si="31"/>
        <v>0</v>
      </c>
      <c r="W23" s="995">
        <f>'[1]Oct midyear LFNO'!E20</f>
        <v>0</v>
      </c>
      <c r="X23" s="290">
        <f t="shared" si="44"/>
        <v>0</v>
      </c>
      <c r="Y23" s="289">
        <f>'[1]Feb midyear LFNO'!E20</f>
        <v>0</v>
      </c>
      <c r="Z23" s="290">
        <f t="shared" si="45"/>
        <v>0</v>
      </c>
      <c r="AA23" s="288">
        <f t="shared" si="46"/>
        <v>0</v>
      </c>
      <c r="AB23" s="324">
        <f t="shared" si="47"/>
        <v>0</v>
      </c>
      <c r="AC23" s="292">
        <f t="shared" si="48"/>
        <v>0</v>
      </c>
      <c r="AD23" s="324">
        <f t="shared" si="49"/>
        <v>0</v>
      </c>
      <c r="AE23" s="293">
        <v>0</v>
      </c>
      <c r="AF23" s="324">
        <f t="shared" si="50"/>
        <v>0</v>
      </c>
      <c r="AG23" s="290">
        <f>'[2]Table 5C1E-LFNO'!AI23+'[14]Table 5C1E-LFNO'!AI23+(6*'[20]Table 5C1E-LFNO'!AI23)</f>
        <v>0</v>
      </c>
      <c r="AH23" s="290">
        <f t="shared" si="51"/>
        <v>0</v>
      </c>
      <c r="AI23" s="324">
        <f t="shared" si="32"/>
        <v>0</v>
      </c>
      <c r="AJ23" s="321">
        <f t="shared" si="52"/>
        <v>0</v>
      </c>
      <c r="AK23" s="342">
        <f t="shared" si="53"/>
        <v>0</v>
      </c>
      <c r="AM23" s="286">
        <v>0</v>
      </c>
      <c r="AN23" s="286">
        <f t="shared" si="54"/>
        <v>0</v>
      </c>
      <c r="AO23" s="286">
        <f t="shared" si="33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2.1.14'!N20</f>
        <v>0</v>
      </c>
      <c r="D24" s="201">
        <f>+'Table 5C1A-Madison Prep'!D24</f>
        <v>6354.5533500475731</v>
      </c>
      <c r="E24" s="202">
        <f t="shared" si="34"/>
        <v>0</v>
      </c>
      <c r="F24" s="202">
        <f>+'Table 5C1A-Madison Prep'!F24</f>
        <v>845.94999999999993</v>
      </c>
      <c r="G24" s="202">
        <f t="shared" si="35"/>
        <v>0</v>
      </c>
      <c r="H24" s="345">
        <f t="shared" si="36"/>
        <v>0</v>
      </c>
      <c r="I24" s="991">
        <f>'[1]Oct midyear LFNO'!K21</f>
        <v>0</v>
      </c>
      <c r="J24" s="203">
        <f>'[1]Feb midyear LFNO'!K21</f>
        <v>0</v>
      </c>
      <c r="K24" s="204">
        <f t="shared" si="37"/>
        <v>0</v>
      </c>
      <c r="L24" s="345">
        <f t="shared" si="38"/>
        <v>0</v>
      </c>
      <c r="M24" s="286">
        <f t="shared" si="39"/>
        <v>0</v>
      </c>
      <c r="N24" s="345">
        <f t="shared" si="40"/>
        <v>0</v>
      </c>
      <c r="O24" s="201">
        <v>0</v>
      </c>
      <c r="P24" s="345">
        <f t="shared" si="41"/>
        <v>0</v>
      </c>
      <c r="Q24" s="201">
        <f>'[2]Table 5C1E-LFNO'!S24+'[14]Table 5C1E-LFNO'!S24+(6*'[20]Table 5C1E-LFNO'!S24)</f>
        <v>0</v>
      </c>
      <c r="R24" s="201">
        <f t="shared" si="42"/>
        <v>0</v>
      </c>
      <c r="S24" s="345">
        <f t="shared" si="30"/>
        <v>0</v>
      </c>
      <c r="T24" s="345">
        <f t="shared" si="43"/>
        <v>0</v>
      </c>
      <c r="U24" s="294">
        <f>'Table 5C1A-Madison Prep'!U24</f>
        <v>2442</v>
      </c>
      <c r="V24" s="324">
        <f t="shared" si="31"/>
        <v>0</v>
      </c>
      <c r="W24" s="995">
        <f>'[1]Oct midyear LFNO'!E21</f>
        <v>0</v>
      </c>
      <c r="X24" s="290">
        <f t="shared" si="44"/>
        <v>0</v>
      </c>
      <c r="Y24" s="289">
        <f>'[1]Feb midyear LFNO'!E21</f>
        <v>0</v>
      </c>
      <c r="Z24" s="290">
        <f t="shared" si="45"/>
        <v>0</v>
      </c>
      <c r="AA24" s="288">
        <f t="shared" si="46"/>
        <v>0</v>
      </c>
      <c r="AB24" s="324">
        <f t="shared" si="47"/>
        <v>0</v>
      </c>
      <c r="AC24" s="292">
        <f t="shared" si="48"/>
        <v>0</v>
      </c>
      <c r="AD24" s="324">
        <f t="shared" si="49"/>
        <v>0</v>
      </c>
      <c r="AE24" s="293">
        <v>0</v>
      </c>
      <c r="AF24" s="324">
        <f t="shared" si="50"/>
        <v>0</v>
      </c>
      <c r="AG24" s="290">
        <f>'[2]Table 5C1E-LFNO'!AI24+'[14]Table 5C1E-LFNO'!AI24+(6*'[20]Table 5C1E-LFNO'!AI24)</f>
        <v>0</v>
      </c>
      <c r="AH24" s="290">
        <f t="shared" si="51"/>
        <v>0</v>
      </c>
      <c r="AI24" s="324">
        <f t="shared" si="32"/>
        <v>0</v>
      </c>
      <c r="AJ24" s="321">
        <f t="shared" si="52"/>
        <v>0</v>
      </c>
      <c r="AK24" s="342">
        <f t="shared" si="53"/>
        <v>0</v>
      </c>
      <c r="AM24" s="286">
        <v>0</v>
      </c>
      <c r="AN24" s="286">
        <f t="shared" si="54"/>
        <v>0</v>
      </c>
      <c r="AO24" s="286">
        <f t="shared" si="33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2.1.14'!N21</f>
        <v>0</v>
      </c>
      <c r="D25" s="201">
        <f>+'Table 5C1A-Madison Prep'!D25</f>
        <v>5314.3921869460446</v>
      </c>
      <c r="E25" s="202">
        <f t="shared" si="34"/>
        <v>0</v>
      </c>
      <c r="F25" s="202">
        <f>+'Table 5C1A-Madison Prep'!F25</f>
        <v>905.43</v>
      </c>
      <c r="G25" s="202">
        <f t="shared" si="35"/>
        <v>0</v>
      </c>
      <c r="H25" s="345">
        <f t="shared" si="36"/>
        <v>0</v>
      </c>
      <c r="I25" s="991">
        <f>'[1]Oct midyear LFNO'!K22</f>
        <v>0</v>
      </c>
      <c r="J25" s="203">
        <f>'[1]Feb midyear LFNO'!K22</f>
        <v>0</v>
      </c>
      <c r="K25" s="204">
        <f t="shared" si="37"/>
        <v>0</v>
      </c>
      <c r="L25" s="345">
        <f t="shared" si="38"/>
        <v>0</v>
      </c>
      <c r="M25" s="286">
        <f t="shared" si="39"/>
        <v>0</v>
      </c>
      <c r="N25" s="345">
        <f t="shared" si="40"/>
        <v>0</v>
      </c>
      <c r="O25" s="201">
        <v>0</v>
      </c>
      <c r="P25" s="345">
        <f t="shared" si="41"/>
        <v>0</v>
      </c>
      <c r="Q25" s="201">
        <f>'[2]Table 5C1E-LFNO'!S25+'[14]Table 5C1E-LFNO'!S25+(6*'[20]Table 5C1E-LFNO'!S25)</f>
        <v>0</v>
      </c>
      <c r="R25" s="201">
        <f t="shared" si="42"/>
        <v>0</v>
      </c>
      <c r="S25" s="345">
        <f t="shared" si="30"/>
        <v>0</v>
      </c>
      <c r="T25" s="345">
        <f t="shared" si="43"/>
        <v>0</v>
      </c>
      <c r="U25" s="294">
        <f>'Table 5C1A-Madison Prep'!U25</f>
        <v>3051</v>
      </c>
      <c r="V25" s="324">
        <f t="shared" si="31"/>
        <v>0</v>
      </c>
      <c r="W25" s="995">
        <f>'[1]Oct midyear LFNO'!E22</f>
        <v>0</v>
      </c>
      <c r="X25" s="290">
        <f t="shared" si="44"/>
        <v>0</v>
      </c>
      <c r="Y25" s="289">
        <f>'[1]Feb midyear LFNO'!E22</f>
        <v>0</v>
      </c>
      <c r="Z25" s="290">
        <f t="shared" si="45"/>
        <v>0</v>
      </c>
      <c r="AA25" s="288">
        <f t="shared" si="46"/>
        <v>0</v>
      </c>
      <c r="AB25" s="324">
        <f t="shared" si="47"/>
        <v>0</v>
      </c>
      <c r="AC25" s="292">
        <f t="shared" si="48"/>
        <v>0</v>
      </c>
      <c r="AD25" s="324">
        <f t="shared" si="49"/>
        <v>0</v>
      </c>
      <c r="AE25" s="293">
        <v>0</v>
      </c>
      <c r="AF25" s="324">
        <f t="shared" si="50"/>
        <v>0</v>
      </c>
      <c r="AG25" s="290">
        <f>'[2]Table 5C1E-LFNO'!AI25+'[14]Table 5C1E-LFNO'!AI25+(6*'[20]Table 5C1E-LFNO'!AI25)</f>
        <v>0</v>
      </c>
      <c r="AH25" s="290">
        <f t="shared" si="51"/>
        <v>0</v>
      </c>
      <c r="AI25" s="324">
        <f t="shared" si="32"/>
        <v>0</v>
      </c>
      <c r="AJ25" s="321">
        <f t="shared" si="52"/>
        <v>0</v>
      </c>
      <c r="AK25" s="342">
        <f t="shared" si="53"/>
        <v>0</v>
      </c>
      <c r="AM25" s="286">
        <v>0</v>
      </c>
      <c r="AN25" s="286">
        <f t="shared" si="54"/>
        <v>0</v>
      </c>
      <c r="AO25" s="286">
        <f t="shared" si="33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2.1.14'!N22</f>
        <v>0</v>
      </c>
      <c r="D26" s="194">
        <f>+'Table 5C1A-Madison Prep'!D26</f>
        <v>5278.5201565562011</v>
      </c>
      <c r="E26" s="195">
        <f t="shared" si="34"/>
        <v>0</v>
      </c>
      <c r="F26" s="195">
        <f>+'Table 5C1A-Madison Prep'!F26</f>
        <v>586.16999999999996</v>
      </c>
      <c r="G26" s="195">
        <f t="shared" si="35"/>
        <v>0</v>
      </c>
      <c r="H26" s="346">
        <f t="shared" si="36"/>
        <v>0</v>
      </c>
      <c r="I26" s="992">
        <f>'[1]Oct midyear LFNO'!K23</f>
        <v>0</v>
      </c>
      <c r="J26" s="196">
        <f>'[1]Feb midyear LFNO'!K23</f>
        <v>0</v>
      </c>
      <c r="K26" s="197">
        <f t="shared" si="37"/>
        <v>0</v>
      </c>
      <c r="L26" s="346">
        <f t="shared" si="38"/>
        <v>0</v>
      </c>
      <c r="M26" s="296">
        <f t="shared" si="39"/>
        <v>0</v>
      </c>
      <c r="N26" s="346">
        <f t="shared" si="40"/>
        <v>0</v>
      </c>
      <c r="O26" s="194">
        <v>0</v>
      </c>
      <c r="P26" s="346">
        <f t="shared" si="41"/>
        <v>0</v>
      </c>
      <c r="Q26" s="541">
        <f>'[2]Table 5C1E-LFNO'!S26+'[14]Table 5C1E-LFNO'!S26+(6*'[20]Table 5C1E-LFNO'!S26)</f>
        <v>0</v>
      </c>
      <c r="R26" s="194">
        <f t="shared" si="42"/>
        <v>0</v>
      </c>
      <c r="S26" s="359">
        <f t="shared" si="30"/>
        <v>0</v>
      </c>
      <c r="T26" s="359">
        <f t="shared" si="43"/>
        <v>0</v>
      </c>
      <c r="U26" s="285">
        <f>'Table 5C1A-Madison Prep'!U26</f>
        <v>2484</v>
      </c>
      <c r="V26" s="325">
        <f t="shared" si="31"/>
        <v>0</v>
      </c>
      <c r="W26" s="996">
        <f>'[1]Oct midyear LFNO'!E23</f>
        <v>0</v>
      </c>
      <c r="X26" s="282">
        <f t="shared" si="44"/>
        <v>0</v>
      </c>
      <c r="Y26" s="884">
        <f>'[1]Feb midyear LFNO'!E23</f>
        <v>0</v>
      </c>
      <c r="Z26" s="282">
        <f t="shared" si="45"/>
        <v>0</v>
      </c>
      <c r="AA26" s="283">
        <f t="shared" si="46"/>
        <v>0</v>
      </c>
      <c r="AB26" s="325">
        <f t="shared" si="47"/>
        <v>0</v>
      </c>
      <c r="AC26" s="298">
        <f t="shared" si="48"/>
        <v>0</v>
      </c>
      <c r="AD26" s="325">
        <f t="shared" si="49"/>
        <v>0</v>
      </c>
      <c r="AE26" s="284">
        <v>0</v>
      </c>
      <c r="AF26" s="325">
        <f t="shared" si="50"/>
        <v>0</v>
      </c>
      <c r="AG26" s="282">
        <f>'[2]Table 5C1E-LFNO'!AI26+'[14]Table 5C1E-LFNO'!AI26+(6*'[20]Table 5C1E-LFNO'!AI26)</f>
        <v>0</v>
      </c>
      <c r="AH26" s="282">
        <f t="shared" si="51"/>
        <v>0</v>
      </c>
      <c r="AI26" s="325">
        <f t="shared" si="32"/>
        <v>0</v>
      </c>
      <c r="AJ26" s="338">
        <f t="shared" si="52"/>
        <v>0</v>
      </c>
      <c r="AK26" s="343">
        <f t="shared" si="53"/>
        <v>0</v>
      </c>
      <c r="AM26" s="296">
        <v>0</v>
      </c>
      <c r="AN26" s="296">
        <f t="shared" si="54"/>
        <v>0</v>
      </c>
      <c r="AO26" s="296">
        <f t="shared" si="33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2.1.14'!N23</f>
        <v>0</v>
      </c>
      <c r="D27" s="208">
        <f>+'Table 5C1A-Madison Prep'!D27</f>
        <v>6082.3042295867763</v>
      </c>
      <c r="E27" s="209">
        <f t="shared" si="34"/>
        <v>0</v>
      </c>
      <c r="F27" s="209">
        <f>+'Table 5C1A-Madison Prep'!F27</f>
        <v>610.35</v>
      </c>
      <c r="G27" s="209">
        <f t="shared" si="35"/>
        <v>0</v>
      </c>
      <c r="H27" s="344">
        <f t="shared" si="36"/>
        <v>0</v>
      </c>
      <c r="I27" s="990">
        <f>'[1]Oct midyear LFNO'!K24</f>
        <v>0</v>
      </c>
      <c r="J27" s="210">
        <f>'[1]Feb midyear LFNO'!K24</f>
        <v>0</v>
      </c>
      <c r="K27" s="211">
        <f t="shared" si="37"/>
        <v>0</v>
      </c>
      <c r="L27" s="344">
        <f t="shared" si="38"/>
        <v>0</v>
      </c>
      <c r="M27" s="273">
        <f t="shared" si="39"/>
        <v>0</v>
      </c>
      <c r="N27" s="344">
        <f t="shared" si="40"/>
        <v>0</v>
      </c>
      <c r="O27" s="208">
        <v>0</v>
      </c>
      <c r="P27" s="344">
        <f t="shared" si="41"/>
        <v>0</v>
      </c>
      <c r="Q27" s="208">
        <f>'[2]Table 5C1E-LFNO'!S27+'[14]Table 5C1E-LFNO'!S27+(6*'[20]Table 5C1E-LFNO'!S27)</f>
        <v>0</v>
      </c>
      <c r="R27" s="208">
        <f t="shared" si="42"/>
        <v>0</v>
      </c>
      <c r="S27" s="344">
        <f t="shared" si="30"/>
        <v>0</v>
      </c>
      <c r="T27" s="344">
        <f t="shared" si="43"/>
        <v>0</v>
      </c>
      <c r="U27" s="280">
        <f>'Table 5C1A-Madison Prep'!U27</f>
        <v>2487</v>
      </c>
      <c r="V27" s="323">
        <f t="shared" si="31"/>
        <v>0</v>
      </c>
      <c r="W27" s="994">
        <f>'[1]Oct midyear LFNO'!E24</f>
        <v>0</v>
      </c>
      <c r="X27" s="276">
        <f t="shared" si="44"/>
        <v>0</v>
      </c>
      <c r="Y27" s="883">
        <f>'[1]Feb midyear LFNO'!E24</f>
        <v>0</v>
      </c>
      <c r="Z27" s="276">
        <f t="shared" si="45"/>
        <v>0</v>
      </c>
      <c r="AA27" s="275">
        <f t="shared" si="46"/>
        <v>0</v>
      </c>
      <c r="AB27" s="323">
        <f t="shared" si="47"/>
        <v>0</v>
      </c>
      <c r="AC27" s="278">
        <f t="shared" si="48"/>
        <v>0</v>
      </c>
      <c r="AD27" s="323">
        <f t="shared" si="49"/>
        <v>0</v>
      </c>
      <c r="AE27" s="279">
        <v>0</v>
      </c>
      <c r="AF27" s="323">
        <f t="shared" si="50"/>
        <v>0</v>
      </c>
      <c r="AG27" s="276">
        <f>'[2]Table 5C1E-LFNO'!AI27+'[14]Table 5C1E-LFNO'!AI27+(6*'[20]Table 5C1E-LFNO'!AI27)</f>
        <v>0</v>
      </c>
      <c r="AH27" s="276">
        <f t="shared" si="51"/>
        <v>0</v>
      </c>
      <c r="AI27" s="323">
        <f t="shared" si="32"/>
        <v>0</v>
      </c>
      <c r="AJ27" s="337">
        <f t="shared" si="52"/>
        <v>0</v>
      </c>
      <c r="AK27" s="341">
        <f t="shared" si="53"/>
        <v>0</v>
      </c>
      <c r="AM27" s="273">
        <v>0</v>
      </c>
      <c r="AN27" s="273">
        <f t="shared" si="54"/>
        <v>0</v>
      </c>
      <c r="AO27" s="273">
        <f t="shared" si="33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2.1.14'!N24</f>
        <v>0</v>
      </c>
      <c r="D28" s="201">
        <f>+'Table 5C1A-Madison Prep'!D28</f>
        <v>6416.1099808195995</v>
      </c>
      <c r="E28" s="202">
        <f t="shared" si="34"/>
        <v>0</v>
      </c>
      <c r="F28" s="202">
        <f>+'Table 5C1A-Madison Prep'!F28</f>
        <v>496.36</v>
      </c>
      <c r="G28" s="202">
        <f t="shared" si="35"/>
        <v>0</v>
      </c>
      <c r="H28" s="345">
        <f t="shared" si="36"/>
        <v>0</v>
      </c>
      <c r="I28" s="991">
        <f>'[1]Oct midyear LFNO'!K25</f>
        <v>0</v>
      </c>
      <c r="J28" s="203">
        <f>'[1]Feb midyear LFNO'!K25</f>
        <v>0</v>
      </c>
      <c r="K28" s="204">
        <f t="shared" si="37"/>
        <v>0</v>
      </c>
      <c r="L28" s="345">
        <f t="shared" si="38"/>
        <v>0</v>
      </c>
      <c r="M28" s="286">
        <f t="shared" si="39"/>
        <v>0</v>
      </c>
      <c r="N28" s="345">
        <f t="shared" si="40"/>
        <v>0</v>
      </c>
      <c r="O28" s="201">
        <v>0</v>
      </c>
      <c r="P28" s="345">
        <f t="shared" si="41"/>
        <v>0</v>
      </c>
      <c r="Q28" s="201">
        <f>'[2]Table 5C1E-LFNO'!S28+'[14]Table 5C1E-LFNO'!S28+(6*'[20]Table 5C1E-LFNO'!S28)</f>
        <v>0</v>
      </c>
      <c r="R28" s="201">
        <f t="shared" si="42"/>
        <v>0</v>
      </c>
      <c r="S28" s="345">
        <f t="shared" si="30"/>
        <v>0</v>
      </c>
      <c r="T28" s="345">
        <f t="shared" si="43"/>
        <v>0</v>
      </c>
      <c r="U28" s="294">
        <f>'Table 5C1A-Madison Prep'!U28</f>
        <v>1584</v>
      </c>
      <c r="V28" s="324">
        <f t="shared" si="31"/>
        <v>0</v>
      </c>
      <c r="W28" s="995">
        <f>'[1]Oct midyear LFNO'!E25</f>
        <v>0</v>
      </c>
      <c r="X28" s="290">
        <f t="shared" si="44"/>
        <v>0</v>
      </c>
      <c r="Y28" s="289">
        <f>'[1]Feb midyear LFNO'!E25</f>
        <v>0</v>
      </c>
      <c r="Z28" s="290">
        <f t="shared" si="45"/>
        <v>0</v>
      </c>
      <c r="AA28" s="288">
        <f t="shared" si="46"/>
        <v>0</v>
      </c>
      <c r="AB28" s="324">
        <f t="shared" si="47"/>
        <v>0</v>
      </c>
      <c r="AC28" s="292">
        <f t="shared" si="48"/>
        <v>0</v>
      </c>
      <c r="AD28" s="324">
        <f t="shared" si="49"/>
        <v>0</v>
      </c>
      <c r="AE28" s="293">
        <v>0</v>
      </c>
      <c r="AF28" s="324">
        <f t="shared" si="50"/>
        <v>0</v>
      </c>
      <c r="AG28" s="290">
        <f>'[2]Table 5C1E-LFNO'!AI28+'[14]Table 5C1E-LFNO'!AI28+(6*'[20]Table 5C1E-LFNO'!AI28)</f>
        <v>0</v>
      </c>
      <c r="AH28" s="290">
        <f t="shared" si="51"/>
        <v>0</v>
      </c>
      <c r="AI28" s="324">
        <f t="shared" si="32"/>
        <v>0</v>
      </c>
      <c r="AJ28" s="321">
        <f t="shared" si="52"/>
        <v>0</v>
      </c>
      <c r="AK28" s="342">
        <f t="shared" si="53"/>
        <v>0</v>
      </c>
      <c r="AM28" s="286">
        <v>0</v>
      </c>
      <c r="AN28" s="286">
        <f t="shared" si="54"/>
        <v>0</v>
      </c>
      <c r="AO28" s="286">
        <f t="shared" si="33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2.1.14'!N25</f>
        <v>0</v>
      </c>
      <c r="D29" s="201">
        <f>+'Table 5C1A-Madison Prep'!D29</f>
        <v>5011.0215265979159</v>
      </c>
      <c r="E29" s="202">
        <f t="shared" si="34"/>
        <v>0</v>
      </c>
      <c r="F29" s="202">
        <f>+'Table 5C1A-Madison Prep'!F29</f>
        <v>688.58</v>
      </c>
      <c r="G29" s="202">
        <f t="shared" si="35"/>
        <v>0</v>
      </c>
      <c r="H29" s="345">
        <f t="shared" si="36"/>
        <v>0</v>
      </c>
      <c r="I29" s="991">
        <f>'[1]Oct midyear LFNO'!K26</f>
        <v>0</v>
      </c>
      <c r="J29" s="203">
        <f>'[1]Feb midyear LFNO'!K26</f>
        <v>0</v>
      </c>
      <c r="K29" s="204">
        <f t="shared" si="37"/>
        <v>0</v>
      </c>
      <c r="L29" s="345">
        <f t="shared" si="38"/>
        <v>0</v>
      </c>
      <c r="M29" s="286">
        <f t="shared" si="39"/>
        <v>0</v>
      </c>
      <c r="N29" s="345">
        <f t="shared" si="40"/>
        <v>0</v>
      </c>
      <c r="O29" s="201">
        <v>0</v>
      </c>
      <c r="P29" s="345">
        <f t="shared" si="41"/>
        <v>0</v>
      </c>
      <c r="Q29" s="201">
        <f>'[2]Table 5C1E-LFNO'!S29+'[14]Table 5C1E-LFNO'!S29+(6*'[20]Table 5C1E-LFNO'!S29)</f>
        <v>0</v>
      </c>
      <c r="R29" s="201">
        <f t="shared" si="42"/>
        <v>0</v>
      </c>
      <c r="S29" s="345">
        <f t="shared" si="30"/>
        <v>0</v>
      </c>
      <c r="T29" s="345">
        <f t="shared" si="43"/>
        <v>0</v>
      </c>
      <c r="U29" s="294">
        <f>'Table 5C1A-Madison Prep'!U29</f>
        <v>3500</v>
      </c>
      <c r="V29" s="324">
        <f t="shared" si="31"/>
        <v>0</v>
      </c>
      <c r="W29" s="995">
        <f>'[1]Oct midyear LFNO'!E26</f>
        <v>0</v>
      </c>
      <c r="X29" s="290">
        <f t="shared" si="44"/>
        <v>0</v>
      </c>
      <c r="Y29" s="289">
        <f>'[1]Feb midyear LFNO'!E26</f>
        <v>0</v>
      </c>
      <c r="Z29" s="290">
        <f t="shared" si="45"/>
        <v>0</v>
      </c>
      <c r="AA29" s="288">
        <f t="shared" si="46"/>
        <v>0</v>
      </c>
      <c r="AB29" s="324">
        <f t="shared" si="47"/>
        <v>0</v>
      </c>
      <c r="AC29" s="292">
        <f t="shared" si="48"/>
        <v>0</v>
      </c>
      <c r="AD29" s="324">
        <f t="shared" si="49"/>
        <v>0</v>
      </c>
      <c r="AE29" s="293">
        <v>0</v>
      </c>
      <c r="AF29" s="324">
        <f t="shared" si="50"/>
        <v>0</v>
      </c>
      <c r="AG29" s="290">
        <f>'[2]Table 5C1E-LFNO'!AI29+'[14]Table 5C1E-LFNO'!AI29+(6*'[20]Table 5C1E-LFNO'!AI29)</f>
        <v>0</v>
      </c>
      <c r="AH29" s="290">
        <f t="shared" si="51"/>
        <v>0</v>
      </c>
      <c r="AI29" s="324">
        <f t="shared" si="32"/>
        <v>0</v>
      </c>
      <c r="AJ29" s="321">
        <f t="shared" si="52"/>
        <v>0</v>
      </c>
      <c r="AK29" s="342">
        <f t="shared" si="53"/>
        <v>0</v>
      </c>
      <c r="AM29" s="286">
        <v>0</v>
      </c>
      <c r="AN29" s="286">
        <f t="shared" si="54"/>
        <v>0</v>
      </c>
      <c r="AO29" s="286">
        <f t="shared" si="33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2.1.14'!N26</f>
        <v>0</v>
      </c>
      <c r="D30" s="201">
        <f>+'Table 5C1A-Madison Prep'!D30</f>
        <v>2611.6740361576999</v>
      </c>
      <c r="E30" s="202">
        <f t="shared" si="34"/>
        <v>0</v>
      </c>
      <c r="F30" s="202">
        <f>+'Table 5C1A-Madison Prep'!F30</f>
        <v>854.24999999999989</v>
      </c>
      <c r="G30" s="202">
        <f t="shared" si="35"/>
        <v>0</v>
      </c>
      <c r="H30" s="345">
        <f t="shared" si="36"/>
        <v>0</v>
      </c>
      <c r="I30" s="991">
        <f>'[1]Oct midyear LFNO'!K27</f>
        <v>0</v>
      </c>
      <c r="J30" s="203">
        <f>'[1]Feb midyear LFNO'!K27</f>
        <v>0</v>
      </c>
      <c r="K30" s="204">
        <f t="shared" si="37"/>
        <v>0</v>
      </c>
      <c r="L30" s="345">
        <f t="shared" si="38"/>
        <v>0</v>
      </c>
      <c r="M30" s="286">
        <f t="shared" si="39"/>
        <v>0</v>
      </c>
      <c r="N30" s="345">
        <f t="shared" si="40"/>
        <v>0</v>
      </c>
      <c r="O30" s="201">
        <v>0</v>
      </c>
      <c r="P30" s="345">
        <f t="shared" si="41"/>
        <v>0</v>
      </c>
      <c r="Q30" s="201">
        <f>'[2]Table 5C1E-LFNO'!S30+'[14]Table 5C1E-LFNO'!S30+(6*'[20]Table 5C1E-LFNO'!S30)</f>
        <v>0</v>
      </c>
      <c r="R30" s="201">
        <f t="shared" si="42"/>
        <v>0</v>
      </c>
      <c r="S30" s="345">
        <f t="shared" si="30"/>
        <v>0</v>
      </c>
      <c r="T30" s="345">
        <f t="shared" si="43"/>
        <v>0</v>
      </c>
      <c r="U30" s="294">
        <f>'Table 5C1A-Madison Prep'!U30</f>
        <v>11051</v>
      </c>
      <c r="V30" s="324">
        <f t="shared" si="31"/>
        <v>0</v>
      </c>
      <c r="W30" s="995">
        <f>'[1]Oct midyear LFNO'!E27</f>
        <v>0</v>
      </c>
      <c r="X30" s="290">
        <f t="shared" si="44"/>
        <v>0</v>
      </c>
      <c r="Y30" s="289">
        <f>'[1]Feb midyear LFNO'!E27</f>
        <v>0</v>
      </c>
      <c r="Z30" s="290">
        <f t="shared" si="45"/>
        <v>0</v>
      </c>
      <c r="AA30" s="288">
        <f t="shared" si="46"/>
        <v>0</v>
      </c>
      <c r="AB30" s="324">
        <f t="shared" si="47"/>
        <v>0</v>
      </c>
      <c r="AC30" s="292">
        <f t="shared" si="48"/>
        <v>0</v>
      </c>
      <c r="AD30" s="324">
        <f t="shared" si="49"/>
        <v>0</v>
      </c>
      <c r="AE30" s="293">
        <v>0</v>
      </c>
      <c r="AF30" s="324">
        <f t="shared" si="50"/>
        <v>0</v>
      </c>
      <c r="AG30" s="290">
        <f>'[2]Table 5C1E-LFNO'!AI30+'[14]Table 5C1E-LFNO'!AI30+(6*'[20]Table 5C1E-LFNO'!AI30)</f>
        <v>0</v>
      </c>
      <c r="AH30" s="290">
        <f t="shared" si="51"/>
        <v>0</v>
      </c>
      <c r="AI30" s="324">
        <f t="shared" si="32"/>
        <v>0</v>
      </c>
      <c r="AJ30" s="321">
        <f t="shared" si="52"/>
        <v>0</v>
      </c>
      <c r="AK30" s="342">
        <f t="shared" si="53"/>
        <v>0</v>
      </c>
      <c r="AM30" s="286">
        <v>0</v>
      </c>
      <c r="AN30" s="286">
        <f t="shared" si="54"/>
        <v>0</v>
      </c>
      <c r="AO30" s="286">
        <f t="shared" si="33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2.1.14'!N27</f>
        <v>0</v>
      </c>
      <c r="D31" s="194">
        <f>+'Table 5C1A-Madison Prep'!D31</f>
        <v>4173.0720274945697</v>
      </c>
      <c r="E31" s="195">
        <f t="shared" si="34"/>
        <v>0</v>
      </c>
      <c r="F31" s="195">
        <f>+'Table 5C1A-Madison Prep'!F31</f>
        <v>653.73</v>
      </c>
      <c r="G31" s="195">
        <f t="shared" si="35"/>
        <v>0</v>
      </c>
      <c r="H31" s="346">
        <f t="shared" si="36"/>
        <v>0</v>
      </c>
      <c r="I31" s="992">
        <f>'[1]Oct midyear LFNO'!K28</f>
        <v>0</v>
      </c>
      <c r="J31" s="196">
        <f>'[1]Feb midyear LFNO'!K28</f>
        <v>0</v>
      </c>
      <c r="K31" s="197">
        <f t="shared" si="37"/>
        <v>0</v>
      </c>
      <c r="L31" s="346">
        <f t="shared" si="38"/>
        <v>0</v>
      </c>
      <c r="M31" s="296">
        <f t="shared" si="39"/>
        <v>0</v>
      </c>
      <c r="N31" s="346">
        <f t="shared" si="40"/>
        <v>0</v>
      </c>
      <c r="O31" s="194">
        <v>0</v>
      </c>
      <c r="P31" s="346">
        <f t="shared" si="41"/>
        <v>0</v>
      </c>
      <c r="Q31" s="541">
        <f>'[2]Table 5C1E-LFNO'!S31+'[14]Table 5C1E-LFNO'!S31+(6*'[20]Table 5C1E-LFNO'!S31)</f>
        <v>0</v>
      </c>
      <c r="R31" s="194">
        <f t="shared" si="42"/>
        <v>0</v>
      </c>
      <c r="S31" s="359">
        <f t="shared" si="30"/>
        <v>0</v>
      </c>
      <c r="T31" s="359">
        <f t="shared" si="43"/>
        <v>0</v>
      </c>
      <c r="U31" s="285">
        <f>'Table 5C1A-Madison Prep'!U31</f>
        <v>5156</v>
      </c>
      <c r="V31" s="325">
        <f t="shared" si="31"/>
        <v>0</v>
      </c>
      <c r="W31" s="996">
        <f>'[1]Oct midyear LFNO'!E28</f>
        <v>0</v>
      </c>
      <c r="X31" s="282">
        <f t="shared" si="44"/>
        <v>0</v>
      </c>
      <c r="Y31" s="884">
        <f>'[1]Feb midyear LFNO'!E28</f>
        <v>0</v>
      </c>
      <c r="Z31" s="282">
        <f t="shared" si="45"/>
        <v>0</v>
      </c>
      <c r="AA31" s="283">
        <f t="shared" si="46"/>
        <v>0</v>
      </c>
      <c r="AB31" s="325">
        <f t="shared" si="47"/>
        <v>0</v>
      </c>
      <c r="AC31" s="298">
        <f t="shared" si="48"/>
        <v>0</v>
      </c>
      <c r="AD31" s="325">
        <f t="shared" si="49"/>
        <v>0</v>
      </c>
      <c r="AE31" s="284">
        <v>0</v>
      </c>
      <c r="AF31" s="325">
        <f t="shared" si="50"/>
        <v>0</v>
      </c>
      <c r="AG31" s="282">
        <f>'[2]Table 5C1E-LFNO'!AI31+'[14]Table 5C1E-LFNO'!AI31+(6*'[20]Table 5C1E-LFNO'!AI31)</f>
        <v>0</v>
      </c>
      <c r="AH31" s="282">
        <f t="shared" si="51"/>
        <v>0</v>
      </c>
      <c r="AI31" s="325">
        <f t="shared" si="32"/>
        <v>0</v>
      </c>
      <c r="AJ31" s="338">
        <f t="shared" si="52"/>
        <v>0</v>
      </c>
      <c r="AK31" s="343">
        <f t="shared" si="53"/>
        <v>0</v>
      </c>
      <c r="AM31" s="296">
        <v>0</v>
      </c>
      <c r="AN31" s="296">
        <f t="shared" si="54"/>
        <v>0</v>
      </c>
      <c r="AO31" s="296">
        <f t="shared" si="33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2.1.14'!N28</f>
        <v>71</v>
      </c>
      <c r="D32" s="208">
        <f>+'Table 5C1A-Madison Prep'!D32</f>
        <v>3424.5649970570835</v>
      </c>
      <c r="E32" s="209">
        <f t="shared" si="34"/>
        <v>243144.11479105294</v>
      </c>
      <c r="F32" s="209">
        <f>+'Table 5C1A-Madison Prep'!F32</f>
        <v>836.83</v>
      </c>
      <c r="G32" s="209">
        <f t="shared" si="35"/>
        <v>59414.93</v>
      </c>
      <c r="H32" s="344">
        <f t="shared" si="36"/>
        <v>302559.04479105293</v>
      </c>
      <c r="I32" s="990">
        <f>'[1]Oct midyear LFNO'!K29</f>
        <v>119319.05991759835</v>
      </c>
      <c r="J32" s="210">
        <f>'[1]Feb midyear LFNO'!K29</f>
        <v>2130.6974985285419</v>
      </c>
      <c r="K32" s="211">
        <f t="shared" si="37"/>
        <v>121449.7574161269</v>
      </c>
      <c r="L32" s="344">
        <f t="shared" si="38"/>
        <v>424008.80220717983</v>
      </c>
      <c r="M32" s="273">
        <f t="shared" si="39"/>
        <v>-1060.0220055179495</v>
      </c>
      <c r="N32" s="344">
        <f t="shared" si="40"/>
        <v>422948.78020166187</v>
      </c>
      <c r="O32" s="208">
        <v>0</v>
      </c>
      <c r="P32" s="344">
        <f t="shared" si="41"/>
        <v>422948.78020166187</v>
      </c>
      <c r="Q32" s="208">
        <f>'[2]Table 5C1E-LFNO'!S32+'[14]Table 5C1E-LFNO'!S32+(6*'[20]Table 5C1E-LFNO'!S32)</f>
        <v>256229</v>
      </c>
      <c r="R32" s="208">
        <f t="shared" si="42"/>
        <v>166719.78020166187</v>
      </c>
      <c r="S32" s="344">
        <f t="shared" si="30"/>
        <v>41680</v>
      </c>
      <c r="T32" s="344">
        <f t="shared" si="43"/>
        <v>422948.78020166187</v>
      </c>
      <c r="U32" s="280">
        <f>'Table 5C1A-Madison Prep'!U32</f>
        <v>5153</v>
      </c>
      <c r="V32" s="323">
        <f t="shared" si="31"/>
        <v>365863</v>
      </c>
      <c r="W32" s="994">
        <f>'[1]Oct midyear LFNO'!E29</f>
        <v>28</v>
      </c>
      <c r="X32" s="276">
        <f t="shared" si="44"/>
        <v>144284</v>
      </c>
      <c r="Y32" s="883">
        <f>'[1]Feb midyear LFNO'!E29</f>
        <v>1</v>
      </c>
      <c r="Z32" s="276">
        <f t="shared" si="45"/>
        <v>2576.5</v>
      </c>
      <c r="AA32" s="275">
        <f t="shared" si="46"/>
        <v>146860.5</v>
      </c>
      <c r="AB32" s="323">
        <f t="shared" si="47"/>
        <v>512723.5</v>
      </c>
      <c r="AC32" s="278">
        <f t="shared" si="48"/>
        <v>-1281.8087499999999</v>
      </c>
      <c r="AD32" s="323">
        <f t="shared" si="49"/>
        <v>511441.69124999997</v>
      </c>
      <c r="AE32" s="279">
        <v>0</v>
      </c>
      <c r="AF32" s="323">
        <f t="shared" si="50"/>
        <v>511441.69124999997</v>
      </c>
      <c r="AG32" s="276">
        <f>'[2]Table 5C1E-LFNO'!AI32+'[14]Table 5C1E-LFNO'!AI32+(6*'[20]Table 5C1E-LFNO'!AI32)</f>
        <v>316271</v>
      </c>
      <c r="AH32" s="276">
        <f t="shared" si="51"/>
        <v>195170.69124999997</v>
      </c>
      <c r="AI32" s="323">
        <f t="shared" si="32"/>
        <v>48793</v>
      </c>
      <c r="AJ32" s="337">
        <f t="shared" si="52"/>
        <v>934390.47145166178</v>
      </c>
      <c r="AK32" s="341">
        <f t="shared" si="53"/>
        <v>90473</v>
      </c>
      <c r="AM32" s="273">
        <v>-933.65</v>
      </c>
      <c r="AN32" s="273">
        <f t="shared" si="54"/>
        <v>-1281.8087499999999</v>
      </c>
      <c r="AO32" s="273">
        <f t="shared" si="33"/>
        <v>-348.15874999999994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2.1.14'!N29</f>
        <v>0</v>
      </c>
      <c r="D33" s="201">
        <f>+'Table 5C1A-Madison Prep'!D33</f>
        <v>5804.9013839977006</v>
      </c>
      <c r="E33" s="202">
        <f t="shared" si="34"/>
        <v>0</v>
      </c>
      <c r="F33" s="202">
        <f>+'Table 5C1A-Madison Prep'!F33</f>
        <v>693.06</v>
      </c>
      <c r="G33" s="202">
        <f t="shared" si="35"/>
        <v>0</v>
      </c>
      <c r="H33" s="345">
        <f t="shared" si="36"/>
        <v>0</v>
      </c>
      <c r="I33" s="991">
        <f>'[1]Oct midyear LFNO'!K30</f>
        <v>0</v>
      </c>
      <c r="J33" s="203">
        <f>'[1]Feb midyear LFNO'!K30</f>
        <v>0</v>
      </c>
      <c r="K33" s="204">
        <f t="shared" si="37"/>
        <v>0</v>
      </c>
      <c r="L33" s="345">
        <f t="shared" si="38"/>
        <v>0</v>
      </c>
      <c r="M33" s="286">
        <f t="shared" si="39"/>
        <v>0</v>
      </c>
      <c r="N33" s="345">
        <f t="shared" si="40"/>
        <v>0</v>
      </c>
      <c r="O33" s="201">
        <v>0</v>
      </c>
      <c r="P33" s="345">
        <f t="shared" si="41"/>
        <v>0</v>
      </c>
      <c r="Q33" s="201">
        <f>'[2]Table 5C1E-LFNO'!S33+'[14]Table 5C1E-LFNO'!S33+(6*'[20]Table 5C1E-LFNO'!S33)</f>
        <v>0</v>
      </c>
      <c r="R33" s="201">
        <f t="shared" si="42"/>
        <v>0</v>
      </c>
      <c r="S33" s="345">
        <f t="shared" si="30"/>
        <v>0</v>
      </c>
      <c r="T33" s="345">
        <f t="shared" si="43"/>
        <v>0</v>
      </c>
      <c r="U33" s="294">
        <f>'Table 5C1A-Madison Prep'!U33</f>
        <v>3225</v>
      </c>
      <c r="V33" s="324">
        <f t="shared" si="31"/>
        <v>0</v>
      </c>
      <c r="W33" s="995">
        <f>'[1]Oct midyear LFNO'!E30</f>
        <v>0</v>
      </c>
      <c r="X33" s="290">
        <f t="shared" si="44"/>
        <v>0</v>
      </c>
      <c r="Y33" s="289">
        <f>'[1]Feb midyear LFNO'!E30</f>
        <v>0</v>
      </c>
      <c r="Z33" s="290">
        <f t="shared" si="45"/>
        <v>0</v>
      </c>
      <c r="AA33" s="288">
        <f t="shared" si="46"/>
        <v>0</v>
      </c>
      <c r="AB33" s="324">
        <f t="shared" si="47"/>
        <v>0</v>
      </c>
      <c r="AC33" s="292">
        <f t="shared" si="48"/>
        <v>0</v>
      </c>
      <c r="AD33" s="324">
        <f t="shared" si="49"/>
        <v>0</v>
      </c>
      <c r="AE33" s="293">
        <v>0</v>
      </c>
      <c r="AF33" s="324">
        <f t="shared" si="50"/>
        <v>0</v>
      </c>
      <c r="AG33" s="290">
        <f>'[2]Table 5C1E-LFNO'!AI33+'[14]Table 5C1E-LFNO'!AI33+(6*'[20]Table 5C1E-LFNO'!AI33)</f>
        <v>0</v>
      </c>
      <c r="AH33" s="290">
        <f t="shared" si="51"/>
        <v>0</v>
      </c>
      <c r="AI33" s="324">
        <f t="shared" si="32"/>
        <v>0</v>
      </c>
      <c r="AJ33" s="321">
        <f t="shared" si="52"/>
        <v>0</v>
      </c>
      <c r="AK33" s="342">
        <f t="shared" si="53"/>
        <v>0</v>
      </c>
      <c r="AM33" s="286">
        <v>0</v>
      </c>
      <c r="AN33" s="286">
        <f t="shared" si="54"/>
        <v>0</v>
      </c>
      <c r="AO33" s="286">
        <f t="shared" si="33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2.1.14'!N30</f>
        <v>0</v>
      </c>
      <c r="D34" s="201">
        <f>+'Table 5C1A-Madison Prep'!D34</f>
        <v>3137.4158846568821</v>
      </c>
      <c r="E34" s="202">
        <f t="shared" si="34"/>
        <v>0</v>
      </c>
      <c r="F34" s="202">
        <f>+'Table 5C1A-Madison Prep'!F34</f>
        <v>694.4</v>
      </c>
      <c r="G34" s="202">
        <f t="shared" si="35"/>
        <v>0</v>
      </c>
      <c r="H34" s="345">
        <f t="shared" si="36"/>
        <v>0</v>
      </c>
      <c r="I34" s="991">
        <f>'[1]Oct midyear LFNO'!K31</f>
        <v>0</v>
      </c>
      <c r="J34" s="203">
        <f>'[1]Feb midyear LFNO'!K31</f>
        <v>0</v>
      </c>
      <c r="K34" s="204">
        <f t="shared" si="37"/>
        <v>0</v>
      </c>
      <c r="L34" s="345">
        <f t="shared" si="38"/>
        <v>0</v>
      </c>
      <c r="M34" s="286">
        <f t="shared" si="39"/>
        <v>0</v>
      </c>
      <c r="N34" s="345">
        <f t="shared" si="40"/>
        <v>0</v>
      </c>
      <c r="O34" s="201">
        <v>0</v>
      </c>
      <c r="P34" s="345">
        <f t="shared" si="41"/>
        <v>0</v>
      </c>
      <c r="Q34" s="201">
        <f>'[2]Table 5C1E-LFNO'!S34+'[14]Table 5C1E-LFNO'!S34+(6*'[20]Table 5C1E-LFNO'!S34)</f>
        <v>0</v>
      </c>
      <c r="R34" s="201">
        <f t="shared" si="42"/>
        <v>0</v>
      </c>
      <c r="S34" s="345">
        <f t="shared" si="30"/>
        <v>0</v>
      </c>
      <c r="T34" s="345">
        <f t="shared" si="43"/>
        <v>0</v>
      </c>
      <c r="U34" s="294">
        <f>'Table 5C1A-Madison Prep'!U34</f>
        <v>5816</v>
      </c>
      <c r="V34" s="324">
        <f t="shared" si="31"/>
        <v>0</v>
      </c>
      <c r="W34" s="995">
        <f>'[1]Oct midyear LFNO'!E31</f>
        <v>0</v>
      </c>
      <c r="X34" s="290">
        <f t="shared" si="44"/>
        <v>0</v>
      </c>
      <c r="Y34" s="289">
        <f>'[1]Feb midyear LFNO'!E31</f>
        <v>0</v>
      </c>
      <c r="Z34" s="290">
        <f t="shared" si="45"/>
        <v>0</v>
      </c>
      <c r="AA34" s="288">
        <f t="shared" si="46"/>
        <v>0</v>
      </c>
      <c r="AB34" s="324">
        <f t="shared" si="47"/>
        <v>0</v>
      </c>
      <c r="AC34" s="292">
        <f t="shared" si="48"/>
        <v>0</v>
      </c>
      <c r="AD34" s="324">
        <f t="shared" si="49"/>
        <v>0</v>
      </c>
      <c r="AE34" s="293">
        <v>0</v>
      </c>
      <c r="AF34" s="324">
        <f t="shared" si="50"/>
        <v>0</v>
      </c>
      <c r="AG34" s="290">
        <f>'[2]Table 5C1E-LFNO'!AI34+'[14]Table 5C1E-LFNO'!AI34+(6*'[20]Table 5C1E-LFNO'!AI34)</f>
        <v>0</v>
      </c>
      <c r="AH34" s="290">
        <f t="shared" si="51"/>
        <v>0</v>
      </c>
      <c r="AI34" s="324">
        <f t="shared" si="32"/>
        <v>0</v>
      </c>
      <c r="AJ34" s="321">
        <f t="shared" si="52"/>
        <v>0</v>
      </c>
      <c r="AK34" s="342">
        <f t="shared" si="53"/>
        <v>0</v>
      </c>
      <c r="AM34" s="286">
        <v>0</v>
      </c>
      <c r="AN34" s="286">
        <f t="shared" si="54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2.1.14'!N31</f>
        <v>1</v>
      </c>
      <c r="D35" s="201">
        <f>+'Table 5C1A-Madison Prep'!D35</f>
        <v>3839.0123210173724</v>
      </c>
      <c r="E35" s="202">
        <f t="shared" si="34"/>
        <v>3839.0123210173724</v>
      </c>
      <c r="F35" s="202">
        <f>+'Table 5C1A-Madison Prep'!F35</f>
        <v>754.94999999999993</v>
      </c>
      <c r="G35" s="202">
        <f t="shared" si="35"/>
        <v>754.94999999999993</v>
      </c>
      <c r="H35" s="345">
        <f t="shared" si="36"/>
        <v>4593.9623210173722</v>
      </c>
      <c r="I35" s="991">
        <f>'[1]Oct midyear LFNO'!K32</f>
        <v>-4593.9623210173722</v>
      </c>
      <c r="J35" s="203">
        <f>'[1]Feb midyear LFNO'!K32</f>
        <v>0</v>
      </c>
      <c r="K35" s="204">
        <f t="shared" si="37"/>
        <v>-4593.9623210173722</v>
      </c>
      <c r="L35" s="345">
        <f t="shared" si="38"/>
        <v>0</v>
      </c>
      <c r="M35" s="286">
        <f t="shared" si="39"/>
        <v>0</v>
      </c>
      <c r="N35" s="345">
        <f t="shared" si="40"/>
        <v>0</v>
      </c>
      <c r="O35" s="201">
        <v>0</v>
      </c>
      <c r="P35" s="345">
        <f t="shared" si="41"/>
        <v>0</v>
      </c>
      <c r="Q35" s="201">
        <f>'[2]Table 5C1E-LFNO'!S35+'[14]Table 5C1E-LFNO'!S35+(6*'[20]Table 5C1E-LFNO'!S35)</f>
        <v>3056</v>
      </c>
      <c r="R35" s="201">
        <f t="shared" si="42"/>
        <v>-3056</v>
      </c>
      <c r="S35" s="345">
        <f t="shared" si="30"/>
        <v>-764</v>
      </c>
      <c r="T35" s="345">
        <f t="shared" si="43"/>
        <v>0</v>
      </c>
      <c r="U35" s="294">
        <f>'Table 5C1A-Madison Prep'!U35</f>
        <v>5046</v>
      </c>
      <c r="V35" s="324">
        <f t="shared" si="31"/>
        <v>5046</v>
      </c>
      <c r="W35" s="995">
        <f>'[1]Oct midyear LFNO'!E32</f>
        <v>-1</v>
      </c>
      <c r="X35" s="290">
        <f t="shared" si="44"/>
        <v>-5046</v>
      </c>
      <c r="Y35" s="289">
        <f>'[1]Feb midyear LFNO'!E32</f>
        <v>0</v>
      </c>
      <c r="Z35" s="290">
        <f t="shared" si="45"/>
        <v>0</v>
      </c>
      <c r="AA35" s="288">
        <f t="shared" si="46"/>
        <v>-5046</v>
      </c>
      <c r="AB35" s="324">
        <f t="shared" si="47"/>
        <v>0</v>
      </c>
      <c r="AC35" s="292">
        <f t="shared" si="48"/>
        <v>0</v>
      </c>
      <c r="AD35" s="324">
        <f t="shared" si="49"/>
        <v>0</v>
      </c>
      <c r="AE35" s="293">
        <v>0</v>
      </c>
      <c r="AF35" s="324">
        <f t="shared" si="50"/>
        <v>0</v>
      </c>
      <c r="AG35" s="290">
        <f>'[2]Table 5C1E-LFNO'!AI35+'[14]Table 5C1E-LFNO'!AI35+(6*'[20]Table 5C1E-LFNO'!AI35)</f>
        <v>3368</v>
      </c>
      <c r="AH35" s="290">
        <f t="shared" si="51"/>
        <v>-3368</v>
      </c>
      <c r="AI35" s="324">
        <f t="shared" si="32"/>
        <v>-842</v>
      </c>
      <c r="AJ35" s="321">
        <f t="shared" si="52"/>
        <v>0</v>
      </c>
      <c r="AK35" s="342">
        <f t="shared" si="53"/>
        <v>-1606</v>
      </c>
      <c r="AM35" s="286">
        <v>-12.672499999999999</v>
      </c>
      <c r="AN35" s="286">
        <f t="shared" si="54"/>
        <v>0</v>
      </c>
      <c r="AO35" s="286">
        <f t="shared" ref="AO35:AO75" si="55">+AN35-AM35</f>
        <v>12.672499999999999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2.1.14'!N32</f>
        <v>0</v>
      </c>
      <c r="D36" s="194">
        <f>+'Table 5C1A-Madison Prep'!D36</f>
        <v>5804.5327273996763</v>
      </c>
      <c r="E36" s="195">
        <f t="shared" si="34"/>
        <v>0</v>
      </c>
      <c r="F36" s="195">
        <f>+'Table 5C1A-Madison Prep'!F36</f>
        <v>727.17</v>
      </c>
      <c r="G36" s="195">
        <f t="shared" si="35"/>
        <v>0</v>
      </c>
      <c r="H36" s="346">
        <f t="shared" si="36"/>
        <v>0</v>
      </c>
      <c r="I36" s="992">
        <f>'[1]Oct midyear LFNO'!K33</f>
        <v>0</v>
      </c>
      <c r="J36" s="196">
        <f>'[1]Feb midyear LFNO'!K33</f>
        <v>0</v>
      </c>
      <c r="K36" s="197">
        <f t="shared" si="37"/>
        <v>0</v>
      </c>
      <c r="L36" s="346">
        <f t="shared" si="38"/>
        <v>0</v>
      </c>
      <c r="M36" s="296">
        <f t="shared" si="39"/>
        <v>0</v>
      </c>
      <c r="N36" s="346">
        <f t="shared" si="40"/>
        <v>0</v>
      </c>
      <c r="O36" s="194">
        <v>0</v>
      </c>
      <c r="P36" s="346">
        <f t="shared" si="41"/>
        <v>0</v>
      </c>
      <c r="Q36" s="541">
        <f>'[2]Table 5C1E-LFNO'!S36+'[14]Table 5C1E-LFNO'!S36+(6*'[20]Table 5C1E-LFNO'!S36)</f>
        <v>0</v>
      </c>
      <c r="R36" s="194">
        <f t="shared" si="42"/>
        <v>0</v>
      </c>
      <c r="S36" s="359">
        <f t="shared" si="30"/>
        <v>0</v>
      </c>
      <c r="T36" s="359">
        <f t="shared" si="43"/>
        <v>0</v>
      </c>
      <c r="U36" s="285">
        <f>'Table 5C1A-Madison Prep'!U36</f>
        <v>3999</v>
      </c>
      <c r="V36" s="325">
        <f t="shared" si="31"/>
        <v>0</v>
      </c>
      <c r="W36" s="996">
        <f>'[1]Oct midyear LFNO'!E33</f>
        <v>0</v>
      </c>
      <c r="X36" s="282">
        <f t="shared" si="44"/>
        <v>0</v>
      </c>
      <c r="Y36" s="884">
        <f>'[1]Feb midyear LFNO'!E33</f>
        <v>0</v>
      </c>
      <c r="Z36" s="282">
        <f t="shared" si="45"/>
        <v>0</v>
      </c>
      <c r="AA36" s="283">
        <f t="shared" si="46"/>
        <v>0</v>
      </c>
      <c r="AB36" s="325">
        <f t="shared" si="47"/>
        <v>0</v>
      </c>
      <c r="AC36" s="298">
        <f t="shared" si="48"/>
        <v>0</v>
      </c>
      <c r="AD36" s="325">
        <f t="shared" si="49"/>
        <v>0</v>
      </c>
      <c r="AE36" s="284">
        <v>0</v>
      </c>
      <c r="AF36" s="325">
        <f t="shared" si="50"/>
        <v>0</v>
      </c>
      <c r="AG36" s="282">
        <f>'[2]Table 5C1E-LFNO'!AI36+'[14]Table 5C1E-LFNO'!AI36+(6*'[20]Table 5C1E-LFNO'!AI36)</f>
        <v>0</v>
      </c>
      <c r="AH36" s="282">
        <f t="shared" si="51"/>
        <v>0</v>
      </c>
      <c r="AI36" s="325">
        <f t="shared" si="32"/>
        <v>0</v>
      </c>
      <c r="AJ36" s="338">
        <f t="shared" si="52"/>
        <v>0</v>
      </c>
      <c r="AK36" s="343">
        <f t="shared" si="53"/>
        <v>0</v>
      </c>
      <c r="AM36" s="296">
        <v>0</v>
      </c>
      <c r="AN36" s="296">
        <f t="shared" si="54"/>
        <v>0</v>
      </c>
      <c r="AO36" s="296">
        <f t="shared" si="55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2.1.14'!N33</f>
        <v>0</v>
      </c>
      <c r="D37" s="208">
        <f>+'Table 5C1A-Madison Prep'!D37</f>
        <v>4520.6176716868531</v>
      </c>
      <c r="E37" s="209">
        <f t="shared" si="34"/>
        <v>0</v>
      </c>
      <c r="F37" s="209">
        <f>+'Table 5C1A-Madison Prep'!F37</f>
        <v>620.83000000000004</v>
      </c>
      <c r="G37" s="209">
        <f t="shared" si="35"/>
        <v>0</v>
      </c>
      <c r="H37" s="344">
        <f t="shared" si="36"/>
        <v>0</v>
      </c>
      <c r="I37" s="990">
        <f>'[1]Oct midyear LFNO'!K34</f>
        <v>0</v>
      </c>
      <c r="J37" s="210">
        <f>'[1]Feb midyear LFNO'!K34</f>
        <v>0</v>
      </c>
      <c r="K37" s="211">
        <f t="shared" si="37"/>
        <v>0</v>
      </c>
      <c r="L37" s="344">
        <f t="shared" si="38"/>
        <v>0</v>
      </c>
      <c r="M37" s="273">
        <f t="shared" si="39"/>
        <v>0</v>
      </c>
      <c r="N37" s="344">
        <f t="shared" si="40"/>
        <v>0</v>
      </c>
      <c r="O37" s="208">
        <v>0</v>
      </c>
      <c r="P37" s="344">
        <f t="shared" si="41"/>
        <v>0</v>
      </c>
      <c r="Q37" s="208">
        <f>'[2]Table 5C1E-LFNO'!S37+'[14]Table 5C1E-LFNO'!S37+(6*'[20]Table 5C1E-LFNO'!S37)</f>
        <v>0</v>
      </c>
      <c r="R37" s="208">
        <f t="shared" si="42"/>
        <v>0</v>
      </c>
      <c r="S37" s="344">
        <f t="shared" si="30"/>
        <v>0</v>
      </c>
      <c r="T37" s="344">
        <f t="shared" si="43"/>
        <v>0</v>
      </c>
      <c r="U37" s="280">
        <f>'Table 5C1A-Madison Prep'!U37</f>
        <v>5028</v>
      </c>
      <c r="V37" s="323">
        <f t="shared" si="31"/>
        <v>0</v>
      </c>
      <c r="W37" s="994">
        <f>'[1]Oct midyear LFNO'!E34</f>
        <v>0</v>
      </c>
      <c r="X37" s="276">
        <f t="shared" si="44"/>
        <v>0</v>
      </c>
      <c r="Y37" s="883">
        <f>'[1]Feb midyear LFNO'!E34</f>
        <v>0</v>
      </c>
      <c r="Z37" s="276">
        <f t="shared" si="45"/>
        <v>0</v>
      </c>
      <c r="AA37" s="275">
        <f t="shared" si="46"/>
        <v>0</v>
      </c>
      <c r="AB37" s="323">
        <f t="shared" si="47"/>
        <v>0</v>
      </c>
      <c r="AC37" s="278">
        <f t="shared" si="48"/>
        <v>0</v>
      </c>
      <c r="AD37" s="323">
        <f t="shared" si="49"/>
        <v>0</v>
      </c>
      <c r="AE37" s="279">
        <v>0</v>
      </c>
      <c r="AF37" s="323">
        <f t="shared" si="50"/>
        <v>0</v>
      </c>
      <c r="AG37" s="276">
        <f>'[2]Table 5C1E-LFNO'!AI37+'[14]Table 5C1E-LFNO'!AI37+(6*'[20]Table 5C1E-LFNO'!AI37)</f>
        <v>0</v>
      </c>
      <c r="AH37" s="276">
        <f t="shared" si="51"/>
        <v>0</v>
      </c>
      <c r="AI37" s="323">
        <f t="shared" si="32"/>
        <v>0</v>
      </c>
      <c r="AJ37" s="337">
        <f t="shared" si="52"/>
        <v>0</v>
      </c>
      <c r="AK37" s="341">
        <f t="shared" si="53"/>
        <v>0</v>
      </c>
      <c r="AM37" s="273">
        <v>0</v>
      </c>
      <c r="AN37" s="273">
        <f t="shared" si="54"/>
        <v>0</v>
      </c>
      <c r="AO37" s="273">
        <f t="shared" si="55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2.1.14'!N34</f>
        <v>0</v>
      </c>
      <c r="D38" s="201">
        <f>+'Table 5C1A-Madison Prep'!D38</f>
        <v>5652.819189061127</v>
      </c>
      <c r="E38" s="202">
        <f t="shared" si="34"/>
        <v>0</v>
      </c>
      <c r="F38" s="202">
        <f>+'Table 5C1A-Madison Prep'!F38</f>
        <v>559.77</v>
      </c>
      <c r="G38" s="202">
        <f t="shared" si="35"/>
        <v>0</v>
      </c>
      <c r="H38" s="345">
        <f t="shared" si="36"/>
        <v>0</v>
      </c>
      <c r="I38" s="991">
        <f>'[1]Oct midyear LFNO'!K35</f>
        <v>0</v>
      </c>
      <c r="J38" s="203">
        <f>'[1]Feb midyear LFNO'!K35</f>
        <v>0</v>
      </c>
      <c r="K38" s="204">
        <f t="shared" si="37"/>
        <v>0</v>
      </c>
      <c r="L38" s="345">
        <f t="shared" si="38"/>
        <v>0</v>
      </c>
      <c r="M38" s="286">
        <f t="shared" si="39"/>
        <v>0</v>
      </c>
      <c r="N38" s="345">
        <f t="shared" si="40"/>
        <v>0</v>
      </c>
      <c r="O38" s="201">
        <v>0</v>
      </c>
      <c r="P38" s="345">
        <f t="shared" si="41"/>
        <v>0</v>
      </c>
      <c r="Q38" s="201">
        <f>'[2]Table 5C1E-LFNO'!S38+'[14]Table 5C1E-LFNO'!S38+(6*'[20]Table 5C1E-LFNO'!S38)</f>
        <v>0</v>
      </c>
      <c r="R38" s="201">
        <f t="shared" si="42"/>
        <v>0</v>
      </c>
      <c r="S38" s="345">
        <f t="shared" si="30"/>
        <v>0</v>
      </c>
      <c r="T38" s="345">
        <f t="shared" si="43"/>
        <v>0</v>
      </c>
      <c r="U38" s="294">
        <f>'Table 5C1A-Madison Prep'!U38</f>
        <v>2139</v>
      </c>
      <c r="V38" s="324">
        <f t="shared" si="31"/>
        <v>0</v>
      </c>
      <c r="W38" s="995">
        <f>'[1]Oct midyear LFNO'!E35</f>
        <v>0</v>
      </c>
      <c r="X38" s="290">
        <f t="shared" si="44"/>
        <v>0</v>
      </c>
      <c r="Y38" s="289">
        <f>'[1]Feb midyear LFNO'!E35</f>
        <v>0</v>
      </c>
      <c r="Z38" s="290">
        <f t="shared" si="45"/>
        <v>0</v>
      </c>
      <c r="AA38" s="288">
        <f t="shared" si="46"/>
        <v>0</v>
      </c>
      <c r="AB38" s="324">
        <f t="shared" si="47"/>
        <v>0</v>
      </c>
      <c r="AC38" s="292">
        <f t="shared" si="48"/>
        <v>0</v>
      </c>
      <c r="AD38" s="324">
        <f t="shared" si="49"/>
        <v>0</v>
      </c>
      <c r="AE38" s="293">
        <v>0</v>
      </c>
      <c r="AF38" s="324">
        <f t="shared" si="50"/>
        <v>0</v>
      </c>
      <c r="AG38" s="290">
        <f>'[2]Table 5C1E-LFNO'!AI38+'[14]Table 5C1E-LFNO'!AI38+(6*'[20]Table 5C1E-LFNO'!AI38)</f>
        <v>0</v>
      </c>
      <c r="AH38" s="290">
        <f t="shared" si="51"/>
        <v>0</v>
      </c>
      <c r="AI38" s="324">
        <f t="shared" si="32"/>
        <v>0</v>
      </c>
      <c r="AJ38" s="321">
        <f t="shared" si="52"/>
        <v>0</v>
      </c>
      <c r="AK38" s="342">
        <f t="shared" si="53"/>
        <v>0</v>
      </c>
      <c r="AM38" s="286">
        <v>0</v>
      </c>
      <c r="AN38" s="286">
        <f t="shared" si="54"/>
        <v>0</v>
      </c>
      <c r="AO38" s="286">
        <f t="shared" si="55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2.1.14'!N35</f>
        <v>0</v>
      </c>
      <c r="D39" s="201">
        <f>+'Table 5C1A-Madison Prep'!D39</f>
        <v>5456.2254558085233</v>
      </c>
      <c r="E39" s="202">
        <f t="shared" si="34"/>
        <v>0</v>
      </c>
      <c r="F39" s="202">
        <f>+'Table 5C1A-Madison Prep'!F39</f>
        <v>655.31000000000006</v>
      </c>
      <c r="G39" s="202">
        <f t="shared" si="35"/>
        <v>0</v>
      </c>
      <c r="H39" s="345">
        <f t="shared" si="36"/>
        <v>0</v>
      </c>
      <c r="I39" s="991">
        <f>'[1]Oct midyear LFNO'!K36</f>
        <v>0</v>
      </c>
      <c r="J39" s="203">
        <f>'[1]Feb midyear LFNO'!K36</f>
        <v>0</v>
      </c>
      <c r="K39" s="204">
        <f t="shared" si="37"/>
        <v>0</v>
      </c>
      <c r="L39" s="345">
        <f t="shared" ref="L39:L70" si="56">H39+K39</f>
        <v>0</v>
      </c>
      <c r="M39" s="286">
        <f t="shared" si="39"/>
        <v>0</v>
      </c>
      <c r="N39" s="345">
        <f t="shared" si="40"/>
        <v>0</v>
      </c>
      <c r="O39" s="201">
        <v>0</v>
      </c>
      <c r="P39" s="345">
        <f t="shared" si="41"/>
        <v>0</v>
      </c>
      <c r="Q39" s="201">
        <f>'[2]Table 5C1E-LFNO'!S39+'[14]Table 5C1E-LFNO'!S39+(6*'[20]Table 5C1E-LFNO'!S39)</f>
        <v>0</v>
      </c>
      <c r="R39" s="201">
        <f t="shared" si="42"/>
        <v>0</v>
      </c>
      <c r="S39" s="345">
        <f t="shared" ref="S39:S70" si="57">ROUND(R39/$S$88,0)</f>
        <v>0</v>
      </c>
      <c r="T39" s="345">
        <f t="shared" si="43"/>
        <v>0</v>
      </c>
      <c r="U39" s="294">
        <f>'Table 5C1A-Madison Prep'!U39</f>
        <v>3784</v>
      </c>
      <c r="V39" s="324">
        <f t="shared" ref="V39:V70" si="58">C39*U39</f>
        <v>0</v>
      </c>
      <c r="W39" s="995">
        <f>'[1]Oct midyear LFNO'!E36</f>
        <v>0</v>
      </c>
      <c r="X39" s="290">
        <f t="shared" si="44"/>
        <v>0</v>
      </c>
      <c r="Y39" s="289">
        <f>'[1]Feb midyear LFNO'!E36</f>
        <v>0</v>
      </c>
      <c r="Z39" s="290">
        <f t="shared" si="45"/>
        <v>0</v>
      </c>
      <c r="AA39" s="288">
        <f t="shared" si="46"/>
        <v>0</v>
      </c>
      <c r="AB39" s="324">
        <f t="shared" si="47"/>
        <v>0</v>
      </c>
      <c r="AC39" s="292">
        <f t="shared" si="48"/>
        <v>0</v>
      </c>
      <c r="AD39" s="324">
        <f t="shared" si="49"/>
        <v>0</v>
      </c>
      <c r="AE39" s="293">
        <v>0</v>
      </c>
      <c r="AF39" s="324">
        <f t="shared" si="50"/>
        <v>0</v>
      </c>
      <c r="AG39" s="290">
        <f>'[2]Table 5C1E-LFNO'!AI39+'[14]Table 5C1E-LFNO'!AI39+(6*'[20]Table 5C1E-LFNO'!AI39)</f>
        <v>0</v>
      </c>
      <c r="AH39" s="290">
        <f t="shared" si="51"/>
        <v>0</v>
      </c>
      <c r="AI39" s="324">
        <f t="shared" ref="AI39:AI70" si="59">ROUND(AH39/$AI$88,0)</f>
        <v>0</v>
      </c>
      <c r="AJ39" s="321">
        <f t="shared" si="52"/>
        <v>0</v>
      </c>
      <c r="AK39" s="342">
        <f t="shared" ref="AK39:AK75" si="60">S39+AI39</f>
        <v>0</v>
      </c>
      <c r="AM39" s="286">
        <v>0</v>
      </c>
      <c r="AN39" s="286">
        <f t="shared" si="54"/>
        <v>0</v>
      </c>
      <c r="AO39" s="286">
        <f t="shared" si="55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2.1.14'!N36</f>
        <v>0</v>
      </c>
      <c r="D40" s="201">
        <f>+'Table 5C1A-Madison Prep'!D40</f>
        <v>6292.0976842789005</v>
      </c>
      <c r="E40" s="202">
        <f t="shared" si="34"/>
        <v>0</v>
      </c>
      <c r="F40" s="202">
        <f>+'Table 5C1A-Madison Prep'!F40</f>
        <v>644.11000000000013</v>
      </c>
      <c r="G40" s="202">
        <f t="shared" si="35"/>
        <v>0</v>
      </c>
      <c r="H40" s="345">
        <f t="shared" si="36"/>
        <v>0</v>
      </c>
      <c r="I40" s="991">
        <f>'[1]Oct midyear LFNO'!K37</f>
        <v>0</v>
      </c>
      <c r="J40" s="203">
        <f>'[1]Feb midyear LFNO'!K37</f>
        <v>0</v>
      </c>
      <c r="K40" s="204">
        <f t="shared" si="37"/>
        <v>0</v>
      </c>
      <c r="L40" s="345">
        <f t="shared" si="56"/>
        <v>0</v>
      </c>
      <c r="M40" s="286">
        <f t="shared" si="39"/>
        <v>0</v>
      </c>
      <c r="N40" s="345">
        <f t="shared" si="40"/>
        <v>0</v>
      </c>
      <c r="O40" s="201">
        <v>0</v>
      </c>
      <c r="P40" s="345">
        <f t="shared" si="41"/>
        <v>0</v>
      </c>
      <c r="Q40" s="201">
        <f>'[2]Table 5C1E-LFNO'!S40+'[14]Table 5C1E-LFNO'!S40+(6*'[20]Table 5C1E-LFNO'!S40)</f>
        <v>0</v>
      </c>
      <c r="R40" s="201">
        <f t="shared" si="42"/>
        <v>0</v>
      </c>
      <c r="S40" s="345">
        <f t="shared" si="57"/>
        <v>0</v>
      </c>
      <c r="T40" s="345">
        <f t="shared" si="43"/>
        <v>0</v>
      </c>
      <c r="U40" s="294">
        <f>'Table 5C1A-Madison Prep'!U40</f>
        <v>2911</v>
      </c>
      <c r="V40" s="324">
        <f t="shared" si="58"/>
        <v>0</v>
      </c>
      <c r="W40" s="995">
        <f>'[1]Oct midyear LFNO'!E37</f>
        <v>0</v>
      </c>
      <c r="X40" s="290">
        <f t="shared" si="44"/>
        <v>0</v>
      </c>
      <c r="Y40" s="289">
        <f>'[1]Feb midyear LFNO'!E37</f>
        <v>0</v>
      </c>
      <c r="Z40" s="290">
        <f t="shared" si="45"/>
        <v>0</v>
      </c>
      <c r="AA40" s="288">
        <f t="shared" si="46"/>
        <v>0</v>
      </c>
      <c r="AB40" s="324">
        <f t="shared" si="47"/>
        <v>0</v>
      </c>
      <c r="AC40" s="292">
        <f t="shared" si="48"/>
        <v>0</v>
      </c>
      <c r="AD40" s="324">
        <f t="shared" si="49"/>
        <v>0</v>
      </c>
      <c r="AE40" s="293">
        <v>0</v>
      </c>
      <c r="AF40" s="324">
        <f t="shared" si="50"/>
        <v>0</v>
      </c>
      <c r="AG40" s="290">
        <f>'[2]Table 5C1E-LFNO'!AI40+'[14]Table 5C1E-LFNO'!AI40+(6*'[20]Table 5C1E-LFNO'!AI40)</f>
        <v>0</v>
      </c>
      <c r="AH40" s="290">
        <f t="shared" si="51"/>
        <v>0</v>
      </c>
      <c r="AI40" s="324">
        <f t="shared" si="59"/>
        <v>0</v>
      </c>
      <c r="AJ40" s="321">
        <f t="shared" si="52"/>
        <v>0</v>
      </c>
      <c r="AK40" s="342">
        <f t="shared" si="60"/>
        <v>0</v>
      </c>
      <c r="AM40" s="286">
        <v>0</v>
      </c>
      <c r="AN40" s="286">
        <f t="shared" si="54"/>
        <v>0</v>
      </c>
      <c r="AO40" s="286">
        <f t="shared" si="55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2.1.14'!N37</f>
        <v>0</v>
      </c>
      <c r="D41" s="194">
        <f>+'Table 5C1A-Madison Prep'!D41</f>
        <v>5166.2482060477605</v>
      </c>
      <c r="E41" s="195">
        <f t="shared" si="34"/>
        <v>0</v>
      </c>
      <c r="F41" s="195">
        <f>+'Table 5C1A-Madison Prep'!F41</f>
        <v>537.96</v>
      </c>
      <c r="G41" s="195">
        <f t="shared" si="35"/>
        <v>0</v>
      </c>
      <c r="H41" s="346">
        <f t="shared" si="36"/>
        <v>0</v>
      </c>
      <c r="I41" s="992">
        <f>'[1]Oct midyear LFNO'!K38</f>
        <v>0</v>
      </c>
      <c r="J41" s="196">
        <f>'[1]Feb midyear LFNO'!K38</f>
        <v>0</v>
      </c>
      <c r="K41" s="197">
        <f t="shared" si="37"/>
        <v>0</v>
      </c>
      <c r="L41" s="346">
        <f t="shared" si="56"/>
        <v>0</v>
      </c>
      <c r="M41" s="296">
        <f t="shared" si="39"/>
        <v>0</v>
      </c>
      <c r="N41" s="346">
        <f t="shared" si="40"/>
        <v>0</v>
      </c>
      <c r="O41" s="194">
        <v>0</v>
      </c>
      <c r="P41" s="346">
        <f t="shared" si="41"/>
        <v>0</v>
      </c>
      <c r="Q41" s="541">
        <f>'[2]Table 5C1E-LFNO'!S41+'[14]Table 5C1E-LFNO'!S41+(6*'[20]Table 5C1E-LFNO'!S41)</f>
        <v>0</v>
      </c>
      <c r="R41" s="194">
        <f t="shared" si="42"/>
        <v>0</v>
      </c>
      <c r="S41" s="359">
        <f t="shared" si="57"/>
        <v>0</v>
      </c>
      <c r="T41" s="359">
        <f t="shared" si="43"/>
        <v>0</v>
      </c>
      <c r="U41" s="285">
        <f>'Table 5C1A-Madison Prep'!U41</f>
        <v>3337</v>
      </c>
      <c r="V41" s="325">
        <f t="shared" si="58"/>
        <v>0</v>
      </c>
      <c r="W41" s="996">
        <f>'[1]Oct midyear LFNO'!E38</f>
        <v>0</v>
      </c>
      <c r="X41" s="282">
        <f t="shared" si="44"/>
        <v>0</v>
      </c>
      <c r="Y41" s="884">
        <f>'[1]Feb midyear LFNO'!E38</f>
        <v>0</v>
      </c>
      <c r="Z41" s="282">
        <f t="shared" si="45"/>
        <v>0</v>
      </c>
      <c r="AA41" s="283">
        <f t="shared" si="46"/>
        <v>0</v>
      </c>
      <c r="AB41" s="325">
        <f t="shared" si="47"/>
        <v>0</v>
      </c>
      <c r="AC41" s="298">
        <f t="shared" si="48"/>
        <v>0</v>
      </c>
      <c r="AD41" s="325">
        <f t="shared" si="49"/>
        <v>0</v>
      </c>
      <c r="AE41" s="284">
        <v>0</v>
      </c>
      <c r="AF41" s="325">
        <f t="shared" si="50"/>
        <v>0</v>
      </c>
      <c r="AG41" s="282">
        <f>'[2]Table 5C1E-LFNO'!AI41+'[14]Table 5C1E-LFNO'!AI41+(6*'[20]Table 5C1E-LFNO'!AI41)</f>
        <v>0</v>
      </c>
      <c r="AH41" s="282">
        <f t="shared" si="51"/>
        <v>0</v>
      </c>
      <c r="AI41" s="325">
        <f t="shared" si="59"/>
        <v>0</v>
      </c>
      <c r="AJ41" s="338">
        <f t="shared" si="52"/>
        <v>0</v>
      </c>
      <c r="AK41" s="343">
        <f t="shared" si="60"/>
        <v>0</v>
      </c>
      <c r="AM41" s="296">
        <v>0</v>
      </c>
      <c r="AN41" s="296">
        <f t="shared" si="54"/>
        <v>0</v>
      </c>
      <c r="AO41" s="296">
        <f t="shared" si="55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2.1.14'!N38</f>
        <v>225</v>
      </c>
      <c r="D42" s="208">
        <f>+'Table 5C1A-Madison Prep'!D42</f>
        <v>3602.7009974327857</v>
      </c>
      <c r="E42" s="209">
        <f t="shared" si="34"/>
        <v>810607.72442237684</v>
      </c>
      <c r="F42" s="209">
        <f>+'Table 5C1A-Madison Prep'!F42</f>
        <v>746.0335616438357</v>
      </c>
      <c r="G42" s="209">
        <f t="shared" si="35"/>
        <v>167857.55136986304</v>
      </c>
      <c r="H42" s="344">
        <f t="shared" si="36"/>
        <v>978465.27579223993</v>
      </c>
      <c r="I42" s="990">
        <f>'[1]Oct midyear LFNO'!K39</f>
        <v>391386.11031689594</v>
      </c>
      <c r="J42" s="210">
        <f>'[1]Feb midyear LFNO'!K39</f>
        <v>0</v>
      </c>
      <c r="K42" s="211">
        <f t="shared" si="37"/>
        <v>391386.11031689594</v>
      </c>
      <c r="L42" s="344">
        <f t="shared" si="56"/>
        <v>1369851.3861091358</v>
      </c>
      <c r="M42" s="273">
        <f t="shared" si="39"/>
        <v>-3424.6284652728395</v>
      </c>
      <c r="N42" s="344">
        <f t="shared" si="40"/>
        <v>1366426.7576438629</v>
      </c>
      <c r="O42" s="208">
        <v>0</v>
      </c>
      <c r="P42" s="344">
        <f t="shared" si="41"/>
        <v>1366426.7576438629</v>
      </c>
      <c r="Q42" s="208">
        <f>'[2]Table 5C1E-LFNO'!S42+'[14]Table 5C1E-LFNO'!S42+(6*'[20]Table 5C1E-LFNO'!S42)</f>
        <v>906454</v>
      </c>
      <c r="R42" s="208">
        <f t="shared" si="42"/>
        <v>459972.75764386286</v>
      </c>
      <c r="S42" s="344">
        <f t="shared" si="57"/>
        <v>114993</v>
      </c>
      <c r="T42" s="344">
        <f t="shared" si="43"/>
        <v>1366426.7576438629</v>
      </c>
      <c r="U42" s="280">
        <f>'Table 5C1A-Madison Prep'!U42</f>
        <v>5469</v>
      </c>
      <c r="V42" s="323">
        <f t="shared" si="58"/>
        <v>1230525</v>
      </c>
      <c r="W42" s="994">
        <f>'[1]Oct midyear LFNO'!E39</f>
        <v>90</v>
      </c>
      <c r="X42" s="276">
        <f t="shared" si="44"/>
        <v>492210</v>
      </c>
      <c r="Y42" s="883">
        <f>'[1]Feb midyear LFNO'!E39</f>
        <v>0</v>
      </c>
      <c r="Z42" s="276">
        <f t="shared" si="45"/>
        <v>0</v>
      </c>
      <c r="AA42" s="275">
        <f t="shared" si="46"/>
        <v>492210</v>
      </c>
      <c r="AB42" s="323">
        <f t="shared" si="47"/>
        <v>1722735</v>
      </c>
      <c r="AC42" s="278">
        <f t="shared" si="48"/>
        <v>-4306.8374999999996</v>
      </c>
      <c r="AD42" s="323">
        <f t="shared" si="49"/>
        <v>1718428.1625000001</v>
      </c>
      <c r="AE42" s="279">
        <v>0</v>
      </c>
      <c r="AF42" s="323">
        <f t="shared" si="50"/>
        <v>1718428.1625000001</v>
      </c>
      <c r="AG42" s="276">
        <f>'[2]Table 5C1E-LFNO'!AI42+'[14]Table 5C1E-LFNO'!AI42+(6*'[20]Table 5C1E-LFNO'!AI42)</f>
        <v>1132879</v>
      </c>
      <c r="AH42" s="276">
        <f t="shared" si="51"/>
        <v>585549.16250000009</v>
      </c>
      <c r="AI42" s="323">
        <f t="shared" si="59"/>
        <v>146387</v>
      </c>
      <c r="AJ42" s="337">
        <f t="shared" si="52"/>
        <v>3084854.9201438632</v>
      </c>
      <c r="AK42" s="341">
        <f t="shared" si="60"/>
        <v>261380</v>
      </c>
      <c r="AM42" s="273">
        <v>-3057.1875</v>
      </c>
      <c r="AN42" s="273">
        <f t="shared" si="54"/>
        <v>-4306.8374999999996</v>
      </c>
      <c r="AO42" s="273">
        <f t="shared" si="55"/>
        <v>-1249.6499999999996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2.1.14'!N39</f>
        <v>0</v>
      </c>
      <c r="D43" s="201">
        <f>+'Table 5C1A-Madison Prep'!D43</f>
        <v>5665.3839260317691</v>
      </c>
      <c r="E43" s="202">
        <f t="shared" si="34"/>
        <v>0</v>
      </c>
      <c r="F43" s="202">
        <f>+'Table 5C1A-Madison Prep'!F43</f>
        <v>653.61</v>
      </c>
      <c r="G43" s="202">
        <f t="shared" si="35"/>
        <v>0</v>
      </c>
      <c r="H43" s="345">
        <f t="shared" si="36"/>
        <v>0</v>
      </c>
      <c r="I43" s="991">
        <f>'[1]Oct midyear LFNO'!K40</f>
        <v>0</v>
      </c>
      <c r="J43" s="203">
        <f>'[1]Feb midyear LFNO'!K40</f>
        <v>0</v>
      </c>
      <c r="K43" s="204">
        <f t="shared" si="37"/>
        <v>0</v>
      </c>
      <c r="L43" s="345">
        <f t="shared" si="56"/>
        <v>0</v>
      </c>
      <c r="M43" s="286">
        <f t="shared" si="39"/>
        <v>0</v>
      </c>
      <c r="N43" s="345">
        <f t="shared" si="40"/>
        <v>0</v>
      </c>
      <c r="O43" s="201">
        <v>0</v>
      </c>
      <c r="P43" s="345">
        <f t="shared" si="41"/>
        <v>0</v>
      </c>
      <c r="Q43" s="201">
        <f>'[2]Table 5C1E-LFNO'!S43+'[14]Table 5C1E-LFNO'!S43+(6*'[20]Table 5C1E-LFNO'!S43)</f>
        <v>0</v>
      </c>
      <c r="R43" s="201">
        <f t="shared" si="42"/>
        <v>0</v>
      </c>
      <c r="S43" s="345">
        <f t="shared" si="57"/>
        <v>0</v>
      </c>
      <c r="T43" s="345">
        <f t="shared" si="43"/>
        <v>0</v>
      </c>
      <c r="U43" s="294">
        <f>'Table 5C1A-Madison Prep'!U43</f>
        <v>3424</v>
      </c>
      <c r="V43" s="324">
        <f t="shared" si="58"/>
        <v>0</v>
      </c>
      <c r="W43" s="995">
        <f>'[1]Oct midyear LFNO'!E40</f>
        <v>0</v>
      </c>
      <c r="X43" s="290">
        <f t="shared" si="44"/>
        <v>0</v>
      </c>
      <c r="Y43" s="289">
        <f>'[1]Feb midyear LFNO'!E40</f>
        <v>0</v>
      </c>
      <c r="Z43" s="290">
        <f t="shared" si="45"/>
        <v>0</v>
      </c>
      <c r="AA43" s="288">
        <f t="shared" si="46"/>
        <v>0</v>
      </c>
      <c r="AB43" s="324">
        <f t="shared" si="47"/>
        <v>0</v>
      </c>
      <c r="AC43" s="292">
        <f t="shared" si="48"/>
        <v>0</v>
      </c>
      <c r="AD43" s="324">
        <f t="shared" si="49"/>
        <v>0</v>
      </c>
      <c r="AE43" s="293">
        <v>0</v>
      </c>
      <c r="AF43" s="324">
        <f t="shared" si="50"/>
        <v>0</v>
      </c>
      <c r="AG43" s="290">
        <f>'[2]Table 5C1E-LFNO'!AI43+'[14]Table 5C1E-LFNO'!AI43+(6*'[20]Table 5C1E-LFNO'!AI43)</f>
        <v>0</v>
      </c>
      <c r="AH43" s="290">
        <f t="shared" si="51"/>
        <v>0</v>
      </c>
      <c r="AI43" s="324">
        <f t="shared" si="59"/>
        <v>0</v>
      </c>
      <c r="AJ43" s="321">
        <f t="shared" si="52"/>
        <v>0</v>
      </c>
      <c r="AK43" s="342">
        <f t="shared" si="60"/>
        <v>0</v>
      </c>
      <c r="AM43" s="286">
        <v>0</v>
      </c>
      <c r="AN43" s="286">
        <f t="shared" si="54"/>
        <v>0</v>
      </c>
      <c r="AO43" s="286">
        <f t="shared" si="55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2.1.14'!N40</f>
        <v>4</v>
      </c>
      <c r="D44" s="201">
        <f>+'Table 5C1A-Madison Prep'!D44</f>
        <v>2088.8017552916881</v>
      </c>
      <c r="E44" s="202">
        <f t="shared" si="34"/>
        <v>8355.2070211667524</v>
      </c>
      <c r="F44" s="202">
        <f>+'Table 5C1A-Madison Prep'!F44</f>
        <v>829.92000000000007</v>
      </c>
      <c r="G44" s="202">
        <f t="shared" si="35"/>
        <v>3319.6800000000003</v>
      </c>
      <c r="H44" s="345">
        <f t="shared" si="36"/>
        <v>11674.887021166753</v>
      </c>
      <c r="I44" s="991">
        <f>'[1]Oct midyear LFNO'!K41</f>
        <v>2918.7217552916882</v>
      </c>
      <c r="J44" s="203">
        <f>'[1]Feb midyear LFNO'!K41</f>
        <v>0</v>
      </c>
      <c r="K44" s="204">
        <f t="shared" si="37"/>
        <v>2918.7217552916882</v>
      </c>
      <c r="L44" s="345">
        <f t="shared" si="56"/>
        <v>14593.608776458441</v>
      </c>
      <c r="M44" s="286">
        <f t="shared" si="39"/>
        <v>-36.484021941146104</v>
      </c>
      <c r="N44" s="345">
        <f t="shared" si="40"/>
        <v>14557.124754517296</v>
      </c>
      <c r="O44" s="201">
        <v>0</v>
      </c>
      <c r="P44" s="345">
        <f t="shared" si="41"/>
        <v>14557.124754517296</v>
      </c>
      <c r="Q44" s="201">
        <f>'[2]Table 5C1E-LFNO'!S44+'[14]Table 5C1E-LFNO'!S44+(6*'[20]Table 5C1E-LFNO'!S44)</f>
        <v>7761</v>
      </c>
      <c r="R44" s="201">
        <f t="shared" si="42"/>
        <v>6796.1247545172955</v>
      </c>
      <c r="S44" s="345">
        <f t="shared" si="57"/>
        <v>1699</v>
      </c>
      <c r="T44" s="345">
        <f t="shared" si="43"/>
        <v>14557.124754517296</v>
      </c>
      <c r="U44" s="294">
        <f>'Table 5C1A-Madison Prep'!U44</f>
        <v>11060</v>
      </c>
      <c r="V44" s="324">
        <f t="shared" si="58"/>
        <v>44240</v>
      </c>
      <c r="W44" s="995">
        <f>'[1]Oct midyear LFNO'!E41</f>
        <v>1</v>
      </c>
      <c r="X44" s="290">
        <f t="shared" si="44"/>
        <v>11060</v>
      </c>
      <c r="Y44" s="289">
        <f>'[1]Feb midyear LFNO'!E41</f>
        <v>0</v>
      </c>
      <c r="Z44" s="290">
        <f t="shared" si="45"/>
        <v>0</v>
      </c>
      <c r="AA44" s="288">
        <f t="shared" si="46"/>
        <v>11060</v>
      </c>
      <c r="AB44" s="324">
        <f t="shared" si="47"/>
        <v>55300</v>
      </c>
      <c r="AC44" s="292">
        <f t="shared" si="48"/>
        <v>-138.25</v>
      </c>
      <c r="AD44" s="324">
        <f t="shared" si="49"/>
        <v>55161.75</v>
      </c>
      <c r="AE44" s="293">
        <v>0</v>
      </c>
      <c r="AF44" s="324">
        <f t="shared" si="50"/>
        <v>55161.75</v>
      </c>
      <c r="AG44" s="290">
        <f>'[2]Table 5C1E-LFNO'!AI44+'[14]Table 5C1E-LFNO'!AI44+(6*'[20]Table 5C1E-LFNO'!AI44)</f>
        <v>30271</v>
      </c>
      <c r="AH44" s="290">
        <f t="shared" si="51"/>
        <v>24890.75</v>
      </c>
      <c r="AI44" s="324">
        <f t="shared" si="59"/>
        <v>6223</v>
      </c>
      <c r="AJ44" s="321">
        <f t="shared" si="52"/>
        <v>69718.874754517296</v>
      </c>
      <c r="AK44" s="342">
        <f t="shared" si="60"/>
        <v>7922</v>
      </c>
      <c r="AM44" s="286">
        <v>-113.79</v>
      </c>
      <c r="AN44" s="286">
        <f t="shared" si="54"/>
        <v>-138.25</v>
      </c>
      <c r="AO44" s="286">
        <f t="shared" si="55"/>
        <v>-24.459999999999994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2.1.14'!N41</f>
        <v>0</v>
      </c>
      <c r="D45" s="201">
        <f>+'Table 5C1A-Madison Prep'!D45</f>
        <v>3656.9056809295676</v>
      </c>
      <c r="E45" s="202">
        <f t="shared" si="34"/>
        <v>0</v>
      </c>
      <c r="F45" s="202">
        <f>+'Table 5C1A-Madison Prep'!F45</f>
        <v>779.65573042776396</v>
      </c>
      <c r="G45" s="202">
        <f t="shared" si="35"/>
        <v>0</v>
      </c>
      <c r="H45" s="345">
        <f t="shared" si="36"/>
        <v>0</v>
      </c>
      <c r="I45" s="991">
        <f>'[1]Oct midyear LFNO'!K42</f>
        <v>0</v>
      </c>
      <c r="J45" s="203">
        <f>'[1]Feb midyear LFNO'!K42</f>
        <v>0</v>
      </c>
      <c r="K45" s="204">
        <f t="shared" si="37"/>
        <v>0</v>
      </c>
      <c r="L45" s="345">
        <f t="shared" si="56"/>
        <v>0</v>
      </c>
      <c r="M45" s="286">
        <f t="shared" si="39"/>
        <v>0</v>
      </c>
      <c r="N45" s="345">
        <f t="shared" si="40"/>
        <v>0</v>
      </c>
      <c r="O45" s="201">
        <v>0</v>
      </c>
      <c r="P45" s="345">
        <f t="shared" si="41"/>
        <v>0</v>
      </c>
      <c r="Q45" s="201">
        <f>'[2]Table 5C1E-LFNO'!S45+'[14]Table 5C1E-LFNO'!S45+(6*'[20]Table 5C1E-LFNO'!S45)</f>
        <v>0</v>
      </c>
      <c r="R45" s="201">
        <f t="shared" si="42"/>
        <v>0</v>
      </c>
      <c r="S45" s="345">
        <f t="shared" si="57"/>
        <v>0</v>
      </c>
      <c r="T45" s="345">
        <f t="shared" si="43"/>
        <v>0</v>
      </c>
      <c r="U45" s="294">
        <f>'Table 5C1A-Madison Prep'!U45</f>
        <v>4922</v>
      </c>
      <c r="V45" s="324">
        <f t="shared" si="58"/>
        <v>0</v>
      </c>
      <c r="W45" s="995">
        <f>'[1]Oct midyear LFNO'!E42</f>
        <v>0</v>
      </c>
      <c r="X45" s="290">
        <f t="shared" si="44"/>
        <v>0</v>
      </c>
      <c r="Y45" s="289">
        <f>'[1]Feb midyear LFNO'!E42</f>
        <v>0</v>
      </c>
      <c r="Z45" s="290">
        <f t="shared" si="45"/>
        <v>0</v>
      </c>
      <c r="AA45" s="288">
        <f t="shared" si="46"/>
        <v>0</v>
      </c>
      <c r="AB45" s="324">
        <f t="shared" si="47"/>
        <v>0</v>
      </c>
      <c r="AC45" s="292">
        <f t="shared" si="48"/>
        <v>0</v>
      </c>
      <c r="AD45" s="324">
        <f t="shared" si="49"/>
        <v>0</v>
      </c>
      <c r="AE45" s="293">
        <v>0</v>
      </c>
      <c r="AF45" s="324">
        <f t="shared" si="50"/>
        <v>0</v>
      </c>
      <c r="AG45" s="290">
        <f>'[2]Table 5C1E-LFNO'!AI45+'[14]Table 5C1E-LFNO'!AI45+(6*'[20]Table 5C1E-LFNO'!AI45)</f>
        <v>0</v>
      </c>
      <c r="AH45" s="290">
        <f t="shared" si="51"/>
        <v>0</v>
      </c>
      <c r="AI45" s="324">
        <f t="shared" si="59"/>
        <v>0</v>
      </c>
      <c r="AJ45" s="321">
        <f t="shared" si="52"/>
        <v>0</v>
      </c>
      <c r="AK45" s="342">
        <f t="shared" si="60"/>
        <v>0</v>
      </c>
      <c r="AM45" s="286">
        <v>0</v>
      </c>
      <c r="AN45" s="286">
        <f t="shared" si="54"/>
        <v>0</v>
      </c>
      <c r="AO45" s="286">
        <f t="shared" si="55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2.1.14'!N42</f>
        <v>0</v>
      </c>
      <c r="D46" s="194">
        <f>+'Table 5C1A-Madison Prep'!D46</f>
        <v>5121.8110285698403</v>
      </c>
      <c r="E46" s="195">
        <f t="shared" si="34"/>
        <v>0</v>
      </c>
      <c r="F46" s="195">
        <f>+'Table 5C1A-Madison Prep'!F46</f>
        <v>700.2700000000001</v>
      </c>
      <c r="G46" s="195">
        <f t="shared" si="35"/>
        <v>0</v>
      </c>
      <c r="H46" s="346">
        <f t="shared" si="36"/>
        <v>0</v>
      </c>
      <c r="I46" s="992">
        <f>'[1]Oct midyear LFNO'!K43</f>
        <v>0</v>
      </c>
      <c r="J46" s="196">
        <f>'[1]Feb midyear LFNO'!K43</f>
        <v>0</v>
      </c>
      <c r="K46" s="197">
        <f t="shared" si="37"/>
        <v>0</v>
      </c>
      <c r="L46" s="346">
        <f t="shared" si="56"/>
        <v>0</v>
      </c>
      <c r="M46" s="296">
        <f t="shared" si="39"/>
        <v>0</v>
      </c>
      <c r="N46" s="346">
        <f t="shared" si="40"/>
        <v>0</v>
      </c>
      <c r="O46" s="194">
        <v>0</v>
      </c>
      <c r="P46" s="346">
        <f t="shared" si="41"/>
        <v>0</v>
      </c>
      <c r="Q46" s="541">
        <f>'[2]Table 5C1E-LFNO'!S46+'[14]Table 5C1E-LFNO'!S46+(6*'[20]Table 5C1E-LFNO'!S46)</f>
        <v>0</v>
      </c>
      <c r="R46" s="194">
        <f t="shared" si="42"/>
        <v>0</v>
      </c>
      <c r="S46" s="359">
        <f t="shared" si="57"/>
        <v>0</v>
      </c>
      <c r="T46" s="359">
        <f t="shared" si="43"/>
        <v>0</v>
      </c>
      <c r="U46" s="285">
        <f>'Table 5C1A-Madison Prep'!U46</f>
        <v>3152</v>
      </c>
      <c r="V46" s="325">
        <f t="shared" si="58"/>
        <v>0</v>
      </c>
      <c r="W46" s="996">
        <f>'[1]Oct midyear LFNO'!E43</f>
        <v>0</v>
      </c>
      <c r="X46" s="282">
        <f t="shared" si="44"/>
        <v>0</v>
      </c>
      <c r="Y46" s="884">
        <f>'[1]Feb midyear LFNO'!E43</f>
        <v>0</v>
      </c>
      <c r="Z46" s="282">
        <f t="shared" si="45"/>
        <v>0</v>
      </c>
      <c r="AA46" s="283">
        <f t="shared" si="46"/>
        <v>0</v>
      </c>
      <c r="AB46" s="325">
        <f t="shared" si="47"/>
        <v>0</v>
      </c>
      <c r="AC46" s="298">
        <f t="shared" si="48"/>
        <v>0</v>
      </c>
      <c r="AD46" s="325">
        <f t="shared" si="49"/>
        <v>0</v>
      </c>
      <c r="AE46" s="284">
        <v>0</v>
      </c>
      <c r="AF46" s="325">
        <f t="shared" si="50"/>
        <v>0</v>
      </c>
      <c r="AG46" s="282">
        <f>'[2]Table 5C1E-LFNO'!AI46+'[14]Table 5C1E-LFNO'!AI46+(6*'[20]Table 5C1E-LFNO'!AI46)</f>
        <v>0</v>
      </c>
      <c r="AH46" s="282">
        <f t="shared" si="51"/>
        <v>0</v>
      </c>
      <c r="AI46" s="325">
        <f t="shared" si="59"/>
        <v>0</v>
      </c>
      <c r="AJ46" s="338">
        <f t="shared" si="52"/>
        <v>0</v>
      </c>
      <c r="AK46" s="343">
        <f t="shared" si="60"/>
        <v>0</v>
      </c>
      <c r="AM46" s="296">
        <v>0</v>
      </c>
      <c r="AN46" s="296">
        <f t="shared" si="54"/>
        <v>0</v>
      </c>
      <c r="AO46" s="296">
        <f t="shared" si="55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2.1.14'!N43</f>
        <v>0</v>
      </c>
      <c r="D47" s="208">
        <f>+'Table 5C1A-Madison Prep'!D47</f>
        <v>3291.1948574716475</v>
      </c>
      <c r="E47" s="209">
        <f t="shared" si="34"/>
        <v>0</v>
      </c>
      <c r="F47" s="209">
        <f>+'Table 5C1A-Madison Prep'!F47</f>
        <v>886.22</v>
      </c>
      <c r="G47" s="209">
        <f t="shared" si="35"/>
        <v>0</v>
      </c>
      <c r="H47" s="344">
        <f t="shared" si="36"/>
        <v>0</v>
      </c>
      <c r="I47" s="990">
        <f>'[1]Oct midyear LFNO'!K44</f>
        <v>0</v>
      </c>
      <c r="J47" s="210">
        <f>'[1]Feb midyear LFNO'!K44</f>
        <v>0</v>
      </c>
      <c r="K47" s="211">
        <f t="shared" si="37"/>
        <v>0</v>
      </c>
      <c r="L47" s="344">
        <f t="shared" si="56"/>
        <v>0</v>
      </c>
      <c r="M47" s="273">
        <f t="shared" si="39"/>
        <v>0</v>
      </c>
      <c r="N47" s="344">
        <f t="shared" si="40"/>
        <v>0</v>
      </c>
      <c r="O47" s="208">
        <v>0</v>
      </c>
      <c r="P47" s="344">
        <f t="shared" si="41"/>
        <v>0</v>
      </c>
      <c r="Q47" s="208">
        <f>'[2]Table 5C1E-LFNO'!S47+'[14]Table 5C1E-LFNO'!S47+(6*'[20]Table 5C1E-LFNO'!S47)</f>
        <v>0</v>
      </c>
      <c r="R47" s="208">
        <f t="shared" si="42"/>
        <v>0</v>
      </c>
      <c r="S47" s="344">
        <f t="shared" si="57"/>
        <v>0</v>
      </c>
      <c r="T47" s="344">
        <f t="shared" si="43"/>
        <v>0</v>
      </c>
      <c r="U47" s="280">
        <f>'Table 5C1A-Madison Prep'!U47</f>
        <v>9422</v>
      </c>
      <c r="V47" s="323">
        <f t="shared" si="58"/>
        <v>0</v>
      </c>
      <c r="W47" s="994">
        <f>'[1]Oct midyear LFNO'!E44</f>
        <v>0</v>
      </c>
      <c r="X47" s="276">
        <f t="shared" si="44"/>
        <v>0</v>
      </c>
      <c r="Y47" s="883">
        <f>'[1]Feb midyear LFNO'!E44</f>
        <v>0</v>
      </c>
      <c r="Z47" s="276">
        <f t="shared" si="45"/>
        <v>0</v>
      </c>
      <c r="AA47" s="275">
        <f t="shared" si="46"/>
        <v>0</v>
      </c>
      <c r="AB47" s="323">
        <f t="shared" si="47"/>
        <v>0</v>
      </c>
      <c r="AC47" s="278">
        <f t="shared" si="48"/>
        <v>0</v>
      </c>
      <c r="AD47" s="323">
        <f t="shared" si="49"/>
        <v>0</v>
      </c>
      <c r="AE47" s="279">
        <v>0</v>
      </c>
      <c r="AF47" s="323">
        <f t="shared" si="50"/>
        <v>0</v>
      </c>
      <c r="AG47" s="276">
        <f>'[2]Table 5C1E-LFNO'!AI47+'[14]Table 5C1E-LFNO'!AI47+(6*'[20]Table 5C1E-LFNO'!AI47)</f>
        <v>0</v>
      </c>
      <c r="AH47" s="276">
        <f t="shared" si="51"/>
        <v>0</v>
      </c>
      <c r="AI47" s="323">
        <f t="shared" si="59"/>
        <v>0</v>
      </c>
      <c r="AJ47" s="337">
        <f t="shared" si="52"/>
        <v>0</v>
      </c>
      <c r="AK47" s="341">
        <f t="shared" si="60"/>
        <v>0</v>
      </c>
      <c r="AM47" s="273">
        <v>0</v>
      </c>
      <c r="AN47" s="273">
        <f t="shared" si="54"/>
        <v>0</v>
      </c>
      <c r="AO47" s="273">
        <f t="shared" si="55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2.1.14'!N44</f>
        <v>0</v>
      </c>
      <c r="D48" s="201">
        <f>+'Table 5C1A-Madison Prep'!D48</f>
        <v>5113.6077751368684</v>
      </c>
      <c r="E48" s="202">
        <f t="shared" si="34"/>
        <v>0</v>
      </c>
      <c r="F48" s="202">
        <f>+'Table 5C1A-Madison Prep'!F48</f>
        <v>534.28</v>
      </c>
      <c r="G48" s="202">
        <f t="shared" si="35"/>
        <v>0</v>
      </c>
      <c r="H48" s="345">
        <f t="shared" si="36"/>
        <v>0</v>
      </c>
      <c r="I48" s="991">
        <f>'[1]Oct midyear LFNO'!K45</f>
        <v>0</v>
      </c>
      <c r="J48" s="203">
        <f>'[1]Feb midyear LFNO'!K45</f>
        <v>0</v>
      </c>
      <c r="K48" s="204">
        <f t="shared" si="37"/>
        <v>0</v>
      </c>
      <c r="L48" s="345">
        <f t="shared" si="56"/>
        <v>0</v>
      </c>
      <c r="M48" s="286">
        <f t="shared" si="39"/>
        <v>0</v>
      </c>
      <c r="N48" s="345">
        <f t="shared" si="40"/>
        <v>0</v>
      </c>
      <c r="O48" s="201">
        <v>0</v>
      </c>
      <c r="P48" s="345">
        <f t="shared" si="41"/>
        <v>0</v>
      </c>
      <c r="Q48" s="201">
        <f>'[2]Table 5C1E-LFNO'!S48+'[14]Table 5C1E-LFNO'!S48+(6*'[20]Table 5C1E-LFNO'!S48)</f>
        <v>0</v>
      </c>
      <c r="R48" s="201">
        <f t="shared" si="42"/>
        <v>0</v>
      </c>
      <c r="S48" s="345">
        <f t="shared" si="57"/>
        <v>0</v>
      </c>
      <c r="T48" s="345">
        <f t="shared" si="43"/>
        <v>0</v>
      </c>
      <c r="U48" s="294">
        <f>'Table 5C1A-Madison Prep'!U48</f>
        <v>3415</v>
      </c>
      <c r="V48" s="324">
        <f t="shared" si="58"/>
        <v>0</v>
      </c>
      <c r="W48" s="995">
        <f>'[1]Oct midyear LFNO'!E45</f>
        <v>0</v>
      </c>
      <c r="X48" s="290">
        <f t="shared" si="44"/>
        <v>0</v>
      </c>
      <c r="Y48" s="289">
        <f>'[1]Feb midyear LFNO'!E45</f>
        <v>0</v>
      </c>
      <c r="Z48" s="290">
        <f t="shared" si="45"/>
        <v>0</v>
      </c>
      <c r="AA48" s="288">
        <f t="shared" si="46"/>
        <v>0</v>
      </c>
      <c r="AB48" s="324">
        <f t="shared" si="47"/>
        <v>0</v>
      </c>
      <c r="AC48" s="292">
        <f t="shared" si="48"/>
        <v>0</v>
      </c>
      <c r="AD48" s="324">
        <f t="shared" si="49"/>
        <v>0</v>
      </c>
      <c r="AE48" s="293">
        <v>0</v>
      </c>
      <c r="AF48" s="324">
        <f t="shared" si="50"/>
        <v>0</v>
      </c>
      <c r="AG48" s="290">
        <f>'[2]Table 5C1E-LFNO'!AI48+'[14]Table 5C1E-LFNO'!AI48+(6*'[20]Table 5C1E-LFNO'!AI48)</f>
        <v>0</v>
      </c>
      <c r="AH48" s="290">
        <f t="shared" si="51"/>
        <v>0</v>
      </c>
      <c r="AI48" s="324">
        <f t="shared" si="59"/>
        <v>0</v>
      </c>
      <c r="AJ48" s="321">
        <f t="shared" si="52"/>
        <v>0</v>
      </c>
      <c r="AK48" s="342">
        <f t="shared" si="60"/>
        <v>0</v>
      </c>
      <c r="AM48" s="286">
        <v>0</v>
      </c>
      <c r="AN48" s="286">
        <f t="shared" si="54"/>
        <v>0</v>
      </c>
      <c r="AO48" s="286">
        <f t="shared" si="55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2.1.14'!N45</f>
        <v>0</v>
      </c>
      <c r="D49" s="201">
        <f>+'Table 5C1A-Madison Prep'!D49</f>
        <v>5788.74387205947</v>
      </c>
      <c r="E49" s="202">
        <f t="shared" si="34"/>
        <v>0</v>
      </c>
      <c r="F49" s="202">
        <f>+'Table 5C1A-Madison Prep'!F49</f>
        <v>574.6099999999999</v>
      </c>
      <c r="G49" s="202">
        <f t="shared" si="35"/>
        <v>0</v>
      </c>
      <c r="H49" s="345">
        <f t="shared" si="36"/>
        <v>0</v>
      </c>
      <c r="I49" s="991">
        <f>'[1]Oct midyear LFNO'!K46</f>
        <v>0</v>
      </c>
      <c r="J49" s="203">
        <f>'[1]Feb midyear LFNO'!K46</f>
        <v>0</v>
      </c>
      <c r="K49" s="204">
        <f t="shared" si="37"/>
        <v>0</v>
      </c>
      <c r="L49" s="345">
        <f t="shared" si="56"/>
        <v>0</v>
      </c>
      <c r="M49" s="286">
        <f t="shared" si="39"/>
        <v>0</v>
      </c>
      <c r="N49" s="345">
        <f t="shared" si="40"/>
        <v>0</v>
      </c>
      <c r="O49" s="201">
        <v>0</v>
      </c>
      <c r="P49" s="345">
        <f t="shared" si="41"/>
        <v>0</v>
      </c>
      <c r="Q49" s="201">
        <f>'[2]Table 5C1E-LFNO'!S49+'[14]Table 5C1E-LFNO'!S49+(6*'[20]Table 5C1E-LFNO'!S49)</f>
        <v>0</v>
      </c>
      <c r="R49" s="201">
        <f t="shared" si="42"/>
        <v>0</v>
      </c>
      <c r="S49" s="345">
        <f t="shared" si="57"/>
        <v>0</v>
      </c>
      <c r="T49" s="345">
        <f t="shared" si="43"/>
        <v>0</v>
      </c>
      <c r="U49" s="294">
        <f>'Table 5C1A-Madison Prep'!U49</f>
        <v>3334</v>
      </c>
      <c r="V49" s="324">
        <f t="shared" si="58"/>
        <v>0</v>
      </c>
      <c r="W49" s="995">
        <f>'[1]Oct midyear LFNO'!E46</f>
        <v>0</v>
      </c>
      <c r="X49" s="290">
        <f t="shared" si="44"/>
        <v>0</v>
      </c>
      <c r="Y49" s="289">
        <f>'[1]Feb midyear LFNO'!E46</f>
        <v>0</v>
      </c>
      <c r="Z49" s="290">
        <f t="shared" si="45"/>
        <v>0</v>
      </c>
      <c r="AA49" s="288">
        <f t="shared" si="46"/>
        <v>0</v>
      </c>
      <c r="AB49" s="324">
        <f t="shared" si="47"/>
        <v>0</v>
      </c>
      <c r="AC49" s="292">
        <f t="shared" si="48"/>
        <v>0</v>
      </c>
      <c r="AD49" s="324">
        <f t="shared" si="49"/>
        <v>0</v>
      </c>
      <c r="AE49" s="293">
        <v>0</v>
      </c>
      <c r="AF49" s="324">
        <f t="shared" si="50"/>
        <v>0</v>
      </c>
      <c r="AG49" s="290">
        <f>'[2]Table 5C1E-LFNO'!AI49+'[14]Table 5C1E-LFNO'!AI49+(6*'[20]Table 5C1E-LFNO'!AI49)</f>
        <v>0</v>
      </c>
      <c r="AH49" s="290">
        <f t="shared" si="51"/>
        <v>0</v>
      </c>
      <c r="AI49" s="324">
        <f t="shared" si="59"/>
        <v>0</v>
      </c>
      <c r="AJ49" s="321">
        <f t="shared" si="52"/>
        <v>0</v>
      </c>
      <c r="AK49" s="342">
        <f t="shared" si="60"/>
        <v>0</v>
      </c>
      <c r="AM49" s="286">
        <v>0</v>
      </c>
      <c r="AN49" s="286">
        <f t="shared" si="54"/>
        <v>0</v>
      </c>
      <c r="AO49" s="286">
        <f t="shared" si="55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2.1.14'!N46</f>
        <v>4</v>
      </c>
      <c r="D50" s="201">
        <f>+'Table 5C1A-Madison Prep'!D50</f>
        <v>4897.5958151820359</v>
      </c>
      <c r="E50" s="202">
        <f t="shared" si="34"/>
        <v>19590.383260728144</v>
      </c>
      <c r="F50" s="202">
        <f>+'Table 5C1A-Madison Prep'!F50</f>
        <v>663.16000000000008</v>
      </c>
      <c r="G50" s="202">
        <f t="shared" si="35"/>
        <v>2652.6400000000003</v>
      </c>
      <c r="H50" s="345">
        <f t="shared" si="36"/>
        <v>22243.023260728143</v>
      </c>
      <c r="I50" s="991">
        <f>'[1]Oct midyear LFNO'!K47</f>
        <v>0</v>
      </c>
      <c r="J50" s="203">
        <f>'[1]Feb midyear LFNO'!K47</f>
        <v>0</v>
      </c>
      <c r="K50" s="204">
        <f t="shared" si="37"/>
        <v>0</v>
      </c>
      <c r="L50" s="345">
        <f t="shared" si="56"/>
        <v>22243.023260728143</v>
      </c>
      <c r="M50" s="286">
        <f t="shared" si="39"/>
        <v>-55.607558151820356</v>
      </c>
      <c r="N50" s="345">
        <f t="shared" si="40"/>
        <v>22187.415702576323</v>
      </c>
      <c r="O50" s="201">
        <v>0</v>
      </c>
      <c r="P50" s="345">
        <f t="shared" si="41"/>
        <v>22187.415702576323</v>
      </c>
      <c r="Q50" s="201">
        <f>'[2]Table 5C1E-LFNO'!S50+'[14]Table 5C1E-LFNO'!S50+(6*'[20]Table 5C1E-LFNO'!S50)</f>
        <v>14792</v>
      </c>
      <c r="R50" s="201">
        <f t="shared" si="42"/>
        <v>7395.4157025763234</v>
      </c>
      <c r="S50" s="345">
        <f t="shared" si="57"/>
        <v>1849</v>
      </c>
      <c r="T50" s="345">
        <f t="shared" si="43"/>
        <v>22187.415702576323</v>
      </c>
      <c r="U50" s="294">
        <f>'Table 5C1A-Madison Prep'!U50</f>
        <v>3587</v>
      </c>
      <c r="V50" s="324">
        <f t="shared" si="58"/>
        <v>14348</v>
      </c>
      <c r="W50" s="995">
        <f>'[1]Oct midyear LFNO'!E47</f>
        <v>0</v>
      </c>
      <c r="X50" s="290">
        <f t="shared" si="44"/>
        <v>0</v>
      </c>
      <c r="Y50" s="289">
        <f>'[1]Feb midyear LFNO'!E47</f>
        <v>0</v>
      </c>
      <c r="Z50" s="290">
        <f t="shared" si="45"/>
        <v>0</v>
      </c>
      <c r="AA50" s="288">
        <f t="shared" si="46"/>
        <v>0</v>
      </c>
      <c r="AB50" s="324">
        <f t="shared" si="47"/>
        <v>14348</v>
      </c>
      <c r="AC50" s="292">
        <f t="shared" si="48"/>
        <v>-35.869999999999997</v>
      </c>
      <c r="AD50" s="324">
        <f t="shared" si="49"/>
        <v>14312.13</v>
      </c>
      <c r="AE50" s="293">
        <v>0</v>
      </c>
      <c r="AF50" s="324">
        <f t="shared" si="50"/>
        <v>14312.13</v>
      </c>
      <c r="AG50" s="290">
        <f>'[2]Table 5C1E-LFNO'!AI50+'[14]Table 5C1E-LFNO'!AI50+(6*'[20]Table 5C1E-LFNO'!AI50)</f>
        <v>9890</v>
      </c>
      <c r="AH50" s="290">
        <f t="shared" si="51"/>
        <v>4422.1299999999992</v>
      </c>
      <c r="AI50" s="324">
        <f t="shared" si="59"/>
        <v>1106</v>
      </c>
      <c r="AJ50" s="321">
        <f t="shared" si="52"/>
        <v>36499.545702576324</v>
      </c>
      <c r="AK50" s="342">
        <f t="shared" si="60"/>
        <v>2955</v>
      </c>
      <c r="AM50" s="286">
        <v>-37.19</v>
      </c>
      <c r="AN50" s="286">
        <f t="shared" si="54"/>
        <v>-35.869999999999997</v>
      </c>
      <c r="AO50" s="286">
        <f t="shared" si="55"/>
        <v>1.3200000000000003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2.1.14'!N47</f>
        <v>2</v>
      </c>
      <c r="D51" s="194">
        <f>+'Table 5C1A-Madison Prep'!D51</f>
        <v>2054.0472499469101</v>
      </c>
      <c r="E51" s="195">
        <f t="shared" si="34"/>
        <v>4108.0944998938203</v>
      </c>
      <c r="F51" s="195">
        <f>+'Table 5C1A-Madison Prep'!F51</f>
        <v>753.96000000000015</v>
      </c>
      <c r="G51" s="195">
        <f t="shared" si="35"/>
        <v>1507.9200000000003</v>
      </c>
      <c r="H51" s="346">
        <f t="shared" si="36"/>
        <v>5616.0144998938204</v>
      </c>
      <c r="I51" s="992">
        <f>'[1]Oct midyear LFNO'!K48</f>
        <v>5616.0144998938204</v>
      </c>
      <c r="J51" s="196">
        <f>'[1]Feb midyear LFNO'!K48</f>
        <v>0</v>
      </c>
      <c r="K51" s="197">
        <f t="shared" si="37"/>
        <v>5616.0144998938204</v>
      </c>
      <c r="L51" s="346">
        <f t="shared" si="56"/>
        <v>11232.028999787641</v>
      </c>
      <c r="M51" s="296">
        <f t="shared" si="39"/>
        <v>-28.080072499469104</v>
      </c>
      <c r="N51" s="346">
        <f t="shared" si="40"/>
        <v>11203.948927288171</v>
      </c>
      <c r="O51" s="194">
        <v>0</v>
      </c>
      <c r="P51" s="346">
        <f t="shared" si="41"/>
        <v>11203.948927288171</v>
      </c>
      <c r="Q51" s="541">
        <f>'[2]Table 5C1E-LFNO'!S51+'[14]Table 5C1E-LFNO'!S51+(6*'[20]Table 5C1E-LFNO'!S51)</f>
        <v>7299</v>
      </c>
      <c r="R51" s="194">
        <f t="shared" si="42"/>
        <v>3904.948927288171</v>
      </c>
      <c r="S51" s="359">
        <f t="shared" si="57"/>
        <v>976</v>
      </c>
      <c r="T51" s="359">
        <f t="shared" si="43"/>
        <v>11203.948927288171</v>
      </c>
      <c r="U51" s="285">
        <f>'Table 5C1A-Madison Prep'!U51</f>
        <v>12134</v>
      </c>
      <c r="V51" s="325">
        <f t="shared" si="58"/>
        <v>24268</v>
      </c>
      <c r="W51" s="996">
        <f>'[1]Oct midyear LFNO'!E48</f>
        <v>2</v>
      </c>
      <c r="X51" s="282">
        <f t="shared" si="44"/>
        <v>24268</v>
      </c>
      <c r="Y51" s="884">
        <f>'[1]Feb midyear LFNO'!E48</f>
        <v>0</v>
      </c>
      <c r="Z51" s="282">
        <f t="shared" si="45"/>
        <v>0</v>
      </c>
      <c r="AA51" s="283">
        <f t="shared" si="46"/>
        <v>24268</v>
      </c>
      <c r="AB51" s="325">
        <f t="shared" si="47"/>
        <v>48536</v>
      </c>
      <c r="AC51" s="298">
        <f t="shared" si="48"/>
        <v>-121.34</v>
      </c>
      <c r="AD51" s="325">
        <f t="shared" si="49"/>
        <v>48414.66</v>
      </c>
      <c r="AE51" s="284">
        <v>0</v>
      </c>
      <c r="AF51" s="325">
        <f t="shared" si="50"/>
        <v>48414.66</v>
      </c>
      <c r="AG51" s="282">
        <f>'[2]Table 5C1E-LFNO'!AI51+'[14]Table 5C1E-LFNO'!AI51+(6*'[20]Table 5C1E-LFNO'!AI51)</f>
        <v>31633</v>
      </c>
      <c r="AH51" s="282">
        <f t="shared" si="51"/>
        <v>16781.660000000003</v>
      </c>
      <c r="AI51" s="325">
        <f t="shared" si="59"/>
        <v>4195</v>
      </c>
      <c r="AJ51" s="338">
        <f t="shared" si="52"/>
        <v>59618.608927288173</v>
      </c>
      <c r="AK51" s="343">
        <f t="shared" si="60"/>
        <v>5171</v>
      </c>
      <c r="AM51" s="296">
        <v>-60.844999999999999</v>
      </c>
      <c r="AN51" s="296">
        <f t="shared" si="54"/>
        <v>-121.34</v>
      </c>
      <c r="AO51" s="296">
        <f t="shared" si="55"/>
        <v>-60.495000000000005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2.1.14'!N48</f>
        <v>0</v>
      </c>
      <c r="D52" s="208">
        <f>+'Table 5C1A-Madison Prep'!D52</f>
        <v>6051.2144468088381</v>
      </c>
      <c r="E52" s="209">
        <f t="shared" si="34"/>
        <v>0</v>
      </c>
      <c r="F52" s="209">
        <f>+'Table 5C1A-Madison Prep'!F52</f>
        <v>728.06</v>
      </c>
      <c r="G52" s="209">
        <f t="shared" si="35"/>
        <v>0</v>
      </c>
      <c r="H52" s="344">
        <f t="shared" si="36"/>
        <v>0</v>
      </c>
      <c r="I52" s="990">
        <f>'[1]Oct midyear LFNO'!K49</f>
        <v>0</v>
      </c>
      <c r="J52" s="210">
        <f>'[1]Feb midyear LFNO'!K49</f>
        <v>0</v>
      </c>
      <c r="K52" s="211">
        <f t="shared" si="37"/>
        <v>0</v>
      </c>
      <c r="L52" s="344">
        <f t="shared" si="56"/>
        <v>0</v>
      </c>
      <c r="M52" s="273">
        <f t="shared" si="39"/>
        <v>0</v>
      </c>
      <c r="N52" s="344">
        <f t="shared" si="40"/>
        <v>0</v>
      </c>
      <c r="O52" s="208">
        <v>0</v>
      </c>
      <c r="P52" s="344">
        <f t="shared" si="41"/>
        <v>0</v>
      </c>
      <c r="Q52" s="208">
        <f>'[2]Table 5C1E-LFNO'!S52+'[14]Table 5C1E-LFNO'!S52+(6*'[20]Table 5C1E-LFNO'!S52)</f>
        <v>0</v>
      </c>
      <c r="R52" s="208">
        <f t="shared" si="42"/>
        <v>0</v>
      </c>
      <c r="S52" s="344">
        <f t="shared" si="57"/>
        <v>0</v>
      </c>
      <c r="T52" s="344">
        <f t="shared" si="43"/>
        <v>0</v>
      </c>
      <c r="U52" s="280">
        <f>'Table 5C1A-Madison Prep'!U52</f>
        <v>2554</v>
      </c>
      <c r="V52" s="323">
        <f t="shared" si="58"/>
        <v>0</v>
      </c>
      <c r="W52" s="994">
        <f>'[1]Oct midyear LFNO'!E49</f>
        <v>0</v>
      </c>
      <c r="X52" s="276">
        <f t="shared" si="44"/>
        <v>0</v>
      </c>
      <c r="Y52" s="883">
        <f>'[1]Feb midyear LFNO'!E49</f>
        <v>0</v>
      </c>
      <c r="Z52" s="276">
        <f t="shared" si="45"/>
        <v>0</v>
      </c>
      <c r="AA52" s="275">
        <f t="shared" si="46"/>
        <v>0</v>
      </c>
      <c r="AB52" s="323">
        <f t="shared" si="47"/>
        <v>0</v>
      </c>
      <c r="AC52" s="278">
        <f t="shared" si="48"/>
        <v>0</v>
      </c>
      <c r="AD52" s="323">
        <f t="shared" si="49"/>
        <v>0</v>
      </c>
      <c r="AE52" s="279">
        <v>0</v>
      </c>
      <c r="AF52" s="323">
        <f t="shared" si="50"/>
        <v>0</v>
      </c>
      <c r="AG52" s="276">
        <f>'[2]Table 5C1E-LFNO'!AI52+'[14]Table 5C1E-LFNO'!AI52+(6*'[20]Table 5C1E-LFNO'!AI52)</f>
        <v>0</v>
      </c>
      <c r="AH52" s="276">
        <f t="shared" si="51"/>
        <v>0</v>
      </c>
      <c r="AI52" s="323">
        <f t="shared" si="59"/>
        <v>0</v>
      </c>
      <c r="AJ52" s="337">
        <f t="shared" si="52"/>
        <v>0</v>
      </c>
      <c r="AK52" s="341">
        <f t="shared" si="60"/>
        <v>0</v>
      </c>
      <c r="AM52" s="273">
        <v>0</v>
      </c>
      <c r="AN52" s="273">
        <f t="shared" si="54"/>
        <v>0</v>
      </c>
      <c r="AO52" s="273">
        <f t="shared" si="55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2.1.14'!N49</f>
        <v>0</v>
      </c>
      <c r="D53" s="201">
        <f>+'Table 5C1A-Madison Prep'!D53</f>
        <v>2524.1485257646736</v>
      </c>
      <c r="E53" s="202">
        <f t="shared" si="34"/>
        <v>0</v>
      </c>
      <c r="F53" s="202">
        <f>+'Table 5C1A-Madison Prep'!F53</f>
        <v>910.76</v>
      </c>
      <c r="G53" s="202">
        <f t="shared" si="35"/>
        <v>0</v>
      </c>
      <c r="H53" s="345">
        <f t="shared" si="36"/>
        <v>0</v>
      </c>
      <c r="I53" s="991">
        <f>'[1]Oct midyear LFNO'!K50</f>
        <v>0</v>
      </c>
      <c r="J53" s="203">
        <f>'[1]Feb midyear LFNO'!K50</f>
        <v>0</v>
      </c>
      <c r="K53" s="204">
        <f t="shared" si="37"/>
        <v>0</v>
      </c>
      <c r="L53" s="345">
        <f t="shared" si="56"/>
        <v>0</v>
      </c>
      <c r="M53" s="286">
        <f t="shared" si="39"/>
        <v>0</v>
      </c>
      <c r="N53" s="345">
        <f t="shared" si="40"/>
        <v>0</v>
      </c>
      <c r="O53" s="201">
        <v>0</v>
      </c>
      <c r="P53" s="345">
        <f t="shared" si="41"/>
        <v>0</v>
      </c>
      <c r="Q53" s="201">
        <f>'[2]Table 5C1E-LFNO'!S53+'[14]Table 5C1E-LFNO'!S53+(6*'[20]Table 5C1E-LFNO'!S53)</f>
        <v>0</v>
      </c>
      <c r="R53" s="201">
        <f t="shared" si="42"/>
        <v>0</v>
      </c>
      <c r="S53" s="345">
        <f t="shared" si="57"/>
        <v>0</v>
      </c>
      <c r="T53" s="345">
        <f t="shared" si="43"/>
        <v>0</v>
      </c>
      <c r="U53" s="294">
        <f>'Table 5C1A-Madison Prep'!U53</f>
        <v>11506</v>
      </c>
      <c r="V53" s="324">
        <f t="shared" si="58"/>
        <v>0</v>
      </c>
      <c r="W53" s="995">
        <f>'[1]Oct midyear LFNO'!E50</f>
        <v>0</v>
      </c>
      <c r="X53" s="290">
        <f t="shared" si="44"/>
        <v>0</v>
      </c>
      <c r="Y53" s="289">
        <f>'[1]Feb midyear LFNO'!E50</f>
        <v>0</v>
      </c>
      <c r="Z53" s="290">
        <f t="shared" si="45"/>
        <v>0</v>
      </c>
      <c r="AA53" s="288">
        <f t="shared" si="46"/>
        <v>0</v>
      </c>
      <c r="AB53" s="324">
        <f t="shared" si="47"/>
        <v>0</v>
      </c>
      <c r="AC53" s="292">
        <f t="shared" si="48"/>
        <v>0</v>
      </c>
      <c r="AD53" s="324">
        <f t="shared" si="49"/>
        <v>0</v>
      </c>
      <c r="AE53" s="293">
        <v>0</v>
      </c>
      <c r="AF53" s="324">
        <f t="shared" si="50"/>
        <v>0</v>
      </c>
      <c r="AG53" s="290">
        <f>'[2]Table 5C1E-LFNO'!AI53+'[14]Table 5C1E-LFNO'!AI53+(6*'[20]Table 5C1E-LFNO'!AI53)</f>
        <v>0</v>
      </c>
      <c r="AH53" s="290">
        <f t="shared" si="51"/>
        <v>0</v>
      </c>
      <c r="AI53" s="324">
        <f t="shared" si="59"/>
        <v>0</v>
      </c>
      <c r="AJ53" s="321">
        <f t="shared" si="52"/>
        <v>0</v>
      </c>
      <c r="AK53" s="342">
        <f t="shared" si="60"/>
        <v>0</v>
      </c>
      <c r="AM53" s="286">
        <v>0</v>
      </c>
      <c r="AN53" s="286">
        <f t="shared" si="54"/>
        <v>0</v>
      </c>
      <c r="AO53" s="286">
        <f t="shared" si="55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2.1.14'!N50</f>
        <v>0</v>
      </c>
      <c r="D54" s="201">
        <f>+'Table 5C1A-Madison Prep'!D54</f>
        <v>3983.3582529800719</v>
      </c>
      <c r="E54" s="202">
        <f t="shared" si="34"/>
        <v>0</v>
      </c>
      <c r="F54" s="202">
        <f>+'Table 5C1A-Madison Prep'!F54</f>
        <v>871.07</v>
      </c>
      <c r="G54" s="202">
        <f t="shared" si="35"/>
        <v>0</v>
      </c>
      <c r="H54" s="345">
        <f t="shared" si="36"/>
        <v>0</v>
      </c>
      <c r="I54" s="991">
        <f>'[1]Oct midyear LFNO'!K51</f>
        <v>4854.4282529800721</v>
      </c>
      <c r="J54" s="203">
        <f>'[1]Feb midyear LFNO'!K51</f>
        <v>0</v>
      </c>
      <c r="K54" s="204">
        <f t="shared" si="37"/>
        <v>4854.4282529800721</v>
      </c>
      <c r="L54" s="345">
        <f t="shared" si="56"/>
        <v>4854.4282529800721</v>
      </c>
      <c r="M54" s="286">
        <f t="shared" si="39"/>
        <v>-12.136070632450181</v>
      </c>
      <c r="N54" s="345">
        <f t="shared" si="40"/>
        <v>4842.2921823476217</v>
      </c>
      <c r="O54" s="201">
        <v>0</v>
      </c>
      <c r="P54" s="345">
        <f t="shared" si="41"/>
        <v>4842.2921823476217</v>
      </c>
      <c r="Q54" s="201">
        <f>'[2]Table 5C1E-LFNO'!S54+'[14]Table 5C1E-LFNO'!S54+(6*'[20]Table 5C1E-LFNO'!S54)</f>
        <v>3080</v>
      </c>
      <c r="R54" s="201">
        <f t="shared" si="42"/>
        <v>1762.2921823476217</v>
      </c>
      <c r="S54" s="345">
        <f t="shared" si="57"/>
        <v>441</v>
      </c>
      <c r="T54" s="345">
        <f t="shared" si="43"/>
        <v>4842.2921823476217</v>
      </c>
      <c r="U54" s="294">
        <f>'Table 5C1A-Madison Prep'!U54</f>
        <v>6827</v>
      </c>
      <c r="V54" s="324">
        <f t="shared" si="58"/>
        <v>0</v>
      </c>
      <c r="W54" s="995">
        <f>'[1]Oct midyear LFNO'!E51</f>
        <v>1</v>
      </c>
      <c r="X54" s="290">
        <f t="shared" si="44"/>
        <v>6827</v>
      </c>
      <c r="Y54" s="289">
        <f>'[1]Feb midyear LFNO'!E51</f>
        <v>0</v>
      </c>
      <c r="Z54" s="290">
        <f t="shared" si="45"/>
        <v>0</v>
      </c>
      <c r="AA54" s="288">
        <f t="shared" si="46"/>
        <v>6827</v>
      </c>
      <c r="AB54" s="324">
        <f t="shared" si="47"/>
        <v>6827</v>
      </c>
      <c r="AC54" s="292">
        <f t="shared" si="48"/>
        <v>-17.067499999999999</v>
      </c>
      <c r="AD54" s="324">
        <f t="shared" si="49"/>
        <v>6809.9324999999999</v>
      </c>
      <c r="AE54" s="293">
        <v>0</v>
      </c>
      <c r="AF54" s="324">
        <f t="shared" si="50"/>
        <v>6809.9324999999999</v>
      </c>
      <c r="AG54" s="290">
        <f>'[2]Table 5C1E-LFNO'!AI54+'[14]Table 5C1E-LFNO'!AI54+(6*'[20]Table 5C1E-LFNO'!AI54)</f>
        <v>4655</v>
      </c>
      <c r="AH54" s="290">
        <f t="shared" si="51"/>
        <v>2154.9324999999999</v>
      </c>
      <c r="AI54" s="324">
        <f t="shared" si="59"/>
        <v>539</v>
      </c>
      <c r="AJ54" s="321">
        <f t="shared" si="52"/>
        <v>11652.224682347622</v>
      </c>
      <c r="AK54" s="342">
        <f t="shared" si="60"/>
        <v>980</v>
      </c>
      <c r="AM54" s="286">
        <v>0</v>
      </c>
      <c r="AN54" s="286">
        <f t="shared" si="54"/>
        <v>-17.067499999999999</v>
      </c>
      <c r="AO54" s="286">
        <f t="shared" si="55"/>
        <v>-17.067499999999999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2.1.14'!N51</f>
        <v>0</v>
      </c>
      <c r="D55" s="201">
        <f>+'Table 5C1A-Madison Prep'!D55</f>
        <v>4995.8755315659191</v>
      </c>
      <c r="E55" s="202">
        <f t="shared" si="34"/>
        <v>0</v>
      </c>
      <c r="F55" s="202">
        <f>+'Table 5C1A-Madison Prep'!F55</f>
        <v>574.43999999999994</v>
      </c>
      <c r="G55" s="202">
        <f t="shared" si="35"/>
        <v>0</v>
      </c>
      <c r="H55" s="345">
        <f t="shared" si="36"/>
        <v>0</v>
      </c>
      <c r="I55" s="991">
        <f>'[1]Oct midyear LFNO'!K52</f>
        <v>0</v>
      </c>
      <c r="J55" s="203">
        <f>'[1]Feb midyear LFNO'!K52</f>
        <v>0</v>
      </c>
      <c r="K55" s="204">
        <f t="shared" si="37"/>
        <v>0</v>
      </c>
      <c r="L55" s="345">
        <f t="shared" si="56"/>
        <v>0</v>
      </c>
      <c r="M55" s="286">
        <f t="shared" si="39"/>
        <v>0</v>
      </c>
      <c r="N55" s="345">
        <f t="shared" si="40"/>
        <v>0</v>
      </c>
      <c r="O55" s="201">
        <v>0</v>
      </c>
      <c r="P55" s="345">
        <f t="shared" si="41"/>
        <v>0</v>
      </c>
      <c r="Q55" s="201">
        <f>'[2]Table 5C1E-LFNO'!S55+'[14]Table 5C1E-LFNO'!S55+(6*'[20]Table 5C1E-LFNO'!S55)</f>
        <v>0</v>
      </c>
      <c r="R55" s="201">
        <f t="shared" si="42"/>
        <v>0</v>
      </c>
      <c r="S55" s="345">
        <f t="shared" si="57"/>
        <v>0</v>
      </c>
      <c r="T55" s="345">
        <f t="shared" si="43"/>
        <v>0</v>
      </c>
      <c r="U55" s="294">
        <f>'Table 5C1A-Madison Prep'!U55</f>
        <v>2399</v>
      </c>
      <c r="V55" s="324">
        <f t="shared" si="58"/>
        <v>0</v>
      </c>
      <c r="W55" s="995">
        <f>'[1]Oct midyear LFNO'!E52</f>
        <v>0</v>
      </c>
      <c r="X55" s="290">
        <f t="shared" si="44"/>
        <v>0</v>
      </c>
      <c r="Y55" s="289">
        <f>'[1]Feb midyear LFNO'!E52</f>
        <v>0</v>
      </c>
      <c r="Z55" s="290">
        <f t="shared" si="45"/>
        <v>0</v>
      </c>
      <c r="AA55" s="288">
        <f t="shared" si="46"/>
        <v>0</v>
      </c>
      <c r="AB55" s="324">
        <f t="shared" si="47"/>
        <v>0</v>
      </c>
      <c r="AC55" s="292">
        <f t="shared" si="48"/>
        <v>0</v>
      </c>
      <c r="AD55" s="324">
        <f t="shared" si="49"/>
        <v>0</v>
      </c>
      <c r="AE55" s="293">
        <v>0</v>
      </c>
      <c r="AF55" s="324">
        <f t="shared" si="50"/>
        <v>0</v>
      </c>
      <c r="AG55" s="290">
        <f>'[2]Table 5C1E-LFNO'!AI55+'[14]Table 5C1E-LFNO'!AI55+(6*'[20]Table 5C1E-LFNO'!AI55)</f>
        <v>0</v>
      </c>
      <c r="AH55" s="290">
        <f t="shared" si="51"/>
        <v>0</v>
      </c>
      <c r="AI55" s="324">
        <f t="shared" si="59"/>
        <v>0</v>
      </c>
      <c r="AJ55" s="321">
        <f t="shared" si="52"/>
        <v>0</v>
      </c>
      <c r="AK55" s="342">
        <f t="shared" si="60"/>
        <v>0</v>
      </c>
      <c r="AM55" s="286">
        <v>0</v>
      </c>
      <c r="AN55" s="286">
        <f t="shared" si="54"/>
        <v>0</v>
      </c>
      <c r="AO55" s="286">
        <f t="shared" si="55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2.1.14'!N52</f>
        <v>0</v>
      </c>
      <c r="D56" s="194">
        <f>+'Table 5C1A-Madison Prep'!D56</f>
        <v>5177.6892722701677</v>
      </c>
      <c r="E56" s="195">
        <f t="shared" si="34"/>
        <v>0</v>
      </c>
      <c r="F56" s="195">
        <f>+'Table 5C1A-Madison Prep'!F56</f>
        <v>634.46</v>
      </c>
      <c r="G56" s="195">
        <f t="shared" si="35"/>
        <v>0</v>
      </c>
      <c r="H56" s="346">
        <f t="shared" si="36"/>
        <v>0</v>
      </c>
      <c r="I56" s="992">
        <f>'[1]Oct midyear LFNO'!K53</f>
        <v>0</v>
      </c>
      <c r="J56" s="196">
        <f>'[1]Feb midyear LFNO'!K53</f>
        <v>0</v>
      </c>
      <c r="K56" s="197">
        <f t="shared" si="37"/>
        <v>0</v>
      </c>
      <c r="L56" s="346">
        <f t="shared" si="56"/>
        <v>0</v>
      </c>
      <c r="M56" s="296">
        <f t="shared" si="39"/>
        <v>0</v>
      </c>
      <c r="N56" s="346">
        <f t="shared" si="40"/>
        <v>0</v>
      </c>
      <c r="O56" s="194">
        <v>0</v>
      </c>
      <c r="P56" s="346">
        <f t="shared" si="41"/>
        <v>0</v>
      </c>
      <c r="Q56" s="541">
        <f>'[2]Table 5C1E-LFNO'!S56+'[14]Table 5C1E-LFNO'!S56+(6*'[20]Table 5C1E-LFNO'!S56)</f>
        <v>0</v>
      </c>
      <c r="R56" s="194">
        <f t="shared" si="42"/>
        <v>0</v>
      </c>
      <c r="S56" s="359">
        <f t="shared" si="57"/>
        <v>0</v>
      </c>
      <c r="T56" s="359">
        <f t="shared" si="43"/>
        <v>0</v>
      </c>
      <c r="U56" s="285">
        <f>'Table 5C1A-Madison Prep'!U56</f>
        <v>3413</v>
      </c>
      <c r="V56" s="325">
        <f t="shared" si="58"/>
        <v>0</v>
      </c>
      <c r="W56" s="996">
        <f>'[1]Oct midyear LFNO'!E53</f>
        <v>0</v>
      </c>
      <c r="X56" s="282">
        <f t="shared" si="44"/>
        <v>0</v>
      </c>
      <c r="Y56" s="884">
        <f>'[1]Feb midyear LFNO'!E53</f>
        <v>0</v>
      </c>
      <c r="Z56" s="282">
        <f t="shared" si="45"/>
        <v>0</v>
      </c>
      <c r="AA56" s="283">
        <f t="shared" si="46"/>
        <v>0</v>
      </c>
      <c r="AB56" s="325">
        <f t="shared" si="47"/>
        <v>0</v>
      </c>
      <c r="AC56" s="298">
        <f t="shared" si="48"/>
        <v>0</v>
      </c>
      <c r="AD56" s="325">
        <f t="shared" si="49"/>
        <v>0</v>
      </c>
      <c r="AE56" s="284">
        <v>0</v>
      </c>
      <c r="AF56" s="325">
        <f t="shared" si="50"/>
        <v>0</v>
      </c>
      <c r="AG56" s="282">
        <f>'[2]Table 5C1E-LFNO'!AI56+'[14]Table 5C1E-LFNO'!AI56+(6*'[20]Table 5C1E-LFNO'!AI56)</f>
        <v>0</v>
      </c>
      <c r="AH56" s="282">
        <f t="shared" si="51"/>
        <v>0</v>
      </c>
      <c r="AI56" s="325">
        <f t="shared" si="59"/>
        <v>0</v>
      </c>
      <c r="AJ56" s="338">
        <f t="shared" si="52"/>
        <v>0</v>
      </c>
      <c r="AK56" s="343">
        <f t="shared" si="60"/>
        <v>0</v>
      </c>
      <c r="AM56" s="296">
        <v>0</v>
      </c>
      <c r="AN56" s="296">
        <f t="shared" si="54"/>
        <v>0</v>
      </c>
      <c r="AO56" s="296">
        <f t="shared" si="55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2.1.14'!N53</f>
        <v>0</v>
      </c>
      <c r="D57" s="208">
        <f>+'Table 5C1A-Madison Prep'!D57</f>
        <v>4154.1928602178996</v>
      </c>
      <c r="E57" s="209">
        <f t="shared" si="34"/>
        <v>0</v>
      </c>
      <c r="F57" s="209">
        <f>+'Table 5C1A-Madison Prep'!F57</f>
        <v>706.66</v>
      </c>
      <c r="G57" s="209">
        <f t="shared" si="35"/>
        <v>0</v>
      </c>
      <c r="H57" s="344">
        <f t="shared" si="36"/>
        <v>0</v>
      </c>
      <c r="I57" s="990">
        <f>'[1]Oct midyear LFNO'!K54</f>
        <v>0</v>
      </c>
      <c r="J57" s="210">
        <f>'[1]Feb midyear LFNO'!K54</f>
        <v>0</v>
      </c>
      <c r="K57" s="211">
        <f t="shared" si="37"/>
        <v>0</v>
      </c>
      <c r="L57" s="344">
        <f t="shared" si="56"/>
        <v>0</v>
      </c>
      <c r="M57" s="273">
        <f t="shared" si="39"/>
        <v>0</v>
      </c>
      <c r="N57" s="344">
        <f t="shared" si="40"/>
        <v>0</v>
      </c>
      <c r="O57" s="208">
        <v>0</v>
      </c>
      <c r="P57" s="344">
        <f t="shared" si="41"/>
        <v>0</v>
      </c>
      <c r="Q57" s="208">
        <f>'[2]Table 5C1E-LFNO'!S57+'[14]Table 5C1E-LFNO'!S57+(6*'[20]Table 5C1E-LFNO'!S57)</f>
        <v>0</v>
      </c>
      <c r="R57" s="208">
        <f t="shared" si="42"/>
        <v>0</v>
      </c>
      <c r="S57" s="344">
        <f t="shared" si="57"/>
        <v>0</v>
      </c>
      <c r="T57" s="344">
        <f t="shared" si="43"/>
        <v>0</v>
      </c>
      <c r="U57" s="280">
        <f>'Table 5C1A-Madison Prep'!U57</f>
        <v>4512</v>
      </c>
      <c r="V57" s="323">
        <f t="shared" si="58"/>
        <v>0</v>
      </c>
      <c r="W57" s="994">
        <f>'[1]Oct midyear LFNO'!E54</f>
        <v>0</v>
      </c>
      <c r="X57" s="276">
        <f t="shared" si="44"/>
        <v>0</v>
      </c>
      <c r="Y57" s="883">
        <f>'[1]Feb midyear LFNO'!E54</f>
        <v>0</v>
      </c>
      <c r="Z57" s="276">
        <f t="shared" si="45"/>
        <v>0</v>
      </c>
      <c r="AA57" s="275">
        <f t="shared" si="46"/>
        <v>0</v>
      </c>
      <c r="AB57" s="323">
        <f t="shared" si="47"/>
        <v>0</v>
      </c>
      <c r="AC57" s="278">
        <f t="shared" si="48"/>
        <v>0</v>
      </c>
      <c r="AD57" s="323">
        <f t="shared" si="49"/>
        <v>0</v>
      </c>
      <c r="AE57" s="279">
        <v>0</v>
      </c>
      <c r="AF57" s="323">
        <f t="shared" si="50"/>
        <v>0</v>
      </c>
      <c r="AG57" s="276">
        <f>'[2]Table 5C1E-LFNO'!AI57+'[14]Table 5C1E-LFNO'!AI57+(6*'[20]Table 5C1E-LFNO'!AI57)</f>
        <v>0</v>
      </c>
      <c r="AH57" s="276">
        <f t="shared" si="51"/>
        <v>0</v>
      </c>
      <c r="AI57" s="323">
        <f t="shared" si="59"/>
        <v>0</v>
      </c>
      <c r="AJ57" s="337">
        <f t="shared" si="52"/>
        <v>0</v>
      </c>
      <c r="AK57" s="341">
        <f t="shared" si="60"/>
        <v>0</v>
      </c>
      <c r="AM57" s="273">
        <v>0</v>
      </c>
      <c r="AN57" s="273">
        <f t="shared" si="54"/>
        <v>0</v>
      </c>
      <c r="AO57" s="273">
        <f t="shared" si="55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2.1.14'!N54</f>
        <v>1</v>
      </c>
      <c r="D58" s="201">
        <f>+'Table 5C1A-Madison Prep'!D58</f>
        <v>5062.2745845228173</v>
      </c>
      <c r="E58" s="202">
        <f t="shared" si="34"/>
        <v>5062.2745845228173</v>
      </c>
      <c r="F58" s="202">
        <f>+'Table 5C1A-Madison Prep'!F58</f>
        <v>658.37</v>
      </c>
      <c r="G58" s="202">
        <f t="shared" si="35"/>
        <v>658.37</v>
      </c>
      <c r="H58" s="345">
        <f t="shared" si="36"/>
        <v>5720.6445845228172</v>
      </c>
      <c r="I58" s="991">
        <f>'[1]Oct midyear LFNO'!K55</f>
        <v>0</v>
      </c>
      <c r="J58" s="203">
        <f>'[1]Feb midyear LFNO'!K55</f>
        <v>0</v>
      </c>
      <c r="K58" s="204">
        <f t="shared" si="37"/>
        <v>0</v>
      </c>
      <c r="L58" s="345">
        <f t="shared" si="56"/>
        <v>5720.6445845228172</v>
      </c>
      <c r="M58" s="286">
        <f t="shared" si="39"/>
        <v>-14.301611461307044</v>
      </c>
      <c r="N58" s="345">
        <f t="shared" si="40"/>
        <v>5706.3429730615098</v>
      </c>
      <c r="O58" s="201">
        <v>0</v>
      </c>
      <c r="P58" s="345">
        <f t="shared" si="41"/>
        <v>5706.3429730615098</v>
      </c>
      <c r="Q58" s="201">
        <f>'[2]Table 5C1E-LFNO'!S58+'[14]Table 5C1E-LFNO'!S58+(6*'[20]Table 5C1E-LFNO'!S58)</f>
        <v>7434</v>
      </c>
      <c r="R58" s="201">
        <f t="shared" si="42"/>
        <v>-1727.6570269384902</v>
      </c>
      <c r="S58" s="345">
        <f t="shared" si="57"/>
        <v>-432</v>
      </c>
      <c r="T58" s="345">
        <f t="shared" si="43"/>
        <v>5706.3429730615098</v>
      </c>
      <c r="U58" s="294">
        <f>'Table 5C1A-Madison Prep'!U58</f>
        <v>5289</v>
      </c>
      <c r="V58" s="324">
        <f t="shared" si="58"/>
        <v>5289</v>
      </c>
      <c r="W58" s="995">
        <f>'[1]Oct midyear LFNO'!E55</f>
        <v>0</v>
      </c>
      <c r="X58" s="290">
        <f t="shared" si="44"/>
        <v>0</v>
      </c>
      <c r="Y58" s="289">
        <f>'[1]Feb midyear LFNO'!E55</f>
        <v>0</v>
      </c>
      <c r="Z58" s="290">
        <f t="shared" si="45"/>
        <v>0</v>
      </c>
      <c r="AA58" s="288">
        <f t="shared" si="46"/>
        <v>0</v>
      </c>
      <c r="AB58" s="324">
        <f t="shared" si="47"/>
        <v>5289</v>
      </c>
      <c r="AC58" s="292">
        <f t="shared" si="48"/>
        <v>-13.2225</v>
      </c>
      <c r="AD58" s="324">
        <f t="shared" si="49"/>
        <v>5275.7775000000001</v>
      </c>
      <c r="AE58" s="293">
        <v>0</v>
      </c>
      <c r="AF58" s="324">
        <f t="shared" si="50"/>
        <v>5275.7775000000001</v>
      </c>
      <c r="AG58" s="290">
        <f>'[2]Table 5C1E-LFNO'!AI58+'[14]Table 5C1E-LFNO'!AI58+(6*'[20]Table 5C1E-LFNO'!AI58)</f>
        <v>6775</v>
      </c>
      <c r="AH58" s="290">
        <f t="shared" si="51"/>
        <v>-1499.2224999999999</v>
      </c>
      <c r="AI58" s="324">
        <f t="shared" si="59"/>
        <v>-375</v>
      </c>
      <c r="AJ58" s="321">
        <f t="shared" si="52"/>
        <v>10982.12047306151</v>
      </c>
      <c r="AK58" s="342">
        <f t="shared" si="60"/>
        <v>-807</v>
      </c>
      <c r="AM58" s="286">
        <v>-13.030000000000001</v>
      </c>
      <c r="AN58" s="286">
        <f t="shared" si="54"/>
        <v>-13.2225</v>
      </c>
      <c r="AO58" s="286">
        <f t="shared" si="55"/>
        <v>-0.19249999999999901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2.1.14'!N55</f>
        <v>0</v>
      </c>
      <c r="D59" s="201">
        <f>+'Table 5C1A-Madison Prep'!D59</f>
        <v>5060.1508194045482</v>
      </c>
      <c r="E59" s="202">
        <f t="shared" si="34"/>
        <v>0</v>
      </c>
      <c r="F59" s="202">
        <f>+'Table 5C1A-Madison Prep'!F59</f>
        <v>689.74</v>
      </c>
      <c r="G59" s="202">
        <f t="shared" si="35"/>
        <v>0</v>
      </c>
      <c r="H59" s="345">
        <f t="shared" si="36"/>
        <v>0</v>
      </c>
      <c r="I59" s="991">
        <f>'[1]Oct midyear LFNO'!K56</f>
        <v>0</v>
      </c>
      <c r="J59" s="203">
        <f>'[1]Feb midyear LFNO'!K56</f>
        <v>0</v>
      </c>
      <c r="K59" s="204">
        <f t="shared" si="37"/>
        <v>0</v>
      </c>
      <c r="L59" s="345">
        <f t="shared" si="56"/>
        <v>0</v>
      </c>
      <c r="M59" s="286">
        <f t="shared" si="39"/>
        <v>0</v>
      </c>
      <c r="N59" s="345">
        <f t="shared" si="40"/>
        <v>0</v>
      </c>
      <c r="O59" s="201">
        <v>0</v>
      </c>
      <c r="P59" s="345">
        <f t="shared" si="41"/>
        <v>0</v>
      </c>
      <c r="Q59" s="201">
        <f>'[2]Table 5C1E-LFNO'!S59+'[14]Table 5C1E-LFNO'!S59+(6*'[20]Table 5C1E-LFNO'!S59)</f>
        <v>0</v>
      </c>
      <c r="R59" s="201">
        <f t="shared" si="42"/>
        <v>0</v>
      </c>
      <c r="S59" s="345">
        <f t="shared" si="57"/>
        <v>0</v>
      </c>
      <c r="T59" s="345">
        <f t="shared" si="43"/>
        <v>0</v>
      </c>
      <c r="U59" s="294">
        <f>'Table 5C1A-Madison Prep'!U59</f>
        <v>2101</v>
      </c>
      <c r="V59" s="324">
        <f t="shared" si="58"/>
        <v>0</v>
      </c>
      <c r="W59" s="995">
        <f>'[1]Oct midyear LFNO'!E56</f>
        <v>0</v>
      </c>
      <c r="X59" s="290">
        <f t="shared" si="44"/>
        <v>0</v>
      </c>
      <c r="Y59" s="289">
        <f>'[1]Feb midyear LFNO'!E56</f>
        <v>0</v>
      </c>
      <c r="Z59" s="290">
        <f t="shared" si="45"/>
        <v>0</v>
      </c>
      <c r="AA59" s="288">
        <f t="shared" si="46"/>
        <v>0</v>
      </c>
      <c r="AB59" s="324">
        <f t="shared" si="47"/>
        <v>0</v>
      </c>
      <c r="AC59" s="292">
        <f t="shared" si="48"/>
        <v>0</v>
      </c>
      <c r="AD59" s="324">
        <f t="shared" si="49"/>
        <v>0</v>
      </c>
      <c r="AE59" s="293">
        <v>0</v>
      </c>
      <c r="AF59" s="324">
        <f t="shared" si="50"/>
        <v>0</v>
      </c>
      <c r="AG59" s="290">
        <f>'[2]Table 5C1E-LFNO'!AI59+'[14]Table 5C1E-LFNO'!AI59+(6*'[20]Table 5C1E-LFNO'!AI59)</f>
        <v>0</v>
      </c>
      <c r="AH59" s="290">
        <f t="shared" si="51"/>
        <v>0</v>
      </c>
      <c r="AI59" s="324">
        <f t="shared" si="59"/>
        <v>0</v>
      </c>
      <c r="AJ59" s="321">
        <f t="shared" si="52"/>
        <v>0</v>
      </c>
      <c r="AK59" s="342">
        <f t="shared" si="60"/>
        <v>0</v>
      </c>
      <c r="AM59" s="286">
        <v>0</v>
      </c>
      <c r="AN59" s="286">
        <f t="shared" si="54"/>
        <v>0</v>
      </c>
      <c r="AO59" s="286">
        <f t="shared" si="55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2.1.14'!N56</f>
        <v>0</v>
      </c>
      <c r="D60" s="201">
        <f>+'Table 5C1A-Madison Prep'!D60</f>
        <v>5867.0798370516713</v>
      </c>
      <c r="E60" s="202">
        <f t="shared" si="34"/>
        <v>0</v>
      </c>
      <c r="F60" s="202">
        <f>+'Table 5C1A-Madison Prep'!F60</f>
        <v>951.45</v>
      </c>
      <c r="G60" s="202">
        <f t="shared" si="35"/>
        <v>0</v>
      </c>
      <c r="H60" s="345">
        <f t="shared" si="36"/>
        <v>0</v>
      </c>
      <c r="I60" s="991">
        <f>'[1]Oct midyear LFNO'!K57</f>
        <v>0</v>
      </c>
      <c r="J60" s="203">
        <f>'[1]Feb midyear LFNO'!K57</f>
        <v>0</v>
      </c>
      <c r="K60" s="204">
        <f t="shared" si="37"/>
        <v>0</v>
      </c>
      <c r="L60" s="345">
        <f t="shared" si="56"/>
        <v>0</v>
      </c>
      <c r="M60" s="286">
        <f t="shared" si="39"/>
        <v>0</v>
      </c>
      <c r="N60" s="345">
        <f t="shared" si="40"/>
        <v>0</v>
      </c>
      <c r="O60" s="201">
        <v>0</v>
      </c>
      <c r="P60" s="345">
        <f t="shared" si="41"/>
        <v>0</v>
      </c>
      <c r="Q60" s="201">
        <f>'[2]Table 5C1E-LFNO'!S60+'[14]Table 5C1E-LFNO'!S60+(6*'[20]Table 5C1E-LFNO'!S60)</f>
        <v>0</v>
      </c>
      <c r="R60" s="201">
        <f t="shared" si="42"/>
        <v>0</v>
      </c>
      <c r="S60" s="345">
        <f t="shared" si="57"/>
        <v>0</v>
      </c>
      <c r="T60" s="345">
        <f t="shared" si="43"/>
        <v>0</v>
      </c>
      <c r="U60" s="294">
        <f>'Table 5C1A-Madison Prep'!U60</f>
        <v>4150</v>
      </c>
      <c r="V60" s="324">
        <f t="shared" si="58"/>
        <v>0</v>
      </c>
      <c r="W60" s="995">
        <f>'[1]Oct midyear LFNO'!E57</f>
        <v>0</v>
      </c>
      <c r="X60" s="290">
        <f t="shared" si="44"/>
        <v>0</v>
      </c>
      <c r="Y60" s="289">
        <f>'[1]Feb midyear LFNO'!E57</f>
        <v>0</v>
      </c>
      <c r="Z60" s="290">
        <f t="shared" si="45"/>
        <v>0</v>
      </c>
      <c r="AA60" s="288">
        <f t="shared" si="46"/>
        <v>0</v>
      </c>
      <c r="AB60" s="324">
        <f t="shared" si="47"/>
        <v>0</v>
      </c>
      <c r="AC60" s="292">
        <f t="shared" si="48"/>
        <v>0</v>
      </c>
      <c r="AD60" s="324">
        <f t="shared" si="49"/>
        <v>0</v>
      </c>
      <c r="AE60" s="293">
        <v>0</v>
      </c>
      <c r="AF60" s="324">
        <f t="shared" si="50"/>
        <v>0</v>
      </c>
      <c r="AG60" s="290">
        <f>'[2]Table 5C1E-LFNO'!AI60+'[14]Table 5C1E-LFNO'!AI60+(6*'[20]Table 5C1E-LFNO'!AI60)</f>
        <v>0</v>
      </c>
      <c r="AH60" s="290">
        <f t="shared" si="51"/>
        <v>0</v>
      </c>
      <c r="AI60" s="324">
        <f t="shared" si="59"/>
        <v>0</v>
      </c>
      <c r="AJ60" s="321">
        <f t="shared" si="52"/>
        <v>0</v>
      </c>
      <c r="AK60" s="342">
        <f t="shared" si="60"/>
        <v>0</v>
      </c>
      <c r="AM60" s="286">
        <v>0</v>
      </c>
      <c r="AN60" s="286">
        <f t="shared" si="54"/>
        <v>0</v>
      </c>
      <c r="AO60" s="286">
        <f t="shared" si="55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2.1.14'!N57</f>
        <v>0</v>
      </c>
      <c r="D61" s="194">
        <f>+'Table 5C1A-Madison Prep'!D61</f>
        <v>4266.8225491298481</v>
      </c>
      <c r="E61" s="195">
        <f t="shared" si="34"/>
        <v>0</v>
      </c>
      <c r="F61" s="195">
        <f>+'Table 5C1A-Madison Prep'!F61</f>
        <v>795.14</v>
      </c>
      <c r="G61" s="195">
        <f t="shared" si="35"/>
        <v>0</v>
      </c>
      <c r="H61" s="346">
        <f t="shared" si="36"/>
        <v>0</v>
      </c>
      <c r="I61" s="992">
        <f>'[1]Oct midyear LFNO'!K58</f>
        <v>0</v>
      </c>
      <c r="J61" s="196">
        <f>'[1]Feb midyear LFNO'!K58</f>
        <v>0</v>
      </c>
      <c r="K61" s="197">
        <f t="shared" si="37"/>
        <v>0</v>
      </c>
      <c r="L61" s="346">
        <f t="shared" si="56"/>
        <v>0</v>
      </c>
      <c r="M61" s="296">
        <f t="shared" si="39"/>
        <v>0</v>
      </c>
      <c r="N61" s="346">
        <f t="shared" si="40"/>
        <v>0</v>
      </c>
      <c r="O61" s="194">
        <v>0</v>
      </c>
      <c r="P61" s="346">
        <f t="shared" si="41"/>
        <v>0</v>
      </c>
      <c r="Q61" s="541">
        <f>'[2]Table 5C1E-LFNO'!S61+'[14]Table 5C1E-LFNO'!S61+(6*'[20]Table 5C1E-LFNO'!S61)</f>
        <v>0</v>
      </c>
      <c r="R61" s="194">
        <f t="shared" si="42"/>
        <v>0</v>
      </c>
      <c r="S61" s="359">
        <f t="shared" si="57"/>
        <v>0</v>
      </c>
      <c r="T61" s="359">
        <f t="shared" si="43"/>
        <v>0</v>
      </c>
      <c r="U61" s="285">
        <f>'Table 5C1A-Madison Prep'!U61</f>
        <v>3637</v>
      </c>
      <c r="V61" s="325">
        <f t="shared" si="58"/>
        <v>0</v>
      </c>
      <c r="W61" s="996">
        <f>'[1]Oct midyear LFNO'!E58</f>
        <v>0</v>
      </c>
      <c r="X61" s="282">
        <f t="shared" si="44"/>
        <v>0</v>
      </c>
      <c r="Y61" s="884">
        <f>'[1]Feb midyear LFNO'!E58</f>
        <v>0</v>
      </c>
      <c r="Z61" s="282">
        <f t="shared" si="45"/>
        <v>0</v>
      </c>
      <c r="AA61" s="283">
        <f t="shared" si="46"/>
        <v>0</v>
      </c>
      <c r="AB61" s="325">
        <f t="shared" si="47"/>
        <v>0</v>
      </c>
      <c r="AC61" s="298">
        <f t="shared" si="48"/>
        <v>0</v>
      </c>
      <c r="AD61" s="325">
        <f t="shared" si="49"/>
        <v>0</v>
      </c>
      <c r="AE61" s="284">
        <v>0</v>
      </c>
      <c r="AF61" s="325">
        <f t="shared" si="50"/>
        <v>0</v>
      </c>
      <c r="AG61" s="282">
        <f>'[2]Table 5C1E-LFNO'!AI61+'[14]Table 5C1E-LFNO'!AI61+(6*'[20]Table 5C1E-LFNO'!AI61)</f>
        <v>0</v>
      </c>
      <c r="AH61" s="282">
        <f t="shared" si="51"/>
        <v>0</v>
      </c>
      <c r="AI61" s="325">
        <f t="shared" si="59"/>
        <v>0</v>
      </c>
      <c r="AJ61" s="338">
        <f t="shared" si="52"/>
        <v>0</v>
      </c>
      <c r="AK61" s="343">
        <f t="shared" si="60"/>
        <v>0</v>
      </c>
      <c r="AM61" s="296">
        <v>0</v>
      </c>
      <c r="AN61" s="296">
        <f t="shared" si="54"/>
        <v>0</v>
      </c>
      <c r="AO61" s="296">
        <f t="shared" si="55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2.1.14'!N58</f>
        <v>0</v>
      </c>
      <c r="D62" s="208">
        <f>+'Table 5C1A-Madison Prep'!D62</f>
        <v>5028.4909408288286</v>
      </c>
      <c r="E62" s="209">
        <f t="shared" si="34"/>
        <v>0</v>
      </c>
      <c r="F62" s="209">
        <f>+'Table 5C1A-Madison Prep'!F62</f>
        <v>614.66000000000008</v>
      </c>
      <c r="G62" s="209">
        <f t="shared" si="35"/>
        <v>0</v>
      </c>
      <c r="H62" s="344">
        <f t="shared" si="36"/>
        <v>0</v>
      </c>
      <c r="I62" s="990">
        <f>'[1]Oct midyear LFNO'!K59</f>
        <v>0</v>
      </c>
      <c r="J62" s="210">
        <f>'[1]Feb midyear LFNO'!K59</f>
        <v>0</v>
      </c>
      <c r="K62" s="211">
        <f t="shared" si="37"/>
        <v>0</v>
      </c>
      <c r="L62" s="344">
        <f t="shared" si="56"/>
        <v>0</v>
      </c>
      <c r="M62" s="273">
        <f t="shared" si="39"/>
        <v>0</v>
      </c>
      <c r="N62" s="344">
        <f t="shared" si="40"/>
        <v>0</v>
      </c>
      <c r="O62" s="208">
        <v>0</v>
      </c>
      <c r="P62" s="344">
        <f t="shared" si="41"/>
        <v>0</v>
      </c>
      <c r="Q62" s="208">
        <f>'[2]Table 5C1E-LFNO'!S62+'[14]Table 5C1E-LFNO'!S62+(6*'[20]Table 5C1E-LFNO'!S62)</f>
        <v>0</v>
      </c>
      <c r="R62" s="208">
        <f t="shared" si="42"/>
        <v>0</v>
      </c>
      <c r="S62" s="344">
        <f t="shared" si="57"/>
        <v>0</v>
      </c>
      <c r="T62" s="344">
        <f t="shared" si="43"/>
        <v>0</v>
      </c>
      <c r="U62" s="280">
        <f>'Table 5C1A-Madison Prep'!U62</f>
        <v>2857</v>
      </c>
      <c r="V62" s="323">
        <f t="shared" si="58"/>
        <v>0</v>
      </c>
      <c r="W62" s="994">
        <f>'[1]Oct midyear LFNO'!E59</f>
        <v>0</v>
      </c>
      <c r="X62" s="276">
        <f t="shared" si="44"/>
        <v>0</v>
      </c>
      <c r="Y62" s="883">
        <f>'[1]Feb midyear LFNO'!E59</f>
        <v>0</v>
      </c>
      <c r="Z62" s="276">
        <f t="shared" si="45"/>
        <v>0</v>
      </c>
      <c r="AA62" s="275">
        <f t="shared" si="46"/>
        <v>0</v>
      </c>
      <c r="AB62" s="323">
        <f t="shared" si="47"/>
        <v>0</v>
      </c>
      <c r="AC62" s="278">
        <f t="shared" si="48"/>
        <v>0</v>
      </c>
      <c r="AD62" s="323">
        <f t="shared" si="49"/>
        <v>0</v>
      </c>
      <c r="AE62" s="279">
        <v>0</v>
      </c>
      <c r="AF62" s="323">
        <f t="shared" si="50"/>
        <v>0</v>
      </c>
      <c r="AG62" s="276">
        <f>'[2]Table 5C1E-LFNO'!AI62+'[14]Table 5C1E-LFNO'!AI62+(6*'[20]Table 5C1E-LFNO'!AI62)</f>
        <v>0</v>
      </c>
      <c r="AH62" s="276">
        <f t="shared" si="51"/>
        <v>0</v>
      </c>
      <c r="AI62" s="323">
        <f t="shared" si="59"/>
        <v>0</v>
      </c>
      <c r="AJ62" s="337">
        <f t="shared" si="52"/>
        <v>0</v>
      </c>
      <c r="AK62" s="341">
        <f t="shared" si="60"/>
        <v>0</v>
      </c>
      <c r="AM62" s="273">
        <v>0</v>
      </c>
      <c r="AN62" s="273">
        <f t="shared" si="54"/>
        <v>0</v>
      </c>
      <c r="AO62" s="273">
        <f t="shared" si="55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2.1.14'!N59</f>
        <v>0</v>
      </c>
      <c r="D63" s="201">
        <f>+'Table 5C1A-Madison Prep'!D63</f>
        <v>4625.9922979230687</v>
      </c>
      <c r="E63" s="202">
        <f t="shared" si="34"/>
        <v>0</v>
      </c>
      <c r="F63" s="202">
        <f>+'Table 5C1A-Madison Prep'!F63</f>
        <v>764.51</v>
      </c>
      <c r="G63" s="202">
        <f t="shared" si="35"/>
        <v>0</v>
      </c>
      <c r="H63" s="345">
        <f t="shared" si="36"/>
        <v>0</v>
      </c>
      <c r="I63" s="991">
        <f>'[1]Oct midyear LFNO'!K60</f>
        <v>0</v>
      </c>
      <c r="J63" s="203">
        <f>'[1]Feb midyear LFNO'!K60</f>
        <v>0</v>
      </c>
      <c r="K63" s="204">
        <f t="shared" si="37"/>
        <v>0</v>
      </c>
      <c r="L63" s="345">
        <f t="shared" si="56"/>
        <v>0</v>
      </c>
      <c r="M63" s="286">
        <f t="shared" si="39"/>
        <v>0</v>
      </c>
      <c r="N63" s="345">
        <f t="shared" si="40"/>
        <v>0</v>
      </c>
      <c r="O63" s="201">
        <v>0</v>
      </c>
      <c r="P63" s="345">
        <f t="shared" si="41"/>
        <v>0</v>
      </c>
      <c r="Q63" s="201">
        <f>'[2]Table 5C1E-LFNO'!S63+'[14]Table 5C1E-LFNO'!S63+(6*'[20]Table 5C1E-LFNO'!S63)</f>
        <v>0</v>
      </c>
      <c r="R63" s="201">
        <f t="shared" si="42"/>
        <v>0</v>
      </c>
      <c r="S63" s="345">
        <f t="shared" si="57"/>
        <v>0</v>
      </c>
      <c r="T63" s="345">
        <f t="shared" si="43"/>
        <v>0</v>
      </c>
      <c r="U63" s="294">
        <f>'Table 5C1A-Madison Prep'!U63</f>
        <v>3465</v>
      </c>
      <c r="V63" s="324">
        <f t="shared" si="58"/>
        <v>0</v>
      </c>
      <c r="W63" s="995">
        <f>'[1]Oct midyear LFNO'!E60</f>
        <v>0</v>
      </c>
      <c r="X63" s="290">
        <f t="shared" si="44"/>
        <v>0</v>
      </c>
      <c r="Y63" s="289">
        <f>'[1]Feb midyear LFNO'!E60</f>
        <v>0</v>
      </c>
      <c r="Z63" s="290">
        <f t="shared" si="45"/>
        <v>0</v>
      </c>
      <c r="AA63" s="288">
        <f t="shared" si="46"/>
        <v>0</v>
      </c>
      <c r="AB63" s="324">
        <f t="shared" si="47"/>
        <v>0</v>
      </c>
      <c r="AC63" s="292">
        <f t="shared" si="48"/>
        <v>0</v>
      </c>
      <c r="AD63" s="324">
        <f t="shared" si="49"/>
        <v>0</v>
      </c>
      <c r="AE63" s="293">
        <v>0</v>
      </c>
      <c r="AF63" s="324">
        <f t="shared" si="50"/>
        <v>0</v>
      </c>
      <c r="AG63" s="290">
        <f>'[2]Table 5C1E-LFNO'!AI63+'[14]Table 5C1E-LFNO'!AI63+(6*'[20]Table 5C1E-LFNO'!AI63)</f>
        <v>0</v>
      </c>
      <c r="AH63" s="290">
        <f t="shared" si="51"/>
        <v>0</v>
      </c>
      <c r="AI63" s="324">
        <f t="shared" si="59"/>
        <v>0</v>
      </c>
      <c r="AJ63" s="321">
        <f t="shared" si="52"/>
        <v>0</v>
      </c>
      <c r="AK63" s="342">
        <f t="shared" si="60"/>
        <v>0</v>
      </c>
      <c r="AM63" s="286">
        <v>0</v>
      </c>
      <c r="AN63" s="286">
        <f t="shared" si="54"/>
        <v>0</v>
      </c>
      <c r="AO63" s="286">
        <f t="shared" si="55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2.1.14'!N60</f>
        <v>0</v>
      </c>
      <c r="D64" s="201">
        <f>+'Table 5C1A-Madison Prep'!D64</f>
        <v>5673.1129637882123</v>
      </c>
      <c r="E64" s="202">
        <f t="shared" si="34"/>
        <v>0</v>
      </c>
      <c r="F64" s="202">
        <f>+'Table 5C1A-Madison Prep'!F64</f>
        <v>697.04</v>
      </c>
      <c r="G64" s="202">
        <f t="shared" si="35"/>
        <v>0</v>
      </c>
      <c r="H64" s="345">
        <f t="shared" si="36"/>
        <v>0</v>
      </c>
      <c r="I64" s="991">
        <f>'[1]Oct midyear LFNO'!K61</f>
        <v>0</v>
      </c>
      <c r="J64" s="203">
        <f>'[1]Feb midyear LFNO'!K61</f>
        <v>0</v>
      </c>
      <c r="K64" s="204">
        <f t="shared" si="37"/>
        <v>0</v>
      </c>
      <c r="L64" s="345">
        <f t="shared" si="56"/>
        <v>0</v>
      </c>
      <c r="M64" s="286">
        <f t="shared" si="39"/>
        <v>0</v>
      </c>
      <c r="N64" s="345">
        <f t="shared" si="40"/>
        <v>0</v>
      </c>
      <c r="O64" s="201">
        <v>0</v>
      </c>
      <c r="P64" s="345">
        <f t="shared" si="41"/>
        <v>0</v>
      </c>
      <c r="Q64" s="201">
        <f>'[2]Table 5C1E-LFNO'!S64+'[14]Table 5C1E-LFNO'!S64+(6*'[20]Table 5C1E-LFNO'!S64)</f>
        <v>0</v>
      </c>
      <c r="R64" s="201">
        <f t="shared" si="42"/>
        <v>0</v>
      </c>
      <c r="S64" s="345">
        <f t="shared" si="57"/>
        <v>0</v>
      </c>
      <c r="T64" s="345">
        <f t="shared" si="43"/>
        <v>0</v>
      </c>
      <c r="U64" s="294">
        <f>'Table 5C1A-Madison Prep'!U64</f>
        <v>2167</v>
      </c>
      <c r="V64" s="324">
        <f t="shared" si="58"/>
        <v>0</v>
      </c>
      <c r="W64" s="995">
        <f>'[1]Oct midyear LFNO'!E61</f>
        <v>0</v>
      </c>
      <c r="X64" s="290">
        <f t="shared" si="44"/>
        <v>0</v>
      </c>
      <c r="Y64" s="289">
        <f>'[1]Feb midyear LFNO'!E61</f>
        <v>0</v>
      </c>
      <c r="Z64" s="290">
        <f t="shared" si="45"/>
        <v>0</v>
      </c>
      <c r="AA64" s="288">
        <f t="shared" si="46"/>
        <v>0</v>
      </c>
      <c r="AB64" s="324">
        <f t="shared" si="47"/>
        <v>0</v>
      </c>
      <c r="AC64" s="292">
        <f t="shared" si="48"/>
        <v>0</v>
      </c>
      <c r="AD64" s="324">
        <f t="shared" si="49"/>
        <v>0</v>
      </c>
      <c r="AE64" s="293">
        <v>0</v>
      </c>
      <c r="AF64" s="324">
        <f t="shared" si="50"/>
        <v>0</v>
      </c>
      <c r="AG64" s="290">
        <f>'[2]Table 5C1E-LFNO'!AI64+'[14]Table 5C1E-LFNO'!AI64+(6*'[20]Table 5C1E-LFNO'!AI64)</f>
        <v>0</v>
      </c>
      <c r="AH64" s="290">
        <f t="shared" si="51"/>
        <v>0</v>
      </c>
      <c r="AI64" s="324">
        <f t="shared" si="59"/>
        <v>0</v>
      </c>
      <c r="AJ64" s="321">
        <f t="shared" si="52"/>
        <v>0</v>
      </c>
      <c r="AK64" s="342">
        <f t="shared" si="60"/>
        <v>0</v>
      </c>
      <c r="AM64" s="286">
        <v>0</v>
      </c>
      <c r="AN64" s="286">
        <f t="shared" si="54"/>
        <v>0</v>
      </c>
      <c r="AO64" s="286">
        <f t="shared" si="55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2.1.14'!N61</f>
        <v>0</v>
      </c>
      <c r="D65" s="201">
        <f>+'Table 5C1A-Madison Prep'!D65</f>
        <v>6621.946293521848</v>
      </c>
      <c r="E65" s="202">
        <f t="shared" si="34"/>
        <v>0</v>
      </c>
      <c r="F65" s="202">
        <f>+'Table 5C1A-Madison Prep'!F65</f>
        <v>689.52</v>
      </c>
      <c r="G65" s="202">
        <f t="shared" si="35"/>
        <v>0</v>
      </c>
      <c r="H65" s="345">
        <f t="shared" si="36"/>
        <v>0</v>
      </c>
      <c r="I65" s="991">
        <f>'[1]Oct midyear LFNO'!K62</f>
        <v>0</v>
      </c>
      <c r="J65" s="203">
        <f>'[1]Feb midyear LFNO'!K62</f>
        <v>0</v>
      </c>
      <c r="K65" s="204">
        <f t="shared" si="37"/>
        <v>0</v>
      </c>
      <c r="L65" s="345">
        <f t="shared" si="56"/>
        <v>0</v>
      </c>
      <c r="M65" s="286">
        <f t="shared" si="39"/>
        <v>0</v>
      </c>
      <c r="N65" s="345">
        <f t="shared" si="40"/>
        <v>0</v>
      </c>
      <c r="O65" s="201">
        <v>0</v>
      </c>
      <c r="P65" s="345">
        <f t="shared" si="41"/>
        <v>0</v>
      </c>
      <c r="Q65" s="201">
        <f>'[2]Table 5C1E-LFNO'!S65+'[14]Table 5C1E-LFNO'!S65+(6*'[20]Table 5C1E-LFNO'!S65)</f>
        <v>0</v>
      </c>
      <c r="R65" s="201">
        <f t="shared" si="42"/>
        <v>0</v>
      </c>
      <c r="S65" s="345">
        <f t="shared" si="57"/>
        <v>0</v>
      </c>
      <c r="T65" s="345">
        <f t="shared" si="43"/>
        <v>0</v>
      </c>
      <c r="U65" s="294">
        <f>'Table 5C1A-Madison Prep'!U65</f>
        <v>1521</v>
      </c>
      <c r="V65" s="324">
        <f t="shared" si="58"/>
        <v>0</v>
      </c>
      <c r="W65" s="995">
        <f>'[1]Oct midyear LFNO'!E62</f>
        <v>0</v>
      </c>
      <c r="X65" s="290">
        <f t="shared" si="44"/>
        <v>0</v>
      </c>
      <c r="Y65" s="289">
        <f>'[1]Feb midyear LFNO'!E62</f>
        <v>0</v>
      </c>
      <c r="Z65" s="290">
        <f t="shared" si="45"/>
        <v>0</v>
      </c>
      <c r="AA65" s="288">
        <f t="shared" si="46"/>
        <v>0</v>
      </c>
      <c r="AB65" s="324">
        <f t="shared" si="47"/>
        <v>0</v>
      </c>
      <c r="AC65" s="292">
        <f t="shared" si="48"/>
        <v>0</v>
      </c>
      <c r="AD65" s="324">
        <f t="shared" si="49"/>
        <v>0</v>
      </c>
      <c r="AE65" s="293">
        <v>0</v>
      </c>
      <c r="AF65" s="324">
        <f t="shared" si="50"/>
        <v>0</v>
      </c>
      <c r="AG65" s="290">
        <f>'[2]Table 5C1E-LFNO'!AI65+'[14]Table 5C1E-LFNO'!AI65+(6*'[20]Table 5C1E-LFNO'!AI65)</f>
        <v>0</v>
      </c>
      <c r="AH65" s="290">
        <f t="shared" si="51"/>
        <v>0</v>
      </c>
      <c r="AI65" s="324">
        <f t="shared" si="59"/>
        <v>0</v>
      </c>
      <c r="AJ65" s="321">
        <f t="shared" si="52"/>
        <v>0</v>
      </c>
      <c r="AK65" s="342">
        <f t="shared" si="60"/>
        <v>0</v>
      </c>
      <c r="AM65" s="286">
        <v>0</v>
      </c>
      <c r="AN65" s="286">
        <f t="shared" si="54"/>
        <v>0</v>
      </c>
      <c r="AO65" s="286">
        <f t="shared" si="55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2.1.14'!N62</f>
        <v>0</v>
      </c>
      <c r="D66" s="194">
        <f>+'Table 5C1A-Madison Prep'!D66</f>
        <v>5301.224090063828</v>
      </c>
      <c r="E66" s="195">
        <f t="shared" si="34"/>
        <v>0</v>
      </c>
      <c r="F66" s="195">
        <f>+'Table 5C1A-Madison Prep'!F66</f>
        <v>594.04</v>
      </c>
      <c r="G66" s="195">
        <f t="shared" si="35"/>
        <v>0</v>
      </c>
      <c r="H66" s="346">
        <f t="shared" si="36"/>
        <v>0</v>
      </c>
      <c r="I66" s="992">
        <f>'[1]Oct midyear LFNO'!K63</f>
        <v>0</v>
      </c>
      <c r="J66" s="196">
        <f>'[1]Feb midyear LFNO'!K63</f>
        <v>0</v>
      </c>
      <c r="K66" s="197">
        <f t="shared" si="37"/>
        <v>0</v>
      </c>
      <c r="L66" s="346">
        <f t="shared" si="56"/>
        <v>0</v>
      </c>
      <c r="M66" s="296">
        <f t="shared" si="39"/>
        <v>0</v>
      </c>
      <c r="N66" s="346">
        <f t="shared" si="40"/>
        <v>0</v>
      </c>
      <c r="O66" s="194">
        <v>0</v>
      </c>
      <c r="P66" s="346">
        <f t="shared" si="41"/>
        <v>0</v>
      </c>
      <c r="Q66" s="541">
        <f>'[2]Table 5C1E-LFNO'!S66+'[14]Table 5C1E-LFNO'!S66+(6*'[20]Table 5C1E-LFNO'!S66)</f>
        <v>0</v>
      </c>
      <c r="R66" s="194">
        <f t="shared" si="42"/>
        <v>0</v>
      </c>
      <c r="S66" s="359">
        <f t="shared" si="57"/>
        <v>0</v>
      </c>
      <c r="T66" s="359">
        <f t="shared" si="43"/>
        <v>0</v>
      </c>
      <c r="U66" s="285">
        <f>'Table 5C1A-Madison Prep'!U66</f>
        <v>4024</v>
      </c>
      <c r="V66" s="325">
        <f t="shared" si="58"/>
        <v>0</v>
      </c>
      <c r="W66" s="996">
        <f>'[1]Oct midyear LFNO'!E63</f>
        <v>0</v>
      </c>
      <c r="X66" s="282">
        <f t="shared" si="44"/>
        <v>0</v>
      </c>
      <c r="Y66" s="884">
        <f>'[1]Feb midyear LFNO'!E63</f>
        <v>0</v>
      </c>
      <c r="Z66" s="282">
        <f t="shared" si="45"/>
        <v>0</v>
      </c>
      <c r="AA66" s="283">
        <f t="shared" si="46"/>
        <v>0</v>
      </c>
      <c r="AB66" s="325">
        <f t="shared" si="47"/>
        <v>0</v>
      </c>
      <c r="AC66" s="298">
        <f t="shared" si="48"/>
        <v>0</v>
      </c>
      <c r="AD66" s="325">
        <f t="shared" si="49"/>
        <v>0</v>
      </c>
      <c r="AE66" s="284">
        <v>0</v>
      </c>
      <c r="AF66" s="325">
        <f t="shared" si="50"/>
        <v>0</v>
      </c>
      <c r="AG66" s="282">
        <f>'[2]Table 5C1E-LFNO'!AI66+'[14]Table 5C1E-LFNO'!AI66+(6*'[20]Table 5C1E-LFNO'!AI66)</f>
        <v>0</v>
      </c>
      <c r="AH66" s="282">
        <f t="shared" si="51"/>
        <v>0</v>
      </c>
      <c r="AI66" s="325">
        <f t="shared" si="59"/>
        <v>0</v>
      </c>
      <c r="AJ66" s="338">
        <f t="shared" si="52"/>
        <v>0</v>
      </c>
      <c r="AK66" s="343">
        <f t="shared" si="60"/>
        <v>0</v>
      </c>
      <c r="AM66" s="296">
        <v>0</v>
      </c>
      <c r="AN66" s="296">
        <f t="shared" si="54"/>
        <v>0</v>
      </c>
      <c r="AO66" s="296">
        <f t="shared" si="55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2.1.14'!N63</f>
        <v>0</v>
      </c>
      <c r="D67" s="208">
        <f>+'Table 5C1A-Madison Prep'!D67</f>
        <v>2854.1575356369185</v>
      </c>
      <c r="E67" s="209">
        <f t="shared" si="34"/>
        <v>0</v>
      </c>
      <c r="F67" s="209">
        <f>+'Table 5C1A-Madison Prep'!F67</f>
        <v>833.70999999999992</v>
      </c>
      <c r="G67" s="209">
        <f t="shared" si="35"/>
        <v>0</v>
      </c>
      <c r="H67" s="344">
        <f t="shared" si="36"/>
        <v>0</v>
      </c>
      <c r="I67" s="990">
        <f>'[1]Oct midyear LFNO'!K64</f>
        <v>0</v>
      </c>
      <c r="J67" s="210">
        <f>'[1]Feb midyear LFNO'!K64</f>
        <v>0</v>
      </c>
      <c r="K67" s="211">
        <f t="shared" si="37"/>
        <v>0</v>
      </c>
      <c r="L67" s="344">
        <f t="shared" si="56"/>
        <v>0</v>
      </c>
      <c r="M67" s="273">
        <f t="shared" si="39"/>
        <v>0</v>
      </c>
      <c r="N67" s="344">
        <f t="shared" si="40"/>
        <v>0</v>
      </c>
      <c r="O67" s="208">
        <v>0</v>
      </c>
      <c r="P67" s="344">
        <f t="shared" si="41"/>
        <v>0</v>
      </c>
      <c r="Q67" s="208">
        <f>'[2]Table 5C1E-LFNO'!S67+'[14]Table 5C1E-LFNO'!S67+(6*'[20]Table 5C1E-LFNO'!S67)</f>
        <v>0</v>
      </c>
      <c r="R67" s="208">
        <f t="shared" si="42"/>
        <v>0</v>
      </c>
      <c r="S67" s="344">
        <f t="shared" si="57"/>
        <v>0</v>
      </c>
      <c r="T67" s="344">
        <f t="shared" si="43"/>
        <v>0</v>
      </c>
      <c r="U67" s="280">
        <f>'Table 5C1A-Madison Prep'!U67</f>
        <v>6739</v>
      </c>
      <c r="V67" s="323">
        <f t="shared" si="58"/>
        <v>0</v>
      </c>
      <c r="W67" s="994">
        <f>'[1]Oct midyear LFNO'!E64</f>
        <v>0</v>
      </c>
      <c r="X67" s="276">
        <f t="shared" si="44"/>
        <v>0</v>
      </c>
      <c r="Y67" s="883">
        <f>'[1]Feb midyear LFNO'!E64</f>
        <v>0</v>
      </c>
      <c r="Z67" s="276">
        <f t="shared" si="45"/>
        <v>0</v>
      </c>
      <c r="AA67" s="275">
        <f t="shared" si="46"/>
        <v>0</v>
      </c>
      <c r="AB67" s="323">
        <f t="shared" si="47"/>
        <v>0</v>
      </c>
      <c r="AC67" s="278">
        <f t="shared" si="48"/>
        <v>0</v>
      </c>
      <c r="AD67" s="323">
        <f t="shared" si="49"/>
        <v>0</v>
      </c>
      <c r="AE67" s="279">
        <v>0</v>
      </c>
      <c r="AF67" s="323">
        <f t="shared" si="50"/>
        <v>0</v>
      </c>
      <c r="AG67" s="276">
        <f>'[2]Table 5C1E-LFNO'!AI67+'[14]Table 5C1E-LFNO'!AI67+(6*'[20]Table 5C1E-LFNO'!AI67)</f>
        <v>0</v>
      </c>
      <c r="AH67" s="276">
        <f t="shared" si="51"/>
        <v>0</v>
      </c>
      <c r="AI67" s="323">
        <f t="shared" si="59"/>
        <v>0</v>
      </c>
      <c r="AJ67" s="337">
        <f t="shared" si="52"/>
        <v>0</v>
      </c>
      <c r="AK67" s="341">
        <f t="shared" si="60"/>
        <v>0</v>
      </c>
      <c r="AM67" s="273">
        <v>0</v>
      </c>
      <c r="AN67" s="273">
        <f t="shared" si="54"/>
        <v>0</v>
      </c>
      <c r="AO67" s="273">
        <f t="shared" si="55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2.1.14'!N64</f>
        <v>0</v>
      </c>
      <c r="D68" s="201">
        <f>+'Table 5C1A-Madison Prep'!D68</f>
        <v>5901.074538516008</v>
      </c>
      <c r="E68" s="202">
        <f t="shared" si="34"/>
        <v>0</v>
      </c>
      <c r="F68" s="202">
        <f>+'Table 5C1A-Madison Prep'!F68</f>
        <v>516.08000000000004</v>
      </c>
      <c r="G68" s="202">
        <f t="shared" si="35"/>
        <v>0</v>
      </c>
      <c r="H68" s="345">
        <f t="shared" si="36"/>
        <v>0</v>
      </c>
      <c r="I68" s="991">
        <f>'[1]Oct midyear LFNO'!K65</f>
        <v>0</v>
      </c>
      <c r="J68" s="203">
        <f>'[1]Feb midyear LFNO'!K65</f>
        <v>0</v>
      </c>
      <c r="K68" s="204">
        <f t="shared" si="37"/>
        <v>0</v>
      </c>
      <c r="L68" s="345">
        <f t="shared" si="56"/>
        <v>0</v>
      </c>
      <c r="M68" s="286">
        <f t="shared" si="39"/>
        <v>0</v>
      </c>
      <c r="N68" s="345">
        <f t="shared" si="40"/>
        <v>0</v>
      </c>
      <c r="O68" s="201">
        <v>0</v>
      </c>
      <c r="P68" s="345">
        <f t="shared" si="41"/>
        <v>0</v>
      </c>
      <c r="Q68" s="201">
        <f>'[2]Table 5C1E-LFNO'!S68+'[14]Table 5C1E-LFNO'!S68+(6*'[20]Table 5C1E-LFNO'!S68)</f>
        <v>0</v>
      </c>
      <c r="R68" s="201">
        <f t="shared" si="42"/>
        <v>0</v>
      </c>
      <c r="S68" s="345">
        <f t="shared" si="57"/>
        <v>0</v>
      </c>
      <c r="T68" s="345">
        <f t="shared" si="43"/>
        <v>0</v>
      </c>
      <c r="U68" s="294">
        <f>'Table 5C1A-Madison Prep'!U68</f>
        <v>2089</v>
      </c>
      <c r="V68" s="324">
        <f t="shared" si="58"/>
        <v>0</v>
      </c>
      <c r="W68" s="995">
        <f>'[1]Oct midyear LFNO'!E65</f>
        <v>0</v>
      </c>
      <c r="X68" s="290">
        <f t="shared" si="44"/>
        <v>0</v>
      </c>
      <c r="Y68" s="289">
        <f>'[1]Feb midyear LFNO'!E65</f>
        <v>0</v>
      </c>
      <c r="Z68" s="290">
        <f t="shared" si="45"/>
        <v>0</v>
      </c>
      <c r="AA68" s="288">
        <f t="shared" si="46"/>
        <v>0</v>
      </c>
      <c r="AB68" s="324">
        <f t="shared" si="47"/>
        <v>0</v>
      </c>
      <c r="AC68" s="292">
        <f t="shared" si="48"/>
        <v>0</v>
      </c>
      <c r="AD68" s="324">
        <f t="shared" si="49"/>
        <v>0</v>
      </c>
      <c r="AE68" s="293">
        <v>0</v>
      </c>
      <c r="AF68" s="324">
        <f t="shared" si="50"/>
        <v>0</v>
      </c>
      <c r="AG68" s="290">
        <f>'[2]Table 5C1E-LFNO'!AI68+'[14]Table 5C1E-LFNO'!AI68+(6*'[20]Table 5C1E-LFNO'!AI68)</f>
        <v>0</v>
      </c>
      <c r="AH68" s="290">
        <f t="shared" si="51"/>
        <v>0</v>
      </c>
      <c r="AI68" s="324">
        <f t="shared" si="59"/>
        <v>0</v>
      </c>
      <c r="AJ68" s="321">
        <f t="shared" si="52"/>
        <v>0</v>
      </c>
      <c r="AK68" s="342">
        <f t="shared" si="60"/>
        <v>0</v>
      </c>
      <c r="AM68" s="286">
        <v>0</v>
      </c>
      <c r="AN68" s="286">
        <f t="shared" si="54"/>
        <v>0</v>
      </c>
      <c r="AO68" s="286">
        <f t="shared" si="55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2.1.14'!N65</f>
        <v>0</v>
      </c>
      <c r="D69" s="201">
        <f>+'Table 5C1A-Madison Prep'!D69</f>
        <v>4124.3813481848092</v>
      </c>
      <c r="E69" s="202">
        <f t="shared" si="34"/>
        <v>0</v>
      </c>
      <c r="F69" s="202">
        <f>+'Table 5C1A-Madison Prep'!F69</f>
        <v>756.79</v>
      </c>
      <c r="G69" s="202">
        <f t="shared" si="35"/>
        <v>0</v>
      </c>
      <c r="H69" s="345">
        <f t="shared" si="36"/>
        <v>0</v>
      </c>
      <c r="I69" s="991">
        <f>'[1]Oct midyear LFNO'!K66</f>
        <v>0</v>
      </c>
      <c r="J69" s="203">
        <f>'[1]Feb midyear LFNO'!K66</f>
        <v>0</v>
      </c>
      <c r="K69" s="204">
        <f t="shared" si="37"/>
        <v>0</v>
      </c>
      <c r="L69" s="345">
        <f t="shared" si="56"/>
        <v>0</v>
      </c>
      <c r="M69" s="286">
        <f t="shared" si="39"/>
        <v>0</v>
      </c>
      <c r="N69" s="345">
        <f t="shared" si="40"/>
        <v>0</v>
      </c>
      <c r="O69" s="201">
        <v>0</v>
      </c>
      <c r="P69" s="345">
        <f t="shared" si="41"/>
        <v>0</v>
      </c>
      <c r="Q69" s="201">
        <f>'[2]Table 5C1E-LFNO'!S69+'[14]Table 5C1E-LFNO'!S69+(6*'[20]Table 5C1E-LFNO'!S69)</f>
        <v>0</v>
      </c>
      <c r="R69" s="201">
        <f t="shared" si="42"/>
        <v>0</v>
      </c>
      <c r="S69" s="345">
        <f t="shared" si="57"/>
        <v>0</v>
      </c>
      <c r="T69" s="345">
        <f t="shared" si="43"/>
        <v>0</v>
      </c>
      <c r="U69" s="294">
        <f>'Table 5C1A-Madison Prep'!U69</f>
        <v>7403</v>
      </c>
      <c r="V69" s="324">
        <f t="shared" si="58"/>
        <v>0</v>
      </c>
      <c r="W69" s="995">
        <f>'[1]Oct midyear LFNO'!E66</f>
        <v>0</v>
      </c>
      <c r="X69" s="290">
        <f t="shared" si="44"/>
        <v>0</v>
      </c>
      <c r="Y69" s="289">
        <f>'[1]Feb midyear LFNO'!E66</f>
        <v>0</v>
      </c>
      <c r="Z69" s="290">
        <f t="shared" si="45"/>
        <v>0</v>
      </c>
      <c r="AA69" s="288">
        <f t="shared" si="46"/>
        <v>0</v>
      </c>
      <c r="AB69" s="324">
        <f t="shared" si="47"/>
        <v>0</v>
      </c>
      <c r="AC69" s="292">
        <f t="shared" si="48"/>
        <v>0</v>
      </c>
      <c r="AD69" s="324">
        <f t="shared" si="49"/>
        <v>0</v>
      </c>
      <c r="AE69" s="293">
        <v>0</v>
      </c>
      <c r="AF69" s="324">
        <f t="shared" si="50"/>
        <v>0</v>
      </c>
      <c r="AG69" s="290">
        <f>'[2]Table 5C1E-LFNO'!AI69+'[14]Table 5C1E-LFNO'!AI69+(6*'[20]Table 5C1E-LFNO'!AI69)</f>
        <v>0</v>
      </c>
      <c r="AH69" s="290">
        <f t="shared" si="51"/>
        <v>0</v>
      </c>
      <c r="AI69" s="324">
        <f t="shared" si="59"/>
        <v>0</v>
      </c>
      <c r="AJ69" s="321">
        <f t="shared" si="52"/>
        <v>0</v>
      </c>
      <c r="AK69" s="342">
        <f t="shared" si="60"/>
        <v>0</v>
      </c>
      <c r="AM69" s="286">
        <v>0</v>
      </c>
      <c r="AN69" s="286">
        <f t="shared" si="54"/>
        <v>0</v>
      </c>
      <c r="AO69" s="286">
        <f t="shared" si="55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2.1.14'!N66</f>
        <v>0</v>
      </c>
      <c r="D70" s="201">
        <f>+'Table 5C1A-Madison Prep'!D70</f>
        <v>6277.8307532778254</v>
      </c>
      <c r="E70" s="202">
        <f t="shared" si="34"/>
        <v>0</v>
      </c>
      <c r="F70" s="202">
        <f>+'Table 5C1A-Madison Prep'!F70</f>
        <v>592.66</v>
      </c>
      <c r="G70" s="202">
        <f t="shared" si="35"/>
        <v>0</v>
      </c>
      <c r="H70" s="345">
        <f t="shared" si="36"/>
        <v>0</v>
      </c>
      <c r="I70" s="991">
        <f>'[1]Oct midyear LFNO'!K67</f>
        <v>0</v>
      </c>
      <c r="J70" s="203">
        <f>'[1]Feb midyear LFNO'!K67</f>
        <v>0</v>
      </c>
      <c r="K70" s="204">
        <f t="shared" si="37"/>
        <v>0</v>
      </c>
      <c r="L70" s="345">
        <f t="shared" si="56"/>
        <v>0</v>
      </c>
      <c r="M70" s="286">
        <f t="shared" si="39"/>
        <v>0</v>
      </c>
      <c r="N70" s="345">
        <f t="shared" si="40"/>
        <v>0</v>
      </c>
      <c r="O70" s="201">
        <v>0</v>
      </c>
      <c r="P70" s="345">
        <f t="shared" si="41"/>
        <v>0</v>
      </c>
      <c r="Q70" s="201">
        <f>'[2]Table 5C1E-LFNO'!S70+'[14]Table 5C1E-LFNO'!S70+(6*'[20]Table 5C1E-LFNO'!S70)</f>
        <v>0</v>
      </c>
      <c r="R70" s="201">
        <f t="shared" si="42"/>
        <v>0</v>
      </c>
      <c r="S70" s="345">
        <f t="shared" si="57"/>
        <v>0</v>
      </c>
      <c r="T70" s="345">
        <f t="shared" si="43"/>
        <v>0</v>
      </c>
      <c r="U70" s="294">
        <f>'Table 5C1A-Madison Prep'!U70</f>
        <v>2802</v>
      </c>
      <c r="V70" s="324">
        <f t="shared" si="58"/>
        <v>0</v>
      </c>
      <c r="W70" s="995">
        <f>'[1]Oct midyear LFNO'!E67</f>
        <v>0</v>
      </c>
      <c r="X70" s="290">
        <f t="shared" si="44"/>
        <v>0</v>
      </c>
      <c r="Y70" s="289">
        <f>'[1]Feb midyear LFNO'!E67</f>
        <v>0</v>
      </c>
      <c r="Z70" s="290">
        <f t="shared" si="45"/>
        <v>0</v>
      </c>
      <c r="AA70" s="288">
        <f t="shared" si="46"/>
        <v>0</v>
      </c>
      <c r="AB70" s="324">
        <f t="shared" si="47"/>
        <v>0</v>
      </c>
      <c r="AC70" s="292">
        <f t="shared" si="48"/>
        <v>0</v>
      </c>
      <c r="AD70" s="324">
        <f t="shared" si="49"/>
        <v>0</v>
      </c>
      <c r="AE70" s="293">
        <v>0</v>
      </c>
      <c r="AF70" s="324">
        <f t="shared" si="50"/>
        <v>0</v>
      </c>
      <c r="AG70" s="290">
        <f>'[2]Table 5C1E-LFNO'!AI70+'[14]Table 5C1E-LFNO'!AI70+(6*'[20]Table 5C1E-LFNO'!AI70)</f>
        <v>0</v>
      </c>
      <c r="AH70" s="290">
        <f t="shared" si="51"/>
        <v>0</v>
      </c>
      <c r="AI70" s="324">
        <f t="shared" si="59"/>
        <v>0</v>
      </c>
      <c r="AJ70" s="321">
        <f t="shared" si="52"/>
        <v>0</v>
      </c>
      <c r="AK70" s="342">
        <f t="shared" si="60"/>
        <v>0</v>
      </c>
      <c r="AM70" s="286">
        <v>0</v>
      </c>
      <c r="AN70" s="286">
        <f t="shared" si="54"/>
        <v>0</v>
      </c>
      <c r="AO70" s="286">
        <f t="shared" si="55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2.1.14'!N67</f>
        <v>0</v>
      </c>
      <c r="D71" s="194">
        <f>+'Table 5C1A-Madison Prep'!D71</f>
        <v>4775.1605543943642</v>
      </c>
      <c r="E71" s="195">
        <f t="shared" si="34"/>
        <v>0</v>
      </c>
      <c r="F71" s="195">
        <f>+'Table 5C1A-Madison Prep'!F71</f>
        <v>829.12</v>
      </c>
      <c r="G71" s="195">
        <f t="shared" si="35"/>
        <v>0</v>
      </c>
      <c r="H71" s="346">
        <f t="shared" si="36"/>
        <v>0</v>
      </c>
      <c r="I71" s="992">
        <f>'[1]Oct midyear LFNO'!K68</f>
        <v>0</v>
      </c>
      <c r="J71" s="196">
        <f>'[1]Feb midyear LFNO'!K68</f>
        <v>0</v>
      </c>
      <c r="K71" s="197">
        <f t="shared" si="37"/>
        <v>0</v>
      </c>
      <c r="L71" s="346">
        <f t="shared" ref="L71:L75" si="61">H71+K71</f>
        <v>0</v>
      </c>
      <c r="M71" s="296">
        <f t="shared" si="39"/>
        <v>0</v>
      </c>
      <c r="N71" s="346">
        <f t="shared" si="40"/>
        <v>0</v>
      </c>
      <c r="O71" s="194">
        <v>0</v>
      </c>
      <c r="P71" s="346">
        <f t="shared" si="41"/>
        <v>0</v>
      </c>
      <c r="Q71" s="541">
        <f>'[2]Table 5C1E-LFNO'!S71+'[14]Table 5C1E-LFNO'!S71+(6*'[20]Table 5C1E-LFNO'!S71)</f>
        <v>0</v>
      </c>
      <c r="R71" s="194">
        <f t="shared" si="42"/>
        <v>0</v>
      </c>
      <c r="S71" s="359">
        <f t="shared" ref="S71:S75" si="62">ROUND(R71/$S$88,0)</f>
        <v>0</v>
      </c>
      <c r="T71" s="359">
        <f t="shared" si="43"/>
        <v>0</v>
      </c>
      <c r="U71" s="285">
        <f>'Table 5C1A-Madison Prep'!U71</f>
        <v>5215</v>
      </c>
      <c r="V71" s="325">
        <f t="shared" ref="V71:V75" si="63">C71*U71</f>
        <v>0</v>
      </c>
      <c r="W71" s="996">
        <f>'[1]Oct midyear LFNO'!E68</f>
        <v>0</v>
      </c>
      <c r="X71" s="282">
        <f t="shared" si="44"/>
        <v>0</v>
      </c>
      <c r="Y71" s="884">
        <f>'[1]Feb midyear LFNO'!E68</f>
        <v>0</v>
      </c>
      <c r="Z71" s="282">
        <f t="shared" si="45"/>
        <v>0</v>
      </c>
      <c r="AA71" s="283">
        <f t="shared" si="46"/>
        <v>0</v>
      </c>
      <c r="AB71" s="325">
        <f t="shared" si="47"/>
        <v>0</v>
      </c>
      <c r="AC71" s="298">
        <f t="shared" si="48"/>
        <v>0</v>
      </c>
      <c r="AD71" s="325">
        <f t="shared" si="49"/>
        <v>0</v>
      </c>
      <c r="AE71" s="284">
        <v>0</v>
      </c>
      <c r="AF71" s="325">
        <f t="shared" si="50"/>
        <v>0</v>
      </c>
      <c r="AG71" s="282">
        <f>'[2]Table 5C1E-LFNO'!AI71+'[14]Table 5C1E-LFNO'!AI71+(6*'[20]Table 5C1E-LFNO'!AI71)</f>
        <v>0</v>
      </c>
      <c r="AH71" s="282">
        <f t="shared" si="51"/>
        <v>0</v>
      </c>
      <c r="AI71" s="325">
        <f t="shared" ref="AI71:AI75" si="64">ROUND(AH71/$AI$88,0)</f>
        <v>0</v>
      </c>
      <c r="AJ71" s="338">
        <f t="shared" si="52"/>
        <v>0</v>
      </c>
      <c r="AK71" s="343">
        <f t="shared" si="60"/>
        <v>0</v>
      </c>
      <c r="AM71" s="296">
        <v>0</v>
      </c>
      <c r="AN71" s="296">
        <f t="shared" si="54"/>
        <v>0</v>
      </c>
      <c r="AO71" s="296">
        <f t="shared" si="55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2.1.14'!N68</f>
        <v>0</v>
      </c>
      <c r="D72" s="208">
        <f>+'Table 5C1A-Madison Prep'!D72</f>
        <v>6564.0085433910035</v>
      </c>
      <c r="E72" s="209">
        <f t="shared" ref="E72:E75" si="65">C72*D72</f>
        <v>0</v>
      </c>
      <c r="F72" s="209">
        <f>+'Table 5C1A-Madison Prep'!F72</f>
        <v>730.06</v>
      </c>
      <c r="G72" s="209">
        <f t="shared" ref="G72:G75" si="66">C72*F72</f>
        <v>0</v>
      </c>
      <c r="H72" s="344">
        <f t="shared" ref="H72:H75" si="67">E72+G72</f>
        <v>0</v>
      </c>
      <c r="I72" s="990">
        <f>'[1]Oct midyear LFNO'!K69</f>
        <v>0</v>
      </c>
      <c r="J72" s="210">
        <f>'[1]Feb midyear LFNO'!K69</f>
        <v>0</v>
      </c>
      <c r="K72" s="211">
        <f t="shared" ref="K72:K75" si="68">I72+J72</f>
        <v>0</v>
      </c>
      <c r="L72" s="344">
        <f t="shared" si="61"/>
        <v>0</v>
      </c>
      <c r="M72" s="273">
        <f t="shared" ref="M72:M75" si="69">-(0.25%*L72)</f>
        <v>0</v>
      </c>
      <c r="N72" s="344">
        <f t="shared" ref="N72:N75" si="70">SUM(L72:M72)</f>
        <v>0</v>
      </c>
      <c r="O72" s="208">
        <v>0</v>
      </c>
      <c r="P72" s="344">
        <f t="shared" ref="P72:P75" si="71">SUM(N72:O72)</f>
        <v>0</v>
      </c>
      <c r="Q72" s="208">
        <f>'[2]Table 5C1E-LFNO'!S72+'[14]Table 5C1E-LFNO'!S72+(6*'[20]Table 5C1E-LFNO'!S72)</f>
        <v>0</v>
      </c>
      <c r="R72" s="208">
        <f t="shared" ref="R72:R75" si="72">P72-Q72</f>
        <v>0</v>
      </c>
      <c r="S72" s="344">
        <f t="shared" si="62"/>
        <v>0</v>
      </c>
      <c r="T72" s="344">
        <f t="shared" ref="T72:T75" si="73">+P72</f>
        <v>0</v>
      </c>
      <c r="U72" s="280">
        <f>'Table 5C1A-Madison Prep'!U72</f>
        <v>3609</v>
      </c>
      <c r="V72" s="323">
        <f t="shared" si="63"/>
        <v>0</v>
      </c>
      <c r="W72" s="994">
        <f>'[1]Oct midyear LFNO'!E69</f>
        <v>0</v>
      </c>
      <c r="X72" s="276">
        <f t="shared" ref="X72:X75" si="74">W72*U72</f>
        <v>0</v>
      </c>
      <c r="Y72" s="883">
        <f>'[1]Feb midyear LFNO'!E69</f>
        <v>0</v>
      </c>
      <c r="Z72" s="276">
        <f t="shared" ref="Z72:Z75" si="75">+U72*Y72*0.5</f>
        <v>0</v>
      </c>
      <c r="AA72" s="275">
        <f t="shared" ref="AA72:AA75" si="76">+X72+Z72</f>
        <v>0</v>
      </c>
      <c r="AB72" s="323">
        <f t="shared" ref="AB72:AB75" si="77">V72+AA72</f>
        <v>0</v>
      </c>
      <c r="AC72" s="278">
        <f t="shared" ref="AC72:AC75" si="78">-(0.25%*AB72)</f>
        <v>0</v>
      </c>
      <c r="AD72" s="323">
        <f t="shared" ref="AD72:AD75" si="79">SUM(AB72:AC72)</f>
        <v>0</v>
      </c>
      <c r="AE72" s="279">
        <v>0</v>
      </c>
      <c r="AF72" s="323">
        <f t="shared" ref="AF72:AF75" si="80">SUM(AD72:AE72)</f>
        <v>0</v>
      </c>
      <c r="AG72" s="276">
        <f>'[2]Table 5C1E-LFNO'!AI72+'[14]Table 5C1E-LFNO'!AI72+(6*'[20]Table 5C1E-LFNO'!AI72)</f>
        <v>0</v>
      </c>
      <c r="AH72" s="276">
        <f t="shared" ref="AH72:AH75" si="81">AF72-AG72</f>
        <v>0</v>
      </c>
      <c r="AI72" s="323">
        <f t="shared" si="64"/>
        <v>0</v>
      </c>
      <c r="AJ72" s="337">
        <f t="shared" ref="AJ72:AJ75" si="82">T72+AF72</f>
        <v>0</v>
      </c>
      <c r="AK72" s="341">
        <f t="shared" si="60"/>
        <v>0</v>
      </c>
      <c r="AM72" s="310">
        <v>0</v>
      </c>
      <c r="AN72" s="310">
        <f t="shared" ref="AN72:AN75" si="83">+AC72</f>
        <v>0</v>
      </c>
      <c r="AO72" s="310">
        <f t="shared" si="55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2.1.14'!N69</f>
        <v>0</v>
      </c>
      <c r="D73" s="201">
        <f>+'Table 5C1A-Madison Prep'!D73</f>
        <v>5029.1467736134118</v>
      </c>
      <c r="E73" s="202">
        <f t="shared" si="65"/>
        <v>0</v>
      </c>
      <c r="F73" s="202">
        <f>+'Table 5C1A-Madison Prep'!F73</f>
        <v>715.61</v>
      </c>
      <c r="G73" s="202">
        <f t="shared" si="66"/>
        <v>0</v>
      </c>
      <c r="H73" s="345">
        <f t="shared" si="67"/>
        <v>0</v>
      </c>
      <c r="I73" s="991">
        <f>'[1]Oct midyear LFNO'!K70</f>
        <v>0</v>
      </c>
      <c r="J73" s="203">
        <f>'[1]Feb midyear LFNO'!K70</f>
        <v>0</v>
      </c>
      <c r="K73" s="204">
        <f t="shared" si="68"/>
        <v>0</v>
      </c>
      <c r="L73" s="345">
        <f t="shared" si="61"/>
        <v>0</v>
      </c>
      <c r="M73" s="286">
        <f t="shared" si="69"/>
        <v>0</v>
      </c>
      <c r="N73" s="345">
        <f t="shared" si="70"/>
        <v>0</v>
      </c>
      <c r="O73" s="201">
        <v>0</v>
      </c>
      <c r="P73" s="345">
        <f t="shared" si="71"/>
        <v>0</v>
      </c>
      <c r="Q73" s="201">
        <f>'[2]Table 5C1E-LFNO'!S73+'[14]Table 5C1E-LFNO'!S73+(6*'[20]Table 5C1E-LFNO'!S73)</f>
        <v>0</v>
      </c>
      <c r="R73" s="201">
        <f t="shared" si="72"/>
        <v>0</v>
      </c>
      <c r="S73" s="345">
        <f t="shared" si="62"/>
        <v>0</v>
      </c>
      <c r="T73" s="345">
        <f t="shared" si="73"/>
        <v>0</v>
      </c>
      <c r="U73" s="294">
        <f>'Table 5C1A-Madison Prep'!U73</f>
        <v>5069</v>
      </c>
      <c r="V73" s="324">
        <f t="shared" si="63"/>
        <v>0</v>
      </c>
      <c r="W73" s="995">
        <f>'[1]Oct midyear LFNO'!E70</f>
        <v>0</v>
      </c>
      <c r="X73" s="290">
        <f t="shared" si="74"/>
        <v>0</v>
      </c>
      <c r="Y73" s="289">
        <f>'[1]Feb midyear LFNO'!E70</f>
        <v>0</v>
      </c>
      <c r="Z73" s="290">
        <f t="shared" si="75"/>
        <v>0</v>
      </c>
      <c r="AA73" s="288">
        <f t="shared" si="76"/>
        <v>0</v>
      </c>
      <c r="AB73" s="324">
        <f t="shared" si="77"/>
        <v>0</v>
      </c>
      <c r="AC73" s="292">
        <f t="shared" si="78"/>
        <v>0</v>
      </c>
      <c r="AD73" s="324">
        <f t="shared" si="79"/>
        <v>0</v>
      </c>
      <c r="AE73" s="293">
        <v>0</v>
      </c>
      <c r="AF73" s="324">
        <f t="shared" si="80"/>
        <v>0</v>
      </c>
      <c r="AG73" s="290">
        <f>'[2]Table 5C1E-LFNO'!AI73+'[14]Table 5C1E-LFNO'!AI73+(6*'[20]Table 5C1E-LFNO'!AI73)</f>
        <v>0</v>
      </c>
      <c r="AH73" s="290">
        <f t="shared" si="81"/>
        <v>0</v>
      </c>
      <c r="AI73" s="324">
        <f t="shared" si="64"/>
        <v>0</v>
      </c>
      <c r="AJ73" s="321">
        <f t="shared" si="82"/>
        <v>0</v>
      </c>
      <c r="AK73" s="342">
        <f t="shared" si="60"/>
        <v>0</v>
      </c>
      <c r="AM73" s="310">
        <v>0</v>
      </c>
      <c r="AN73" s="310">
        <f t="shared" si="83"/>
        <v>0</v>
      </c>
      <c r="AO73" s="310">
        <f t="shared" si="55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2.1.14'!N70</f>
        <v>0</v>
      </c>
      <c r="D74" s="201">
        <f>+'Table 5C1A-Madison Prep'!D74</f>
        <v>6390.1644202560601</v>
      </c>
      <c r="E74" s="202">
        <f t="shared" si="65"/>
        <v>0</v>
      </c>
      <c r="F74" s="202">
        <f>+'Table 5C1A-Madison Prep'!F74</f>
        <v>798.7</v>
      </c>
      <c r="G74" s="202">
        <f t="shared" si="66"/>
        <v>0</v>
      </c>
      <c r="H74" s="345">
        <f t="shared" si="67"/>
        <v>0</v>
      </c>
      <c r="I74" s="991">
        <f>'[1]Oct midyear LFNO'!K71</f>
        <v>0</v>
      </c>
      <c r="J74" s="203">
        <f>'[1]Feb midyear LFNO'!K71</f>
        <v>0</v>
      </c>
      <c r="K74" s="204">
        <f t="shared" si="68"/>
        <v>0</v>
      </c>
      <c r="L74" s="345">
        <f t="shared" si="61"/>
        <v>0</v>
      </c>
      <c r="M74" s="286">
        <f t="shared" si="69"/>
        <v>0</v>
      </c>
      <c r="N74" s="345">
        <f t="shared" si="70"/>
        <v>0</v>
      </c>
      <c r="O74" s="201">
        <v>0</v>
      </c>
      <c r="P74" s="345">
        <f t="shared" si="71"/>
        <v>0</v>
      </c>
      <c r="Q74" s="201">
        <f>'[2]Table 5C1E-LFNO'!S74+'[14]Table 5C1E-LFNO'!S74+(6*'[20]Table 5C1E-LFNO'!S74)</f>
        <v>0</v>
      </c>
      <c r="R74" s="201">
        <f t="shared" si="72"/>
        <v>0</v>
      </c>
      <c r="S74" s="345">
        <f t="shared" si="62"/>
        <v>0</v>
      </c>
      <c r="T74" s="345">
        <f t="shared" si="73"/>
        <v>0</v>
      </c>
      <c r="U74" s="294">
        <f>'Table 5C1A-Madison Prep'!U74</f>
        <v>2880</v>
      </c>
      <c r="V74" s="324">
        <f t="shared" si="63"/>
        <v>0</v>
      </c>
      <c r="W74" s="995">
        <f>'[1]Oct midyear LFNO'!E71</f>
        <v>0</v>
      </c>
      <c r="X74" s="290">
        <f t="shared" si="74"/>
        <v>0</v>
      </c>
      <c r="Y74" s="289">
        <f>'[1]Feb midyear LFNO'!E71</f>
        <v>0</v>
      </c>
      <c r="Z74" s="290">
        <f t="shared" si="75"/>
        <v>0</v>
      </c>
      <c r="AA74" s="288">
        <f t="shared" si="76"/>
        <v>0</v>
      </c>
      <c r="AB74" s="324">
        <f t="shared" si="77"/>
        <v>0</v>
      </c>
      <c r="AC74" s="292">
        <f t="shared" si="78"/>
        <v>0</v>
      </c>
      <c r="AD74" s="324">
        <f t="shared" si="79"/>
        <v>0</v>
      </c>
      <c r="AE74" s="293">
        <v>0</v>
      </c>
      <c r="AF74" s="324">
        <f t="shared" si="80"/>
        <v>0</v>
      </c>
      <c r="AG74" s="290">
        <f>'[2]Table 5C1E-LFNO'!AI74+'[14]Table 5C1E-LFNO'!AI74+(6*'[20]Table 5C1E-LFNO'!AI74)</f>
        <v>0</v>
      </c>
      <c r="AH74" s="290">
        <f t="shared" si="81"/>
        <v>0</v>
      </c>
      <c r="AI74" s="324">
        <f t="shared" si="64"/>
        <v>0</v>
      </c>
      <c r="AJ74" s="321">
        <f t="shared" si="82"/>
        <v>0</v>
      </c>
      <c r="AK74" s="342">
        <f t="shared" si="60"/>
        <v>0</v>
      </c>
      <c r="AM74" s="310">
        <v>0</v>
      </c>
      <c r="AN74" s="310">
        <f t="shared" si="83"/>
        <v>0</v>
      </c>
      <c r="AO74" s="310">
        <f t="shared" si="55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2.1.14'!N71</f>
        <v>0</v>
      </c>
      <c r="D75" s="201">
        <f>+'Table 5C1A-Madison Prep'!D75</f>
        <v>5722.4947921281337</v>
      </c>
      <c r="E75" s="202">
        <f t="shared" si="65"/>
        <v>0</v>
      </c>
      <c r="F75" s="202">
        <f>+'Table 5C1A-Madison Prep'!F75</f>
        <v>705.67</v>
      </c>
      <c r="G75" s="202">
        <f t="shared" si="66"/>
        <v>0</v>
      </c>
      <c r="H75" s="345">
        <f t="shared" si="67"/>
        <v>0</v>
      </c>
      <c r="I75" s="991">
        <f>'[1]Oct midyear LFNO'!K72</f>
        <v>0</v>
      </c>
      <c r="J75" s="203">
        <f>'[1]Feb midyear LFNO'!K72</f>
        <v>0</v>
      </c>
      <c r="K75" s="204">
        <f t="shared" si="68"/>
        <v>0</v>
      </c>
      <c r="L75" s="345">
        <f t="shared" si="61"/>
        <v>0</v>
      </c>
      <c r="M75" s="286">
        <f t="shared" si="69"/>
        <v>0</v>
      </c>
      <c r="N75" s="345">
        <f t="shared" si="70"/>
        <v>0</v>
      </c>
      <c r="O75" s="201">
        <v>0</v>
      </c>
      <c r="P75" s="345">
        <f t="shared" si="71"/>
        <v>0</v>
      </c>
      <c r="Q75" s="201">
        <f>'[2]Table 5C1E-LFNO'!S75+'[14]Table 5C1E-LFNO'!S75+(6*'[20]Table 5C1E-LFNO'!S75)</f>
        <v>0</v>
      </c>
      <c r="R75" s="201">
        <f t="shared" si="72"/>
        <v>0</v>
      </c>
      <c r="S75" s="345">
        <f t="shared" si="62"/>
        <v>0</v>
      </c>
      <c r="T75" s="345">
        <f t="shared" si="73"/>
        <v>0</v>
      </c>
      <c r="U75" s="294">
        <f>'Table 5C1A-Madison Prep'!U75</f>
        <v>3330</v>
      </c>
      <c r="V75" s="324">
        <f t="shared" si="63"/>
        <v>0</v>
      </c>
      <c r="W75" s="995">
        <f>'[1]Oct midyear LFNO'!E72</f>
        <v>0</v>
      </c>
      <c r="X75" s="290">
        <f t="shared" si="74"/>
        <v>0</v>
      </c>
      <c r="Y75" s="289">
        <f>'[1]Feb midyear LFNO'!E72</f>
        <v>0</v>
      </c>
      <c r="Z75" s="290">
        <f t="shared" si="75"/>
        <v>0</v>
      </c>
      <c r="AA75" s="288">
        <f t="shared" si="76"/>
        <v>0</v>
      </c>
      <c r="AB75" s="324">
        <f t="shared" si="77"/>
        <v>0</v>
      </c>
      <c r="AC75" s="292">
        <f t="shared" si="78"/>
        <v>0</v>
      </c>
      <c r="AD75" s="324">
        <f t="shared" si="79"/>
        <v>0</v>
      </c>
      <c r="AE75" s="293">
        <v>0</v>
      </c>
      <c r="AF75" s="324">
        <f t="shared" si="80"/>
        <v>0</v>
      </c>
      <c r="AG75" s="290">
        <f>'[2]Table 5C1E-LFNO'!AI75+'[14]Table 5C1E-LFNO'!AI75+(6*'[20]Table 5C1E-LFNO'!AI75)</f>
        <v>0</v>
      </c>
      <c r="AH75" s="290">
        <f t="shared" si="81"/>
        <v>0</v>
      </c>
      <c r="AI75" s="324">
        <f t="shared" si="64"/>
        <v>0</v>
      </c>
      <c r="AJ75" s="321">
        <f t="shared" si="82"/>
        <v>0</v>
      </c>
      <c r="AK75" s="342">
        <f t="shared" si="60"/>
        <v>0</v>
      </c>
      <c r="AM75" s="300">
        <v>0</v>
      </c>
      <c r="AN75" s="300">
        <f t="shared" si="83"/>
        <v>0</v>
      </c>
      <c r="AO75" s="300">
        <f t="shared" si="55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308</v>
      </c>
      <c r="D76" s="28">
        <f>+'Table 5C1A-Madison Prep'!D76</f>
        <v>4479.9292126977662</v>
      </c>
      <c r="E76" s="35">
        <f>SUM(E7:E75)</f>
        <v>1094706.8109007585</v>
      </c>
      <c r="F76" s="35">
        <f>+'Table 5C1A-Madison Prep'!F76</f>
        <v>704.64781030742063</v>
      </c>
      <c r="G76" s="35">
        <f>SUM(G7:G75)</f>
        <v>236166.04136986306</v>
      </c>
      <c r="H76" s="348">
        <f>SUM(H7:H75)</f>
        <v>1330872.8522706218</v>
      </c>
      <c r="I76" s="37">
        <f>SUM(I7:I75)</f>
        <v>519500.37242164247</v>
      </c>
      <c r="J76" s="72">
        <f>SUM(J7:J75)</f>
        <v>2130.6974985285419</v>
      </c>
      <c r="K76" s="61">
        <f t="shared" ref="K76:T76" si="84">SUM(K7:K75)</f>
        <v>521631.06992017105</v>
      </c>
      <c r="L76" s="367">
        <f t="shared" si="84"/>
        <v>1852503.9221907931</v>
      </c>
      <c r="M76" s="36">
        <f t="shared" si="84"/>
        <v>-4631.2598054769824</v>
      </c>
      <c r="N76" s="348">
        <f t="shared" si="84"/>
        <v>1847872.6623853159</v>
      </c>
      <c r="O76" s="28">
        <f t="shared" si="84"/>
        <v>0</v>
      </c>
      <c r="P76" s="348">
        <f t="shared" si="84"/>
        <v>1847872.6623853159</v>
      </c>
      <c r="Q76" s="28">
        <f t="shared" si="84"/>
        <v>1206105</v>
      </c>
      <c r="R76" s="28">
        <f t="shared" si="84"/>
        <v>641767.66238531563</v>
      </c>
      <c r="S76" s="348">
        <f t="shared" si="84"/>
        <v>160442</v>
      </c>
      <c r="T76" s="348">
        <f t="shared" si="84"/>
        <v>1847872.6623853159</v>
      </c>
      <c r="U76" s="31">
        <f>'Table 5C1A-Madison Prep'!U76</f>
        <v>4703</v>
      </c>
      <c r="V76" s="326">
        <f t="shared" ref="V76:AK76" si="85">SUM(V7:V75)</f>
        <v>1689579</v>
      </c>
      <c r="W76" s="1001">
        <f t="shared" si="85"/>
        <v>121</v>
      </c>
      <c r="X76" s="76">
        <f t="shared" si="85"/>
        <v>673603</v>
      </c>
      <c r="Y76" s="74">
        <f t="shared" si="85"/>
        <v>1</v>
      </c>
      <c r="Z76" s="75">
        <f t="shared" si="85"/>
        <v>2576.5</v>
      </c>
      <c r="AA76" s="63">
        <f t="shared" si="85"/>
        <v>676179.5</v>
      </c>
      <c r="AB76" s="334">
        <f t="shared" si="85"/>
        <v>2365758.5</v>
      </c>
      <c r="AC76" s="37">
        <f t="shared" si="85"/>
        <v>-5914.3962499999998</v>
      </c>
      <c r="AD76" s="326">
        <f t="shared" si="85"/>
        <v>2359844.1037500002</v>
      </c>
      <c r="AE76" s="88">
        <f t="shared" si="85"/>
        <v>0</v>
      </c>
      <c r="AF76" s="326">
        <f t="shared" si="85"/>
        <v>2359844.1037500002</v>
      </c>
      <c r="AG76" s="85">
        <f t="shared" si="85"/>
        <v>1535742</v>
      </c>
      <c r="AH76" s="85">
        <f t="shared" si="85"/>
        <v>824102.10375000001</v>
      </c>
      <c r="AI76" s="330">
        <f t="shared" si="85"/>
        <v>206026</v>
      </c>
      <c r="AJ76" s="339">
        <f t="shared" si="85"/>
        <v>4207716.7661353154</v>
      </c>
      <c r="AK76" s="339">
        <f t="shared" si="85"/>
        <v>366468</v>
      </c>
      <c r="AM76" s="36">
        <f>SUM(AM7:AM75)</f>
        <v>-4228.3649999999998</v>
      </c>
      <c r="AN76" s="36">
        <f>SUM(AN7:AN75)</f>
        <v>-5914.3962499999998</v>
      </c>
      <c r="AO76" s="36">
        <f>SUM(AO7:AO75)</f>
        <v>-1686.03125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9">
        <f>'Table 4 Level 4'!$E102</f>
        <v>462000</v>
      </c>
      <c r="Q77" s="201">
        <f>'[2]Table 5C1E-LFNO'!S77+'[14]Table 5C1E-LFNO'!S77+(6*'[20]Table 5C1E-LFNO'!S77)</f>
        <v>308000</v>
      </c>
      <c r="R77" s="220">
        <f t="shared" ref="R77" si="86">P77-Q77</f>
        <v>154000</v>
      </c>
      <c r="S77" s="345">
        <f t="shared" ref="S77:S81" si="87">ROUND(R77/$S$88,0)</f>
        <v>38500</v>
      </c>
      <c r="T77" s="345">
        <f>'Table 4 Level 4'!$E102</f>
        <v>462000</v>
      </c>
      <c r="U77" s="294"/>
      <c r="V77" s="293"/>
      <c r="W77" s="412"/>
      <c r="X77" s="290"/>
      <c r="Y77" s="289"/>
      <c r="Z77" s="290"/>
      <c r="AA77" s="290"/>
      <c r="AB77" s="293"/>
      <c r="AC77" s="290"/>
      <c r="AD77" s="293"/>
      <c r="AE77" s="293"/>
      <c r="AF77" s="293"/>
      <c r="AG77" s="290"/>
      <c r="AH77" s="290"/>
      <c r="AI77" s="293"/>
      <c r="AJ77" s="321">
        <f t="shared" ref="AJ77:AJ81" si="88">T77+AF77</f>
        <v>462000</v>
      </c>
      <c r="AK77" s="321">
        <f t="shared" ref="AK77:AK81" si="89">S77+AI77</f>
        <v>38500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>
        <f>'Table 4 Level 4'!$J102</f>
        <v>92000</v>
      </c>
      <c r="Q78" s="203">
        <v>96000</v>
      </c>
      <c r="R78" s="222">
        <f t="shared" ref="R78" si="90">P78-Q78</f>
        <v>-4000</v>
      </c>
      <c r="S78" s="203">
        <f t="shared" si="87"/>
        <v>-1000</v>
      </c>
      <c r="T78" s="345">
        <f>'Table 4 Level 4'!$J102</f>
        <v>92000</v>
      </c>
      <c r="U78" s="294"/>
      <c r="V78" s="293"/>
      <c r="W78" s="412"/>
      <c r="X78" s="290"/>
      <c r="Y78" s="289"/>
      <c r="Z78" s="290"/>
      <c r="AA78" s="290"/>
      <c r="AB78" s="293"/>
      <c r="AC78" s="290"/>
      <c r="AD78" s="293"/>
      <c r="AE78" s="293"/>
      <c r="AF78" s="293"/>
      <c r="AG78" s="290"/>
      <c r="AH78" s="290"/>
      <c r="AI78" s="293"/>
      <c r="AJ78" s="321">
        <f t="shared" si="88"/>
        <v>92000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0"/>
      <c r="Q79" s="201"/>
      <c r="R79" s="220"/>
      <c r="S79" s="201"/>
      <c r="T79" s="345">
        <f>'Table 4 Level 4'!$L102</f>
        <v>0</v>
      </c>
      <c r="U79" s="294"/>
      <c r="V79" s="293"/>
      <c r="W79" s="412"/>
      <c r="X79" s="290"/>
      <c r="Y79" s="289"/>
      <c r="Z79" s="290"/>
      <c r="AA79" s="290"/>
      <c r="AB79" s="293"/>
      <c r="AC79" s="290"/>
      <c r="AD79" s="293"/>
      <c r="AE79" s="293"/>
      <c r="AF79" s="293"/>
      <c r="AG79" s="290"/>
      <c r="AH79" s="290"/>
      <c r="AI79" s="290"/>
      <c r="AJ79" s="321">
        <f t="shared" si="88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0"/>
      <c r="Q80" s="201"/>
      <c r="R80" s="220"/>
      <c r="S80" s="201"/>
      <c r="T80" s="345">
        <f>'Table 4 Level 4'!$M102</f>
        <v>0</v>
      </c>
      <c r="U80" s="294"/>
      <c r="V80" s="293"/>
      <c r="W80" s="412"/>
      <c r="X80" s="290"/>
      <c r="Y80" s="289"/>
      <c r="Z80" s="290"/>
      <c r="AA80" s="290"/>
      <c r="AB80" s="293"/>
      <c r="AC80" s="290"/>
      <c r="AD80" s="293"/>
      <c r="AE80" s="293"/>
      <c r="AF80" s="293"/>
      <c r="AG80" s="290"/>
      <c r="AH80" s="290"/>
      <c r="AI80" s="290"/>
      <c r="AJ80" s="321">
        <f t="shared" si="88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47">
        <f>'Table 4 Level 4'!O102</f>
        <v>0</v>
      </c>
      <c r="Q81" s="888">
        <f>'[2]Table 5C1E-LFNO'!S81+'[14]Table 5C1E-LFNO'!S81+(6*'[20]Table 5C1E-LFNO'!S81)</f>
        <v>0</v>
      </c>
      <c r="R81" s="215">
        <f t="shared" ref="R81" si="91">P81-Q81</f>
        <v>0</v>
      </c>
      <c r="S81" s="360">
        <f t="shared" si="87"/>
        <v>0</v>
      </c>
      <c r="T81" s="360">
        <f>P81</f>
        <v>0</v>
      </c>
      <c r="U81" s="309"/>
      <c r="V81" s="307"/>
      <c r="W81" s="413"/>
      <c r="X81" s="302"/>
      <c r="Y81" s="301"/>
      <c r="Z81" s="302"/>
      <c r="AA81" s="302"/>
      <c r="AB81" s="307"/>
      <c r="AC81" s="302"/>
      <c r="AD81" s="307"/>
      <c r="AE81" s="307"/>
      <c r="AF81" s="307"/>
      <c r="AG81" s="302"/>
      <c r="AH81" s="302"/>
      <c r="AI81" s="302"/>
      <c r="AJ81" s="322">
        <f t="shared" si="88"/>
        <v>0</v>
      </c>
      <c r="AK81" s="322">
        <f t="shared" si="89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308</v>
      </c>
      <c r="D82" s="128">
        <f t="shared" ref="D82:AK82" si="92">SUM(D76:D81)</f>
        <v>4479.9292126977662</v>
      </c>
      <c r="E82" s="128">
        <f t="shared" si="92"/>
        <v>1094706.8109007585</v>
      </c>
      <c r="F82" s="128">
        <f t="shared" si="92"/>
        <v>704.64781030742063</v>
      </c>
      <c r="G82" s="128">
        <f t="shared" si="92"/>
        <v>236166.04136986306</v>
      </c>
      <c r="H82" s="128">
        <f t="shared" si="92"/>
        <v>1330872.8522706218</v>
      </c>
      <c r="I82" s="134">
        <f t="shared" si="92"/>
        <v>519500.37242164247</v>
      </c>
      <c r="J82" s="133">
        <f t="shared" si="92"/>
        <v>2130.6974985285419</v>
      </c>
      <c r="K82" s="133">
        <f t="shared" si="92"/>
        <v>521631.06992017105</v>
      </c>
      <c r="L82" s="128">
        <f t="shared" si="92"/>
        <v>1852503.9221907931</v>
      </c>
      <c r="M82" s="133">
        <f t="shared" si="92"/>
        <v>-4631.2598054769824</v>
      </c>
      <c r="N82" s="128">
        <f t="shared" si="92"/>
        <v>1847872.6623853159</v>
      </c>
      <c r="O82" s="128">
        <f t="shared" si="92"/>
        <v>0</v>
      </c>
      <c r="P82" s="349">
        <f t="shared" si="92"/>
        <v>2401872.6623853156</v>
      </c>
      <c r="Q82" s="128">
        <f t="shared" si="92"/>
        <v>1610105</v>
      </c>
      <c r="R82" s="128">
        <f t="shared" si="92"/>
        <v>791767.66238531563</v>
      </c>
      <c r="S82" s="349">
        <f t="shared" si="92"/>
        <v>197942</v>
      </c>
      <c r="T82" s="349">
        <f t="shared" si="92"/>
        <v>2401872.6623853156</v>
      </c>
      <c r="U82" s="131">
        <f t="shared" si="92"/>
        <v>4703</v>
      </c>
      <c r="V82" s="135">
        <f t="shared" si="92"/>
        <v>1689579</v>
      </c>
      <c r="W82" s="136">
        <f t="shared" si="92"/>
        <v>121</v>
      </c>
      <c r="X82" s="134">
        <f t="shared" si="92"/>
        <v>673603</v>
      </c>
      <c r="Y82" s="136">
        <f t="shared" si="92"/>
        <v>1</v>
      </c>
      <c r="Z82" s="134">
        <f t="shared" si="92"/>
        <v>2576.5</v>
      </c>
      <c r="AA82" s="134">
        <f t="shared" si="92"/>
        <v>676179.5</v>
      </c>
      <c r="AB82" s="135">
        <f t="shared" si="92"/>
        <v>2365758.5</v>
      </c>
      <c r="AC82" s="134">
        <f t="shared" si="92"/>
        <v>-5914.3962499999998</v>
      </c>
      <c r="AD82" s="135">
        <f t="shared" si="92"/>
        <v>2359844.1037500002</v>
      </c>
      <c r="AE82" s="135">
        <f t="shared" si="92"/>
        <v>0</v>
      </c>
      <c r="AF82" s="135">
        <f t="shared" si="92"/>
        <v>2359844.1037500002</v>
      </c>
      <c r="AG82" s="134">
        <f t="shared" si="92"/>
        <v>1535742</v>
      </c>
      <c r="AH82" s="134">
        <f t="shared" si="92"/>
        <v>824102.10375000001</v>
      </c>
      <c r="AI82" s="134">
        <f t="shared" si="92"/>
        <v>206026</v>
      </c>
      <c r="AJ82" s="320">
        <f t="shared" si="92"/>
        <v>4761716.7661353154</v>
      </c>
      <c r="AK82" s="320">
        <f t="shared" si="92"/>
        <v>404968</v>
      </c>
    </row>
    <row r="83" spans="1:37" ht="16.149999999999999" hidden="1" customHeight="1" thickTop="1">
      <c r="C83" s="727"/>
      <c r="I83" s="627"/>
      <c r="J83" s="627"/>
      <c r="K83" s="627"/>
      <c r="W83" s="727"/>
      <c r="Y83" s="727"/>
    </row>
    <row r="84" spans="1:37" ht="16.149999999999999" hidden="1" customHeight="1">
      <c r="C84" s="727"/>
      <c r="I84" s="627"/>
      <c r="J84" s="627"/>
      <c r="K84" s="627"/>
      <c r="M84" s="627">
        <v>-3327.1821306765546</v>
      </c>
      <c r="N84" s="427" t="s">
        <v>1044</v>
      </c>
      <c r="W84" s="727"/>
      <c r="Y84" s="727"/>
    </row>
    <row r="85" spans="1:37" ht="16.149999999999999" hidden="1" customHeight="1">
      <c r="C85" s="727"/>
      <c r="I85" s="627"/>
      <c r="J85" s="627"/>
      <c r="K85" s="627"/>
      <c r="M85" s="627">
        <f>M82-M84</f>
        <v>-1304.0776748004278</v>
      </c>
      <c r="N85" s="427" t="s">
        <v>1045</v>
      </c>
      <c r="W85" s="727"/>
      <c r="Y85" s="727"/>
    </row>
    <row r="86" spans="1:37" ht="16.149999999999999" hidden="1" customHeight="1">
      <c r="C86" s="727"/>
      <c r="I86" s="627"/>
      <c r="J86" s="627"/>
      <c r="K86" s="627"/>
      <c r="M86" s="627"/>
      <c r="W86" s="727"/>
      <c r="Y86" s="727"/>
    </row>
    <row r="87" spans="1:37" ht="16.149999999999999" hidden="1" customHeight="1">
      <c r="C87" s="727"/>
      <c r="I87" s="627"/>
      <c r="J87" s="627"/>
      <c r="K87" s="627"/>
      <c r="M87" s="627"/>
      <c r="W87" s="727"/>
      <c r="Y87" s="727"/>
    </row>
    <row r="88" spans="1:37" ht="16.149999999999999" hidden="1" customHeight="1">
      <c r="C88" s="727"/>
      <c r="M88" s="627"/>
      <c r="R88" s="427" t="str">
        <f>'Table 2_State Distrib and Adjs'!$AK$77</f>
        <v>Monthly Pmts Remaining</v>
      </c>
      <c r="S88" s="427">
        <f>'Table 2_State Distrib and Adjs'!$AL$77</f>
        <v>4</v>
      </c>
      <c r="AH88" s="427" t="str">
        <f>'Table 2_State Distrib and Adjs'!$AK$77</f>
        <v>Monthly Pmts Remaining</v>
      </c>
      <c r="AI88" s="427">
        <f>'Table 2_State Distrib and Adjs'!$AL$77</f>
        <v>4</v>
      </c>
    </row>
    <row r="89" spans="1:37" ht="16.149999999999999" customHeight="1" thickTop="1"/>
    <row r="90" spans="1:37" ht="16.149999999999999" customHeight="1"/>
    <row r="98" ht="13.9" customHeight="1"/>
  </sheetData>
  <mergeCells count="43">
    <mergeCell ref="W3:W4"/>
    <mergeCell ref="X3:X4"/>
    <mergeCell ref="U3:U4"/>
    <mergeCell ref="T3:T4"/>
    <mergeCell ref="U1:AB1"/>
    <mergeCell ref="AB3:AB4"/>
    <mergeCell ref="W2:AA2"/>
    <mergeCell ref="Y3:Y4"/>
    <mergeCell ref="Z3:Z4"/>
    <mergeCell ref="M1:T1"/>
    <mergeCell ref="P3:P4"/>
    <mergeCell ref="S3:S4"/>
    <mergeCell ref="N3:N4"/>
    <mergeCell ref="O3:O4"/>
    <mergeCell ref="AJ1:AJ4"/>
    <mergeCell ref="AK1:AK4"/>
    <mergeCell ref="AD3:AD4"/>
    <mergeCell ref="AE3:AE4"/>
    <mergeCell ref="AF3:AF4"/>
    <mergeCell ref="AG3:AG4"/>
    <mergeCell ref="AH3:AH4"/>
    <mergeCell ref="AI3:AI4"/>
    <mergeCell ref="AC1:AI1"/>
    <mergeCell ref="A1:B4"/>
    <mergeCell ref="K3:K4"/>
    <mergeCell ref="L3:L4"/>
    <mergeCell ref="I3:I4"/>
    <mergeCell ref="J3:J4"/>
    <mergeCell ref="C1:L1"/>
    <mergeCell ref="C3:C4"/>
    <mergeCell ref="D3:D4"/>
    <mergeCell ref="E3:E4"/>
    <mergeCell ref="F3:F4"/>
    <mergeCell ref="G3:G4"/>
    <mergeCell ref="H3:H4"/>
    <mergeCell ref="I2:K2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5C1-E: FY2014-15 MFP Budget Letter (March 2015)
Lycee Francais de la Nouvella Orleans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427" customWidth="1"/>
    <col min="2" max="2" width="37.7109375" style="427" customWidth="1"/>
    <col min="3" max="3" width="12.140625" style="427" bestFit="1" customWidth="1"/>
    <col min="4" max="4" width="13.7109375" style="427" bestFit="1" customWidth="1"/>
    <col min="5" max="5" width="10.140625" style="427" bestFit="1" customWidth="1"/>
    <col min="6" max="7" width="12.28515625" style="427" bestFit="1" customWidth="1"/>
    <col min="8" max="8" width="11.5703125" style="427" bestFit="1" customWidth="1"/>
    <col min="9" max="12" width="11.85546875" style="427" bestFit="1" customWidth="1"/>
    <col min="13" max="13" width="10.85546875" style="427" bestFit="1" customWidth="1"/>
    <col min="14" max="14" width="13.140625" style="427" customWidth="1"/>
    <col min="15" max="15" width="13.42578125" style="427" bestFit="1" customWidth="1"/>
    <col min="16" max="16" width="14.7109375" style="427" customWidth="1"/>
    <col min="17" max="18" width="14" style="427" customWidth="1"/>
    <col min="19" max="19" width="10.7109375" style="427" customWidth="1"/>
    <col min="20" max="20" width="14.85546875" style="427" customWidth="1"/>
    <col min="21" max="22" width="14.5703125" style="427" customWidth="1"/>
    <col min="23" max="27" width="11.7109375" style="427" customWidth="1"/>
    <col min="28" max="28" width="14.42578125" style="427" bestFit="1" customWidth="1"/>
    <col min="29" max="29" width="10.5703125" style="427" customWidth="1"/>
    <col min="30" max="30" width="14.42578125" style="427" bestFit="1" customWidth="1"/>
    <col min="31" max="31" width="11.85546875" style="427" bestFit="1" customWidth="1"/>
    <col min="32" max="32" width="14.42578125" style="427" bestFit="1" customWidth="1"/>
    <col min="33" max="34" width="10.7109375" style="427" bestFit="1" customWidth="1"/>
    <col min="35" max="37" width="14.42578125" style="427" bestFit="1" customWidth="1"/>
    <col min="38" max="38" width="0" style="427" hidden="1" customWidth="1"/>
    <col min="39" max="40" width="12.28515625" style="427" hidden="1" customWidth="1"/>
    <col min="41" max="41" width="10" style="427" hidden="1" customWidth="1"/>
    <col min="42" max="16384" width="8.85546875" style="427"/>
  </cols>
  <sheetData>
    <row r="1" spans="1:41" ht="23.45" customHeight="1">
      <c r="A1" s="1535" t="s">
        <v>264</v>
      </c>
      <c r="B1" s="1536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454"/>
      <c r="B2" s="1455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37"/>
      <c r="B3" s="1455"/>
      <c r="C3" s="1525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38"/>
      <c r="B4" s="1457"/>
      <c r="C4" s="1520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H5" si="1">E5+1</f>
        <v>4</v>
      </c>
      <c r="G5" s="23">
        <f t="shared" si="1"/>
        <v>5</v>
      </c>
      <c r="H5" s="23">
        <f t="shared" si="1"/>
        <v>6</v>
      </c>
      <c r="I5" s="23">
        <f t="shared" ref="I5" si="2">H5+1</f>
        <v>7</v>
      </c>
      <c r="J5" s="23">
        <f t="shared" ref="J5" si="3">I5+1</f>
        <v>8</v>
      </c>
      <c r="K5" s="23">
        <f t="shared" ref="K5" si="4">J5+1</f>
        <v>9</v>
      </c>
      <c r="L5" s="23">
        <f t="shared" ref="L5" si="5">K5+1</f>
        <v>10</v>
      </c>
      <c r="M5" s="23">
        <f t="shared" ref="M5" si="6">L5+1</f>
        <v>11</v>
      </c>
      <c r="N5" s="23">
        <f t="shared" ref="N5" si="7">M5+1</f>
        <v>12</v>
      </c>
      <c r="O5" s="23">
        <f t="shared" ref="O5" si="8">N5+1</f>
        <v>13</v>
      </c>
      <c r="P5" s="23">
        <f t="shared" ref="P5" si="9">O5+1</f>
        <v>14</v>
      </c>
      <c r="Q5" s="23">
        <f t="shared" ref="Q5" si="10">P5+1</f>
        <v>15</v>
      </c>
      <c r="R5" s="23">
        <f t="shared" ref="R5" si="11">Q5+1</f>
        <v>16</v>
      </c>
      <c r="S5" s="23">
        <f t="shared" ref="S5" si="12">R5+1</f>
        <v>17</v>
      </c>
      <c r="T5" s="23">
        <f t="shared" ref="T5" si="13">S5+1</f>
        <v>18</v>
      </c>
      <c r="U5" s="23">
        <f t="shared" ref="U5" si="14">T5+1</f>
        <v>19</v>
      </c>
      <c r="V5" s="23">
        <f t="shared" ref="V5" si="15">U5+1</f>
        <v>20</v>
      </c>
      <c r="W5" s="23">
        <f t="shared" ref="W5" si="16">V5+1</f>
        <v>21</v>
      </c>
      <c r="X5" s="23">
        <f t="shared" ref="X5" si="17">W5+1</f>
        <v>22</v>
      </c>
      <c r="Y5" s="23">
        <f t="shared" ref="Y5" si="18">X5+1</f>
        <v>23</v>
      </c>
      <c r="Z5" s="23">
        <f t="shared" ref="Z5" si="19">Y5+1</f>
        <v>24</v>
      </c>
      <c r="AA5" s="23">
        <f t="shared" ref="AA5" si="20">Z5+1</f>
        <v>25</v>
      </c>
      <c r="AB5" s="23">
        <f t="shared" ref="AB5:AC5" si="21">AA5+1</f>
        <v>26</v>
      </c>
      <c r="AC5" s="23">
        <f t="shared" si="21"/>
        <v>27</v>
      </c>
      <c r="AD5" s="23">
        <f t="shared" ref="AD5" si="22">AC5+1</f>
        <v>28</v>
      </c>
      <c r="AE5" s="23">
        <f t="shared" ref="AE5" si="23">AD5+1</f>
        <v>29</v>
      </c>
      <c r="AF5" s="23">
        <f t="shared" ref="AF5" si="24">AE5+1</f>
        <v>30</v>
      </c>
      <c r="AG5" s="23">
        <f t="shared" ref="AG5" si="25">AF5+1</f>
        <v>31</v>
      </c>
      <c r="AH5" s="23">
        <f t="shared" ref="AH5" si="26">AG5+1</f>
        <v>32</v>
      </c>
      <c r="AI5" s="23">
        <f t="shared" ref="AI5" si="27">AH5+1</f>
        <v>33</v>
      </c>
      <c r="AJ5" s="23">
        <f t="shared" ref="AJ5" si="28">AI5+1</f>
        <v>34</v>
      </c>
      <c r="AK5" s="23">
        <f t="shared" ref="AK5" si="29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2.1.14'!M3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Lake Charles Chtr'!K4</f>
        <v>0</v>
      </c>
      <c r="J7" s="210">
        <f>'[1]Feb midyear Lake Charles Chtr'!K4</f>
        <v>0</v>
      </c>
      <c r="K7" s="211">
        <f>I7+J7</f>
        <v>0</v>
      </c>
      <c r="L7" s="344">
        <f>+H7+K7</f>
        <v>0</v>
      </c>
      <c r="M7" s="273">
        <f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8*'[2]Table 5C1F-Lake Charles Charter'!S7</f>
        <v>0</v>
      </c>
      <c r="R7" s="210">
        <f>+P7-Q7</f>
        <v>0</v>
      </c>
      <c r="S7" s="350">
        <f t="shared" ref="S7:S38" si="30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Lake Charles Chtr'!E4</f>
        <v>0</v>
      </c>
      <c r="X7" s="276">
        <f>+U7*W7</f>
        <v>0</v>
      </c>
      <c r="Y7" s="883">
        <f>'[1]Feb midyear Lake Charles Chtr'!E4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8*'[2]Table 5C1F-Lake Charles Charter'!AI7</f>
        <v>0</v>
      </c>
      <c r="AH7" s="279">
        <f>+AF7-AG7</f>
        <v>0</v>
      </c>
      <c r="AI7" s="323">
        <f t="shared" ref="AI7:AI38" si="31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32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2.1.14'!M4</f>
        <v>0</v>
      </c>
      <c r="D8" s="201">
        <f>+'Table 5C1A-Madison Prep'!D8</f>
        <v>6316.6266417386641</v>
      </c>
      <c r="E8" s="202">
        <f t="shared" ref="E8:E71" si="33">C8*D8</f>
        <v>0</v>
      </c>
      <c r="F8" s="202">
        <f>+'Table 5C1A-Madison Prep'!F8</f>
        <v>842.32</v>
      </c>
      <c r="G8" s="202">
        <f t="shared" ref="G8:G71" si="34">C8*F8</f>
        <v>0</v>
      </c>
      <c r="H8" s="345">
        <f t="shared" ref="H8:H71" si="35">E8+G8</f>
        <v>0</v>
      </c>
      <c r="I8" s="203">
        <f>'[1]Oct midyear Lake Charles Chtr'!K5</f>
        <v>0</v>
      </c>
      <c r="J8" s="203">
        <f>'[1]Feb midyear Lake Charles Chtr'!K5</f>
        <v>0</v>
      </c>
      <c r="K8" s="204">
        <f t="shared" ref="K8:K71" si="36">I8+J8</f>
        <v>0</v>
      </c>
      <c r="L8" s="345">
        <f t="shared" ref="L8:L71" si="37">+H8+K8</f>
        <v>0</v>
      </c>
      <c r="M8" s="286">
        <f t="shared" ref="M8:M71" si="38">-(0.25%*L8)</f>
        <v>0</v>
      </c>
      <c r="N8" s="345">
        <f t="shared" ref="N8:N71" si="39">SUM(L8:M8)</f>
        <v>0</v>
      </c>
      <c r="O8" s="201">
        <v>0</v>
      </c>
      <c r="P8" s="351">
        <f t="shared" ref="P8:P71" si="40">SUM(N8:O8)</f>
        <v>0</v>
      </c>
      <c r="Q8" s="203">
        <f>8*'[2]Table 5C1F-Lake Charles Charter'!S8</f>
        <v>0</v>
      </c>
      <c r="R8" s="203">
        <f t="shared" ref="R8:R71" si="41">+P8-Q8</f>
        <v>0</v>
      </c>
      <c r="S8" s="351">
        <f t="shared" si="30"/>
        <v>0</v>
      </c>
      <c r="T8" s="351">
        <f t="shared" ref="T8:T71" si="42">+P8</f>
        <v>0</v>
      </c>
      <c r="U8" s="287">
        <f>'Table 5C1A-Madison Prep'!U8</f>
        <v>2786</v>
      </c>
      <c r="V8" s="328">
        <f t="shared" ref="V8:V71" si="43">C8*U8</f>
        <v>0</v>
      </c>
      <c r="W8" s="289">
        <f>'[1]Oct midyear Lake Charles Chtr'!E5</f>
        <v>0</v>
      </c>
      <c r="X8" s="290">
        <f t="shared" ref="X8:X71" si="44">+U8*W8</f>
        <v>0</v>
      </c>
      <c r="Y8" s="289">
        <f>'[1]Feb midyear Lake Charles Chtr'!E5</f>
        <v>0</v>
      </c>
      <c r="Z8" s="290">
        <f t="shared" ref="Z8:Z71" si="45">+U8*Y8*0.5</f>
        <v>0</v>
      </c>
      <c r="AA8" s="288">
        <f t="shared" ref="AA8:AA71" si="46">+X8+Z8</f>
        <v>0</v>
      </c>
      <c r="AB8" s="324">
        <f t="shared" ref="AB8:AB71" si="47">+V8+AA8</f>
        <v>0</v>
      </c>
      <c r="AC8" s="292">
        <f t="shared" ref="AC8:AC71" si="48">-(0.25%*AB8)</f>
        <v>0</v>
      </c>
      <c r="AD8" s="324">
        <f t="shared" ref="AD8:AD71" si="49">SUM(AB8:AC8)</f>
        <v>0</v>
      </c>
      <c r="AE8" s="293">
        <v>0</v>
      </c>
      <c r="AF8" s="324">
        <f t="shared" ref="AF8:AF71" si="50">SUM(AD8:AE8)</f>
        <v>0</v>
      </c>
      <c r="AG8" s="293">
        <f>8*'[2]Table 5C1F-Lake Charles Charter'!AI8</f>
        <v>0</v>
      </c>
      <c r="AH8" s="293">
        <f t="shared" ref="AH8:AH71" si="51">+AF8-AG8</f>
        <v>0</v>
      </c>
      <c r="AI8" s="324">
        <f t="shared" si="31"/>
        <v>0</v>
      </c>
      <c r="AJ8" s="321">
        <f t="shared" ref="AJ8:AJ71" si="52">T8+AF8</f>
        <v>0</v>
      </c>
      <c r="AK8" s="342">
        <f t="shared" ref="AK8:AK71" si="53">S8+AI8</f>
        <v>0</v>
      </c>
      <c r="AM8" s="286">
        <v>0</v>
      </c>
      <c r="AN8" s="286">
        <f t="shared" ref="AN8:AN71" si="54">+AC8</f>
        <v>0</v>
      </c>
      <c r="AO8" s="286">
        <f t="shared" si="32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2.1.14'!M5</f>
        <v>0</v>
      </c>
      <c r="D9" s="201">
        <f>+'Table 5C1A-Madison Prep'!D9</f>
        <v>4155.1862027396819</v>
      </c>
      <c r="E9" s="202">
        <f t="shared" si="33"/>
        <v>0</v>
      </c>
      <c r="F9" s="202">
        <f>+'Table 5C1A-Madison Prep'!F9</f>
        <v>596.84</v>
      </c>
      <c r="G9" s="202">
        <f t="shared" si="34"/>
        <v>0</v>
      </c>
      <c r="H9" s="345">
        <f t="shared" si="35"/>
        <v>0</v>
      </c>
      <c r="I9" s="203">
        <f>'[1]Oct midyear Lake Charles Chtr'!K6</f>
        <v>0</v>
      </c>
      <c r="J9" s="203">
        <f>'[1]Feb midyear Lake Charles Chtr'!K6</f>
        <v>0</v>
      </c>
      <c r="K9" s="204">
        <f t="shared" si="36"/>
        <v>0</v>
      </c>
      <c r="L9" s="345">
        <f t="shared" si="37"/>
        <v>0</v>
      </c>
      <c r="M9" s="286">
        <f t="shared" si="38"/>
        <v>0</v>
      </c>
      <c r="N9" s="345">
        <f t="shared" si="39"/>
        <v>0</v>
      </c>
      <c r="O9" s="201">
        <v>0</v>
      </c>
      <c r="P9" s="351">
        <f t="shared" si="40"/>
        <v>0</v>
      </c>
      <c r="Q9" s="203">
        <f>8*'[2]Table 5C1F-Lake Charles Charter'!S9</f>
        <v>0</v>
      </c>
      <c r="R9" s="203">
        <f t="shared" si="41"/>
        <v>0</v>
      </c>
      <c r="S9" s="351">
        <f t="shared" si="30"/>
        <v>0</v>
      </c>
      <c r="T9" s="351">
        <f t="shared" si="42"/>
        <v>0</v>
      </c>
      <c r="U9" s="287">
        <f>'Table 5C1A-Madison Prep'!U9</f>
        <v>5927</v>
      </c>
      <c r="V9" s="328">
        <f t="shared" si="43"/>
        <v>0</v>
      </c>
      <c r="W9" s="289">
        <f>'[1]Oct midyear Lake Charles Chtr'!E6</f>
        <v>0</v>
      </c>
      <c r="X9" s="290">
        <f t="shared" si="44"/>
        <v>0</v>
      </c>
      <c r="Y9" s="289">
        <f>'[1]Feb midyear Lake Charles Chtr'!E6</f>
        <v>0</v>
      </c>
      <c r="Z9" s="290">
        <f t="shared" si="45"/>
        <v>0</v>
      </c>
      <c r="AA9" s="288">
        <f t="shared" si="46"/>
        <v>0</v>
      </c>
      <c r="AB9" s="324">
        <f t="shared" si="47"/>
        <v>0</v>
      </c>
      <c r="AC9" s="292">
        <f t="shared" si="48"/>
        <v>0</v>
      </c>
      <c r="AD9" s="324">
        <f t="shared" si="49"/>
        <v>0</v>
      </c>
      <c r="AE9" s="293">
        <v>0</v>
      </c>
      <c r="AF9" s="324">
        <f t="shared" si="50"/>
        <v>0</v>
      </c>
      <c r="AG9" s="293">
        <f>8*'[2]Table 5C1F-Lake Charles Charter'!AI9</f>
        <v>0</v>
      </c>
      <c r="AH9" s="293">
        <f t="shared" si="51"/>
        <v>0</v>
      </c>
      <c r="AI9" s="324">
        <f t="shared" si="31"/>
        <v>0</v>
      </c>
      <c r="AJ9" s="321">
        <f t="shared" si="52"/>
        <v>0</v>
      </c>
      <c r="AK9" s="342">
        <f t="shared" si="53"/>
        <v>0</v>
      </c>
      <c r="AM9" s="286">
        <v>0</v>
      </c>
      <c r="AN9" s="286">
        <f t="shared" si="54"/>
        <v>0</v>
      </c>
      <c r="AO9" s="286">
        <f t="shared" si="32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2.1.14'!M6</f>
        <v>0</v>
      </c>
      <c r="D10" s="201">
        <f>+'Table 5C1A-Madison Prep'!D10</f>
        <v>6119.0581446878568</v>
      </c>
      <c r="E10" s="202">
        <f t="shared" si="33"/>
        <v>0</v>
      </c>
      <c r="F10" s="202">
        <f>+'Table 5C1A-Madison Prep'!F10</f>
        <v>585.76</v>
      </c>
      <c r="G10" s="202">
        <f t="shared" si="34"/>
        <v>0</v>
      </c>
      <c r="H10" s="345">
        <f t="shared" si="35"/>
        <v>0</v>
      </c>
      <c r="I10" s="203">
        <f>'[1]Oct midyear Lake Charles Chtr'!K7</f>
        <v>0</v>
      </c>
      <c r="J10" s="203">
        <f>'[1]Feb midyear Lake Charles Chtr'!K7</f>
        <v>0</v>
      </c>
      <c r="K10" s="204">
        <f t="shared" si="36"/>
        <v>0</v>
      </c>
      <c r="L10" s="345">
        <f t="shared" si="37"/>
        <v>0</v>
      </c>
      <c r="M10" s="286">
        <f t="shared" si="38"/>
        <v>0</v>
      </c>
      <c r="N10" s="345">
        <f t="shared" si="39"/>
        <v>0</v>
      </c>
      <c r="O10" s="201">
        <v>0</v>
      </c>
      <c r="P10" s="351">
        <f t="shared" si="40"/>
        <v>0</v>
      </c>
      <c r="Q10" s="203">
        <f>8*'[2]Table 5C1F-Lake Charles Charter'!S10</f>
        <v>0</v>
      </c>
      <c r="R10" s="203">
        <f t="shared" si="41"/>
        <v>0</v>
      </c>
      <c r="S10" s="351">
        <f t="shared" si="30"/>
        <v>0</v>
      </c>
      <c r="T10" s="351">
        <f t="shared" si="42"/>
        <v>0</v>
      </c>
      <c r="U10" s="287">
        <f>'Table 5C1A-Madison Prep'!U10</f>
        <v>4203</v>
      </c>
      <c r="V10" s="328">
        <f t="shared" si="43"/>
        <v>0</v>
      </c>
      <c r="W10" s="289">
        <f>'[1]Oct midyear Lake Charles Chtr'!E7</f>
        <v>0</v>
      </c>
      <c r="X10" s="290">
        <f t="shared" si="44"/>
        <v>0</v>
      </c>
      <c r="Y10" s="289">
        <f>'[1]Feb midyear Lake Charles Chtr'!E7</f>
        <v>0</v>
      </c>
      <c r="Z10" s="290">
        <f t="shared" si="45"/>
        <v>0</v>
      </c>
      <c r="AA10" s="288">
        <f t="shared" si="46"/>
        <v>0</v>
      </c>
      <c r="AB10" s="324">
        <f t="shared" si="47"/>
        <v>0</v>
      </c>
      <c r="AC10" s="292">
        <f t="shared" si="48"/>
        <v>0</v>
      </c>
      <c r="AD10" s="324">
        <f t="shared" si="49"/>
        <v>0</v>
      </c>
      <c r="AE10" s="293">
        <v>0</v>
      </c>
      <c r="AF10" s="324">
        <f t="shared" si="50"/>
        <v>0</v>
      </c>
      <c r="AG10" s="293">
        <f>8*'[2]Table 5C1F-Lake Charles Charter'!AI10</f>
        <v>0</v>
      </c>
      <c r="AH10" s="293">
        <f t="shared" si="51"/>
        <v>0</v>
      </c>
      <c r="AI10" s="324">
        <f t="shared" si="31"/>
        <v>0</v>
      </c>
      <c r="AJ10" s="321">
        <f t="shared" si="52"/>
        <v>0</v>
      </c>
      <c r="AK10" s="342">
        <f t="shared" si="53"/>
        <v>0</v>
      </c>
      <c r="AM10" s="286">
        <v>0</v>
      </c>
      <c r="AN10" s="286">
        <f t="shared" si="54"/>
        <v>0</v>
      </c>
      <c r="AO10" s="286">
        <f t="shared" si="32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2.1.14'!M7</f>
        <v>0</v>
      </c>
      <c r="D11" s="194">
        <f>+'Table 5C1A-Madison Prep'!D11</f>
        <v>5268.940566009911</v>
      </c>
      <c r="E11" s="195">
        <f t="shared" si="33"/>
        <v>0</v>
      </c>
      <c r="F11" s="195">
        <f>+'Table 5C1A-Madison Prep'!F11</f>
        <v>555.91</v>
      </c>
      <c r="G11" s="195">
        <f t="shared" si="34"/>
        <v>0</v>
      </c>
      <c r="H11" s="346">
        <f t="shared" si="35"/>
        <v>0</v>
      </c>
      <c r="I11" s="196">
        <f>'[1]Oct midyear Lake Charles Chtr'!K8</f>
        <v>0</v>
      </c>
      <c r="J11" s="196">
        <f>'[1]Feb midyear Lake Charles Chtr'!K8</f>
        <v>0</v>
      </c>
      <c r="K11" s="197">
        <f t="shared" si="36"/>
        <v>0</v>
      </c>
      <c r="L11" s="346">
        <f t="shared" si="37"/>
        <v>0</v>
      </c>
      <c r="M11" s="296">
        <f t="shared" si="38"/>
        <v>0</v>
      </c>
      <c r="N11" s="346">
        <f t="shared" si="39"/>
        <v>0</v>
      </c>
      <c r="O11" s="194">
        <v>0</v>
      </c>
      <c r="P11" s="352">
        <f t="shared" si="40"/>
        <v>0</v>
      </c>
      <c r="Q11" s="196">
        <f>8*'[2]Table 5C1F-Lake Charles Charter'!S11</f>
        <v>0</v>
      </c>
      <c r="R11" s="196">
        <f t="shared" si="41"/>
        <v>0</v>
      </c>
      <c r="S11" s="352">
        <f t="shared" si="30"/>
        <v>0</v>
      </c>
      <c r="T11" s="352">
        <f t="shared" si="42"/>
        <v>0</v>
      </c>
      <c r="U11" s="281">
        <f>'Table 5C1A-Madison Prep'!U11</f>
        <v>1923</v>
      </c>
      <c r="V11" s="329">
        <f t="shared" si="43"/>
        <v>0</v>
      </c>
      <c r="W11" s="884">
        <f>'[1]Oct midyear Lake Charles Chtr'!E8</f>
        <v>0</v>
      </c>
      <c r="X11" s="282">
        <f t="shared" si="44"/>
        <v>0</v>
      </c>
      <c r="Y11" s="884">
        <f>'[1]Feb midyear Lake Charles Chtr'!E8</f>
        <v>0</v>
      </c>
      <c r="Z11" s="282">
        <f t="shared" si="45"/>
        <v>0</v>
      </c>
      <c r="AA11" s="283">
        <f t="shared" si="46"/>
        <v>0</v>
      </c>
      <c r="AB11" s="325">
        <f t="shared" si="47"/>
        <v>0</v>
      </c>
      <c r="AC11" s="298">
        <f t="shared" si="48"/>
        <v>0</v>
      </c>
      <c r="AD11" s="325">
        <f t="shared" si="49"/>
        <v>0</v>
      </c>
      <c r="AE11" s="284">
        <v>0</v>
      </c>
      <c r="AF11" s="325">
        <f t="shared" si="50"/>
        <v>0</v>
      </c>
      <c r="AG11" s="284">
        <f>8*'[2]Table 5C1F-Lake Charles Charter'!AI11</f>
        <v>0</v>
      </c>
      <c r="AH11" s="284">
        <f t="shared" si="51"/>
        <v>0</v>
      </c>
      <c r="AI11" s="325">
        <f t="shared" si="31"/>
        <v>0</v>
      </c>
      <c r="AJ11" s="338">
        <f t="shared" si="52"/>
        <v>0</v>
      </c>
      <c r="AK11" s="343">
        <f t="shared" si="53"/>
        <v>0</v>
      </c>
      <c r="AM11" s="296">
        <v>0</v>
      </c>
      <c r="AN11" s="296">
        <f t="shared" si="54"/>
        <v>0</v>
      </c>
      <c r="AO11" s="296">
        <f t="shared" si="32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2.1.14'!M8</f>
        <v>0</v>
      </c>
      <c r="D12" s="208">
        <f>+'Table 5C1A-Madison Prep'!D12</f>
        <v>5378.5086124955869</v>
      </c>
      <c r="E12" s="209">
        <f t="shared" si="33"/>
        <v>0</v>
      </c>
      <c r="F12" s="209">
        <f>+'Table 5C1A-Madison Prep'!F12</f>
        <v>545.4799999999999</v>
      </c>
      <c r="G12" s="209">
        <f t="shared" si="34"/>
        <v>0</v>
      </c>
      <c r="H12" s="344">
        <f t="shared" si="35"/>
        <v>0</v>
      </c>
      <c r="I12" s="210">
        <f>'[1]Oct midyear Lake Charles Chtr'!K9</f>
        <v>0</v>
      </c>
      <c r="J12" s="210">
        <f>'[1]Feb midyear Lake Charles Chtr'!K9</f>
        <v>0</v>
      </c>
      <c r="K12" s="211">
        <f t="shared" si="36"/>
        <v>0</v>
      </c>
      <c r="L12" s="344">
        <f t="shared" si="37"/>
        <v>0</v>
      </c>
      <c r="M12" s="273">
        <f t="shared" si="38"/>
        <v>0</v>
      </c>
      <c r="N12" s="344">
        <f t="shared" si="39"/>
        <v>0</v>
      </c>
      <c r="O12" s="208">
        <v>0</v>
      </c>
      <c r="P12" s="350">
        <f t="shared" si="40"/>
        <v>0</v>
      </c>
      <c r="Q12" s="210">
        <f>8*'[2]Table 5C1F-Lake Charles Charter'!S12</f>
        <v>0</v>
      </c>
      <c r="R12" s="210">
        <f t="shared" si="41"/>
        <v>0</v>
      </c>
      <c r="S12" s="350">
        <f t="shared" si="30"/>
        <v>0</v>
      </c>
      <c r="T12" s="350">
        <f t="shared" si="42"/>
        <v>0</v>
      </c>
      <c r="U12" s="274">
        <f>'Table 5C1A-Madison Prep'!U12</f>
        <v>4057</v>
      </c>
      <c r="V12" s="327">
        <f t="shared" si="43"/>
        <v>0</v>
      </c>
      <c r="W12" s="883">
        <f>'[1]Oct midyear Lake Charles Chtr'!E9</f>
        <v>0</v>
      </c>
      <c r="X12" s="276">
        <f t="shared" si="44"/>
        <v>0</v>
      </c>
      <c r="Y12" s="883">
        <f>'[1]Feb midyear Lake Charles Chtr'!E9</f>
        <v>0</v>
      </c>
      <c r="Z12" s="276">
        <f t="shared" si="45"/>
        <v>0</v>
      </c>
      <c r="AA12" s="275">
        <f t="shared" si="46"/>
        <v>0</v>
      </c>
      <c r="AB12" s="323">
        <f t="shared" si="47"/>
        <v>0</v>
      </c>
      <c r="AC12" s="278">
        <f t="shared" si="48"/>
        <v>0</v>
      </c>
      <c r="AD12" s="323">
        <f t="shared" si="49"/>
        <v>0</v>
      </c>
      <c r="AE12" s="279">
        <v>0</v>
      </c>
      <c r="AF12" s="323">
        <f t="shared" si="50"/>
        <v>0</v>
      </c>
      <c r="AG12" s="279">
        <f>8*'[2]Table 5C1F-Lake Charles Charter'!AI12</f>
        <v>0</v>
      </c>
      <c r="AH12" s="279">
        <f t="shared" si="51"/>
        <v>0</v>
      </c>
      <c r="AI12" s="323">
        <f t="shared" si="31"/>
        <v>0</v>
      </c>
      <c r="AJ12" s="337">
        <f t="shared" si="52"/>
        <v>0</v>
      </c>
      <c r="AK12" s="341">
        <f t="shared" si="53"/>
        <v>0</v>
      </c>
      <c r="AM12" s="273">
        <v>0</v>
      </c>
      <c r="AN12" s="273">
        <f t="shared" si="54"/>
        <v>0</v>
      </c>
      <c r="AO12" s="273">
        <f t="shared" si="32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2.1.14'!M9</f>
        <v>0</v>
      </c>
      <c r="D13" s="201">
        <f>+'Table 5C1A-Madison Prep'!D13</f>
        <v>2243.0031963470319</v>
      </c>
      <c r="E13" s="202">
        <f t="shared" si="33"/>
        <v>0</v>
      </c>
      <c r="F13" s="202">
        <f>+'Table 5C1A-Madison Prep'!F13</f>
        <v>756.91999999999985</v>
      </c>
      <c r="G13" s="202">
        <f t="shared" si="34"/>
        <v>0</v>
      </c>
      <c r="H13" s="345">
        <f t="shared" si="35"/>
        <v>0</v>
      </c>
      <c r="I13" s="203">
        <f>'[1]Oct midyear Lake Charles Chtr'!K10</f>
        <v>0</v>
      </c>
      <c r="J13" s="203">
        <f>'[1]Feb midyear Lake Charles Chtr'!K10</f>
        <v>0</v>
      </c>
      <c r="K13" s="204">
        <f t="shared" si="36"/>
        <v>0</v>
      </c>
      <c r="L13" s="345">
        <f t="shared" si="37"/>
        <v>0</v>
      </c>
      <c r="M13" s="286">
        <f t="shared" si="38"/>
        <v>0</v>
      </c>
      <c r="N13" s="345">
        <f t="shared" si="39"/>
        <v>0</v>
      </c>
      <c r="O13" s="201">
        <v>0</v>
      </c>
      <c r="P13" s="351">
        <f t="shared" si="40"/>
        <v>0</v>
      </c>
      <c r="Q13" s="203">
        <f>8*'[2]Table 5C1F-Lake Charles Charter'!S13</f>
        <v>0</v>
      </c>
      <c r="R13" s="203">
        <f t="shared" si="41"/>
        <v>0</v>
      </c>
      <c r="S13" s="351">
        <f t="shared" si="30"/>
        <v>0</v>
      </c>
      <c r="T13" s="351">
        <f t="shared" si="42"/>
        <v>0</v>
      </c>
      <c r="U13" s="287">
        <f>'Table 5C1A-Madison Prep'!U13</f>
        <v>12112</v>
      </c>
      <c r="V13" s="328">
        <f t="shared" si="43"/>
        <v>0</v>
      </c>
      <c r="W13" s="289">
        <f>'[1]Oct midyear Lake Charles Chtr'!E10</f>
        <v>0</v>
      </c>
      <c r="X13" s="290">
        <f t="shared" si="44"/>
        <v>0</v>
      </c>
      <c r="Y13" s="289">
        <f>'[1]Feb midyear Lake Charles Chtr'!E10</f>
        <v>0</v>
      </c>
      <c r="Z13" s="290">
        <f t="shared" si="45"/>
        <v>0</v>
      </c>
      <c r="AA13" s="288">
        <f t="shared" si="46"/>
        <v>0</v>
      </c>
      <c r="AB13" s="324">
        <f t="shared" si="47"/>
        <v>0</v>
      </c>
      <c r="AC13" s="292">
        <f t="shared" si="48"/>
        <v>0</v>
      </c>
      <c r="AD13" s="324">
        <f t="shared" si="49"/>
        <v>0</v>
      </c>
      <c r="AE13" s="293">
        <v>0</v>
      </c>
      <c r="AF13" s="324">
        <f t="shared" si="50"/>
        <v>0</v>
      </c>
      <c r="AG13" s="293">
        <f>8*'[2]Table 5C1F-Lake Charles Charter'!AI13</f>
        <v>0</v>
      </c>
      <c r="AH13" s="293">
        <f t="shared" si="51"/>
        <v>0</v>
      </c>
      <c r="AI13" s="324">
        <f t="shared" si="31"/>
        <v>0</v>
      </c>
      <c r="AJ13" s="321">
        <f t="shared" si="52"/>
        <v>0</v>
      </c>
      <c r="AK13" s="342">
        <f t="shared" si="53"/>
        <v>0</v>
      </c>
      <c r="AM13" s="286">
        <v>0</v>
      </c>
      <c r="AN13" s="286">
        <f t="shared" si="54"/>
        <v>0</v>
      </c>
      <c r="AO13" s="286">
        <f t="shared" si="32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2.1.14'!M10</f>
        <v>0</v>
      </c>
      <c r="D14" s="201">
        <f>+'Table 5C1A-Madison Prep'!D14</f>
        <v>4669.802459558854</v>
      </c>
      <c r="E14" s="202">
        <f t="shared" si="33"/>
        <v>0</v>
      </c>
      <c r="F14" s="202">
        <f>+'Table 5C1A-Madison Prep'!F14</f>
        <v>725.76</v>
      </c>
      <c r="G14" s="202">
        <f t="shared" si="34"/>
        <v>0</v>
      </c>
      <c r="H14" s="345">
        <f t="shared" si="35"/>
        <v>0</v>
      </c>
      <c r="I14" s="203">
        <f>'[1]Oct midyear Lake Charles Chtr'!K11</f>
        <v>0</v>
      </c>
      <c r="J14" s="203">
        <f>'[1]Feb midyear Lake Charles Chtr'!K11</f>
        <v>0</v>
      </c>
      <c r="K14" s="204">
        <f t="shared" si="36"/>
        <v>0</v>
      </c>
      <c r="L14" s="345">
        <f t="shared" si="37"/>
        <v>0</v>
      </c>
      <c r="M14" s="286">
        <f t="shared" si="38"/>
        <v>0</v>
      </c>
      <c r="N14" s="345">
        <f t="shared" si="39"/>
        <v>0</v>
      </c>
      <c r="O14" s="201">
        <v>0</v>
      </c>
      <c r="P14" s="351">
        <f t="shared" si="40"/>
        <v>0</v>
      </c>
      <c r="Q14" s="203">
        <f>8*'[2]Table 5C1F-Lake Charles Charter'!S14</f>
        <v>0</v>
      </c>
      <c r="R14" s="203">
        <f t="shared" si="41"/>
        <v>0</v>
      </c>
      <c r="S14" s="351">
        <f t="shared" si="30"/>
        <v>0</v>
      </c>
      <c r="T14" s="351">
        <f t="shared" si="42"/>
        <v>0</v>
      </c>
      <c r="U14" s="287">
        <f>'Table 5C1A-Madison Prep'!U14</f>
        <v>4124</v>
      </c>
      <c r="V14" s="328">
        <f t="shared" si="43"/>
        <v>0</v>
      </c>
      <c r="W14" s="289">
        <f>'[1]Oct midyear Lake Charles Chtr'!E11</f>
        <v>0</v>
      </c>
      <c r="X14" s="290">
        <f t="shared" si="44"/>
        <v>0</v>
      </c>
      <c r="Y14" s="289">
        <f>'[1]Feb midyear Lake Charles Chtr'!E11</f>
        <v>0</v>
      </c>
      <c r="Z14" s="290">
        <f t="shared" si="45"/>
        <v>0</v>
      </c>
      <c r="AA14" s="288">
        <f t="shared" si="46"/>
        <v>0</v>
      </c>
      <c r="AB14" s="324">
        <f t="shared" si="47"/>
        <v>0</v>
      </c>
      <c r="AC14" s="292">
        <f t="shared" si="48"/>
        <v>0</v>
      </c>
      <c r="AD14" s="324">
        <f t="shared" si="49"/>
        <v>0</v>
      </c>
      <c r="AE14" s="293">
        <v>0</v>
      </c>
      <c r="AF14" s="324">
        <f t="shared" si="50"/>
        <v>0</v>
      </c>
      <c r="AG14" s="293">
        <f>8*'[2]Table 5C1F-Lake Charles Charter'!AI14</f>
        <v>0</v>
      </c>
      <c r="AH14" s="293">
        <f t="shared" si="51"/>
        <v>0</v>
      </c>
      <c r="AI14" s="324">
        <f t="shared" si="31"/>
        <v>0</v>
      </c>
      <c r="AJ14" s="321">
        <f t="shared" si="52"/>
        <v>0</v>
      </c>
      <c r="AK14" s="342">
        <f t="shared" si="53"/>
        <v>0</v>
      </c>
      <c r="AM14" s="286">
        <v>0</v>
      </c>
      <c r="AN14" s="286">
        <f t="shared" si="54"/>
        <v>0</v>
      </c>
      <c r="AO14" s="286">
        <f t="shared" si="32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2.1.14'!M11</f>
        <v>0</v>
      </c>
      <c r="D15" s="201">
        <f>+'Table 5C1A-Madison Prep'!D15</f>
        <v>4632.4615072045008</v>
      </c>
      <c r="E15" s="202">
        <f t="shared" si="33"/>
        <v>0</v>
      </c>
      <c r="F15" s="202">
        <f>+'Table 5C1A-Madison Prep'!F15</f>
        <v>744.76</v>
      </c>
      <c r="G15" s="202">
        <f t="shared" si="34"/>
        <v>0</v>
      </c>
      <c r="H15" s="345">
        <f t="shared" si="35"/>
        <v>0</v>
      </c>
      <c r="I15" s="203">
        <f>'[1]Oct midyear Lake Charles Chtr'!K12</f>
        <v>0</v>
      </c>
      <c r="J15" s="203">
        <f>'[1]Feb midyear Lake Charles Chtr'!K12</f>
        <v>0</v>
      </c>
      <c r="K15" s="204">
        <f t="shared" si="36"/>
        <v>0</v>
      </c>
      <c r="L15" s="345">
        <f t="shared" si="37"/>
        <v>0</v>
      </c>
      <c r="M15" s="286">
        <f t="shared" si="38"/>
        <v>0</v>
      </c>
      <c r="N15" s="345">
        <f t="shared" si="39"/>
        <v>0</v>
      </c>
      <c r="O15" s="201">
        <v>0</v>
      </c>
      <c r="P15" s="351">
        <f t="shared" si="40"/>
        <v>0</v>
      </c>
      <c r="Q15" s="203">
        <f>8*'[2]Table 5C1F-Lake Charles Charter'!S15</f>
        <v>0</v>
      </c>
      <c r="R15" s="203">
        <f t="shared" si="41"/>
        <v>0</v>
      </c>
      <c r="S15" s="351">
        <f t="shared" si="30"/>
        <v>0</v>
      </c>
      <c r="T15" s="351">
        <f t="shared" si="42"/>
        <v>0</v>
      </c>
      <c r="U15" s="287">
        <f>'Table 5C1A-Madison Prep'!U15</f>
        <v>4901</v>
      </c>
      <c r="V15" s="328">
        <f t="shared" si="43"/>
        <v>0</v>
      </c>
      <c r="W15" s="289">
        <f>'[1]Oct midyear Lake Charles Chtr'!E12</f>
        <v>0</v>
      </c>
      <c r="X15" s="290">
        <f t="shared" si="44"/>
        <v>0</v>
      </c>
      <c r="Y15" s="289">
        <f>'[1]Feb midyear Lake Charles Chtr'!E12</f>
        <v>0</v>
      </c>
      <c r="Z15" s="290">
        <f t="shared" si="45"/>
        <v>0</v>
      </c>
      <c r="AA15" s="288">
        <f t="shared" si="46"/>
        <v>0</v>
      </c>
      <c r="AB15" s="324">
        <f t="shared" si="47"/>
        <v>0</v>
      </c>
      <c r="AC15" s="292">
        <f t="shared" si="48"/>
        <v>0</v>
      </c>
      <c r="AD15" s="324">
        <f t="shared" si="49"/>
        <v>0</v>
      </c>
      <c r="AE15" s="293">
        <v>0</v>
      </c>
      <c r="AF15" s="324">
        <f t="shared" si="50"/>
        <v>0</v>
      </c>
      <c r="AG15" s="293">
        <f>8*'[2]Table 5C1F-Lake Charles Charter'!AI15</f>
        <v>0</v>
      </c>
      <c r="AH15" s="293">
        <f t="shared" si="51"/>
        <v>0</v>
      </c>
      <c r="AI15" s="324">
        <f t="shared" si="31"/>
        <v>0</v>
      </c>
      <c r="AJ15" s="321">
        <f t="shared" si="52"/>
        <v>0</v>
      </c>
      <c r="AK15" s="342">
        <f t="shared" si="53"/>
        <v>0</v>
      </c>
      <c r="AM15" s="286">
        <v>0</v>
      </c>
      <c r="AN15" s="286">
        <f t="shared" si="54"/>
        <v>0</v>
      </c>
      <c r="AO15" s="286">
        <f t="shared" si="32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2.1.14'!M12</f>
        <v>865</v>
      </c>
      <c r="D16" s="194">
        <f>+'Table 5C1A-Madison Prep'!D16</f>
        <v>4384.374733918472</v>
      </c>
      <c r="E16" s="195">
        <f t="shared" si="33"/>
        <v>3792484.1448394782</v>
      </c>
      <c r="F16" s="195">
        <f>+'Table 5C1A-Madison Prep'!F16</f>
        <v>608.04000000000008</v>
      </c>
      <c r="G16" s="195">
        <f t="shared" si="34"/>
        <v>525954.60000000009</v>
      </c>
      <c r="H16" s="346">
        <f t="shared" si="35"/>
        <v>4318438.7448394783</v>
      </c>
      <c r="I16" s="196">
        <f>'[1]Oct midyear Lake Charles Chtr'!K13</f>
        <v>-24962.073669592359</v>
      </c>
      <c r="J16" s="196">
        <f>'[1]Feb midyear Lake Charles Chtr'!K13</f>
        <v>-2496.207366959236</v>
      </c>
      <c r="K16" s="197">
        <f t="shared" si="36"/>
        <v>-27458.281036551594</v>
      </c>
      <c r="L16" s="346">
        <f t="shared" si="37"/>
        <v>4290980.4638029262</v>
      </c>
      <c r="M16" s="296">
        <f t="shared" si="38"/>
        <v>-10727.451159507316</v>
      </c>
      <c r="N16" s="346">
        <f t="shared" si="39"/>
        <v>4280253.0126434192</v>
      </c>
      <c r="O16" s="194">
        <v>0</v>
      </c>
      <c r="P16" s="352">
        <f t="shared" si="40"/>
        <v>4280253.0126434192</v>
      </c>
      <c r="Q16" s="196">
        <f>8*'[2]Table 5C1F-Lake Charles Charter'!S16</f>
        <v>2871760</v>
      </c>
      <c r="R16" s="196">
        <f t="shared" si="41"/>
        <v>1408493.0126434192</v>
      </c>
      <c r="S16" s="352">
        <f t="shared" si="30"/>
        <v>352123</v>
      </c>
      <c r="T16" s="352">
        <f t="shared" si="42"/>
        <v>4280253.0126434192</v>
      </c>
      <c r="U16" s="281">
        <f>'Table 5C1A-Madison Prep'!U16</f>
        <v>4619</v>
      </c>
      <c r="V16" s="329">
        <f t="shared" si="43"/>
        <v>3995435</v>
      </c>
      <c r="W16" s="884">
        <f>'[1]Oct midyear Lake Charles Chtr'!E13</f>
        <v>-5</v>
      </c>
      <c r="X16" s="282">
        <f t="shared" si="44"/>
        <v>-23095</v>
      </c>
      <c r="Y16" s="884">
        <f>'[1]Feb midyear Lake Charles Chtr'!E13</f>
        <v>-1</v>
      </c>
      <c r="Z16" s="282">
        <f t="shared" si="45"/>
        <v>-2309.5</v>
      </c>
      <c r="AA16" s="283">
        <f t="shared" si="46"/>
        <v>-25404.5</v>
      </c>
      <c r="AB16" s="325">
        <f t="shared" si="47"/>
        <v>3970030.5</v>
      </c>
      <c r="AC16" s="298">
        <f t="shared" si="48"/>
        <v>-9925.0762500000001</v>
      </c>
      <c r="AD16" s="325">
        <f t="shared" si="49"/>
        <v>3960105.4237500001</v>
      </c>
      <c r="AE16" s="284">
        <v>0</v>
      </c>
      <c r="AF16" s="325">
        <f t="shared" si="50"/>
        <v>3960105.4237500001</v>
      </c>
      <c r="AG16" s="284">
        <f>8*'[2]Table 5C1F-Lake Charles Charter'!AI16</f>
        <v>2625904</v>
      </c>
      <c r="AH16" s="284">
        <f t="shared" si="51"/>
        <v>1334201.4237500001</v>
      </c>
      <c r="AI16" s="325">
        <f t="shared" si="31"/>
        <v>333550</v>
      </c>
      <c r="AJ16" s="338">
        <f t="shared" si="52"/>
        <v>8240358.4363934193</v>
      </c>
      <c r="AK16" s="343">
        <f t="shared" si="53"/>
        <v>685673</v>
      </c>
      <c r="AM16" s="296">
        <v>-9871.8125</v>
      </c>
      <c r="AN16" s="296">
        <f t="shared" si="54"/>
        <v>-9925.0762500000001</v>
      </c>
      <c r="AO16" s="296">
        <f t="shared" si="32"/>
        <v>-53.263750000000073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2.1.14'!M13</f>
        <v>0</v>
      </c>
      <c r="D17" s="208">
        <f>+'Table 5C1A-Madison Prep'!D17</f>
        <v>7098.5372236353351</v>
      </c>
      <c r="E17" s="209">
        <f t="shared" si="33"/>
        <v>0</v>
      </c>
      <c r="F17" s="209">
        <f>+'Table 5C1A-Madison Prep'!F17</f>
        <v>706.55</v>
      </c>
      <c r="G17" s="209">
        <f t="shared" si="34"/>
        <v>0</v>
      </c>
      <c r="H17" s="344">
        <f t="shared" si="35"/>
        <v>0</v>
      </c>
      <c r="I17" s="210">
        <f>'[1]Oct midyear Lake Charles Chtr'!K14</f>
        <v>0</v>
      </c>
      <c r="J17" s="210">
        <f>'[1]Feb midyear Lake Charles Chtr'!K14</f>
        <v>0</v>
      </c>
      <c r="K17" s="211">
        <f t="shared" si="36"/>
        <v>0</v>
      </c>
      <c r="L17" s="344">
        <f t="shared" si="37"/>
        <v>0</v>
      </c>
      <c r="M17" s="273">
        <f t="shared" si="38"/>
        <v>0</v>
      </c>
      <c r="N17" s="344">
        <f t="shared" si="39"/>
        <v>0</v>
      </c>
      <c r="O17" s="208">
        <v>0</v>
      </c>
      <c r="P17" s="350">
        <f t="shared" si="40"/>
        <v>0</v>
      </c>
      <c r="Q17" s="210">
        <f>8*'[2]Table 5C1F-Lake Charles Charter'!S17</f>
        <v>0</v>
      </c>
      <c r="R17" s="210">
        <f t="shared" si="41"/>
        <v>0</v>
      </c>
      <c r="S17" s="350">
        <f t="shared" si="30"/>
        <v>0</v>
      </c>
      <c r="T17" s="350">
        <f t="shared" si="42"/>
        <v>0</v>
      </c>
      <c r="U17" s="274">
        <f>'Table 5C1A-Madison Prep'!U17</f>
        <v>3580</v>
      </c>
      <c r="V17" s="327">
        <f t="shared" si="43"/>
        <v>0</v>
      </c>
      <c r="W17" s="883">
        <f>'[1]Oct midyear Lake Charles Chtr'!E14</f>
        <v>0</v>
      </c>
      <c r="X17" s="276">
        <f t="shared" si="44"/>
        <v>0</v>
      </c>
      <c r="Y17" s="883">
        <f>'[1]Feb midyear Lake Charles Chtr'!E14</f>
        <v>0</v>
      </c>
      <c r="Z17" s="276">
        <f t="shared" si="45"/>
        <v>0</v>
      </c>
      <c r="AA17" s="275">
        <f t="shared" si="46"/>
        <v>0</v>
      </c>
      <c r="AB17" s="323">
        <f t="shared" si="47"/>
        <v>0</v>
      </c>
      <c r="AC17" s="278">
        <f t="shared" si="48"/>
        <v>0</v>
      </c>
      <c r="AD17" s="323">
        <f t="shared" si="49"/>
        <v>0</v>
      </c>
      <c r="AE17" s="279">
        <v>0</v>
      </c>
      <c r="AF17" s="323">
        <f t="shared" si="50"/>
        <v>0</v>
      </c>
      <c r="AG17" s="279">
        <f>8*'[2]Table 5C1F-Lake Charles Charter'!AI17</f>
        <v>0</v>
      </c>
      <c r="AH17" s="279">
        <f t="shared" si="51"/>
        <v>0</v>
      </c>
      <c r="AI17" s="323">
        <f t="shared" si="31"/>
        <v>0</v>
      </c>
      <c r="AJ17" s="337">
        <f t="shared" si="52"/>
        <v>0</v>
      </c>
      <c r="AK17" s="341">
        <f t="shared" si="53"/>
        <v>0</v>
      </c>
      <c r="AM17" s="273">
        <v>0</v>
      </c>
      <c r="AN17" s="273">
        <f t="shared" si="54"/>
        <v>0</v>
      </c>
      <c r="AO17" s="273">
        <f t="shared" si="32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2.1.14'!M14</f>
        <v>0</v>
      </c>
      <c r="D18" s="201">
        <f>+'Table 5C1A-Madison Prep'!D18</f>
        <v>1666.6040983606558</v>
      </c>
      <c r="E18" s="202">
        <f t="shared" si="33"/>
        <v>0</v>
      </c>
      <c r="F18" s="202">
        <f>+'Table 5C1A-Madison Prep'!F18</f>
        <v>1063.31</v>
      </c>
      <c r="G18" s="202">
        <f t="shared" si="34"/>
        <v>0</v>
      </c>
      <c r="H18" s="345">
        <f t="shared" si="35"/>
        <v>0</v>
      </c>
      <c r="I18" s="203">
        <f>'[1]Oct midyear Lake Charles Chtr'!K15</f>
        <v>0</v>
      </c>
      <c r="J18" s="203">
        <f>'[1]Feb midyear Lake Charles Chtr'!K15</f>
        <v>0</v>
      </c>
      <c r="K18" s="204">
        <f t="shared" si="36"/>
        <v>0</v>
      </c>
      <c r="L18" s="345">
        <f t="shared" si="37"/>
        <v>0</v>
      </c>
      <c r="M18" s="286">
        <f t="shared" si="38"/>
        <v>0</v>
      </c>
      <c r="N18" s="345">
        <f t="shared" si="39"/>
        <v>0</v>
      </c>
      <c r="O18" s="201">
        <v>0</v>
      </c>
      <c r="P18" s="351">
        <f t="shared" si="40"/>
        <v>0</v>
      </c>
      <c r="Q18" s="203">
        <f>8*'[2]Table 5C1F-Lake Charles Charter'!S18</f>
        <v>0</v>
      </c>
      <c r="R18" s="203">
        <f t="shared" si="41"/>
        <v>0</v>
      </c>
      <c r="S18" s="351">
        <f t="shared" si="30"/>
        <v>0</v>
      </c>
      <c r="T18" s="351">
        <f t="shared" si="42"/>
        <v>0</v>
      </c>
      <c r="U18" s="287">
        <f>'Table 5C1A-Madison Prep'!U18</f>
        <v>8094</v>
      </c>
      <c r="V18" s="328">
        <f t="shared" si="43"/>
        <v>0</v>
      </c>
      <c r="W18" s="289">
        <f>'[1]Oct midyear Lake Charles Chtr'!E15</f>
        <v>0</v>
      </c>
      <c r="X18" s="290">
        <f t="shared" si="44"/>
        <v>0</v>
      </c>
      <c r="Y18" s="289">
        <f>'[1]Feb midyear Lake Charles Chtr'!E15</f>
        <v>0</v>
      </c>
      <c r="Z18" s="290">
        <f t="shared" si="45"/>
        <v>0</v>
      </c>
      <c r="AA18" s="288">
        <f t="shared" si="46"/>
        <v>0</v>
      </c>
      <c r="AB18" s="324">
        <f t="shared" si="47"/>
        <v>0</v>
      </c>
      <c r="AC18" s="292">
        <f t="shared" si="48"/>
        <v>0</v>
      </c>
      <c r="AD18" s="324">
        <f t="shared" si="49"/>
        <v>0</v>
      </c>
      <c r="AE18" s="293">
        <v>0</v>
      </c>
      <c r="AF18" s="324">
        <f t="shared" si="50"/>
        <v>0</v>
      </c>
      <c r="AG18" s="293">
        <f>8*'[2]Table 5C1F-Lake Charles Charter'!AI18</f>
        <v>0</v>
      </c>
      <c r="AH18" s="293">
        <f t="shared" si="51"/>
        <v>0</v>
      </c>
      <c r="AI18" s="324">
        <f t="shared" si="31"/>
        <v>0</v>
      </c>
      <c r="AJ18" s="321">
        <f t="shared" si="52"/>
        <v>0</v>
      </c>
      <c r="AK18" s="342">
        <f t="shared" si="53"/>
        <v>0</v>
      </c>
      <c r="AM18" s="286">
        <v>0</v>
      </c>
      <c r="AN18" s="286">
        <f t="shared" si="54"/>
        <v>0</v>
      </c>
      <c r="AO18" s="286">
        <f t="shared" si="32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2.1.14'!M15</f>
        <v>0</v>
      </c>
      <c r="D19" s="201">
        <f>+'Table 5C1A-Madison Prep'!D19</f>
        <v>6433.6297758332212</v>
      </c>
      <c r="E19" s="202">
        <f t="shared" si="33"/>
        <v>0</v>
      </c>
      <c r="F19" s="202">
        <f>+'Table 5C1A-Madison Prep'!F19</f>
        <v>749.43000000000006</v>
      </c>
      <c r="G19" s="202">
        <f t="shared" si="34"/>
        <v>0</v>
      </c>
      <c r="H19" s="345">
        <f t="shared" si="35"/>
        <v>0</v>
      </c>
      <c r="I19" s="203">
        <f>'[1]Oct midyear Lake Charles Chtr'!K16</f>
        <v>0</v>
      </c>
      <c r="J19" s="203">
        <f>'[1]Feb midyear Lake Charles Chtr'!K16</f>
        <v>0</v>
      </c>
      <c r="K19" s="204">
        <f t="shared" si="36"/>
        <v>0</v>
      </c>
      <c r="L19" s="345">
        <f t="shared" si="37"/>
        <v>0</v>
      </c>
      <c r="M19" s="286">
        <f t="shared" si="38"/>
        <v>0</v>
      </c>
      <c r="N19" s="345">
        <f t="shared" si="39"/>
        <v>0</v>
      </c>
      <c r="O19" s="201">
        <v>0</v>
      </c>
      <c r="P19" s="351">
        <f t="shared" si="40"/>
        <v>0</v>
      </c>
      <c r="Q19" s="203">
        <f>8*'[2]Table 5C1F-Lake Charles Charter'!S19</f>
        <v>0</v>
      </c>
      <c r="R19" s="203">
        <f t="shared" si="41"/>
        <v>0</v>
      </c>
      <c r="S19" s="351">
        <f t="shared" si="30"/>
        <v>0</v>
      </c>
      <c r="T19" s="351">
        <f t="shared" si="42"/>
        <v>0</v>
      </c>
      <c r="U19" s="287">
        <f>'Table 5C1A-Madison Prep'!U19</f>
        <v>2762</v>
      </c>
      <c r="V19" s="328">
        <f t="shared" si="43"/>
        <v>0</v>
      </c>
      <c r="W19" s="289">
        <f>'[1]Oct midyear Lake Charles Chtr'!E16</f>
        <v>0</v>
      </c>
      <c r="X19" s="290">
        <f t="shared" si="44"/>
        <v>0</v>
      </c>
      <c r="Y19" s="289">
        <f>'[1]Feb midyear Lake Charles Chtr'!E16</f>
        <v>0</v>
      </c>
      <c r="Z19" s="290">
        <f t="shared" si="45"/>
        <v>0</v>
      </c>
      <c r="AA19" s="288">
        <f t="shared" si="46"/>
        <v>0</v>
      </c>
      <c r="AB19" s="324">
        <f t="shared" si="47"/>
        <v>0</v>
      </c>
      <c r="AC19" s="292">
        <f t="shared" si="48"/>
        <v>0</v>
      </c>
      <c r="AD19" s="324">
        <f t="shared" si="49"/>
        <v>0</v>
      </c>
      <c r="AE19" s="293">
        <v>0</v>
      </c>
      <c r="AF19" s="324">
        <f t="shared" si="50"/>
        <v>0</v>
      </c>
      <c r="AG19" s="293">
        <f>8*'[2]Table 5C1F-Lake Charles Charter'!AI19</f>
        <v>0</v>
      </c>
      <c r="AH19" s="293">
        <f t="shared" si="51"/>
        <v>0</v>
      </c>
      <c r="AI19" s="324">
        <f t="shared" si="31"/>
        <v>0</v>
      </c>
      <c r="AJ19" s="321">
        <f t="shared" si="52"/>
        <v>0</v>
      </c>
      <c r="AK19" s="342">
        <f t="shared" si="53"/>
        <v>0</v>
      </c>
      <c r="AM19" s="286">
        <v>0</v>
      </c>
      <c r="AN19" s="286">
        <f t="shared" si="54"/>
        <v>0</v>
      </c>
      <c r="AO19" s="286">
        <f t="shared" si="32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2.1.14'!M16</f>
        <v>0</v>
      </c>
      <c r="D20" s="201">
        <f>+'Table 5C1A-Madison Prep'!D20</f>
        <v>5334.9509412500001</v>
      </c>
      <c r="E20" s="202">
        <f t="shared" si="33"/>
        <v>0</v>
      </c>
      <c r="F20" s="202">
        <f>+'Table 5C1A-Madison Prep'!F20</f>
        <v>809.9799999999999</v>
      </c>
      <c r="G20" s="202">
        <f t="shared" si="34"/>
        <v>0</v>
      </c>
      <c r="H20" s="345">
        <f t="shared" si="35"/>
        <v>0</v>
      </c>
      <c r="I20" s="203">
        <f>'[1]Oct midyear Lake Charles Chtr'!K17</f>
        <v>0</v>
      </c>
      <c r="J20" s="203">
        <f>'[1]Feb midyear Lake Charles Chtr'!K17</f>
        <v>0</v>
      </c>
      <c r="K20" s="204">
        <f t="shared" si="36"/>
        <v>0</v>
      </c>
      <c r="L20" s="345">
        <f t="shared" si="37"/>
        <v>0</v>
      </c>
      <c r="M20" s="286">
        <f t="shared" si="38"/>
        <v>0</v>
      </c>
      <c r="N20" s="345">
        <f t="shared" si="39"/>
        <v>0</v>
      </c>
      <c r="O20" s="201">
        <v>0</v>
      </c>
      <c r="P20" s="351">
        <f t="shared" si="40"/>
        <v>0</v>
      </c>
      <c r="Q20" s="203">
        <f>8*'[2]Table 5C1F-Lake Charles Charter'!S20</f>
        <v>0</v>
      </c>
      <c r="R20" s="203">
        <f t="shared" si="41"/>
        <v>0</v>
      </c>
      <c r="S20" s="351">
        <f t="shared" si="30"/>
        <v>0</v>
      </c>
      <c r="T20" s="351">
        <f t="shared" si="42"/>
        <v>0</v>
      </c>
      <c r="U20" s="287">
        <f>'Table 5C1A-Madison Prep'!U20</f>
        <v>4171</v>
      </c>
      <c r="V20" s="328">
        <f t="shared" si="43"/>
        <v>0</v>
      </c>
      <c r="W20" s="289">
        <f>'[1]Oct midyear Lake Charles Chtr'!E17</f>
        <v>0</v>
      </c>
      <c r="X20" s="290">
        <f t="shared" si="44"/>
        <v>0</v>
      </c>
      <c r="Y20" s="289">
        <f>'[1]Feb midyear Lake Charles Chtr'!E17</f>
        <v>0</v>
      </c>
      <c r="Z20" s="290">
        <f t="shared" si="45"/>
        <v>0</v>
      </c>
      <c r="AA20" s="288">
        <f t="shared" si="46"/>
        <v>0</v>
      </c>
      <c r="AB20" s="324">
        <f t="shared" si="47"/>
        <v>0</v>
      </c>
      <c r="AC20" s="292">
        <f t="shared" si="48"/>
        <v>0</v>
      </c>
      <c r="AD20" s="324">
        <f t="shared" si="49"/>
        <v>0</v>
      </c>
      <c r="AE20" s="293">
        <v>0</v>
      </c>
      <c r="AF20" s="324">
        <f t="shared" si="50"/>
        <v>0</v>
      </c>
      <c r="AG20" s="293">
        <f>8*'[2]Table 5C1F-Lake Charles Charter'!AI20</f>
        <v>0</v>
      </c>
      <c r="AH20" s="293">
        <f t="shared" si="51"/>
        <v>0</v>
      </c>
      <c r="AI20" s="324">
        <f t="shared" si="31"/>
        <v>0</v>
      </c>
      <c r="AJ20" s="321">
        <f t="shared" si="52"/>
        <v>0</v>
      </c>
      <c r="AK20" s="342">
        <f t="shared" si="53"/>
        <v>0</v>
      </c>
      <c r="AM20" s="286">
        <v>0</v>
      </c>
      <c r="AN20" s="286">
        <f t="shared" si="54"/>
        <v>0</v>
      </c>
      <c r="AO20" s="286">
        <f t="shared" si="32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2.1.14'!M17</f>
        <v>0</v>
      </c>
      <c r="D21" s="194">
        <f>+'Table 5C1A-Madison Prep'!D21</f>
        <v>5749.8285214059952</v>
      </c>
      <c r="E21" s="195">
        <f t="shared" si="33"/>
        <v>0</v>
      </c>
      <c r="F21" s="195">
        <f>+'Table 5C1A-Madison Prep'!F21</f>
        <v>553.79999999999995</v>
      </c>
      <c r="G21" s="195">
        <f t="shared" si="34"/>
        <v>0</v>
      </c>
      <c r="H21" s="346">
        <f t="shared" si="35"/>
        <v>0</v>
      </c>
      <c r="I21" s="196">
        <f>'[1]Oct midyear Lake Charles Chtr'!K18</f>
        <v>0</v>
      </c>
      <c r="J21" s="196">
        <f>'[1]Feb midyear Lake Charles Chtr'!K18</f>
        <v>0</v>
      </c>
      <c r="K21" s="197">
        <f t="shared" si="36"/>
        <v>0</v>
      </c>
      <c r="L21" s="346">
        <f t="shared" si="37"/>
        <v>0</v>
      </c>
      <c r="M21" s="296">
        <f t="shared" si="38"/>
        <v>0</v>
      </c>
      <c r="N21" s="346">
        <f t="shared" si="39"/>
        <v>0</v>
      </c>
      <c r="O21" s="194">
        <v>0</v>
      </c>
      <c r="P21" s="352">
        <f t="shared" si="40"/>
        <v>0</v>
      </c>
      <c r="Q21" s="196">
        <f>8*'[2]Table 5C1F-Lake Charles Charter'!S21</f>
        <v>0</v>
      </c>
      <c r="R21" s="196">
        <f t="shared" si="41"/>
        <v>0</v>
      </c>
      <c r="S21" s="352">
        <f t="shared" si="30"/>
        <v>0</v>
      </c>
      <c r="T21" s="352">
        <f t="shared" si="42"/>
        <v>0</v>
      </c>
      <c r="U21" s="281">
        <f>'Table 5C1A-Madison Prep'!U21</f>
        <v>2880</v>
      </c>
      <c r="V21" s="329">
        <f t="shared" si="43"/>
        <v>0</v>
      </c>
      <c r="W21" s="884">
        <f>'[1]Oct midyear Lake Charles Chtr'!E18</f>
        <v>0</v>
      </c>
      <c r="X21" s="282">
        <f t="shared" si="44"/>
        <v>0</v>
      </c>
      <c r="Y21" s="884">
        <f>'[1]Feb midyear Lake Charles Chtr'!E18</f>
        <v>0</v>
      </c>
      <c r="Z21" s="282">
        <f t="shared" si="45"/>
        <v>0</v>
      </c>
      <c r="AA21" s="283">
        <f t="shared" si="46"/>
        <v>0</v>
      </c>
      <c r="AB21" s="325">
        <f t="shared" si="47"/>
        <v>0</v>
      </c>
      <c r="AC21" s="298">
        <f t="shared" si="48"/>
        <v>0</v>
      </c>
      <c r="AD21" s="325">
        <f t="shared" si="49"/>
        <v>0</v>
      </c>
      <c r="AE21" s="284">
        <v>0</v>
      </c>
      <c r="AF21" s="325">
        <f t="shared" si="50"/>
        <v>0</v>
      </c>
      <c r="AG21" s="284">
        <f>8*'[2]Table 5C1F-Lake Charles Charter'!AI21</f>
        <v>0</v>
      </c>
      <c r="AH21" s="284">
        <f t="shared" si="51"/>
        <v>0</v>
      </c>
      <c r="AI21" s="325">
        <f t="shared" si="31"/>
        <v>0</v>
      </c>
      <c r="AJ21" s="338">
        <f t="shared" si="52"/>
        <v>0</v>
      </c>
      <c r="AK21" s="343">
        <f t="shared" si="53"/>
        <v>0</v>
      </c>
      <c r="AM21" s="296">
        <v>0</v>
      </c>
      <c r="AN21" s="296">
        <f t="shared" si="54"/>
        <v>0</v>
      </c>
      <c r="AO21" s="296">
        <f t="shared" si="32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2.1.14'!M18</f>
        <v>0</v>
      </c>
      <c r="D22" s="208">
        <f>+'Table 5C1A-Madison Prep'!D22</f>
        <v>1980.2494354342025</v>
      </c>
      <c r="E22" s="209">
        <f t="shared" si="33"/>
        <v>0</v>
      </c>
      <c r="F22" s="209">
        <f>+'Table 5C1A-Madison Prep'!F22</f>
        <v>686.73</v>
      </c>
      <c r="G22" s="209">
        <f t="shared" si="34"/>
        <v>0</v>
      </c>
      <c r="H22" s="344">
        <f t="shared" si="35"/>
        <v>0</v>
      </c>
      <c r="I22" s="210">
        <f>'[1]Oct midyear Lake Charles Chtr'!K19</f>
        <v>0</v>
      </c>
      <c r="J22" s="210">
        <f>'[1]Feb midyear Lake Charles Chtr'!K19</f>
        <v>0</v>
      </c>
      <c r="K22" s="211">
        <f t="shared" si="36"/>
        <v>0</v>
      </c>
      <c r="L22" s="344">
        <f t="shared" si="37"/>
        <v>0</v>
      </c>
      <c r="M22" s="273">
        <f t="shared" si="38"/>
        <v>0</v>
      </c>
      <c r="N22" s="344">
        <f t="shared" si="39"/>
        <v>0</v>
      </c>
      <c r="O22" s="208">
        <v>0</v>
      </c>
      <c r="P22" s="350">
        <f t="shared" si="40"/>
        <v>0</v>
      </c>
      <c r="Q22" s="210">
        <f>8*'[2]Table 5C1F-Lake Charles Charter'!S22</f>
        <v>0</v>
      </c>
      <c r="R22" s="210">
        <f t="shared" si="41"/>
        <v>0</v>
      </c>
      <c r="S22" s="350">
        <f t="shared" si="30"/>
        <v>0</v>
      </c>
      <c r="T22" s="350">
        <f t="shared" si="42"/>
        <v>0</v>
      </c>
      <c r="U22" s="274">
        <f>'Table 5C1A-Madison Prep'!U22</f>
        <v>13021</v>
      </c>
      <c r="V22" s="327">
        <f t="shared" si="43"/>
        <v>0</v>
      </c>
      <c r="W22" s="883">
        <f>'[1]Oct midyear Lake Charles Chtr'!E19</f>
        <v>0</v>
      </c>
      <c r="X22" s="276">
        <f t="shared" si="44"/>
        <v>0</v>
      </c>
      <c r="Y22" s="883">
        <f>'[1]Feb midyear Lake Charles Chtr'!E19</f>
        <v>0</v>
      </c>
      <c r="Z22" s="276">
        <f t="shared" si="45"/>
        <v>0</v>
      </c>
      <c r="AA22" s="275">
        <f t="shared" si="46"/>
        <v>0</v>
      </c>
      <c r="AB22" s="323">
        <f t="shared" si="47"/>
        <v>0</v>
      </c>
      <c r="AC22" s="278">
        <f t="shared" si="48"/>
        <v>0</v>
      </c>
      <c r="AD22" s="323">
        <f t="shared" si="49"/>
        <v>0</v>
      </c>
      <c r="AE22" s="279">
        <v>0</v>
      </c>
      <c r="AF22" s="323">
        <f t="shared" si="50"/>
        <v>0</v>
      </c>
      <c r="AG22" s="279">
        <f>8*'[2]Table 5C1F-Lake Charles Charter'!AI22</f>
        <v>0</v>
      </c>
      <c r="AH22" s="279">
        <f t="shared" si="51"/>
        <v>0</v>
      </c>
      <c r="AI22" s="323">
        <f t="shared" si="31"/>
        <v>0</v>
      </c>
      <c r="AJ22" s="337">
        <f t="shared" si="52"/>
        <v>0</v>
      </c>
      <c r="AK22" s="341">
        <f t="shared" si="53"/>
        <v>0</v>
      </c>
      <c r="AM22" s="273">
        <v>0</v>
      </c>
      <c r="AN22" s="273">
        <f t="shared" si="54"/>
        <v>0</v>
      </c>
      <c r="AO22" s="273">
        <f t="shared" si="32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2.1.14'!M19</f>
        <v>0</v>
      </c>
      <c r="D23" s="201">
        <f>+'Table 5C1A-Madison Prep'!D23</f>
        <v>3363.5980368254495</v>
      </c>
      <c r="E23" s="202">
        <f t="shared" si="33"/>
        <v>0</v>
      </c>
      <c r="F23" s="202">
        <f>+'Table 5C1A-Madison Prep'!F23</f>
        <v>801.47762416806802</v>
      </c>
      <c r="G23" s="202">
        <f t="shared" si="34"/>
        <v>0</v>
      </c>
      <c r="H23" s="345">
        <f t="shared" si="35"/>
        <v>0</v>
      </c>
      <c r="I23" s="203">
        <f>'[1]Oct midyear Lake Charles Chtr'!K20</f>
        <v>0</v>
      </c>
      <c r="J23" s="203">
        <f>'[1]Feb midyear Lake Charles Chtr'!K20</f>
        <v>0</v>
      </c>
      <c r="K23" s="204">
        <f t="shared" si="36"/>
        <v>0</v>
      </c>
      <c r="L23" s="345">
        <f t="shared" si="37"/>
        <v>0</v>
      </c>
      <c r="M23" s="286">
        <f t="shared" si="38"/>
        <v>0</v>
      </c>
      <c r="N23" s="345">
        <f t="shared" si="39"/>
        <v>0</v>
      </c>
      <c r="O23" s="201">
        <v>0</v>
      </c>
      <c r="P23" s="351">
        <f t="shared" si="40"/>
        <v>0</v>
      </c>
      <c r="Q23" s="203">
        <f>8*'[2]Table 5C1F-Lake Charles Charter'!S23</f>
        <v>0</v>
      </c>
      <c r="R23" s="203">
        <f t="shared" si="41"/>
        <v>0</v>
      </c>
      <c r="S23" s="351">
        <f t="shared" si="30"/>
        <v>0</v>
      </c>
      <c r="T23" s="351">
        <f t="shared" si="42"/>
        <v>0</v>
      </c>
      <c r="U23" s="287">
        <f>'Table 5C1A-Madison Prep'!U23</f>
        <v>6954</v>
      </c>
      <c r="V23" s="328">
        <f t="shared" si="43"/>
        <v>0</v>
      </c>
      <c r="W23" s="289">
        <f>'[1]Oct midyear Lake Charles Chtr'!E20</f>
        <v>0</v>
      </c>
      <c r="X23" s="290">
        <f t="shared" si="44"/>
        <v>0</v>
      </c>
      <c r="Y23" s="289">
        <f>'[1]Feb midyear Lake Charles Chtr'!E20</f>
        <v>0</v>
      </c>
      <c r="Z23" s="290">
        <f t="shared" si="45"/>
        <v>0</v>
      </c>
      <c r="AA23" s="288">
        <f t="shared" si="46"/>
        <v>0</v>
      </c>
      <c r="AB23" s="324">
        <f t="shared" si="47"/>
        <v>0</v>
      </c>
      <c r="AC23" s="292">
        <f t="shared" si="48"/>
        <v>0</v>
      </c>
      <c r="AD23" s="324">
        <f t="shared" si="49"/>
        <v>0</v>
      </c>
      <c r="AE23" s="293">
        <v>0</v>
      </c>
      <c r="AF23" s="324">
        <f t="shared" si="50"/>
        <v>0</v>
      </c>
      <c r="AG23" s="293">
        <f>8*'[2]Table 5C1F-Lake Charles Charter'!AI23</f>
        <v>0</v>
      </c>
      <c r="AH23" s="293">
        <f t="shared" si="51"/>
        <v>0</v>
      </c>
      <c r="AI23" s="324">
        <f t="shared" si="31"/>
        <v>0</v>
      </c>
      <c r="AJ23" s="321">
        <f t="shared" si="52"/>
        <v>0</v>
      </c>
      <c r="AK23" s="342">
        <f t="shared" si="53"/>
        <v>0</v>
      </c>
      <c r="AM23" s="286">
        <v>0</v>
      </c>
      <c r="AN23" s="286">
        <f t="shared" si="54"/>
        <v>0</v>
      </c>
      <c r="AO23" s="286">
        <f t="shared" si="32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2.1.14'!M20</f>
        <v>0</v>
      </c>
      <c r="D24" s="201">
        <f>+'Table 5C1A-Madison Prep'!D24</f>
        <v>6354.5533500475731</v>
      </c>
      <c r="E24" s="202">
        <f t="shared" si="33"/>
        <v>0</v>
      </c>
      <c r="F24" s="202">
        <f>+'Table 5C1A-Madison Prep'!F24</f>
        <v>845.94999999999993</v>
      </c>
      <c r="G24" s="202">
        <f t="shared" si="34"/>
        <v>0</v>
      </c>
      <c r="H24" s="345">
        <f t="shared" si="35"/>
        <v>0</v>
      </c>
      <c r="I24" s="203">
        <f>'[1]Oct midyear Lake Charles Chtr'!K21</f>
        <v>0</v>
      </c>
      <c r="J24" s="203">
        <f>'[1]Feb midyear Lake Charles Chtr'!K21</f>
        <v>0</v>
      </c>
      <c r="K24" s="204">
        <f t="shared" si="36"/>
        <v>0</v>
      </c>
      <c r="L24" s="345">
        <f t="shared" si="37"/>
        <v>0</v>
      </c>
      <c r="M24" s="286">
        <f t="shared" si="38"/>
        <v>0</v>
      </c>
      <c r="N24" s="345">
        <f t="shared" si="39"/>
        <v>0</v>
      </c>
      <c r="O24" s="201">
        <v>0</v>
      </c>
      <c r="P24" s="351">
        <f t="shared" si="40"/>
        <v>0</v>
      </c>
      <c r="Q24" s="203">
        <f>8*'[2]Table 5C1F-Lake Charles Charter'!S24</f>
        <v>0</v>
      </c>
      <c r="R24" s="203">
        <f t="shared" si="41"/>
        <v>0</v>
      </c>
      <c r="S24" s="351">
        <f t="shared" si="30"/>
        <v>0</v>
      </c>
      <c r="T24" s="351">
        <f t="shared" si="42"/>
        <v>0</v>
      </c>
      <c r="U24" s="287">
        <f>'Table 5C1A-Madison Prep'!U24</f>
        <v>2442</v>
      </c>
      <c r="V24" s="328">
        <f t="shared" si="43"/>
        <v>0</v>
      </c>
      <c r="W24" s="289">
        <f>'[1]Oct midyear Lake Charles Chtr'!E21</f>
        <v>0</v>
      </c>
      <c r="X24" s="290">
        <f t="shared" si="44"/>
        <v>0</v>
      </c>
      <c r="Y24" s="289">
        <f>'[1]Feb midyear Lake Charles Chtr'!E21</f>
        <v>0</v>
      </c>
      <c r="Z24" s="290">
        <f t="shared" si="45"/>
        <v>0</v>
      </c>
      <c r="AA24" s="288">
        <f t="shared" si="46"/>
        <v>0</v>
      </c>
      <c r="AB24" s="324">
        <f t="shared" si="47"/>
        <v>0</v>
      </c>
      <c r="AC24" s="292">
        <f t="shared" si="48"/>
        <v>0</v>
      </c>
      <c r="AD24" s="324">
        <f t="shared" si="49"/>
        <v>0</v>
      </c>
      <c r="AE24" s="293">
        <v>0</v>
      </c>
      <c r="AF24" s="324">
        <f t="shared" si="50"/>
        <v>0</v>
      </c>
      <c r="AG24" s="293">
        <f>8*'[2]Table 5C1F-Lake Charles Charter'!AI24</f>
        <v>0</v>
      </c>
      <c r="AH24" s="293">
        <f t="shared" si="51"/>
        <v>0</v>
      </c>
      <c r="AI24" s="324">
        <f t="shared" si="31"/>
        <v>0</v>
      </c>
      <c r="AJ24" s="321">
        <f t="shared" si="52"/>
        <v>0</v>
      </c>
      <c r="AK24" s="342">
        <f t="shared" si="53"/>
        <v>0</v>
      </c>
      <c r="AM24" s="286">
        <v>0</v>
      </c>
      <c r="AN24" s="286">
        <f t="shared" si="54"/>
        <v>0</v>
      </c>
      <c r="AO24" s="286">
        <f t="shared" si="32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2.1.14'!M21</f>
        <v>0</v>
      </c>
      <c r="D25" s="201">
        <f>+'Table 5C1A-Madison Prep'!D25</f>
        <v>5314.3921869460446</v>
      </c>
      <c r="E25" s="202">
        <f t="shared" si="33"/>
        <v>0</v>
      </c>
      <c r="F25" s="202">
        <f>+'Table 5C1A-Madison Prep'!F25</f>
        <v>905.43</v>
      </c>
      <c r="G25" s="202">
        <f t="shared" si="34"/>
        <v>0</v>
      </c>
      <c r="H25" s="345">
        <f t="shared" si="35"/>
        <v>0</v>
      </c>
      <c r="I25" s="203">
        <f>'[1]Oct midyear Lake Charles Chtr'!K22</f>
        <v>0</v>
      </c>
      <c r="J25" s="203">
        <f>'[1]Feb midyear Lake Charles Chtr'!K22</f>
        <v>0</v>
      </c>
      <c r="K25" s="204">
        <f t="shared" si="36"/>
        <v>0</v>
      </c>
      <c r="L25" s="345">
        <f t="shared" si="37"/>
        <v>0</v>
      </c>
      <c r="M25" s="286">
        <f t="shared" si="38"/>
        <v>0</v>
      </c>
      <c r="N25" s="345">
        <f t="shared" si="39"/>
        <v>0</v>
      </c>
      <c r="O25" s="201">
        <v>0</v>
      </c>
      <c r="P25" s="351">
        <f t="shared" si="40"/>
        <v>0</v>
      </c>
      <c r="Q25" s="203">
        <f>8*'[2]Table 5C1F-Lake Charles Charter'!S25</f>
        <v>0</v>
      </c>
      <c r="R25" s="203">
        <f t="shared" si="41"/>
        <v>0</v>
      </c>
      <c r="S25" s="351">
        <f t="shared" si="30"/>
        <v>0</v>
      </c>
      <c r="T25" s="351">
        <f t="shared" si="42"/>
        <v>0</v>
      </c>
      <c r="U25" s="287">
        <f>'Table 5C1A-Madison Prep'!U25</f>
        <v>3051</v>
      </c>
      <c r="V25" s="328">
        <f t="shared" si="43"/>
        <v>0</v>
      </c>
      <c r="W25" s="289">
        <f>'[1]Oct midyear Lake Charles Chtr'!E22</f>
        <v>0</v>
      </c>
      <c r="X25" s="290">
        <f t="shared" si="44"/>
        <v>0</v>
      </c>
      <c r="Y25" s="289">
        <f>'[1]Feb midyear Lake Charles Chtr'!E22</f>
        <v>0</v>
      </c>
      <c r="Z25" s="290">
        <f t="shared" si="45"/>
        <v>0</v>
      </c>
      <c r="AA25" s="288">
        <f t="shared" si="46"/>
        <v>0</v>
      </c>
      <c r="AB25" s="324">
        <f t="shared" si="47"/>
        <v>0</v>
      </c>
      <c r="AC25" s="292">
        <f t="shared" si="48"/>
        <v>0</v>
      </c>
      <c r="AD25" s="324">
        <f t="shared" si="49"/>
        <v>0</v>
      </c>
      <c r="AE25" s="293">
        <v>0</v>
      </c>
      <c r="AF25" s="324">
        <f t="shared" si="50"/>
        <v>0</v>
      </c>
      <c r="AG25" s="293">
        <f>8*'[2]Table 5C1F-Lake Charles Charter'!AI25</f>
        <v>0</v>
      </c>
      <c r="AH25" s="293">
        <f t="shared" si="51"/>
        <v>0</v>
      </c>
      <c r="AI25" s="324">
        <f t="shared" si="31"/>
        <v>0</v>
      </c>
      <c r="AJ25" s="321">
        <f t="shared" si="52"/>
        <v>0</v>
      </c>
      <c r="AK25" s="342">
        <f t="shared" si="53"/>
        <v>0</v>
      </c>
      <c r="AM25" s="286">
        <v>0</v>
      </c>
      <c r="AN25" s="286">
        <f t="shared" si="54"/>
        <v>0</v>
      </c>
      <c r="AO25" s="286">
        <f t="shared" si="32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2.1.14'!M22</f>
        <v>0</v>
      </c>
      <c r="D26" s="194">
        <f>+'Table 5C1A-Madison Prep'!D26</f>
        <v>5278.5201565562011</v>
      </c>
      <c r="E26" s="195">
        <f t="shared" si="33"/>
        <v>0</v>
      </c>
      <c r="F26" s="195">
        <f>+'Table 5C1A-Madison Prep'!F26</f>
        <v>586.16999999999996</v>
      </c>
      <c r="G26" s="195">
        <f t="shared" si="34"/>
        <v>0</v>
      </c>
      <c r="H26" s="346">
        <f t="shared" si="35"/>
        <v>0</v>
      </c>
      <c r="I26" s="196">
        <f>'[1]Oct midyear Lake Charles Chtr'!K23</f>
        <v>0</v>
      </c>
      <c r="J26" s="196">
        <f>'[1]Feb midyear Lake Charles Chtr'!K23</f>
        <v>0</v>
      </c>
      <c r="K26" s="197">
        <f t="shared" si="36"/>
        <v>0</v>
      </c>
      <c r="L26" s="346">
        <f t="shared" si="37"/>
        <v>0</v>
      </c>
      <c r="M26" s="296">
        <f t="shared" si="38"/>
        <v>0</v>
      </c>
      <c r="N26" s="346">
        <f t="shared" si="39"/>
        <v>0</v>
      </c>
      <c r="O26" s="194">
        <v>0</v>
      </c>
      <c r="P26" s="352">
        <f t="shared" si="40"/>
        <v>0</v>
      </c>
      <c r="Q26" s="196">
        <f>8*'[2]Table 5C1F-Lake Charles Charter'!S26</f>
        <v>0</v>
      </c>
      <c r="R26" s="196">
        <f t="shared" si="41"/>
        <v>0</v>
      </c>
      <c r="S26" s="352">
        <f t="shared" si="30"/>
        <v>0</v>
      </c>
      <c r="T26" s="352">
        <f t="shared" si="42"/>
        <v>0</v>
      </c>
      <c r="U26" s="281">
        <f>'Table 5C1A-Madison Prep'!U26</f>
        <v>2484</v>
      </c>
      <c r="V26" s="329">
        <f t="shared" si="43"/>
        <v>0</v>
      </c>
      <c r="W26" s="884">
        <f>'[1]Oct midyear Lake Charles Chtr'!E23</f>
        <v>0</v>
      </c>
      <c r="X26" s="282">
        <f t="shared" si="44"/>
        <v>0</v>
      </c>
      <c r="Y26" s="884">
        <f>'[1]Feb midyear Lake Charles Chtr'!E23</f>
        <v>0</v>
      </c>
      <c r="Z26" s="282">
        <f t="shared" si="45"/>
        <v>0</v>
      </c>
      <c r="AA26" s="283">
        <f t="shared" si="46"/>
        <v>0</v>
      </c>
      <c r="AB26" s="325">
        <f t="shared" si="47"/>
        <v>0</v>
      </c>
      <c r="AC26" s="298">
        <f t="shared" si="48"/>
        <v>0</v>
      </c>
      <c r="AD26" s="325">
        <f t="shared" si="49"/>
        <v>0</v>
      </c>
      <c r="AE26" s="284">
        <v>0</v>
      </c>
      <c r="AF26" s="325">
        <f t="shared" si="50"/>
        <v>0</v>
      </c>
      <c r="AG26" s="284">
        <f>8*'[2]Table 5C1F-Lake Charles Charter'!AI26</f>
        <v>0</v>
      </c>
      <c r="AH26" s="284">
        <f t="shared" si="51"/>
        <v>0</v>
      </c>
      <c r="AI26" s="325">
        <f t="shared" si="31"/>
        <v>0</v>
      </c>
      <c r="AJ26" s="338">
        <f t="shared" si="52"/>
        <v>0</v>
      </c>
      <c r="AK26" s="343">
        <f t="shared" si="53"/>
        <v>0</v>
      </c>
      <c r="AM26" s="296">
        <v>0</v>
      </c>
      <c r="AN26" s="296">
        <f t="shared" si="54"/>
        <v>0</v>
      </c>
      <c r="AO26" s="296">
        <f t="shared" si="32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2.1.14'!M23</f>
        <v>0</v>
      </c>
      <c r="D27" s="208">
        <f>+'Table 5C1A-Madison Prep'!D27</f>
        <v>6082.3042295867763</v>
      </c>
      <c r="E27" s="209">
        <f t="shared" si="33"/>
        <v>0</v>
      </c>
      <c r="F27" s="209">
        <f>+'Table 5C1A-Madison Prep'!F27</f>
        <v>610.35</v>
      </c>
      <c r="G27" s="209">
        <f t="shared" si="34"/>
        <v>0</v>
      </c>
      <c r="H27" s="344">
        <f t="shared" si="35"/>
        <v>0</v>
      </c>
      <c r="I27" s="210">
        <f>'[1]Oct midyear Lake Charles Chtr'!K24</f>
        <v>0</v>
      </c>
      <c r="J27" s="210">
        <f>'[1]Feb midyear Lake Charles Chtr'!K24</f>
        <v>0</v>
      </c>
      <c r="K27" s="211">
        <f t="shared" si="36"/>
        <v>0</v>
      </c>
      <c r="L27" s="344">
        <f t="shared" si="37"/>
        <v>0</v>
      </c>
      <c r="M27" s="273">
        <f t="shared" si="38"/>
        <v>0</v>
      </c>
      <c r="N27" s="344">
        <f t="shared" si="39"/>
        <v>0</v>
      </c>
      <c r="O27" s="208">
        <v>0</v>
      </c>
      <c r="P27" s="350">
        <f t="shared" si="40"/>
        <v>0</v>
      </c>
      <c r="Q27" s="210">
        <f>8*'[2]Table 5C1F-Lake Charles Charter'!S27</f>
        <v>0</v>
      </c>
      <c r="R27" s="210">
        <f t="shared" si="41"/>
        <v>0</v>
      </c>
      <c r="S27" s="350">
        <f t="shared" si="30"/>
        <v>0</v>
      </c>
      <c r="T27" s="350">
        <f t="shared" si="42"/>
        <v>0</v>
      </c>
      <c r="U27" s="274">
        <f>'Table 5C1A-Madison Prep'!U27</f>
        <v>2487</v>
      </c>
      <c r="V27" s="327">
        <f t="shared" si="43"/>
        <v>0</v>
      </c>
      <c r="W27" s="883">
        <f>'[1]Oct midyear Lake Charles Chtr'!E24</f>
        <v>0</v>
      </c>
      <c r="X27" s="276">
        <f t="shared" si="44"/>
        <v>0</v>
      </c>
      <c r="Y27" s="883">
        <f>'[1]Feb midyear Lake Charles Chtr'!E24</f>
        <v>0</v>
      </c>
      <c r="Z27" s="276">
        <f t="shared" si="45"/>
        <v>0</v>
      </c>
      <c r="AA27" s="275">
        <f t="shared" si="46"/>
        <v>0</v>
      </c>
      <c r="AB27" s="323">
        <f t="shared" si="47"/>
        <v>0</v>
      </c>
      <c r="AC27" s="278">
        <f t="shared" si="48"/>
        <v>0</v>
      </c>
      <c r="AD27" s="323">
        <f t="shared" si="49"/>
        <v>0</v>
      </c>
      <c r="AE27" s="279">
        <v>0</v>
      </c>
      <c r="AF27" s="323">
        <f t="shared" si="50"/>
        <v>0</v>
      </c>
      <c r="AG27" s="279">
        <f>8*'[2]Table 5C1F-Lake Charles Charter'!AI27</f>
        <v>0</v>
      </c>
      <c r="AH27" s="279">
        <f t="shared" si="51"/>
        <v>0</v>
      </c>
      <c r="AI27" s="323">
        <f t="shared" si="31"/>
        <v>0</v>
      </c>
      <c r="AJ27" s="337">
        <f t="shared" si="52"/>
        <v>0</v>
      </c>
      <c r="AK27" s="341">
        <f t="shared" si="53"/>
        <v>0</v>
      </c>
      <c r="AM27" s="273">
        <v>0</v>
      </c>
      <c r="AN27" s="273">
        <f t="shared" si="54"/>
        <v>0</v>
      </c>
      <c r="AO27" s="273">
        <f t="shared" si="32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2.1.14'!M24</f>
        <v>0</v>
      </c>
      <c r="D28" s="201">
        <f>+'Table 5C1A-Madison Prep'!D28</f>
        <v>6416.1099808195995</v>
      </c>
      <c r="E28" s="202">
        <f t="shared" si="33"/>
        <v>0</v>
      </c>
      <c r="F28" s="202">
        <f>+'Table 5C1A-Madison Prep'!F28</f>
        <v>496.36</v>
      </c>
      <c r="G28" s="202">
        <f t="shared" si="34"/>
        <v>0</v>
      </c>
      <c r="H28" s="345">
        <f t="shared" si="35"/>
        <v>0</v>
      </c>
      <c r="I28" s="203">
        <f>'[1]Oct midyear Lake Charles Chtr'!K25</f>
        <v>0</v>
      </c>
      <c r="J28" s="203">
        <f>'[1]Feb midyear Lake Charles Chtr'!K25</f>
        <v>0</v>
      </c>
      <c r="K28" s="204">
        <f t="shared" si="36"/>
        <v>0</v>
      </c>
      <c r="L28" s="345">
        <f t="shared" si="37"/>
        <v>0</v>
      </c>
      <c r="M28" s="286">
        <f t="shared" si="38"/>
        <v>0</v>
      </c>
      <c r="N28" s="345">
        <f t="shared" si="39"/>
        <v>0</v>
      </c>
      <c r="O28" s="201">
        <v>0</v>
      </c>
      <c r="P28" s="351">
        <f t="shared" si="40"/>
        <v>0</v>
      </c>
      <c r="Q28" s="203">
        <f>8*'[2]Table 5C1F-Lake Charles Charter'!S28</f>
        <v>0</v>
      </c>
      <c r="R28" s="203">
        <f t="shared" si="41"/>
        <v>0</v>
      </c>
      <c r="S28" s="351">
        <f t="shared" si="30"/>
        <v>0</v>
      </c>
      <c r="T28" s="351">
        <f t="shared" si="42"/>
        <v>0</v>
      </c>
      <c r="U28" s="287">
        <f>'Table 5C1A-Madison Prep'!U28</f>
        <v>1584</v>
      </c>
      <c r="V28" s="328">
        <f t="shared" si="43"/>
        <v>0</v>
      </c>
      <c r="W28" s="289">
        <f>'[1]Oct midyear Lake Charles Chtr'!E25</f>
        <v>0</v>
      </c>
      <c r="X28" s="290">
        <f t="shared" si="44"/>
        <v>0</v>
      </c>
      <c r="Y28" s="289">
        <f>'[1]Feb midyear Lake Charles Chtr'!E25</f>
        <v>0</v>
      </c>
      <c r="Z28" s="290">
        <f t="shared" si="45"/>
        <v>0</v>
      </c>
      <c r="AA28" s="288">
        <f t="shared" si="46"/>
        <v>0</v>
      </c>
      <c r="AB28" s="324">
        <f t="shared" si="47"/>
        <v>0</v>
      </c>
      <c r="AC28" s="292">
        <f t="shared" si="48"/>
        <v>0</v>
      </c>
      <c r="AD28" s="324">
        <f t="shared" si="49"/>
        <v>0</v>
      </c>
      <c r="AE28" s="293">
        <v>0</v>
      </c>
      <c r="AF28" s="324">
        <f t="shared" si="50"/>
        <v>0</v>
      </c>
      <c r="AG28" s="293">
        <f>8*'[2]Table 5C1F-Lake Charles Charter'!AI28</f>
        <v>0</v>
      </c>
      <c r="AH28" s="293">
        <f t="shared" si="51"/>
        <v>0</v>
      </c>
      <c r="AI28" s="324">
        <f t="shared" si="31"/>
        <v>0</v>
      </c>
      <c r="AJ28" s="321">
        <f t="shared" si="52"/>
        <v>0</v>
      </c>
      <c r="AK28" s="342">
        <f t="shared" si="53"/>
        <v>0</v>
      </c>
      <c r="AM28" s="286">
        <v>0</v>
      </c>
      <c r="AN28" s="286">
        <f t="shared" si="54"/>
        <v>0</v>
      </c>
      <c r="AO28" s="286">
        <f t="shared" si="32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2.1.14'!M25</f>
        <v>0</v>
      </c>
      <c r="D29" s="201">
        <f>+'Table 5C1A-Madison Prep'!D29</f>
        <v>5011.0215265979159</v>
      </c>
      <c r="E29" s="202">
        <f t="shared" si="33"/>
        <v>0</v>
      </c>
      <c r="F29" s="202">
        <f>+'Table 5C1A-Madison Prep'!F29</f>
        <v>688.58</v>
      </c>
      <c r="G29" s="202">
        <f t="shared" si="34"/>
        <v>0</v>
      </c>
      <c r="H29" s="345">
        <f t="shared" si="35"/>
        <v>0</v>
      </c>
      <c r="I29" s="203">
        <f>'[1]Oct midyear Lake Charles Chtr'!K26</f>
        <v>0</v>
      </c>
      <c r="J29" s="203">
        <f>'[1]Feb midyear Lake Charles Chtr'!K26</f>
        <v>0</v>
      </c>
      <c r="K29" s="204">
        <f t="shared" si="36"/>
        <v>0</v>
      </c>
      <c r="L29" s="345">
        <f t="shared" si="37"/>
        <v>0</v>
      </c>
      <c r="M29" s="286">
        <f t="shared" si="38"/>
        <v>0</v>
      </c>
      <c r="N29" s="345">
        <f t="shared" si="39"/>
        <v>0</v>
      </c>
      <c r="O29" s="201">
        <v>0</v>
      </c>
      <c r="P29" s="351">
        <f t="shared" si="40"/>
        <v>0</v>
      </c>
      <c r="Q29" s="203">
        <f>8*'[2]Table 5C1F-Lake Charles Charter'!S29</f>
        <v>0</v>
      </c>
      <c r="R29" s="203">
        <f t="shared" si="41"/>
        <v>0</v>
      </c>
      <c r="S29" s="351">
        <f t="shared" si="30"/>
        <v>0</v>
      </c>
      <c r="T29" s="351">
        <f t="shared" si="42"/>
        <v>0</v>
      </c>
      <c r="U29" s="287">
        <f>'Table 5C1A-Madison Prep'!U29</f>
        <v>3500</v>
      </c>
      <c r="V29" s="328">
        <f t="shared" si="43"/>
        <v>0</v>
      </c>
      <c r="W29" s="289">
        <f>'[1]Oct midyear Lake Charles Chtr'!E26</f>
        <v>0</v>
      </c>
      <c r="X29" s="290">
        <f t="shared" si="44"/>
        <v>0</v>
      </c>
      <c r="Y29" s="289">
        <f>'[1]Feb midyear Lake Charles Chtr'!E26</f>
        <v>0</v>
      </c>
      <c r="Z29" s="290">
        <f t="shared" si="45"/>
        <v>0</v>
      </c>
      <c r="AA29" s="288">
        <f t="shared" si="46"/>
        <v>0</v>
      </c>
      <c r="AB29" s="324">
        <f t="shared" si="47"/>
        <v>0</v>
      </c>
      <c r="AC29" s="292">
        <f t="shared" si="48"/>
        <v>0</v>
      </c>
      <c r="AD29" s="324">
        <f t="shared" si="49"/>
        <v>0</v>
      </c>
      <c r="AE29" s="293">
        <v>0</v>
      </c>
      <c r="AF29" s="324">
        <f t="shared" si="50"/>
        <v>0</v>
      </c>
      <c r="AG29" s="293">
        <f>8*'[2]Table 5C1F-Lake Charles Charter'!AI29</f>
        <v>0</v>
      </c>
      <c r="AH29" s="293">
        <f t="shared" si="51"/>
        <v>0</v>
      </c>
      <c r="AI29" s="324">
        <f t="shared" si="31"/>
        <v>0</v>
      </c>
      <c r="AJ29" s="321">
        <f t="shared" si="52"/>
        <v>0</v>
      </c>
      <c r="AK29" s="342">
        <f t="shared" si="53"/>
        <v>0</v>
      </c>
      <c r="AM29" s="286">
        <v>0</v>
      </c>
      <c r="AN29" s="286">
        <f t="shared" si="54"/>
        <v>0</v>
      </c>
      <c r="AO29" s="286">
        <f t="shared" si="32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2.1.14'!M26</f>
        <v>0</v>
      </c>
      <c r="D30" s="201">
        <f>+'Table 5C1A-Madison Prep'!D30</f>
        <v>2611.6740361576999</v>
      </c>
      <c r="E30" s="202">
        <f t="shared" si="33"/>
        <v>0</v>
      </c>
      <c r="F30" s="202">
        <f>+'Table 5C1A-Madison Prep'!F30</f>
        <v>854.24999999999989</v>
      </c>
      <c r="G30" s="202">
        <f t="shared" si="34"/>
        <v>0</v>
      </c>
      <c r="H30" s="345">
        <f t="shared" si="35"/>
        <v>0</v>
      </c>
      <c r="I30" s="203">
        <f>'[1]Oct midyear Lake Charles Chtr'!K27</f>
        <v>0</v>
      </c>
      <c r="J30" s="203">
        <f>'[1]Feb midyear Lake Charles Chtr'!K27</f>
        <v>0</v>
      </c>
      <c r="K30" s="204">
        <f t="shared" si="36"/>
        <v>0</v>
      </c>
      <c r="L30" s="345">
        <f t="shared" si="37"/>
        <v>0</v>
      </c>
      <c r="M30" s="286">
        <f t="shared" si="38"/>
        <v>0</v>
      </c>
      <c r="N30" s="345">
        <f t="shared" si="39"/>
        <v>0</v>
      </c>
      <c r="O30" s="201">
        <v>0</v>
      </c>
      <c r="P30" s="351">
        <f t="shared" si="40"/>
        <v>0</v>
      </c>
      <c r="Q30" s="203">
        <f>8*'[2]Table 5C1F-Lake Charles Charter'!S30</f>
        <v>0</v>
      </c>
      <c r="R30" s="203">
        <f t="shared" si="41"/>
        <v>0</v>
      </c>
      <c r="S30" s="351">
        <f t="shared" si="30"/>
        <v>0</v>
      </c>
      <c r="T30" s="351">
        <f t="shared" si="42"/>
        <v>0</v>
      </c>
      <c r="U30" s="287">
        <f>'Table 5C1A-Madison Prep'!U30</f>
        <v>11051</v>
      </c>
      <c r="V30" s="328">
        <f t="shared" si="43"/>
        <v>0</v>
      </c>
      <c r="W30" s="289">
        <f>'[1]Oct midyear Lake Charles Chtr'!E27</f>
        <v>0</v>
      </c>
      <c r="X30" s="290">
        <f t="shared" si="44"/>
        <v>0</v>
      </c>
      <c r="Y30" s="289">
        <f>'[1]Feb midyear Lake Charles Chtr'!E27</f>
        <v>0</v>
      </c>
      <c r="Z30" s="290">
        <f t="shared" si="45"/>
        <v>0</v>
      </c>
      <c r="AA30" s="288">
        <f t="shared" si="46"/>
        <v>0</v>
      </c>
      <c r="AB30" s="324">
        <f t="shared" si="47"/>
        <v>0</v>
      </c>
      <c r="AC30" s="292">
        <f t="shared" si="48"/>
        <v>0</v>
      </c>
      <c r="AD30" s="324">
        <f t="shared" si="49"/>
        <v>0</v>
      </c>
      <c r="AE30" s="293">
        <v>0</v>
      </c>
      <c r="AF30" s="324">
        <f t="shared" si="50"/>
        <v>0</v>
      </c>
      <c r="AG30" s="293">
        <f>8*'[2]Table 5C1F-Lake Charles Charter'!AI30</f>
        <v>0</v>
      </c>
      <c r="AH30" s="293">
        <f t="shared" si="51"/>
        <v>0</v>
      </c>
      <c r="AI30" s="324">
        <f t="shared" si="31"/>
        <v>0</v>
      </c>
      <c r="AJ30" s="321">
        <f t="shared" si="52"/>
        <v>0</v>
      </c>
      <c r="AK30" s="342">
        <f t="shared" si="53"/>
        <v>0</v>
      </c>
      <c r="AM30" s="286">
        <v>0</v>
      </c>
      <c r="AN30" s="286">
        <f t="shared" si="54"/>
        <v>0</v>
      </c>
      <c r="AO30" s="286">
        <f t="shared" si="32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2.1.14'!M27</f>
        <v>0</v>
      </c>
      <c r="D31" s="194">
        <f>+'Table 5C1A-Madison Prep'!D31</f>
        <v>4173.0720274945697</v>
      </c>
      <c r="E31" s="195">
        <f t="shared" si="33"/>
        <v>0</v>
      </c>
      <c r="F31" s="195">
        <f>+'Table 5C1A-Madison Prep'!F31</f>
        <v>653.73</v>
      </c>
      <c r="G31" s="195">
        <f t="shared" si="34"/>
        <v>0</v>
      </c>
      <c r="H31" s="346">
        <f t="shared" si="35"/>
        <v>0</v>
      </c>
      <c r="I31" s="196">
        <f>'[1]Oct midyear Lake Charles Chtr'!K28</f>
        <v>0</v>
      </c>
      <c r="J31" s="196">
        <f>'[1]Feb midyear Lake Charles Chtr'!K28</f>
        <v>0</v>
      </c>
      <c r="K31" s="197">
        <f t="shared" si="36"/>
        <v>0</v>
      </c>
      <c r="L31" s="346">
        <f t="shared" si="37"/>
        <v>0</v>
      </c>
      <c r="M31" s="296">
        <f t="shared" si="38"/>
        <v>0</v>
      </c>
      <c r="N31" s="346">
        <f t="shared" si="39"/>
        <v>0</v>
      </c>
      <c r="O31" s="194">
        <v>0</v>
      </c>
      <c r="P31" s="352">
        <f t="shared" si="40"/>
        <v>0</v>
      </c>
      <c r="Q31" s="196">
        <f>8*'[2]Table 5C1F-Lake Charles Charter'!S31</f>
        <v>0</v>
      </c>
      <c r="R31" s="196">
        <f t="shared" si="41"/>
        <v>0</v>
      </c>
      <c r="S31" s="352">
        <f t="shared" si="30"/>
        <v>0</v>
      </c>
      <c r="T31" s="352">
        <f t="shared" si="42"/>
        <v>0</v>
      </c>
      <c r="U31" s="281">
        <f>'Table 5C1A-Madison Prep'!U31</f>
        <v>5156</v>
      </c>
      <c r="V31" s="329">
        <f t="shared" si="43"/>
        <v>0</v>
      </c>
      <c r="W31" s="884">
        <f>'[1]Oct midyear Lake Charles Chtr'!E28</f>
        <v>0</v>
      </c>
      <c r="X31" s="282">
        <f t="shared" si="44"/>
        <v>0</v>
      </c>
      <c r="Y31" s="884">
        <f>'[1]Feb midyear Lake Charles Chtr'!E28</f>
        <v>0</v>
      </c>
      <c r="Z31" s="282">
        <f t="shared" si="45"/>
        <v>0</v>
      </c>
      <c r="AA31" s="283">
        <f t="shared" si="46"/>
        <v>0</v>
      </c>
      <c r="AB31" s="325">
        <f t="shared" si="47"/>
        <v>0</v>
      </c>
      <c r="AC31" s="298">
        <f t="shared" si="48"/>
        <v>0</v>
      </c>
      <c r="AD31" s="325">
        <f t="shared" si="49"/>
        <v>0</v>
      </c>
      <c r="AE31" s="284">
        <v>0</v>
      </c>
      <c r="AF31" s="325">
        <f t="shared" si="50"/>
        <v>0</v>
      </c>
      <c r="AG31" s="284">
        <f>8*'[2]Table 5C1F-Lake Charles Charter'!AI31</f>
        <v>0</v>
      </c>
      <c r="AH31" s="284">
        <f t="shared" si="51"/>
        <v>0</v>
      </c>
      <c r="AI31" s="325">
        <f t="shared" si="31"/>
        <v>0</v>
      </c>
      <c r="AJ31" s="338">
        <f t="shared" si="52"/>
        <v>0</v>
      </c>
      <c r="AK31" s="343">
        <f t="shared" si="53"/>
        <v>0</v>
      </c>
      <c r="AM31" s="296">
        <v>0</v>
      </c>
      <c r="AN31" s="296">
        <f t="shared" si="54"/>
        <v>0</v>
      </c>
      <c r="AO31" s="296">
        <f t="shared" si="32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2.1.14'!M28</f>
        <v>0</v>
      </c>
      <c r="D32" s="208">
        <f>+'Table 5C1A-Madison Prep'!D32</f>
        <v>3424.5649970570835</v>
      </c>
      <c r="E32" s="209">
        <f t="shared" si="33"/>
        <v>0</v>
      </c>
      <c r="F32" s="209">
        <f>+'Table 5C1A-Madison Prep'!F32</f>
        <v>836.83</v>
      </c>
      <c r="G32" s="209">
        <f t="shared" si="34"/>
        <v>0</v>
      </c>
      <c r="H32" s="344">
        <f t="shared" si="35"/>
        <v>0</v>
      </c>
      <c r="I32" s="210">
        <f>'[1]Oct midyear Lake Charles Chtr'!K29</f>
        <v>0</v>
      </c>
      <c r="J32" s="210">
        <f>'[1]Feb midyear Lake Charles Chtr'!K29</f>
        <v>0</v>
      </c>
      <c r="K32" s="211">
        <f t="shared" si="36"/>
        <v>0</v>
      </c>
      <c r="L32" s="344">
        <f t="shared" si="37"/>
        <v>0</v>
      </c>
      <c r="M32" s="273">
        <f t="shared" si="38"/>
        <v>0</v>
      </c>
      <c r="N32" s="344">
        <f t="shared" si="39"/>
        <v>0</v>
      </c>
      <c r="O32" s="208">
        <v>0</v>
      </c>
      <c r="P32" s="350">
        <f t="shared" si="40"/>
        <v>0</v>
      </c>
      <c r="Q32" s="210">
        <f>8*'[2]Table 5C1F-Lake Charles Charter'!S32</f>
        <v>0</v>
      </c>
      <c r="R32" s="210">
        <f t="shared" si="41"/>
        <v>0</v>
      </c>
      <c r="S32" s="350">
        <f t="shared" si="30"/>
        <v>0</v>
      </c>
      <c r="T32" s="350">
        <f t="shared" si="42"/>
        <v>0</v>
      </c>
      <c r="U32" s="274">
        <f>'Table 5C1A-Madison Prep'!U32</f>
        <v>5153</v>
      </c>
      <c r="V32" s="327">
        <f t="shared" si="43"/>
        <v>0</v>
      </c>
      <c r="W32" s="883">
        <f>'[1]Oct midyear Lake Charles Chtr'!E29</f>
        <v>0</v>
      </c>
      <c r="X32" s="276">
        <f t="shared" si="44"/>
        <v>0</v>
      </c>
      <c r="Y32" s="883">
        <f>'[1]Feb midyear Lake Charles Chtr'!E29</f>
        <v>0</v>
      </c>
      <c r="Z32" s="276">
        <f t="shared" si="45"/>
        <v>0</v>
      </c>
      <c r="AA32" s="275">
        <f t="shared" si="46"/>
        <v>0</v>
      </c>
      <c r="AB32" s="323">
        <f t="shared" si="47"/>
        <v>0</v>
      </c>
      <c r="AC32" s="278">
        <f t="shared" si="48"/>
        <v>0</v>
      </c>
      <c r="AD32" s="323">
        <f t="shared" si="49"/>
        <v>0</v>
      </c>
      <c r="AE32" s="279">
        <v>0</v>
      </c>
      <c r="AF32" s="323">
        <f t="shared" si="50"/>
        <v>0</v>
      </c>
      <c r="AG32" s="279">
        <f>8*'[2]Table 5C1F-Lake Charles Charter'!AI32</f>
        <v>0</v>
      </c>
      <c r="AH32" s="279">
        <f t="shared" si="51"/>
        <v>0</v>
      </c>
      <c r="AI32" s="323">
        <f t="shared" si="31"/>
        <v>0</v>
      </c>
      <c r="AJ32" s="337">
        <f t="shared" si="52"/>
        <v>0</v>
      </c>
      <c r="AK32" s="341">
        <f t="shared" si="53"/>
        <v>0</v>
      </c>
      <c r="AM32" s="273">
        <v>0</v>
      </c>
      <c r="AN32" s="273">
        <f t="shared" si="54"/>
        <v>0</v>
      </c>
      <c r="AO32" s="273">
        <f t="shared" si="32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2.1.14'!M29</f>
        <v>0</v>
      </c>
      <c r="D33" s="201">
        <f>+'Table 5C1A-Madison Prep'!D33</f>
        <v>5804.9013839977006</v>
      </c>
      <c r="E33" s="202">
        <f t="shared" si="33"/>
        <v>0</v>
      </c>
      <c r="F33" s="202">
        <f>+'Table 5C1A-Madison Prep'!F33</f>
        <v>693.06</v>
      </c>
      <c r="G33" s="202">
        <f t="shared" si="34"/>
        <v>0</v>
      </c>
      <c r="H33" s="345">
        <f t="shared" si="35"/>
        <v>0</v>
      </c>
      <c r="I33" s="203">
        <f>'[1]Oct midyear Lake Charles Chtr'!K30</f>
        <v>0</v>
      </c>
      <c r="J33" s="203">
        <f>'[1]Feb midyear Lake Charles Chtr'!K30</f>
        <v>0</v>
      </c>
      <c r="K33" s="204">
        <f t="shared" si="36"/>
        <v>0</v>
      </c>
      <c r="L33" s="345">
        <f t="shared" si="37"/>
        <v>0</v>
      </c>
      <c r="M33" s="286">
        <f t="shared" si="38"/>
        <v>0</v>
      </c>
      <c r="N33" s="345">
        <f t="shared" si="39"/>
        <v>0</v>
      </c>
      <c r="O33" s="201">
        <v>0</v>
      </c>
      <c r="P33" s="351">
        <f t="shared" si="40"/>
        <v>0</v>
      </c>
      <c r="Q33" s="203">
        <f>8*'[2]Table 5C1F-Lake Charles Charter'!S33</f>
        <v>0</v>
      </c>
      <c r="R33" s="203">
        <f t="shared" si="41"/>
        <v>0</v>
      </c>
      <c r="S33" s="351">
        <f t="shared" si="30"/>
        <v>0</v>
      </c>
      <c r="T33" s="351">
        <f t="shared" si="42"/>
        <v>0</v>
      </c>
      <c r="U33" s="287">
        <f>'Table 5C1A-Madison Prep'!U33</f>
        <v>3225</v>
      </c>
      <c r="V33" s="328">
        <f t="shared" si="43"/>
        <v>0</v>
      </c>
      <c r="W33" s="289">
        <f>'[1]Oct midyear Lake Charles Chtr'!E30</f>
        <v>0</v>
      </c>
      <c r="X33" s="290">
        <f t="shared" si="44"/>
        <v>0</v>
      </c>
      <c r="Y33" s="289">
        <f>'[1]Feb midyear Lake Charles Chtr'!E30</f>
        <v>0</v>
      </c>
      <c r="Z33" s="290">
        <f t="shared" si="45"/>
        <v>0</v>
      </c>
      <c r="AA33" s="288">
        <f t="shared" si="46"/>
        <v>0</v>
      </c>
      <c r="AB33" s="324">
        <f t="shared" si="47"/>
        <v>0</v>
      </c>
      <c r="AC33" s="292">
        <f t="shared" si="48"/>
        <v>0</v>
      </c>
      <c r="AD33" s="324">
        <f t="shared" si="49"/>
        <v>0</v>
      </c>
      <c r="AE33" s="293">
        <v>0</v>
      </c>
      <c r="AF33" s="324">
        <f t="shared" si="50"/>
        <v>0</v>
      </c>
      <c r="AG33" s="293">
        <f>8*'[2]Table 5C1F-Lake Charles Charter'!AI33</f>
        <v>0</v>
      </c>
      <c r="AH33" s="293">
        <f t="shared" si="51"/>
        <v>0</v>
      </c>
      <c r="AI33" s="324">
        <f t="shared" si="31"/>
        <v>0</v>
      </c>
      <c r="AJ33" s="321">
        <f t="shared" si="52"/>
        <v>0</v>
      </c>
      <c r="AK33" s="342">
        <f t="shared" si="53"/>
        <v>0</v>
      </c>
      <c r="AM33" s="286">
        <v>0</v>
      </c>
      <c r="AN33" s="286">
        <f t="shared" si="54"/>
        <v>0</v>
      </c>
      <c r="AO33" s="286">
        <f t="shared" si="32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2.1.14'!M30</f>
        <v>0</v>
      </c>
      <c r="D34" s="201">
        <f>+'Table 5C1A-Madison Prep'!D34</f>
        <v>3137.4158846568821</v>
      </c>
      <c r="E34" s="202">
        <f t="shared" si="33"/>
        <v>0</v>
      </c>
      <c r="F34" s="202">
        <f>+'Table 5C1A-Madison Prep'!F34</f>
        <v>694.4</v>
      </c>
      <c r="G34" s="202">
        <f t="shared" si="34"/>
        <v>0</v>
      </c>
      <c r="H34" s="345">
        <f t="shared" si="35"/>
        <v>0</v>
      </c>
      <c r="I34" s="203">
        <f>'[1]Oct midyear Lake Charles Chtr'!K31</f>
        <v>0</v>
      </c>
      <c r="J34" s="203">
        <f>'[1]Feb midyear Lake Charles Chtr'!K31</f>
        <v>0</v>
      </c>
      <c r="K34" s="204">
        <f t="shared" si="36"/>
        <v>0</v>
      </c>
      <c r="L34" s="345">
        <f t="shared" si="37"/>
        <v>0</v>
      </c>
      <c r="M34" s="286">
        <f t="shared" si="38"/>
        <v>0</v>
      </c>
      <c r="N34" s="345">
        <f t="shared" si="39"/>
        <v>0</v>
      </c>
      <c r="O34" s="201">
        <v>0</v>
      </c>
      <c r="P34" s="351">
        <f t="shared" si="40"/>
        <v>0</v>
      </c>
      <c r="Q34" s="203">
        <f>8*'[2]Table 5C1F-Lake Charles Charter'!S34</f>
        <v>0</v>
      </c>
      <c r="R34" s="203">
        <f t="shared" si="41"/>
        <v>0</v>
      </c>
      <c r="S34" s="351">
        <f t="shared" si="30"/>
        <v>0</v>
      </c>
      <c r="T34" s="351">
        <f t="shared" si="42"/>
        <v>0</v>
      </c>
      <c r="U34" s="287">
        <f>'Table 5C1A-Madison Prep'!U34</f>
        <v>5816</v>
      </c>
      <c r="V34" s="328">
        <f t="shared" si="43"/>
        <v>0</v>
      </c>
      <c r="W34" s="289">
        <f>'[1]Oct midyear Lake Charles Chtr'!E31</f>
        <v>0</v>
      </c>
      <c r="X34" s="290">
        <f t="shared" si="44"/>
        <v>0</v>
      </c>
      <c r="Y34" s="289">
        <f>'[1]Feb midyear Lake Charles Chtr'!E31</f>
        <v>0</v>
      </c>
      <c r="Z34" s="290">
        <f t="shared" si="45"/>
        <v>0</v>
      </c>
      <c r="AA34" s="288">
        <f t="shared" si="46"/>
        <v>0</v>
      </c>
      <c r="AB34" s="324">
        <f t="shared" si="47"/>
        <v>0</v>
      </c>
      <c r="AC34" s="292">
        <f t="shared" si="48"/>
        <v>0</v>
      </c>
      <c r="AD34" s="324">
        <f t="shared" si="49"/>
        <v>0</v>
      </c>
      <c r="AE34" s="293">
        <v>0</v>
      </c>
      <c r="AF34" s="324">
        <f t="shared" si="50"/>
        <v>0</v>
      </c>
      <c r="AG34" s="293">
        <f>8*'[2]Table 5C1F-Lake Charles Charter'!AI34</f>
        <v>0</v>
      </c>
      <c r="AH34" s="293">
        <f t="shared" si="51"/>
        <v>0</v>
      </c>
      <c r="AI34" s="324">
        <f t="shared" si="31"/>
        <v>0</v>
      </c>
      <c r="AJ34" s="321">
        <f t="shared" si="52"/>
        <v>0</v>
      </c>
      <c r="AK34" s="342">
        <f t="shared" si="53"/>
        <v>0</v>
      </c>
      <c r="AM34" s="286">
        <v>0</v>
      </c>
      <c r="AN34" s="286">
        <f t="shared" si="54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2.1.14'!M31</f>
        <v>0</v>
      </c>
      <c r="D35" s="201">
        <f>+'Table 5C1A-Madison Prep'!D35</f>
        <v>3839.0123210173724</v>
      </c>
      <c r="E35" s="202">
        <f t="shared" si="33"/>
        <v>0</v>
      </c>
      <c r="F35" s="202">
        <f>+'Table 5C1A-Madison Prep'!F35</f>
        <v>754.94999999999993</v>
      </c>
      <c r="G35" s="202">
        <f t="shared" si="34"/>
        <v>0</v>
      </c>
      <c r="H35" s="345">
        <f t="shared" si="35"/>
        <v>0</v>
      </c>
      <c r="I35" s="203">
        <f>'[1]Oct midyear Lake Charles Chtr'!K32</f>
        <v>0</v>
      </c>
      <c r="J35" s="203">
        <f>'[1]Feb midyear Lake Charles Chtr'!K32</f>
        <v>0</v>
      </c>
      <c r="K35" s="204">
        <f t="shared" si="36"/>
        <v>0</v>
      </c>
      <c r="L35" s="345">
        <f t="shared" si="37"/>
        <v>0</v>
      </c>
      <c r="M35" s="286">
        <f t="shared" si="38"/>
        <v>0</v>
      </c>
      <c r="N35" s="345">
        <f t="shared" si="39"/>
        <v>0</v>
      </c>
      <c r="O35" s="201">
        <v>0</v>
      </c>
      <c r="P35" s="351">
        <f t="shared" si="40"/>
        <v>0</v>
      </c>
      <c r="Q35" s="203">
        <f>8*'[2]Table 5C1F-Lake Charles Charter'!S35</f>
        <v>0</v>
      </c>
      <c r="R35" s="203">
        <f t="shared" si="41"/>
        <v>0</v>
      </c>
      <c r="S35" s="351">
        <f t="shared" si="30"/>
        <v>0</v>
      </c>
      <c r="T35" s="351">
        <f t="shared" si="42"/>
        <v>0</v>
      </c>
      <c r="U35" s="287">
        <f>'Table 5C1A-Madison Prep'!U35</f>
        <v>5046</v>
      </c>
      <c r="V35" s="328">
        <f t="shared" si="43"/>
        <v>0</v>
      </c>
      <c r="W35" s="289">
        <f>'[1]Oct midyear Lake Charles Chtr'!E32</f>
        <v>0</v>
      </c>
      <c r="X35" s="290">
        <f t="shared" si="44"/>
        <v>0</v>
      </c>
      <c r="Y35" s="289">
        <f>'[1]Feb midyear Lake Charles Chtr'!E32</f>
        <v>0</v>
      </c>
      <c r="Z35" s="290">
        <f t="shared" si="45"/>
        <v>0</v>
      </c>
      <c r="AA35" s="288">
        <f t="shared" si="46"/>
        <v>0</v>
      </c>
      <c r="AB35" s="324">
        <f t="shared" si="47"/>
        <v>0</v>
      </c>
      <c r="AC35" s="292">
        <f t="shared" si="48"/>
        <v>0</v>
      </c>
      <c r="AD35" s="324">
        <f t="shared" si="49"/>
        <v>0</v>
      </c>
      <c r="AE35" s="293">
        <v>0</v>
      </c>
      <c r="AF35" s="324">
        <f t="shared" si="50"/>
        <v>0</v>
      </c>
      <c r="AG35" s="293">
        <f>8*'[2]Table 5C1F-Lake Charles Charter'!AI35</f>
        <v>0</v>
      </c>
      <c r="AH35" s="293">
        <f t="shared" si="51"/>
        <v>0</v>
      </c>
      <c r="AI35" s="324">
        <f t="shared" si="31"/>
        <v>0</v>
      </c>
      <c r="AJ35" s="321">
        <f t="shared" si="52"/>
        <v>0</v>
      </c>
      <c r="AK35" s="342">
        <f t="shared" si="53"/>
        <v>0</v>
      </c>
      <c r="AM35" s="286">
        <v>0</v>
      </c>
      <c r="AN35" s="286">
        <f t="shared" si="54"/>
        <v>0</v>
      </c>
      <c r="AO35" s="286">
        <f t="shared" ref="AO35:AO75" si="55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2.1.14'!M32</f>
        <v>0</v>
      </c>
      <c r="D36" s="194">
        <f>+'Table 5C1A-Madison Prep'!D36</f>
        <v>5804.5327273996763</v>
      </c>
      <c r="E36" s="195">
        <f t="shared" si="33"/>
        <v>0</v>
      </c>
      <c r="F36" s="195">
        <f>+'Table 5C1A-Madison Prep'!F36</f>
        <v>727.17</v>
      </c>
      <c r="G36" s="195">
        <f t="shared" si="34"/>
        <v>0</v>
      </c>
      <c r="H36" s="346">
        <f t="shared" si="35"/>
        <v>0</v>
      </c>
      <c r="I36" s="196">
        <f>'[1]Oct midyear Lake Charles Chtr'!K33</f>
        <v>0</v>
      </c>
      <c r="J36" s="196">
        <f>'[1]Feb midyear Lake Charles Chtr'!K33</f>
        <v>0</v>
      </c>
      <c r="K36" s="197">
        <f t="shared" si="36"/>
        <v>0</v>
      </c>
      <c r="L36" s="346">
        <f t="shared" si="37"/>
        <v>0</v>
      </c>
      <c r="M36" s="296">
        <f t="shared" si="38"/>
        <v>0</v>
      </c>
      <c r="N36" s="346">
        <f t="shared" si="39"/>
        <v>0</v>
      </c>
      <c r="O36" s="194">
        <v>0</v>
      </c>
      <c r="P36" s="352">
        <f t="shared" si="40"/>
        <v>0</v>
      </c>
      <c r="Q36" s="196">
        <f>8*'[2]Table 5C1F-Lake Charles Charter'!S36</f>
        <v>0</v>
      </c>
      <c r="R36" s="196">
        <f t="shared" si="41"/>
        <v>0</v>
      </c>
      <c r="S36" s="352">
        <f t="shared" si="30"/>
        <v>0</v>
      </c>
      <c r="T36" s="352">
        <f t="shared" si="42"/>
        <v>0</v>
      </c>
      <c r="U36" s="281">
        <f>'Table 5C1A-Madison Prep'!U36</f>
        <v>3999</v>
      </c>
      <c r="V36" s="329">
        <f t="shared" si="43"/>
        <v>0</v>
      </c>
      <c r="W36" s="884">
        <f>'[1]Oct midyear Lake Charles Chtr'!E33</f>
        <v>0</v>
      </c>
      <c r="X36" s="282">
        <f t="shared" si="44"/>
        <v>0</v>
      </c>
      <c r="Y36" s="884">
        <f>'[1]Feb midyear Lake Charles Chtr'!E33</f>
        <v>0</v>
      </c>
      <c r="Z36" s="282">
        <f t="shared" si="45"/>
        <v>0</v>
      </c>
      <c r="AA36" s="283">
        <f t="shared" si="46"/>
        <v>0</v>
      </c>
      <c r="AB36" s="325">
        <f t="shared" si="47"/>
        <v>0</v>
      </c>
      <c r="AC36" s="298">
        <f t="shared" si="48"/>
        <v>0</v>
      </c>
      <c r="AD36" s="325">
        <f t="shared" si="49"/>
        <v>0</v>
      </c>
      <c r="AE36" s="284">
        <v>0</v>
      </c>
      <c r="AF36" s="325">
        <f t="shared" si="50"/>
        <v>0</v>
      </c>
      <c r="AG36" s="284">
        <f>8*'[2]Table 5C1F-Lake Charles Charter'!AI36</f>
        <v>0</v>
      </c>
      <c r="AH36" s="284">
        <f t="shared" si="51"/>
        <v>0</v>
      </c>
      <c r="AI36" s="325">
        <f t="shared" si="31"/>
        <v>0</v>
      </c>
      <c r="AJ36" s="338">
        <f t="shared" si="52"/>
        <v>0</v>
      </c>
      <c r="AK36" s="343">
        <f t="shared" si="53"/>
        <v>0</v>
      </c>
      <c r="AM36" s="296">
        <v>0</v>
      </c>
      <c r="AN36" s="296">
        <f t="shared" si="54"/>
        <v>0</v>
      </c>
      <c r="AO36" s="296">
        <f t="shared" si="55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2.1.14'!M33</f>
        <v>0</v>
      </c>
      <c r="D37" s="208">
        <f>+'Table 5C1A-Madison Prep'!D37</f>
        <v>4520.6176716868531</v>
      </c>
      <c r="E37" s="209">
        <f t="shared" si="33"/>
        <v>0</v>
      </c>
      <c r="F37" s="209">
        <f>+'Table 5C1A-Madison Prep'!F37</f>
        <v>620.83000000000004</v>
      </c>
      <c r="G37" s="209">
        <f t="shared" si="34"/>
        <v>0</v>
      </c>
      <c r="H37" s="344">
        <f t="shared" si="35"/>
        <v>0</v>
      </c>
      <c r="I37" s="210">
        <f>'[1]Oct midyear Lake Charles Chtr'!K34</f>
        <v>0</v>
      </c>
      <c r="J37" s="210">
        <f>'[1]Feb midyear Lake Charles Chtr'!K34</f>
        <v>0</v>
      </c>
      <c r="K37" s="211">
        <f t="shared" si="36"/>
        <v>0</v>
      </c>
      <c r="L37" s="344">
        <f t="shared" si="37"/>
        <v>0</v>
      </c>
      <c r="M37" s="273">
        <f t="shared" si="38"/>
        <v>0</v>
      </c>
      <c r="N37" s="344">
        <f t="shared" si="39"/>
        <v>0</v>
      </c>
      <c r="O37" s="208">
        <v>0</v>
      </c>
      <c r="P37" s="350">
        <f t="shared" si="40"/>
        <v>0</v>
      </c>
      <c r="Q37" s="210">
        <f>8*'[2]Table 5C1F-Lake Charles Charter'!S37</f>
        <v>0</v>
      </c>
      <c r="R37" s="210">
        <f t="shared" si="41"/>
        <v>0</v>
      </c>
      <c r="S37" s="350">
        <f t="shared" si="30"/>
        <v>0</v>
      </c>
      <c r="T37" s="350">
        <f t="shared" si="42"/>
        <v>0</v>
      </c>
      <c r="U37" s="274">
        <f>'Table 5C1A-Madison Prep'!U37</f>
        <v>5028</v>
      </c>
      <c r="V37" s="327">
        <f t="shared" si="43"/>
        <v>0</v>
      </c>
      <c r="W37" s="883">
        <f>'[1]Oct midyear Lake Charles Chtr'!E34</f>
        <v>0</v>
      </c>
      <c r="X37" s="276">
        <f t="shared" si="44"/>
        <v>0</v>
      </c>
      <c r="Y37" s="883">
        <f>'[1]Feb midyear Lake Charles Chtr'!E34</f>
        <v>0</v>
      </c>
      <c r="Z37" s="276">
        <f t="shared" si="45"/>
        <v>0</v>
      </c>
      <c r="AA37" s="275">
        <f t="shared" si="46"/>
        <v>0</v>
      </c>
      <c r="AB37" s="323">
        <f t="shared" si="47"/>
        <v>0</v>
      </c>
      <c r="AC37" s="278">
        <f t="shared" si="48"/>
        <v>0</v>
      </c>
      <c r="AD37" s="323">
        <f t="shared" si="49"/>
        <v>0</v>
      </c>
      <c r="AE37" s="279">
        <v>0</v>
      </c>
      <c r="AF37" s="323">
        <f t="shared" si="50"/>
        <v>0</v>
      </c>
      <c r="AG37" s="279">
        <f>8*'[2]Table 5C1F-Lake Charles Charter'!AI37</f>
        <v>0</v>
      </c>
      <c r="AH37" s="279">
        <f t="shared" si="51"/>
        <v>0</v>
      </c>
      <c r="AI37" s="323">
        <f t="shared" si="31"/>
        <v>0</v>
      </c>
      <c r="AJ37" s="337">
        <f t="shared" si="52"/>
        <v>0</v>
      </c>
      <c r="AK37" s="341">
        <f t="shared" si="53"/>
        <v>0</v>
      </c>
      <c r="AM37" s="273">
        <v>0</v>
      </c>
      <c r="AN37" s="273">
        <f t="shared" si="54"/>
        <v>0</v>
      </c>
      <c r="AO37" s="273">
        <f t="shared" si="55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2.1.14'!M34</f>
        <v>0</v>
      </c>
      <c r="D38" s="201">
        <f>+'Table 5C1A-Madison Prep'!D38</f>
        <v>5652.819189061127</v>
      </c>
      <c r="E38" s="202">
        <f t="shared" si="33"/>
        <v>0</v>
      </c>
      <c r="F38" s="202">
        <f>+'Table 5C1A-Madison Prep'!F38</f>
        <v>559.77</v>
      </c>
      <c r="G38" s="202">
        <f t="shared" si="34"/>
        <v>0</v>
      </c>
      <c r="H38" s="345">
        <f t="shared" si="35"/>
        <v>0</v>
      </c>
      <c r="I38" s="203">
        <f>'[1]Oct midyear Lake Charles Chtr'!K35</f>
        <v>0</v>
      </c>
      <c r="J38" s="203">
        <f>'[1]Feb midyear Lake Charles Chtr'!K35</f>
        <v>0</v>
      </c>
      <c r="K38" s="204">
        <f t="shared" si="36"/>
        <v>0</v>
      </c>
      <c r="L38" s="345">
        <f t="shared" si="37"/>
        <v>0</v>
      </c>
      <c r="M38" s="286">
        <f t="shared" si="38"/>
        <v>0</v>
      </c>
      <c r="N38" s="345">
        <f t="shared" si="39"/>
        <v>0</v>
      </c>
      <c r="O38" s="201">
        <v>0</v>
      </c>
      <c r="P38" s="351">
        <f t="shared" si="40"/>
        <v>0</v>
      </c>
      <c r="Q38" s="203">
        <f>8*'[2]Table 5C1F-Lake Charles Charter'!S38</f>
        <v>0</v>
      </c>
      <c r="R38" s="203">
        <f t="shared" si="41"/>
        <v>0</v>
      </c>
      <c r="S38" s="351">
        <f t="shared" si="30"/>
        <v>0</v>
      </c>
      <c r="T38" s="351">
        <f t="shared" si="42"/>
        <v>0</v>
      </c>
      <c r="U38" s="287">
        <f>'Table 5C1A-Madison Prep'!U38</f>
        <v>2139</v>
      </c>
      <c r="V38" s="328">
        <f t="shared" si="43"/>
        <v>0</v>
      </c>
      <c r="W38" s="289">
        <f>'[1]Oct midyear Lake Charles Chtr'!E35</f>
        <v>0</v>
      </c>
      <c r="X38" s="290">
        <f t="shared" si="44"/>
        <v>0</v>
      </c>
      <c r="Y38" s="289">
        <f>'[1]Feb midyear Lake Charles Chtr'!E35</f>
        <v>0</v>
      </c>
      <c r="Z38" s="290">
        <f t="shared" si="45"/>
        <v>0</v>
      </c>
      <c r="AA38" s="288">
        <f t="shared" si="46"/>
        <v>0</v>
      </c>
      <c r="AB38" s="324">
        <f t="shared" si="47"/>
        <v>0</v>
      </c>
      <c r="AC38" s="292">
        <f t="shared" si="48"/>
        <v>0</v>
      </c>
      <c r="AD38" s="324">
        <f t="shared" si="49"/>
        <v>0</v>
      </c>
      <c r="AE38" s="293">
        <v>0</v>
      </c>
      <c r="AF38" s="324">
        <f t="shared" si="50"/>
        <v>0</v>
      </c>
      <c r="AG38" s="293">
        <f>8*'[2]Table 5C1F-Lake Charles Charter'!AI38</f>
        <v>0</v>
      </c>
      <c r="AH38" s="293">
        <f t="shared" si="51"/>
        <v>0</v>
      </c>
      <c r="AI38" s="324">
        <f t="shared" si="31"/>
        <v>0</v>
      </c>
      <c r="AJ38" s="321">
        <f t="shared" si="52"/>
        <v>0</v>
      </c>
      <c r="AK38" s="342">
        <f t="shared" si="53"/>
        <v>0</v>
      </c>
      <c r="AM38" s="286">
        <v>0</v>
      </c>
      <c r="AN38" s="286">
        <f t="shared" si="54"/>
        <v>0</v>
      </c>
      <c r="AO38" s="286">
        <f t="shared" si="55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2.1.14'!M35</f>
        <v>0</v>
      </c>
      <c r="D39" s="201">
        <f>+'Table 5C1A-Madison Prep'!D39</f>
        <v>5456.2254558085233</v>
      </c>
      <c r="E39" s="202">
        <f t="shared" si="33"/>
        <v>0</v>
      </c>
      <c r="F39" s="202">
        <f>+'Table 5C1A-Madison Prep'!F39</f>
        <v>655.31000000000006</v>
      </c>
      <c r="G39" s="202">
        <f t="shared" si="34"/>
        <v>0</v>
      </c>
      <c r="H39" s="345">
        <f t="shared" si="35"/>
        <v>0</v>
      </c>
      <c r="I39" s="203">
        <f>'[1]Oct midyear Lake Charles Chtr'!K36</f>
        <v>0</v>
      </c>
      <c r="J39" s="203">
        <f>'[1]Feb midyear Lake Charles Chtr'!K36</f>
        <v>0</v>
      </c>
      <c r="K39" s="204">
        <f t="shared" si="36"/>
        <v>0</v>
      </c>
      <c r="L39" s="345">
        <f t="shared" si="37"/>
        <v>0</v>
      </c>
      <c r="M39" s="286">
        <f t="shared" si="38"/>
        <v>0</v>
      </c>
      <c r="N39" s="345">
        <f t="shared" si="39"/>
        <v>0</v>
      </c>
      <c r="O39" s="201">
        <v>0</v>
      </c>
      <c r="P39" s="351">
        <f t="shared" si="40"/>
        <v>0</v>
      </c>
      <c r="Q39" s="203">
        <f>8*'[2]Table 5C1F-Lake Charles Charter'!S39</f>
        <v>0</v>
      </c>
      <c r="R39" s="203">
        <f t="shared" si="41"/>
        <v>0</v>
      </c>
      <c r="S39" s="351">
        <f t="shared" ref="S39:S70" si="56">ROUND(R39/$S$88,0)</f>
        <v>0</v>
      </c>
      <c r="T39" s="351">
        <f t="shared" si="42"/>
        <v>0</v>
      </c>
      <c r="U39" s="287">
        <f>'Table 5C1A-Madison Prep'!U39</f>
        <v>3784</v>
      </c>
      <c r="V39" s="328">
        <f t="shared" si="43"/>
        <v>0</v>
      </c>
      <c r="W39" s="289">
        <f>'[1]Oct midyear Lake Charles Chtr'!E36</f>
        <v>0</v>
      </c>
      <c r="X39" s="290">
        <f t="shared" si="44"/>
        <v>0</v>
      </c>
      <c r="Y39" s="289">
        <f>'[1]Feb midyear Lake Charles Chtr'!E36</f>
        <v>0</v>
      </c>
      <c r="Z39" s="290">
        <f t="shared" si="45"/>
        <v>0</v>
      </c>
      <c r="AA39" s="288">
        <f t="shared" si="46"/>
        <v>0</v>
      </c>
      <c r="AB39" s="324">
        <f t="shared" si="47"/>
        <v>0</v>
      </c>
      <c r="AC39" s="292">
        <f t="shared" si="48"/>
        <v>0</v>
      </c>
      <c r="AD39" s="324">
        <f t="shared" si="49"/>
        <v>0</v>
      </c>
      <c r="AE39" s="293">
        <v>0</v>
      </c>
      <c r="AF39" s="324">
        <f t="shared" si="50"/>
        <v>0</v>
      </c>
      <c r="AG39" s="293">
        <f>8*'[2]Table 5C1F-Lake Charles Charter'!AI39</f>
        <v>0</v>
      </c>
      <c r="AH39" s="293">
        <f t="shared" si="51"/>
        <v>0</v>
      </c>
      <c r="AI39" s="324">
        <f t="shared" ref="AI39:AI70" si="57">ROUND(AH39/$AI$88,0)</f>
        <v>0</v>
      </c>
      <c r="AJ39" s="321">
        <f t="shared" si="52"/>
        <v>0</v>
      </c>
      <c r="AK39" s="342">
        <f t="shared" si="53"/>
        <v>0</v>
      </c>
      <c r="AM39" s="286">
        <v>0</v>
      </c>
      <c r="AN39" s="286">
        <f t="shared" si="54"/>
        <v>0</v>
      </c>
      <c r="AO39" s="286">
        <f t="shared" si="55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2.1.14'!M36</f>
        <v>0</v>
      </c>
      <c r="D40" s="201">
        <f>+'Table 5C1A-Madison Prep'!D40</f>
        <v>6292.0976842789005</v>
      </c>
      <c r="E40" s="202">
        <f t="shared" si="33"/>
        <v>0</v>
      </c>
      <c r="F40" s="202">
        <f>+'Table 5C1A-Madison Prep'!F40</f>
        <v>644.11000000000013</v>
      </c>
      <c r="G40" s="202">
        <f t="shared" si="34"/>
        <v>0</v>
      </c>
      <c r="H40" s="345">
        <f t="shared" si="35"/>
        <v>0</v>
      </c>
      <c r="I40" s="203">
        <f>'[1]Oct midyear Lake Charles Chtr'!K37</f>
        <v>0</v>
      </c>
      <c r="J40" s="203">
        <f>'[1]Feb midyear Lake Charles Chtr'!K37</f>
        <v>0</v>
      </c>
      <c r="K40" s="204">
        <f t="shared" si="36"/>
        <v>0</v>
      </c>
      <c r="L40" s="345">
        <f t="shared" si="37"/>
        <v>0</v>
      </c>
      <c r="M40" s="286">
        <f t="shared" si="38"/>
        <v>0</v>
      </c>
      <c r="N40" s="345">
        <f t="shared" si="39"/>
        <v>0</v>
      </c>
      <c r="O40" s="201">
        <v>0</v>
      </c>
      <c r="P40" s="351">
        <f t="shared" si="40"/>
        <v>0</v>
      </c>
      <c r="Q40" s="203">
        <f>8*'[2]Table 5C1F-Lake Charles Charter'!S40</f>
        <v>0</v>
      </c>
      <c r="R40" s="203">
        <f t="shared" si="41"/>
        <v>0</v>
      </c>
      <c r="S40" s="351">
        <f t="shared" si="56"/>
        <v>0</v>
      </c>
      <c r="T40" s="351">
        <f t="shared" si="42"/>
        <v>0</v>
      </c>
      <c r="U40" s="287">
        <f>'Table 5C1A-Madison Prep'!U40</f>
        <v>2911</v>
      </c>
      <c r="V40" s="328">
        <f t="shared" si="43"/>
        <v>0</v>
      </c>
      <c r="W40" s="289">
        <f>'[1]Oct midyear Lake Charles Chtr'!E37</f>
        <v>0</v>
      </c>
      <c r="X40" s="290">
        <f t="shared" si="44"/>
        <v>0</v>
      </c>
      <c r="Y40" s="289">
        <f>'[1]Feb midyear Lake Charles Chtr'!E37</f>
        <v>0</v>
      </c>
      <c r="Z40" s="290">
        <f t="shared" si="45"/>
        <v>0</v>
      </c>
      <c r="AA40" s="288">
        <f t="shared" si="46"/>
        <v>0</v>
      </c>
      <c r="AB40" s="324">
        <f t="shared" si="47"/>
        <v>0</v>
      </c>
      <c r="AC40" s="292">
        <f t="shared" si="48"/>
        <v>0</v>
      </c>
      <c r="AD40" s="324">
        <f t="shared" si="49"/>
        <v>0</v>
      </c>
      <c r="AE40" s="293">
        <v>0</v>
      </c>
      <c r="AF40" s="324">
        <f t="shared" si="50"/>
        <v>0</v>
      </c>
      <c r="AG40" s="293">
        <f>8*'[2]Table 5C1F-Lake Charles Charter'!AI40</f>
        <v>0</v>
      </c>
      <c r="AH40" s="293">
        <f t="shared" si="51"/>
        <v>0</v>
      </c>
      <c r="AI40" s="324">
        <f t="shared" si="57"/>
        <v>0</v>
      </c>
      <c r="AJ40" s="321">
        <f t="shared" si="52"/>
        <v>0</v>
      </c>
      <c r="AK40" s="342">
        <f t="shared" si="53"/>
        <v>0</v>
      </c>
      <c r="AM40" s="286">
        <v>0</v>
      </c>
      <c r="AN40" s="286">
        <f t="shared" si="54"/>
        <v>0</v>
      </c>
      <c r="AO40" s="286">
        <f t="shared" si="55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2.1.14'!M37</f>
        <v>0</v>
      </c>
      <c r="D41" s="194">
        <f>+'Table 5C1A-Madison Prep'!D41</f>
        <v>5166.2482060477605</v>
      </c>
      <c r="E41" s="195">
        <f t="shared" si="33"/>
        <v>0</v>
      </c>
      <c r="F41" s="195">
        <f>+'Table 5C1A-Madison Prep'!F41</f>
        <v>537.96</v>
      </c>
      <c r="G41" s="195">
        <f t="shared" si="34"/>
        <v>0</v>
      </c>
      <c r="H41" s="346">
        <f t="shared" si="35"/>
        <v>0</v>
      </c>
      <c r="I41" s="196">
        <f>'[1]Oct midyear Lake Charles Chtr'!K38</f>
        <v>0</v>
      </c>
      <c r="J41" s="196">
        <f>'[1]Feb midyear Lake Charles Chtr'!K38</f>
        <v>0</v>
      </c>
      <c r="K41" s="197">
        <f t="shared" si="36"/>
        <v>0</v>
      </c>
      <c r="L41" s="346">
        <f t="shared" si="37"/>
        <v>0</v>
      </c>
      <c r="M41" s="296">
        <f t="shared" si="38"/>
        <v>0</v>
      </c>
      <c r="N41" s="346">
        <f t="shared" si="39"/>
        <v>0</v>
      </c>
      <c r="O41" s="194">
        <v>0</v>
      </c>
      <c r="P41" s="352">
        <f t="shared" si="40"/>
        <v>0</v>
      </c>
      <c r="Q41" s="196">
        <f>8*'[2]Table 5C1F-Lake Charles Charter'!S41</f>
        <v>0</v>
      </c>
      <c r="R41" s="196">
        <f t="shared" si="41"/>
        <v>0</v>
      </c>
      <c r="S41" s="352">
        <f t="shared" si="56"/>
        <v>0</v>
      </c>
      <c r="T41" s="352">
        <f t="shared" si="42"/>
        <v>0</v>
      </c>
      <c r="U41" s="281">
        <f>'Table 5C1A-Madison Prep'!U41</f>
        <v>3337</v>
      </c>
      <c r="V41" s="329">
        <f t="shared" si="43"/>
        <v>0</v>
      </c>
      <c r="W41" s="884">
        <f>'[1]Oct midyear Lake Charles Chtr'!E38</f>
        <v>0</v>
      </c>
      <c r="X41" s="282">
        <f t="shared" si="44"/>
        <v>0</v>
      </c>
      <c r="Y41" s="884">
        <f>'[1]Feb midyear Lake Charles Chtr'!E38</f>
        <v>0</v>
      </c>
      <c r="Z41" s="282">
        <f t="shared" si="45"/>
        <v>0</v>
      </c>
      <c r="AA41" s="283">
        <f t="shared" si="46"/>
        <v>0</v>
      </c>
      <c r="AB41" s="325">
        <f t="shared" si="47"/>
        <v>0</v>
      </c>
      <c r="AC41" s="298">
        <f t="shared" si="48"/>
        <v>0</v>
      </c>
      <c r="AD41" s="325">
        <f t="shared" si="49"/>
        <v>0</v>
      </c>
      <c r="AE41" s="284">
        <v>0</v>
      </c>
      <c r="AF41" s="325">
        <f t="shared" si="50"/>
        <v>0</v>
      </c>
      <c r="AG41" s="284">
        <f>8*'[2]Table 5C1F-Lake Charles Charter'!AI41</f>
        <v>0</v>
      </c>
      <c r="AH41" s="284">
        <f t="shared" si="51"/>
        <v>0</v>
      </c>
      <c r="AI41" s="325">
        <f t="shared" si="57"/>
        <v>0</v>
      </c>
      <c r="AJ41" s="338">
        <f t="shared" si="52"/>
        <v>0</v>
      </c>
      <c r="AK41" s="343">
        <f t="shared" si="53"/>
        <v>0</v>
      </c>
      <c r="AM41" s="296">
        <v>0</v>
      </c>
      <c r="AN41" s="296">
        <f t="shared" si="54"/>
        <v>0</v>
      </c>
      <c r="AO41" s="296">
        <f t="shared" si="55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2.1.14'!M38</f>
        <v>0</v>
      </c>
      <c r="D42" s="208">
        <f>+'Table 5C1A-Madison Prep'!D42</f>
        <v>3602.7009974327857</v>
      </c>
      <c r="E42" s="209">
        <f t="shared" si="33"/>
        <v>0</v>
      </c>
      <c r="F42" s="209">
        <f>+'Table 5C1A-Madison Prep'!F42</f>
        <v>746.0335616438357</v>
      </c>
      <c r="G42" s="209">
        <f t="shared" si="34"/>
        <v>0</v>
      </c>
      <c r="H42" s="344">
        <f t="shared" si="35"/>
        <v>0</v>
      </c>
      <c r="I42" s="210">
        <f>'[1]Oct midyear Lake Charles Chtr'!K39</f>
        <v>0</v>
      </c>
      <c r="J42" s="210">
        <f>'[1]Feb midyear Lake Charles Chtr'!K39</f>
        <v>0</v>
      </c>
      <c r="K42" s="211">
        <f t="shared" si="36"/>
        <v>0</v>
      </c>
      <c r="L42" s="344">
        <f t="shared" si="37"/>
        <v>0</v>
      </c>
      <c r="M42" s="273">
        <f t="shared" si="38"/>
        <v>0</v>
      </c>
      <c r="N42" s="344">
        <f t="shared" si="39"/>
        <v>0</v>
      </c>
      <c r="O42" s="208">
        <v>0</v>
      </c>
      <c r="P42" s="350">
        <f t="shared" si="40"/>
        <v>0</v>
      </c>
      <c r="Q42" s="210">
        <f>8*'[2]Table 5C1F-Lake Charles Charter'!S42</f>
        <v>0</v>
      </c>
      <c r="R42" s="210">
        <f t="shared" si="41"/>
        <v>0</v>
      </c>
      <c r="S42" s="350">
        <f t="shared" si="56"/>
        <v>0</v>
      </c>
      <c r="T42" s="350">
        <f t="shared" si="42"/>
        <v>0</v>
      </c>
      <c r="U42" s="274">
        <f>'Table 5C1A-Madison Prep'!U42</f>
        <v>5469</v>
      </c>
      <c r="V42" s="327">
        <f t="shared" si="43"/>
        <v>0</v>
      </c>
      <c r="W42" s="883">
        <f>'[1]Oct midyear Lake Charles Chtr'!E39</f>
        <v>0</v>
      </c>
      <c r="X42" s="276">
        <f t="shared" si="44"/>
        <v>0</v>
      </c>
      <c r="Y42" s="883">
        <f>'[1]Feb midyear Lake Charles Chtr'!E39</f>
        <v>0</v>
      </c>
      <c r="Z42" s="276">
        <f t="shared" si="45"/>
        <v>0</v>
      </c>
      <c r="AA42" s="275">
        <f t="shared" si="46"/>
        <v>0</v>
      </c>
      <c r="AB42" s="323">
        <f t="shared" si="47"/>
        <v>0</v>
      </c>
      <c r="AC42" s="278">
        <f t="shared" si="48"/>
        <v>0</v>
      </c>
      <c r="AD42" s="323">
        <f t="shared" si="49"/>
        <v>0</v>
      </c>
      <c r="AE42" s="279">
        <v>0</v>
      </c>
      <c r="AF42" s="323">
        <f t="shared" si="50"/>
        <v>0</v>
      </c>
      <c r="AG42" s="279">
        <f>8*'[2]Table 5C1F-Lake Charles Charter'!AI42</f>
        <v>0</v>
      </c>
      <c r="AH42" s="279">
        <f t="shared" si="51"/>
        <v>0</v>
      </c>
      <c r="AI42" s="323">
        <f t="shared" si="57"/>
        <v>0</v>
      </c>
      <c r="AJ42" s="337">
        <f t="shared" si="52"/>
        <v>0</v>
      </c>
      <c r="AK42" s="341">
        <f t="shared" si="53"/>
        <v>0</v>
      </c>
      <c r="AM42" s="273">
        <v>0</v>
      </c>
      <c r="AN42" s="273">
        <f t="shared" si="54"/>
        <v>0</v>
      </c>
      <c r="AO42" s="273">
        <f t="shared" si="55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2.1.14'!M39</f>
        <v>0</v>
      </c>
      <c r="D43" s="201">
        <f>+'Table 5C1A-Madison Prep'!D43</f>
        <v>5665.3839260317691</v>
      </c>
      <c r="E43" s="202">
        <f t="shared" si="33"/>
        <v>0</v>
      </c>
      <c r="F43" s="202">
        <f>+'Table 5C1A-Madison Prep'!F43</f>
        <v>653.61</v>
      </c>
      <c r="G43" s="202">
        <f t="shared" si="34"/>
        <v>0</v>
      </c>
      <c r="H43" s="345">
        <f t="shared" si="35"/>
        <v>0</v>
      </c>
      <c r="I43" s="203">
        <f>'[1]Oct midyear Lake Charles Chtr'!K40</f>
        <v>0</v>
      </c>
      <c r="J43" s="203">
        <f>'[1]Feb midyear Lake Charles Chtr'!K40</f>
        <v>0</v>
      </c>
      <c r="K43" s="204">
        <f t="shared" si="36"/>
        <v>0</v>
      </c>
      <c r="L43" s="345">
        <f t="shared" si="37"/>
        <v>0</v>
      </c>
      <c r="M43" s="286">
        <f t="shared" si="38"/>
        <v>0</v>
      </c>
      <c r="N43" s="345">
        <f t="shared" si="39"/>
        <v>0</v>
      </c>
      <c r="O43" s="201">
        <v>0</v>
      </c>
      <c r="P43" s="351">
        <f t="shared" si="40"/>
        <v>0</v>
      </c>
      <c r="Q43" s="203">
        <f>8*'[2]Table 5C1F-Lake Charles Charter'!S43</f>
        <v>0</v>
      </c>
      <c r="R43" s="203">
        <f t="shared" si="41"/>
        <v>0</v>
      </c>
      <c r="S43" s="351">
        <f t="shared" si="56"/>
        <v>0</v>
      </c>
      <c r="T43" s="351">
        <f t="shared" si="42"/>
        <v>0</v>
      </c>
      <c r="U43" s="287">
        <f>'Table 5C1A-Madison Prep'!U43</f>
        <v>3424</v>
      </c>
      <c r="V43" s="328">
        <f t="shared" si="43"/>
        <v>0</v>
      </c>
      <c r="W43" s="289">
        <f>'[1]Oct midyear Lake Charles Chtr'!E40</f>
        <v>0</v>
      </c>
      <c r="X43" s="290">
        <f t="shared" si="44"/>
        <v>0</v>
      </c>
      <c r="Y43" s="289">
        <f>'[1]Feb midyear Lake Charles Chtr'!E40</f>
        <v>0</v>
      </c>
      <c r="Z43" s="290">
        <f t="shared" si="45"/>
        <v>0</v>
      </c>
      <c r="AA43" s="288">
        <f t="shared" si="46"/>
        <v>0</v>
      </c>
      <c r="AB43" s="324">
        <f t="shared" si="47"/>
        <v>0</v>
      </c>
      <c r="AC43" s="292">
        <f t="shared" si="48"/>
        <v>0</v>
      </c>
      <c r="AD43" s="324">
        <f t="shared" si="49"/>
        <v>0</v>
      </c>
      <c r="AE43" s="293">
        <v>0</v>
      </c>
      <c r="AF43" s="324">
        <f t="shared" si="50"/>
        <v>0</v>
      </c>
      <c r="AG43" s="293">
        <f>8*'[2]Table 5C1F-Lake Charles Charter'!AI43</f>
        <v>0</v>
      </c>
      <c r="AH43" s="293">
        <f t="shared" si="51"/>
        <v>0</v>
      </c>
      <c r="AI43" s="324">
        <f t="shared" si="57"/>
        <v>0</v>
      </c>
      <c r="AJ43" s="321">
        <f t="shared" si="52"/>
        <v>0</v>
      </c>
      <c r="AK43" s="342">
        <f t="shared" si="53"/>
        <v>0</v>
      </c>
      <c r="AM43" s="286">
        <v>0</v>
      </c>
      <c r="AN43" s="286">
        <f t="shared" si="54"/>
        <v>0</v>
      </c>
      <c r="AO43" s="286">
        <f t="shared" si="55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2.1.14'!M40</f>
        <v>0</v>
      </c>
      <c r="D44" s="201">
        <f>+'Table 5C1A-Madison Prep'!D44</f>
        <v>2088.8017552916881</v>
      </c>
      <c r="E44" s="202">
        <f t="shared" si="33"/>
        <v>0</v>
      </c>
      <c r="F44" s="202">
        <f>+'Table 5C1A-Madison Prep'!F44</f>
        <v>829.92000000000007</v>
      </c>
      <c r="G44" s="202">
        <f t="shared" si="34"/>
        <v>0</v>
      </c>
      <c r="H44" s="345">
        <f t="shared" si="35"/>
        <v>0</v>
      </c>
      <c r="I44" s="203">
        <f>'[1]Oct midyear Lake Charles Chtr'!K41</f>
        <v>0</v>
      </c>
      <c r="J44" s="203">
        <f>'[1]Feb midyear Lake Charles Chtr'!K41</f>
        <v>0</v>
      </c>
      <c r="K44" s="204">
        <f t="shared" si="36"/>
        <v>0</v>
      </c>
      <c r="L44" s="345">
        <f t="shared" si="37"/>
        <v>0</v>
      </c>
      <c r="M44" s="286">
        <f t="shared" si="38"/>
        <v>0</v>
      </c>
      <c r="N44" s="345">
        <f t="shared" si="39"/>
        <v>0</v>
      </c>
      <c r="O44" s="201">
        <v>0</v>
      </c>
      <c r="P44" s="351">
        <f t="shared" si="40"/>
        <v>0</v>
      </c>
      <c r="Q44" s="203">
        <f>8*'[2]Table 5C1F-Lake Charles Charter'!S44</f>
        <v>0</v>
      </c>
      <c r="R44" s="203">
        <f t="shared" si="41"/>
        <v>0</v>
      </c>
      <c r="S44" s="351">
        <f t="shared" si="56"/>
        <v>0</v>
      </c>
      <c r="T44" s="351">
        <f t="shared" si="42"/>
        <v>0</v>
      </c>
      <c r="U44" s="287">
        <f>'Table 5C1A-Madison Prep'!U44</f>
        <v>11060</v>
      </c>
      <c r="V44" s="328">
        <f t="shared" si="43"/>
        <v>0</v>
      </c>
      <c r="W44" s="289">
        <f>'[1]Oct midyear Lake Charles Chtr'!E41</f>
        <v>0</v>
      </c>
      <c r="X44" s="290">
        <f t="shared" si="44"/>
        <v>0</v>
      </c>
      <c r="Y44" s="289">
        <f>'[1]Feb midyear Lake Charles Chtr'!E41</f>
        <v>0</v>
      </c>
      <c r="Z44" s="290">
        <f t="shared" si="45"/>
        <v>0</v>
      </c>
      <c r="AA44" s="288">
        <f t="shared" si="46"/>
        <v>0</v>
      </c>
      <c r="AB44" s="324">
        <f t="shared" si="47"/>
        <v>0</v>
      </c>
      <c r="AC44" s="292">
        <f t="shared" si="48"/>
        <v>0</v>
      </c>
      <c r="AD44" s="324">
        <f t="shared" si="49"/>
        <v>0</v>
      </c>
      <c r="AE44" s="293">
        <v>0</v>
      </c>
      <c r="AF44" s="324">
        <f t="shared" si="50"/>
        <v>0</v>
      </c>
      <c r="AG44" s="293">
        <f>8*'[2]Table 5C1F-Lake Charles Charter'!AI44</f>
        <v>0</v>
      </c>
      <c r="AH44" s="293">
        <f t="shared" si="51"/>
        <v>0</v>
      </c>
      <c r="AI44" s="324">
        <f t="shared" si="57"/>
        <v>0</v>
      </c>
      <c r="AJ44" s="321">
        <f t="shared" si="52"/>
        <v>0</v>
      </c>
      <c r="AK44" s="342">
        <f t="shared" si="53"/>
        <v>0</v>
      </c>
      <c r="AM44" s="286">
        <v>0</v>
      </c>
      <c r="AN44" s="286">
        <f t="shared" si="54"/>
        <v>0</v>
      </c>
      <c r="AO44" s="286">
        <f t="shared" si="55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2.1.14'!M41</f>
        <v>0</v>
      </c>
      <c r="D45" s="201">
        <f>+'Table 5C1A-Madison Prep'!D45</f>
        <v>3656.9056809295676</v>
      </c>
      <c r="E45" s="202">
        <f t="shared" si="33"/>
        <v>0</v>
      </c>
      <c r="F45" s="202">
        <f>+'Table 5C1A-Madison Prep'!F45</f>
        <v>779.65573042776396</v>
      </c>
      <c r="G45" s="202">
        <f t="shared" si="34"/>
        <v>0</v>
      </c>
      <c r="H45" s="345">
        <f t="shared" si="35"/>
        <v>0</v>
      </c>
      <c r="I45" s="203">
        <f>'[1]Oct midyear Lake Charles Chtr'!K42</f>
        <v>0</v>
      </c>
      <c r="J45" s="203">
        <f>'[1]Feb midyear Lake Charles Chtr'!K42</f>
        <v>0</v>
      </c>
      <c r="K45" s="204">
        <f t="shared" si="36"/>
        <v>0</v>
      </c>
      <c r="L45" s="345">
        <f t="shared" si="37"/>
        <v>0</v>
      </c>
      <c r="M45" s="286">
        <f t="shared" si="38"/>
        <v>0</v>
      </c>
      <c r="N45" s="345">
        <f t="shared" si="39"/>
        <v>0</v>
      </c>
      <c r="O45" s="201">
        <v>0</v>
      </c>
      <c r="P45" s="351">
        <f t="shared" si="40"/>
        <v>0</v>
      </c>
      <c r="Q45" s="203">
        <f>8*'[2]Table 5C1F-Lake Charles Charter'!S45</f>
        <v>0</v>
      </c>
      <c r="R45" s="203">
        <f t="shared" si="41"/>
        <v>0</v>
      </c>
      <c r="S45" s="351">
        <f t="shared" si="56"/>
        <v>0</v>
      </c>
      <c r="T45" s="351">
        <f t="shared" si="42"/>
        <v>0</v>
      </c>
      <c r="U45" s="287">
        <f>'Table 5C1A-Madison Prep'!U45</f>
        <v>4922</v>
      </c>
      <c r="V45" s="328">
        <f t="shared" si="43"/>
        <v>0</v>
      </c>
      <c r="W45" s="289">
        <f>'[1]Oct midyear Lake Charles Chtr'!E42</f>
        <v>0</v>
      </c>
      <c r="X45" s="290">
        <f t="shared" si="44"/>
        <v>0</v>
      </c>
      <c r="Y45" s="289">
        <f>'[1]Feb midyear Lake Charles Chtr'!E42</f>
        <v>0</v>
      </c>
      <c r="Z45" s="290">
        <f t="shared" si="45"/>
        <v>0</v>
      </c>
      <c r="AA45" s="288">
        <f t="shared" si="46"/>
        <v>0</v>
      </c>
      <c r="AB45" s="324">
        <f t="shared" si="47"/>
        <v>0</v>
      </c>
      <c r="AC45" s="292">
        <f t="shared" si="48"/>
        <v>0</v>
      </c>
      <c r="AD45" s="324">
        <f t="shared" si="49"/>
        <v>0</v>
      </c>
      <c r="AE45" s="293">
        <v>0</v>
      </c>
      <c r="AF45" s="324">
        <f t="shared" si="50"/>
        <v>0</v>
      </c>
      <c r="AG45" s="293">
        <f>8*'[2]Table 5C1F-Lake Charles Charter'!AI45</f>
        <v>0</v>
      </c>
      <c r="AH45" s="293">
        <f t="shared" si="51"/>
        <v>0</v>
      </c>
      <c r="AI45" s="324">
        <f t="shared" si="57"/>
        <v>0</v>
      </c>
      <c r="AJ45" s="321">
        <f t="shared" si="52"/>
        <v>0</v>
      </c>
      <c r="AK45" s="342">
        <f t="shared" si="53"/>
        <v>0</v>
      </c>
      <c r="AM45" s="286">
        <v>0</v>
      </c>
      <c r="AN45" s="286">
        <f t="shared" si="54"/>
        <v>0</v>
      </c>
      <c r="AO45" s="286">
        <f t="shared" si="55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2.1.14'!M42</f>
        <v>0</v>
      </c>
      <c r="D46" s="194">
        <f>+'Table 5C1A-Madison Prep'!D46</f>
        <v>5121.8110285698403</v>
      </c>
      <c r="E46" s="195">
        <f t="shared" si="33"/>
        <v>0</v>
      </c>
      <c r="F46" s="195">
        <f>+'Table 5C1A-Madison Prep'!F46</f>
        <v>700.2700000000001</v>
      </c>
      <c r="G46" s="195">
        <f t="shared" si="34"/>
        <v>0</v>
      </c>
      <c r="H46" s="346">
        <f t="shared" si="35"/>
        <v>0</v>
      </c>
      <c r="I46" s="196">
        <f>'[1]Oct midyear Lake Charles Chtr'!K43</f>
        <v>0</v>
      </c>
      <c r="J46" s="196">
        <f>'[1]Feb midyear Lake Charles Chtr'!K43</f>
        <v>0</v>
      </c>
      <c r="K46" s="197">
        <f t="shared" si="36"/>
        <v>0</v>
      </c>
      <c r="L46" s="346">
        <f t="shared" si="37"/>
        <v>0</v>
      </c>
      <c r="M46" s="296">
        <f t="shared" si="38"/>
        <v>0</v>
      </c>
      <c r="N46" s="346">
        <f t="shared" si="39"/>
        <v>0</v>
      </c>
      <c r="O46" s="194">
        <v>0</v>
      </c>
      <c r="P46" s="352">
        <f t="shared" si="40"/>
        <v>0</v>
      </c>
      <c r="Q46" s="196">
        <f>8*'[2]Table 5C1F-Lake Charles Charter'!S46</f>
        <v>0</v>
      </c>
      <c r="R46" s="196">
        <f t="shared" si="41"/>
        <v>0</v>
      </c>
      <c r="S46" s="352">
        <f t="shared" si="56"/>
        <v>0</v>
      </c>
      <c r="T46" s="352">
        <f t="shared" si="42"/>
        <v>0</v>
      </c>
      <c r="U46" s="281">
        <f>'Table 5C1A-Madison Prep'!U46</f>
        <v>3152</v>
      </c>
      <c r="V46" s="329">
        <f t="shared" si="43"/>
        <v>0</v>
      </c>
      <c r="W46" s="884">
        <f>'[1]Oct midyear Lake Charles Chtr'!E43</f>
        <v>0</v>
      </c>
      <c r="X46" s="282">
        <f t="shared" si="44"/>
        <v>0</v>
      </c>
      <c r="Y46" s="884">
        <f>'[1]Feb midyear Lake Charles Chtr'!E43</f>
        <v>0</v>
      </c>
      <c r="Z46" s="282">
        <f t="shared" si="45"/>
        <v>0</v>
      </c>
      <c r="AA46" s="283">
        <f t="shared" si="46"/>
        <v>0</v>
      </c>
      <c r="AB46" s="325">
        <f t="shared" si="47"/>
        <v>0</v>
      </c>
      <c r="AC46" s="298">
        <f t="shared" si="48"/>
        <v>0</v>
      </c>
      <c r="AD46" s="325">
        <f t="shared" si="49"/>
        <v>0</v>
      </c>
      <c r="AE46" s="284">
        <v>0</v>
      </c>
      <c r="AF46" s="325">
        <f t="shared" si="50"/>
        <v>0</v>
      </c>
      <c r="AG46" s="284">
        <f>8*'[2]Table 5C1F-Lake Charles Charter'!AI46</f>
        <v>0</v>
      </c>
      <c r="AH46" s="284">
        <f t="shared" si="51"/>
        <v>0</v>
      </c>
      <c r="AI46" s="325">
        <f t="shared" si="57"/>
        <v>0</v>
      </c>
      <c r="AJ46" s="338">
        <f t="shared" si="52"/>
        <v>0</v>
      </c>
      <c r="AK46" s="343">
        <f t="shared" si="53"/>
        <v>0</v>
      </c>
      <c r="AM46" s="296">
        <v>0</v>
      </c>
      <c r="AN46" s="296">
        <f t="shared" si="54"/>
        <v>0</v>
      </c>
      <c r="AO46" s="296">
        <f t="shared" si="55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2.1.14'!M43</f>
        <v>0</v>
      </c>
      <c r="D47" s="208">
        <f>+'Table 5C1A-Madison Prep'!D47</f>
        <v>3291.1948574716475</v>
      </c>
      <c r="E47" s="209">
        <f t="shared" si="33"/>
        <v>0</v>
      </c>
      <c r="F47" s="209">
        <f>+'Table 5C1A-Madison Prep'!F47</f>
        <v>886.22</v>
      </c>
      <c r="G47" s="209">
        <f t="shared" si="34"/>
        <v>0</v>
      </c>
      <c r="H47" s="344">
        <f t="shared" si="35"/>
        <v>0</v>
      </c>
      <c r="I47" s="210">
        <f>'[1]Oct midyear Lake Charles Chtr'!K44</f>
        <v>0</v>
      </c>
      <c r="J47" s="210">
        <f>'[1]Feb midyear Lake Charles Chtr'!K44</f>
        <v>0</v>
      </c>
      <c r="K47" s="211">
        <f t="shared" si="36"/>
        <v>0</v>
      </c>
      <c r="L47" s="344">
        <f t="shared" si="37"/>
        <v>0</v>
      </c>
      <c r="M47" s="273">
        <f t="shared" si="38"/>
        <v>0</v>
      </c>
      <c r="N47" s="344">
        <f t="shared" si="39"/>
        <v>0</v>
      </c>
      <c r="O47" s="208">
        <v>0</v>
      </c>
      <c r="P47" s="350">
        <f t="shared" si="40"/>
        <v>0</v>
      </c>
      <c r="Q47" s="210">
        <f>8*'[2]Table 5C1F-Lake Charles Charter'!S47</f>
        <v>0</v>
      </c>
      <c r="R47" s="210">
        <f t="shared" si="41"/>
        <v>0</v>
      </c>
      <c r="S47" s="350">
        <f t="shared" si="56"/>
        <v>0</v>
      </c>
      <c r="T47" s="350">
        <f t="shared" si="42"/>
        <v>0</v>
      </c>
      <c r="U47" s="274">
        <f>'Table 5C1A-Madison Prep'!U47</f>
        <v>9422</v>
      </c>
      <c r="V47" s="327">
        <f t="shared" si="43"/>
        <v>0</v>
      </c>
      <c r="W47" s="883">
        <f>'[1]Oct midyear Lake Charles Chtr'!E44</f>
        <v>0</v>
      </c>
      <c r="X47" s="276">
        <f t="shared" si="44"/>
        <v>0</v>
      </c>
      <c r="Y47" s="883">
        <f>'[1]Feb midyear Lake Charles Chtr'!E44</f>
        <v>0</v>
      </c>
      <c r="Z47" s="276">
        <f t="shared" si="45"/>
        <v>0</v>
      </c>
      <c r="AA47" s="275">
        <f t="shared" si="46"/>
        <v>0</v>
      </c>
      <c r="AB47" s="323">
        <f t="shared" si="47"/>
        <v>0</v>
      </c>
      <c r="AC47" s="278">
        <f t="shared" si="48"/>
        <v>0</v>
      </c>
      <c r="AD47" s="323">
        <f t="shared" si="49"/>
        <v>0</v>
      </c>
      <c r="AE47" s="279">
        <v>0</v>
      </c>
      <c r="AF47" s="323">
        <f t="shared" si="50"/>
        <v>0</v>
      </c>
      <c r="AG47" s="279">
        <f>8*'[2]Table 5C1F-Lake Charles Charter'!AI47</f>
        <v>0</v>
      </c>
      <c r="AH47" s="279">
        <f t="shared" si="51"/>
        <v>0</v>
      </c>
      <c r="AI47" s="323">
        <f t="shared" si="57"/>
        <v>0</v>
      </c>
      <c r="AJ47" s="337">
        <f t="shared" si="52"/>
        <v>0</v>
      </c>
      <c r="AK47" s="341">
        <f t="shared" si="53"/>
        <v>0</v>
      </c>
      <c r="AM47" s="273">
        <v>0</v>
      </c>
      <c r="AN47" s="273">
        <f t="shared" si="54"/>
        <v>0</v>
      </c>
      <c r="AO47" s="273">
        <f t="shared" si="55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2.1.14'!M44</f>
        <v>0</v>
      </c>
      <c r="D48" s="201">
        <f>+'Table 5C1A-Madison Prep'!D48</f>
        <v>5113.6077751368684</v>
      </c>
      <c r="E48" s="202">
        <f t="shared" si="33"/>
        <v>0</v>
      </c>
      <c r="F48" s="202">
        <f>+'Table 5C1A-Madison Prep'!F48</f>
        <v>534.28</v>
      </c>
      <c r="G48" s="202">
        <f t="shared" si="34"/>
        <v>0</v>
      </c>
      <c r="H48" s="345">
        <f t="shared" si="35"/>
        <v>0</v>
      </c>
      <c r="I48" s="203">
        <f>'[1]Oct midyear Lake Charles Chtr'!K45</f>
        <v>0</v>
      </c>
      <c r="J48" s="203">
        <f>'[1]Feb midyear Lake Charles Chtr'!K45</f>
        <v>0</v>
      </c>
      <c r="K48" s="204">
        <f t="shared" si="36"/>
        <v>0</v>
      </c>
      <c r="L48" s="345">
        <f t="shared" si="37"/>
        <v>0</v>
      </c>
      <c r="M48" s="286">
        <f t="shared" si="38"/>
        <v>0</v>
      </c>
      <c r="N48" s="345">
        <f t="shared" si="39"/>
        <v>0</v>
      </c>
      <c r="O48" s="201">
        <v>0</v>
      </c>
      <c r="P48" s="351">
        <f t="shared" si="40"/>
        <v>0</v>
      </c>
      <c r="Q48" s="203">
        <f>8*'[2]Table 5C1F-Lake Charles Charter'!S48</f>
        <v>0</v>
      </c>
      <c r="R48" s="203">
        <f t="shared" si="41"/>
        <v>0</v>
      </c>
      <c r="S48" s="351">
        <f t="shared" si="56"/>
        <v>0</v>
      </c>
      <c r="T48" s="351">
        <f t="shared" si="42"/>
        <v>0</v>
      </c>
      <c r="U48" s="287">
        <f>'Table 5C1A-Madison Prep'!U48</f>
        <v>3415</v>
      </c>
      <c r="V48" s="328">
        <f t="shared" si="43"/>
        <v>0</v>
      </c>
      <c r="W48" s="289">
        <f>'[1]Oct midyear Lake Charles Chtr'!E45</f>
        <v>0</v>
      </c>
      <c r="X48" s="290">
        <f t="shared" si="44"/>
        <v>0</v>
      </c>
      <c r="Y48" s="289">
        <f>'[1]Feb midyear Lake Charles Chtr'!E45</f>
        <v>0</v>
      </c>
      <c r="Z48" s="290">
        <f t="shared" si="45"/>
        <v>0</v>
      </c>
      <c r="AA48" s="288">
        <f t="shared" si="46"/>
        <v>0</v>
      </c>
      <c r="AB48" s="324">
        <f t="shared" si="47"/>
        <v>0</v>
      </c>
      <c r="AC48" s="292">
        <f t="shared" si="48"/>
        <v>0</v>
      </c>
      <c r="AD48" s="324">
        <f t="shared" si="49"/>
        <v>0</v>
      </c>
      <c r="AE48" s="293">
        <v>0</v>
      </c>
      <c r="AF48" s="324">
        <f t="shared" si="50"/>
        <v>0</v>
      </c>
      <c r="AG48" s="293">
        <f>8*'[2]Table 5C1F-Lake Charles Charter'!AI48</f>
        <v>0</v>
      </c>
      <c r="AH48" s="293">
        <f t="shared" si="51"/>
        <v>0</v>
      </c>
      <c r="AI48" s="324">
        <f t="shared" si="57"/>
        <v>0</v>
      </c>
      <c r="AJ48" s="321">
        <f t="shared" si="52"/>
        <v>0</v>
      </c>
      <c r="AK48" s="342">
        <f t="shared" si="53"/>
        <v>0</v>
      </c>
      <c r="AM48" s="286">
        <v>0</v>
      </c>
      <c r="AN48" s="286">
        <f t="shared" si="54"/>
        <v>0</v>
      </c>
      <c r="AO48" s="286">
        <f t="shared" si="55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2.1.14'!M45</f>
        <v>0</v>
      </c>
      <c r="D49" s="201">
        <f>+'Table 5C1A-Madison Prep'!D49</f>
        <v>5788.74387205947</v>
      </c>
      <c r="E49" s="202">
        <f t="shared" si="33"/>
        <v>0</v>
      </c>
      <c r="F49" s="202">
        <f>+'Table 5C1A-Madison Prep'!F49</f>
        <v>574.6099999999999</v>
      </c>
      <c r="G49" s="202">
        <f t="shared" si="34"/>
        <v>0</v>
      </c>
      <c r="H49" s="345">
        <f t="shared" si="35"/>
        <v>0</v>
      </c>
      <c r="I49" s="203">
        <f>'[1]Oct midyear Lake Charles Chtr'!K46</f>
        <v>0</v>
      </c>
      <c r="J49" s="203">
        <f>'[1]Feb midyear Lake Charles Chtr'!K46</f>
        <v>0</v>
      </c>
      <c r="K49" s="204">
        <f t="shared" si="36"/>
        <v>0</v>
      </c>
      <c r="L49" s="345">
        <f t="shared" si="37"/>
        <v>0</v>
      </c>
      <c r="M49" s="286">
        <f t="shared" si="38"/>
        <v>0</v>
      </c>
      <c r="N49" s="345">
        <f t="shared" si="39"/>
        <v>0</v>
      </c>
      <c r="O49" s="201">
        <v>0</v>
      </c>
      <c r="P49" s="351">
        <f t="shared" si="40"/>
        <v>0</v>
      </c>
      <c r="Q49" s="203">
        <f>8*'[2]Table 5C1F-Lake Charles Charter'!S49</f>
        <v>0</v>
      </c>
      <c r="R49" s="203">
        <f t="shared" si="41"/>
        <v>0</v>
      </c>
      <c r="S49" s="351">
        <f t="shared" si="56"/>
        <v>0</v>
      </c>
      <c r="T49" s="351">
        <f t="shared" si="42"/>
        <v>0</v>
      </c>
      <c r="U49" s="287">
        <f>'Table 5C1A-Madison Prep'!U49</f>
        <v>3334</v>
      </c>
      <c r="V49" s="328">
        <f t="shared" si="43"/>
        <v>0</v>
      </c>
      <c r="W49" s="289">
        <f>'[1]Oct midyear Lake Charles Chtr'!E46</f>
        <v>0</v>
      </c>
      <c r="X49" s="290">
        <f t="shared" si="44"/>
        <v>0</v>
      </c>
      <c r="Y49" s="289">
        <f>'[1]Feb midyear Lake Charles Chtr'!E46</f>
        <v>0</v>
      </c>
      <c r="Z49" s="290">
        <f t="shared" si="45"/>
        <v>0</v>
      </c>
      <c r="AA49" s="288">
        <f t="shared" si="46"/>
        <v>0</v>
      </c>
      <c r="AB49" s="324">
        <f t="shared" si="47"/>
        <v>0</v>
      </c>
      <c r="AC49" s="292">
        <f t="shared" si="48"/>
        <v>0</v>
      </c>
      <c r="AD49" s="324">
        <f t="shared" si="49"/>
        <v>0</v>
      </c>
      <c r="AE49" s="293">
        <v>0</v>
      </c>
      <c r="AF49" s="324">
        <f t="shared" si="50"/>
        <v>0</v>
      </c>
      <c r="AG49" s="293">
        <f>8*'[2]Table 5C1F-Lake Charles Charter'!AI49</f>
        <v>0</v>
      </c>
      <c r="AH49" s="293">
        <f t="shared" si="51"/>
        <v>0</v>
      </c>
      <c r="AI49" s="324">
        <f t="shared" si="57"/>
        <v>0</v>
      </c>
      <c r="AJ49" s="321">
        <f t="shared" si="52"/>
        <v>0</v>
      </c>
      <c r="AK49" s="342">
        <f t="shared" si="53"/>
        <v>0</v>
      </c>
      <c r="AM49" s="286">
        <v>0</v>
      </c>
      <c r="AN49" s="286">
        <f t="shared" si="54"/>
        <v>0</v>
      </c>
      <c r="AO49" s="286">
        <f t="shared" si="55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2.1.14'!M46</f>
        <v>0</v>
      </c>
      <c r="D50" s="201">
        <f>+'Table 5C1A-Madison Prep'!D50</f>
        <v>4897.5958151820359</v>
      </c>
      <c r="E50" s="202">
        <f t="shared" si="33"/>
        <v>0</v>
      </c>
      <c r="F50" s="202">
        <f>+'Table 5C1A-Madison Prep'!F50</f>
        <v>663.16000000000008</v>
      </c>
      <c r="G50" s="202">
        <f t="shared" si="34"/>
        <v>0</v>
      </c>
      <c r="H50" s="345">
        <f t="shared" si="35"/>
        <v>0</v>
      </c>
      <c r="I50" s="203">
        <f>'[1]Oct midyear Lake Charles Chtr'!K47</f>
        <v>0</v>
      </c>
      <c r="J50" s="203">
        <f>'[1]Feb midyear Lake Charles Chtr'!K47</f>
        <v>0</v>
      </c>
      <c r="K50" s="204">
        <f t="shared" si="36"/>
        <v>0</v>
      </c>
      <c r="L50" s="345">
        <f t="shared" si="37"/>
        <v>0</v>
      </c>
      <c r="M50" s="286">
        <f t="shared" si="38"/>
        <v>0</v>
      </c>
      <c r="N50" s="345">
        <f t="shared" si="39"/>
        <v>0</v>
      </c>
      <c r="O50" s="201">
        <v>0</v>
      </c>
      <c r="P50" s="351">
        <f t="shared" si="40"/>
        <v>0</v>
      </c>
      <c r="Q50" s="203">
        <f>8*'[2]Table 5C1F-Lake Charles Charter'!S50</f>
        <v>0</v>
      </c>
      <c r="R50" s="203">
        <f t="shared" si="41"/>
        <v>0</v>
      </c>
      <c r="S50" s="351">
        <f t="shared" si="56"/>
        <v>0</v>
      </c>
      <c r="T50" s="351">
        <f t="shared" si="42"/>
        <v>0</v>
      </c>
      <c r="U50" s="287">
        <f>'Table 5C1A-Madison Prep'!U50</f>
        <v>3587</v>
      </c>
      <c r="V50" s="328">
        <f t="shared" si="43"/>
        <v>0</v>
      </c>
      <c r="W50" s="289">
        <f>'[1]Oct midyear Lake Charles Chtr'!E47</f>
        <v>0</v>
      </c>
      <c r="X50" s="290">
        <f t="shared" si="44"/>
        <v>0</v>
      </c>
      <c r="Y50" s="289">
        <f>'[1]Feb midyear Lake Charles Chtr'!E47</f>
        <v>0</v>
      </c>
      <c r="Z50" s="290">
        <f t="shared" si="45"/>
        <v>0</v>
      </c>
      <c r="AA50" s="288">
        <f t="shared" si="46"/>
        <v>0</v>
      </c>
      <c r="AB50" s="324">
        <f t="shared" si="47"/>
        <v>0</v>
      </c>
      <c r="AC50" s="292">
        <f t="shared" si="48"/>
        <v>0</v>
      </c>
      <c r="AD50" s="324">
        <f t="shared" si="49"/>
        <v>0</v>
      </c>
      <c r="AE50" s="293">
        <v>0</v>
      </c>
      <c r="AF50" s="324">
        <f t="shared" si="50"/>
        <v>0</v>
      </c>
      <c r="AG50" s="293">
        <f>8*'[2]Table 5C1F-Lake Charles Charter'!AI50</f>
        <v>0</v>
      </c>
      <c r="AH50" s="293">
        <f t="shared" si="51"/>
        <v>0</v>
      </c>
      <c r="AI50" s="324">
        <f t="shared" si="57"/>
        <v>0</v>
      </c>
      <c r="AJ50" s="321">
        <f t="shared" si="52"/>
        <v>0</v>
      </c>
      <c r="AK50" s="342">
        <f t="shared" si="53"/>
        <v>0</v>
      </c>
      <c r="AM50" s="286">
        <v>0</v>
      </c>
      <c r="AN50" s="286">
        <f t="shared" si="54"/>
        <v>0</v>
      </c>
      <c r="AO50" s="286">
        <f t="shared" si="55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2.1.14'!M47</f>
        <v>0</v>
      </c>
      <c r="D51" s="194">
        <f>+'Table 5C1A-Madison Prep'!D51</f>
        <v>2054.0472499469101</v>
      </c>
      <c r="E51" s="195">
        <f t="shared" si="33"/>
        <v>0</v>
      </c>
      <c r="F51" s="195">
        <f>+'Table 5C1A-Madison Prep'!F51</f>
        <v>753.96000000000015</v>
      </c>
      <c r="G51" s="195">
        <f t="shared" si="34"/>
        <v>0</v>
      </c>
      <c r="H51" s="346">
        <f t="shared" si="35"/>
        <v>0</v>
      </c>
      <c r="I51" s="196">
        <f>'[1]Oct midyear Lake Charles Chtr'!K48</f>
        <v>0</v>
      </c>
      <c r="J51" s="196">
        <f>'[1]Feb midyear Lake Charles Chtr'!K48</f>
        <v>0</v>
      </c>
      <c r="K51" s="197">
        <f t="shared" si="36"/>
        <v>0</v>
      </c>
      <c r="L51" s="346">
        <f t="shared" si="37"/>
        <v>0</v>
      </c>
      <c r="M51" s="296">
        <f t="shared" si="38"/>
        <v>0</v>
      </c>
      <c r="N51" s="346">
        <f t="shared" si="39"/>
        <v>0</v>
      </c>
      <c r="O51" s="194">
        <v>0</v>
      </c>
      <c r="P51" s="352">
        <f t="shared" si="40"/>
        <v>0</v>
      </c>
      <c r="Q51" s="196">
        <f>8*'[2]Table 5C1F-Lake Charles Charter'!S51</f>
        <v>0</v>
      </c>
      <c r="R51" s="196">
        <f t="shared" si="41"/>
        <v>0</v>
      </c>
      <c r="S51" s="352">
        <f t="shared" si="56"/>
        <v>0</v>
      </c>
      <c r="T51" s="352">
        <f t="shared" si="42"/>
        <v>0</v>
      </c>
      <c r="U51" s="281">
        <f>'Table 5C1A-Madison Prep'!U51</f>
        <v>12134</v>
      </c>
      <c r="V51" s="329">
        <f t="shared" si="43"/>
        <v>0</v>
      </c>
      <c r="W51" s="884">
        <f>'[1]Oct midyear Lake Charles Chtr'!E48</f>
        <v>0</v>
      </c>
      <c r="X51" s="282">
        <f t="shared" si="44"/>
        <v>0</v>
      </c>
      <c r="Y51" s="884">
        <f>'[1]Feb midyear Lake Charles Chtr'!E48</f>
        <v>0</v>
      </c>
      <c r="Z51" s="282">
        <f t="shared" si="45"/>
        <v>0</v>
      </c>
      <c r="AA51" s="283">
        <f t="shared" si="46"/>
        <v>0</v>
      </c>
      <c r="AB51" s="325">
        <f t="shared" si="47"/>
        <v>0</v>
      </c>
      <c r="AC51" s="298">
        <f t="shared" si="48"/>
        <v>0</v>
      </c>
      <c r="AD51" s="325">
        <f t="shared" si="49"/>
        <v>0</v>
      </c>
      <c r="AE51" s="284">
        <v>0</v>
      </c>
      <c r="AF51" s="325">
        <f t="shared" si="50"/>
        <v>0</v>
      </c>
      <c r="AG51" s="284">
        <f>8*'[2]Table 5C1F-Lake Charles Charter'!AI51</f>
        <v>0</v>
      </c>
      <c r="AH51" s="284">
        <f t="shared" si="51"/>
        <v>0</v>
      </c>
      <c r="AI51" s="325">
        <f t="shared" si="57"/>
        <v>0</v>
      </c>
      <c r="AJ51" s="338">
        <f t="shared" si="52"/>
        <v>0</v>
      </c>
      <c r="AK51" s="343">
        <f t="shared" si="53"/>
        <v>0</v>
      </c>
      <c r="AM51" s="296">
        <v>0</v>
      </c>
      <c r="AN51" s="296">
        <f t="shared" si="54"/>
        <v>0</v>
      </c>
      <c r="AO51" s="296">
        <f t="shared" si="55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2.1.14'!M48</f>
        <v>0</v>
      </c>
      <c r="D52" s="208">
        <f>+'Table 5C1A-Madison Prep'!D52</f>
        <v>6051.2144468088381</v>
      </c>
      <c r="E52" s="209">
        <f t="shared" si="33"/>
        <v>0</v>
      </c>
      <c r="F52" s="209">
        <f>+'Table 5C1A-Madison Prep'!F52</f>
        <v>728.06</v>
      </c>
      <c r="G52" s="209">
        <f t="shared" si="34"/>
        <v>0</v>
      </c>
      <c r="H52" s="344">
        <f t="shared" si="35"/>
        <v>0</v>
      </c>
      <c r="I52" s="210">
        <f>'[1]Oct midyear Lake Charles Chtr'!K49</f>
        <v>0</v>
      </c>
      <c r="J52" s="210">
        <f>'[1]Feb midyear Lake Charles Chtr'!K49</f>
        <v>0</v>
      </c>
      <c r="K52" s="211">
        <f t="shared" si="36"/>
        <v>0</v>
      </c>
      <c r="L52" s="344">
        <f t="shared" si="37"/>
        <v>0</v>
      </c>
      <c r="M52" s="273">
        <f t="shared" si="38"/>
        <v>0</v>
      </c>
      <c r="N52" s="344">
        <f t="shared" si="39"/>
        <v>0</v>
      </c>
      <c r="O52" s="208">
        <v>0</v>
      </c>
      <c r="P52" s="350">
        <f t="shared" si="40"/>
        <v>0</v>
      </c>
      <c r="Q52" s="210">
        <f>8*'[2]Table 5C1F-Lake Charles Charter'!S52</f>
        <v>0</v>
      </c>
      <c r="R52" s="210">
        <f t="shared" si="41"/>
        <v>0</v>
      </c>
      <c r="S52" s="350">
        <f t="shared" si="56"/>
        <v>0</v>
      </c>
      <c r="T52" s="350">
        <f t="shared" si="42"/>
        <v>0</v>
      </c>
      <c r="U52" s="274">
        <f>'Table 5C1A-Madison Prep'!U52</f>
        <v>2554</v>
      </c>
      <c r="V52" s="327">
        <f t="shared" si="43"/>
        <v>0</v>
      </c>
      <c r="W52" s="883">
        <f>'[1]Oct midyear Lake Charles Chtr'!E49</f>
        <v>0</v>
      </c>
      <c r="X52" s="276">
        <f t="shared" si="44"/>
        <v>0</v>
      </c>
      <c r="Y52" s="883">
        <f>'[1]Feb midyear Lake Charles Chtr'!E49</f>
        <v>0</v>
      </c>
      <c r="Z52" s="276">
        <f t="shared" si="45"/>
        <v>0</v>
      </c>
      <c r="AA52" s="275">
        <f t="shared" si="46"/>
        <v>0</v>
      </c>
      <c r="AB52" s="323">
        <f t="shared" si="47"/>
        <v>0</v>
      </c>
      <c r="AC52" s="278">
        <f t="shared" si="48"/>
        <v>0</v>
      </c>
      <c r="AD52" s="323">
        <f t="shared" si="49"/>
        <v>0</v>
      </c>
      <c r="AE52" s="279">
        <v>0</v>
      </c>
      <c r="AF52" s="323">
        <f t="shared" si="50"/>
        <v>0</v>
      </c>
      <c r="AG52" s="279">
        <f>8*'[2]Table 5C1F-Lake Charles Charter'!AI52</f>
        <v>0</v>
      </c>
      <c r="AH52" s="279">
        <f t="shared" si="51"/>
        <v>0</v>
      </c>
      <c r="AI52" s="323">
        <f t="shared" si="57"/>
        <v>0</v>
      </c>
      <c r="AJ52" s="337">
        <f t="shared" si="52"/>
        <v>0</v>
      </c>
      <c r="AK52" s="341">
        <f t="shared" si="53"/>
        <v>0</v>
      </c>
      <c r="AM52" s="273">
        <v>0</v>
      </c>
      <c r="AN52" s="273">
        <f t="shared" si="54"/>
        <v>0</v>
      </c>
      <c r="AO52" s="273">
        <f t="shared" si="55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2.1.14'!M49</f>
        <v>0</v>
      </c>
      <c r="D53" s="201">
        <f>+'Table 5C1A-Madison Prep'!D53</f>
        <v>2524.1485257646736</v>
      </c>
      <c r="E53" s="202">
        <f t="shared" si="33"/>
        <v>0</v>
      </c>
      <c r="F53" s="202">
        <f>+'Table 5C1A-Madison Prep'!F53</f>
        <v>910.76</v>
      </c>
      <c r="G53" s="202">
        <f t="shared" si="34"/>
        <v>0</v>
      </c>
      <c r="H53" s="345">
        <f t="shared" si="35"/>
        <v>0</v>
      </c>
      <c r="I53" s="203">
        <f>'[1]Oct midyear Lake Charles Chtr'!K50</f>
        <v>0</v>
      </c>
      <c r="J53" s="203">
        <f>'[1]Feb midyear Lake Charles Chtr'!K50</f>
        <v>0</v>
      </c>
      <c r="K53" s="204">
        <f t="shared" si="36"/>
        <v>0</v>
      </c>
      <c r="L53" s="345">
        <f t="shared" si="37"/>
        <v>0</v>
      </c>
      <c r="M53" s="286">
        <f t="shared" si="38"/>
        <v>0</v>
      </c>
      <c r="N53" s="345">
        <f t="shared" si="39"/>
        <v>0</v>
      </c>
      <c r="O53" s="201">
        <v>0</v>
      </c>
      <c r="P53" s="351">
        <f t="shared" si="40"/>
        <v>0</v>
      </c>
      <c r="Q53" s="203">
        <f>8*'[2]Table 5C1F-Lake Charles Charter'!S53</f>
        <v>0</v>
      </c>
      <c r="R53" s="203">
        <f t="shared" si="41"/>
        <v>0</v>
      </c>
      <c r="S53" s="351">
        <f t="shared" si="56"/>
        <v>0</v>
      </c>
      <c r="T53" s="351">
        <f t="shared" si="42"/>
        <v>0</v>
      </c>
      <c r="U53" s="287">
        <f>'Table 5C1A-Madison Prep'!U53</f>
        <v>11506</v>
      </c>
      <c r="V53" s="328">
        <f t="shared" si="43"/>
        <v>0</v>
      </c>
      <c r="W53" s="289">
        <f>'[1]Oct midyear Lake Charles Chtr'!E50</f>
        <v>0</v>
      </c>
      <c r="X53" s="290">
        <f t="shared" si="44"/>
        <v>0</v>
      </c>
      <c r="Y53" s="289">
        <f>'[1]Feb midyear Lake Charles Chtr'!E50</f>
        <v>0</v>
      </c>
      <c r="Z53" s="290">
        <f t="shared" si="45"/>
        <v>0</v>
      </c>
      <c r="AA53" s="288">
        <f t="shared" si="46"/>
        <v>0</v>
      </c>
      <c r="AB53" s="324">
        <f t="shared" si="47"/>
        <v>0</v>
      </c>
      <c r="AC53" s="292">
        <f t="shared" si="48"/>
        <v>0</v>
      </c>
      <c r="AD53" s="324">
        <f t="shared" si="49"/>
        <v>0</v>
      </c>
      <c r="AE53" s="293">
        <v>0</v>
      </c>
      <c r="AF53" s="324">
        <f t="shared" si="50"/>
        <v>0</v>
      </c>
      <c r="AG53" s="293">
        <f>8*'[2]Table 5C1F-Lake Charles Charter'!AI53</f>
        <v>0</v>
      </c>
      <c r="AH53" s="293">
        <f t="shared" si="51"/>
        <v>0</v>
      </c>
      <c r="AI53" s="324">
        <f t="shared" si="57"/>
        <v>0</v>
      </c>
      <c r="AJ53" s="321">
        <f t="shared" si="52"/>
        <v>0</v>
      </c>
      <c r="AK53" s="342">
        <f t="shared" si="53"/>
        <v>0</v>
      </c>
      <c r="AM53" s="286">
        <v>0</v>
      </c>
      <c r="AN53" s="286">
        <f t="shared" si="54"/>
        <v>0</v>
      </c>
      <c r="AO53" s="286">
        <f t="shared" si="55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2.1.14'!M50</f>
        <v>0</v>
      </c>
      <c r="D54" s="201">
        <f>+'Table 5C1A-Madison Prep'!D54</f>
        <v>3983.3582529800719</v>
      </c>
      <c r="E54" s="202">
        <f t="shared" si="33"/>
        <v>0</v>
      </c>
      <c r="F54" s="202">
        <f>+'Table 5C1A-Madison Prep'!F54</f>
        <v>871.07</v>
      </c>
      <c r="G54" s="202">
        <f t="shared" si="34"/>
        <v>0</v>
      </c>
      <c r="H54" s="345">
        <f t="shared" si="35"/>
        <v>0</v>
      </c>
      <c r="I54" s="203">
        <f>'[1]Oct midyear Lake Charles Chtr'!K51</f>
        <v>0</v>
      </c>
      <c r="J54" s="203">
        <f>'[1]Feb midyear Lake Charles Chtr'!K51</f>
        <v>0</v>
      </c>
      <c r="K54" s="204">
        <f t="shared" si="36"/>
        <v>0</v>
      </c>
      <c r="L54" s="345">
        <f t="shared" si="37"/>
        <v>0</v>
      </c>
      <c r="M54" s="286">
        <f t="shared" si="38"/>
        <v>0</v>
      </c>
      <c r="N54" s="345">
        <f t="shared" si="39"/>
        <v>0</v>
      </c>
      <c r="O54" s="201">
        <v>0</v>
      </c>
      <c r="P54" s="351">
        <f t="shared" si="40"/>
        <v>0</v>
      </c>
      <c r="Q54" s="203">
        <f>8*'[2]Table 5C1F-Lake Charles Charter'!S54</f>
        <v>0</v>
      </c>
      <c r="R54" s="203">
        <f t="shared" si="41"/>
        <v>0</v>
      </c>
      <c r="S54" s="351">
        <f t="shared" si="56"/>
        <v>0</v>
      </c>
      <c r="T54" s="351">
        <f t="shared" si="42"/>
        <v>0</v>
      </c>
      <c r="U54" s="287">
        <f>'Table 5C1A-Madison Prep'!U54</f>
        <v>6827</v>
      </c>
      <c r="V54" s="328">
        <f t="shared" si="43"/>
        <v>0</v>
      </c>
      <c r="W54" s="289">
        <f>'[1]Oct midyear Lake Charles Chtr'!E51</f>
        <v>0</v>
      </c>
      <c r="X54" s="290">
        <f t="shared" si="44"/>
        <v>0</v>
      </c>
      <c r="Y54" s="289">
        <f>'[1]Feb midyear Lake Charles Chtr'!E51</f>
        <v>0</v>
      </c>
      <c r="Z54" s="290">
        <f t="shared" si="45"/>
        <v>0</v>
      </c>
      <c r="AA54" s="288">
        <f t="shared" si="46"/>
        <v>0</v>
      </c>
      <c r="AB54" s="324">
        <f t="shared" si="47"/>
        <v>0</v>
      </c>
      <c r="AC54" s="292">
        <f t="shared" si="48"/>
        <v>0</v>
      </c>
      <c r="AD54" s="324">
        <f t="shared" si="49"/>
        <v>0</v>
      </c>
      <c r="AE54" s="293">
        <v>0</v>
      </c>
      <c r="AF54" s="324">
        <f t="shared" si="50"/>
        <v>0</v>
      </c>
      <c r="AG54" s="293">
        <f>8*'[2]Table 5C1F-Lake Charles Charter'!AI54</f>
        <v>0</v>
      </c>
      <c r="AH54" s="293">
        <f t="shared" si="51"/>
        <v>0</v>
      </c>
      <c r="AI54" s="324">
        <f t="shared" si="57"/>
        <v>0</v>
      </c>
      <c r="AJ54" s="321">
        <f t="shared" si="52"/>
        <v>0</v>
      </c>
      <c r="AK54" s="342">
        <f t="shared" si="53"/>
        <v>0</v>
      </c>
      <c r="AM54" s="286">
        <v>0</v>
      </c>
      <c r="AN54" s="286">
        <f t="shared" si="54"/>
        <v>0</v>
      </c>
      <c r="AO54" s="286">
        <f t="shared" si="55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2.1.14'!M51</f>
        <v>0</v>
      </c>
      <c r="D55" s="201">
        <f>+'Table 5C1A-Madison Prep'!D55</f>
        <v>4995.8755315659191</v>
      </c>
      <c r="E55" s="202">
        <f t="shared" si="33"/>
        <v>0</v>
      </c>
      <c r="F55" s="202">
        <f>+'Table 5C1A-Madison Prep'!F55</f>
        <v>574.43999999999994</v>
      </c>
      <c r="G55" s="202">
        <f t="shared" si="34"/>
        <v>0</v>
      </c>
      <c r="H55" s="345">
        <f t="shared" si="35"/>
        <v>0</v>
      </c>
      <c r="I55" s="203">
        <f>'[1]Oct midyear Lake Charles Chtr'!K52</f>
        <v>0</v>
      </c>
      <c r="J55" s="203">
        <f>'[1]Feb midyear Lake Charles Chtr'!K52</f>
        <v>0</v>
      </c>
      <c r="K55" s="204">
        <f t="shared" si="36"/>
        <v>0</v>
      </c>
      <c r="L55" s="345">
        <f t="shared" si="37"/>
        <v>0</v>
      </c>
      <c r="M55" s="286">
        <f t="shared" si="38"/>
        <v>0</v>
      </c>
      <c r="N55" s="345">
        <f t="shared" si="39"/>
        <v>0</v>
      </c>
      <c r="O55" s="201">
        <v>0</v>
      </c>
      <c r="P55" s="351">
        <f t="shared" si="40"/>
        <v>0</v>
      </c>
      <c r="Q55" s="203">
        <f>8*'[2]Table 5C1F-Lake Charles Charter'!S55</f>
        <v>0</v>
      </c>
      <c r="R55" s="203">
        <f t="shared" si="41"/>
        <v>0</v>
      </c>
      <c r="S55" s="351">
        <f t="shared" si="56"/>
        <v>0</v>
      </c>
      <c r="T55" s="351">
        <f t="shared" si="42"/>
        <v>0</v>
      </c>
      <c r="U55" s="287">
        <f>'Table 5C1A-Madison Prep'!U55</f>
        <v>2399</v>
      </c>
      <c r="V55" s="328">
        <f t="shared" si="43"/>
        <v>0</v>
      </c>
      <c r="W55" s="289">
        <f>'[1]Oct midyear Lake Charles Chtr'!E52</f>
        <v>0</v>
      </c>
      <c r="X55" s="290">
        <f t="shared" si="44"/>
        <v>0</v>
      </c>
      <c r="Y55" s="289">
        <f>'[1]Feb midyear Lake Charles Chtr'!E52</f>
        <v>0</v>
      </c>
      <c r="Z55" s="290">
        <f t="shared" si="45"/>
        <v>0</v>
      </c>
      <c r="AA55" s="288">
        <f t="shared" si="46"/>
        <v>0</v>
      </c>
      <c r="AB55" s="324">
        <f t="shared" si="47"/>
        <v>0</v>
      </c>
      <c r="AC55" s="292">
        <f t="shared" si="48"/>
        <v>0</v>
      </c>
      <c r="AD55" s="324">
        <f t="shared" si="49"/>
        <v>0</v>
      </c>
      <c r="AE55" s="293">
        <v>0</v>
      </c>
      <c r="AF55" s="324">
        <f t="shared" si="50"/>
        <v>0</v>
      </c>
      <c r="AG55" s="293">
        <f>8*'[2]Table 5C1F-Lake Charles Charter'!AI55</f>
        <v>0</v>
      </c>
      <c r="AH55" s="293">
        <f t="shared" si="51"/>
        <v>0</v>
      </c>
      <c r="AI55" s="324">
        <f t="shared" si="57"/>
        <v>0</v>
      </c>
      <c r="AJ55" s="321">
        <f t="shared" si="52"/>
        <v>0</v>
      </c>
      <c r="AK55" s="342">
        <f t="shared" si="53"/>
        <v>0</v>
      </c>
      <c r="AM55" s="286">
        <v>0</v>
      </c>
      <c r="AN55" s="286">
        <f t="shared" si="54"/>
        <v>0</v>
      </c>
      <c r="AO55" s="286">
        <f t="shared" si="55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2.1.14'!M52</f>
        <v>0</v>
      </c>
      <c r="D56" s="194">
        <f>+'Table 5C1A-Madison Prep'!D56</f>
        <v>5177.6892722701677</v>
      </c>
      <c r="E56" s="195">
        <f t="shared" si="33"/>
        <v>0</v>
      </c>
      <c r="F56" s="195">
        <f>+'Table 5C1A-Madison Prep'!F56</f>
        <v>634.46</v>
      </c>
      <c r="G56" s="195">
        <f t="shared" si="34"/>
        <v>0</v>
      </c>
      <c r="H56" s="346">
        <f t="shared" si="35"/>
        <v>0</v>
      </c>
      <c r="I56" s="196">
        <f>'[1]Oct midyear Lake Charles Chtr'!K53</f>
        <v>0</v>
      </c>
      <c r="J56" s="196">
        <f>'[1]Feb midyear Lake Charles Chtr'!K53</f>
        <v>0</v>
      </c>
      <c r="K56" s="197">
        <f t="shared" si="36"/>
        <v>0</v>
      </c>
      <c r="L56" s="346">
        <f t="shared" si="37"/>
        <v>0</v>
      </c>
      <c r="M56" s="296">
        <f t="shared" si="38"/>
        <v>0</v>
      </c>
      <c r="N56" s="346">
        <f t="shared" si="39"/>
        <v>0</v>
      </c>
      <c r="O56" s="194">
        <v>0</v>
      </c>
      <c r="P56" s="352">
        <f t="shared" si="40"/>
        <v>0</v>
      </c>
      <c r="Q56" s="196">
        <f>8*'[2]Table 5C1F-Lake Charles Charter'!S56</f>
        <v>0</v>
      </c>
      <c r="R56" s="196">
        <f t="shared" si="41"/>
        <v>0</v>
      </c>
      <c r="S56" s="352">
        <f t="shared" si="56"/>
        <v>0</v>
      </c>
      <c r="T56" s="352">
        <f t="shared" si="42"/>
        <v>0</v>
      </c>
      <c r="U56" s="281">
        <f>'Table 5C1A-Madison Prep'!U56</f>
        <v>3413</v>
      </c>
      <c r="V56" s="329">
        <f t="shared" si="43"/>
        <v>0</v>
      </c>
      <c r="W56" s="884">
        <f>'[1]Oct midyear Lake Charles Chtr'!E53</f>
        <v>0</v>
      </c>
      <c r="X56" s="282">
        <f t="shared" si="44"/>
        <v>0</v>
      </c>
      <c r="Y56" s="884">
        <f>'[1]Feb midyear Lake Charles Chtr'!E53</f>
        <v>0</v>
      </c>
      <c r="Z56" s="282">
        <f t="shared" si="45"/>
        <v>0</v>
      </c>
      <c r="AA56" s="283">
        <f t="shared" si="46"/>
        <v>0</v>
      </c>
      <c r="AB56" s="325">
        <f t="shared" si="47"/>
        <v>0</v>
      </c>
      <c r="AC56" s="298">
        <f t="shared" si="48"/>
        <v>0</v>
      </c>
      <c r="AD56" s="325">
        <f t="shared" si="49"/>
        <v>0</v>
      </c>
      <c r="AE56" s="284">
        <v>0</v>
      </c>
      <c r="AF56" s="325">
        <f t="shared" si="50"/>
        <v>0</v>
      </c>
      <c r="AG56" s="284">
        <f>8*'[2]Table 5C1F-Lake Charles Charter'!AI56</f>
        <v>0</v>
      </c>
      <c r="AH56" s="284">
        <f t="shared" si="51"/>
        <v>0</v>
      </c>
      <c r="AI56" s="325">
        <f t="shared" si="57"/>
        <v>0</v>
      </c>
      <c r="AJ56" s="338">
        <f t="shared" si="52"/>
        <v>0</v>
      </c>
      <c r="AK56" s="343">
        <f t="shared" si="53"/>
        <v>0</v>
      </c>
      <c r="AM56" s="296">
        <v>0</v>
      </c>
      <c r="AN56" s="296">
        <f t="shared" si="54"/>
        <v>0</v>
      </c>
      <c r="AO56" s="296">
        <f t="shared" si="55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2.1.14'!M53</f>
        <v>0</v>
      </c>
      <c r="D57" s="208">
        <f>+'Table 5C1A-Madison Prep'!D57</f>
        <v>4154.1928602178996</v>
      </c>
      <c r="E57" s="209">
        <f t="shared" si="33"/>
        <v>0</v>
      </c>
      <c r="F57" s="209">
        <f>+'Table 5C1A-Madison Prep'!F57</f>
        <v>706.66</v>
      </c>
      <c r="G57" s="209">
        <f t="shared" si="34"/>
        <v>0</v>
      </c>
      <c r="H57" s="344">
        <f t="shared" si="35"/>
        <v>0</v>
      </c>
      <c r="I57" s="210">
        <f>'[1]Oct midyear Lake Charles Chtr'!K54</f>
        <v>0</v>
      </c>
      <c r="J57" s="210">
        <f>'[1]Feb midyear Lake Charles Chtr'!K54</f>
        <v>0</v>
      </c>
      <c r="K57" s="211">
        <f t="shared" si="36"/>
        <v>0</v>
      </c>
      <c r="L57" s="344">
        <f t="shared" si="37"/>
        <v>0</v>
      </c>
      <c r="M57" s="273">
        <f t="shared" si="38"/>
        <v>0</v>
      </c>
      <c r="N57" s="344">
        <f t="shared" si="39"/>
        <v>0</v>
      </c>
      <c r="O57" s="208">
        <v>0</v>
      </c>
      <c r="P57" s="350">
        <f t="shared" si="40"/>
        <v>0</v>
      </c>
      <c r="Q57" s="210">
        <f>8*'[2]Table 5C1F-Lake Charles Charter'!S57</f>
        <v>0</v>
      </c>
      <c r="R57" s="210">
        <f t="shared" si="41"/>
        <v>0</v>
      </c>
      <c r="S57" s="350">
        <f t="shared" si="56"/>
        <v>0</v>
      </c>
      <c r="T57" s="350">
        <f t="shared" si="42"/>
        <v>0</v>
      </c>
      <c r="U57" s="274">
        <f>'Table 5C1A-Madison Prep'!U57</f>
        <v>4512</v>
      </c>
      <c r="V57" s="327">
        <f t="shared" si="43"/>
        <v>0</v>
      </c>
      <c r="W57" s="883">
        <f>'[1]Oct midyear Lake Charles Chtr'!E54</f>
        <v>0</v>
      </c>
      <c r="X57" s="276">
        <f t="shared" si="44"/>
        <v>0</v>
      </c>
      <c r="Y57" s="883">
        <f>'[1]Feb midyear Lake Charles Chtr'!E54</f>
        <v>0</v>
      </c>
      <c r="Z57" s="276">
        <f t="shared" si="45"/>
        <v>0</v>
      </c>
      <c r="AA57" s="275">
        <f t="shared" si="46"/>
        <v>0</v>
      </c>
      <c r="AB57" s="323">
        <f t="shared" si="47"/>
        <v>0</v>
      </c>
      <c r="AC57" s="278">
        <f t="shared" si="48"/>
        <v>0</v>
      </c>
      <c r="AD57" s="323">
        <f t="shared" si="49"/>
        <v>0</v>
      </c>
      <c r="AE57" s="279">
        <v>0</v>
      </c>
      <c r="AF57" s="323">
        <f t="shared" si="50"/>
        <v>0</v>
      </c>
      <c r="AG57" s="279">
        <f>8*'[2]Table 5C1F-Lake Charles Charter'!AI57</f>
        <v>0</v>
      </c>
      <c r="AH57" s="279">
        <f t="shared" si="51"/>
        <v>0</v>
      </c>
      <c r="AI57" s="323">
        <f t="shared" si="57"/>
        <v>0</v>
      </c>
      <c r="AJ57" s="337">
        <f t="shared" si="52"/>
        <v>0</v>
      </c>
      <c r="AK57" s="341">
        <f t="shared" si="53"/>
        <v>0</v>
      </c>
      <c r="AM57" s="273">
        <v>0</v>
      </c>
      <c r="AN57" s="273">
        <f t="shared" si="54"/>
        <v>0</v>
      </c>
      <c r="AO57" s="273">
        <f t="shared" si="55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2.1.14'!M54</f>
        <v>0</v>
      </c>
      <c r="D58" s="201">
        <f>+'Table 5C1A-Madison Prep'!D58</f>
        <v>5062.2745845228173</v>
      </c>
      <c r="E58" s="202">
        <f t="shared" si="33"/>
        <v>0</v>
      </c>
      <c r="F58" s="202">
        <f>+'Table 5C1A-Madison Prep'!F58</f>
        <v>658.37</v>
      </c>
      <c r="G58" s="202">
        <f t="shared" si="34"/>
        <v>0</v>
      </c>
      <c r="H58" s="345">
        <f t="shared" si="35"/>
        <v>0</v>
      </c>
      <c r="I58" s="203">
        <f>'[1]Oct midyear Lake Charles Chtr'!K55</f>
        <v>0</v>
      </c>
      <c r="J58" s="203">
        <f>'[1]Feb midyear Lake Charles Chtr'!K55</f>
        <v>0</v>
      </c>
      <c r="K58" s="204">
        <f t="shared" si="36"/>
        <v>0</v>
      </c>
      <c r="L58" s="345">
        <f t="shared" si="37"/>
        <v>0</v>
      </c>
      <c r="M58" s="286">
        <f t="shared" si="38"/>
        <v>0</v>
      </c>
      <c r="N58" s="345">
        <f t="shared" si="39"/>
        <v>0</v>
      </c>
      <c r="O58" s="201">
        <v>0</v>
      </c>
      <c r="P58" s="351">
        <f t="shared" si="40"/>
        <v>0</v>
      </c>
      <c r="Q58" s="203">
        <f>8*'[2]Table 5C1F-Lake Charles Charter'!S58</f>
        <v>0</v>
      </c>
      <c r="R58" s="203">
        <f t="shared" si="41"/>
        <v>0</v>
      </c>
      <c r="S58" s="351">
        <f t="shared" si="56"/>
        <v>0</v>
      </c>
      <c r="T58" s="351">
        <f t="shared" si="42"/>
        <v>0</v>
      </c>
      <c r="U58" s="287">
        <f>'Table 5C1A-Madison Prep'!U58</f>
        <v>5289</v>
      </c>
      <c r="V58" s="328">
        <f t="shared" si="43"/>
        <v>0</v>
      </c>
      <c r="W58" s="289">
        <f>'[1]Oct midyear Lake Charles Chtr'!E55</f>
        <v>0</v>
      </c>
      <c r="X58" s="290">
        <f t="shared" si="44"/>
        <v>0</v>
      </c>
      <c r="Y58" s="289">
        <f>'[1]Feb midyear Lake Charles Chtr'!E55</f>
        <v>0</v>
      </c>
      <c r="Z58" s="290">
        <f t="shared" si="45"/>
        <v>0</v>
      </c>
      <c r="AA58" s="288">
        <f t="shared" si="46"/>
        <v>0</v>
      </c>
      <c r="AB58" s="324">
        <f t="shared" si="47"/>
        <v>0</v>
      </c>
      <c r="AC58" s="292">
        <f t="shared" si="48"/>
        <v>0</v>
      </c>
      <c r="AD58" s="324">
        <f t="shared" si="49"/>
        <v>0</v>
      </c>
      <c r="AE58" s="293">
        <v>0</v>
      </c>
      <c r="AF58" s="324">
        <f t="shared" si="50"/>
        <v>0</v>
      </c>
      <c r="AG58" s="293">
        <f>8*'[2]Table 5C1F-Lake Charles Charter'!AI58</f>
        <v>0</v>
      </c>
      <c r="AH58" s="293">
        <f t="shared" si="51"/>
        <v>0</v>
      </c>
      <c r="AI58" s="324">
        <f t="shared" si="57"/>
        <v>0</v>
      </c>
      <c r="AJ58" s="321">
        <f t="shared" si="52"/>
        <v>0</v>
      </c>
      <c r="AK58" s="342">
        <f t="shared" si="53"/>
        <v>0</v>
      </c>
      <c r="AM58" s="286">
        <v>0</v>
      </c>
      <c r="AN58" s="286">
        <f t="shared" si="54"/>
        <v>0</v>
      </c>
      <c r="AO58" s="286">
        <f t="shared" si="55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2.1.14'!M55</f>
        <v>0</v>
      </c>
      <c r="D59" s="201">
        <f>+'Table 5C1A-Madison Prep'!D59</f>
        <v>5060.1508194045482</v>
      </c>
      <c r="E59" s="202">
        <f t="shared" si="33"/>
        <v>0</v>
      </c>
      <c r="F59" s="202">
        <f>+'Table 5C1A-Madison Prep'!F59</f>
        <v>689.74</v>
      </c>
      <c r="G59" s="202">
        <f t="shared" si="34"/>
        <v>0</v>
      </c>
      <c r="H59" s="345">
        <f t="shared" si="35"/>
        <v>0</v>
      </c>
      <c r="I59" s="203">
        <f>'[1]Oct midyear Lake Charles Chtr'!K56</f>
        <v>0</v>
      </c>
      <c r="J59" s="203">
        <f>'[1]Feb midyear Lake Charles Chtr'!K56</f>
        <v>0</v>
      </c>
      <c r="K59" s="204">
        <f t="shared" si="36"/>
        <v>0</v>
      </c>
      <c r="L59" s="345">
        <f t="shared" si="37"/>
        <v>0</v>
      </c>
      <c r="M59" s="286">
        <f t="shared" si="38"/>
        <v>0</v>
      </c>
      <c r="N59" s="345">
        <f t="shared" si="39"/>
        <v>0</v>
      </c>
      <c r="O59" s="201">
        <v>0</v>
      </c>
      <c r="P59" s="351">
        <f t="shared" si="40"/>
        <v>0</v>
      </c>
      <c r="Q59" s="203">
        <f>8*'[2]Table 5C1F-Lake Charles Charter'!S59</f>
        <v>0</v>
      </c>
      <c r="R59" s="203">
        <f t="shared" si="41"/>
        <v>0</v>
      </c>
      <c r="S59" s="351">
        <f t="shared" si="56"/>
        <v>0</v>
      </c>
      <c r="T59" s="351">
        <f t="shared" si="42"/>
        <v>0</v>
      </c>
      <c r="U59" s="287">
        <f>'Table 5C1A-Madison Prep'!U59</f>
        <v>2101</v>
      </c>
      <c r="V59" s="328">
        <f t="shared" si="43"/>
        <v>0</v>
      </c>
      <c r="W59" s="289">
        <f>'[1]Oct midyear Lake Charles Chtr'!E56</f>
        <v>0</v>
      </c>
      <c r="X59" s="290">
        <f t="shared" si="44"/>
        <v>0</v>
      </c>
      <c r="Y59" s="289">
        <f>'[1]Feb midyear Lake Charles Chtr'!E56</f>
        <v>0</v>
      </c>
      <c r="Z59" s="290">
        <f t="shared" si="45"/>
        <v>0</v>
      </c>
      <c r="AA59" s="288">
        <f t="shared" si="46"/>
        <v>0</v>
      </c>
      <c r="AB59" s="324">
        <f t="shared" si="47"/>
        <v>0</v>
      </c>
      <c r="AC59" s="292">
        <f t="shared" si="48"/>
        <v>0</v>
      </c>
      <c r="AD59" s="324">
        <f t="shared" si="49"/>
        <v>0</v>
      </c>
      <c r="AE59" s="293">
        <v>0</v>
      </c>
      <c r="AF59" s="324">
        <f t="shared" si="50"/>
        <v>0</v>
      </c>
      <c r="AG59" s="293">
        <f>8*'[2]Table 5C1F-Lake Charles Charter'!AI59</f>
        <v>0</v>
      </c>
      <c r="AH59" s="293">
        <f t="shared" si="51"/>
        <v>0</v>
      </c>
      <c r="AI59" s="324">
        <f t="shared" si="57"/>
        <v>0</v>
      </c>
      <c r="AJ59" s="321">
        <f t="shared" si="52"/>
        <v>0</v>
      </c>
      <c r="AK59" s="342">
        <f t="shared" si="53"/>
        <v>0</v>
      </c>
      <c r="AM59" s="286">
        <v>0</v>
      </c>
      <c r="AN59" s="286">
        <f t="shared" si="54"/>
        <v>0</v>
      </c>
      <c r="AO59" s="286">
        <f t="shared" si="55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2.1.14'!M56</f>
        <v>0</v>
      </c>
      <c r="D60" s="201">
        <f>+'Table 5C1A-Madison Prep'!D60</f>
        <v>5867.0798370516713</v>
      </c>
      <c r="E60" s="202">
        <f t="shared" si="33"/>
        <v>0</v>
      </c>
      <c r="F60" s="202">
        <f>+'Table 5C1A-Madison Prep'!F60</f>
        <v>951.45</v>
      </c>
      <c r="G60" s="202">
        <f t="shared" si="34"/>
        <v>0</v>
      </c>
      <c r="H60" s="345">
        <f t="shared" si="35"/>
        <v>0</v>
      </c>
      <c r="I60" s="203">
        <f>'[1]Oct midyear Lake Charles Chtr'!K57</f>
        <v>0</v>
      </c>
      <c r="J60" s="203">
        <f>'[1]Feb midyear Lake Charles Chtr'!K57</f>
        <v>0</v>
      </c>
      <c r="K60" s="204">
        <f t="shared" si="36"/>
        <v>0</v>
      </c>
      <c r="L60" s="345">
        <f t="shared" si="37"/>
        <v>0</v>
      </c>
      <c r="M60" s="286">
        <f t="shared" si="38"/>
        <v>0</v>
      </c>
      <c r="N60" s="345">
        <f t="shared" si="39"/>
        <v>0</v>
      </c>
      <c r="O60" s="201">
        <v>0</v>
      </c>
      <c r="P60" s="351">
        <f t="shared" si="40"/>
        <v>0</v>
      </c>
      <c r="Q60" s="203">
        <f>8*'[2]Table 5C1F-Lake Charles Charter'!S60</f>
        <v>0</v>
      </c>
      <c r="R60" s="203">
        <f t="shared" si="41"/>
        <v>0</v>
      </c>
      <c r="S60" s="351">
        <f t="shared" si="56"/>
        <v>0</v>
      </c>
      <c r="T60" s="351">
        <f t="shared" si="42"/>
        <v>0</v>
      </c>
      <c r="U60" s="287">
        <f>'Table 5C1A-Madison Prep'!U60</f>
        <v>4150</v>
      </c>
      <c r="V60" s="328">
        <f t="shared" si="43"/>
        <v>0</v>
      </c>
      <c r="W60" s="289">
        <f>'[1]Oct midyear Lake Charles Chtr'!E57</f>
        <v>0</v>
      </c>
      <c r="X60" s="290">
        <f t="shared" si="44"/>
        <v>0</v>
      </c>
      <c r="Y60" s="289">
        <f>'[1]Feb midyear Lake Charles Chtr'!E57</f>
        <v>0</v>
      </c>
      <c r="Z60" s="290">
        <f t="shared" si="45"/>
        <v>0</v>
      </c>
      <c r="AA60" s="288">
        <f t="shared" si="46"/>
        <v>0</v>
      </c>
      <c r="AB60" s="324">
        <f t="shared" si="47"/>
        <v>0</v>
      </c>
      <c r="AC60" s="292">
        <f t="shared" si="48"/>
        <v>0</v>
      </c>
      <c r="AD60" s="324">
        <f t="shared" si="49"/>
        <v>0</v>
      </c>
      <c r="AE60" s="293">
        <v>0</v>
      </c>
      <c r="AF60" s="324">
        <f t="shared" si="50"/>
        <v>0</v>
      </c>
      <c r="AG60" s="293">
        <f>8*'[2]Table 5C1F-Lake Charles Charter'!AI60</f>
        <v>0</v>
      </c>
      <c r="AH60" s="293">
        <f t="shared" si="51"/>
        <v>0</v>
      </c>
      <c r="AI60" s="324">
        <f t="shared" si="57"/>
        <v>0</v>
      </c>
      <c r="AJ60" s="321">
        <f t="shared" si="52"/>
        <v>0</v>
      </c>
      <c r="AK60" s="342">
        <f t="shared" si="53"/>
        <v>0</v>
      </c>
      <c r="AM60" s="286">
        <v>0</v>
      </c>
      <c r="AN60" s="286">
        <f t="shared" si="54"/>
        <v>0</v>
      </c>
      <c r="AO60" s="286">
        <f t="shared" si="55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2.1.14'!M57</f>
        <v>0</v>
      </c>
      <c r="D61" s="194">
        <f>+'Table 5C1A-Madison Prep'!D61</f>
        <v>4266.8225491298481</v>
      </c>
      <c r="E61" s="195">
        <f t="shared" si="33"/>
        <v>0</v>
      </c>
      <c r="F61" s="195">
        <f>+'Table 5C1A-Madison Prep'!F61</f>
        <v>795.14</v>
      </c>
      <c r="G61" s="195">
        <f t="shared" si="34"/>
        <v>0</v>
      </c>
      <c r="H61" s="346">
        <f t="shared" si="35"/>
        <v>0</v>
      </c>
      <c r="I61" s="196">
        <f>'[1]Oct midyear Lake Charles Chtr'!K58</f>
        <v>0</v>
      </c>
      <c r="J61" s="196">
        <f>'[1]Feb midyear Lake Charles Chtr'!K58</f>
        <v>0</v>
      </c>
      <c r="K61" s="197">
        <f t="shared" si="36"/>
        <v>0</v>
      </c>
      <c r="L61" s="346">
        <f t="shared" si="37"/>
        <v>0</v>
      </c>
      <c r="M61" s="296">
        <f t="shared" si="38"/>
        <v>0</v>
      </c>
      <c r="N61" s="346">
        <f t="shared" si="39"/>
        <v>0</v>
      </c>
      <c r="O61" s="194">
        <v>0</v>
      </c>
      <c r="P61" s="352">
        <f t="shared" si="40"/>
        <v>0</v>
      </c>
      <c r="Q61" s="196">
        <f>8*'[2]Table 5C1F-Lake Charles Charter'!S61</f>
        <v>0</v>
      </c>
      <c r="R61" s="196">
        <f t="shared" si="41"/>
        <v>0</v>
      </c>
      <c r="S61" s="352">
        <f t="shared" si="56"/>
        <v>0</v>
      </c>
      <c r="T61" s="352">
        <f t="shared" si="42"/>
        <v>0</v>
      </c>
      <c r="U61" s="281">
        <f>'Table 5C1A-Madison Prep'!U61</f>
        <v>3637</v>
      </c>
      <c r="V61" s="329">
        <f t="shared" si="43"/>
        <v>0</v>
      </c>
      <c r="W61" s="884">
        <f>'[1]Oct midyear Lake Charles Chtr'!E58</f>
        <v>0</v>
      </c>
      <c r="X61" s="282">
        <f t="shared" si="44"/>
        <v>0</v>
      </c>
      <c r="Y61" s="884">
        <f>'[1]Feb midyear Lake Charles Chtr'!E58</f>
        <v>0</v>
      </c>
      <c r="Z61" s="282">
        <f t="shared" si="45"/>
        <v>0</v>
      </c>
      <c r="AA61" s="283">
        <f t="shared" si="46"/>
        <v>0</v>
      </c>
      <c r="AB61" s="325">
        <f t="shared" si="47"/>
        <v>0</v>
      </c>
      <c r="AC61" s="298">
        <f t="shared" si="48"/>
        <v>0</v>
      </c>
      <c r="AD61" s="325">
        <f t="shared" si="49"/>
        <v>0</v>
      </c>
      <c r="AE61" s="284">
        <v>0</v>
      </c>
      <c r="AF61" s="325">
        <f t="shared" si="50"/>
        <v>0</v>
      </c>
      <c r="AG61" s="284">
        <f>8*'[2]Table 5C1F-Lake Charles Charter'!AI61</f>
        <v>0</v>
      </c>
      <c r="AH61" s="284">
        <f t="shared" si="51"/>
        <v>0</v>
      </c>
      <c r="AI61" s="325">
        <f t="shared" si="57"/>
        <v>0</v>
      </c>
      <c r="AJ61" s="338">
        <f t="shared" si="52"/>
        <v>0</v>
      </c>
      <c r="AK61" s="343">
        <f t="shared" si="53"/>
        <v>0</v>
      </c>
      <c r="AM61" s="296">
        <v>0</v>
      </c>
      <c r="AN61" s="296">
        <f t="shared" si="54"/>
        <v>0</v>
      </c>
      <c r="AO61" s="296">
        <f t="shared" si="55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2.1.14'!M58</f>
        <v>0</v>
      </c>
      <c r="D62" s="208">
        <f>+'Table 5C1A-Madison Prep'!D62</f>
        <v>5028.4909408288286</v>
      </c>
      <c r="E62" s="209">
        <f t="shared" si="33"/>
        <v>0</v>
      </c>
      <c r="F62" s="209">
        <f>+'Table 5C1A-Madison Prep'!F62</f>
        <v>614.66000000000008</v>
      </c>
      <c r="G62" s="209">
        <f t="shared" si="34"/>
        <v>0</v>
      </c>
      <c r="H62" s="344">
        <f t="shared" si="35"/>
        <v>0</v>
      </c>
      <c r="I62" s="210">
        <f>'[1]Oct midyear Lake Charles Chtr'!K59</f>
        <v>0</v>
      </c>
      <c r="J62" s="210">
        <f>'[1]Feb midyear Lake Charles Chtr'!K59</f>
        <v>0</v>
      </c>
      <c r="K62" s="211">
        <f t="shared" si="36"/>
        <v>0</v>
      </c>
      <c r="L62" s="344">
        <f t="shared" si="37"/>
        <v>0</v>
      </c>
      <c r="M62" s="273">
        <f t="shared" si="38"/>
        <v>0</v>
      </c>
      <c r="N62" s="344">
        <f t="shared" si="39"/>
        <v>0</v>
      </c>
      <c r="O62" s="208">
        <v>0</v>
      </c>
      <c r="P62" s="350">
        <f t="shared" si="40"/>
        <v>0</v>
      </c>
      <c r="Q62" s="210">
        <f>8*'[2]Table 5C1F-Lake Charles Charter'!S62</f>
        <v>0</v>
      </c>
      <c r="R62" s="210">
        <f t="shared" si="41"/>
        <v>0</v>
      </c>
      <c r="S62" s="350">
        <f t="shared" si="56"/>
        <v>0</v>
      </c>
      <c r="T62" s="350">
        <f t="shared" si="42"/>
        <v>0</v>
      </c>
      <c r="U62" s="274">
        <f>'Table 5C1A-Madison Prep'!U62</f>
        <v>2857</v>
      </c>
      <c r="V62" s="327">
        <f t="shared" si="43"/>
        <v>0</v>
      </c>
      <c r="W62" s="883">
        <f>'[1]Oct midyear Lake Charles Chtr'!E59</f>
        <v>0</v>
      </c>
      <c r="X62" s="276">
        <f t="shared" si="44"/>
        <v>0</v>
      </c>
      <c r="Y62" s="883">
        <f>'[1]Feb midyear Lake Charles Chtr'!E59</f>
        <v>0</v>
      </c>
      <c r="Z62" s="276">
        <f t="shared" si="45"/>
        <v>0</v>
      </c>
      <c r="AA62" s="275">
        <f t="shared" si="46"/>
        <v>0</v>
      </c>
      <c r="AB62" s="323">
        <f t="shared" si="47"/>
        <v>0</v>
      </c>
      <c r="AC62" s="278">
        <f t="shared" si="48"/>
        <v>0</v>
      </c>
      <c r="AD62" s="323">
        <f t="shared" si="49"/>
        <v>0</v>
      </c>
      <c r="AE62" s="279">
        <v>0</v>
      </c>
      <c r="AF62" s="323">
        <f t="shared" si="50"/>
        <v>0</v>
      </c>
      <c r="AG62" s="279">
        <f>8*'[2]Table 5C1F-Lake Charles Charter'!AI62</f>
        <v>0</v>
      </c>
      <c r="AH62" s="279">
        <f t="shared" si="51"/>
        <v>0</v>
      </c>
      <c r="AI62" s="323">
        <f t="shared" si="57"/>
        <v>0</v>
      </c>
      <c r="AJ62" s="337">
        <f t="shared" si="52"/>
        <v>0</v>
      </c>
      <c r="AK62" s="341">
        <f t="shared" si="53"/>
        <v>0</v>
      </c>
      <c r="AM62" s="273">
        <v>0</v>
      </c>
      <c r="AN62" s="273">
        <f t="shared" si="54"/>
        <v>0</v>
      </c>
      <c r="AO62" s="273">
        <f t="shared" si="55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2.1.14'!M59</f>
        <v>0</v>
      </c>
      <c r="D63" s="201">
        <f>+'Table 5C1A-Madison Prep'!D63</f>
        <v>4625.9922979230687</v>
      </c>
      <c r="E63" s="202">
        <f t="shared" si="33"/>
        <v>0</v>
      </c>
      <c r="F63" s="202">
        <f>+'Table 5C1A-Madison Prep'!F63</f>
        <v>764.51</v>
      </c>
      <c r="G63" s="202">
        <f t="shared" si="34"/>
        <v>0</v>
      </c>
      <c r="H63" s="345">
        <f t="shared" si="35"/>
        <v>0</v>
      </c>
      <c r="I63" s="203">
        <f>'[1]Oct midyear Lake Charles Chtr'!K60</f>
        <v>0</v>
      </c>
      <c r="J63" s="203">
        <f>'[1]Feb midyear Lake Charles Chtr'!K60</f>
        <v>0</v>
      </c>
      <c r="K63" s="204">
        <f t="shared" si="36"/>
        <v>0</v>
      </c>
      <c r="L63" s="345">
        <f t="shared" si="37"/>
        <v>0</v>
      </c>
      <c r="M63" s="286">
        <f t="shared" si="38"/>
        <v>0</v>
      </c>
      <c r="N63" s="345">
        <f t="shared" si="39"/>
        <v>0</v>
      </c>
      <c r="O63" s="201">
        <v>0</v>
      </c>
      <c r="P63" s="351">
        <f t="shared" si="40"/>
        <v>0</v>
      </c>
      <c r="Q63" s="203">
        <f>8*'[2]Table 5C1F-Lake Charles Charter'!S63</f>
        <v>0</v>
      </c>
      <c r="R63" s="203">
        <f t="shared" si="41"/>
        <v>0</v>
      </c>
      <c r="S63" s="351">
        <f t="shared" si="56"/>
        <v>0</v>
      </c>
      <c r="T63" s="351">
        <f t="shared" si="42"/>
        <v>0</v>
      </c>
      <c r="U63" s="287">
        <f>'Table 5C1A-Madison Prep'!U63</f>
        <v>3465</v>
      </c>
      <c r="V63" s="328">
        <f t="shared" si="43"/>
        <v>0</v>
      </c>
      <c r="W63" s="289">
        <f>'[1]Oct midyear Lake Charles Chtr'!E60</f>
        <v>0</v>
      </c>
      <c r="X63" s="290">
        <f t="shared" si="44"/>
        <v>0</v>
      </c>
      <c r="Y63" s="289">
        <f>'[1]Feb midyear Lake Charles Chtr'!E60</f>
        <v>0</v>
      </c>
      <c r="Z63" s="290">
        <f t="shared" si="45"/>
        <v>0</v>
      </c>
      <c r="AA63" s="288">
        <f t="shared" si="46"/>
        <v>0</v>
      </c>
      <c r="AB63" s="324">
        <f t="shared" si="47"/>
        <v>0</v>
      </c>
      <c r="AC63" s="292">
        <f t="shared" si="48"/>
        <v>0</v>
      </c>
      <c r="AD63" s="324">
        <f t="shared" si="49"/>
        <v>0</v>
      </c>
      <c r="AE63" s="293">
        <v>0</v>
      </c>
      <c r="AF63" s="324">
        <f t="shared" si="50"/>
        <v>0</v>
      </c>
      <c r="AG63" s="293">
        <f>8*'[2]Table 5C1F-Lake Charles Charter'!AI63</f>
        <v>0</v>
      </c>
      <c r="AH63" s="293">
        <f t="shared" si="51"/>
        <v>0</v>
      </c>
      <c r="AI63" s="324">
        <f t="shared" si="57"/>
        <v>0</v>
      </c>
      <c r="AJ63" s="321">
        <f t="shared" si="52"/>
        <v>0</v>
      </c>
      <c r="AK63" s="342">
        <f t="shared" si="53"/>
        <v>0</v>
      </c>
      <c r="AM63" s="286">
        <v>0</v>
      </c>
      <c r="AN63" s="286">
        <f t="shared" si="54"/>
        <v>0</v>
      </c>
      <c r="AO63" s="286">
        <f t="shared" si="55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2.1.14'!M60</f>
        <v>0</v>
      </c>
      <c r="D64" s="201">
        <f>+'Table 5C1A-Madison Prep'!D64</f>
        <v>5673.1129637882123</v>
      </c>
      <c r="E64" s="202">
        <f t="shared" si="33"/>
        <v>0</v>
      </c>
      <c r="F64" s="202">
        <f>+'Table 5C1A-Madison Prep'!F64</f>
        <v>697.04</v>
      </c>
      <c r="G64" s="202">
        <f t="shared" si="34"/>
        <v>0</v>
      </c>
      <c r="H64" s="345">
        <f t="shared" si="35"/>
        <v>0</v>
      </c>
      <c r="I64" s="203">
        <f>'[1]Oct midyear Lake Charles Chtr'!K61</f>
        <v>0</v>
      </c>
      <c r="J64" s="203">
        <f>'[1]Feb midyear Lake Charles Chtr'!K61</f>
        <v>0</v>
      </c>
      <c r="K64" s="204">
        <f t="shared" si="36"/>
        <v>0</v>
      </c>
      <c r="L64" s="345">
        <f t="shared" si="37"/>
        <v>0</v>
      </c>
      <c r="M64" s="286">
        <f t="shared" si="38"/>
        <v>0</v>
      </c>
      <c r="N64" s="345">
        <f t="shared" si="39"/>
        <v>0</v>
      </c>
      <c r="O64" s="201">
        <v>0</v>
      </c>
      <c r="P64" s="351">
        <f t="shared" si="40"/>
        <v>0</v>
      </c>
      <c r="Q64" s="203">
        <f>8*'[2]Table 5C1F-Lake Charles Charter'!S64</f>
        <v>0</v>
      </c>
      <c r="R64" s="203">
        <f t="shared" si="41"/>
        <v>0</v>
      </c>
      <c r="S64" s="351">
        <f t="shared" si="56"/>
        <v>0</v>
      </c>
      <c r="T64" s="351">
        <f t="shared" si="42"/>
        <v>0</v>
      </c>
      <c r="U64" s="287">
        <f>'Table 5C1A-Madison Prep'!U64</f>
        <v>2167</v>
      </c>
      <c r="V64" s="328">
        <f t="shared" si="43"/>
        <v>0</v>
      </c>
      <c r="W64" s="289">
        <f>'[1]Oct midyear Lake Charles Chtr'!E61</f>
        <v>0</v>
      </c>
      <c r="X64" s="290">
        <f t="shared" si="44"/>
        <v>0</v>
      </c>
      <c r="Y64" s="289">
        <f>'[1]Feb midyear Lake Charles Chtr'!E61</f>
        <v>0</v>
      </c>
      <c r="Z64" s="290">
        <f t="shared" si="45"/>
        <v>0</v>
      </c>
      <c r="AA64" s="288">
        <f t="shared" si="46"/>
        <v>0</v>
      </c>
      <c r="AB64" s="324">
        <f t="shared" si="47"/>
        <v>0</v>
      </c>
      <c r="AC64" s="292">
        <f t="shared" si="48"/>
        <v>0</v>
      </c>
      <c r="AD64" s="324">
        <f t="shared" si="49"/>
        <v>0</v>
      </c>
      <c r="AE64" s="293">
        <v>0</v>
      </c>
      <c r="AF64" s="324">
        <f t="shared" si="50"/>
        <v>0</v>
      </c>
      <c r="AG64" s="293">
        <f>8*'[2]Table 5C1F-Lake Charles Charter'!AI64</f>
        <v>0</v>
      </c>
      <c r="AH64" s="293">
        <f t="shared" si="51"/>
        <v>0</v>
      </c>
      <c r="AI64" s="324">
        <f t="shared" si="57"/>
        <v>0</v>
      </c>
      <c r="AJ64" s="321">
        <f t="shared" si="52"/>
        <v>0</v>
      </c>
      <c r="AK64" s="342">
        <f t="shared" si="53"/>
        <v>0</v>
      </c>
      <c r="AM64" s="286">
        <v>0</v>
      </c>
      <c r="AN64" s="286">
        <f t="shared" si="54"/>
        <v>0</v>
      </c>
      <c r="AO64" s="286">
        <f t="shared" si="55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2.1.14'!M61</f>
        <v>0</v>
      </c>
      <c r="D65" s="201">
        <f>+'Table 5C1A-Madison Prep'!D65</f>
        <v>6621.946293521848</v>
      </c>
      <c r="E65" s="202">
        <f t="shared" si="33"/>
        <v>0</v>
      </c>
      <c r="F65" s="202">
        <f>+'Table 5C1A-Madison Prep'!F65</f>
        <v>689.52</v>
      </c>
      <c r="G65" s="202">
        <f t="shared" si="34"/>
        <v>0</v>
      </c>
      <c r="H65" s="345">
        <f t="shared" si="35"/>
        <v>0</v>
      </c>
      <c r="I65" s="203">
        <f>'[1]Oct midyear Lake Charles Chtr'!K62</f>
        <v>0</v>
      </c>
      <c r="J65" s="203">
        <f>'[1]Feb midyear Lake Charles Chtr'!K62</f>
        <v>0</v>
      </c>
      <c r="K65" s="204">
        <f t="shared" si="36"/>
        <v>0</v>
      </c>
      <c r="L65" s="345">
        <f t="shared" si="37"/>
        <v>0</v>
      </c>
      <c r="M65" s="286">
        <f t="shared" si="38"/>
        <v>0</v>
      </c>
      <c r="N65" s="345">
        <f t="shared" si="39"/>
        <v>0</v>
      </c>
      <c r="O65" s="201">
        <v>0</v>
      </c>
      <c r="P65" s="351">
        <f t="shared" si="40"/>
        <v>0</v>
      </c>
      <c r="Q65" s="203">
        <f>8*'[2]Table 5C1F-Lake Charles Charter'!S65</f>
        <v>0</v>
      </c>
      <c r="R65" s="203">
        <f t="shared" si="41"/>
        <v>0</v>
      </c>
      <c r="S65" s="351">
        <f t="shared" si="56"/>
        <v>0</v>
      </c>
      <c r="T65" s="351">
        <f t="shared" si="42"/>
        <v>0</v>
      </c>
      <c r="U65" s="287">
        <f>'Table 5C1A-Madison Prep'!U65</f>
        <v>1521</v>
      </c>
      <c r="V65" s="328">
        <f t="shared" si="43"/>
        <v>0</v>
      </c>
      <c r="W65" s="289">
        <f>'[1]Oct midyear Lake Charles Chtr'!E62</f>
        <v>0</v>
      </c>
      <c r="X65" s="290">
        <f t="shared" si="44"/>
        <v>0</v>
      </c>
      <c r="Y65" s="289">
        <f>'[1]Feb midyear Lake Charles Chtr'!E62</f>
        <v>0</v>
      </c>
      <c r="Z65" s="290">
        <f t="shared" si="45"/>
        <v>0</v>
      </c>
      <c r="AA65" s="288">
        <f t="shared" si="46"/>
        <v>0</v>
      </c>
      <c r="AB65" s="324">
        <f t="shared" si="47"/>
        <v>0</v>
      </c>
      <c r="AC65" s="292">
        <f t="shared" si="48"/>
        <v>0</v>
      </c>
      <c r="AD65" s="324">
        <f t="shared" si="49"/>
        <v>0</v>
      </c>
      <c r="AE65" s="293">
        <v>0</v>
      </c>
      <c r="AF65" s="324">
        <f t="shared" si="50"/>
        <v>0</v>
      </c>
      <c r="AG65" s="293">
        <f>8*'[2]Table 5C1F-Lake Charles Charter'!AI65</f>
        <v>0</v>
      </c>
      <c r="AH65" s="293">
        <f t="shared" si="51"/>
        <v>0</v>
      </c>
      <c r="AI65" s="324">
        <f t="shared" si="57"/>
        <v>0</v>
      </c>
      <c r="AJ65" s="321">
        <f t="shared" si="52"/>
        <v>0</v>
      </c>
      <c r="AK65" s="342">
        <f t="shared" si="53"/>
        <v>0</v>
      </c>
      <c r="AM65" s="286">
        <v>0</v>
      </c>
      <c r="AN65" s="286">
        <f t="shared" si="54"/>
        <v>0</v>
      </c>
      <c r="AO65" s="286">
        <f t="shared" si="55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2.1.14'!M62</f>
        <v>0</v>
      </c>
      <c r="D66" s="194">
        <f>+'Table 5C1A-Madison Prep'!D66</f>
        <v>5301.224090063828</v>
      </c>
      <c r="E66" s="195">
        <f t="shared" si="33"/>
        <v>0</v>
      </c>
      <c r="F66" s="195">
        <f>+'Table 5C1A-Madison Prep'!F66</f>
        <v>594.04</v>
      </c>
      <c r="G66" s="195">
        <f t="shared" si="34"/>
        <v>0</v>
      </c>
      <c r="H66" s="346">
        <f t="shared" si="35"/>
        <v>0</v>
      </c>
      <c r="I66" s="196">
        <f>'[1]Oct midyear Lake Charles Chtr'!K63</f>
        <v>0</v>
      </c>
      <c r="J66" s="196">
        <f>'[1]Feb midyear Lake Charles Chtr'!K63</f>
        <v>0</v>
      </c>
      <c r="K66" s="197">
        <f t="shared" si="36"/>
        <v>0</v>
      </c>
      <c r="L66" s="346">
        <f t="shared" si="37"/>
        <v>0</v>
      </c>
      <c r="M66" s="296">
        <f t="shared" si="38"/>
        <v>0</v>
      </c>
      <c r="N66" s="346">
        <f t="shared" si="39"/>
        <v>0</v>
      </c>
      <c r="O66" s="194">
        <v>0</v>
      </c>
      <c r="P66" s="352">
        <f t="shared" si="40"/>
        <v>0</v>
      </c>
      <c r="Q66" s="196">
        <f>8*'[2]Table 5C1F-Lake Charles Charter'!S66</f>
        <v>0</v>
      </c>
      <c r="R66" s="196">
        <f t="shared" si="41"/>
        <v>0</v>
      </c>
      <c r="S66" s="352">
        <f t="shared" si="56"/>
        <v>0</v>
      </c>
      <c r="T66" s="352">
        <f t="shared" si="42"/>
        <v>0</v>
      </c>
      <c r="U66" s="281">
        <f>'Table 5C1A-Madison Prep'!U66</f>
        <v>4024</v>
      </c>
      <c r="V66" s="329">
        <f t="shared" si="43"/>
        <v>0</v>
      </c>
      <c r="W66" s="884">
        <f>'[1]Oct midyear Lake Charles Chtr'!E63</f>
        <v>0</v>
      </c>
      <c r="X66" s="282">
        <f t="shared" si="44"/>
        <v>0</v>
      </c>
      <c r="Y66" s="884">
        <f>'[1]Feb midyear Lake Charles Chtr'!E63</f>
        <v>0</v>
      </c>
      <c r="Z66" s="282">
        <f t="shared" si="45"/>
        <v>0</v>
      </c>
      <c r="AA66" s="283">
        <f t="shared" si="46"/>
        <v>0</v>
      </c>
      <c r="AB66" s="325">
        <f t="shared" si="47"/>
        <v>0</v>
      </c>
      <c r="AC66" s="298">
        <f t="shared" si="48"/>
        <v>0</v>
      </c>
      <c r="AD66" s="325">
        <f t="shared" si="49"/>
        <v>0</v>
      </c>
      <c r="AE66" s="284">
        <v>0</v>
      </c>
      <c r="AF66" s="325">
        <f t="shared" si="50"/>
        <v>0</v>
      </c>
      <c r="AG66" s="284">
        <f>8*'[2]Table 5C1F-Lake Charles Charter'!AI66</f>
        <v>0</v>
      </c>
      <c r="AH66" s="284">
        <f t="shared" si="51"/>
        <v>0</v>
      </c>
      <c r="AI66" s="325">
        <f t="shared" si="57"/>
        <v>0</v>
      </c>
      <c r="AJ66" s="338">
        <f t="shared" si="52"/>
        <v>0</v>
      </c>
      <c r="AK66" s="343">
        <f t="shared" si="53"/>
        <v>0</v>
      </c>
      <c r="AM66" s="296">
        <v>0</v>
      </c>
      <c r="AN66" s="296">
        <f t="shared" si="54"/>
        <v>0</v>
      </c>
      <c r="AO66" s="296">
        <f t="shared" si="55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2.1.14'!M63</f>
        <v>0</v>
      </c>
      <c r="D67" s="208">
        <f>+'Table 5C1A-Madison Prep'!D67</f>
        <v>2854.1575356369185</v>
      </c>
      <c r="E67" s="209">
        <f t="shared" si="33"/>
        <v>0</v>
      </c>
      <c r="F67" s="209">
        <f>+'Table 5C1A-Madison Prep'!F67</f>
        <v>833.70999999999992</v>
      </c>
      <c r="G67" s="209">
        <f t="shared" si="34"/>
        <v>0</v>
      </c>
      <c r="H67" s="344">
        <f t="shared" si="35"/>
        <v>0</v>
      </c>
      <c r="I67" s="210">
        <f>'[1]Oct midyear Lake Charles Chtr'!K64</f>
        <v>0</v>
      </c>
      <c r="J67" s="210">
        <f>'[1]Feb midyear Lake Charles Chtr'!K64</f>
        <v>0</v>
      </c>
      <c r="K67" s="211">
        <f t="shared" si="36"/>
        <v>0</v>
      </c>
      <c r="L67" s="344">
        <f t="shared" si="37"/>
        <v>0</v>
      </c>
      <c r="M67" s="273">
        <f t="shared" si="38"/>
        <v>0</v>
      </c>
      <c r="N67" s="344">
        <f t="shared" si="39"/>
        <v>0</v>
      </c>
      <c r="O67" s="208">
        <v>0</v>
      </c>
      <c r="P67" s="350">
        <f t="shared" si="40"/>
        <v>0</v>
      </c>
      <c r="Q67" s="210">
        <f>8*'[2]Table 5C1F-Lake Charles Charter'!S67</f>
        <v>0</v>
      </c>
      <c r="R67" s="210">
        <f t="shared" si="41"/>
        <v>0</v>
      </c>
      <c r="S67" s="350">
        <f t="shared" si="56"/>
        <v>0</v>
      </c>
      <c r="T67" s="350">
        <f t="shared" si="42"/>
        <v>0</v>
      </c>
      <c r="U67" s="274">
        <f>'Table 5C1A-Madison Prep'!U67</f>
        <v>6739</v>
      </c>
      <c r="V67" s="327">
        <f t="shared" si="43"/>
        <v>0</v>
      </c>
      <c r="W67" s="883">
        <f>'[1]Oct midyear Lake Charles Chtr'!E64</f>
        <v>0</v>
      </c>
      <c r="X67" s="276">
        <f t="shared" si="44"/>
        <v>0</v>
      </c>
      <c r="Y67" s="883">
        <f>'[1]Feb midyear Lake Charles Chtr'!E64</f>
        <v>0</v>
      </c>
      <c r="Z67" s="276">
        <f t="shared" si="45"/>
        <v>0</v>
      </c>
      <c r="AA67" s="275">
        <f t="shared" si="46"/>
        <v>0</v>
      </c>
      <c r="AB67" s="323">
        <f t="shared" si="47"/>
        <v>0</v>
      </c>
      <c r="AC67" s="278">
        <f t="shared" si="48"/>
        <v>0</v>
      </c>
      <c r="AD67" s="323">
        <f t="shared" si="49"/>
        <v>0</v>
      </c>
      <c r="AE67" s="279">
        <v>0</v>
      </c>
      <c r="AF67" s="323">
        <f t="shared" si="50"/>
        <v>0</v>
      </c>
      <c r="AG67" s="279">
        <f>8*'[2]Table 5C1F-Lake Charles Charter'!AI67</f>
        <v>0</v>
      </c>
      <c r="AH67" s="279">
        <f t="shared" si="51"/>
        <v>0</v>
      </c>
      <c r="AI67" s="323">
        <f t="shared" si="57"/>
        <v>0</v>
      </c>
      <c r="AJ67" s="337">
        <f t="shared" si="52"/>
        <v>0</v>
      </c>
      <c r="AK67" s="341">
        <f t="shared" si="53"/>
        <v>0</v>
      </c>
      <c r="AM67" s="273">
        <v>0</v>
      </c>
      <c r="AN67" s="273">
        <f t="shared" si="54"/>
        <v>0</v>
      </c>
      <c r="AO67" s="273">
        <f t="shared" si="55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2.1.14'!M64</f>
        <v>0</v>
      </c>
      <c r="D68" s="201">
        <f>+'Table 5C1A-Madison Prep'!D68</f>
        <v>5901.074538516008</v>
      </c>
      <c r="E68" s="202">
        <f t="shared" si="33"/>
        <v>0</v>
      </c>
      <c r="F68" s="202">
        <f>+'Table 5C1A-Madison Prep'!F68</f>
        <v>516.08000000000004</v>
      </c>
      <c r="G68" s="202">
        <f t="shared" si="34"/>
        <v>0</v>
      </c>
      <c r="H68" s="345">
        <f t="shared" si="35"/>
        <v>0</v>
      </c>
      <c r="I68" s="203">
        <f>'[1]Oct midyear Lake Charles Chtr'!K65</f>
        <v>0</v>
      </c>
      <c r="J68" s="203">
        <f>'[1]Feb midyear Lake Charles Chtr'!K65</f>
        <v>0</v>
      </c>
      <c r="K68" s="204">
        <f t="shared" si="36"/>
        <v>0</v>
      </c>
      <c r="L68" s="345">
        <f t="shared" si="37"/>
        <v>0</v>
      </c>
      <c r="M68" s="286">
        <f t="shared" si="38"/>
        <v>0</v>
      </c>
      <c r="N68" s="345">
        <f t="shared" si="39"/>
        <v>0</v>
      </c>
      <c r="O68" s="201">
        <v>0</v>
      </c>
      <c r="P68" s="351">
        <f t="shared" si="40"/>
        <v>0</v>
      </c>
      <c r="Q68" s="203">
        <f>8*'[2]Table 5C1F-Lake Charles Charter'!S68</f>
        <v>0</v>
      </c>
      <c r="R68" s="203">
        <f t="shared" si="41"/>
        <v>0</v>
      </c>
      <c r="S68" s="351">
        <f t="shared" si="56"/>
        <v>0</v>
      </c>
      <c r="T68" s="351">
        <f t="shared" si="42"/>
        <v>0</v>
      </c>
      <c r="U68" s="287">
        <f>'Table 5C1A-Madison Prep'!U68</f>
        <v>2089</v>
      </c>
      <c r="V68" s="328">
        <f t="shared" si="43"/>
        <v>0</v>
      </c>
      <c r="W68" s="289">
        <f>'[1]Oct midyear Lake Charles Chtr'!E65</f>
        <v>0</v>
      </c>
      <c r="X68" s="290">
        <f t="shared" si="44"/>
        <v>0</v>
      </c>
      <c r="Y68" s="289">
        <f>'[1]Feb midyear Lake Charles Chtr'!E65</f>
        <v>0</v>
      </c>
      <c r="Z68" s="290">
        <f t="shared" si="45"/>
        <v>0</v>
      </c>
      <c r="AA68" s="288">
        <f t="shared" si="46"/>
        <v>0</v>
      </c>
      <c r="AB68" s="324">
        <f t="shared" si="47"/>
        <v>0</v>
      </c>
      <c r="AC68" s="292">
        <f t="shared" si="48"/>
        <v>0</v>
      </c>
      <c r="AD68" s="324">
        <f t="shared" si="49"/>
        <v>0</v>
      </c>
      <c r="AE68" s="293">
        <v>0</v>
      </c>
      <c r="AF68" s="324">
        <f t="shared" si="50"/>
        <v>0</v>
      </c>
      <c r="AG68" s="293">
        <f>8*'[2]Table 5C1F-Lake Charles Charter'!AI68</f>
        <v>0</v>
      </c>
      <c r="AH68" s="293">
        <f t="shared" si="51"/>
        <v>0</v>
      </c>
      <c r="AI68" s="324">
        <f t="shared" si="57"/>
        <v>0</v>
      </c>
      <c r="AJ68" s="321">
        <f t="shared" si="52"/>
        <v>0</v>
      </c>
      <c r="AK68" s="342">
        <f t="shared" si="53"/>
        <v>0</v>
      </c>
      <c r="AM68" s="286">
        <v>0</v>
      </c>
      <c r="AN68" s="286">
        <f t="shared" si="54"/>
        <v>0</v>
      </c>
      <c r="AO68" s="286">
        <f t="shared" si="55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2.1.14'!M65</f>
        <v>0</v>
      </c>
      <c r="D69" s="201">
        <f>+'Table 5C1A-Madison Prep'!D69</f>
        <v>4124.3813481848092</v>
      </c>
      <c r="E69" s="202">
        <f t="shared" si="33"/>
        <v>0</v>
      </c>
      <c r="F69" s="202">
        <f>+'Table 5C1A-Madison Prep'!F69</f>
        <v>756.79</v>
      </c>
      <c r="G69" s="202">
        <f t="shared" si="34"/>
        <v>0</v>
      </c>
      <c r="H69" s="345">
        <f t="shared" si="35"/>
        <v>0</v>
      </c>
      <c r="I69" s="203">
        <f>'[1]Oct midyear Lake Charles Chtr'!K66</f>
        <v>0</v>
      </c>
      <c r="J69" s="203">
        <f>'[1]Feb midyear Lake Charles Chtr'!K66</f>
        <v>0</v>
      </c>
      <c r="K69" s="204">
        <f t="shared" si="36"/>
        <v>0</v>
      </c>
      <c r="L69" s="345">
        <f t="shared" si="37"/>
        <v>0</v>
      </c>
      <c r="M69" s="286">
        <f t="shared" si="38"/>
        <v>0</v>
      </c>
      <c r="N69" s="345">
        <f t="shared" si="39"/>
        <v>0</v>
      </c>
      <c r="O69" s="201">
        <v>0</v>
      </c>
      <c r="P69" s="351">
        <f t="shared" si="40"/>
        <v>0</v>
      </c>
      <c r="Q69" s="203">
        <f>8*'[2]Table 5C1F-Lake Charles Charter'!S69</f>
        <v>0</v>
      </c>
      <c r="R69" s="203">
        <f t="shared" si="41"/>
        <v>0</v>
      </c>
      <c r="S69" s="351">
        <f t="shared" si="56"/>
        <v>0</v>
      </c>
      <c r="T69" s="351">
        <f t="shared" si="42"/>
        <v>0</v>
      </c>
      <c r="U69" s="287">
        <f>'Table 5C1A-Madison Prep'!U69</f>
        <v>7403</v>
      </c>
      <c r="V69" s="328">
        <f t="shared" si="43"/>
        <v>0</v>
      </c>
      <c r="W69" s="289">
        <f>'[1]Oct midyear Lake Charles Chtr'!E66</f>
        <v>0</v>
      </c>
      <c r="X69" s="290">
        <f t="shared" si="44"/>
        <v>0</v>
      </c>
      <c r="Y69" s="289">
        <f>'[1]Feb midyear Lake Charles Chtr'!E66</f>
        <v>0</v>
      </c>
      <c r="Z69" s="290">
        <f t="shared" si="45"/>
        <v>0</v>
      </c>
      <c r="AA69" s="288">
        <f t="shared" si="46"/>
        <v>0</v>
      </c>
      <c r="AB69" s="324">
        <f t="shared" si="47"/>
        <v>0</v>
      </c>
      <c r="AC69" s="292">
        <f t="shared" si="48"/>
        <v>0</v>
      </c>
      <c r="AD69" s="324">
        <f t="shared" si="49"/>
        <v>0</v>
      </c>
      <c r="AE69" s="293">
        <v>0</v>
      </c>
      <c r="AF69" s="324">
        <f t="shared" si="50"/>
        <v>0</v>
      </c>
      <c r="AG69" s="293">
        <f>8*'[2]Table 5C1F-Lake Charles Charter'!AI69</f>
        <v>0</v>
      </c>
      <c r="AH69" s="293">
        <f t="shared" si="51"/>
        <v>0</v>
      </c>
      <c r="AI69" s="324">
        <f t="shared" si="57"/>
        <v>0</v>
      </c>
      <c r="AJ69" s="321">
        <f t="shared" si="52"/>
        <v>0</v>
      </c>
      <c r="AK69" s="342">
        <f t="shared" si="53"/>
        <v>0</v>
      </c>
      <c r="AM69" s="286">
        <v>0</v>
      </c>
      <c r="AN69" s="286">
        <f t="shared" si="54"/>
        <v>0</v>
      </c>
      <c r="AO69" s="286">
        <f t="shared" si="55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2.1.14'!M66</f>
        <v>0</v>
      </c>
      <c r="D70" s="201">
        <f>+'Table 5C1A-Madison Prep'!D70</f>
        <v>6277.8307532778254</v>
      </c>
      <c r="E70" s="202">
        <f t="shared" si="33"/>
        <v>0</v>
      </c>
      <c r="F70" s="202">
        <f>+'Table 5C1A-Madison Prep'!F70</f>
        <v>592.66</v>
      </c>
      <c r="G70" s="202">
        <f t="shared" si="34"/>
        <v>0</v>
      </c>
      <c r="H70" s="345">
        <f t="shared" si="35"/>
        <v>0</v>
      </c>
      <c r="I70" s="203">
        <f>'[1]Oct midyear Lake Charles Chtr'!K67</f>
        <v>0</v>
      </c>
      <c r="J70" s="203">
        <f>'[1]Feb midyear Lake Charles Chtr'!K67</f>
        <v>0</v>
      </c>
      <c r="K70" s="204">
        <f t="shared" si="36"/>
        <v>0</v>
      </c>
      <c r="L70" s="345">
        <f t="shared" si="37"/>
        <v>0</v>
      </c>
      <c r="M70" s="286">
        <f t="shared" si="38"/>
        <v>0</v>
      </c>
      <c r="N70" s="345">
        <f t="shared" si="39"/>
        <v>0</v>
      </c>
      <c r="O70" s="201">
        <v>0</v>
      </c>
      <c r="P70" s="351">
        <f t="shared" si="40"/>
        <v>0</v>
      </c>
      <c r="Q70" s="203">
        <f>8*'[2]Table 5C1F-Lake Charles Charter'!S70</f>
        <v>0</v>
      </c>
      <c r="R70" s="203">
        <f t="shared" si="41"/>
        <v>0</v>
      </c>
      <c r="S70" s="351">
        <f t="shared" si="56"/>
        <v>0</v>
      </c>
      <c r="T70" s="351">
        <f t="shared" si="42"/>
        <v>0</v>
      </c>
      <c r="U70" s="287">
        <f>'Table 5C1A-Madison Prep'!U70</f>
        <v>2802</v>
      </c>
      <c r="V70" s="328">
        <f t="shared" si="43"/>
        <v>0</v>
      </c>
      <c r="W70" s="289">
        <f>'[1]Oct midyear Lake Charles Chtr'!E67</f>
        <v>0</v>
      </c>
      <c r="X70" s="290">
        <f t="shared" si="44"/>
        <v>0</v>
      </c>
      <c r="Y70" s="289">
        <f>'[1]Feb midyear Lake Charles Chtr'!E67</f>
        <v>0</v>
      </c>
      <c r="Z70" s="290">
        <f t="shared" si="45"/>
        <v>0</v>
      </c>
      <c r="AA70" s="288">
        <f t="shared" si="46"/>
        <v>0</v>
      </c>
      <c r="AB70" s="324">
        <f t="shared" si="47"/>
        <v>0</v>
      </c>
      <c r="AC70" s="292">
        <f t="shared" si="48"/>
        <v>0</v>
      </c>
      <c r="AD70" s="324">
        <f t="shared" si="49"/>
        <v>0</v>
      </c>
      <c r="AE70" s="293">
        <v>0</v>
      </c>
      <c r="AF70" s="324">
        <f t="shared" si="50"/>
        <v>0</v>
      </c>
      <c r="AG70" s="293">
        <f>8*'[2]Table 5C1F-Lake Charles Charter'!AI70</f>
        <v>0</v>
      </c>
      <c r="AH70" s="293">
        <f t="shared" si="51"/>
        <v>0</v>
      </c>
      <c r="AI70" s="324">
        <f t="shared" si="57"/>
        <v>0</v>
      </c>
      <c r="AJ70" s="321">
        <f t="shared" si="52"/>
        <v>0</v>
      </c>
      <c r="AK70" s="342">
        <f t="shared" si="53"/>
        <v>0</v>
      </c>
      <c r="AM70" s="286">
        <v>0</v>
      </c>
      <c r="AN70" s="286">
        <f t="shared" si="54"/>
        <v>0</v>
      </c>
      <c r="AO70" s="286">
        <f t="shared" si="55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2.1.14'!M67</f>
        <v>0</v>
      </c>
      <c r="D71" s="194">
        <f>+'Table 5C1A-Madison Prep'!D71</f>
        <v>4775.1605543943642</v>
      </c>
      <c r="E71" s="195">
        <f t="shared" si="33"/>
        <v>0</v>
      </c>
      <c r="F71" s="195">
        <f>+'Table 5C1A-Madison Prep'!F71</f>
        <v>829.12</v>
      </c>
      <c r="G71" s="195">
        <f t="shared" si="34"/>
        <v>0</v>
      </c>
      <c r="H71" s="346">
        <f t="shared" si="35"/>
        <v>0</v>
      </c>
      <c r="I71" s="196">
        <f>'[1]Oct midyear Lake Charles Chtr'!K68</f>
        <v>0</v>
      </c>
      <c r="J71" s="196">
        <f>'[1]Feb midyear Lake Charles Chtr'!K68</f>
        <v>0</v>
      </c>
      <c r="K71" s="197">
        <f t="shared" si="36"/>
        <v>0</v>
      </c>
      <c r="L71" s="346">
        <f t="shared" si="37"/>
        <v>0</v>
      </c>
      <c r="M71" s="296">
        <f t="shared" si="38"/>
        <v>0</v>
      </c>
      <c r="N71" s="346">
        <f t="shared" si="39"/>
        <v>0</v>
      </c>
      <c r="O71" s="194">
        <v>0</v>
      </c>
      <c r="P71" s="352">
        <f t="shared" si="40"/>
        <v>0</v>
      </c>
      <c r="Q71" s="196">
        <f>8*'[2]Table 5C1F-Lake Charles Charter'!S71</f>
        <v>0</v>
      </c>
      <c r="R71" s="196">
        <f t="shared" si="41"/>
        <v>0</v>
      </c>
      <c r="S71" s="352">
        <f t="shared" ref="S71:S75" si="58">ROUND(R71/$S$88,0)</f>
        <v>0</v>
      </c>
      <c r="T71" s="352">
        <f t="shared" si="42"/>
        <v>0</v>
      </c>
      <c r="U71" s="281">
        <f>'Table 5C1A-Madison Prep'!U71</f>
        <v>5215</v>
      </c>
      <c r="V71" s="329">
        <f t="shared" si="43"/>
        <v>0</v>
      </c>
      <c r="W71" s="884">
        <f>'[1]Oct midyear Lake Charles Chtr'!E68</f>
        <v>0</v>
      </c>
      <c r="X71" s="282">
        <f t="shared" si="44"/>
        <v>0</v>
      </c>
      <c r="Y71" s="884">
        <f>'[1]Feb midyear Lake Charles Chtr'!E68</f>
        <v>0</v>
      </c>
      <c r="Z71" s="282">
        <f t="shared" si="45"/>
        <v>0</v>
      </c>
      <c r="AA71" s="283">
        <f t="shared" si="46"/>
        <v>0</v>
      </c>
      <c r="AB71" s="325">
        <f t="shared" si="47"/>
        <v>0</v>
      </c>
      <c r="AC71" s="298">
        <f t="shared" si="48"/>
        <v>0</v>
      </c>
      <c r="AD71" s="325">
        <f t="shared" si="49"/>
        <v>0</v>
      </c>
      <c r="AE71" s="284">
        <v>0</v>
      </c>
      <c r="AF71" s="325">
        <f t="shared" si="50"/>
        <v>0</v>
      </c>
      <c r="AG71" s="284">
        <f>8*'[2]Table 5C1F-Lake Charles Charter'!AI71</f>
        <v>0</v>
      </c>
      <c r="AH71" s="284">
        <f t="shared" si="51"/>
        <v>0</v>
      </c>
      <c r="AI71" s="325">
        <f t="shared" ref="AI71:AI75" si="59">ROUND(AH71/$AI$88,0)</f>
        <v>0</v>
      </c>
      <c r="AJ71" s="338">
        <f t="shared" si="52"/>
        <v>0</v>
      </c>
      <c r="AK71" s="343">
        <f t="shared" si="53"/>
        <v>0</v>
      </c>
      <c r="AM71" s="296">
        <v>0</v>
      </c>
      <c r="AN71" s="296">
        <f t="shared" si="54"/>
        <v>0</v>
      </c>
      <c r="AO71" s="296">
        <f t="shared" si="55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2.1.14'!M68</f>
        <v>0</v>
      </c>
      <c r="D72" s="208">
        <f>+'Table 5C1A-Madison Prep'!D72</f>
        <v>6564.0085433910035</v>
      </c>
      <c r="E72" s="209">
        <f t="shared" ref="E72:E75" si="60">C72*D72</f>
        <v>0</v>
      </c>
      <c r="F72" s="209">
        <f>+'Table 5C1A-Madison Prep'!F72</f>
        <v>730.06</v>
      </c>
      <c r="G72" s="209">
        <f t="shared" ref="G72:G75" si="61">C72*F72</f>
        <v>0</v>
      </c>
      <c r="H72" s="344">
        <f t="shared" ref="H72:H75" si="62">E72+G72</f>
        <v>0</v>
      </c>
      <c r="I72" s="210">
        <f>'[1]Oct midyear Lake Charles Chtr'!K69</f>
        <v>0</v>
      </c>
      <c r="J72" s="210">
        <f>'[1]Feb midyear Lake Charles Chtr'!K69</f>
        <v>0</v>
      </c>
      <c r="K72" s="211">
        <f t="shared" ref="K72:K75" si="63">I72+J72</f>
        <v>0</v>
      </c>
      <c r="L72" s="344">
        <f t="shared" ref="L72:L75" si="64">+H72+K72</f>
        <v>0</v>
      </c>
      <c r="M72" s="273">
        <f t="shared" ref="M72:M75" si="65">-(0.25%*L72)</f>
        <v>0</v>
      </c>
      <c r="N72" s="344">
        <f t="shared" ref="N72:N75" si="66">SUM(L72:M72)</f>
        <v>0</v>
      </c>
      <c r="O72" s="208">
        <v>0</v>
      </c>
      <c r="P72" s="350">
        <f t="shared" ref="P72:P75" si="67">SUM(N72:O72)</f>
        <v>0</v>
      </c>
      <c r="Q72" s="210">
        <f>8*'[2]Table 5C1F-Lake Charles Charter'!S72</f>
        <v>0</v>
      </c>
      <c r="R72" s="210">
        <f t="shared" ref="R72:R75" si="68">+P72-Q72</f>
        <v>0</v>
      </c>
      <c r="S72" s="350">
        <f t="shared" si="58"/>
        <v>0</v>
      </c>
      <c r="T72" s="350">
        <f t="shared" ref="T72:T75" si="69">+P72</f>
        <v>0</v>
      </c>
      <c r="U72" s="274">
        <f>'Table 5C1A-Madison Prep'!U72</f>
        <v>3609</v>
      </c>
      <c r="V72" s="327">
        <f t="shared" ref="V72:V75" si="70">C72*U72</f>
        <v>0</v>
      </c>
      <c r="W72" s="883">
        <f>'[1]Oct midyear Lake Charles Chtr'!E69</f>
        <v>0</v>
      </c>
      <c r="X72" s="276">
        <f t="shared" ref="X72:X75" si="71">+U72*W72</f>
        <v>0</v>
      </c>
      <c r="Y72" s="883">
        <f>'[1]Feb midyear Lake Charles Chtr'!E69</f>
        <v>0</v>
      </c>
      <c r="Z72" s="276">
        <f t="shared" ref="Z72:Z75" si="72">+U72*Y72*0.5</f>
        <v>0</v>
      </c>
      <c r="AA72" s="275">
        <f t="shared" ref="AA72:AA75" si="73">+X72+Z72</f>
        <v>0</v>
      </c>
      <c r="AB72" s="323">
        <f t="shared" ref="AB72:AB75" si="74">+V72+AA72</f>
        <v>0</v>
      </c>
      <c r="AC72" s="278">
        <f t="shared" ref="AC72:AC75" si="75">-(0.25%*AB72)</f>
        <v>0</v>
      </c>
      <c r="AD72" s="323">
        <f t="shared" ref="AD72:AD75" si="76">SUM(AB72:AC72)</f>
        <v>0</v>
      </c>
      <c r="AE72" s="279">
        <v>0</v>
      </c>
      <c r="AF72" s="323">
        <f t="shared" ref="AF72:AF75" si="77">SUM(AD72:AE72)</f>
        <v>0</v>
      </c>
      <c r="AG72" s="279">
        <f>8*'[2]Table 5C1F-Lake Charles Charter'!AI72</f>
        <v>0</v>
      </c>
      <c r="AH72" s="279">
        <f t="shared" ref="AH72:AH75" si="78">+AF72-AG72</f>
        <v>0</v>
      </c>
      <c r="AI72" s="323">
        <f t="shared" si="59"/>
        <v>0</v>
      </c>
      <c r="AJ72" s="337">
        <f t="shared" ref="AJ72:AJ75" si="79">T72+AF72</f>
        <v>0</v>
      </c>
      <c r="AK72" s="341">
        <f t="shared" ref="AK72:AK75" si="80">S72+AI72</f>
        <v>0</v>
      </c>
      <c r="AM72" s="310">
        <v>0</v>
      </c>
      <c r="AN72" s="310">
        <f t="shared" ref="AN72:AN75" si="81">+AC72</f>
        <v>0</v>
      </c>
      <c r="AO72" s="310">
        <f t="shared" si="55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2.1.14'!M69</f>
        <v>0</v>
      </c>
      <c r="D73" s="201">
        <f>+'Table 5C1A-Madison Prep'!D73</f>
        <v>5029.1467736134118</v>
      </c>
      <c r="E73" s="202">
        <f t="shared" si="60"/>
        <v>0</v>
      </c>
      <c r="F73" s="202">
        <f>+'Table 5C1A-Madison Prep'!F73</f>
        <v>715.61</v>
      </c>
      <c r="G73" s="202">
        <f t="shared" si="61"/>
        <v>0</v>
      </c>
      <c r="H73" s="345">
        <f t="shared" si="62"/>
        <v>0</v>
      </c>
      <c r="I73" s="203">
        <f>'[1]Oct midyear Lake Charles Chtr'!K70</f>
        <v>0</v>
      </c>
      <c r="J73" s="203">
        <f>'[1]Feb midyear Lake Charles Chtr'!K70</f>
        <v>0</v>
      </c>
      <c r="K73" s="204">
        <f t="shared" si="63"/>
        <v>0</v>
      </c>
      <c r="L73" s="345">
        <f t="shared" si="64"/>
        <v>0</v>
      </c>
      <c r="M73" s="286">
        <f t="shared" si="65"/>
        <v>0</v>
      </c>
      <c r="N73" s="345">
        <f t="shared" si="66"/>
        <v>0</v>
      </c>
      <c r="O73" s="201">
        <v>0</v>
      </c>
      <c r="P73" s="351">
        <f t="shared" si="67"/>
        <v>0</v>
      </c>
      <c r="Q73" s="203">
        <f>8*'[2]Table 5C1F-Lake Charles Charter'!S73</f>
        <v>0</v>
      </c>
      <c r="R73" s="203">
        <f t="shared" si="68"/>
        <v>0</v>
      </c>
      <c r="S73" s="351">
        <f t="shared" si="58"/>
        <v>0</v>
      </c>
      <c r="T73" s="351">
        <f t="shared" si="69"/>
        <v>0</v>
      </c>
      <c r="U73" s="287">
        <f>'Table 5C1A-Madison Prep'!U73</f>
        <v>5069</v>
      </c>
      <c r="V73" s="328">
        <f t="shared" si="70"/>
        <v>0</v>
      </c>
      <c r="W73" s="289">
        <f>'[1]Oct midyear Lake Charles Chtr'!E70</f>
        <v>0</v>
      </c>
      <c r="X73" s="290">
        <f t="shared" si="71"/>
        <v>0</v>
      </c>
      <c r="Y73" s="289">
        <f>'[1]Feb midyear Lake Charles Chtr'!E70</f>
        <v>0</v>
      </c>
      <c r="Z73" s="290">
        <f t="shared" si="72"/>
        <v>0</v>
      </c>
      <c r="AA73" s="288">
        <f t="shared" si="73"/>
        <v>0</v>
      </c>
      <c r="AB73" s="324">
        <f t="shared" si="74"/>
        <v>0</v>
      </c>
      <c r="AC73" s="292">
        <f t="shared" si="75"/>
        <v>0</v>
      </c>
      <c r="AD73" s="324">
        <f t="shared" si="76"/>
        <v>0</v>
      </c>
      <c r="AE73" s="293">
        <v>0</v>
      </c>
      <c r="AF73" s="324">
        <f t="shared" si="77"/>
        <v>0</v>
      </c>
      <c r="AG73" s="293">
        <f>8*'[2]Table 5C1F-Lake Charles Charter'!AI73</f>
        <v>0</v>
      </c>
      <c r="AH73" s="293">
        <f t="shared" si="78"/>
        <v>0</v>
      </c>
      <c r="AI73" s="324">
        <f t="shared" si="59"/>
        <v>0</v>
      </c>
      <c r="AJ73" s="321">
        <f t="shared" si="79"/>
        <v>0</v>
      </c>
      <c r="AK73" s="342">
        <f t="shared" si="80"/>
        <v>0</v>
      </c>
      <c r="AM73" s="310">
        <v>0</v>
      </c>
      <c r="AN73" s="310">
        <f t="shared" si="81"/>
        <v>0</v>
      </c>
      <c r="AO73" s="310">
        <f t="shared" si="55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2.1.14'!M70</f>
        <v>0</v>
      </c>
      <c r="D74" s="201">
        <f>+'Table 5C1A-Madison Prep'!D74</f>
        <v>6390.1644202560601</v>
      </c>
      <c r="E74" s="202">
        <f t="shared" si="60"/>
        <v>0</v>
      </c>
      <c r="F74" s="202">
        <f>+'Table 5C1A-Madison Prep'!F74</f>
        <v>798.7</v>
      </c>
      <c r="G74" s="202">
        <f t="shared" si="61"/>
        <v>0</v>
      </c>
      <c r="H74" s="345">
        <f t="shared" si="62"/>
        <v>0</v>
      </c>
      <c r="I74" s="203">
        <f>'[1]Oct midyear Lake Charles Chtr'!K71</f>
        <v>0</v>
      </c>
      <c r="J74" s="203">
        <f>'[1]Feb midyear Lake Charles Chtr'!K71</f>
        <v>0</v>
      </c>
      <c r="K74" s="204">
        <f t="shared" si="63"/>
        <v>0</v>
      </c>
      <c r="L74" s="345">
        <f t="shared" si="64"/>
        <v>0</v>
      </c>
      <c r="M74" s="286">
        <f t="shared" si="65"/>
        <v>0</v>
      </c>
      <c r="N74" s="345">
        <f t="shared" si="66"/>
        <v>0</v>
      </c>
      <c r="O74" s="201">
        <v>0</v>
      </c>
      <c r="P74" s="351">
        <f t="shared" si="67"/>
        <v>0</v>
      </c>
      <c r="Q74" s="203">
        <f>8*'[2]Table 5C1F-Lake Charles Charter'!S74</f>
        <v>0</v>
      </c>
      <c r="R74" s="203">
        <f t="shared" si="68"/>
        <v>0</v>
      </c>
      <c r="S74" s="351">
        <f t="shared" si="58"/>
        <v>0</v>
      </c>
      <c r="T74" s="351">
        <f t="shared" si="69"/>
        <v>0</v>
      </c>
      <c r="U74" s="287">
        <f>'Table 5C1A-Madison Prep'!U74</f>
        <v>2880</v>
      </c>
      <c r="V74" s="328">
        <f t="shared" si="70"/>
        <v>0</v>
      </c>
      <c r="W74" s="289">
        <f>'[1]Oct midyear Lake Charles Chtr'!E71</f>
        <v>0</v>
      </c>
      <c r="X74" s="290">
        <f t="shared" si="71"/>
        <v>0</v>
      </c>
      <c r="Y74" s="289">
        <f>'[1]Feb midyear Lake Charles Chtr'!E71</f>
        <v>0</v>
      </c>
      <c r="Z74" s="290">
        <f t="shared" si="72"/>
        <v>0</v>
      </c>
      <c r="AA74" s="288">
        <f t="shared" si="73"/>
        <v>0</v>
      </c>
      <c r="AB74" s="324">
        <f t="shared" si="74"/>
        <v>0</v>
      </c>
      <c r="AC74" s="292">
        <f t="shared" si="75"/>
        <v>0</v>
      </c>
      <c r="AD74" s="324">
        <f t="shared" si="76"/>
        <v>0</v>
      </c>
      <c r="AE74" s="293">
        <v>0</v>
      </c>
      <c r="AF74" s="324">
        <f t="shared" si="77"/>
        <v>0</v>
      </c>
      <c r="AG74" s="293">
        <f>8*'[2]Table 5C1F-Lake Charles Charter'!AI74</f>
        <v>0</v>
      </c>
      <c r="AH74" s="293">
        <f t="shared" si="78"/>
        <v>0</v>
      </c>
      <c r="AI74" s="324">
        <f t="shared" si="59"/>
        <v>0</v>
      </c>
      <c r="AJ74" s="321">
        <f t="shared" si="79"/>
        <v>0</v>
      </c>
      <c r="AK74" s="342">
        <f t="shared" si="80"/>
        <v>0</v>
      </c>
      <c r="AM74" s="310">
        <v>0</v>
      </c>
      <c r="AN74" s="310">
        <f t="shared" si="81"/>
        <v>0</v>
      </c>
      <c r="AO74" s="310">
        <f t="shared" si="55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2.1.14'!M71</f>
        <v>0</v>
      </c>
      <c r="D75" s="201">
        <f>+'Table 5C1A-Madison Prep'!D75</f>
        <v>5722.4947921281337</v>
      </c>
      <c r="E75" s="202">
        <f t="shared" si="60"/>
        <v>0</v>
      </c>
      <c r="F75" s="202">
        <f>+'Table 5C1A-Madison Prep'!F75</f>
        <v>705.67</v>
      </c>
      <c r="G75" s="202">
        <f t="shared" si="61"/>
        <v>0</v>
      </c>
      <c r="H75" s="345">
        <f t="shared" si="62"/>
        <v>0</v>
      </c>
      <c r="I75" s="203">
        <f>'[1]Oct midyear Lake Charles Chtr'!K72</f>
        <v>0</v>
      </c>
      <c r="J75" s="203">
        <f>'[1]Feb midyear Lake Charles Chtr'!K72</f>
        <v>0</v>
      </c>
      <c r="K75" s="204">
        <f t="shared" si="63"/>
        <v>0</v>
      </c>
      <c r="L75" s="345">
        <f t="shared" si="64"/>
        <v>0</v>
      </c>
      <c r="M75" s="286">
        <f t="shared" si="65"/>
        <v>0</v>
      </c>
      <c r="N75" s="345">
        <f t="shared" si="66"/>
        <v>0</v>
      </c>
      <c r="O75" s="201">
        <v>0</v>
      </c>
      <c r="P75" s="351">
        <f t="shared" si="67"/>
        <v>0</v>
      </c>
      <c r="Q75" s="203">
        <f>8*'[2]Table 5C1F-Lake Charles Charter'!S75</f>
        <v>0</v>
      </c>
      <c r="R75" s="203">
        <f t="shared" si="68"/>
        <v>0</v>
      </c>
      <c r="S75" s="351">
        <f t="shared" si="58"/>
        <v>0</v>
      </c>
      <c r="T75" s="351">
        <f t="shared" si="69"/>
        <v>0</v>
      </c>
      <c r="U75" s="287">
        <f>'Table 5C1A-Madison Prep'!U75</f>
        <v>3330</v>
      </c>
      <c r="V75" s="328">
        <f t="shared" si="70"/>
        <v>0</v>
      </c>
      <c r="W75" s="289">
        <f>'[1]Oct midyear Lake Charles Chtr'!E72</f>
        <v>0</v>
      </c>
      <c r="X75" s="290">
        <f t="shared" si="71"/>
        <v>0</v>
      </c>
      <c r="Y75" s="289">
        <f>'[1]Feb midyear Lake Charles Chtr'!E72</f>
        <v>0</v>
      </c>
      <c r="Z75" s="290">
        <f t="shared" si="72"/>
        <v>0</v>
      </c>
      <c r="AA75" s="288">
        <f t="shared" si="73"/>
        <v>0</v>
      </c>
      <c r="AB75" s="324">
        <f t="shared" si="74"/>
        <v>0</v>
      </c>
      <c r="AC75" s="292">
        <f t="shared" si="75"/>
        <v>0</v>
      </c>
      <c r="AD75" s="324">
        <f t="shared" si="76"/>
        <v>0</v>
      </c>
      <c r="AE75" s="293">
        <v>0</v>
      </c>
      <c r="AF75" s="324">
        <f t="shared" si="77"/>
        <v>0</v>
      </c>
      <c r="AG75" s="293">
        <f>8*'[2]Table 5C1F-Lake Charles Charter'!AI75</f>
        <v>0</v>
      </c>
      <c r="AH75" s="293">
        <f t="shared" si="78"/>
        <v>0</v>
      </c>
      <c r="AI75" s="324">
        <f t="shared" si="59"/>
        <v>0</v>
      </c>
      <c r="AJ75" s="321">
        <f t="shared" si="79"/>
        <v>0</v>
      </c>
      <c r="AK75" s="342">
        <f t="shared" si="80"/>
        <v>0</v>
      </c>
      <c r="AM75" s="300">
        <v>0</v>
      </c>
      <c r="AN75" s="300">
        <f t="shared" si="81"/>
        <v>0</v>
      </c>
      <c r="AO75" s="300">
        <f t="shared" si="55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865</v>
      </c>
      <c r="D76" s="28">
        <f>+'Table 5C1A-Madison Prep'!D76</f>
        <v>4479.9292126977662</v>
      </c>
      <c r="E76" s="35">
        <f>SUM(E7:E75)</f>
        <v>3792484.1448394782</v>
      </c>
      <c r="F76" s="35">
        <f>+'Table 5C1A-Madison Prep'!F76</f>
        <v>704.64781030742063</v>
      </c>
      <c r="G76" s="35">
        <f t="shared" ref="G76:T76" si="82">SUM(G7:G75)</f>
        <v>525954.60000000009</v>
      </c>
      <c r="H76" s="348">
        <f t="shared" si="82"/>
        <v>4318438.7448394783</v>
      </c>
      <c r="I76" s="70">
        <f t="shared" si="82"/>
        <v>-24962.073669592359</v>
      </c>
      <c r="J76" s="70">
        <f t="shared" si="82"/>
        <v>-2496.207366959236</v>
      </c>
      <c r="K76" s="56">
        <f t="shared" si="82"/>
        <v>-27458.281036551594</v>
      </c>
      <c r="L76" s="364">
        <f t="shared" si="82"/>
        <v>4290980.4638029262</v>
      </c>
      <c r="M76" s="36">
        <f t="shared" si="82"/>
        <v>-10727.451159507316</v>
      </c>
      <c r="N76" s="348">
        <f t="shared" si="82"/>
        <v>4280253.0126434192</v>
      </c>
      <c r="O76" s="28">
        <f t="shared" si="82"/>
        <v>0</v>
      </c>
      <c r="P76" s="354">
        <f t="shared" si="82"/>
        <v>4280253.0126434192</v>
      </c>
      <c r="Q76" s="70">
        <f t="shared" si="82"/>
        <v>2871760</v>
      </c>
      <c r="R76" s="70">
        <f t="shared" si="82"/>
        <v>1408493.0126434192</v>
      </c>
      <c r="S76" s="354">
        <f t="shared" si="82"/>
        <v>352123</v>
      </c>
      <c r="T76" s="354">
        <f t="shared" si="82"/>
        <v>4280253.0126434192</v>
      </c>
      <c r="U76" s="83">
        <f>'Table 5C1A-Madison Prep'!U76</f>
        <v>4703</v>
      </c>
      <c r="V76" s="330">
        <f t="shared" ref="V76:AK76" si="83">SUM(V7:V75)</f>
        <v>3995435</v>
      </c>
      <c r="W76" s="74">
        <f t="shared" si="83"/>
        <v>-5</v>
      </c>
      <c r="X76" s="75">
        <f t="shared" si="83"/>
        <v>-23095</v>
      </c>
      <c r="Y76" s="74">
        <f t="shared" si="83"/>
        <v>-1</v>
      </c>
      <c r="Z76" s="75">
        <f t="shared" si="83"/>
        <v>-2309.5</v>
      </c>
      <c r="AA76" s="63">
        <f t="shared" si="83"/>
        <v>-25404.5</v>
      </c>
      <c r="AB76" s="332">
        <f t="shared" si="83"/>
        <v>3970030.5</v>
      </c>
      <c r="AC76" s="37">
        <f t="shared" si="83"/>
        <v>-9925.0762500000001</v>
      </c>
      <c r="AD76" s="330">
        <f t="shared" si="83"/>
        <v>3960105.4237500001</v>
      </c>
      <c r="AE76" s="85">
        <f t="shared" si="83"/>
        <v>0</v>
      </c>
      <c r="AF76" s="330">
        <f t="shared" si="83"/>
        <v>3960105.4237500001</v>
      </c>
      <c r="AG76" s="75">
        <f t="shared" si="83"/>
        <v>2625904</v>
      </c>
      <c r="AH76" s="75">
        <f t="shared" si="83"/>
        <v>1334201.4237500001</v>
      </c>
      <c r="AI76" s="330">
        <f t="shared" si="83"/>
        <v>333550</v>
      </c>
      <c r="AJ76" s="339">
        <f t="shared" si="83"/>
        <v>8240358.4363934193</v>
      </c>
      <c r="AK76" s="339">
        <f t="shared" si="83"/>
        <v>685673</v>
      </c>
      <c r="AM76" s="36">
        <f>SUM(AM7:AM75)</f>
        <v>-9871.8125</v>
      </c>
      <c r="AN76" s="36">
        <f>SUM(AN7:AN75)</f>
        <v>-9925.0762500000001</v>
      </c>
      <c r="AO76" s="36">
        <f>SUM(AO7:AO75)</f>
        <v>-53.263750000000073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4'!$E101</f>
        <v>0</v>
      </c>
      <c r="Q77" s="222">
        <f>8*'[2]Table 5C1F-Lake Charles Charter'!S77</f>
        <v>0</v>
      </c>
      <c r="R77" s="222">
        <f t="shared" ref="R77" si="84">+P77-Q77</f>
        <v>0</v>
      </c>
      <c r="S77" s="295">
        <f t="shared" ref="S77:S81" si="85">ROUND(R77/$S$88,0)</f>
        <v>0</v>
      </c>
      <c r="T77" s="295">
        <f>'Table 4 Level 4'!$E101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86">T77+AF77</f>
        <v>0</v>
      </c>
      <c r="AK77" s="321">
        <f t="shared" ref="AK77:AK81" si="87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4'!$J101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86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4'!$L101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86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4'!$M101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86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4'!O101</f>
        <v>5200</v>
      </c>
      <c r="Q81" s="217">
        <f>8*'[2]Table 5C1F-Lake Charles Charter'!S81</f>
        <v>3464</v>
      </c>
      <c r="R81" s="217">
        <f t="shared" ref="R81" si="88">+P81-Q81</f>
        <v>1736</v>
      </c>
      <c r="S81" s="353">
        <f t="shared" si="85"/>
        <v>434</v>
      </c>
      <c r="T81" s="353">
        <f>P81</f>
        <v>5200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86"/>
        <v>5200</v>
      </c>
      <c r="AK81" s="322">
        <f t="shared" si="87"/>
        <v>434</v>
      </c>
    </row>
    <row r="82" spans="1:37" ht="16.149999999999999" customHeight="1" thickBot="1">
      <c r="A82" s="1442" t="s">
        <v>710</v>
      </c>
      <c r="B82" s="1415"/>
      <c r="C82" s="136">
        <f>SUM(C76:C81)</f>
        <v>865</v>
      </c>
      <c r="D82" s="128">
        <f t="shared" ref="D82:AK82" si="89">SUM(D76:D81)</f>
        <v>4479.9292126977662</v>
      </c>
      <c r="E82" s="128">
        <f t="shared" si="89"/>
        <v>3792484.1448394782</v>
      </c>
      <c r="F82" s="128">
        <f t="shared" si="89"/>
        <v>704.64781030742063</v>
      </c>
      <c r="G82" s="128">
        <f t="shared" si="89"/>
        <v>525954.60000000009</v>
      </c>
      <c r="H82" s="128">
        <f t="shared" si="89"/>
        <v>4318438.7448394783</v>
      </c>
      <c r="I82" s="133">
        <f t="shared" si="89"/>
        <v>-24962.073669592359</v>
      </c>
      <c r="J82" s="133">
        <f t="shared" si="89"/>
        <v>-2496.207366959236</v>
      </c>
      <c r="K82" s="133">
        <f t="shared" si="89"/>
        <v>-27458.281036551594</v>
      </c>
      <c r="L82" s="128">
        <f t="shared" si="89"/>
        <v>4290980.4638029262</v>
      </c>
      <c r="M82" s="133">
        <f t="shared" si="89"/>
        <v>-10727.451159507316</v>
      </c>
      <c r="N82" s="128">
        <f t="shared" si="89"/>
        <v>4280253.0126434192</v>
      </c>
      <c r="O82" s="128">
        <f t="shared" si="89"/>
        <v>0</v>
      </c>
      <c r="P82" s="355">
        <f t="shared" si="89"/>
        <v>4285453.0126434192</v>
      </c>
      <c r="Q82" s="133">
        <f t="shared" si="89"/>
        <v>2875224</v>
      </c>
      <c r="R82" s="133">
        <f t="shared" si="89"/>
        <v>1410229.0126434192</v>
      </c>
      <c r="S82" s="355">
        <f t="shared" si="89"/>
        <v>352557</v>
      </c>
      <c r="T82" s="355">
        <f t="shared" si="89"/>
        <v>4285453.0126434192</v>
      </c>
      <c r="U82" s="137">
        <f t="shared" si="89"/>
        <v>4703</v>
      </c>
      <c r="V82" s="134">
        <f t="shared" si="89"/>
        <v>3995435</v>
      </c>
      <c r="W82" s="136">
        <f t="shared" si="89"/>
        <v>-5</v>
      </c>
      <c r="X82" s="134">
        <f t="shared" si="89"/>
        <v>-23095</v>
      </c>
      <c r="Y82" s="136">
        <f t="shared" si="89"/>
        <v>-1</v>
      </c>
      <c r="Z82" s="134">
        <f t="shared" si="89"/>
        <v>-2309.5</v>
      </c>
      <c r="AA82" s="134">
        <f t="shared" si="89"/>
        <v>-25404.5</v>
      </c>
      <c r="AB82" s="134">
        <f t="shared" si="89"/>
        <v>3970030.5</v>
      </c>
      <c r="AC82" s="134">
        <f t="shared" si="89"/>
        <v>-9925.0762500000001</v>
      </c>
      <c r="AD82" s="134">
        <f t="shared" si="89"/>
        <v>3960105.4237500001</v>
      </c>
      <c r="AE82" s="134">
        <f t="shared" si="89"/>
        <v>0</v>
      </c>
      <c r="AF82" s="134">
        <f t="shared" si="89"/>
        <v>3960105.4237500001</v>
      </c>
      <c r="AG82" s="134">
        <f t="shared" si="89"/>
        <v>2625904</v>
      </c>
      <c r="AH82" s="134">
        <f t="shared" si="89"/>
        <v>1334201.4237500001</v>
      </c>
      <c r="AI82" s="134">
        <f t="shared" si="89"/>
        <v>333550</v>
      </c>
      <c r="AJ82" s="320">
        <f t="shared" si="89"/>
        <v>8245558.4363934193</v>
      </c>
      <c r="AK82" s="320">
        <f t="shared" si="89"/>
        <v>686107</v>
      </c>
    </row>
    <row r="83" spans="1:37" ht="16.149999999999999" hidden="1" customHeight="1" thickTop="1">
      <c r="C83" s="727"/>
      <c r="I83" s="627"/>
      <c r="J83" s="627"/>
      <c r="K83" s="627"/>
      <c r="W83" s="727"/>
      <c r="Y83" s="727"/>
    </row>
    <row r="84" spans="1:37" ht="16.149999999999999" hidden="1" customHeight="1">
      <c r="C84" s="727"/>
      <c r="I84" s="627"/>
      <c r="J84" s="627"/>
      <c r="K84" s="627"/>
      <c r="M84" s="627">
        <v>-10796.096862098695</v>
      </c>
      <c r="N84" s="427" t="s">
        <v>1044</v>
      </c>
      <c r="W84" s="727"/>
      <c r="Y84" s="727"/>
    </row>
    <row r="85" spans="1:37" ht="16.149999999999999" hidden="1" customHeight="1">
      <c r="C85" s="727"/>
      <c r="I85" s="627"/>
      <c r="J85" s="627"/>
      <c r="K85" s="627"/>
      <c r="M85" s="627">
        <f>M82-M84</f>
        <v>68.645702591378722</v>
      </c>
      <c r="N85" s="427" t="s">
        <v>1045</v>
      </c>
      <c r="W85" s="727"/>
      <c r="Y85" s="727"/>
    </row>
    <row r="86" spans="1:37" ht="16.149999999999999" hidden="1" customHeight="1">
      <c r="C86" s="727"/>
      <c r="I86" s="627"/>
      <c r="J86" s="627"/>
      <c r="K86" s="627"/>
      <c r="M86" s="627"/>
      <c r="W86" s="727"/>
      <c r="Y86" s="727"/>
    </row>
    <row r="87" spans="1:37" ht="16.149999999999999" hidden="1" customHeight="1">
      <c r="C87" s="727"/>
      <c r="I87" s="627"/>
      <c r="J87" s="627"/>
      <c r="K87" s="627"/>
      <c r="M87" s="627"/>
      <c r="W87" s="727"/>
      <c r="Y87" s="727"/>
    </row>
    <row r="88" spans="1:37" ht="16.149999999999999" hidden="1" customHeight="1">
      <c r="C88" s="727"/>
      <c r="M88" s="627"/>
      <c r="R88" s="427" t="str">
        <f>'Table 2_State Distrib and Adjs'!$AK$77</f>
        <v>Monthly Pmts Remaining</v>
      </c>
      <c r="S88" s="427">
        <f>'Table 2_State Distrib and Adjs'!$AL$77</f>
        <v>4</v>
      </c>
      <c r="AH88" s="427" t="str">
        <f>'Table 2_State Distrib and Adjs'!$AK$77</f>
        <v>Monthly Pmts Remaining</v>
      </c>
      <c r="AI88" s="427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3">
    <mergeCell ref="AJ1:AJ4"/>
    <mergeCell ref="AK1:AK4"/>
    <mergeCell ref="AD3:AD4"/>
    <mergeCell ref="AE3:AE4"/>
    <mergeCell ref="AF3:AF4"/>
    <mergeCell ref="AG3:AG4"/>
    <mergeCell ref="AH3:AH4"/>
    <mergeCell ref="AI3:AI4"/>
    <mergeCell ref="AC1:AI1"/>
    <mergeCell ref="U3:U4"/>
    <mergeCell ref="Z3:Z4"/>
    <mergeCell ref="AB3:AB4"/>
    <mergeCell ref="W2:AA2"/>
    <mergeCell ref="N3:N4"/>
    <mergeCell ref="O3:O4"/>
    <mergeCell ref="P3:P4"/>
    <mergeCell ref="W3:W4"/>
    <mergeCell ref="X3:X4"/>
    <mergeCell ref="S3:S4"/>
    <mergeCell ref="T3:T4"/>
    <mergeCell ref="M1:T1"/>
    <mergeCell ref="U1:AB1"/>
    <mergeCell ref="A1:B4"/>
    <mergeCell ref="C1:L1"/>
    <mergeCell ref="I3:I4"/>
    <mergeCell ref="J3:J4"/>
    <mergeCell ref="I2:K2"/>
    <mergeCell ref="K3:K4"/>
    <mergeCell ref="L3:L4"/>
    <mergeCell ref="H3:H4"/>
    <mergeCell ref="C3:C4"/>
    <mergeCell ref="D3:D4"/>
    <mergeCell ref="E3:E4"/>
    <mergeCell ref="F3:F4"/>
    <mergeCell ref="G3:G4"/>
    <mergeCell ref="Y3:Y4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5C1-F: FY2014-15 MFP Budget Letter (March 2015)
Lake Charles Charter Academy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G75"/>
  <sheetViews>
    <sheetView view="pageBreakPreview" zoomScaleNormal="70" zoomScaleSheetLayoutView="100" workbookViewId="0">
      <pane xSplit="2" ySplit="2" topLeftCell="AA6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3.42578125" style="427" bestFit="1" customWidth="1"/>
    <col min="2" max="2" width="17.85546875" style="427" customWidth="1"/>
    <col min="3" max="33" width="14.7109375" style="427" customWidth="1"/>
    <col min="34" max="16384" width="8.85546875" style="427"/>
  </cols>
  <sheetData>
    <row r="1" spans="1:33" ht="138" customHeight="1">
      <c r="A1" s="112" t="s">
        <v>252</v>
      </c>
      <c r="B1" s="545" t="s">
        <v>162</v>
      </c>
      <c r="C1" s="630" t="s">
        <v>692</v>
      </c>
      <c r="D1" s="631" t="s">
        <v>787</v>
      </c>
      <c r="E1" s="632" t="s">
        <v>788</v>
      </c>
      <c r="F1" s="632" t="s">
        <v>789</v>
      </c>
      <c r="G1" s="633" t="s">
        <v>790</v>
      </c>
      <c r="H1" s="633" t="s">
        <v>791</v>
      </c>
      <c r="I1" s="633" t="s">
        <v>792</v>
      </c>
      <c r="J1" s="633" t="s">
        <v>793</v>
      </c>
      <c r="K1" s="633" t="s">
        <v>794</v>
      </c>
      <c r="L1" s="633" t="s">
        <v>795</v>
      </c>
      <c r="M1" s="633" t="s">
        <v>796</v>
      </c>
      <c r="N1" s="633" t="s">
        <v>797</v>
      </c>
      <c r="O1" s="633" t="s">
        <v>798</v>
      </c>
      <c r="P1" s="633" t="s">
        <v>799</v>
      </c>
      <c r="Q1" s="633" t="s">
        <v>800</v>
      </c>
      <c r="R1" s="633" t="s">
        <v>801</v>
      </c>
      <c r="S1" s="633" t="s">
        <v>802</v>
      </c>
      <c r="T1" s="633" t="s">
        <v>803</v>
      </c>
      <c r="U1" s="634" t="s">
        <v>804</v>
      </c>
      <c r="V1" s="634" t="s">
        <v>805</v>
      </c>
      <c r="W1" s="634" t="s">
        <v>806</v>
      </c>
      <c r="X1" s="634" t="s">
        <v>807</v>
      </c>
      <c r="Y1" s="634" t="s">
        <v>808</v>
      </c>
      <c r="Z1" s="634" t="s">
        <v>809</v>
      </c>
      <c r="AA1" s="634" t="s">
        <v>810</v>
      </c>
      <c r="AB1" s="634" t="s">
        <v>811</v>
      </c>
      <c r="AC1" s="634" t="s">
        <v>812</v>
      </c>
      <c r="AD1" s="633" t="s">
        <v>813</v>
      </c>
      <c r="AE1" s="633" t="s">
        <v>814</v>
      </c>
      <c r="AF1" s="635" t="s">
        <v>815</v>
      </c>
      <c r="AG1" s="636" t="s">
        <v>816</v>
      </c>
    </row>
    <row r="2" spans="1:33" s="637" customFormat="1">
      <c r="A2" s="245"/>
      <c r="B2" s="246"/>
      <c r="C2" s="247">
        <v>1</v>
      </c>
      <c r="D2" s="247">
        <f>+C2+1</f>
        <v>2</v>
      </c>
      <c r="E2" s="247">
        <f>+D2+1</f>
        <v>3</v>
      </c>
      <c r="F2" s="247">
        <f t="shared" ref="F2:AG2" si="0">+E2+1</f>
        <v>4</v>
      </c>
      <c r="G2" s="247">
        <f t="shared" si="0"/>
        <v>5</v>
      </c>
      <c r="H2" s="247">
        <f t="shared" si="0"/>
        <v>6</v>
      </c>
      <c r="I2" s="247">
        <f t="shared" si="0"/>
        <v>7</v>
      </c>
      <c r="J2" s="247">
        <f t="shared" si="0"/>
        <v>8</v>
      </c>
      <c r="K2" s="247">
        <f t="shared" si="0"/>
        <v>9</v>
      </c>
      <c r="L2" s="247">
        <f t="shared" si="0"/>
        <v>10</v>
      </c>
      <c r="M2" s="247">
        <f t="shared" si="0"/>
        <v>11</v>
      </c>
      <c r="N2" s="247">
        <f t="shared" si="0"/>
        <v>12</v>
      </c>
      <c r="O2" s="247">
        <f t="shared" si="0"/>
        <v>13</v>
      </c>
      <c r="P2" s="247">
        <f t="shared" si="0"/>
        <v>14</v>
      </c>
      <c r="Q2" s="247">
        <f t="shared" si="0"/>
        <v>15</v>
      </c>
      <c r="R2" s="247">
        <f t="shared" si="0"/>
        <v>16</v>
      </c>
      <c r="S2" s="247">
        <f t="shared" si="0"/>
        <v>17</v>
      </c>
      <c r="T2" s="247">
        <f t="shared" si="0"/>
        <v>18</v>
      </c>
      <c r="U2" s="247">
        <f t="shared" si="0"/>
        <v>19</v>
      </c>
      <c r="V2" s="247">
        <f t="shared" si="0"/>
        <v>20</v>
      </c>
      <c r="W2" s="247">
        <f t="shared" si="0"/>
        <v>21</v>
      </c>
      <c r="X2" s="247">
        <f t="shared" si="0"/>
        <v>22</v>
      </c>
      <c r="Y2" s="247">
        <f t="shared" si="0"/>
        <v>23</v>
      </c>
      <c r="Z2" s="247">
        <f t="shared" si="0"/>
        <v>24</v>
      </c>
      <c r="AA2" s="247">
        <f t="shared" si="0"/>
        <v>25</v>
      </c>
      <c r="AB2" s="247">
        <f t="shared" si="0"/>
        <v>26</v>
      </c>
      <c r="AC2" s="247">
        <f t="shared" si="0"/>
        <v>27</v>
      </c>
      <c r="AD2" s="247">
        <f t="shared" si="0"/>
        <v>28</v>
      </c>
      <c r="AE2" s="247">
        <f t="shared" si="0"/>
        <v>29</v>
      </c>
      <c r="AF2" s="247">
        <f t="shared" si="0"/>
        <v>30</v>
      </c>
      <c r="AG2" s="247">
        <f t="shared" si="0"/>
        <v>31</v>
      </c>
    </row>
    <row r="3" spans="1:33" s="637" customFormat="1" ht="25.9" hidden="1" customHeight="1">
      <c r="A3" s="101"/>
      <c r="B3" s="100"/>
      <c r="C3" s="102" t="s">
        <v>590</v>
      </c>
      <c r="D3" s="104" t="s">
        <v>640</v>
      </c>
      <c r="E3" s="104" t="s">
        <v>456</v>
      </c>
      <c r="F3" s="104" t="s">
        <v>444</v>
      </c>
      <c r="G3" s="104" t="s">
        <v>464</v>
      </c>
      <c r="H3" s="104" t="s">
        <v>464</v>
      </c>
      <c r="I3" s="104" t="s">
        <v>464</v>
      </c>
      <c r="J3" s="104" t="s">
        <v>464</v>
      </c>
      <c r="K3" s="104" t="s">
        <v>465</v>
      </c>
      <c r="L3" s="104" t="s">
        <v>464</v>
      </c>
      <c r="M3" s="104" t="s">
        <v>464</v>
      </c>
      <c r="N3" s="104" t="s">
        <v>464</v>
      </c>
      <c r="O3" s="104" t="s">
        <v>464</v>
      </c>
      <c r="P3" s="104" t="s">
        <v>464</v>
      </c>
      <c r="Q3" s="104" t="s">
        <v>464</v>
      </c>
      <c r="R3" s="104" t="s">
        <v>464</v>
      </c>
      <c r="S3" s="104" t="s">
        <v>464</v>
      </c>
      <c r="T3" s="104" t="s">
        <v>464</v>
      </c>
      <c r="U3" s="104" t="s">
        <v>464</v>
      </c>
      <c r="V3" s="104" t="s">
        <v>464</v>
      </c>
      <c r="W3" s="104" t="s">
        <v>464</v>
      </c>
      <c r="X3" s="104" t="s">
        <v>464</v>
      </c>
      <c r="Y3" s="104" t="s">
        <v>464</v>
      </c>
      <c r="Z3" s="104" t="s">
        <v>464</v>
      </c>
      <c r="AA3" s="104" t="s">
        <v>464</v>
      </c>
      <c r="AB3" s="104" t="s">
        <v>464</v>
      </c>
      <c r="AC3" s="104" t="s">
        <v>464</v>
      </c>
      <c r="AD3" s="104" t="s">
        <v>466</v>
      </c>
      <c r="AE3" s="104" t="s">
        <v>466</v>
      </c>
      <c r="AF3" s="102"/>
      <c r="AG3" s="102"/>
    </row>
    <row r="4" spans="1:33" ht="14.45" customHeight="1">
      <c r="A4" s="240">
        <v>1</v>
      </c>
      <c r="B4" s="241" t="s">
        <v>73</v>
      </c>
      <c r="C4" s="242">
        <f>+'Table 2_State Distrib and Adjs'!AP7</f>
        <v>53870126</v>
      </c>
      <c r="D4" s="243">
        <f>-'Table 5A3_OJJ'!T6</f>
        <v>-1766.4381536089777</v>
      </c>
      <c r="E4" s="243"/>
      <c r="F4" s="243"/>
      <c r="G4" s="243">
        <f>-('Table 5C1A-Madison Prep'!AB7+'Table 5C1A-Madison Prep'!AE7)</f>
        <v>0</v>
      </c>
      <c r="H4" s="243">
        <f>-('Table 5C1B-DArbonne'!AB7+'Table 5C1B-DArbonne'!AE7)</f>
        <v>0</v>
      </c>
      <c r="I4" s="243">
        <f>-('Table 5C1C-Intl_VIBE'!AB7+'Table 5C1C-Intl_VIBE'!AE7)</f>
        <v>0</v>
      </c>
      <c r="J4" s="243">
        <f>-('Table 5C1D-NOMMA'!AB7+'Table 5C1D-NOMMA'!AE7)</f>
        <v>0</v>
      </c>
      <c r="K4" s="243">
        <f>-('Table 5C1E-LFNO'!AB7+'Table 5C1E-LFNO'!AE7)</f>
        <v>0</v>
      </c>
      <c r="L4" s="243">
        <f>-('Table 5C1F-Lake Charles Charter'!AB7+'Table 5C1F-Lake Charles Charter'!AE7)</f>
        <v>0</v>
      </c>
      <c r="M4" s="243">
        <f>-('Table 5C1G-JS Clark Academy'!AB7+'Table 5C1G-JS Clark Academy'!AE7)</f>
        <v>0</v>
      </c>
      <c r="N4" s="243">
        <f>-('Table 5C1H-Southwest LA Charter'!AB7+'Table 5C1H-Southwest LA Charter'!AE7)</f>
        <v>0</v>
      </c>
      <c r="O4" s="243">
        <f>-('Table 5C1I-LA Key Academy'!AB7+'Table 5C1I-LA Key Academy'!AE7)</f>
        <v>0</v>
      </c>
      <c r="P4" s="243">
        <f>-('Table 5C1J-Jefferson Chamber'!AB7+'Table 5C1J-Jefferson Chamber'!AE7)</f>
        <v>0</v>
      </c>
      <c r="Q4" s="243">
        <f>-('Table 5C1K-Tallulah Charter'!AB7+'Table 5C1K-Tallulah Charter'!AE7)</f>
        <v>0</v>
      </c>
      <c r="R4" s="243">
        <f>-('Table 5C1L-Northshore Charter'!AB7+'Table 5C1L-Northshore Charter'!AE7)</f>
        <v>0</v>
      </c>
      <c r="S4" s="243">
        <f>-('Table 5C1M-B.R. Charter'!AB7+'Table 5C1M-B.R. Charter'!AE7)</f>
        <v>0</v>
      </c>
      <c r="T4" s="243">
        <f>-('Table 5C1N-Delta Charter'!AB7+'Table 5C1N-Delta Charter'!AE7)</f>
        <v>0</v>
      </c>
      <c r="U4" s="243">
        <f>-('Table 5C1O-Impact'!AB7+'Table 5C1O-Impact'!AE7)</f>
        <v>0</v>
      </c>
      <c r="V4" s="243">
        <f>-('Table 5C1P-Vision'!AB7+'Table 5C1P-Vision'!AE7)</f>
        <v>0</v>
      </c>
      <c r="W4" s="243">
        <f>-('Table 5C1Q-Advantage'!AB7+'Table 5C1Q-Advantage'!AE7)</f>
        <v>0</v>
      </c>
      <c r="X4" s="243">
        <f>-('Table 5C1R-Iberville'!AB7+'Table 5C1R-Iberville'!AE7)</f>
        <v>0</v>
      </c>
      <c r="Y4" s="243">
        <f>-('Table 5C1S-L.C. Coll Prep'!AB7+'Table 5C1S-L.C. Coll Prep'!AE7)</f>
        <v>0</v>
      </c>
      <c r="Z4" s="243">
        <f>-('Table 5C1T-Northeast'!AB7+'Table 5C1T-Northeast'!AE7)</f>
        <v>0</v>
      </c>
      <c r="AA4" s="243">
        <f>-('Table 5C1U-Acadiana Ren'!AB7+'Table 5C1U-Acadiana Ren'!AE7)</f>
        <v>0</v>
      </c>
      <c r="AB4" s="243">
        <f>-('Table 5C1V-Laf Ren'!AB7+'Table 5C1V-Laf Ren'!AE7)</f>
        <v>-14544</v>
      </c>
      <c r="AC4" s="243">
        <f>-('Table 5C1W-Willow'!AB7+'Table 5C1W-Willow'!AE7)</f>
        <v>-19392</v>
      </c>
      <c r="AD4" s="243">
        <f>-('Table 5C2 - LA Virtual Admy'!AC7+'Table 5C2 - LA Virtual Admy'!AF7)</f>
        <v>-65447.999999999993</v>
      </c>
      <c r="AE4" s="243">
        <f>-('Table 5C3 - LA Connections EBR'!AC7+'Table 5C3 - LA Connections EBR'!AF7)</f>
        <v>-62175.6</v>
      </c>
      <c r="AF4" s="243">
        <f t="shared" ref="AF4:AF35" si="1">SUM(D4:AE4)</f>
        <v>-163326.03815360897</v>
      </c>
      <c r="AG4" s="244">
        <f t="shared" ref="AG4:AG35" si="2">SUM(C4:AE4)</f>
        <v>53706799.961846389</v>
      </c>
    </row>
    <row r="5" spans="1:33" ht="14.45" customHeight="1">
      <c r="A5" s="228">
        <v>2</v>
      </c>
      <c r="B5" s="229" t="s">
        <v>74</v>
      </c>
      <c r="C5" s="230">
        <f>+'Table 2_State Distrib and Adjs'!AP8</f>
        <v>29285017</v>
      </c>
      <c r="D5" s="231">
        <f>-'Table 5A3_OJJ'!T7</f>
        <v>0</v>
      </c>
      <c r="E5" s="231"/>
      <c r="F5" s="231"/>
      <c r="G5" s="231">
        <f>-('Table 5C1A-Madison Prep'!AB8+'Table 5C1A-Madison Prep'!AE8)</f>
        <v>0</v>
      </c>
      <c r="H5" s="231">
        <f>-('Table 5C1B-DArbonne'!AB8+'Table 5C1B-DArbonne'!AE8)</f>
        <v>0</v>
      </c>
      <c r="I5" s="231">
        <f>-('Table 5C1C-Intl_VIBE'!AB8+'Table 5C1C-Intl_VIBE'!AE8)</f>
        <v>0</v>
      </c>
      <c r="J5" s="231">
        <f>-('Table 5C1D-NOMMA'!AB8+'Table 5C1D-NOMMA'!AE8)</f>
        <v>0</v>
      </c>
      <c r="K5" s="231">
        <f>-('Table 5C1E-LFNO'!AB8+'Table 5C1E-LFNO'!AE8)</f>
        <v>0</v>
      </c>
      <c r="L5" s="231">
        <f>-('Table 5C1F-Lake Charles Charter'!AB8+'Table 5C1F-Lake Charles Charter'!AE8)</f>
        <v>0</v>
      </c>
      <c r="M5" s="231">
        <f>-('Table 5C1G-JS Clark Academy'!AB8+'Table 5C1G-JS Clark Academy'!AE8)</f>
        <v>0</v>
      </c>
      <c r="N5" s="231">
        <f>-('Table 5C1H-Southwest LA Charter'!AB8+'Table 5C1H-Southwest LA Charter'!AE8)</f>
        <v>0</v>
      </c>
      <c r="O5" s="231">
        <f>-('Table 5C1I-LA Key Academy'!AB8+'Table 5C1I-LA Key Academy'!AE8)</f>
        <v>0</v>
      </c>
      <c r="P5" s="231">
        <f>-('Table 5C1J-Jefferson Chamber'!AB8+'Table 5C1J-Jefferson Chamber'!AE8)</f>
        <v>0</v>
      </c>
      <c r="Q5" s="231">
        <f>-('Table 5C1K-Tallulah Charter'!AB8+'Table 5C1K-Tallulah Charter'!AE8)</f>
        <v>0</v>
      </c>
      <c r="R5" s="231">
        <f>-('Table 5C1L-Northshore Charter'!AB8+'Table 5C1L-Northshore Charter'!AE8)</f>
        <v>0</v>
      </c>
      <c r="S5" s="231">
        <f>-('Table 5C1M-B.R. Charter'!AB8+'Table 5C1M-B.R. Charter'!AE8)</f>
        <v>0</v>
      </c>
      <c r="T5" s="231">
        <f>-('Table 5C1N-Delta Charter'!AB8+'Table 5C1N-Delta Charter'!AE8)</f>
        <v>0</v>
      </c>
      <c r="U5" s="231">
        <f>-('Table 5C1O-Impact'!AB8+'Table 5C1O-Impact'!AE8)</f>
        <v>0</v>
      </c>
      <c r="V5" s="231">
        <f>-('Table 5C1P-Vision'!AB8+'Table 5C1P-Vision'!AE8)</f>
        <v>0</v>
      </c>
      <c r="W5" s="231">
        <f>-('Table 5C1Q-Advantage'!AB8+'Table 5C1Q-Advantage'!AE8)</f>
        <v>0</v>
      </c>
      <c r="X5" s="231">
        <f>-('Table 5C1R-Iberville'!AB8+'Table 5C1R-Iberville'!AE8)</f>
        <v>0</v>
      </c>
      <c r="Y5" s="231">
        <f>-('Table 5C1S-L.C. Coll Prep'!AB8+'Table 5C1S-L.C. Coll Prep'!AE8)</f>
        <v>0</v>
      </c>
      <c r="Z5" s="231">
        <f>-('Table 5C1T-Northeast'!AB8+'Table 5C1T-Northeast'!AE8)</f>
        <v>0</v>
      </c>
      <c r="AA5" s="231">
        <f>-('Table 5C1U-Acadiana Ren'!AB8+'Table 5C1U-Acadiana Ren'!AE8)</f>
        <v>0</v>
      </c>
      <c r="AB5" s="231">
        <f>-('Table 5C1V-Laf Ren'!AB8+'Table 5C1V-Laf Ren'!AE8)</f>
        <v>0</v>
      </c>
      <c r="AC5" s="231">
        <f>-('Table 5C1W-Willow'!AB8+'Table 5C1W-Willow'!AE8)</f>
        <v>0</v>
      </c>
      <c r="AD5" s="231">
        <f>-('Table 5C2 - LA Virtual Admy'!AC8+'Table 5C2 - LA Virtual Admy'!AF8)</f>
        <v>-41372.100000000006</v>
      </c>
      <c r="AE5" s="231">
        <f>-('Table 5C3 - LA Connections EBR'!AC8+'Table 5C3 - LA Connections EBR'!AF8)</f>
        <v>-22566.600000000002</v>
      </c>
      <c r="AF5" s="231">
        <f t="shared" si="1"/>
        <v>-63938.700000000012</v>
      </c>
      <c r="AG5" s="249">
        <f t="shared" si="2"/>
        <v>29221078.299999997</v>
      </c>
    </row>
    <row r="6" spans="1:33" ht="14.45" customHeight="1">
      <c r="A6" s="228">
        <v>3</v>
      </c>
      <c r="B6" s="229" t="s">
        <v>75</v>
      </c>
      <c r="C6" s="230">
        <f>+'Table 2_State Distrib and Adjs'!AP9</f>
        <v>101479278</v>
      </c>
      <c r="D6" s="231">
        <f>-'Table 5A3_OJJ'!T8</f>
        <v>-3623.1259678419769</v>
      </c>
      <c r="E6" s="231"/>
      <c r="F6" s="231"/>
      <c r="G6" s="231">
        <f>-('Table 5C1A-Madison Prep'!AB9+'Table 5C1A-Madison Prep'!AE9)</f>
        <v>0</v>
      </c>
      <c r="H6" s="231">
        <f>-('Table 5C1B-DArbonne'!AB9+'Table 5C1B-DArbonne'!AE9)</f>
        <v>0</v>
      </c>
      <c r="I6" s="231">
        <f>-('Table 5C1C-Intl_VIBE'!AB9+'Table 5C1C-Intl_VIBE'!AE9)</f>
        <v>0</v>
      </c>
      <c r="J6" s="231">
        <f>-('Table 5C1D-NOMMA'!AB9+'Table 5C1D-NOMMA'!AE9)</f>
        <v>0</v>
      </c>
      <c r="K6" s="231">
        <f>-('Table 5C1E-LFNO'!AB9+'Table 5C1E-LFNO'!AE9)</f>
        <v>0</v>
      </c>
      <c r="L6" s="231">
        <f>-('Table 5C1F-Lake Charles Charter'!AB9+'Table 5C1F-Lake Charles Charter'!AE9)</f>
        <v>0</v>
      </c>
      <c r="M6" s="231">
        <f>-('Table 5C1G-JS Clark Academy'!AB9+'Table 5C1G-JS Clark Academy'!AE9)</f>
        <v>0</v>
      </c>
      <c r="N6" s="231">
        <f>-('Table 5C1H-Southwest LA Charter'!AB9+'Table 5C1H-Southwest LA Charter'!AE9)</f>
        <v>0</v>
      </c>
      <c r="O6" s="231">
        <f>-('Table 5C1I-LA Key Academy'!AB9+'Table 5C1I-LA Key Academy'!AE9)</f>
        <v>-71124</v>
      </c>
      <c r="P6" s="231">
        <f>-('Table 5C1J-Jefferson Chamber'!AB9+'Table 5C1J-Jefferson Chamber'!AE9)</f>
        <v>0</v>
      </c>
      <c r="Q6" s="231">
        <f>-('Table 5C1K-Tallulah Charter'!AB9+'Table 5C1K-Tallulah Charter'!AE9)</f>
        <v>0</v>
      </c>
      <c r="R6" s="231">
        <f>-('Table 5C1L-Northshore Charter'!AB9+'Table 5C1L-Northshore Charter'!AE9)</f>
        <v>0</v>
      </c>
      <c r="S6" s="231">
        <f>-('Table 5C1M-B.R. Charter'!AB9+'Table 5C1M-B.R. Charter'!AE9)</f>
        <v>-5927</v>
      </c>
      <c r="T6" s="231">
        <f>-('Table 5C1N-Delta Charter'!AB9+'Table 5C1N-Delta Charter'!AE9)</f>
        <v>0</v>
      </c>
      <c r="U6" s="231">
        <f>-('Table 5C1O-Impact'!AB9+'Table 5C1O-Impact'!AE9)</f>
        <v>0</v>
      </c>
      <c r="V6" s="231">
        <f>-('Table 5C1P-Vision'!AB9+'Table 5C1P-Vision'!AE9)</f>
        <v>0</v>
      </c>
      <c r="W6" s="231">
        <f>-('Table 5C1Q-Advantage'!AB9+'Table 5C1Q-Advantage'!AE9)</f>
        <v>0</v>
      </c>
      <c r="X6" s="231">
        <f>-('Table 5C1R-Iberville'!AB9+'Table 5C1R-Iberville'!AE9)</f>
        <v>-14817.5</v>
      </c>
      <c r="Y6" s="231">
        <f>-('Table 5C1S-L.C. Coll Prep'!AB9+'Table 5C1S-L.C. Coll Prep'!AE9)</f>
        <v>0</v>
      </c>
      <c r="Z6" s="231">
        <f>-('Table 5C1T-Northeast'!AB9+'Table 5C1T-Northeast'!AE9)</f>
        <v>0</v>
      </c>
      <c r="AA6" s="231">
        <f>-('Table 5C1U-Acadiana Ren'!AB9+'Table 5C1U-Acadiana Ren'!AE9)</f>
        <v>0</v>
      </c>
      <c r="AB6" s="231">
        <f>-('Table 5C1V-Laf Ren'!AB9+'Table 5C1V-Laf Ren'!AE9)</f>
        <v>0</v>
      </c>
      <c r="AC6" s="231">
        <f>-('Table 5C1W-Willow'!AB9+'Table 5C1W-Willow'!AE9)</f>
        <v>0</v>
      </c>
      <c r="AD6" s="231">
        <f>-('Table 5C2 - LA Virtual Admy'!AC9+'Table 5C2 - LA Virtual Admy'!AF9)</f>
        <v>-210704.85000000003</v>
      </c>
      <c r="AE6" s="231">
        <f>-('Table 5C3 - LA Connections EBR'!AC9+'Table 5C3 - LA Connections EBR'!AF9)</f>
        <v>-277383.59999999998</v>
      </c>
      <c r="AF6" s="231">
        <f t="shared" si="1"/>
        <v>-583580.07596784201</v>
      </c>
      <c r="AG6" s="249">
        <f t="shared" si="2"/>
        <v>100895697.92403217</v>
      </c>
    </row>
    <row r="7" spans="1:33" ht="14.45" customHeight="1">
      <c r="A7" s="228">
        <v>4</v>
      </c>
      <c r="B7" s="229" t="s">
        <v>76</v>
      </c>
      <c r="C7" s="230">
        <f>+'Table 2_State Distrib and Adjs'!AP10</f>
        <v>23322880</v>
      </c>
      <c r="D7" s="231">
        <f>-'Table 5A3_OJJ'!T9</f>
        <v>-2696.3191592637609</v>
      </c>
      <c r="E7" s="231"/>
      <c r="F7" s="231"/>
      <c r="G7" s="231">
        <f>-('Table 5C1A-Madison Prep'!AB10+'Table 5C1A-Madison Prep'!AE10)</f>
        <v>0</v>
      </c>
      <c r="H7" s="231">
        <f>-('Table 5C1B-DArbonne'!AB10+'Table 5C1B-DArbonne'!AE10)</f>
        <v>0</v>
      </c>
      <c r="I7" s="231">
        <f>-('Table 5C1C-Intl_VIBE'!AB10+'Table 5C1C-Intl_VIBE'!AE10)</f>
        <v>0</v>
      </c>
      <c r="J7" s="231">
        <f>-('Table 5C1D-NOMMA'!AB10+'Table 5C1D-NOMMA'!AE10)</f>
        <v>0</v>
      </c>
      <c r="K7" s="231">
        <f>-('Table 5C1E-LFNO'!AB10+'Table 5C1E-LFNO'!AE10)</f>
        <v>0</v>
      </c>
      <c r="L7" s="231">
        <f>-('Table 5C1F-Lake Charles Charter'!AB10+'Table 5C1F-Lake Charles Charter'!AE10)</f>
        <v>0</v>
      </c>
      <c r="M7" s="231">
        <f>-('Table 5C1G-JS Clark Academy'!AB10+'Table 5C1G-JS Clark Academy'!AE10)</f>
        <v>0</v>
      </c>
      <c r="N7" s="231">
        <f>-('Table 5C1H-Southwest LA Charter'!AB10+'Table 5C1H-Southwest LA Charter'!AE10)</f>
        <v>0</v>
      </c>
      <c r="O7" s="231">
        <f>-('Table 5C1I-LA Key Academy'!AB10+'Table 5C1I-LA Key Academy'!AE10)</f>
        <v>0</v>
      </c>
      <c r="P7" s="231">
        <f>-('Table 5C1J-Jefferson Chamber'!AB10+'Table 5C1J-Jefferson Chamber'!AE10)</f>
        <v>0</v>
      </c>
      <c r="Q7" s="231">
        <f>-('Table 5C1K-Tallulah Charter'!AB10+'Table 5C1K-Tallulah Charter'!AE10)</f>
        <v>0</v>
      </c>
      <c r="R7" s="231">
        <f>-('Table 5C1L-Northshore Charter'!AB10+'Table 5C1L-Northshore Charter'!AE10)</f>
        <v>0</v>
      </c>
      <c r="S7" s="231">
        <f>-('Table 5C1M-B.R. Charter'!AB10+'Table 5C1M-B.R. Charter'!AE10)</f>
        <v>0</v>
      </c>
      <c r="T7" s="231">
        <f>-('Table 5C1N-Delta Charter'!AB10+'Table 5C1N-Delta Charter'!AE10)</f>
        <v>0</v>
      </c>
      <c r="U7" s="231">
        <f>-('Table 5C1O-Impact'!AB10+'Table 5C1O-Impact'!AE10)</f>
        <v>0</v>
      </c>
      <c r="V7" s="231">
        <f>-('Table 5C1P-Vision'!AB10+'Table 5C1P-Vision'!AE10)</f>
        <v>0</v>
      </c>
      <c r="W7" s="231">
        <f>-('Table 5C1Q-Advantage'!AB10+'Table 5C1Q-Advantage'!AE10)</f>
        <v>0</v>
      </c>
      <c r="X7" s="231">
        <f>-('Table 5C1R-Iberville'!AB10+'Table 5C1R-Iberville'!AE10)</f>
        <v>0</v>
      </c>
      <c r="Y7" s="231">
        <f>-('Table 5C1S-L.C. Coll Prep'!AB10+'Table 5C1S-L.C. Coll Prep'!AE10)</f>
        <v>0</v>
      </c>
      <c r="Z7" s="231">
        <f>-('Table 5C1T-Northeast'!AB10+'Table 5C1T-Northeast'!AE10)</f>
        <v>0</v>
      </c>
      <c r="AA7" s="231">
        <f>-('Table 5C1U-Acadiana Ren'!AB10+'Table 5C1U-Acadiana Ren'!AE10)</f>
        <v>0</v>
      </c>
      <c r="AB7" s="231">
        <f>-('Table 5C1V-Laf Ren'!AB10+'Table 5C1V-Laf Ren'!AE10)</f>
        <v>0</v>
      </c>
      <c r="AC7" s="231">
        <f>-('Table 5C1W-Willow'!AB10+'Table 5C1W-Willow'!AE10)</f>
        <v>0</v>
      </c>
      <c r="AD7" s="231">
        <f>-('Table 5C2 - LA Virtual Admy'!AC10+'Table 5C2 - LA Virtual Admy'!AF10)</f>
        <v>-28370.250000000004</v>
      </c>
      <c r="AE7" s="231">
        <f>-('Table 5C3 - LA Connections EBR'!AC10+'Table 5C3 - LA Connections EBR'!AF10)</f>
        <v>-9456.75</v>
      </c>
      <c r="AF7" s="231">
        <f t="shared" si="1"/>
        <v>-40523.31915926376</v>
      </c>
      <c r="AG7" s="249">
        <f t="shared" si="2"/>
        <v>23282356.680840734</v>
      </c>
    </row>
    <row r="8" spans="1:33" ht="14.45" customHeight="1">
      <c r="A8" s="3">
        <v>5</v>
      </c>
      <c r="B8" s="7" t="s">
        <v>77</v>
      </c>
      <c r="C8" s="9">
        <f>+'Table 2_State Distrib and Adjs'!AP11</f>
        <v>32719119</v>
      </c>
      <c r="D8" s="10">
        <f>-'Table 5A3_OJJ'!T10</f>
        <v>-2268.1218071578101</v>
      </c>
      <c r="E8" s="10"/>
      <c r="F8" s="10"/>
      <c r="G8" s="10">
        <f>-('Table 5C1A-Madison Prep'!AB11+'Table 5C1A-Madison Prep'!AE11)</f>
        <v>0</v>
      </c>
      <c r="H8" s="10">
        <f>-('Table 5C1B-DArbonne'!AB11+'Table 5C1B-DArbonne'!AE11)</f>
        <v>0</v>
      </c>
      <c r="I8" s="10">
        <f>-('Table 5C1C-Intl_VIBE'!AB11+'Table 5C1C-Intl_VIBE'!AE11)</f>
        <v>0</v>
      </c>
      <c r="J8" s="10">
        <f>-('Table 5C1D-NOMMA'!AB11+'Table 5C1D-NOMMA'!AE11)</f>
        <v>0</v>
      </c>
      <c r="K8" s="10">
        <f>-('Table 5C1E-LFNO'!AB11+'Table 5C1E-LFNO'!AE11)</f>
        <v>0</v>
      </c>
      <c r="L8" s="10">
        <f>-('Table 5C1F-Lake Charles Charter'!AB11+'Table 5C1F-Lake Charles Charter'!AE11)</f>
        <v>0</v>
      </c>
      <c r="M8" s="10">
        <f>-('Table 5C1G-JS Clark Academy'!AB11+'Table 5C1G-JS Clark Academy'!AE11)</f>
        <v>0</v>
      </c>
      <c r="N8" s="10">
        <f>-('Table 5C1H-Southwest LA Charter'!AB11+'Table 5C1H-Southwest LA Charter'!AE11)</f>
        <v>0</v>
      </c>
      <c r="O8" s="10">
        <f>-('Table 5C1I-LA Key Academy'!AB11+'Table 5C1I-LA Key Academy'!AE11)</f>
        <v>0</v>
      </c>
      <c r="P8" s="10">
        <f>-('Table 5C1J-Jefferson Chamber'!AB11+'Table 5C1J-Jefferson Chamber'!AE11)</f>
        <v>0</v>
      </c>
      <c r="Q8" s="10">
        <f>-('Table 5C1K-Tallulah Charter'!AB11+'Table 5C1K-Tallulah Charter'!AE11)</f>
        <v>0</v>
      </c>
      <c r="R8" s="10">
        <f>-('Table 5C1L-Northshore Charter'!AB11+'Table 5C1L-Northshore Charter'!AE11)</f>
        <v>0</v>
      </c>
      <c r="S8" s="10">
        <f>-('Table 5C1M-B.R. Charter'!AB11+'Table 5C1M-B.R. Charter'!AE11)</f>
        <v>0</v>
      </c>
      <c r="T8" s="10">
        <f>-('Table 5C1N-Delta Charter'!AB11+'Table 5C1N-Delta Charter'!AE11)</f>
        <v>0</v>
      </c>
      <c r="U8" s="10">
        <f>-('Table 5C1O-Impact'!AB11+'Table 5C1O-Impact'!AE11)</f>
        <v>0</v>
      </c>
      <c r="V8" s="10">
        <f>-('Table 5C1P-Vision'!AB11+'Table 5C1P-Vision'!AE11)</f>
        <v>0</v>
      </c>
      <c r="W8" s="10">
        <f>-('Table 5C1Q-Advantage'!AB11+'Table 5C1Q-Advantage'!AE11)</f>
        <v>0</v>
      </c>
      <c r="X8" s="10">
        <f>-('Table 5C1R-Iberville'!AB11+'Table 5C1R-Iberville'!AE11)</f>
        <v>0</v>
      </c>
      <c r="Y8" s="10">
        <f>-('Table 5C1S-L.C. Coll Prep'!AB11+'Table 5C1S-L.C. Coll Prep'!AE11)</f>
        <v>0</v>
      </c>
      <c r="Z8" s="10">
        <f>-('Table 5C1T-Northeast'!AB11+'Table 5C1T-Northeast'!AE11)</f>
        <v>0</v>
      </c>
      <c r="AA8" s="10">
        <f>-('Table 5C1U-Acadiana Ren'!AB11+'Table 5C1U-Acadiana Ren'!AE11)</f>
        <v>0</v>
      </c>
      <c r="AB8" s="10">
        <f>-('Table 5C1V-Laf Ren'!AB11+'Table 5C1V-Laf Ren'!AE11)</f>
        <v>0</v>
      </c>
      <c r="AC8" s="10">
        <f>-('Table 5C1W-Willow'!AB11+'Table 5C1W-Willow'!AE11)</f>
        <v>-961.5</v>
      </c>
      <c r="AD8" s="10">
        <f>-('Table 5C2 - LA Virtual Admy'!AC11+'Table 5C2 - LA Virtual Admy'!AF11)</f>
        <v>-34614</v>
      </c>
      <c r="AE8" s="10">
        <f>-('Table 5C3 - LA Connections EBR'!AC11+'Table 5C3 - LA Connections EBR'!AF11)</f>
        <v>-40671.449999999997</v>
      </c>
      <c r="AF8" s="10">
        <f t="shared" si="1"/>
        <v>-78515.071807157801</v>
      </c>
      <c r="AG8" s="15">
        <f t="shared" si="2"/>
        <v>32640603.928192843</v>
      </c>
    </row>
    <row r="9" spans="1:33" ht="14.45" customHeight="1">
      <c r="A9" s="240">
        <v>6</v>
      </c>
      <c r="B9" s="241" t="s">
        <v>78</v>
      </c>
      <c r="C9" s="242">
        <f>+'Table 2_State Distrib and Adjs'!AP12</f>
        <v>34628825</v>
      </c>
      <c r="D9" s="243">
        <f>-'Table 5A3_OJJ'!T11</f>
        <v>-9315.1424496786967</v>
      </c>
      <c r="E9" s="243"/>
      <c r="F9" s="243"/>
      <c r="G9" s="243">
        <f>-('Table 5C1A-Madison Prep'!AB12+'Table 5C1A-Madison Prep'!AE12)</f>
        <v>0</v>
      </c>
      <c r="H9" s="243">
        <f>-('Table 5C1B-DArbonne'!AB12+'Table 5C1B-DArbonne'!AE12)</f>
        <v>0</v>
      </c>
      <c r="I9" s="243">
        <f>-('Table 5C1C-Intl_VIBE'!AB12+'Table 5C1C-Intl_VIBE'!AE12)</f>
        <v>0</v>
      </c>
      <c r="J9" s="243">
        <f>-('Table 5C1D-NOMMA'!AB12+'Table 5C1D-NOMMA'!AE12)</f>
        <v>0</v>
      </c>
      <c r="K9" s="243">
        <f>-('Table 5C1E-LFNO'!AB12+'Table 5C1E-LFNO'!AE12)</f>
        <v>0</v>
      </c>
      <c r="L9" s="243">
        <f>-('Table 5C1F-Lake Charles Charter'!AB12+'Table 5C1F-Lake Charles Charter'!AE12)</f>
        <v>0</v>
      </c>
      <c r="M9" s="243">
        <f>-('Table 5C1G-JS Clark Academy'!AB12+'Table 5C1G-JS Clark Academy'!AE12)</f>
        <v>0</v>
      </c>
      <c r="N9" s="243">
        <f>-('Table 5C1H-Southwest LA Charter'!AB12+'Table 5C1H-Southwest LA Charter'!AE12)</f>
        <v>0</v>
      </c>
      <c r="O9" s="243">
        <f>-('Table 5C1I-LA Key Academy'!AB12+'Table 5C1I-LA Key Academy'!AE12)</f>
        <v>0</v>
      </c>
      <c r="P9" s="243">
        <f>-('Table 5C1J-Jefferson Chamber'!AB12+'Table 5C1J-Jefferson Chamber'!AE12)</f>
        <v>0</v>
      </c>
      <c r="Q9" s="243">
        <f>-('Table 5C1K-Tallulah Charter'!AB12+'Table 5C1K-Tallulah Charter'!AE12)</f>
        <v>0</v>
      </c>
      <c r="R9" s="243">
        <f>-('Table 5C1L-Northshore Charter'!AB12+'Table 5C1L-Northshore Charter'!AE12)</f>
        <v>0</v>
      </c>
      <c r="S9" s="243">
        <f>-('Table 5C1M-B.R. Charter'!AB12+'Table 5C1M-B.R. Charter'!AE12)</f>
        <v>0</v>
      </c>
      <c r="T9" s="243">
        <f>-('Table 5C1N-Delta Charter'!AB12+'Table 5C1N-Delta Charter'!AE12)</f>
        <v>0</v>
      </c>
      <c r="U9" s="243">
        <f>-('Table 5C1O-Impact'!AB12+'Table 5C1O-Impact'!AE12)</f>
        <v>0</v>
      </c>
      <c r="V9" s="243">
        <f>-('Table 5C1P-Vision'!AB12+'Table 5C1P-Vision'!AE12)</f>
        <v>0</v>
      </c>
      <c r="W9" s="243">
        <f>-('Table 5C1Q-Advantage'!AB12+'Table 5C1Q-Advantage'!AE12)</f>
        <v>0</v>
      </c>
      <c r="X9" s="243">
        <f>-('Table 5C1R-Iberville'!AB12+'Table 5C1R-Iberville'!AE12)</f>
        <v>0</v>
      </c>
      <c r="Y9" s="243">
        <f>-('Table 5C1S-L.C. Coll Prep'!AB12+'Table 5C1S-L.C. Coll Prep'!AE12)</f>
        <v>0</v>
      </c>
      <c r="Z9" s="243">
        <f>-('Table 5C1T-Northeast'!AB12+'Table 5C1T-Northeast'!AE12)</f>
        <v>0</v>
      </c>
      <c r="AA9" s="243">
        <f>-('Table 5C1U-Acadiana Ren'!AB12+'Table 5C1U-Acadiana Ren'!AE12)</f>
        <v>0</v>
      </c>
      <c r="AB9" s="243">
        <f>-('Table 5C1V-Laf Ren'!AB12+'Table 5C1V-Laf Ren'!AE12)</f>
        <v>0</v>
      </c>
      <c r="AC9" s="243">
        <f>-('Table 5C1W-Willow'!AB12+'Table 5C1W-Willow'!AE12)</f>
        <v>0</v>
      </c>
      <c r="AD9" s="243">
        <f>-('Table 5C2 - LA Virtual Admy'!AC12+'Table 5C2 - LA Virtual Admy'!AF12)</f>
        <v>-89456.85</v>
      </c>
      <c r="AE9" s="243">
        <f>-('Table 5C3 - LA Connections EBR'!AC12+'Table 5C3 - LA Connections EBR'!AF12)</f>
        <v>-51118.2</v>
      </c>
      <c r="AF9" s="243">
        <f t="shared" si="1"/>
        <v>-149890.1924496787</v>
      </c>
      <c r="AG9" s="244">
        <f t="shared" si="2"/>
        <v>34478934.807550319</v>
      </c>
    </row>
    <row r="10" spans="1:33" ht="14.45" customHeight="1">
      <c r="A10" s="228">
        <v>7</v>
      </c>
      <c r="B10" s="229" t="s">
        <v>79</v>
      </c>
      <c r="C10" s="230">
        <f>+'Table 2_State Distrib and Adjs'!AP13</f>
        <v>6580420</v>
      </c>
      <c r="D10" s="231">
        <f>-'Table 5A3_OJJ'!T12</f>
        <v>-2639.701715919799</v>
      </c>
      <c r="E10" s="231"/>
      <c r="F10" s="231"/>
      <c r="G10" s="231">
        <f>-('Table 5C1A-Madison Prep'!AB13+'Table 5C1A-Madison Prep'!AE13)</f>
        <v>0</v>
      </c>
      <c r="H10" s="231">
        <f>-('Table 5C1B-DArbonne'!AB13+'Table 5C1B-DArbonne'!AE13)</f>
        <v>0</v>
      </c>
      <c r="I10" s="231">
        <f>-('Table 5C1C-Intl_VIBE'!AB13+'Table 5C1C-Intl_VIBE'!AE13)</f>
        <v>0</v>
      </c>
      <c r="J10" s="231">
        <f>-('Table 5C1D-NOMMA'!AB13+'Table 5C1D-NOMMA'!AE13)</f>
        <v>0</v>
      </c>
      <c r="K10" s="231">
        <f>-('Table 5C1E-LFNO'!AB13+'Table 5C1E-LFNO'!AE13)</f>
        <v>0</v>
      </c>
      <c r="L10" s="231">
        <f>-('Table 5C1F-Lake Charles Charter'!AB13+'Table 5C1F-Lake Charles Charter'!AE13)</f>
        <v>0</v>
      </c>
      <c r="M10" s="231">
        <f>-('Table 5C1G-JS Clark Academy'!AB13+'Table 5C1G-JS Clark Academy'!AE13)</f>
        <v>0</v>
      </c>
      <c r="N10" s="231">
        <f>-('Table 5C1H-Southwest LA Charter'!AB13+'Table 5C1H-Southwest LA Charter'!AE13)</f>
        <v>0</v>
      </c>
      <c r="O10" s="231">
        <f>-('Table 5C1I-LA Key Academy'!AB13+'Table 5C1I-LA Key Academy'!AE13)</f>
        <v>0</v>
      </c>
      <c r="P10" s="231">
        <f>-('Table 5C1J-Jefferson Chamber'!AB13+'Table 5C1J-Jefferson Chamber'!AE13)</f>
        <v>0</v>
      </c>
      <c r="Q10" s="231">
        <f>-('Table 5C1K-Tallulah Charter'!AB13+'Table 5C1K-Tallulah Charter'!AE13)</f>
        <v>0</v>
      </c>
      <c r="R10" s="231">
        <f>-('Table 5C1L-Northshore Charter'!AB13+'Table 5C1L-Northshore Charter'!AE13)</f>
        <v>0</v>
      </c>
      <c r="S10" s="231">
        <f>-('Table 5C1M-B.R. Charter'!AB13+'Table 5C1M-B.R. Charter'!AE13)</f>
        <v>0</v>
      </c>
      <c r="T10" s="231">
        <f>-('Table 5C1N-Delta Charter'!AB13+'Table 5C1N-Delta Charter'!AE13)</f>
        <v>0</v>
      </c>
      <c r="U10" s="231">
        <f>-('Table 5C1O-Impact'!AB13+'Table 5C1O-Impact'!AE13)</f>
        <v>0</v>
      </c>
      <c r="V10" s="231">
        <f>-('Table 5C1P-Vision'!AB13+'Table 5C1P-Vision'!AE13)</f>
        <v>0</v>
      </c>
      <c r="W10" s="231">
        <f>-('Table 5C1Q-Advantage'!AB13+'Table 5C1Q-Advantage'!AE13)</f>
        <v>0</v>
      </c>
      <c r="X10" s="231">
        <f>-('Table 5C1R-Iberville'!AB13+'Table 5C1R-Iberville'!AE13)</f>
        <v>0</v>
      </c>
      <c r="Y10" s="231">
        <f>-('Table 5C1S-L.C. Coll Prep'!AB13+'Table 5C1S-L.C. Coll Prep'!AE13)</f>
        <v>0</v>
      </c>
      <c r="Z10" s="231">
        <f>-('Table 5C1T-Northeast'!AB13+'Table 5C1T-Northeast'!AE13)</f>
        <v>0</v>
      </c>
      <c r="AA10" s="231">
        <f>-('Table 5C1U-Acadiana Ren'!AB13+'Table 5C1U-Acadiana Ren'!AE13)</f>
        <v>0</v>
      </c>
      <c r="AB10" s="231">
        <f>-('Table 5C1V-Laf Ren'!AB13+'Table 5C1V-Laf Ren'!AE13)</f>
        <v>0</v>
      </c>
      <c r="AC10" s="231">
        <f>-('Table 5C1W-Willow'!AB13+'Table 5C1W-Willow'!AE13)</f>
        <v>0</v>
      </c>
      <c r="AD10" s="231">
        <f>-('Table 5C2 - LA Virtual Admy'!AC13+'Table 5C2 - LA Virtual Admy'!AF13)</f>
        <v>-114458.40000000001</v>
      </c>
      <c r="AE10" s="231">
        <f>-('Table 5C3 - LA Connections EBR'!AC13+'Table 5C3 - LA Connections EBR'!AF13)</f>
        <v>-59954.400000000001</v>
      </c>
      <c r="AF10" s="231">
        <f t="shared" si="1"/>
        <v>-177052.50171591982</v>
      </c>
      <c r="AG10" s="249">
        <f t="shared" si="2"/>
        <v>6403367.4982840791</v>
      </c>
    </row>
    <row r="11" spans="1:33" ht="14.45" customHeight="1">
      <c r="A11" s="228">
        <v>8</v>
      </c>
      <c r="B11" s="229" t="s">
        <v>80</v>
      </c>
      <c r="C11" s="230">
        <f>+'Table 2_State Distrib and Adjs'!AP14</f>
        <v>117368634</v>
      </c>
      <c r="D11" s="231">
        <f>-'Table 5A3_OJJ'!T13</f>
        <v>-26779.363399377071</v>
      </c>
      <c r="E11" s="231"/>
      <c r="F11" s="231"/>
      <c r="G11" s="231">
        <f>-('Table 5C1A-Madison Prep'!AB14+'Table 5C1A-Madison Prep'!AE14)</f>
        <v>0</v>
      </c>
      <c r="H11" s="231">
        <f>-('Table 5C1B-DArbonne'!AB14+'Table 5C1B-DArbonne'!AE14)</f>
        <v>0</v>
      </c>
      <c r="I11" s="231">
        <f>-('Table 5C1C-Intl_VIBE'!AB14+'Table 5C1C-Intl_VIBE'!AE14)</f>
        <v>0</v>
      </c>
      <c r="J11" s="231">
        <f>-('Table 5C1D-NOMMA'!AB14+'Table 5C1D-NOMMA'!AE14)</f>
        <v>0</v>
      </c>
      <c r="K11" s="231">
        <f>-('Table 5C1E-LFNO'!AB14+'Table 5C1E-LFNO'!AE14)</f>
        <v>0</v>
      </c>
      <c r="L11" s="231">
        <f>-('Table 5C1F-Lake Charles Charter'!AB14+'Table 5C1F-Lake Charles Charter'!AE14)</f>
        <v>0</v>
      </c>
      <c r="M11" s="231">
        <f>-('Table 5C1G-JS Clark Academy'!AB14+'Table 5C1G-JS Clark Academy'!AE14)</f>
        <v>0</v>
      </c>
      <c r="N11" s="231">
        <f>-('Table 5C1H-Southwest LA Charter'!AB14+'Table 5C1H-Southwest LA Charter'!AE14)</f>
        <v>0</v>
      </c>
      <c r="O11" s="231">
        <f>-('Table 5C1I-LA Key Academy'!AB14+'Table 5C1I-LA Key Academy'!AE14)</f>
        <v>0</v>
      </c>
      <c r="P11" s="231">
        <f>-('Table 5C1J-Jefferson Chamber'!AB14+'Table 5C1J-Jefferson Chamber'!AE14)</f>
        <v>0</v>
      </c>
      <c r="Q11" s="231">
        <f>-('Table 5C1K-Tallulah Charter'!AB14+'Table 5C1K-Tallulah Charter'!AE14)</f>
        <v>0</v>
      </c>
      <c r="R11" s="231">
        <f>-('Table 5C1L-Northshore Charter'!AB14+'Table 5C1L-Northshore Charter'!AE14)</f>
        <v>0</v>
      </c>
      <c r="S11" s="231">
        <f>-('Table 5C1M-B.R. Charter'!AB14+'Table 5C1M-B.R. Charter'!AE14)</f>
        <v>0</v>
      </c>
      <c r="T11" s="231">
        <f>-('Table 5C1N-Delta Charter'!AB14+'Table 5C1N-Delta Charter'!AE14)</f>
        <v>0</v>
      </c>
      <c r="U11" s="231">
        <f>-('Table 5C1O-Impact'!AB14+'Table 5C1O-Impact'!AE14)</f>
        <v>0</v>
      </c>
      <c r="V11" s="231">
        <f>-('Table 5C1P-Vision'!AB14+'Table 5C1P-Vision'!AE14)</f>
        <v>0</v>
      </c>
      <c r="W11" s="231">
        <f>-('Table 5C1Q-Advantage'!AB14+'Table 5C1Q-Advantage'!AE14)</f>
        <v>0</v>
      </c>
      <c r="X11" s="231">
        <f>-('Table 5C1R-Iberville'!AB14+'Table 5C1R-Iberville'!AE14)</f>
        <v>0</v>
      </c>
      <c r="Y11" s="231">
        <f>-('Table 5C1S-L.C. Coll Prep'!AB14+'Table 5C1S-L.C. Coll Prep'!AE14)</f>
        <v>0</v>
      </c>
      <c r="Z11" s="231">
        <f>-('Table 5C1T-Northeast'!AB14+'Table 5C1T-Northeast'!AE14)</f>
        <v>0</v>
      </c>
      <c r="AA11" s="231">
        <f>-('Table 5C1U-Acadiana Ren'!AB14+'Table 5C1U-Acadiana Ren'!AE14)</f>
        <v>0</v>
      </c>
      <c r="AB11" s="231">
        <f>-('Table 5C1V-Laf Ren'!AB14+'Table 5C1V-Laf Ren'!AE14)</f>
        <v>0</v>
      </c>
      <c r="AC11" s="231">
        <f>-('Table 5C1W-Willow'!AB14+'Table 5C1W-Willow'!AE14)</f>
        <v>0</v>
      </c>
      <c r="AD11" s="231">
        <f>-('Table 5C2 - LA Virtual Admy'!AC14+'Table 5C2 - LA Virtual Admy'!AF14)</f>
        <v>-291360.59999999998</v>
      </c>
      <c r="AE11" s="231">
        <f>-('Table 5C3 - LA Connections EBR'!AC14+'Table 5C3 - LA Connections EBR'!AF14)</f>
        <v>-187435.8</v>
      </c>
      <c r="AF11" s="231">
        <f t="shared" si="1"/>
        <v>-505575.76339937706</v>
      </c>
      <c r="AG11" s="249">
        <f t="shared" si="2"/>
        <v>116863058.23660064</v>
      </c>
    </row>
    <row r="12" spans="1:33" ht="14.45" customHeight="1">
      <c r="A12" s="228">
        <v>9</v>
      </c>
      <c r="B12" s="229" t="s">
        <v>81</v>
      </c>
      <c r="C12" s="230">
        <f>+'Table 2_State Distrib and Adjs'!AP15</f>
        <v>214578739</v>
      </c>
      <c r="D12" s="231">
        <f>-'Table 5A3_OJJ'!T14</f>
        <v>-137743.88120651961</v>
      </c>
      <c r="E12" s="231">
        <f>-('Table 5B2_RSD_LA'!AJ15+'Table 5B2_RSD_LA'!AO15)</f>
        <v>-2176200</v>
      </c>
      <c r="F12" s="231"/>
      <c r="G12" s="231">
        <f>-('Table 5C1A-Madison Prep'!AB15+'Table 5C1A-Madison Prep'!AE15)</f>
        <v>0</v>
      </c>
      <c r="H12" s="231">
        <f>-('Table 5C1B-DArbonne'!AB15+'Table 5C1B-DArbonne'!AE15)</f>
        <v>0</v>
      </c>
      <c r="I12" s="231">
        <f>-('Table 5C1C-Intl_VIBE'!AB15+'Table 5C1C-Intl_VIBE'!AE15)</f>
        <v>0</v>
      </c>
      <c r="J12" s="231">
        <f>-('Table 5C1D-NOMMA'!AB15+'Table 5C1D-NOMMA'!AE15)</f>
        <v>0</v>
      </c>
      <c r="K12" s="231">
        <f>-('Table 5C1E-LFNO'!AB15+'Table 5C1E-LFNO'!AE15)</f>
        <v>0</v>
      </c>
      <c r="L12" s="231">
        <f>-('Table 5C1F-Lake Charles Charter'!AB15+'Table 5C1F-Lake Charles Charter'!AE15)</f>
        <v>0</v>
      </c>
      <c r="M12" s="231">
        <f>-('Table 5C1G-JS Clark Academy'!AB15+'Table 5C1G-JS Clark Academy'!AE15)</f>
        <v>0</v>
      </c>
      <c r="N12" s="231">
        <f>-('Table 5C1H-Southwest LA Charter'!AB15+'Table 5C1H-Southwest LA Charter'!AE15)</f>
        <v>0</v>
      </c>
      <c r="O12" s="231">
        <f>-('Table 5C1I-LA Key Academy'!AB15+'Table 5C1I-LA Key Academy'!AE15)</f>
        <v>0</v>
      </c>
      <c r="P12" s="231">
        <f>-('Table 5C1J-Jefferson Chamber'!AB15+'Table 5C1J-Jefferson Chamber'!AE15)</f>
        <v>0</v>
      </c>
      <c r="Q12" s="231">
        <f>-('Table 5C1K-Tallulah Charter'!AB15+'Table 5C1K-Tallulah Charter'!AE15)</f>
        <v>0</v>
      </c>
      <c r="R12" s="231">
        <f>-('Table 5C1L-Northshore Charter'!AB15+'Table 5C1L-Northshore Charter'!AE15)</f>
        <v>0</v>
      </c>
      <c r="S12" s="231">
        <f>-('Table 5C1M-B.R. Charter'!AB15+'Table 5C1M-B.R. Charter'!AE15)</f>
        <v>0</v>
      </c>
      <c r="T12" s="231">
        <f>-('Table 5C1N-Delta Charter'!AB15+'Table 5C1N-Delta Charter'!AE15)</f>
        <v>0</v>
      </c>
      <c r="U12" s="231">
        <f>-('Table 5C1O-Impact'!AB15+'Table 5C1O-Impact'!AE15)</f>
        <v>0</v>
      </c>
      <c r="V12" s="231">
        <f>-('Table 5C1P-Vision'!AB15+'Table 5C1P-Vision'!AE15)</f>
        <v>0</v>
      </c>
      <c r="W12" s="231">
        <f>-('Table 5C1Q-Advantage'!AB15+'Table 5C1Q-Advantage'!AE15)</f>
        <v>0</v>
      </c>
      <c r="X12" s="231">
        <f>-('Table 5C1R-Iberville'!AB15+'Table 5C1R-Iberville'!AE15)</f>
        <v>0</v>
      </c>
      <c r="Y12" s="231">
        <f>-('Table 5C1S-L.C. Coll Prep'!AB15+'Table 5C1S-L.C. Coll Prep'!AE15)</f>
        <v>0</v>
      </c>
      <c r="Z12" s="231">
        <f>-('Table 5C1T-Northeast'!AB15+'Table 5C1T-Northeast'!AE15)</f>
        <v>0</v>
      </c>
      <c r="AA12" s="231">
        <f>-('Table 5C1U-Acadiana Ren'!AB15+'Table 5C1U-Acadiana Ren'!AE15)</f>
        <v>0</v>
      </c>
      <c r="AB12" s="231">
        <f>-('Table 5C1V-Laf Ren'!AB15+'Table 5C1V-Laf Ren'!AE15)</f>
        <v>0</v>
      </c>
      <c r="AC12" s="231">
        <f>-('Table 5C1W-Willow'!AB15+'Table 5C1W-Willow'!AE15)</f>
        <v>0</v>
      </c>
      <c r="AD12" s="231">
        <f>-('Table 5C2 - LA Virtual Admy'!AC15+'Table 5C2 - LA Virtual Admy'!AF15)</f>
        <v>-388159.20000000007</v>
      </c>
      <c r="AE12" s="231">
        <f>-('Table 5C3 - LA Connections EBR'!AC15+'Table 5C3 - LA Connections EBR'!AF15)</f>
        <v>-478582.65000000008</v>
      </c>
      <c r="AF12" s="231">
        <f t="shared" si="1"/>
        <v>-3180685.7312065195</v>
      </c>
      <c r="AG12" s="249">
        <f t="shared" si="2"/>
        <v>211398053.26879349</v>
      </c>
    </row>
    <row r="13" spans="1:33" ht="14.45" customHeight="1">
      <c r="A13" s="3">
        <v>10</v>
      </c>
      <c r="B13" s="7" t="s">
        <v>82</v>
      </c>
      <c r="C13" s="9">
        <f>+'Table 2_State Distrib and Adjs'!AP16</f>
        <v>154180915</v>
      </c>
      <c r="D13" s="10">
        <f>-'Table 5A3_OJJ'!T15</f>
        <v>-36391.496734271896</v>
      </c>
      <c r="E13" s="10"/>
      <c r="F13" s="10"/>
      <c r="G13" s="10">
        <f>-('Table 5C1A-Madison Prep'!AB16+'Table 5C1A-Madison Prep'!AE16)</f>
        <v>0</v>
      </c>
      <c r="H13" s="10">
        <f>-('Table 5C1B-DArbonne'!AB16+'Table 5C1B-DArbonne'!AE16)</f>
        <v>0</v>
      </c>
      <c r="I13" s="10">
        <f>-('Table 5C1C-Intl_VIBE'!AB16+'Table 5C1C-Intl_VIBE'!AE16)</f>
        <v>0</v>
      </c>
      <c r="J13" s="10">
        <f>-('Table 5C1D-NOMMA'!AB16+'Table 5C1D-NOMMA'!AE16)</f>
        <v>0</v>
      </c>
      <c r="K13" s="10">
        <f>-('Table 5C1E-LFNO'!AB16+'Table 5C1E-LFNO'!AE16)</f>
        <v>0</v>
      </c>
      <c r="L13" s="10">
        <f>-('Table 5C1F-Lake Charles Charter'!AB16+'Table 5C1F-Lake Charles Charter'!AE16)</f>
        <v>-3970030.5</v>
      </c>
      <c r="M13" s="10">
        <f>-('Table 5C1G-JS Clark Academy'!AB16+'Table 5C1G-JS Clark Academy'!AE16)</f>
        <v>0</v>
      </c>
      <c r="N13" s="10">
        <f>-('Table 5C1H-Southwest LA Charter'!AB16+'Table 5C1H-Southwest LA Charter'!AE16)</f>
        <v>-4030077.5</v>
      </c>
      <c r="O13" s="10">
        <f>-('Table 5C1I-LA Key Academy'!AB16+'Table 5C1I-LA Key Academy'!AE16)</f>
        <v>0</v>
      </c>
      <c r="P13" s="10">
        <f>-('Table 5C1J-Jefferson Chamber'!AB16+'Table 5C1J-Jefferson Chamber'!AE16)</f>
        <v>0</v>
      </c>
      <c r="Q13" s="10">
        <f>-('Table 5C1K-Tallulah Charter'!AB16+'Table 5C1K-Tallulah Charter'!AE16)</f>
        <v>0</v>
      </c>
      <c r="R13" s="10">
        <f>-('Table 5C1L-Northshore Charter'!AB16+'Table 5C1L-Northshore Charter'!AE16)</f>
        <v>0</v>
      </c>
      <c r="S13" s="10">
        <f>-('Table 5C1M-B.R. Charter'!AB16+'Table 5C1M-B.R. Charter'!AE16)</f>
        <v>0</v>
      </c>
      <c r="T13" s="10">
        <f>-('Table 5C1N-Delta Charter'!AB16+'Table 5C1N-Delta Charter'!AE16)</f>
        <v>0</v>
      </c>
      <c r="U13" s="10">
        <f>-('Table 5C1O-Impact'!AB16+'Table 5C1O-Impact'!AE16)</f>
        <v>0</v>
      </c>
      <c r="V13" s="10">
        <f>-('Table 5C1P-Vision'!AB16+'Table 5C1P-Vision'!AE16)</f>
        <v>0</v>
      </c>
      <c r="W13" s="10">
        <f>-('Table 5C1Q-Advantage'!AB16+'Table 5C1Q-Advantage'!AE16)</f>
        <v>0</v>
      </c>
      <c r="X13" s="10">
        <f>-('Table 5C1R-Iberville'!AB16+'Table 5C1R-Iberville'!AE16)</f>
        <v>0</v>
      </c>
      <c r="Y13" s="10">
        <f>-('Table 5C1S-L.C. Coll Prep'!AB16+'Table 5C1S-L.C. Coll Prep'!AE16)</f>
        <v>-471138</v>
      </c>
      <c r="Z13" s="10">
        <f>-('Table 5C1T-Northeast'!AB16+'Table 5C1T-Northeast'!AE16)</f>
        <v>0</v>
      </c>
      <c r="AA13" s="10">
        <f>-('Table 5C1U-Acadiana Ren'!AB16+'Table 5C1U-Acadiana Ren'!AE16)</f>
        <v>0</v>
      </c>
      <c r="AB13" s="10">
        <f>-('Table 5C1V-Laf Ren'!AB16+'Table 5C1V-Laf Ren'!AE16)</f>
        <v>-23095</v>
      </c>
      <c r="AC13" s="10">
        <f>-('Table 5C1W-Willow'!AB16+'Table 5C1W-Willow'!AE16)</f>
        <v>0</v>
      </c>
      <c r="AD13" s="10">
        <f>-('Table 5C2 - LA Virtual Admy'!AC16+'Table 5C2 - LA Virtual Admy'!AF16)</f>
        <v>-259818.75000000003</v>
      </c>
      <c r="AE13" s="10">
        <f>-('Table 5C3 - LA Connections EBR'!AC16+'Table 5C3 - LA Connections EBR'!AF16)</f>
        <v>-282682.80000000005</v>
      </c>
      <c r="AF13" s="10">
        <f t="shared" si="1"/>
        <v>-9073234.0467342734</v>
      </c>
      <c r="AG13" s="15">
        <f t="shared" si="2"/>
        <v>145107680.95326573</v>
      </c>
    </row>
    <row r="14" spans="1:33" ht="14.45" customHeight="1">
      <c r="A14" s="240">
        <v>11</v>
      </c>
      <c r="B14" s="241" t="s">
        <v>83</v>
      </c>
      <c r="C14" s="242">
        <f>+'Table 2_State Distrib and Adjs'!AP17</f>
        <v>12477000</v>
      </c>
      <c r="D14" s="243">
        <f>-'Table 5A3_OJJ'!T16</f>
        <v>0</v>
      </c>
      <c r="E14" s="243"/>
      <c r="F14" s="243"/>
      <c r="G14" s="243">
        <f>-('Table 5C1A-Madison Prep'!AB17+'Table 5C1A-Madison Prep'!AE17)</f>
        <v>0</v>
      </c>
      <c r="H14" s="243">
        <f>-('Table 5C1B-DArbonne'!AB17+'Table 5C1B-DArbonne'!AE17)</f>
        <v>0</v>
      </c>
      <c r="I14" s="243">
        <f>-('Table 5C1C-Intl_VIBE'!AB17+'Table 5C1C-Intl_VIBE'!AE17)</f>
        <v>0</v>
      </c>
      <c r="J14" s="243">
        <f>-('Table 5C1D-NOMMA'!AB17+'Table 5C1D-NOMMA'!AE17)</f>
        <v>0</v>
      </c>
      <c r="K14" s="243">
        <f>-('Table 5C1E-LFNO'!AB17+'Table 5C1E-LFNO'!AE17)</f>
        <v>0</v>
      </c>
      <c r="L14" s="243">
        <f>-('Table 5C1F-Lake Charles Charter'!AB17+'Table 5C1F-Lake Charles Charter'!AE17)</f>
        <v>0</v>
      </c>
      <c r="M14" s="243">
        <f>-('Table 5C1G-JS Clark Academy'!AB17+'Table 5C1G-JS Clark Academy'!AE17)</f>
        <v>0</v>
      </c>
      <c r="N14" s="243">
        <f>-('Table 5C1H-Southwest LA Charter'!AB17+'Table 5C1H-Southwest LA Charter'!AE17)</f>
        <v>0</v>
      </c>
      <c r="O14" s="243">
        <f>-('Table 5C1I-LA Key Academy'!AB17+'Table 5C1I-LA Key Academy'!AE17)</f>
        <v>0</v>
      </c>
      <c r="P14" s="243">
        <f>-('Table 5C1J-Jefferson Chamber'!AB17+'Table 5C1J-Jefferson Chamber'!AE17)</f>
        <v>0</v>
      </c>
      <c r="Q14" s="243">
        <f>-('Table 5C1K-Tallulah Charter'!AB17+'Table 5C1K-Tallulah Charter'!AE17)</f>
        <v>0</v>
      </c>
      <c r="R14" s="243">
        <f>-('Table 5C1L-Northshore Charter'!AB17+'Table 5C1L-Northshore Charter'!AE17)</f>
        <v>0</v>
      </c>
      <c r="S14" s="243">
        <f>-('Table 5C1M-B.R. Charter'!AB17+'Table 5C1M-B.R. Charter'!AE17)</f>
        <v>0</v>
      </c>
      <c r="T14" s="243">
        <f>-('Table 5C1N-Delta Charter'!AB17+'Table 5C1N-Delta Charter'!AE17)</f>
        <v>0</v>
      </c>
      <c r="U14" s="243">
        <f>-('Table 5C1O-Impact'!AB17+'Table 5C1O-Impact'!AE17)</f>
        <v>0</v>
      </c>
      <c r="V14" s="243">
        <f>-('Table 5C1P-Vision'!AB17+'Table 5C1P-Vision'!AE17)</f>
        <v>0</v>
      </c>
      <c r="W14" s="243">
        <f>-('Table 5C1Q-Advantage'!AB17+'Table 5C1Q-Advantage'!AE17)</f>
        <v>0</v>
      </c>
      <c r="X14" s="243">
        <f>-('Table 5C1R-Iberville'!AB17+'Table 5C1R-Iberville'!AE17)</f>
        <v>0</v>
      </c>
      <c r="Y14" s="243">
        <f>-('Table 5C1S-L.C. Coll Prep'!AB17+'Table 5C1S-L.C. Coll Prep'!AE17)</f>
        <v>0</v>
      </c>
      <c r="Z14" s="243">
        <f>-('Table 5C1T-Northeast'!AB17+'Table 5C1T-Northeast'!AE17)</f>
        <v>0</v>
      </c>
      <c r="AA14" s="243">
        <f>-('Table 5C1U-Acadiana Ren'!AB17+'Table 5C1U-Acadiana Ren'!AE17)</f>
        <v>0</v>
      </c>
      <c r="AB14" s="243">
        <f>-('Table 5C1V-Laf Ren'!AB17+'Table 5C1V-Laf Ren'!AE17)</f>
        <v>0</v>
      </c>
      <c r="AC14" s="243">
        <f>-('Table 5C1W-Willow'!AB17+'Table 5C1W-Willow'!AE17)</f>
        <v>0</v>
      </c>
      <c r="AD14" s="243">
        <f>-('Table 5C2 - LA Virtual Admy'!AC17+'Table 5C2 - LA Virtual Admy'!AF17)</f>
        <v>-8055</v>
      </c>
      <c r="AE14" s="243">
        <f>-('Table 5C3 - LA Connections EBR'!AC17+'Table 5C3 - LA Connections EBR'!AF17)</f>
        <v>-6444</v>
      </c>
      <c r="AF14" s="243">
        <f t="shared" si="1"/>
        <v>-14499</v>
      </c>
      <c r="AG14" s="244">
        <f t="shared" si="2"/>
        <v>12462501</v>
      </c>
    </row>
    <row r="15" spans="1:33" ht="14.45" customHeight="1">
      <c r="A15" s="228">
        <v>12</v>
      </c>
      <c r="B15" s="229" t="s">
        <v>84</v>
      </c>
      <c r="C15" s="230">
        <f>+'Table 2_State Distrib and Adjs'!AP18</f>
        <v>3466757</v>
      </c>
      <c r="D15" s="231">
        <f>-'Table 5A3_OJJ'!T17</f>
        <v>0</v>
      </c>
      <c r="E15" s="231"/>
      <c r="F15" s="231"/>
      <c r="G15" s="231">
        <f>-('Table 5C1A-Madison Prep'!AB18+'Table 5C1A-Madison Prep'!AE18)</f>
        <v>0</v>
      </c>
      <c r="H15" s="231">
        <f>-('Table 5C1B-DArbonne'!AB18+'Table 5C1B-DArbonne'!AE18)</f>
        <v>0</v>
      </c>
      <c r="I15" s="231">
        <f>-('Table 5C1C-Intl_VIBE'!AB18+'Table 5C1C-Intl_VIBE'!AE18)</f>
        <v>0</v>
      </c>
      <c r="J15" s="231">
        <f>-('Table 5C1D-NOMMA'!AB18+'Table 5C1D-NOMMA'!AE18)</f>
        <v>0</v>
      </c>
      <c r="K15" s="231">
        <f>-('Table 5C1E-LFNO'!AB18+'Table 5C1E-LFNO'!AE18)</f>
        <v>0</v>
      </c>
      <c r="L15" s="231">
        <f>-('Table 5C1F-Lake Charles Charter'!AB18+'Table 5C1F-Lake Charles Charter'!AE18)</f>
        <v>0</v>
      </c>
      <c r="M15" s="231">
        <f>-('Table 5C1G-JS Clark Academy'!AB18+'Table 5C1G-JS Clark Academy'!AE18)</f>
        <v>0</v>
      </c>
      <c r="N15" s="231">
        <f>-('Table 5C1H-Southwest LA Charter'!AB18+'Table 5C1H-Southwest LA Charter'!AE18)</f>
        <v>0</v>
      </c>
      <c r="O15" s="231">
        <f>-('Table 5C1I-LA Key Academy'!AB18+'Table 5C1I-LA Key Academy'!AE18)</f>
        <v>0</v>
      </c>
      <c r="P15" s="231">
        <f>-('Table 5C1J-Jefferson Chamber'!AB18+'Table 5C1J-Jefferson Chamber'!AE18)</f>
        <v>0</v>
      </c>
      <c r="Q15" s="231">
        <f>-('Table 5C1K-Tallulah Charter'!AB18+'Table 5C1K-Tallulah Charter'!AE18)</f>
        <v>0</v>
      </c>
      <c r="R15" s="231">
        <f>-('Table 5C1L-Northshore Charter'!AB18+'Table 5C1L-Northshore Charter'!AE18)</f>
        <v>0</v>
      </c>
      <c r="S15" s="231">
        <f>-('Table 5C1M-B.R. Charter'!AB18+'Table 5C1M-B.R. Charter'!AE18)</f>
        <v>0</v>
      </c>
      <c r="T15" s="231">
        <f>-('Table 5C1N-Delta Charter'!AB18+'Table 5C1N-Delta Charter'!AE18)</f>
        <v>0</v>
      </c>
      <c r="U15" s="231">
        <f>-('Table 5C1O-Impact'!AB18+'Table 5C1O-Impact'!AE18)</f>
        <v>0</v>
      </c>
      <c r="V15" s="231">
        <f>-('Table 5C1P-Vision'!AB18+'Table 5C1P-Vision'!AE18)</f>
        <v>0</v>
      </c>
      <c r="W15" s="231">
        <f>-('Table 5C1Q-Advantage'!AB18+'Table 5C1Q-Advantage'!AE18)</f>
        <v>0</v>
      </c>
      <c r="X15" s="231">
        <f>-('Table 5C1R-Iberville'!AB18+'Table 5C1R-Iberville'!AE18)</f>
        <v>0</v>
      </c>
      <c r="Y15" s="231">
        <f>-('Table 5C1S-L.C. Coll Prep'!AB18+'Table 5C1S-L.C. Coll Prep'!AE18)</f>
        <v>0</v>
      </c>
      <c r="Z15" s="231">
        <f>-('Table 5C1T-Northeast'!AB18+'Table 5C1T-Northeast'!AE18)</f>
        <v>0</v>
      </c>
      <c r="AA15" s="231">
        <f>-('Table 5C1U-Acadiana Ren'!AB18+'Table 5C1U-Acadiana Ren'!AE18)</f>
        <v>0</v>
      </c>
      <c r="AB15" s="231">
        <f>-('Table 5C1V-Laf Ren'!AB18+'Table 5C1V-Laf Ren'!AE18)</f>
        <v>0</v>
      </c>
      <c r="AC15" s="231">
        <f>-('Table 5C1W-Willow'!AB18+'Table 5C1W-Willow'!AE18)</f>
        <v>0</v>
      </c>
      <c r="AD15" s="231">
        <f>-('Table 5C2 - LA Virtual Admy'!AC18+'Table 5C2 - LA Virtual Admy'!AF18)</f>
        <v>-10926.900000000001</v>
      </c>
      <c r="AE15" s="231">
        <f>-('Table 5C3 - LA Connections EBR'!AC18+'Table 5C3 - LA Connections EBR'!AF18)</f>
        <v>-10926.900000000001</v>
      </c>
      <c r="AF15" s="231">
        <f t="shared" si="1"/>
        <v>-21853.800000000003</v>
      </c>
      <c r="AG15" s="249">
        <f t="shared" si="2"/>
        <v>3444903.2</v>
      </c>
    </row>
    <row r="16" spans="1:33" ht="14.45" customHeight="1">
      <c r="A16" s="228">
        <v>13</v>
      </c>
      <c r="B16" s="229" t="s">
        <v>85</v>
      </c>
      <c r="C16" s="230">
        <f>+'Table 2_State Distrib and Adjs'!AP19</f>
        <v>10287636</v>
      </c>
      <c r="D16" s="231">
        <f>-'Table 5A3_OJJ'!T18</f>
        <v>0</v>
      </c>
      <c r="E16" s="231"/>
      <c r="F16" s="231"/>
      <c r="G16" s="231">
        <f>-('Table 5C1A-Madison Prep'!AB19+'Table 5C1A-Madison Prep'!AE19)</f>
        <v>0</v>
      </c>
      <c r="H16" s="231">
        <f>-('Table 5C1B-DArbonne'!AB19+'Table 5C1B-DArbonne'!AE19)</f>
        <v>0</v>
      </c>
      <c r="I16" s="231">
        <f>-('Table 5C1C-Intl_VIBE'!AB19+'Table 5C1C-Intl_VIBE'!AE19)</f>
        <v>0</v>
      </c>
      <c r="J16" s="231">
        <f>-('Table 5C1D-NOMMA'!AB19+'Table 5C1D-NOMMA'!AE19)</f>
        <v>0</v>
      </c>
      <c r="K16" s="231">
        <f>-('Table 5C1E-LFNO'!AB19+'Table 5C1E-LFNO'!AE19)</f>
        <v>0</v>
      </c>
      <c r="L16" s="231">
        <f>-('Table 5C1F-Lake Charles Charter'!AB19+'Table 5C1F-Lake Charles Charter'!AE19)</f>
        <v>0</v>
      </c>
      <c r="M16" s="231">
        <f>-('Table 5C1G-JS Clark Academy'!AB19+'Table 5C1G-JS Clark Academy'!AE19)</f>
        <v>0</v>
      </c>
      <c r="N16" s="231">
        <f>-('Table 5C1H-Southwest LA Charter'!AB19+'Table 5C1H-Southwest LA Charter'!AE19)</f>
        <v>0</v>
      </c>
      <c r="O16" s="231">
        <f>-('Table 5C1I-LA Key Academy'!AB19+'Table 5C1I-LA Key Academy'!AE19)</f>
        <v>0</v>
      </c>
      <c r="P16" s="231">
        <f>-('Table 5C1J-Jefferson Chamber'!AB19+'Table 5C1J-Jefferson Chamber'!AE19)</f>
        <v>0</v>
      </c>
      <c r="Q16" s="231">
        <f>-('Table 5C1K-Tallulah Charter'!AB19+'Table 5C1K-Tallulah Charter'!AE19)</f>
        <v>0</v>
      </c>
      <c r="R16" s="231">
        <f>-('Table 5C1L-Northshore Charter'!AB19+'Table 5C1L-Northshore Charter'!AE19)</f>
        <v>0</v>
      </c>
      <c r="S16" s="231">
        <f>-('Table 5C1M-B.R. Charter'!AB19+'Table 5C1M-B.R. Charter'!AE19)</f>
        <v>0</v>
      </c>
      <c r="T16" s="231">
        <f>-('Table 5C1N-Delta Charter'!AB19+'Table 5C1N-Delta Charter'!AE19)</f>
        <v>-157434</v>
      </c>
      <c r="U16" s="231">
        <f>-('Table 5C1O-Impact'!AB19+'Table 5C1O-Impact'!AE19)</f>
        <v>0</v>
      </c>
      <c r="V16" s="231">
        <f>-('Table 5C1P-Vision'!AB19+'Table 5C1P-Vision'!AE19)</f>
        <v>0</v>
      </c>
      <c r="W16" s="231">
        <f>-('Table 5C1Q-Advantage'!AB19+'Table 5C1Q-Advantage'!AE19)</f>
        <v>0</v>
      </c>
      <c r="X16" s="231">
        <f>-('Table 5C1R-Iberville'!AB19+'Table 5C1R-Iberville'!AE19)</f>
        <v>0</v>
      </c>
      <c r="Y16" s="231">
        <f>-('Table 5C1S-L.C. Coll Prep'!AB19+'Table 5C1S-L.C. Coll Prep'!AE19)</f>
        <v>0</v>
      </c>
      <c r="Z16" s="231">
        <f>-('Table 5C1T-Northeast'!AB19+'Table 5C1T-Northeast'!AE19)</f>
        <v>0</v>
      </c>
      <c r="AA16" s="231">
        <f>-('Table 5C1U-Acadiana Ren'!AB19+'Table 5C1U-Acadiana Ren'!AE19)</f>
        <v>0</v>
      </c>
      <c r="AB16" s="231">
        <f>-('Table 5C1V-Laf Ren'!AB19+'Table 5C1V-Laf Ren'!AE19)</f>
        <v>0</v>
      </c>
      <c r="AC16" s="231">
        <f>-('Table 5C1W-Willow'!AB19+'Table 5C1W-Willow'!AE19)</f>
        <v>0</v>
      </c>
      <c r="AD16" s="231">
        <f>-('Table 5C2 - LA Virtual Admy'!AC19+'Table 5C2 - LA Virtual Admy'!AF19)</f>
        <v>-11186.100000000002</v>
      </c>
      <c r="AE16" s="231">
        <f>-('Table 5C3 - LA Connections EBR'!AC19+'Table 5C3 - LA Connections EBR'!AF19)</f>
        <v>-9943.2000000000007</v>
      </c>
      <c r="AF16" s="231">
        <f t="shared" si="1"/>
        <v>-178563.30000000002</v>
      </c>
      <c r="AG16" s="249">
        <f t="shared" si="2"/>
        <v>10109072.700000001</v>
      </c>
    </row>
    <row r="17" spans="1:33" ht="14.45" customHeight="1">
      <c r="A17" s="228">
        <v>14</v>
      </c>
      <c r="B17" s="229" t="s">
        <v>86</v>
      </c>
      <c r="C17" s="230">
        <f>+'Table 2_State Distrib and Adjs'!AP20</f>
        <v>10223110</v>
      </c>
      <c r="D17" s="231">
        <f>-'Table 5A3_OJJ'!T19</f>
        <v>-4564.4559785841757</v>
      </c>
      <c r="E17" s="231"/>
      <c r="F17" s="231"/>
      <c r="G17" s="231">
        <f>-('Table 5C1A-Madison Prep'!AB20+'Table 5C1A-Madison Prep'!AE20)</f>
        <v>0</v>
      </c>
      <c r="H17" s="231">
        <f>-('Table 5C1B-DArbonne'!AB20+'Table 5C1B-DArbonne'!AE20)</f>
        <v>-12513</v>
      </c>
      <c r="I17" s="231">
        <f>-('Table 5C1C-Intl_VIBE'!AB20+'Table 5C1C-Intl_VIBE'!AE20)</f>
        <v>0</v>
      </c>
      <c r="J17" s="231">
        <f>-('Table 5C1D-NOMMA'!AB20+'Table 5C1D-NOMMA'!AE20)</f>
        <v>0</v>
      </c>
      <c r="K17" s="231">
        <f>-('Table 5C1E-LFNO'!AB20+'Table 5C1E-LFNO'!AE20)</f>
        <v>0</v>
      </c>
      <c r="L17" s="231">
        <f>-('Table 5C1F-Lake Charles Charter'!AB20+'Table 5C1F-Lake Charles Charter'!AE20)</f>
        <v>0</v>
      </c>
      <c r="M17" s="231">
        <f>-('Table 5C1G-JS Clark Academy'!AB20+'Table 5C1G-JS Clark Academy'!AE20)</f>
        <v>0</v>
      </c>
      <c r="N17" s="231">
        <f>-('Table 5C1H-Southwest LA Charter'!AB20+'Table 5C1H-Southwest LA Charter'!AE20)</f>
        <v>0</v>
      </c>
      <c r="O17" s="231">
        <f>-('Table 5C1I-LA Key Academy'!AB20+'Table 5C1I-LA Key Academy'!AE20)</f>
        <v>0</v>
      </c>
      <c r="P17" s="231">
        <f>-('Table 5C1J-Jefferson Chamber'!AB20+'Table 5C1J-Jefferson Chamber'!AE20)</f>
        <v>0</v>
      </c>
      <c r="Q17" s="231">
        <f>-('Table 5C1K-Tallulah Charter'!AB20+'Table 5C1K-Tallulah Charter'!AE20)</f>
        <v>0</v>
      </c>
      <c r="R17" s="231">
        <f>-('Table 5C1L-Northshore Charter'!AB20+'Table 5C1L-Northshore Charter'!AE20)</f>
        <v>0</v>
      </c>
      <c r="S17" s="231">
        <f>-('Table 5C1M-B.R. Charter'!AB20+'Table 5C1M-B.R. Charter'!AE20)</f>
        <v>0</v>
      </c>
      <c r="T17" s="231">
        <f>-('Table 5C1N-Delta Charter'!AB20+'Table 5C1N-Delta Charter'!AE20)</f>
        <v>0</v>
      </c>
      <c r="U17" s="231">
        <f>-('Table 5C1O-Impact'!AB20+'Table 5C1O-Impact'!AE20)</f>
        <v>0</v>
      </c>
      <c r="V17" s="231">
        <f>-('Table 5C1P-Vision'!AB20+'Table 5C1P-Vision'!AE20)</f>
        <v>0</v>
      </c>
      <c r="W17" s="231">
        <f>-('Table 5C1Q-Advantage'!AB20+'Table 5C1Q-Advantage'!AE20)</f>
        <v>0</v>
      </c>
      <c r="X17" s="231">
        <f>-('Table 5C1R-Iberville'!AB20+'Table 5C1R-Iberville'!AE20)</f>
        <v>0</v>
      </c>
      <c r="Y17" s="231">
        <f>-('Table 5C1S-L.C. Coll Prep'!AB20+'Table 5C1S-L.C. Coll Prep'!AE20)</f>
        <v>0</v>
      </c>
      <c r="Z17" s="231">
        <f>-('Table 5C1T-Northeast'!AB20+'Table 5C1T-Northeast'!AE20)</f>
        <v>-335765.5</v>
      </c>
      <c r="AA17" s="231">
        <f>-('Table 5C1U-Acadiana Ren'!AB20+'Table 5C1U-Acadiana Ren'!AE20)</f>
        <v>0</v>
      </c>
      <c r="AB17" s="231">
        <f>-('Table 5C1V-Laf Ren'!AB20+'Table 5C1V-Laf Ren'!AE20)</f>
        <v>0</v>
      </c>
      <c r="AC17" s="231">
        <f>-('Table 5C1W-Willow'!AB20+'Table 5C1W-Willow'!AE20)</f>
        <v>0</v>
      </c>
      <c r="AD17" s="231">
        <f>-('Table 5C2 - LA Virtual Admy'!AC20+'Table 5C2 - LA Virtual Admy'!AF20)</f>
        <v>-5630.85</v>
      </c>
      <c r="AE17" s="231">
        <f>-('Table 5C3 - LA Connections EBR'!AC20+'Table 5C3 - LA Connections EBR'!AF20)</f>
        <v>-84462.75</v>
      </c>
      <c r="AF17" s="231">
        <f t="shared" si="1"/>
        <v>-442936.55597858416</v>
      </c>
      <c r="AG17" s="249">
        <f t="shared" si="2"/>
        <v>9780173.4440214168</v>
      </c>
    </row>
    <row r="18" spans="1:33" ht="14.45" customHeight="1">
      <c r="A18" s="3">
        <v>15</v>
      </c>
      <c r="B18" s="7" t="s">
        <v>87</v>
      </c>
      <c r="C18" s="9">
        <f>+'Table 2_State Distrib and Adjs'!AP21</f>
        <v>21319378</v>
      </c>
      <c r="D18" s="10">
        <f>-'Table 5A3_OJJ'!T20</f>
        <v>0</v>
      </c>
      <c r="E18" s="10"/>
      <c r="F18" s="10"/>
      <c r="G18" s="10">
        <f>-('Table 5C1A-Madison Prep'!AB21+'Table 5C1A-Madison Prep'!AE21)</f>
        <v>0</v>
      </c>
      <c r="H18" s="10">
        <f>-('Table 5C1B-DArbonne'!AB21+'Table 5C1B-DArbonne'!AE21)</f>
        <v>0</v>
      </c>
      <c r="I18" s="10">
        <f>-('Table 5C1C-Intl_VIBE'!AB21+'Table 5C1C-Intl_VIBE'!AE21)</f>
        <v>0</v>
      </c>
      <c r="J18" s="10">
        <f>-('Table 5C1D-NOMMA'!AB21+'Table 5C1D-NOMMA'!AE21)</f>
        <v>0</v>
      </c>
      <c r="K18" s="10">
        <f>-('Table 5C1E-LFNO'!AB21+'Table 5C1E-LFNO'!AE21)</f>
        <v>0</v>
      </c>
      <c r="L18" s="10">
        <f>-('Table 5C1F-Lake Charles Charter'!AB21+'Table 5C1F-Lake Charles Charter'!AE21)</f>
        <v>0</v>
      </c>
      <c r="M18" s="10">
        <f>-('Table 5C1G-JS Clark Academy'!AB21+'Table 5C1G-JS Clark Academy'!AE21)</f>
        <v>0</v>
      </c>
      <c r="N18" s="10">
        <f>-('Table 5C1H-Southwest LA Charter'!AB21+'Table 5C1H-Southwest LA Charter'!AE21)</f>
        <v>0</v>
      </c>
      <c r="O18" s="10">
        <f>-('Table 5C1I-LA Key Academy'!AB21+'Table 5C1I-LA Key Academy'!AE21)</f>
        <v>0</v>
      </c>
      <c r="P18" s="10">
        <f>-('Table 5C1J-Jefferson Chamber'!AB21+'Table 5C1J-Jefferson Chamber'!AE21)</f>
        <v>0</v>
      </c>
      <c r="Q18" s="10">
        <f>-('Table 5C1K-Tallulah Charter'!AB21+'Table 5C1K-Tallulah Charter'!AE21)</f>
        <v>0</v>
      </c>
      <c r="R18" s="10">
        <f>-('Table 5C1L-Northshore Charter'!AB21+'Table 5C1L-Northshore Charter'!AE21)</f>
        <v>0</v>
      </c>
      <c r="S18" s="10">
        <f>-('Table 5C1M-B.R. Charter'!AB21+'Table 5C1M-B.R. Charter'!AE21)</f>
        <v>0</v>
      </c>
      <c r="T18" s="10">
        <f>-('Table 5C1N-Delta Charter'!AB21+'Table 5C1N-Delta Charter'!AE21)</f>
        <v>-869760</v>
      </c>
      <c r="U18" s="10">
        <f>-('Table 5C1O-Impact'!AB21+'Table 5C1O-Impact'!AE21)</f>
        <v>0</v>
      </c>
      <c r="V18" s="10">
        <f>-('Table 5C1P-Vision'!AB21+'Table 5C1P-Vision'!AE21)</f>
        <v>0</v>
      </c>
      <c r="W18" s="10">
        <f>-('Table 5C1Q-Advantage'!AB21+'Table 5C1Q-Advantage'!AE21)</f>
        <v>0</v>
      </c>
      <c r="X18" s="10">
        <f>-('Table 5C1R-Iberville'!AB21+'Table 5C1R-Iberville'!AE21)</f>
        <v>0</v>
      </c>
      <c r="Y18" s="10">
        <f>-('Table 5C1S-L.C. Coll Prep'!AB21+'Table 5C1S-L.C. Coll Prep'!AE21)</f>
        <v>0</v>
      </c>
      <c r="Z18" s="10">
        <f>-('Table 5C1T-Northeast'!AB21+'Table 5C1T-Northeast'!AE21)</f>
        <v>0</v>
      </c>
      <c r="AA18" s="10">
        <f>-('Table 5C1U-Acadiana Ren'!AB21+'Table 5C1U-Acadiana Ren'!AE21)</f>
        <v>0</v>
      </c>
      <c r="AB18" s="10">
        <f>-('Table 5C1V-Laf Ren'!AB21+'Table 5C1V-Laf Ren'!AE21)</f>
        <v>0</v>
      </c>
      <c r="AC18" s="10">
        <f>-('Table 5C1W-Willow'!AB21+'Table 5C1W-Willow'!AE21)</f>
        <v>0</v>
      </c>
      <c r="AD18" s="10">
        <f>-('Table 5C2 - LA Virtual Admy'!AC21+'Table 5C2 - LA Virtual Admy'!AF21)</f>
        <v>-54432</v>
      </c>
      <c r="AE18" s="10">
        <f>-('Table 5C3 - LA Connections EBR'!AC21+'Table 5C3 - LA Connections EBR'!AF21)</f>
        <v>-14256</v>
      </c>
      <c r="AF18" s="10">
        <f t="shared" si="1"/>
        <v>-938448</v>
      </c>
      <c r="AG18" s="15">
        <f t="shared" si="2"/>
        <v>20380930</v>
      </c>
    </row>
    <row r="19" spans="1:33" ht="14.45" customHeight="1">
      <c r="A19" s="240">
        <v>16</v>
      </c>
      <c r="B19" s="241" t="s">
        <v>88</v>
      </c>
      <c r="C19" s="242">
        <f>+'Table 2_State Distrib and Adjs'!AP22</f>
        <v>13157834</v>
      </c>
      <c r="D19" s="243">
        <f>-'Table 5A3_OJJ'!T21</f>
        <v>-10199.606252059803</v>
      </c>
      <c r="E19" s="243"/>
      <c r="F19" s="243"/>
      <c r="G19" s="243">
        <f>-('Table 5C1A-Madison Prep'!AB22+'Table 5C1A-Madison Prep'!AE22)</f>
        <v>0</v>
      </c>
      <c r="H19" s="243">
        <f>-('Table 5C1B-DArbonne'!AB22+'Table 5C1B-DArbonne'!AE22)</f>
        <v>0</v>
      </c>
      <c r="I19" s="243">
        <f>-('Table 5C1C-Intl_VIBE'!AB22+'Table 5C1C-Intl_VIBE'!AE22)</f>
        <v>0</v>
      </c>
      <c r="J19" s="243">
        <f>-('Table 5C1D-NOMMA'!AB22+'Table 5C1D-NOMMA'!AE22)</f>
        <v>0</v>
      </c>
      <c r="K19" s="243">
        <f>-('Table 5C1E-LFNO'!AB22+'Table 5C1E-LFNO'!AE22)</f>
        <v>0</v>
      </c>
      <c r="L19" s="243">
        <f>-('Table 5C1F-Lake Charles Charter'!AB22+'Table 5C1F-Lake Charles Charter'!AE22)</f>
        <v>0</v>
      </c>
      <c r="M19" s="243">
        <f>-('Table 5C1G-JS Clark Academy'!AB22+'Table 5C1G-JS Clark Academy'!AE22)</f>
        <v>0</v>
      </c>
      <c r="N19" s="243">
        <f>-('Table 5C1H-Southwest LA Charter'!AB22+'Table 5C1H-Southwest LA Charter'!AE22)</f>
        <v>0</v>
      </c>
      <c r="O19" s="243">
        <f>-('Table 5C1I-LA Key Academy'!AB22+'Table 5C1I-LA Key Academy'!AE22)</f>
        <v>0</v>
      </c>
      <c r="P19" s="243">
        <f>-('Table 5C1J-Jefferson Chamber'!AB22+'Table 5C1J-Jefferson Chamber'!AE22)</f>
        <v>0</v>
      </c>
      <c r="Q19" s="243">
        <f>-('Table 5C1K-Tallulah Charter'!AB22+'Table 5C1K-Tallulah Charter'!AE22)</f>
        <v>0</v>
      </c>
      <c r="R19" s="243">
        <f>-('Table 5C1L-Northshore Charter'!AB22+'Table 5C1L-Northshore Charter'!AE22)</f>
        <v>0</v>
      </c>
      <c r="S19" s="243">
        <f>-('Table 5C1M-B.R. Charter'!AB22+'Table 5C1M-B.R. Charter'!AE22)</f>
        <v>0</v>
      </c>
      <c r="T19" s="243">
        <f>-('Table 5C1N-Delta Charter'!AB22+'Table 5C1N-Delta Charter'!AE22)</f>
        <v>0</v>
      </c>
      <c r="U19" s="243">
        <f>-('Table 5C1O-Impact'!AB22+'Table 5C1O-Impact'!AE22)</f>
        <v>0</v>
      </c>
      <c r="V19" s="243">
        <f>-('Table 5C1P-Vision'!AB22+'Table 5C1P-Vision'!AE22)</f>
        <v>0</v>
      </c>
      <c r="W19" s="243">
        <f>-('Table 5C1Q-Advantage'!AB22+'Table 5C1Q-Advantage'!AE22)</f>
        <v>0</v>
      </c>
      <c r="X19" s="243">
        <f>-('Table 5C1R-Iberville'!AB22+'Table 5C1R-Iberville'!AE22)</f>
        <v>0</v>
      </c>
      <c r="Y19" s="243">
        <f>-('Table 5C1S-L.C. Coll Prep'!AB22+'Table 5C1S-L.C. Coll Prep'!AE22)</f>
        <v>0</v>
      </c>
      <c r="Z19" s="243">
        <f>-('Table 5C1T-Northeast'!AB22+'Table 5C1T-Northeast'!AE22)</f>
        <v>0</v>
      </c>
      <c r="AA19" s="243">
        <f>-('Table 5C1U-Acadiana Ren'!AB22+'Table 5C1U-Acadiana Ren'!AE22)</f>
        <v>0</v>
      </c>
      <c r="AB19" s="243">
        <f>-('Table 5C1V-Laf Ren'!AB22+'Table 5C1V-Laf Ren'!AE22)</f>
        <v>0</v>
      </c>
      <c r="AC19" s="243">
        <f>-('Table 5C1W-Willow'!AB22+'Table 5C1W-Willow'!AE22)</f>
        <v>0</v>
      </c>
      <c r="AD19" s="243">
        <f>-('Table 5C2 - LA Virtual Admy'!AC22+'Table 5C2 - LA Virtual Admy'!AF22)</f>
        <v>-175783.5</v>
      </c>
      <c r="AE19" s="243">
        <f>-('Table 5C3 - LA Connections EBR'!AC22+'Table 5C3 - LA Connections EBR'!AF22)</f>
        <v>-76172.849999999991</v>
      </c>
      <c r="AF19" s="243">
        <f t="shared" si="1"/>
        <v>-262155.95625205978</v>
      </c>
      <c r="AG19" s="244">
        <f t="shared" si="2"/>
        <v>12895678.043747941</v>
      </c>
    </row>
    <row r="20" spans="1:33" ht="14.45" customHeight="1">
      <c r="A20" s="228">
        <v>17</v>
      </c>
      <c r="B20" s="229" t="s">
        <v>89</v>
      </c>
      <c r="C20" s="230">
        <f>+'Table 2_State Distrib and Adjs'!AP23</f>
        <v>169541174</v>
      </c>
      <c r="D20" s="231">
        <f>-'Table 5A3_OJJ'!T22</f>
        <v>-129864.47718522273</v>
      </c>
      <c r="E20" s="231">
        <f>-('Table 5B2_RSD_LA'!AJ12+'Table 5B2_RSD_LA'!AO12)</f>
        <v>-12525321.5</v>
      </c>
      <c r="F20" s="231"/>
      <c r="G20" s="231">
        <f>-('Table 5C1A-Madison Prep'!AB23+'Table 5C1A-Madison Prep'!AE23)</f>
        <v>-2280912</v>
      </c>
      <c r="H20" s="231">
        <f>-('Table 5C1B-DArbonne'!AB23+'Table 5C1B-DArbonne'!AE23)</f>
        <v>0</v>
      </c>
      <c r="I20" s="231">
        <f>-('Table 5C1C-Intl_VIBE'!AB23+'Table 5C1C-Intl_VIBE'!AE23)</f>
        <v>0</v>
      </c>
      <c r="J20" s="231">
        <f>-('Table 5C1D-NOMMA'!AB23+'Table 5C1D-NOMMA'!AE23)</f>
        <v>0</v>
      </c>
      <c r="K20" s="231">
        <f>-('Table 5C1E-LFNO'!AB23+'Table 5C1E-LFNO'!AE23)</f>
        <v>0</v>
      </c>
      <c r="L20" s="231">
        <f>-('Table 5C1F-Lake Charles Charter'!AB23+'Table 5C1F-Lake Charles Charter'!AE23)</f>
        <v>0</v>
      </c>
      <c r="M20" s="231">
        <f>-('Table 5C1G-JS Clark Academy'!AB23+'Table 5C1G-JS Clark Academy'!AE23)</f>
        <v>0</v>
      </c>
      <c r="N20" s="231">
        <f>-('Table 5C1H-Southwest LA Charter'!AB23+'Table 5C1H-Southwest LA Charter'!AE23)</f>
        <v>0</v>
      </c>
      <c r="O20" s="231">
        <f>-('Table 5C1I-LA Key Academy'!AB23+'Table 5C1I-LA Key Academy'!AE23)</f>
        <v>-983991</v>
      </c>
      <c r="P20" s="231">
        <f>-('Table 5C1J-Jefferson Chamber'!AB23+'Table 5C1J-Jefferson Chamber'!AE23)</f>
        <v>0</v>
      </c>
      <c r="Q20" s="231">
        <f>-('Table 5C1K-Tallulah Charter'!AB23+'Table 5C1K-Tallulah Charter'!AE23)</f>
        <v>0</v>
      </c>
      <c r="R20" s="231">
        <f>-('Table 5C1L-Northshore Charter'!AB23+'Table 5C1L-Northshore Charter'!AE23)</f>
        <v>0</v>
      </c>
      <c r="S20" s="231">
        <f>-('Table 5C1M-B.R. Charter'!AB23+'Table 5C1M-B.R. Charter'!AE23)</f>
        <v>-4141107</v>
      </c>
      <c r="T20" s="231">
        <f>-('Table 5C1N-Delta Charter'!AB23+'Table 5C1N-Delta Charter'!AE23)</f>
        <v>0</v>
      </c>
      <c r="U20" s="231">
        <f>-('Table 5C1O-Impact'!AB23+'Table 5C1O-Impact'!AE23)</f>
        <v>-458964</v>
      </c>
      <c r="V20" s="231">
        <f>-('Table 5C1P-Vision'!AB23+'Table 5C1P-Vision'!AE23)</f>
        <v>0</v>
      </c>
      <c r="W20" s="231">
        <f>-('Table 5C1Q-Advantage'!AB23+'Table 5C1Q-Advantage'!AE23)</f>
        <v>-910974</v>
      </c>
      <c r="X20" s="231">
        <f>-('Table 5C1R-Iberville'!AB23+'Table 5C1R-Iberville'!AE23)</f>
        <v>-6954</v>
      </c>
      <c r="Y20" s="231">
        <f>-('Table 5C1S-L.C. Coll Prep'!AB23+'Table 5C1S-L.C. Coll Prep'!AE23)</f>
        <v>0</v>
      </c>
      <c r="Z20" s="231">
        <f>-('Table 5C1T-Northeast'!AB23+'Table 5C1T-Northeast'!AE23)</f>
        <v>0</v>
      </c>
      <c r="AA20" s="231">
        <f>-('Table 5C1U-Acadiana Ren'!AB23+'Table 5C1U-Acadiana Ren'!AE23)</f>
        <v>0</v>
      </c>
      <c r="AB20" s="231">
        <f>-('Table 5C1V-Laf Ren'!AB23+'Table 5C1V-Laf Ren'!AE23)</f>
        <v>0</v>
      </c>
      <c r="AC20" s="231">
        <f>-('Table 5C1W-Willow'!AB23+'Table 5C1W-Willow'!AE23)</f>
        <v>-6954</v>
      </c>
      <c r="AD20" s="231">
        <f>-('Table 5C2 - LA Virtual Admy'!AC23+'Table 5C2 - LA Virtual Admy'!AF23)</f>
        <v>-628989.30000000005</v>
      </c>
      <c r="AE20" s="231">
        <f>-('Table 5C3 - LA Connections EBR'!AC23+'Table 5C3 - LA Connections EBR'!AF23)</f>
        <v>-926113.95</v>
      </c>
      <c r="AF20" s="231">
        <f t="shared" si="1"/>
        <v>-23000145.227185223</v>
      </c>
      <c r="AG20" s="249">
        <f t="shared" si="2"/>
        <v>146541028.77281478</v>
      </c>
    </row>
    <row r="21" spans="1:33" ht="14.45" customHeight="1">
      <c r="A21" s="228">
        <v>18</v>
      </c>
      <c r="B21" s="229" t="s">
        <v>90</v>
      </c>
      <c r="C21" s="230">
        <f>+'Table 2_State Distrib and Adjs'!AP24</f>
        <v>7511906</v>
      </c>
      <c r="D21" s="231">
        <f>-'Table 5A3_OJJ'!T23</f>
        <v>-2127.9557483576818</v>
      </c>
      <c r="E21" s="231"/>
      <c r="F21" s="231"/>
      <c r="G21" s="231">
        <f>-('Table 5C1A-Madison Prep'!AB24+'Table 5C1A-Madison Prep'!AE24)</f>
        <v>0</v>
      </c>
      <c r="H21" s="231">
        <f>-('Table 5C1B-DArbonne'!AB24+'Table 5C1B-DArbonne'!AE24)</f>
        <v>0</v>
      </c>
      <c r="I21" s="231">
        <f>-('Table 5C1C-Intl_VIBE'!AB24+'Table 5C1C-Intl_VIBE'!AE24)</f>
        <v>0</v>
      </c>
      <c r="J21" s="231">
        <f>-('Table 5C1D-NOMMA'!AB24+'Table 5C1D-NOMMA'!AE24)</f>
        <v>0</v>
      </c>
      <c r="K21" s="231">
        <f>-('Table 5C1E-LFNO'!AB24+'Table 5C1E-LFNO'!AE24)</f>
        <v>0</v>
      </c>
      <c r="L21" s="231">
        <f>-('Table 5C1F-Lake Charles Charter'!AB24+'Table 5C1F-Lake Charles Charter'!AE24)</f>
        <v>0</v>
      </c>
      <c r="M21" s="231">
        <f>-('Table 5C1G-JS Clark Academy'!AB24+'Table 5C1G-JS Clark Academy'!AE24)</f>
        <v>0</v>
      </c>
      <c r="N21" s="231">
        <f>-('Table 5C1H-Southwest LA Charter'!AB24+'Table 5C1H-Southwest LA Charter'!AE24)</f>
        <v>0</v>
      </c>
      <c r="O21" s="231">
        <f>-('Table 5C1I-LA Key Academy'!AB24+'Table 5C1I-LA Key Academy'!AE24)</f>
        <v>0</v>
      </c>
      <c r="P21" s="231">
        <f>-('Table 5C1J-Jefferson Chamber'!AB24+'Table 5C1J-Jefferson Chamber'!AE24)</f>
        <v>0</v>
      </c>
      <c r="Q21" s="231">
        <f>-('Table 5C1K-Tallulah Charter'!AB24+'Table 5C1K-Tallulah Charter'!AE24)</f>
        <v>0</v>
      </c>
      <c r="R21" s="231">
        <f>-('Table 5C1L-Northshore Charter'!AB24+'Table 5C1L-Northshore Charter'!AE24)</f>
        <v>0</v>
      </c>
      <c r="S21" s="231">
        <f>-('Table 5C1M-B.R. Charter'!AB24+'Table 5C1M-B.R. Charter'!AE24)</f>
        <v>0</v>
      </c>
      <c r="T21" s="231">
        <f>-('Table 5C1N-Delta Charter'!AB24+'Table 5C1N-Delta Charter'!AE24)</f>
        <v>0</v>
      </c>
      <c r="U21" s="231">
        <f>-('Table 5C1O-Impact'!AB24+'Table 5C1O-Impact'!AE24)</f>
        <v>0</v>
      </c>
      <c r="V21" s="231">
        <f>-('Table 5C1P-Vision'!AB24+'Table 5C1P-Vision'!AE24)</f>
        <v>0</v>
      </c>
      <c r="W21" s="231">
        <f>-('Table 5C1Q-Advantage'!AB24+'Table 5C1Q-Advantage'!AE24)</f>
        <v>0</v>
      </c>
      <c r="X21" s="231">
        <f>-('Table 5C1R-Iberville'!AB24+'Table 5C1R-Iberville'!AE24)</f>
        <v>0</v>
      </c>
      <c r="Y21" s="231">
        <f>-('Table 5C1S-L.C. Coll Prep'!AB24+'Table 5C1S-L.C. Coll Prep'!AE24)</f>
        <v>0</v>
      </c>
      <c r="Z21" s="231">
        <f>-('Table 5C1T-Northeast'!AB24+'Table 5C1T-Northeast'!AE24)</f>
        <v>0</v>
      </c>
      <c r="AA21" s="231">
        <f>-('Table 5C1U-Acadiana Ren'!AB24+'Table 5C1U-Acadiana Ren'!AE24)</f>
        <v>0</v>
      </c>
      <c r="AB21" s="231">
        <f>-('Table 5C1V-Laf Ren'!AB24+'Table 5C1V-Laf Ren'!AE24)</f>
        <v>0</v>
      </c>
      <c r="AC21" s="231">
        <f>-('Table 5C1W-Willow'!AB24+'Table 5C1W-Willow'!AE24)</f>
        <v>0</v>
      </c>
      <c r="AD21" s="231">
        <f>-('Table 5C2 - LA Virtual Admy'!AC24+'Table 5C2 - LA Virtual Admy'!AF24)</f>
        <v>-10989</v>
      </c>
      <c r="AE21" s="231">
        <f>-('Table 5C3 - LA Connections EBR'!AC24+'Table 5C3 - LA Connections EBR'!AF24)</f>
        <v>-6593.4000000000005</v>
      </c>
      <c r="AF21" s="231">
        <f t="shared" si="1"/>
        <v>-19710.355748357684</v>
      </c>
      <c r="AG21" s="249">
        <f t="shared" si="2"/>
        <v>7492195.6442516418</v>
      </c>
    </row>
    <row r="22" spans="1:33" ht="14.45" customHeight="1">
      <c r="A22" s="228">
        <v>19</v>
      </c>
      <c r="B22" s="229" t="s">
        <v>91</v>
      </c>
      <c r="C22" s="230">
        <f>+'Table 2_State Distrib and Adjs'!AP25</f>
        <v>11855332</v>
      </c>
      <c r="D22" s="231">
        <f>-'Table 5A3_OJJ'!T24</f>
        <v>-2600.0678010471206</v>
      </c>
      <c r="E22" s="231"/>
      <c r="F22" s="231"/>
      <c r="G22" s="231">
        <f>-('Table 5C1A-Madison Prep'!AB25+'Table 5C1A-Madison Prep'!AE25)</f>
        <v>0</v>
      </c>
      <c r="H22" s="231">
        <f>-('Table 5C1B-DArbonne'!AB25+'Table 5C1B-DArbonne'!AE25)</f>
        <v>0</v>
      </c>
      <c r="I22" s="231">
        <f>-('Table 5C1C-Intl_VIBE'!AB25+'Table 5C1C-Intl_VIBE'!AE25)</f>
        <v>0</v>
      </c>
      <c r="J22" s="231">
        <f>-('Table 5C1D-NOMMA'!AB25+'Table 5C1D-NOMMA'!AE25)</f>
        <v>0</v>
      </c>
      <c r="K22" s="231">
        <f>-('Table 5C1E-LFNO'!AB25+'Table 5C1E-LFNO'!AE25)</f>
        <v>0</v>
      </c>
      <c r="L22" s="231">
        <f>-('Table 5C1F-Lake Charles Charter'!AB25+'Table 5C1F-Lake Charles Charter'!AE25)</f>
        <v>0</v>
      </c>
      <c r="M22" s="231">
        <f>-('Table 5C1G-JS Clark Academy'!AB25+'Table 5C1G-JS Clark Academy'!AE25)</f>
        <v>0</v>
      </c>
      <c r="N22" s="231">
        <f>-('Table 5C1H-Southwest LA Charter'!AB25+'Table 5C1H-Southwest LA Charter'!AE25)</f>
        <v>0</v>
      </c>
      <c r="O22" s="231">
        <f>-('Table 5C1I-LA Key Academy'!AB25+'Table 5C1I-LA Key Academy'!AE25)</f>
        <v>-6102</v>
      </c>
      <c r="P22" s="231">
        <f>-('Table 5C1J-Jefferson Chamber'!AB25+'Table 5C1J-Jefferson Chamber'!AE25)</f>
        <v>0</v>
      </c>
      <c r="Q22" s="231">
        <f>-('Table 5C1K-Tallulah Charter'!AB25+'Table 5C1K-Tallulah Charter'!AE25)</f>
        <v>0</v>
      </c>
      <c r="R22" s="231">
        <f>-('Table 5C1L-Northshore Charter'!AB25+'Table 5C1L-Northshore Charter'!AE25)</f>
        <v>0</v>
      </c>
      <c r="S22" s="231">
        <f>-('Table 5C1M-B.R. Charter'!AB25+'Table 5C1M-B.R. Charter'!AE25)</f>
        <v>-6102</v>
      </c>
      <c r="T22" s="231">
        <f>-('Table 5C1N-Delta Charter'!AB25+'Table 5C1N-Delta Charter'!AE25)</f>
        <v>0</v>
      </c>
      <c r="U22" s="231">
        <f>-('Table 5C1O-Impact'!AB25+'Table 5C1O-Impact'!AE25)</f>
        <v>-3051</v>
      </c>
      <c r="V22" s="231">
        <f>-('Table 5C1P-Vision'!AB25+'Table 5C1P-Vision'!AE25)</f>
        <v>0</v>
      </c>
      <c r="W22" s="231">
        <f>-('Table 5C1Q-Advantage'!AB25+'Table 5C1Q-Advantage'!AE25)</f>
        <v>-25933.5</v>
      </c>
      <c r="X22" s="231">
        <f>-('Table 5C1R-Iberville'!AB25+'Table 5C1R-Iberville'!AE25)</f>
        <v>0</v>
      </c>
      <c r="Y22" s="231">
        <f>-('Table 5C1S-L.C. Coll Prep'!AB25+'Table 5C1S-L.C. Coll Prep'!AE25)</f>
        <v>0</v>
      </c>
      <c r="Z22" s="231">
        <f>-('Table 5C1T-Northeast'!AB25+'Table 5C1T-Northeast'!AE25)</f>
        <v>0</v>
      </c>
      <c r="AA22" s="231">
        <f>-('Table 5C1U-Acadiana Ren'!AB25+'Table 5C1U-Acadiana Ren'!AE25)</f>
        <v>0</v>
      </c>
      <c r="AB22" s="231">
        <f>-('Table 5C1V-Laf Ren'!AB25+'Table 5C1V-Laf Ren'!AE25)</f>
        <v>0</v>
      </c>
      <c r="AC22" s="231">
        <f>-('Table 5C1W-Willow'!AB25+'Table 5C1W-Willow'!AE25)</f>
        <v>0</v>
      </c>
      <c r="AD22" s="231">
        <f>-('Table 5C2 - LA Virtual Admy'!AC25+'Table 5C2 - LA Virtual Admy'!AF25)</f>
        <v>-38442.6</v>
      </c>
      <c r="AE22" s="231">
        <f>-('Table 5C3 - LA Connections EBR'!AC25+'Table 5C3 - LA Connections EBR'!AF25)</f>
        <v>-26086.050000000003</v>
      </c>
      <c r="AF22" s="231">
        <f t="shared" si="1"/>
        <v>-108317.21780104713</v>
      </c>
      <c r="AG22" s="249">
        <f t="shared" si="2"/>
        <v>11747014.782198953</v>
      </c>
    </row>
    <row r="23" spans="1:33" ht="14.45" customHeight="1">
      <c r="A23" s="3">
        <v>20</v>
      </c>
      <c r="B23" s="7" t="s">
        <v>92</v>
      </c>
      <c r="C23" s="9">
        <f>+'Table 2_State Distrib and Adjs'!AP26</f>
        <v>34667988</v>
      </c>
      <c r="D23" s="10">
        <f>-'Table 5A3_OJJ'!T25</f>
        <v>-10285.622251838628</v>
      </c>
      <c r="E23" s="10"/>
      <c r="F23" s="10"/>
      <c r="G23" s="10">
        <f>-('Table 5C1A-Madison Prep'!AB26+'Table 5C1A-Madison Prep'!AE26)</f>
        <v>0</v>
      </c>
      <c r="H23" s="10">
        <f>-('Table 5C1B-DArbonne'!AB26+'Table 5C1B-DArbonne'!AE26)</f>
        <v>0</v>
      </c>
      <c r="I23" s="10">
        <f>-('Table 5C1C-Intl_VIBE'!AB26+'Table 5C1C-Intl_VIBE'!AE26)</f>
        <v>0</v>
      </c>
      <c r="J23" s="10">
        <f>-('Table 5C1D-NOMMA'!AB26+'Table 5C1D-NOMMA'!AE26)</f>
        <v>0</v>
      </c>
      <c r="K23" s="10">
        <f>-('Table 5C1E-LFNO'!AB26+'Table 5C1E-LFNO'!AE26)</f>
        <v>0</v>
      </c>
      <c r="L23" s="10">
        <f>-('Table 5C1F-Lake Charles Charter'!AB26+'Table 5C1F-Lake Charles Charter'!AE26)</f>
        <v>0</v>
      </c>
      <c r="M23" s="10">
        <f>-('Table 5C1G-JS Clark Academy'!AB26+'Table 5C1G-JS Clark Academy'!AE26)</f>
        <v>0</v>
      </c>
      <c r="N23" s="10">
        <f>-('Table 5C1H-Southwest LA Charter'!AB26+'Table 5C1H-Southwest LA Charter'!AE26)</f>
        <v>0</v>
      </c>
      <c r="O23" s="10">
        <f>-('Table 5C1I-LA Key Academy'!AB26+'Table 5C1I-LA Key Academy'!AE26)</f>
        <v>0</v>
      </c>
      <c r="P23" s="10">
        <f>-('Table 5C1J-Jefferson Chamber'!AB26+'Table 5C1J-Jefferson Chamber'!AE26)</f>
        <v>0</v>
      </c>
      <c r="Q23" s="10">
        <f>-('Table 5C1K-Tallulah Charter'!AB26+'Table 5C1K-Tallulah Charter'!AE26)</f>
        <v>0</v>
      </c>
      <c r="R23" s="10">
        <f>-('Table 5C1L-Northshore Charter'!AB26+'Table 5C1L-Northshore Charter'!AE26)</f>
        <v>0</v>
      </c>
      <c r="S23" s="10">
        <f>-('Table 5C1M-B.R. Charter'!AB26+'Table 5C1M-B.R. Charter'!AE26)</f>
        <v>0</v>
      </c>
      <c r="T23" s="10">
        <f>-('Table 5C1N-Delta Charter'!AB26+'Table 5C1N-Delta Charter'!AE26)</f>
        <v>0</v>
      </c>
      <c r="U23" s="10">
        <f>-('Table 5C1O-Impact'!AB26+'Table 5C1O-Impact'!AE26)</f>
        <v>0</v>
      </c>
      <c r="V23" s="10">
        <f>-('Table 5C1P-Vision'!AB26+'Table 5C1P-Vision'!AE26)</f>
        <v>0</v>
      </c>
      <c r="W23" s="10">
        <f>-('Table 5C1Q-Advantage'!AB26+'Table 5C1Q-Advantage'!AE26)</f>
        <v>0</v>
      </c>
      <c r="X23" s="10">
        <f>-('Table 5C1R-Iberville'!AB26+'Table 5C1R-Iberville'!AE26)</f>
        <v>0</v>
      </c>
      <c r="Y23" s="10">
        <f>-('Table 5C1S-L.C. Coll Prep'!AB26+'Table 5C1S-L.C. Coll Prep'!AE26)</f>
        <v>0</v>
      </c>
      <c r="Z23" s="10">
        <f>-('Table 5C1T-Northeast'!AB26+'Table 5C1T-Northeast'!AE26)</f>
        <v>0</v>
      </c>
      <c r="AA23" s="10">
        <f>-('Table 5C1U-Acadiana Ren'!AB26+'Table 5C1U-Acadiana Ren'!AE26)</f>
        <v>0</v>
      </c>
      <c r="AB23" s="10">
        <f>-('Table 5C1V-Laf Ren'!AB26+'Table 5C1V-Laf Ren'!AE26)</f>
        <v>0</v>
      </c>
      <c r="AC23" s="10">
        <f>-('Table 5C1W-Willow'!AB26+'Table 5C1W-Willow'!AE26)</f>
        <v>0</v>
      </c>
      <c r="AD23" s="10">
        <f>-('Table 5C2 - LA Virtual Admy'!AC26+'Table 5C2 - LA Virtual Admy'!AF26)</f>
        <v>-19002.599999999999</v>
      </c>
      <c r="AE23" s="10">
        <f>-('Table 5C3 - LA Connections EBR'!AC26+'Table 5C3 - LA Connections EBR'!AF26)</f>
        <v>-15649.199999999999</v>
      </c>
      <c r="AF23" s="10">
        <f t="shared" si="1"/>
        <v>-44937.422251838623</v>
      </c>
      <c r="AG23" s="15">
        <f t="shared" si="2"/>
        <v>34623050.577748157</v>
      </c>
    </row>
    <row r="24" spans="1:33" ht="14.45" customHeight="1">
      <c r="A24" s="240">
        <v>21</v>
      </c>
      <c r="B24" s="241" t="s">
        <v>93</v>
      </c>
      <c r="C24" s="242">
        <f>+'Table 2_State Distrib and Adjs'!AP27</f>
        <v>19048171</v>
      </c>
      <c r="D24" s="243">
        <f>-'Table 5A3_OJJ'!T26</f>
        <v>-5020.9668476125162</v>
      </c>
      <c r="E24" s="243"/>
      <c r="F24" s="243"/>
      <c r="G24" s="243">
        <f>-('Table 5C1A-Madison Prep'!AB27+'Table 5C1A-Madison Prep'!AE27)</f>
        <v>0</v>
      </c>
      <c r="H24" s="243">
        <f>-('Table 5C1B-DArbonne'!AB27+'Table 5C1B-DArbonne'!AE27)</f>
        <v>0</v>
      </c>
      <c r="I24" s="243">
        <f>-('Table 5C1C-Intl_VIBE'!AB27+'Table 5C1C-Intl_VIBE'!AE27)</f>
        <v>0</v>
      </c>
      <c r="J24" s="243">
        <f>-('Table 5C1D-NOMMA'!AB27+'Table 5C1D-NOMMA'!AE27)</f>
        <v>0</v>
      </c>
      <c r="K24" s="243">
        <f>-('Table 5C1E-LFNO'!AB27+'Table 5C1E-LFNO'!AE27)</f>
        <v>0</v>
      </c>
      <c r="L24" s="243">
        <f>-('Table 5C1F-Lake Charles Charter'!AB27+'Table 5C1F-Lake Charles Charter'!AE27)</f>
        <v>0</v>
      </c>
      <c r="M24" s="243">
        <f>-('Table 5C1G-JS Clark Academy'!AB27+'Table 5C1G-JS Clark Academy'!AE27)</f>
        <v>0</v>
      </c>
      <c r="N24" s="243">
        <f>-('Table 5C1H-Southwest LA Charter'!AB27+'Table 5C1H-Southwest LA Charter'!AE27)</f>
        <v>0</v>
      </c>
      <c r="O24" s="243">
        <f>-('Table 5C1I-LA Key Academy'!AB27+'Table 5C1I-LA Key Academy'!AE27)</f>
        <v>0</v>
      </c>
      <c r="P24" s="243">
        <f>-('Table 5C1J-Jefferson Chamber'!AB27+'Table 5C1J-Jefferson Chamber'!AE27)</f>
        <v>0</v>
      </c>
      <c r="Q24" s="243">
        <f>-('Table 5C1K-Tallulah Charter'!AB27+'Table 5C1K-Tallulah Charter'!AE27)</f>
        <v>0</v>
      </c>
      <c r="R24" s="243">
        <f>-('Table 5C1L-Northshore Charter'!AB27+'Table 5C1L-Northshore Charter'!AE27)</f>
        <v>0</v>
      </c>
      <c r="S24" s="243">
        <f>-('Table 5C1M-B.R. Charter'!AB27+'Table 5C1M-B.R. Charter'!AE27)</f>
        <v>0</v>
      </c>
      <c r="T24" s="243">
        <f>-('Table 5C1N-Delta Charter'!AB27+'Table 5C1N-Delta Charter'!AE27)</f>
        <v>-4974</v>
      </c>
      <c r="U24" s="243">
        <f>-('Table 5C1O-Impact'!AB27+'Table 5C1O-Impact'!AE27)</f>
        <v>0</v>
      </c>
      <c r="V24" s="243">
        <f>-('Table 5C1P-Vision'!AB27+'Table 5C1P-Vision'!AE27)</f>
        <v>-1243.5</v>
      </c>
      <c r="W24" s="243">
        <f>-('Table 5C1Q-Advantage'!AB27+'Table 5C1Q-Advantage'!AE27)</f>
        <v>0</v>
      </c>
      <c r="X24" s="243">
        <f>-('Table 5C1R-Iberville'!AB27+'Table 5C1R-Iberville'!AE27)</f>
        <v>0</v>
      </c>
      <c r="Y24" s="243">
        <f>-('Table 5C1S-L.C. Coll Prep'!AB27+'Table 5C1S-L.C. Coll Prep'!AE27)</f>
        <v>0</v>
      </c>
      <c r="Z24" s="243">
        <f>-('Table 5C1T-Northeast'!AB27+'Table 5C1T-Northeast'!AE27)</f>
        <v>0</v>
      </c>
      <c r="AA24" s="243">
        <f>-('Table 5C1U-Acadiana Ren'!AB27+'Table 5C1U-Acadiana Ren'!AE27)</f>
        <v>0</v>
      </c>
      <c r="AB24" s="243">
        <f>-('Table 5C1V-Laf Ren'!AB27+'Table 5C1V-Laf Ren'!AE27)</f>
        <v>0</v>
      </c>
      <c r="AC24" s="243">
        <f>-('Table 5C1W-Willow'!AB27+'Table 5C1W-Willow'!AE27)</f>
        <v>0</v>
      </c>
      <c r="AD24" s="243">
        <f>-('Table 5C2 - LA Virtual Admy'!AC27+'Table 5C2 - LA Virtual Admy'!AF27)</f>
        <v>-26859.599999999999</v>
      </c>
      <c r="AE24" s="243">
        <f>-('Table 5C3 - LA Connections EBR'!AC27+'Table 5C3 - LA Connections EBR'!AF27)</f>
        <v>-16787.25</v>
      </c>
      <c r="AF24" s="243">
        <f t="shared" si="1"/>
        <v>-54885.316847612514</v>
      </c>
      <c r="AG24" s="244">
        <f t="shared" si="2"/>
        <v>18993285.683152385</v>
      </c>
    </row>
    <row r="25" spans="1:33" ht="14.45" customHeight="1">
      <c r="A25" s="228">
        <v>22</v>
      </c>
      <c r="B25" s="229" t="s">
        <v>94</v>
      </c>
      <c r="C25" s="230">
        <f>+'Table 2_State Distrib and Adjs'!AP28</f>
        <v>21800941</v>
      </c>
      <c r="D25" s="231">
        <f>-'Table 5A3_OJJ'!T27</f>
        <v>-1320.1065037775948</v>
      </c>
      <c r="E25" s="231"/>
      <c r="F25" s="231"/>
      <c r="G25" s="231">
        <f>-('Table 5C1A-Madison Prep'!AB28+'Table 5C1A-Madison Prep'!AE28)</f>
        <v>0</v>
      </c>
      <c r="H25" s="231">
        <f>-('Table 5C1B-DArbonne'!AB28+'Table 5C1B-DArbonne'!AE28)</f>
        <v>0</v>
      </c>
      <c r="I25" s="231">
        <f>-('Table 5C1C-Intl_VIBE'!AB28+'Table 5C1C-Intl_VIBE'!AE28)</f>
        <v>0</v>
      </c>
      <c r="J25" s="231">
        <f>-('Table 5C1D-NOMMA'!AB28+'Table 5C1D-NOMMA'!AE28)</f>
        <v>0</v>
      </c>
      <c r="K25" s="231">
        <f>-('Table 5C1E-LFNO'!AB28+'Table 5C1E-LFNO'!AE28)</f>
        <v>0</v>
      </c>
      <c r="L25" s="231">
        <f>-('Table 5C1F-Lake Charles Charter'!AB28+'Table 5C1F-Lake Charles Charter'!AE28)</f>
        <v>0</v>
      </c>
      <c r="M25" s="231">
        <f>-('Table 5C1G-JS Clark Academy'!AB28+'Table 5C1G-JS Clark Academy'!AE28)</f>
        <v>0</v>
      </c>
      <c r="N25" s="231">
        <f>-('Table 5C1H-Southwest LA Charter'!AB28+'Table 5C1H-Southwest LA Charter'!AE28)</f>
        <v>0</v>
      </c>
      <c r="O25" s="231">
        <f>-('Table 5C1I-LA Key Academy'!AB28+'Table 5C1I-LA Key Academy'!AE28)</f>
        <v>0</v>
      </c>
      <c r="P25" s="231">
        <f>-('Table 5C1J-Jefferson Chamber'!AB28+'Table 5C1J-Jefferson Chamber'!AE28)</f>
        <v>0</v>
      </c>
      <c r="Q25" s="231">
        <f>-('Table 5C1K-Tallulah Charter'!AB28+'Table 5C1K-Tallulah Charter'!AE28)</f>
        <v>0</v>
      </c>
      <c r="R25" s="231">
        <f>-('Table 5C1L-Northshore Charter'!AB28+'Table 5C1L-Northshore Charter'!AE28)</f>
        <v>0</v>
      </c>
      <c r="S25" s="231">
        <f>-('Table 5C1M-B.R. Charter'!AB28+'Table 5C1M-B.R. Charter'!AE28)</f>
        <v>0</v>
      </c>
      <c r="T25" s="231">
        <f>-('Table 5C1N-Delta Charter'!AB28+'Table 5C1N-Delta Charter'!AE28)</f>
        <v>0</v>
      </c>
      <c r="U25" s="231">
        <f>-('Table 5C1O-Impact'!AB28+'Table 5C1O-Impact'!AE28)</f>
        <v>0</v>
      </c>
      <c r="V25" s="231">
        <f>-('Table 5C1P-Vision'!AB28+'Table 5C1P-Vision'!AE28)</f>
        <v>0</v>
      </c>
      <c r="W25" s="231">
        <f>-('Table 5C1Q-Advantage'!AB28+'Table 5C1Q-Advantage'!AE28)</f>
        <v>0</v>
      </c>
      <c r="X25" s="231">
        <f>-('Table 5C1R-Iberville'!AB28+'Table 5C1R-Iberville'!AE28)</f>
        <v>0</v>
      </c>
      <c r="Y25" s="231">
        <f>-('Table 5C1S-L.C. Coll Prep'!AB28+'Table 5C1S-L.C. Coll Prep'!AE28)</f>
        <v>0</v>
      </c>
      <c r="Z25" s="231">
        <f>-('Table 5C1T-Northeast'!AB28+'Table 5C1T-Northeast'!AE28)</f>
        <v>0</v>
      </c>
      <c r="AA25" s="231">
        <f>-('Table 5C1U-Acadiana Ren'!AB28+'Table 5C1U-Acadiana Ren'!AE28)</f>
        <v>0</v>
      </c>
      <c r="AB25" s="231">
        <f>-('Table 5C1V-Laf Ren'!AB28+'Table 5C1V-Laf Ren'!AE28)</f>
        <v>0</v>
      </c>
      <c r="AC25" s="231">
        <f>-('Table 5C1W-Willow'!AB28+'Table 5C1W-Willow'!AE28)</f>
        <v>0</v>
      </c>
      <c r="AD25" s="231">
        <f>-('Table 5C2 - LA Virtual Admy'!AC28+'Table 5C2 - LA Virtual Admy'!AF28)</f>
        <v>-15681.600000000002</v>
      </c>
      <c r="AE25" s="231">
        <f>-('Table 5C3 - LA Connections EBR'!AC28+'Table 5C3 - LA Connections EBR'!AF28)</f>
        <v>-22809.600000000002</v>
      </c>
      <c r="AF25" s="231">
        <f t="shared" si="1"/>
        <v>-39811.306503777596</v>
      </c>
      <c r="AG25" s="249">
        <f t="shared" si="2"/>
        <v>21761129.69349622</v>
      </c>
    </row>
    <row r="26" spans="1:33" ht="14.45" customHeight="1">
      <c r="A26" s="228">
        <v>23</v>
      </c>
      <c r="B26" s="229" t="s">
        <v>95</v>
      </c>
      <c r="C26" s="230">
        <f>+'Table 2_State Distrib and Adjs'!AP29</f>
        <v>77475727</v>
      </c>
      <c r="D26" s="231">
        <f>-'Table 5A3_OJJ'!T28</f>
        <v>-21659.733653801599</v>
      </c>
      <c r="E26" s="231"/>
      <c r="F26" s="231"/>
      <c r="G26" s="231">
        <f>-('Table 5C1A-Madison Prep'!AB29+'Table 5C1A-Madison Prep'!AE29)</f>
        <v>0</v>
      </c>
      <c r="H26" s="231">
        <f>-('Table 5C1B-DArbonne'!AB29+'Table 5C1B-DArbonne'!AE29)</f>
        <v>0</v>
      </c>
      <c r="I26" s="231">
        <f>-('Table 5C1C-Intl_VIBE'!AB29+'Table 5C1C-Intl_VIBE'!AE29)</f>
        <v>0</v>
      </c>
      <c r="J26" s="231">
        <f>-('Table 5C1D-NOMMA'!AB29+'Table 5C1D-NOMMA'!AE29)</f>
        <v>0</v>
      </c>
      <c r="K26" s="231">
        <f>-('Table 5C1E-LFNO'!AB29+'Table 5C1E-LFNO'!AE29)</f>
        <v>0</v>
      </c>
      <c r="L26" s="231">
        <f>-('Table 5C1F-Lake Charles Charter'!AB29+'Table 5C1F-Lake Charles Charter'!AE29)</f>
        <v>0</v>
      </c>
      <c r="M26" s="231">
        <f>-('Table 5C1G-JS Clark Academy'!AB29+'Table 5C1G-JS Clark Academy'!AE29)</f>
        <v>0</v>
      </c>
      <c r="N26" s="231">
        <f>-('Table 5C1H-Southwest LA Charter'!AB29+'Table 5C1H-Southwest LA Charter'!AE29)</f>
        <v>0</v>
      </c>
      <c r="O26" s="231">
        <f>-('Table 5C1I-LA Key Academy'!AB29+'Table 5C1I-LA Key Academy'!AE29)</f>
        <v>0</v>
      </c>
      <c r="P26" s="231">
        <f>-('Table 5C1J-Jefferson Chamber'!AB29+'Table 5C1J-Jefferson Chamber'!AE29)</f>
        <v>0</v>
      </c>
      <c r="Q26" s="231">
        <f>-('Table 5C1K-Tallulah Charter'!AB29+'Table 5C1K-Tallulah Charter'!AE29)</f>
        <v>0</v>
      </c>
      <c r="R26" s="231">
        <f>-('Table 5C1L-Northshore Charter'!AB29+'Table 5C1L-Northshore Charter'!AE29)</f>
        <v>0</v>
      </c>
      <c r="S26" s="231">
        <f>-('Table 5C1M-B.R. Charter'!AB29+'Table 5C1M-B.R. Charter'!AE29)</f>
        <v>0</v>
      </c>
      <c r="T26" s="231">
        <f>-('Table 5C1N-Delta Charter'!AB29+'Table 5C1N-Delta Charter'!AE29)</f>
        <v>0</v>
      </c>
      <c r="U26" s="231">
        <f>-('Table 5C1O-Impact'!AB29+'Table 5C1O-Impact'!AE29)</f>
        <v>0</v>
      </c>
      <c r="V26" s="231">
        <f>-('Table 5C1P-Vision'!AB29+'Table 5C1P-Vision'!AE29)</f>
        <v>0</v>
      </c>
      <c r="W26" s="231">
        <f>-('Table 5C1Q-Advantage'!AB29+'Table 5C1Q-Advantage'!AE29)</f>
        <v>0</v>
      </c>
      <c r="X26" s="231">
        <f>-('Table 5C1R-Iberville'!AB29+'Table 5C1R-Iberville'!AE29)</f>
        <v>0</v>
      </c>
      <c r="Y26" s="231">
        <f>-('Table 5C1S-L.C. Coll Prep'!AB29+'Table 5C1S-L.C. Coll Prep'!AE29)</f>
        <v>0</v>
      </c>
      <c r="Z26" s="231">
        <f>-('Table 5C1T-Northeast'!AB29+'Table 5C1T-Northeast'!AE29)</f>
        <v>0</v>
      </c>
      <c r="AA26" s="231">
        <f>-('Table 5C1U-Acadiana Ren'!AB29+'Table 5C1U-Acadiana Ren'!AE29)</f>
        <v>-70000</v>
      </c>
      <c r="AB26" s="231">
        <f>-('Table 5C1V-Laf Ren'!AB29+'Table 5C1V-Laf Ren'!AE29)</f>
        <v>-3500</v>
      </c>
      <c r="AC26" s="231">
        <f>-('Table 5C1W-Willow'!AB29+'Table 5C1W-Willow'!AE29)</f>
        <v>-14000</v>
      </c>
      <c r="AD26" s="231">
        <f>-('Table 5C2 - LA Virtual Admy'!AC29+'Table 5C2 - LA Virtual Admy'!AF29)</f>
        <v>-55125</v>
      </c>
      <c r="AE26" s="231">
        <f>-('Table 5C3 - LA Connections EBR'!AC29+'Table 5C3 - LA Connections EBR'!AF29)</f>
        <v>-80325</v>
      </c>
      <c r="AF26" s="231">
        <f t="shared" si="1"/>
        <v>-244609.73365380161</v>
      </c>
      <c r="AG26" s="249">
        <f t="shared" si="2"/>
        <v>77231117.266346201</v>
      </c>
    </row>
    <row r="27" spans="1:33" ht="14.45" customHeight="1">
      <c r="A27" s="228">
        <v>24</v>
      </c>
      <c r="B27" s="229" t="s">
        <v>96</v>
      </c>
      <c r="C27" s="230">
        <f>+'Table 2_State Distrib and Adjs'!AP30</f>
        <v>15299580</v>
      </c>
      <c r="D27" s="231">
        <f>-'Table 5A3_OJJ'!T29</f>
        <v>-12022.317740377985</v>
      </c>
      <c r="E27" s="231"/>
      <c r="F27" s="231"/>
      <c r="G27" s="231">
        <f>-('Table 5C1A-Madison Prep'!AB30+'Table 5C1A-Madison Prep'!AE30)</f>
        <v>-11051</v>
      </c>
      <c r="H27" s="231">
        <f>-('Table 5C1B-DArbonne'!AB30+'Table 5C1B-DArbonne'!AE30)</f>
        <v>0</v>
      </c>
      <c r="I27" s="231">
        <f>-('Table 5C1C-Intl_VIBE'!AB30+'Table 5C1C-Intl_VIBE'!AE30)</f>
        <v>0</v>
      </c>
      <c r="J27" s="231">
        <f>-('Table 5C1D-NOMMA'!AB30+'Table 5C1D-NOMMA'!AE30)</f>
        <v>0</v>
      </c>
      <c r="K27" s="231">
        <f>-('Table 5C1E-LFNO'!AB30+'Table 5C1E-LFNO'!AE30)</f>
        <v>0</v>
      </c>
      <c r="L27" s="231">
        <f>-('Table 5C1F-Lake Charles Charter'!AB30+'Table 5C1F-Lake Charles Charter'!AE30)</f>
        <v>0</v>
      </c>
      <c r="M27" s="231">
        <f>-('Table 5C1G-JS Clark Academy'!AB30+'Table 5C1G-JS Clark Academy'!AE30)</f>
        <v>0</v>
      </c>
      <c r="N27" s="231">
        <f>-('Table 5C1H-Southwest LA Charter'!AB30+'Table 5C1H-Southwest LA Charter'!AE30)</f>
        <v>0</v>
      </c>
      <c r="O27" s="231">
        <f>-('Table 5C1I-LA Key Academy'!AB30+'Table 5C1I-LA Key Academy'!AE30)</f>
        <v>-82882.5</v>
      </c>
      <c r="P27" s="231">
        <f>-('Table 5C1J-Jefferson Chamber'!AB30+'Table 5C1J-Jefferson Chamber'!AE30)</f>
        <v>0</v>
      </c>
      <c r="Q27" s="231">
        <f>-('Table 5C1K-Tallulah Charter'!AB30+'Table 5C1K-Tallulah Charter'!AE30)</f>
        <v>0</v>
      </c>
      <c r="R27" s="231">
        <f>-('Table 5C1L-Northshore Charter'!AB30+'Table 5C1L-Northshore Charter'!AE30)</f>
        <v>0</v>
      </c>
      <c r="S27" s="231">
        <f>-('Table 5C1M-B.R. Charter'!AB30+'Table 5C1M-B.R. Charter'!AE30)</f>
        <v>-27627.5</v>
      </c>
      <c r="T27" s="231">
        <f>-('Table 5C1N-Delta Charter'!AB30+'Table 5C1N-Delta Charter'!AE30)</f>
        <v>0</v>
      </c>
      <c r="U27" s="231">
        <f>-('Table 5C1O-Impact'!AB30+'Table 5C1O-Impact'!AE30)</f>
        <v>0</v>
      </c>
      <c r="V27" s="231">
        <f>-('Table 5C1P-Vision'!AB30+'Table 5C1P-Vision'!AE30)</f>
        <v>0</v>
      </c>
      <c r="W27" s="231">
        <f>-('Table 5C1Q-Advantage'!AB30+'Table 5C1Q-Advantage'!AE30)</f>
        <v>0</v>
      </c>
      <c r="X27" s="231">
        <f>-('Table 5C1R-Iberville'!AB30+'Table 5C1R-Iberville'!AE30)</f>
        <v>-2823530.5</v>
      </c>
      <c r="Y27" s="231">
        <f>-('Table 5C1S-L.C. Coll Prep'!AB30+'Table 5C1S-L.C. Coll Prep'!AE30)</f>
        <v>0</v>
      </c>
      <c r="Z27" s="231">
        <f>-('Table 5C1T-Northeast'!AB30+'Table 5C1T-Northeast'!AE30)</f>
        <v>0</v>
      </c>
      <c r="AA27" s="231">
        <f>-('Table 5C1U-Acadiana Ren'!AB30+'Table 5C1U-Acadiana Ren'!AE30)</f>
        <v>0</v>
      </c>
      <c r="AB27" s="231">
        <f>-('Table 5C1V-Laf Ren'!AB30+'Table 5C1V-Laf Ren'!AE30)</f>
        <v>0</v>
      </c>
      <c r="AC27" s="231">
        <f>-('Table 5C1W-Willow'!AB30+'Table 5C1W-Willow'!AE30)</f>
        <v>0</v>
      </c>
      <c r="AD27" s="231">
        <f>-('Table 5C2 - LA Virtual Admy'!AC30+'Table 5C2 - LA Virtual Admy'!AF30)</f>
        <v>-89513.1</v>
      </c>
      <c r="AE27" s="231">
        <f>-('Table 5C3 - LA Connections EBR'!AC30+'Table 5C3 - LA Connections EBR'!AF30)</f>
        <v>-29837.699999999997</v>
      </c>
      <c r="AF27" s="231">
        <f t="shared" si="1"/>
        <v>-3076464.6177403782</v>
      </c>
      <c r="AG27" s="249">
        <f t="shared" si="2"/>
        <v>12223115.382259622</v>
      </c>
    </row>
    <row r="28" spans="1:33" ht="14.45" customHeight="1">
      <c r="A28" s="3">
        <v>25</v>
      </c>
      <c r="B28" s="7" t="s">
        <v>97</v>
      </c>
      <c r="C28" s="9">
        <f>+'Table 2_State Distrib and Adjs'!AP31</f>
        <v>10947565</v>
      </c>
      <c r="D28" s="10">
        <f>-'Table 5A3_OJJ'!T30</f>
        <v>-299.5722356266516</v>
      </c>
      <c r="E28" s="10"/>
      <c r="F28" s="10"/>
      <c r="G28" s="10">
        <f>-('Table 5C1A-Madison Prep'!AB31+'Table 5C1A-Madison Prep'!AE31)</f>
        <v>0</v>
      </c>
      <c r="H28" s="10">
        <f>-('Table 5C1B-DArbonne'!AB31+'Table 5C1B-DArbonne'!AE31)</f>
        <v>0</v>
      </c>
      <c r="I28" s="10">
        <f>-('Table 5C1C-Intl_VIBE'!AB31+'Table 5C1C-Intl_VIBE'!AE31)</f>
        <v>0</v>
      </c>
      <c r="J28" s="10">
        <f>-('Table 5C1D-NOMMA'!AB31+'Table 5C1D-NOMMA'!AE31)</f>
        <v>0</v>
      </c>
      <c r="K28" s="10">
        <f>-('Table 5C1E-LFNO'!AB31+'Table 5C1E-LFNO'!AE31)</f>
        <v>0</v>
      </c>
      <c r="L28" s="10">
        <f>-('Table 5C1F-Lake Charles Charter'!AB31+'Table 5C1F-Lake Charles Charter'!AE31)</f>
        <v>0</v>
      </c>
      <c r="M28" s="10">
        <f>-('Table 5C1G-JS Clark Academy'!AB31+'Table 5C1G-JS Clark Academy'!AE31)</f>
        <v>0</v>
      </c>
      <c r="N28" s="10">
        <f>-('Table 5C1H-Southwest LA Charter'!AB31+'Table 5C1H-Southwest LA Charter'!AE31)</f>
        <v>0</v>
      </c>
      <c r="O28" s="10">
        <f>-('Table 5C1I-LA Key Academy'!AB31+'Table 5C1I-LA Key Academy'!AE31)</f>
        <v>0</v>
      </c>
      <c r="P28" s="10">
        <f>-('Table 5C1J-Jefferson Chamber'!AB31+'Table 5C1J-Jefferson Chamber'!AE31)</f>
        <v>0</v>
      </c>
      <c r="Q28" s="10">
        <f>-('Table 5C1K-Tallulah Charter'!AB31+'Table 5C1K-Tallulah Charter'!AE31)</f>
        <v>0</v>
      </c>
      <c r="R28" s="10">
        <f>-('Table 5C1L-Northshore Charter'!AB31+'Table 5C1L-Northshore Charter'!AE31)</f>
        <v>0</v>
      </c>
      <c r="S28" s="10">
        <f>-('Table 5C1M-B.R. Charter'!AB31+'Table 5C1M-B.R. Charter'!AE31)</f>
        <v>0</v>
      </c>
      <c r="T28" s="10">
        <f>-('Table 5C1N-Delta Charter'!AB31+'Table 5C1N-Delta Charter'!AE31)</f>
        <v>0</v>
      </c>
      <c r="U28" s="10">
        <f>-('Table 5C1O-Impact'!AB31+'Table 5C1O-Impact'!AE31)</f>
        <v>0</v>
      </c>
      <c r="V28" s="10">
        <f>-('Table 5C1P-Vision'!AB31+'Table 5C1P-Vision'!AE31)</f>
        <v>0</v>
      </c>
      <c r="W28" s="10">
        <f>-('Table 5C1Q-Advantage'!AB31+'Table 5C1Q-Advantage'!AE31)</f>
        <v>0</v>
      </c>
      <c r="X28" s="10">
        <f>-('Table 5C1R-Iberville'!AB31+'Table 5C1R-Iberville'!AE31)</f>
        <v>0</v>
      </c>
      <c r="Y28" s="10">
        <f>-('Table 5C1S-L.C. Coll Prep'!AB31+'Table 5C1S-L.C. Coll Prep'!AE31)</f>
        <v>0</v>
      </c>
      <c r="Z28" s="10">
        <f>-('Table 5C1T-Northeast'!AB31+'Table 5C1T-Northeast'!AE31)</f>
        <v>0</v>
      </c>
      <c r="AA28" s="10">
        <f>-('Table 5C1U-Acadiana Ren'!AB31+'Table 5C1U-Acadiana Ren'!AE31)</f>
        <v>0</v>
      </c>
      <c r="AB28" s="10">
        <f>-('Table 5C1V-Laf Ren'!AB31+'Table 5C1V-Laf Ren'!AE31)</f>
        <v>0</v>
      </c>
      <c r="AC28" s="10">
        <f>-('Table 5C1W-Willow'!AB31+'Table 5C1W-Willow'!AE31)</f>
        <v>0</v>
      </c>
      <c r="AD28" s="10">
        <f>-('Table 5C2 - LA Virtual Admy'!AC31+'Table 5C2 - LA Virtual Admy'!AF31)</f>
        <v>-11601</v>
      </c>
      <c r="AE28" s="10">
        <f>-('Table 5C3 - LA Connections EBR'!AC31+'Table 5C3 - LA Connections EBR'!AF31)</f>
        <v>-13921.2</v>
      </c>
      <c r="AF28" s="10">
        <f t="shared" si="1"/>
        <v>-25821.772235626653</v>
      </c>
      <c r="AG28" s="15">
        <f t="shared" si="2"/>
        <v>10921743.227764374</v>
      </c>
    </row>
    <row r="29" spans="1:33" ht="14.45" customHeight="1">
      <c r="A29" s="240">
        <v>26</v>
      </c>
      <c r="B29" s="241" t="s">
        <v>98</v>
      </c>
      <c r="C29" s="242">
        <f>+'Table 2_State Distrib and Adjs'!AP32</f>
        <v>196976468</v>
      </c>
      <c r="D29" s="243">
        <f>-'Table 5A3_OJJ'!T31</f>
        <v>-79002.304687186697</v>
      </c>
      <c r="E29" s="243"/>
      <c r="F29" s="243"/>
      <c r="G29" s="243">
        <f>-('Table 5C1A-Madison Prep'!AB32+'Table 5C1A-Madison Prep'!AE32)</f>
        <v>0</v>
      </c>
      <c r="H29" s="243">
        <f>-('Table 5C1B-DArbonne'!AB32+'Table 5C1B-DArbonne'!AE32)</f>
        <v>0</v>
      </c>
      <c r="I29" s="243">
        <f>-('Table 5C1C-Intl_VIBE'!AB32+'Table 5C1C-Intl_VIBE'!AE32)</f>
        <v>-394204.5</v>
      </c>
      <c r="J29" s="243">
        <f>-('Table 5C1D-NOMMA'!AB32+'Table 5C1D-NOMMA'!AE32)</f>
        <v>-1463452</v>
      </c>
      <c r="K29" s="243">
        <f>-('Table 5C1E-LFNO'!AB32+'Table 5C1E-LFNO'!AE32)</f>
        <v>-512723.5</v>
      </c>
      <c r="L29" s="243">
        <f>-('Table 5C1F-Lake Charles Charter'!AB32+'Table 5C1F-Lake Charles Charter'!AE32)</f>
        <v>0</v>
      </c>
      <c r="M29" s="243">
        <f>-('Table 5C1G-JS Clark Academy'!AB32+'Table 5C1G-JS Clark Academy'!AE32)</f>
        <v>0</v>
      </c>
      <c r="N29" s="243">
        <f>-('Table 5C1H-Southwest LA Charter'!AB32+'Table 5C1H-Southwest LA Charter'!AE32)</f>
        <v>0</v>
      </c>
      <c r="O29" s="243">
        <f>-('Table 5C1I-LA Key Academy'!AB32+'Table 5C1I-LA Key Academy'!AE32)</f>
        <v>0</v>
      </c>
      <c r="P29" s="243">
        <f>-('Table 5C1J-Jefferson Chamber'!AB32+'Table 5C1J-Jefferson Chamber'!AE32)</f>
        <v>-507570.5</v>
      </c>
      <c r="Q29" s="243">
        <f>-('Table 5C1K-Tallulah Charter'!AB32+'Table 5C1K-Tallulah Charter'!AE32)</f>
        <v>0</v>
      </c>
      <c r="R29" s="243">
        <f>-('Table 5C1L-Northshore Charter'!AB32+'Table 5C1L-Northshore Charter'!AE32)</f>
        <v>0</v>
      </c>
      <c r="S29" s="243">
        <f>-('Table 5C1M-B.R. Charter'!AB32+'Table 5C1M-B.R. Charter'!AE32)</f>
        <v>0</v>
      </c>
      <c r="T29" s="243">
        <f>-('Table 5C1N-Delta Charter'!AB32+'Table 5C1N-Delta Charter'!AE32)</f>
        <v>0</v>
      </c>
      <c r="U29" s="243">
        <f>-('Table 5C1O-Impact'!AB32+'Table 5C1O-Impact'!AE32)</f>
        <v>0</v>
      </c>
      <c r="V29" s="243">
        <f>-('Table 5C1P-Vision'!AB32+'Table 5C1P-Vision'!AE32)</f>
        <v>0</v>
      </c>
      <c r="W29" s="243">
        <f>-('Table 5C1Q-Advantage'!AB32+'Table 5C1Q-Advantage'!AE32)</f>
        <v>0</v>
      </c>
      <c r="X29" s="243">
        <f>-('Table 5C1R-Iberville'!AB32+'Table 5C1R-Iberville'!AE32)</f>
        <v>0</v>
      </c>
      <c r="Y29" s="243">
        <f>-('Table 5C1S-L.C. Coll Prep'!AB32+'Table 5C1S-L.C. Coll Prep'!AE32)</f>
        <v>0</v>
      </c>
      <c r="Z29" s="243">
        <f>-('Table 5C1T-Northeast'!AB32+'Table 5C1T-Northeast'!AE32)</f>
        <v>0</v>
      </c>
      <c r="AA29" s="243">
        <f>-('Table 5C1U-Acadiana Ren'!AB32+'Table 5C1U-Acadiana Ren'!AE32)</f>
        <v>0</v>
      </c>
      <c r="AB29" s="243">
        <f>-('Table 5C1V-Laf Ren'!AB32+'Table 5C1V-Laf Ren'!AE32)</f>
        <v>0</v>
      </c>
      <c r="AC29" s="243">
        <f>-('Table 5C1W-Willow'!AB32+'Table 5C1W-Willow'!AE32)</f>
        <v>0</v>
      </c>
      <c r="AD29" s="243">
        <f>-('Table 5C2 - LA Virtual Admy'!AC32+'Table 5C2 - LA Virtual Admy'!AF32)</f>
        <v>-783771.3</v>
      </c>
      <c r="AE29" s="243">
        <f>-('Table 5C3 - LA Connections EBR'!AC32+'Table 5C3 - LA Connections EBR'!AF32)</f>
        <v>-646959.14999999991</v>
      </c>
      <c r="AF29" s="243">
        <f t="shared" si="1"/>
        <v>-4387683.2546871863</v>
      </c>
      <c r="AG29" s="244">
        <f t="shared" si="2"/>
        <v>192588784.74531281</v>
      </c>
    </row>
    <row r="30" spans="1:33" ht="14.45" customHeight="1">
      <c r="A30" s="228">
        <v>27</v>
      </c>
      <c r="B30" s="229" t="s">
        <v>99</v>
      </c>
      <c r="C30" s="230">
        <f>+'Table 2_State Distrib and Adjs'!AP33</f>
        <v>36205851</v>
      </c>
      <c r="D30" s="231">
        <f>-'Table 5A3_OJJ'!T32</f>
        <v>-8100.4315586875618</v>
      </c>
      <c r="E30" s="231"/>
      <c r="F30" s="231"/>
      <c r="G30" s="231">
        <f>-('Table 5C1A-Madison Prep'!AB33+'Table 5C1A-Madison Prep'!AE33)</f>
        <v>0</v>
      </c>
      <c r="H30" s="231">
        <f>-('Table 5C1B-DArbonne'!AB33+'Table 5C1B-DArbonne'!AE33)</f>
        <v>0</v>
      </c>
      <c r="I30" s="231">
        <f>-('Table 5C1C-Intl_VIBE'!AB33+'Table 5C1C-Intl_VIBE'!AE33)</f>
        <v>0</v>
      </c>
      <c r="J30" s="231">
        <f>-('Table 5C1D-NOMMA'!AB33+'Table 5C1D-NOMMA'!AE33)</f>
        <v>0</v>
      </c>
      <c r="K30" s="231">
        <f>-('Table 5C1E-LFNO'!AB33+'Table 5C1E-LFNO'!AE33)</f>
        <v>0</v>
      </c>
      <c r="L30" s="231">
        <f>-('Table 5C1F-Lake Charles Charter'!AB33+'Table 5C1F-Lake Charles Charter'!AE33)</f>
        <v>0</v>
      </c>
      <c r="M30" s="231">
        <f>-('Table 5C1G-JS Clark Academy'!AB33+'Table 5C1G-JS Clark Academy'!AE33)</f>
        <v>0</v>
      </c>
      <c r="N30" s="231">
        <f>-('Table 5C1H-Southwest LA Charter'!AB33+'Table 5C1H-Southwest LA Charter'!AE33)</f>
        <v>0</v>
      </c>
      <c r="O30" s="231">
        <f>-('Table 5C1I-LA Key Academy'!AB33+'Table 5C1I-LA Key Academy'!AE33)</f>
        <v>0</v>
      </c>
      <c r="P30" s="231">
        <f>-('Table 5C1J-Jefferson Chamber'!AB33+'Table 5C1J-Jefferson Chamber'!AE33)</f>
        <v>0</v>
      </c>
      <c r="Q30" s="231">
        <f>-('Table 5C1K-Tallulah Charter'!AB33+'Table 5C1K-Tallulah Charter'!AE33)</f>
        <v>0</v>
      </c>
      <c r="R30" s="231">
        <f>-('Table 5C1L-Northshore Charter'!AB33+'Table 5C1L-Northshore Charter'!AE33)</f>
        <v>0</v>
      </c>
      <c r="S30" s="231">
        <f>-('Table 5C1M-B.R. Charter'!AB33+'Table 5C1M-B.R. Charter'!AE33)</f>
        <v>0</v>
      </c>
      <c r="T30" s="231">
        <f>-('Table 5C1N-Delta Charter'!AB33+'Table 5C1N-Delta Charter'!AE33)</f>
        <v>0</v>
      </c>
      <c r="U30" s="231">
        <f>-('Table 5C1O-Impact'!AB33+'Table 5C1O-Impact'!AE33)</f>
        <v>0</v>
      </c>
      <c r="V30" s="231">
        <f>-('Table 5C1P-Vision'!AB33+'Table 5C1P-Vision'!AE33)</f>
        <v>0</v>
      </c>
      <c r="W30" s="231">
        <f>-('Table 5C1Q-Advantage'!AB33+'Table 5C1Q-Advantage'!AE33)</f>
        <v>0</v>
      </c>
      <c r="X30" s="231">
        <f>-('Table 5C1R-Iberville'!AB33+'Table 5C1R-Iberville'!AE33)</f>
        <v>0</v>
      </c>
      <c r="Y30" s="231">
        <f>-('Table 5C1S-L.C. Coll Prep'!AB33+'Table 5C1S-L.C. Coll Prep'!AE33)</f>
        <v>0</v>
      </c>
      <c r="Z30" s="231">
        <f>-('Table 5C1T-Northeast'!AB33+'Table 5C1T-Northeast'!AE33)</f>
        <v>0</v>
      </c>
      <c r="AA30" s="231">
        <f>-('Table 5C1U-Acadiana Ren'!AB33+'Table 5C1U-Acadiana Ren'!AE33)</f>
        <v>0</v>
      </c>
      <c r="AB30" s="231">
        <f>-('Table 5C1V-Laf Ren'!AB33+'Table 5C1V-Laf Ren'!AE33)</f>
        <v>-3225</v>
      </c>
      <c r="AC30" s="231">
        <f>-('Table 5C1W-Willow'!AB33+'Table 5C1W-Willow'!AE33)</f>
        <v>0</v>
      </c>
      <c r="AD30" s="231">
        <f>-('Table 5C2 - LA Virtual Admy'!AC33+'Table 5C2 - LA Virtual Admy'!AF33)</f>
        <v>-34830</v>
      </c>
      <c r="AE30" s="231">
        <f>-('Table 5C3 - LA Connections EBR'!AC33+'Table 5C3 - LA Connections EBR'!AF33)</f>
        <v>-8707.5</v>
      </c>
      <c r="AF30" s="231">
        <f t="shared" si="1"/>
        <v>-54862.93155868756</v>
      </c>
      <c r="AG30" s="249">
        <f t="shared" si="2"/>
        <v>36150988.068441309</v>
      </c>
    </row>
    <row r="31" spans="1:33" ht="14.45" customHeight="1">
      <c r="A31" s="228">
        <v>28</v>
      </c>
      <c r="B31" s="229" t="s">
        <v>100</v>
      </c>
      <c r="C31" s="230">
        <f>+'Table 2_State Distrib and Adjs'!AP34</f>
        <v>113371466</v>
      </c>
      <c r="D31" s="231">
        <f>-'Table 5A3_OJJ'!T33</f>
        <v>-21310.065420322</v>
      </c>
      <c r="E31" s="231"/>
      <c r="F31" s="231"/>
      <c r="G31" s="231">
        <f>-('Table 5C1A-Madison Prep'!AB34+'Table 5C1A-Madison Prep'!AE34)</f>
        <v>0</v>
      </c>
      <c r="H31" s="231">
        <f>-('Table 5C1B-DArbonne'!AB34+'Table 5C1B-DArbonne'!AE34)</f>
        <v>0</v>
      </c>
      <c r="I31" s="231">
        <f>-('Table 5C1C-Intl_VIBE'!AB34+'Table 5C1C-Intl_VIBE'!AE34)</f>
        <v>0</v>
      </c>
      <c r="J31" s="231">
        <f>-('Table 5C1D-NOMMA'!AB34+'Table 5C1D-NOMMA'!AE34)</f>
        <v>0</v>
      </c>
      <c r="K31" s="231">
        <f>-('Table 5C1E-LFNO'!AB34+'Table 5C1E-LFNO'!AE34)</f>
        <v>0</v>
      </c>
      <c r="L31" s="231">
        <f>-('Table 5C1F-Lake Charles Charter'!AB34+'Table 5C1F-Lake Charles Charter'!AE34)</f>
        <v>0</v>
      </c>
      <c r="M31" s="231">
        <f>-('Table 5C1G-JS Clark Academy'!AB34+'Table 5C1G-JS Clark Academy'!AE34)</f>
        <v>-5816</v>
      </c>
      <c r="N31" s="231">
        <f>-('Table 5C1H-Southwest LA Charter'!AB34+'Table 5C1H-Southwest LA Charter'!AE34)</f>
        <v>-2908</v>
      </c>
      <c r="O31" s="231">
        <f>-('Table 5C1I-LA Key Academy'!AB34+'Table 5C1I-LA Key Academy'!AE34)</f>
        <v>0</v>
      </c>
      <c r="P31" s="231">
        <f>-('Table 5C1J-Jefferson Chamber'!AB34+'Table 5C1J-Jefferson Chamber'!AE34)</f>
        <v>0</v>
      </c>
      <c r="Q31" s="231">
        <f>-('Table 5C1K-Tallulah Charter'!AB34+'Table 5C1K-Tallulah Charter'!AE34)</f>
        <v>0</v>
      </c>
      <c r="R31" s="231">
        <f>-('Table 5C1L-Northshore Charter'!AB34+'Table 5C1L-Northshore Charter'!AE34)</f>
        <v>0</v>
      </c>
      <c r="S31" s="231">
        <f>-('Table 5C1M-B.R. Charter'!AB34+'Table 5C1M-B.R. Charter'!AE34)</f>
        <v>-5816</v>
      </c>
      <c r="T31" s="231">
        <f>-('Table 5C1N-Delta Charter'!AB34+'Table 5C1N-Delta Charter'!AE34)</f>
        <v>0</v>
      </c>
      <c r="U31" s="231">
        <f>-('Table 5C1O-Impact'!AB34+'Table 5C1O-Impact'!AE34)</f>
        <v>0</v>
      </c>
      <c r="V31" s="231">
        <f>-('Table 5C1P-Vision'!AB34+'Table 5C1P-Vision'!AE34)</f>
        <v>0</v>
      </c>
      <c r="W31" s="231">
        <f>-('Table 5C1Q-Advantage'!AB34+'Table 5C1Q-Advantage'!AE34)</f>
        <v>0</v>
      </c>
      <c r="X31" s="231">
        <f>-('Table 5C1R-Iberville'!AB34+'Table 5C1R-Iberville'!AE34)</f>
        <v>0</v>
      </c>
      <c r="Y31" s="231">
        <f>-('Table 5C1S-L.C. Coll Prep'!AB34+'Table 5C1S-L.C. Coll Prep'!AE34)</f>
        <v>0</v>
      </c>
      <c r="Z31" s="231">
        <f>-('Table 5C1T-Northeast'!AB34+'Table 5C1T-Northeast'!AE34)</f>
        <v>0</v>
      </c>
      <c r="AA31" s="231">
        <f>-('Table 5C1U-Acadiana Ren'!AB34+'Table 5C1U-Acadiana Ren'!AE34)</f>
        <v>-3661172</v>
      </c>
      <c r="AB31" s="231">
        <f>-('Table 5C1V-Laf Ren'!AB34+'Table 5C1V-Laf Ren'!AE34)</f>
        <v>-2596844</v>
      </c>
      <c r="AC31" s="231">
        <f>-('Table 5C1W-Willow'!AB34+'Table 5C1W-Willow'!AE34)</f>
        <v>-2329308</v>
      </c>
      <c r="AD31" s="231">
        <f>-('Table 5C2 - LA Virtual Admy'!AC34+'Table 5C2 - LA Virtual Admy'!AF34)</f>
        <v>-405666.00000000006</v>
      </c>
      <c r="AE31" s="231">
        <f>-('Table 5C3 - LA Connections EBR'!AC34+'Table 5C3 - LA Connections EBR'!AF34)</f>
        <v>-410900.4</v>
      </c>
      <c r="AF31" s="231">
        <f t="shared" si="1"/>
        <v>-9439740.4654203225</v>
      </c>
      <c r="AG31" s="249">
        <f t="shared" si="2"/>
        <v>103931725.53457968</v>
      </c>
    </row>
    <row r="32" spans="1:33" ht="14.45" customHeight="1">
      <c r="A32" s="228">
        <v>29</v>
      </c>
      <c r="B32" s="229" t="s">
        <v>101</v>
      </c>
      <c r="C32" s="230">
        <f>+'Table 2_State Distrib and Adjs'!AP35</f>
        <v>65307598</v>
      </c>
      <c r="D32" s="231">
        <f>-'Table 5A3_OJJ'!T34</f>
        <v>-32893.924445802644</v>
      </c>
      <c r="E32" s="231"/>
      <c r="F32" s="231"/>
      <c r="G32" s="231">
        <f>-('Table 5C1A-Madison Prep'!AB35+'Table 5C1A-Madison Prep'!AE35)</f>
        <v>0</v>
      </c>
      <c r="H32" s="231">
        <f>-('Table 5C1B-DArbonne'!AB35+'Table 5C1B-DArbonne'!AE35)</f>
        <v>0</v>
      </c>
      <c r="I32" s="231">
        <f>-('Table 5C1C-Intl_VIBE'!AB35+'Table 5C1C-Intl_VIBE'!AE35)</f>
        <v>0</v>
      </c>
      <c r="J32" s="231">
        <f>-('Table 5C1D-NOMMA'!AB35+'Table 5C1D-NOMMA'!AE35)</f>
        <v>0</v>
      </c>
      <c r="K32" s="231">
        <f>-('Table 5C1E-LFNO'!AB35+'Table 5C1E-LFNO'!AE35)</f>
        <v>0</v>
      </c>
      <c r="L32" s="231">
        <f>-('Table 5C1F-Lake Charles Charter'!AB35+'Table 5C1F-Lake Charles Charter'!AE35)</f>
        <v>0</v>
      </c>
      <c r="M32" s="231">
        <f>-('Table 5C1G-JS Clark Academy'!AB35+'Table 5C1G-JS Clark Academy'!AE35)</f>
        <v>0</v>
      </c>
      <c r="N32" s="231">
        <f>-('Table 5C1H-Southwest LA Charter'!AB35+'Table 5C1H-Southwest LA Charter'!AE35)</f>
        <v>0</v>
      </c>
      <c r="O32" s="231">
        <f>-('Table 5C1I-LA Key Academy'!AB35+'Table 5C1I-LA Key Academy'!AE35)</f>
        <v>0</v>
      </c>
      <c r="P32" s="231">
        <f>-('Table 5C1J-Jefferson Chamber'!AB35+'Table 5C1J-Jefferson Chamber'!AE35)</f>
        <v>0</v>
      </c>
      <c r="Q32" s="231">
        <f>-('Table 5C1K-Tallulah Charter'!AB35+'Table 5C1K-Tallulah Charter'!AE35)</f>
        <v>0</v>
      </c>
      <c r="R32" s="231">
        <f>-('Table 5C1L-Northshore Charter'!AB35+'Table 5C1L-Northshore Charter'!AE35)</f>
        <v>0</v>
      </c>
      <c r="S32" s="231">
        <f>-('Table 5C1M-B.R. Charter'!AB35+'Table 5C1M-B.R. Charter'!AE35)</f>
        <v>0</v>
      </c>
      <c r="T32" s="231">
        <f>-('Table 5C1N-Delta Charter'!AB35+'Table 5C1N-Delta Charter'!AE35)</f>
        <v>0</v>
      </c>
      <c r="U32" s="231">
        <f>-('Table 5C1O-Impact'!AB35+'Table 5C1O-Impact'!AE35)</f>
        <v>0</v>
      </c>
      <c r="V32" s="231">
        <f>-('Table 5C1P-Vision'!AB35+'Table 5C1P-Vision'!AE35)</f>
        <v>0</v>
      </c>
      <c r="W32" s="231">
        <f>-('Table 5C1Q-Advantage'!AB35+'Table 5C1Q-Advantage'!AE35)</f>
        <v>0</v>
      </c>
      <c r="X32" s="231">
        <f>-('Table 5C1R-Iberville'!AB35+'Table 5C1R-Iberville'!AE35)</f>
        <v>0</v>
      </c>
      <c r="Y32" s="231">
        <f>-('Table 5C1S-L.C. Coll Prep'!AB35+'Table 5C1S-L.C. Coll Prep'!AE35)</f>
        <v>0</v>
      </c>
      <c r="Z32" s="231">
        <f>-('Table 5C1T-Northeast'!AB35+'Table 5C1T-Northeast'!AE35)</f>
        <v>0</v>
      </c>
      <c r="AA32" s="231">
        <f>-('Table 5C1U-Acadiana Ren'!AB35+'Table 5C1U-Acadiana Ren'!AE35)</f>
        <v>0</v>
      </c>
      <c r="AB32" s="231">
        <f>-('Table 5C1V-Laf Ren'!AB35+'Table 5C1V-Laf Ren'!AE35)</f>
        <v>0</v>
      </c>
      <c r="AC32" s="231">
        <f>-('Table 5C1W-Willow'!AB35+'Table 5C1W-Willow'!AE35)</f>
        <v>0</v>
      </c>
      <c r="AD32" s="231">
        <f>-('Table 5C2 - LA Virtual Admy'!AC35+'Table 5C2 - LA Virtual Admy'!AF35)</f>
        <v>-165761.1</v>
      </c>
      <c r="AE32" s="231">
        <f>-('Table 5C3 - LA Connections EBR'!AC35+'Table 5C3 - LA Connections EBR'!AF35)</f>
        <v>-49955.400000000009</v>
      </c>
      <c r="AF32" s="231">
        <f t="shared" si="1"/>
        <v>-248610.42444580264</v>
      </c>
      <c r="AG32" s="249">
        <f t="shared" si="2"/>
        <v>65058987.5755542</v>
      </c>
    </row>
    <row r="33" spans="1:33" ht="14.45" customHeight="1">
      <c r="A33" s="3">
        <v>30</v>
      </c>
      <c r="B33" s="7" t="s">
        <v>102</v>
      </c>
      <c r="C33" s="9">
        <f>+'Table 2_State Distrib and Adjs'!AP36</f>
        <v>16363777</v>
      </c>
      <c r="D33" s="10">
        <f>-'Table 5A3_OJJ'!T35</f>
        <v>-1702.1372668266315</v>
      </c>
      <c r="E33" s="10"/>
      <c r="F33" s="10"/>
      <c r="G33" s="10">
        <f>-('Table 5C1A-Madison Prep'!AB36+'Table 5C1A-Madison Prep'!AE36)</f>
        <v>0</v>
      </c>
      <c r="H33" s="10">
        <f>-('Table 5C1B-DArbonne'!AB36+'Table 5C1B-DArbonne'!AE36)</f>
        <v>0</v>
      </c>
      <c r="I33" s="10">
        <f>-('Table 5C1C-Intl_VIBE'!AB36+'Table 5C1C-Intl_VIBE'!AE36)</f>
        <v>0</v>
      </c>
      <c r="J33" s="10">
        <f>-('Table 5C1D-NOMMA'!AB36+'Table 5C1D-NOMMA'!AE36)</f>
        <v>0</v>
      </c>
      <c r="K33" s="10">
        <f>-('Table 5C1E-LFNO'!AB36+'Table 5C1E-LFNO'!AE36)</f>
        <v>0</v>
      </c>
      <c r="L33" s="10">
        <f>-('Table 5C1F-Lake Charles Charter'!AB36+'Table 5C1F-Lake Charles Charter'!AE36)</f>
        <v>0</v>
      </c>
      <c r="M33" s="10">
        <f>-('Table 5C1G-JS Clark Academy'!AB36+'Table 5C1G-JS Clark Academy'!AE36)</f>
        <v>0</v>
      </c>
      <c r="N33" s="10">
        <f>-('Table 5C1H-Southwest LA Charter'!AB36+'Table 5C1H-Southwest LA Charter'!AE36)</f>
        <v>0</v>
      </c>
      <c r="O33" s="10">
        <f>-('Table 5C1I-LA Key Academy'!AB36+'Table 5C1I-LA Key Academy'!AE36)</f>
        <v>0</v>
      </c>
      <c r="P33" s="10">
        <f>-('Table 5C1J-Jefferson Chamber'!AB36+'Table 5C1J-Jefferson Chamber'!AE36)</f>
        <v>0</v>
      </c>
      <c r="Q33" s="10">
        <f>-('Table 5C1K-Tallulah Charter'!AB36+'Table 5C1K-Tallulah Charter'!AE36)</f>
        <v>0</v>
      </c>
      <c r="R33" s="10">
        <f>-('Table 5C1L-Northshore Charter'!AB36+'Table 5C1L-Northshore Charter'!AE36)</f>
        <v>0</v>
      </c>
      <c r="S33" s="10">
        <f>-('Table 5C1M-B.R. Charter'!AB36+'Table 5C1M-B.R. Charter'!AE36)</f>
        <v>0</v>
      </c>
      <c r="T33" s="10">
        <f>-('Table 5C1N-Delta Charter'!AB36+'Table 5C1N-Delta Charter'!AE36)</f>
        <v>0</v>
      </c>
      <c r="U33" s="10">
        <f>-('Table 5C1O-Impact'!AB36+'Table 5C1O-Impact'!AE36)</f>
        <v>0</v>
      </c>
      <c r="V33" s="10">
        <f>-('Table 5C1P-Vision'!AB36+'Table 5C1P-Vision'!AE36)</f>
        <v>0</v>
      </c>
      <c r="W33" s="10">
        <f>-('Table 5C1Q-Advantage'!AB36+'Table 5C1Q-Advantage'!AE36)</f>
        <v>0</v>
      </c>
      <c r="X33" s="10">
        <f>-('Table 5C1R-Iberville'!AB36+'Table 5C1R-Iberville'!AE36)</f>
        <v>0</v>
      </c>
      <c r="Y33" s="10">
        <f>-('Table 5C1S-L.C. Coll Prep'!AB36+'Table 5C1S-L.C. Coll Prep'!AE36)</f>
        <v>0</v>
      </c>
      <c r="Z33" s="10">
        <f>-('Table 5C1T-Northeast'!AB36+'Table 5C1T-Northeast'!AE36)</f>
        <v>0</v>
      </c>
      <c r="AA33" s="10">
        <f>-('Table 5C1U-Acadiana Ren'!AB36+'Table 5C1U-Acadiana Ren'!AE36)</f>
        <v>0</v>
      </c>
      <c r="AB33" s="10">
        <f>-('Table 5C1V-Laf Ren'!AB36+'Table 5C1V-Laf Ren'!AE36)</f>
        <v>0</v>
      </c>
      <c r="AC33" s="10">
        <f>-('Table 5C1W-Willow'!AB36+'Table 5C1W-Willow'!AE36)</f>
        <v>0</v>
      </c>
      <c r="AD33" s="10">
        <f>-('Table 5C2 - LA Virtual Admy'!AC36+'Table 5C2 - LA Virtual Admy'!AF36)</f>
        <v>-12596.85</v>
      </c>
      <c r="AE33" s="10">
        <f>-('Table 5C3 - LA Connections EBR'!AC36+'Table 5C3 - LA Connections EBR'!AF36)</f>
        <v>-46788.3</v>
      </c>
      <c r="AF33" s="10">
        <f t="shared" si="1"/>
        <v>-61087.287266826635</v>
      </c>
      <c r="AG33" s="15">
        <f t="shared" si="2"/>
        <v>16302689.712733174</v>
      </c>
    </row>
    <row r="34" spans="1:33" ht="14.45" customHeight="1">
      <c r="A34" s="240">
        <v>31</v>
      </c>
      <c r="B34" s="241" t="s">
        <v>103</v>
      </c>
      <c r="C34" s="242">
        <f>+'Table 2_State Distrib and Adjs'!AP37</f>
        <v>32942870</v>
      </c>
      <c r="D34" s="243">
        <f>-'Table 5A3_OJJ'!T36</f>
        <v>-5439.884356770538</v>
      </c>
      <c r="E34" s="243"/>
      <c r="F34" s="243"/>
      <c r="G34" s="243">
        <f>-('Table 5C1A-Madison Prep'!AB37+'Table 5C1A-Madison Prep'!AE37)</f>
        <v>0</v>
      </c>
      <c r="H34" s="243">
        <f>-('Table 5C1B-DArbonne'!AB37+'Table 5C1B-DArbonne'!AE37)</f>
        <v>-100560</v>
      </c>
      <c r="I34" s="243">
        <f>-('Table 5C1C-Intl_VIBE'!AB37+'Table 5C1C-Intl_VIBE'!AE37)</f>
        <v>0</v>
      </c>
      <c r="J34" s="243">
        <f>-('Table 5C1D-NOMMA'!AB37+'Table 5C1D-NOMMA'!AE37)</f>
        <v>0</v>
      </c>
      <c r="K34" s="243">
        <f>-('Table 5C1E-LFNO'!AB37+'Table 5C1E-LFNO'!AE37)</f>
        <v>0</v>
      </c>
      <c r="L34" s="243">
        <f>-('Table 5C1F-Lake Charles Charter'!AB37+'Table 5C1F-Lake Charles Charter'!AE37)</f>
        <v>0</v>
      </c>
      <c r="M34" s="243">
        <f>-('Table 5C1G-JS Clark Academy'!AB37+'Table 5C1G-JS Clark Academy'!AE37)</f>
        <v>0</v>
      </c>
      <c r="N34" s="243">
        <f>-('Table 5C1H-Southwest LA Charter'!AB37+'Table 5C1H-Southwest LA Charter'!AE37)</f>
        <v>0</v>
      </c>
      <c r="O34" s="243">
        <f>-('Table 5C1I-LA Key Academy'!AB37+'Table 5C1I-LA Key Academy'!AE37)</f>
        <v>0</v>
      </c>
      <c r="P34" s="243">
        <f>-('Table 5C1J-Jefferson Chamber'!AB37+'Table 5C1J-Jefferson Chamber'!AE37)</f>
        <v>0</v>
      </c>
      <c r="Q34" s="243">
        <f>-('Table 5C1K-Tallulah Charter'!AB37+'Table 5C1K-Tallulah Charter'!AE37)</f>
        <v>0</v>
      </c>
      <c r="R34" s="243">
        <f>-('Table 5C1L-Northshore Charter'!AB37+'Table 5C1L-Northshore Charter'!AE37)</f>
        <v>0</v>
      </c>
      <c r="S34" s="243">
        <f>-('Table 5C1M-B.R. Charter'!AB37+'Table 5C1M-B.R. Charter'!AE37)</f>
        <v>0</v>
      </c>
      <c r="T34" s="243">
        <f>-('Table 5C1N-Delta Charter'!AB37+'Table 5C1N-Delta Charter'!AE37)</f>
        <v>0</v>
      </c>
      <c r="U34" s="243">
        <f>-('Table 5C1O-Impact'!AB37+'Table 5C1O-Impact'!AE37)</f>
        <v>0</v>
      </c>
      <c r="V34" s="243">
        <f>-('Table 5C1P-Vision'!AB37+'Table 5C1P-Vision'!AE37)</f>
        <v>0</v>
      </c>
      <c r="W34" s="243">
        <f>-('Table 5C1Q-Advantage'!AB37+'Table 5C1Q-Advantage'!AE37)</f>
        <v>0</v>
      </c>
      <c r="X34" s="243">
        <f>-('Table 5C1R-Iberville'!AB37+'Table 5C1R-Iberville'!AE37)</f>
        <v>0</v>
      </c>
      <c r="Y34" s="243">
        <f>-('Table 5C1S-L.C. Coll Prep'!AB37+'Table 5C1S-L.C. Coll Prep'!AE37)</f>
        <v>0</v>
      </c>
      <c r="Z34" s="243">
        <f>-('Table 5C1T-Northeast'!AB37+'Table 5C1T-Northeast'!AE37)</f>
        <v>0</v>
      </c>
      <c r="AA34" s="243">
        <f>-('Table 5C1U-Acadiana Ren'!AB37+'Table 5C1U-Acadiana Ren'!AE37)</f>
        <v>0</v>
      </c>
      <c r="AB34" s="243">
        <f>-('Table 5C1V-Laf Ren'!AB37+'Table 5C1V-Laf Ren'!AE37)</f>
        <v>0</v>
      </c>
      <c r="AC34" s="243">
        <f>-('Table 5C1W-Willow'!AB37+'Table 5C1W-Willow'!AE37)</f>
        <v>0</v>
      </c>
      <c r="AD34" s="243">
        <f>-('Table 5C2 - LA Virtual Admy'!AC37+'Table 5C2 - LA Virtual Admy'!AF37)</f>
        <v>-9050.4000000000015</v>
      </c>
      <c r="AE34" s="243">
        <f>-('Table 5C3 - LA Connections EBR'!AC37+'Table 5C3 - LA Connections EBR'!AF37)</f>
        <v>-20363.399999999998</v>
      </c>
      <c r="AF34" s="243">
        <f t="shared" si="1"/>
        <v>-135413.68435677054</v>
      </c>
      <c r="AG34" s="244">
        <f t="shared" si="2"/>
        <v>32807456.315643232</v>
      </c>
    </row>
    <row r="35" spans="1:33" ht="14.45" customHeight="1">
      <c r="A35" s="228">
        <v>32</v>
      </c>
      <c r="B35" s="229" t="s">
        <v>104</v>
      </c>
      <c r="C35" s="230">
        <f>+'Table 2_State Distrib and Adjs'!AP38</f>
        <v>158080838</v>
      </c>
      <c r="D35" s="231">
        <f>-'Table 5A3_OJJ'!T37</f>
        <v>-8337.750948274499</v>
      </c>
      <c r="E35" s="231"/>
      <c r="F35" s="231"/>
      <c r="G35" s="231">
        <f>-('Table 5C1A-Madison Prep'!AB38+'Table 5C1A-Madison Prep'!AE38)</f>
        <v>0</v>
      </c>
      <c r="H35" s="231">
        <f>-('Table 5C1B-DArbonne'!AB38+'Table 5C1B-DArbonne'!AE38)</f>
        <v>0</v>
      </c>
      <c r="I35" s="231">
        <f>-('Table 5C1C-Intl_VIBE'!AB38+'Table 5C1C-Intl_VIBE'!AE38)</f>
        <v>0</v>
      </c>
      <c r="J35" s="231">
        <f>-('Table 5C1D-NOMMA'!AB38+'Table 5C1D-NOMMA'!AE38)</f>
        <v>0</v>
      </c>
      <c r="K35" s="231">
        <f>-('Table 5C1E-LFNO'!AB38+'Table 5C1E-LFNO'!AE38)</f>
        <v>0</v>
      </c>
      <c r="L35" s="231">
        <f>-('Table 5C1F-Lake Charles Charter'!AB38+'Table 5C1F-Lake Charles Charter'!AE38)</f>
        <v>0</v>
      </c>
      <c r="M35" s="231">
        <f>-('Table 5C1G-JS Clark Academy'!AB38+'Table 5C1G-JS Clark Academy'!AE38)</f>
        <v>0</v>
      </c>
      <c r="N35" s="231">
        <f>-('Table 5C1H-Southwest LA Charter'!AB38+'Table 5C1H-Southwest LA Charter'!AE38)</f>
        <v>0</v>
      </c>
      <c r="O35" s="231">
        <f>-('Table 5C1I-LA Key Academy'!AB38+'Table 5C1I-LA Key Academy'!AE38)</f>
        <v>-19251</v>
      </c>
      <c r="P35" s="231">
        <f>-('Table 5C1J-Jefferson Chamber'!AB38+'Table 5C1J-Jefferson Chamber'!AE38)</f>
        <v>0</v>
      </c>
      <c r="Q35" s="231">
        <f>-('Table 5C1K-Tallulah Charter'!AB38+'Table 5C1K-Tallulah Charter'!AE38)</f>
        <v>0</v>
      </c>
      <c r="R35" s="231">
        <f>-('Table 5C1L-Northshore Charter'!AB38+'Table 5C1L-Northshore Charter'!AE38)</f>
        <v>0</v>
      </c>
      <c r="S35" s="231">
        <f>-('Table 5C1M-B.R. Charter'!AB38+'Table 5C1M-B.R. Charter'!AE38)</f>
        <v>0</v>
      </c>
      <c r="T35" s="231">
        <f>-('Table 5C1N-Delta Charter'!AB38+'Table 5C1N-Delta Charter'!AE38)</f>
        <v>0</v>
      </c>
      <c r="U35" s="231">
        <f>-('Table 5C1O-Impact'!AB38+'Table 5C1O-Impact'!AE38)</f>
        <v>0</v>
      </c>
      <c r="V35" s="231">
        <f>-('Table 5C1P-Vision'!AB38+'Table 5C1P-Vision'!AE38)</f>
        <v>0</v>
      </c>
      <c r="W35" s="231">
        <f>-('Table 5C1Q-Advantage'!AB38+'Table 5C1Q-Advantage'!AE38)</f>
        <v>0</v>
      </c>
      <c r="X35" s="231">
        <f>-('Table 5C1R-Iberville'!AB38+'Table 5C1R-Iberville'!AE38)</f>
        <v>0</v>
      </c>
      <c r="Y35" s="231">
        <f>-('Table 5C1S-L.C. Coll Prep'!AB38+'Table 5C1S-L.C. Coll Prep'!AE38)</f>
        <v>0</v>
      </c>
      <c r="Z35" s="231">
        <f>-('Table 5C1T-Northeast'!AB38+'Table 5C1T-Northeast'!AE38)</f>
        <v>0</v>
      </c>
      <c r="AA35" s="231">
        <f>-('Table 5C1U-Acadiana Ren'!AB38+'Table 5C1U-Acadiana Ren'!AE38)</f>
        <v>0</v>
      </c>
      <c r="AB35" s="231">
        <f>-('Table 5C1V-Laf Ren'!AB38+'Table 5C1V-Laf Ren'!AE38)</f>
        <v>0</v>
      </c>
      <c r="AC35" s="231">
        <f>-('Table 5C1W-Willow'!AB38+'Table 5C1W-Willow'!AE38)</f>
        <v>0</v>
      </c>
      <c r="AD35" s="231">
        <f>-('Table 5C2 - LA Virtual Admy'!AC38+'Table 5C2 - LA Virtual Admy'!AF38)</f>
        <v>-196360.2</v>
      </c>
      <c r="AE35" s="231">
        <f>-('Table 5C3 - LA Connections EBR'!AC38+'Table 5C3 - LA Connections EBR'!AF38)</f>
        <v>-226199.25000000003</v>
      </c>
      <c r="AF35" s="231">
        <f t="shared" si="1"/>
        <v>-450148.20094827458</v>
      </c>
      <c r="AG35" s="249">
        <f t="shared" si="2"/>
        <v>157630689.79905173</v>
      </c>
    </row>
    <row r="36" spans="1:33" ht="14.45" customHeight="1">
      <c r="A36" s="228">
        <v>33</v>
      </c>
      <c r="B36" s="229" t="s">
        <v>105</v>
      </c>
      <c r="C36" s="230">
        <f>+'Table 2_State Distrib and Adjs'!AP39</f>
        <v>8267507</v>
      </c>
      <c r="D36" s="231">
        <f>-'Table 5A3_OJJ'!T38</f>
        <v>-354.57514950759457</v>
      </c>
      <c r="E36" s="231"/>
      <c r="F36" s="231"/>
      <c r="G36" s="231">
        <f>-('Table 5C1A-Madison Prep'!AB39+'Table 5C1A-Madison Prep'!AE39)</f>
        <v>0</v>
      </c>
      <c r="H36" s="231">
        <f>-('Table 5C1B-DArbonne'!AB39+'Table 5C1B-DArbonne'!AE39)</f>
        <v>0</v>
      </c>
      <c r="I36" s="231">
        <f>-('Table 5C1C-Intl_VIBE'!AB39+'Table 5C1C-Intl_VIBE'!AE39)</f>
        <v>0</v>
      </c>
      <c r="J36" s="231">
        <f>-('Table 5C1D-NOMMA'!AB39+'Table 5C1D-NOMMA'!AE39)</f>
        <v>0</v>
      </c>
      <c r="K36" s="231">
        <f>-('Table 5C1E-LFNO'!AB39+'Table 5C1E-LFNO'!AE39)</f>
        <v>0</v>
      </c>
      <c r="L36" s="231">
        <f>-('Table 5C1F-Lake Charles Charter'!AB39+'Table 5C1F-Lake Charles Charter'!AE39)</f>
        <v>0</v>
      </c>
      <c r="M36" s="231">
        <f>-('Table 5C1G-JS Clark Academy'!AB39+'Table 5C1G-JS Clark Academy'!AE39)</f>
        <v>0</v>
      </c>
      <c r="N36" s="231">
        <f>-('Table 5C1H-Southwest LA Charter'!AB39+'Table 5C1H-Southwest LA Charter'!AE39)</f>
        <v>0</v>
      </c>
      <c r="O36" s="231">
        <f>-('Table 5C1I-LA Key Academy'!AB39+'Table 5C1I-LA Key Academy'!AE39)</f>
        <v>0</v>
      </c>
      <c r="P36" s="231">
        <f>-('Table 5C1J-Jefferson Chamber'!AB39+'Table 5C1J-Jefferson Chamber'!AE39)</f>
        <v>0</v>
      </c>
      <c r="Q36" s="231">
        <f>-('Table 5C1K-Tallulah Charter'!AB39+'Table 5C1K-Tallulah Charter'!AE39)</f>
        <v>-1269532</v>
      </c>
      <c r="R36" s="231">
        <f>-('Table 5C1L-Northshore Charter'!AB39+'Table 5C1L-Northshore Charter'!AE39)</f>
        <v>0</v>
      </c>
      <c r="S36" s="231">
        <f>-('Table 5C1M-B.R. Charter'!AB39+'Table 5C1M-B.R. Charter'!AE39)</f>
        <v>0</v>
      </c>
      <c r="T36" s="231">
        <f>-('Table 5C1N-Delta Charter'!AB39+'Table 5C1N-Delta Charter'!AE39)</f>
        <v>0</v>
      </c>
      <c r="U36" s="231">
        <f>-('Table 5C1O-Impact'!AB39+'Table 5C1O-Impact'!AE39)</f>
        <v>0</v>
      </c>
      <c r="V36" s="231">
        <f>-('Table 5C1P-Vision'!AB39+'Table 5C1P-Vision'!AE39)</f>
        <v>0</v>
      </c>
      <c r="W36" s="231">
        <f>-('Table 5C1Q-Advantage'!AB39+'Table 5C1Q-Advantage'!AE39)</f>
        <v>0</v>
      </c>
      <c r="X36" s="231">
        <f>-('Table 5C1R-Iberville'!AB39+'Table 5C1R-Iberville'!AE39)</f>
        <v>0</v>
      </c>
      <c r="Y36" s="231">
        <f>-('Table 5C1S-L.C. Coll Prep'!AB39+'Table 5C1S-L.C. Coll Prep'!AE39)</f>
        <v>0</v>
      </c>
      <c r="Z36" s="231">
        <f>-('Table 5C1T-Northeast'!AB39+'Table 5C1T-Northeast'!AE39)</f>
        <v>0</v>
      </c>
      <c r="AA36" s="231">
        <f>-('Table 5C1U-Acadiana Ren'!AB39+'Table 5C1U-Acadiana Ren'!AE39)</f>
        <v>0</v>
      </c>
      <c r="AB36" s="231">
        <f>-('Table 5C1V-Laf Ren'!AB39+'Table 5C1V-Laf Ren'!AE39)</f>
        <v>0</v>
      </c>
      <c r="AC36" s="231">
        <f>-('Table 5C1W-Willow'!AB39+'Table 5C1W-Willow'!AE39)</f>
        <v>0</v>
      </c>
      <c r="AD36" s="231">
        <f>-('Table 5C2 - LA Virtual Admy'!AC39+'Table 5C2 - LA Virtual Admy'!AF39)</f>
        <v>-5108.3999999999996</v>
      </c>
      <c r="AE36" s="231">
        <f>-('Table 5C3 - LA Connections EBR'!AC39+'Table 5C3 - LA Connections EBR'!AF39)</f>
        <v>-6811.2</v>
      </c>
      <c r="AF36" s="231">
        <f t="shared" ref="AF36:AF67" si="3">SUM(D36:AE36)</f>
        <v>-1281806.1751495074</v>
      </c>
      <c r="AG36" s="249">
        <f t="shared" ref="AG36:AG72" si="4">SUM(C36:AE36)</f>
        <v>6985700.8248504922</v>
      </c>
    </row>
    <row r="37" spans="1:33" ht="14.45" customHeight="1">
      <c r="A37" s="228">
        <v>34</v>
      </c>
      <c r="B37" s="229" t="s">
        <v>106</v>
      </c>
      <c r="C37" s="230">
        <f>+'Table 2_State Distrib and Adjs'!AP40</f>
        <v>29927848</v>
      </c>
      <c r="D37" s="231">
        <f>-'Table 5A3_OJJ'!T39</f>
        <v>-2605.4365958458147</v>
      </c>
      <c r="E37" s="231"/>
      <c r="F37" s="231"/>
      <c r="G37" s="231">
        <f>-('Table 5C1A-Madison Prep'!AB40+'Table 5C1A-Madison Prep'!AE40)</f>
        <v>0</v>
      </c>
      <c r="H37" s="231">
        <f>-('Table 5C1B-DArbonne'!AB40+'Table 5C1B-DArbonne'!AE40)</f>
        <v>0</v>
      </c>
      <c r="I37" s="231">
        <f>-('Table 5C1C-Intl_VIBE'!AB40+'Table 5C1C-Intl_VIBE'!AE40)</f>
        <v>0</v>
      </c>
      <c r="J37" s="231">
        <f>-('Table 5C1D-NOMMA'!AB40+'Table 5C1D-NOMMA'!AE40)</f>
        <v>0</v>
      </c>
      <c r="K37" s="231">
        <f>-('Table 5C1E-LFNO'!AB40+'Table 5C1E-LFNO'!AE40)</f>
        <v>0</v>
      </c>
      <c r="L37" s="231">
        <f>-('Table 5C1F-Lake Charles Charter'!AB40+'Table 5C1F-Lake Charles Charter'!AE40)</f>
        <v>0</v>
      </c>
      <c r="M37" s="231">
        <f>-('Table 5C1G-JS Clark Academy'!AB40+'Table 5C1G-JS Clark Academy'!AE40)</f>
        <v>0</v>
      </c>
      <c r="N37" s="231">
        <f>-('Table 5C1H-Southwest LA Charter'!AB40+'Table 5C1H-Southwest LA Charter'!AE40)</f>
        <v>0</v>
      </c>
      <c r="O37" s="231">
        <f>-('Table 5C1I-LA Key Academy'!AB40+'Table 5C1I-LA Key Academy'!AE40)</f>
        <v>0</v>
      </c>
      <c r="P37" s="231">
        <f>-('Table 5C1J-Jefferson Chamber'!AB40+'Table 5C1J-Jefferson Chamber'!AE40)</f>
        <v>0</v>
      </c>
      <c r="Q37" s="231">
        <f>-('Table 5C1K-Tallulah Charter'!AB40+'Table 5C1K-Tallulah Charter'!AE40)</f>
        <v>0</v>
      </c>
      <c r="R37" s="231">
        <f>-('Table 5C1L-Northshore Charter'!AB40+'Table 5C1L-Northshore Charter'!AE40)</f>
        <v>0</v>
      </c>
      <c r="S37" s="231">
        <f>-('Table 5C1M-B.R. Charter'!AB40+'Table 5C1M-B.R. Charter'!AE40)</f>
        <v>0</v>
      </c>
      <c r="T37" s="231">
        <f>-('Table 5C1N-Delta Charter'!AB40+'Table 5C1N-Delta Charter'!AE40)</f>
        <v>0</v>
      </c>
      <c r="U37" s="231">
        <f>-('Table 5C1O-Impact'!AB40+'Table 5C1O-Impact'!AE40)</f>
        <v>0</v>
      </c>
      <c r="V37" s="231">
        <f>-('Table 5C1P-Vision'!AB40+'Table 5C1P-Vision'!AE40)</f>
        <v>0</v>
      </c>
      <c r="W37" s="231">
        <f>-('Table 5C1Q-Advantage'!AB40+'Table 5C1Q-Advantage'!AE40)</f>
        <v>0</v>
      </c>
      <c r="X37" s="231">
        <f>-('Table 5C1R-Iberville'!AB40+'Table 5C1R-Iberville'!AE40)</f>
        <v>0</v>
      </c>
      <c r="Y37" s="231">
        <f>-('Table 5C1S-L.C. Coll Prep'!AB40+'Table 5C1S-L.C. Coll Prep'!AE40)</f>
        <v>0</v>
      </c>
      <c r="Z37" s="231">
        <f>-('Table 5C1T-Northeast'!AB40+'Table 5C1T-Northeast'!AE40)</f>
        <v>0</v>
      </c>
      <c r="AA37" s="231">
        <f>-('Table 5C1U-Acadiana Ren'!AB40+'Table 5C1U-Acadiana Ren'!AE40)</f>
        <v>0</v>
      </c>
      <c r="AB37" s="231">
        <f>-('Table 5C1V-Laf Ren'!AB40+'Table 5C1V-Laf Ren'!AE40)</f>
        <v>0</v>
      </c>
      <c r="AC37" s="231">
        <f>-('Table 5C1W-Willow'!AB40+'Table 5C1W-Willow'!AE40)</f>
        <v>0</v>
      </c>
      <c r="AD37" s="231">
        <f>-('Table 5C2 - LA Virtual Admy'!AC40+'Table 5C2 - LA Virtual Admy'!AF40)</f>
        <v>-81216.900000000009</v>
      </c>
      <c r="AE37" s="231">
        <f>-('Table 5C3 - LA Connections EBR'!AC40+'Table 5C3 - LA Connections EBR'!AF40)</f>
        <v>-41918.400000000001</v>
      </c>
      <c r="AF37" s="231">
        <f t="shared" si="3"/>
        <v>-125740.73659584581</v>
      </c>
      <c r="AG37" s="249">
        <f t="shared" si="4"/>
        <v>29802107.263404157</v>
      </c>
    </row>
    <row r="38" spans="1:33" ht="14.45" customHeight="1">
      <c r="A38" s="3">
        <v>35</v>
      </c>
      <c r="B38" s="7" t="s">
        <v>107</v>
      </c>
      <c r="C38" s="9">
        <f>+'Table 2_State Distrib and Adjs'!AP41</f>
        <v>35725702</v>
      </c>
      <c r="D38" s="10">
        <f>-'Table 5A3_OJJ'!T40</f>
        <v>-9986.6118735108794</v>
      </c>
      <c r="E38" s="10"/>
      <c r="F38" s="10"/>
      <c r="G38" s="10">
        <f>-('Table 5C1A-Madison Prep'!AB41+'Table 5C1A-Madison Prep'!AE41)</f>
        <v>0</v>
      </c>
      <c r="H38" s="10">
        <f>-('Table 5C1B-DArbonne'!AB41+'Table 5C1B-DArbonne'!AE41)</f>
        <v>0</v>
      </c>
      <c r="I38" s="10">
        <f>-('Table 5C1C-Intl_VIBE'!AB41+'Table 5C1C-Intl_VIBE'!AE41)</f>
        <v>0</v>
      </c>
      <c r="J38" s="10">
        <f>-('Table 5C1D-NOMMA'!AB41+'Table 5C1D-NOMMA'!AE41)</f>
        <v>0</v>
      </c>
      <c r="K38" s="10">
        <f>-('Table 5C1E-LFNO'!AB41+'Table 5C1E-LFNO'!AE41)</f>
        <v>0</v>
      </c>
      <c r="L38" s="10">
        <f>-('Table 5C1F-Lake Charles Charter'!AB41+'Table 5C1F-Lake Charles Charter'!AE41)</f>
        <v>0</v>
      </c>
      <c r="M38" s="10">
        <f>-('Table 5C1G-JS Clark Academy'!AB41+'Table 5C1G-JS Clark Academy'!AE41)</f>
        <v>0</v>
      </c>
      <c r="N38" s="10">
        <f>-('Table 5C1H-Southwest LA Charter'!AB41+'Table 5C1H-Southwest LA Charter'!AE41)</f>
        <v>0</v>
      </c>
      <c r="O38" s="10">
        <f>-('Table 5C1I-LA Key Academy'!AB41+'Table 5C1I-LA Key Academy'!AE41)</f>
        <v>0</v>
      </c>
      <c r="P38" s="10">
        <f>-('Table 5C1J-Jefferson Chamber'!AB41+'Table 5C1J-Jefferson Chamber'!AE41)</f>
        <v>0</v>
      </c>
      <c r="Q38" s="10">
        <f>-('Table 5C1K-Tallulah Charter'!AB41+'Table 5C1K-Tallulah Charter'!AE41)</f>
        <v>0</v>
      </c>
      <c r="R38" s="10">
        <f>-('Table 5C1L-Northshore Charter'!AB41+'Table 5C1L-Northshore Charter'!AE41)</f>
        <v>0</v>
      </c>
      <c r="S38" s="10">
        <f>-('Table 5C1M-B.R. Charter'!AB41+'Table 5C1M-B.R. Charter'!AE41)</f>
        <v>0</v>
      </c>
      <c r="T38" s="10">
        <f>-('Table 5C1N-Delta Charter'!AB41+'Table 5C1N-Delta Charter'!AE41)</f>
        <v>-3337</v>
      </c>
      <c r="U38" s="10">
        <f>-('Table 5C1O-Impact'!AB41+'Table 5C1O-Impact'!AE41)</f>
        <v>0</v>
      </c>
      <c r="V38" s="10">
        <f>-('Table 5C1P-Vision'!AB41+'Table 5C1P-Vision'!AE41)</f>
        <v>0</v>
      </c>
      <c r="W38" s="10">
        <f>-('Table 5C1Q-Advantage'!AB41+'Table 5C1Q-Advantage'!AE41)</f>
        <v>0</v>
      </c>
      <c r="X38" s="10">
        <f>-('Table 5C1R-Iberville'!AB41+'Table 5C1R-Iberville'!AE41)</f>
        <v>0</v>
      </c>
      <c r="Y38" s="10">
        <f>-('Table 5C1S-L.C. Coll Prep'!AB41+'Table 5C1S-L.C. Coll Prep'!AE41)</f>
        <v>0</v>
      </c>
      <c r="Z38" s="10">
        <f>-('Table 5C1T-Northeast'!AB41+'Table 5C1T-Northeast'!AE41)</f>
        <v>0</v>
      </c>
      <c r="AA38" s="10">
        <f>-('Table 5C1U-Acadiana Ren'!AB41+'Table 5C1U-Acadiana Ren'!AE41)</f>
        <v>0</v>
      </c>
      <c r="AB38" s="10">
        <f>-('Table 5C1V-Laf Ren'!AB41+'Table 5C1V-Laf Ren'!AE41)</f>
        <v>0</v>
      </c>
      <c r="AC38" s="10">
        <f>-('Table 5C1W-Willow'!AB41+'Table 5C1W-Willow'!AE41)</f>
        <v>0</v>
      </c>
      <c r="AD38" s="10">
        <f>-('Table 5C2 - LA Virtual Admy'!AC41+'Table 5C2 - LA Virtual Admy'!AF41)</f>
        <v>-66072.600000000006</v>
      </c>
      <c r="AE38" s="10">
        <f>-('Table 5C3 - LA Connections EBR'!AC41+'Table 5C3 - LA Connections EBR'!AF41)</f>
        <v>-60066.000000000007</v>
      </c>
      <c r="AF38" s="10">
        <f t="shared" si="3"/>
        <v>-139462.21187351088</v>
      </c>
      <c r="AG38" s="15">
        <f t="shared" si="4"/>
        <v>35586239.788126491</v>
      </c>
    </row>
    <row r="39" spans="1:33" ht="14.45" customHeight="1">
      <c r="A39" s="240">
        <v>36</v>
      </c>
      <c r="B39" s="241" t="s">
        <v>108</v>
      </c>
      <c r="C39" s="242">
        <f>+'Table 2_State Distrib and Adjs'!AP42</f>
        <v>56596779</v>
      </c>
      <c r="D39" s="243">
        <f>-'Table 5A3_OJJ'!T41</f>
        <v>-152878.90431802947</v>
      </c>
      <c r="E39" s="243"/>
      <c r="F39" s="243">
        <f>-('Table 5B1_RSD_Orleans'!AH74+'Table 5B1_RSD_Orleans'!AM74)</f>
        <v>-143519462.5</v>
      </c>
      <c r="G39" s="243">
        <f>-('Table 5C1A-Madison Prep'!AB42+'Table 5C1A-Madison Prep'!AE42)</f>
        <v>0</v>
      </c>
      <c r="H39" s="243">
        <f>-('Table 5C1B-DArbonne'!AB42+'Table 5C1B-DArbonne'!AE42)</f>
        <v>0</v>
      </c>
      <c r="I39" s="243">
        <f>-('Table 5C1C-Intl_VIBE'!AB42+'Table 5C1C-Intl_VIBE'!AE42)</f>
        <v>-2202522</v>
      </c>
      <c r="J39" s="243">
        <f>-('Table 5C1D-NOMMA'!AB42+'Table 5C1D-NOMMA'!AE42)</f>
        <v>-1268808</v>
      </c>
      <c r="K39" s="243">
        <f>-('Table 5C1E-LFNO'!AB42+'Table 5C1E-LFNO'!AE42)</f>
        <v>-1722735</v>
      </c>
      <c r="L39" s="243">
        <f>-('Table 5C1F-Lake Charles Charter'!AB42+'Table 5C1F-Lake Charles Charter'!AE42)</f>
        <v>0</v>
      </c>
      <c r="M39" s="243">
        <f>-('Table 5C1G-JS Clark Academy'!AB42+'Table 5C1G-JS Clark Academy'!AE42)</f>
        <v>0</v>
      </c>
      <c r="N39" s="243">
        <f>-('Table 5C1H-Southwest LA Charter'!AB42+'Table 5C1H-Southwest LA Charter'!AE42)</f>
        <v>0</v>
      </c>
      <c r="O39" s="243">
        <f>-('Table 5C1I-LA Key Academy'!AB42+'Table 5C1I-LA Key Academy'!AE42)</f>
        <v>0</v>
      </c>
      <c r="P39" s="243">
        <f>-('Table 5C1J-Jefferson Chamber'!AB42+'Table 5C1J-Jefferson Chamber'!AE42)</f>
        <v>-24610.5</v>
      </c>
      <c r="Q39" s="243">
        <f>-('Table 5C1K-Tallulah Charter'!AB42+'Table 5C1K-Tallulah Charter'!AE42)</f>
        <v>0</v>
      </c>
      <c r="R39" s="243">
        <f>-('Table 5C1L-Northshore Charter'!AB42+'Table 5C1L-Northshore Charter'!AE42)</f>
        <v>0</v>
      </c>
      <c r="S39" s="243">
        <f>-('Table 5C1M-B.R. Charter'!AB42+'Table 5C1M-B.R. Charter'!AE42)</f>
        <v>0</v>
      </c>
      <c r="T39" s="243">
        <f>-('Table 5C1N-Delta Charter'!AB42+'Table 5C1N-Delta Charter'!AE42)</f>
        <v>0</v>
      </c>
      <c r="U39" s="243">
        <f>-('Table 5C1O-Impact'!AB42+'Table 5C1O-Impact'!AE42)</f>
        <v>0</v>
      </c>
      <c r="V39" s="243">
        <f>-('Table 5C1P-Vision'!AB42+'Table 5C1P-Vision'!AE42)</f>
        <v>0</v>
      </c>
      <c r="W39" s="243">
        <f>-('Table 5C1Q-Advantage'!AB42+'Table 5C1Q-Advantage'!AE42)</f>
        <v>0</v>
      </c>
      <c r="X39" s="243">
        <f>-('Table 5C1R-Iberville'!AB42+'Table 5C1R-Iberville'!AE42)</f>
        <v>0</v>
      </c>
      <c r="Y39" s="243">
        <f>-('Table 5C1S-L.C. Coll Prep'!AB42+'Table 5C1S-L.C. Coll Prep'!AE42)</f>
        <v>0</v>
      </c>
      <c r="Z39" s="243">
        <f>-('Table 5C1T-Northeast'!AB42+'Table 5C1T-Northeast'!AE42)</f>
        <v>0</v>
      </c>
      <c r="AA39" s="243">
        <f>-('Table 5C1U-Acadiana Ren'!AB42+'Table 5C1U-Acadiana Ren'!AE42)</f>
        <v>0</v>
      </c>
      <c r="AB39" s="243">
        <f>-('Table 5C1V-Laf Ren'!AB42+'Table 5C1V-Laf Ren'!AE42)</f>
        <v>0</v>
      </c>
      <c r="AC39" s="243">
        <f>-('Table 5C1W-Willow'!AB42+'Table 5C1W-Willow'!AE42)</f>
        <v>0</v>
      </c>
      <c r="AD39" s="243">
        <f>-('Table 5C2 - LA Virtual Admy'!AC42+'Table 5C2 - LA Virtual Admy'!AF42)</f>
        <v>-396229.05</v>
      </c>
      <c r="AE39" s="243">
        <f>-('Table 5C3 - LA Connections EBR'!AC42+'Table 5C3 - LA Connections EBR'!AF42)</f>
        <v>-278098.65000000002</v>
      </c>
      <c r="AF39" s="243">
        <f t="shared" si="3"/>
        <v>-149565344.60431805</v>
      </c>
      <c r="AG39" s="244">
        <f t="shared" si="4"/>
        <v>-92968565.604318038</v>
      </c>
    </row>
    <row r="40" spans="1:33" ht="14.45" customHeight="1">
      <c r="A40" s="228">
        <v>37</v>
      </c>
      <c r="B40" s="229" t="s">
        <v>109</v>
      </c>
      <c r="C40" s="230">
        <f>+'Table 2_State Distrib and Adjs'!AP43</f>
        <v>123270323</v>
      </c>
      <c r="D40" s="231">
        <f>-'Table 5A3_OJJ'!T42</f>
        <v>-19078.297096228362</v>
      </c>
      <c r="E40" s="231"/>
      <c r="F40" s="231"/>
      <c r="G40" s="231">
        <f>-('Table 5C1A-Madison Prep'!AB43+'Table 5C1A-Madison Prep'!AE43)</f>
        <v>0</v>
      </c>
      <c r="H40" s="231">
        <f>-('Table 5C1B-DArbonne'!AB43+'Table 5C1B-DArbonne'!AE43)</f>
        <v>-46224</v>
      </c>
      <c r="I40" s="231">
        <f>-('Table 5C1C-Intl_VIBE'!AB43+'Table 5C1C-Intl_VIBE'!AE43)</f>
        <v>0</v>
      </c>
      <c r="J40" s="231">
        <f>-('Table 5C1D-NOMMA'!AB43+'Table 5C1D-NOMMA'!AE43)</f>
        <v>0</v>
      </c>
      <c r="K40" s="231">
        <f>-('Table 5C1E-LFNO'!AB43+'Table 5C1E-LFNO'!AE43)</f>
        <v>0</v>
      </c>
      <c r="L40" s="231">
        <f>-('Table 5C1F-Lake Charles Charter'!AB43+'Table 5C1F-Lake Charles Charter'!AE43)</f>
        <v>0</v>
      </c>
      <c r="M40" s="231">
        <f>-('Table 5C1G-JS Clark Academy'!AB43+'Table 5C1G-JS Clark Academy'!AE43)</f>
        <v>0</v>
      </c>
      <c r="N40" s="231">
        <f>-('Table 5C1H-Southwest LA Charter'!AB43+'Table 5C1H-Southwest LA Charter'!AE43)</f>
        <v>0</v>
      </c>
      <c r="O40" s="231">
        <f>-('Table 5C1I-LA Key Academy'!AB43+'Table 5C1I-LA Key Academy'!AE43)</f>
        <v>0</v>
      </c>
      <c r="P40" s="231">
        <f>-('Table 5C1J-Jefferson Chamber'!AB43+'Table 5C1J-Jefferson Chamber'!AE43)</f>
        <v>0</v>
      </c>
      <c r="Q40" s="231">
        <f>-('Table 5C1K-Tallulah Charter'!AB43+'Table 5C1K-Tallulah Charter'!AE43)</f>
        <v>0</v>
      </c>
      <c r="R40" s="231">
        <f>-('Table 5C1L-Northshore Charter'!AB43+'Table 5C1L-Northshore Charter'!AE43)</f>
        <v>0</v>
      </c>
      <c r="S40" s="231">
        <f>-('Table 5C1M-B.R. Charter'!AB43+'Table 5C1M-B.R. Charter'!AE43)</f>
        <v>0</v>
      </c>
      <c r="T40" s="231">
        <f>-('Table 5C1N-Delta Charter'!AB43+'Table 5C1N-Delta Charter'!AE43)</f>
        <v>-3424</v>
      </c>
      <c r="U40" s="231">
        <f>-('Table 5C1O-Impact'!AB43+'Table 5C1O-Impact'!AE43)</f>
        <v>0</v>
      </c>
      <c r="V40" s="231">
        <f>-('Table 5C1P-Vision'!AB43+'Table 5C1P-Vision'!AE43)</f>
        <v>-642000</v>
      </c>
      <c r="W40" s="231">
        <f>-('Table 5C1Q-Advantage'!AB43+'Table 5C1Q-Advantage'!AE43)</f>
        <v>0</v>
      </c>
      <c r="X40" s="231">
        <f>-('Table 5C1R-Iberville'!AB43+'Table 5C1R-Iberville'!AE43)</f>
        <v>0</v>
      </c>
      <c r="Y40" s="231">
        <f>-('Table 5C1S-L.C. Coll Prep'!AB43+'Table 5C1S-L.C. Coll Prep'!AE43)</f>
        <v>0</v>
      </c>
      <c r="Z40" s="231">
        <f>-('Table 5C1T-Northeast'!AB43+'Table 5C1T-Northeast'!AE43)</f>
        <v>0</v>
      </c>
      <c r="AA40" s="231">
        <f>-('Table 5C1U-Acadiana Ren'!AB43+'Table 5C1U-Acadiana Ren'!AE43)</f>
        <v>0</v>
      </c>
      <c r="AB40" s="231">
        <f>-('Table 5C1V-Laf Ren'!AB43+'Table 5C1V-Laf Ren'!AE43)</f>
        <v>0</v>
      </c>
      <c r="AC40" s="231">
        <f>-('Table 5C1W-Willow'!AB43+'Table 5C1W-Willow'!AE43)</f>
        <v>0</v>
      </c>
      <c r="AD40" s="231">
        <f>-('Table 5C2 - LA Virtual Admy'!AC43+'Table 5C2 - LA Virtual Admy'!AF43)</f>
        <v>-161784</v>
      </c>
      <c r="AE40" s="231">
        <f>-('Table 5C3 - LA Connections EBR'!AC43+'Table 5C3 - LA Connections EBR'!AF43)</f>
        <v>-97070.399999999994</v>
      </c>
      <c r="AF40" s="231">
        <f t="shared" si="3"/>
        <v>-969580.69709622837</v>
      </c>
      <c r="AG40" s="249">
        <f t="shared" si="4"/>
        <v>122300742.30290377</v>
      </c>
    </row>
    <row r="41" spans="1:33" ht="14.45" customHeight="1">
      <c r="A41" s="228">
        <v>38</v>
      </c>
      <c r="B41" s="229" t="s">
        <v>110</v>
      </c>
      <c r="C41" s="230">
        <f>+'Table 2_State Distrib and Adjs'!AP44</f>
        <v>11562224</v>
      </c>
      <c r="D41" s="231">
        <f>-'Table 5A3_OJJ'!T43</f>
        <v>-5482.8134644885286</v>
      </c>
      <c r="E41" s="231"/>
      <c r="F41" s="231"/>
      <c r="G41" s="231">
        <f>-('Table 5C1A-Madison Prep'!AB44+'Table 5C1A-Madison Prep'!AE44)</f>
        <v>0</v>
      </c>
      <c r="H41" s="231">
        <f>-('Table 5C1B-DArbonne'!AB44+'Table 5C1B-DArbonne'!AE44)</f>
        <v>0</v>
      </c>
      <c r="I41" s="231">
        <f>-('Table 5C1C-Intl_VIBE'!AB44+'Table 5C1C-Intl_VIBE'!AE44)</f>
        <v>0</v>
      </c>
      <c r="J41" s="231">
        <f>-('Table 5C1D-NOMMA'!AB44+'Table 5C1D-NOMMA'!AE44)</f>
        <v>-182490</v>
      </c>
      <c r="K41" s="231">
        <f>-('Table 5C1E-LFNO'!AB44+'Table 5C1E-LFNO'!AE44)</f>
        <v>-55300</v>
      </c>
      <c r="L41" s="231">
        <f>-('Table 5C1F-Lake Charles Charter'!AB44+'Table 5C1F-Lake Charles Charter'!AE44)</f>
        <v>0</v>
      </c>
      <c r="M41" s="231">
        <f>-('Table 5C1G-JS Clark Academy'!AB44+'Table 5C1G-JS Clark Academy'!AE44)</f>
        <v>0</v>
      </c>
      <c r="N41" s="231">
        <f>-('Table 5C1H-Southwest LA Charter'!AB44+'Table 5C1H-Southwest LA Charter'!AE44)</f>
        <v>0</v>
      </c>
      <c r="O41" s="231">
        <f>-('Table 5C1I-LA Key Academy'!AB44+'Table 5C1I-LA Key Academy'!AE44)</f>
        <v>0</v>
      </c>
      <c r="P41" s="231">
        <f>-('Table 5C1J-Jefferson Chamber'!AB44+'Table 5C1J-Jefferson Chamber'!AE44)</f>
        <v>0</v>
      </c>
      <c r="Q41" s="231">
        <f>-('Table 5C1K-Tallulah Charter'!AB44+'Table 5C1K-Tallulah Charter'!AE44)</f>
        <v>0</v>
      </c>
      <c r="R41" s="231">
        <f>-('Table 5C1L-Northshore Charter'!AB44+'Table 5C1L-Northshore Charter'!AE44)</f>
        <v>0</v>
      </c>
      <c r="S41" s="231">
        <f>-('Table 5C1M-B.R. Charter'!AB44+'Table 5C1M-B.R. Charter'!AE44)</f>
        <v>0</v>
      </c>
      <c r="T41" s="231">
        <f>-('Table 5C1N-Delta Charter'!AB44+'Table 5C1N-Delta Charter'!AE44)</f>
        <v>0</v>
      </c>
      <c r="U41" s="231">
        <f>-('Table 5C1O-Impact'!AB44+'Table 5C1O-Impact'!AE44)</f>
        <v>0</v>
      </c>
      <c r="V41" s="231">
        <f>-('Table 5C1P-Vision'!AB44+'Table 5C1P-Vision'!AE44)</f>
        <v>0</v>
      </c>
      <c r="W41" s="231">
        <f>-('Table 5C1Q-Advantage'!AB44+'Table 5C1Q-Advantage'!AE44)</f>
        <v>0</v>
      </c>
      <c r="X41" s="231">
        <f>-('Table 5C1R-Iberville'!AB44+'Table 5C1R-Iberville'!AE44)</f>
        <v>0</v>
      </c>
      <c r="Y41" s="231">
        <f>-('Table 5C1S-L.C. Coll Prep'!AB44+'Table 5C1S-L.C. Coll Prep'!AE44)</f>
        <v>0</v>
      </c>
      <c r="Z41" s="231">
        <f>-('Table 5C1T-Northeast'!AB44+'Table 5C1T-Northeast'!AE44)</f>
        <v>0</v>
      </c>
      <c r="AA41" s="231">
        <f>-('Table 5C1U-Acadiana Ren'!AB44+'Table 5C1U-Acadiana Ren'!AE44)</f>
        <v>0</v>
      </c>
      <c r="AB41" s="231">
        <f>-('Table 5C1V-Laf Ren'!AB44+'Table 5C1V-Laf Ren'!AE44)</f>
        <v>0</v>
      </c>
      <c r="AC41" s="231">
        <f>-('Table 5C1W-Willow'!AB44+'Table 5C1W-Willow'!AE44)</f>
        <v>0</v>
      </c>
      <c r="AD41" s="231">
        <f>-('Table 5C2 - LA Virtual Admy'!AC44+'Table 5C2 - LA Virtual Admy'!AF44)</f>
        <v>-59724</v>
      </c>
      <c r="AE41" s="231">
        <f>-('Table 5C3 - LA Connections EBR'!AC44+'Table 5C3 - LA Connections EBR'!AF44)</f>
        <v>-99540</v>
      </c>
      <c r="AF41" s="231">
        <f t="shared" si="3"/>
        <v>-402536.81346448854</v>
      </c>
      <c r="AG41" s="249">
        <f t="shared" si="4"/>
        <v>11159687.186535511</v>
      </c>
    </row>
    <row r="42" spans="1:33" ht="14.45" customHeight="1">
      <c r="A42" s="228">
        <v>39</v>
      </c>
      <c r="B42" s="229" t="s">
        <v>111</v>
      </c>
      <c r="C42" s="230">
        <f>+'Table 2_State Distrib and Adjs'!AP45</f>
        <v>12408450</v>
      </c>
      <c r="D42" s="231">
        <f>-'Table 5A3_OJJ'!T44</f>
        <v>-3116.4873219179317</v>
      </c>
      <c r="E42" s="231"/>
      <c r="F42" s="231"/>
      <c r="G42" s="231">
        <f>-('Table 5C1A-Madison Prep'!AB45+'Table 5C1A-Madison Prep'!AE45)</f>
        <v>0</v>
      </c>
      <c r="H42" s="231">
        <f>-('Table 5C1B-DArbonne'!AB45+'Table 5C1B-DArbonne'!AE45)</f>
        <v>0</v>
      </c>
      <c r="I42" s="231">
        <f>-('Table 5C1C-Intl_VIBE'!AB45+'Table 5C1C-Intl_VIBE'!AE45)</f>
        <v>0</v>
      </c>
      <c r="J42" s="231">
        <f>-('Table 5C1D-NOMMA'!AB45+'Table 5C1D-NOMMA'!AE45)</f>
        <v>0</v>
      </c>
      <c r="K42" s="231">
        <f>-('Table 5C1E-LFNO'!AB45+'Table 5C1E-LFNO'!AE45)</f>
        <v>0</v>
      </c>
      <c r="L42" s="231">
        <f>-('Table 5C1F-Lake Charles Charter'!AB45+'Table 5C1F-Lake Charles Charter'!AE45)</f>
        <v>0</v>
      </c>
      <c r="M42" s="231">
        <f>-('Table 5C1G-JS Clark Academy'!AB45+'Table 5C1G-JS Clark Academy'!AE45)</f>
        <v>0</v>
      </c>
      <c r="N42" s="231">
        <f>-('Table 5C1H-Southwest LA Charter'!AB45+'Table 5C1H-Southwest LA Charter'!AE45)</f>
        <v>0</v>
      </c>
      <c r="O42" s="231">
        <f>-('Table 5C1I-LA Key Academy'!AB45+'Table 5C1I-LA Key Academy'!AE45)</f>
        <v>-9844</v>
      </c>
      <c r="P42" s="231">
        <f>-('Table 5C1J-Jefferson Chamber'!AB45+'Table 5C1J-Jefferson Chamber'!AE45)</f>
        <v>0</v>
      </c>
      <c r="Q42" s="231">
        <f>-('Table 5C1K-Tallulah Charter'!AB45+'Table 5C1K-Tallulah Charter'!AE45)</f>
        <v>0</v>
      </c>
      <c r="R42" s="231">
        <f>-('Table 5C1L-Northshore Charter'!AB45+'Table 5C1L-Northshore Charter'!AE45)</f>
        <v>0</v>
      </c>
      <c r="S42" s="231">
        <f>-('Table 5C1M-B.R. Charter'!AB45+'Table 5C1M-B.R. Charter'!AE45)</f>
        <v>0</v>
      </c>
      <c r="T42" s="231">
        <f>-('Table 5C1N-Delta Charter'!AB45+'Table 5C1N-Delta Charter'!AE45)</f>
        <v>0</v>
      </c>
      <c r="U42" s="231">
        <f>-('Table 5C1O-Impact'!AB45+'Table 5C1O-Impact'!AE45)</f>
        <v>0</v>
      </c>
      <c r="V42" s="231">
        <f>-('Table 5C1P-Vision'!AB45+'Table 5C1P-Vision'!AE45)</f>
        <v>0</v>
      </c>
      <c r="W42" s="231">
        <f>-('Table 5C1Q-Advantage'!AB45+'Table 5C1Q-Advantage'!AE45)</f>
        <v>0</v>
      </c>
      <c r="X42" s="231">
        <f>-('Table 5C1R-Iberville'!AB45+'Table 5C1R-Iberville'!AE45)</f>
        <v>0</v>
      </c>
      <c r="Y42" s="231">
        <f>-('Table 5C1S-L.C. Coll Prep'!AB45+'Table 5C1S-L.C. Coll Prep'!AE45)</f>
        <v>0</v>
      </c>
      <c r="Z42" s="231">
        <f>-('Table 5C1T-Northeast'!AB45+'Table 5C1T-Northeast'!AE45)</f>
        <v>0</v>
      </c>
      <c r="AA42" s="231">
        <f>-('Table 5C1U-Acadiana Ren'!AB45+'Table 5C1U-Acadiana Ren'!AE45)</f>
        <v>0</v>
      </c>
      <c r="AB42" s="231">
        <f>-('Table 5C1V-Laf Ren'!AB45+'Table 5C1V-Laf Ren'!AE45)</f>
        <v>0</v>
      </c>
      <c r="AC42" s="231">
        <f>-('Table 5C1W-Willow'!AB45+'Table 5C1W-Willow'!AE45)</f>
        <v>0</v>
      </c>
      <c r="AD42" s="231">
        <f>-('Table 5C2 - LA Virtual Admy'!AC45+'Table 5C2 - LA Virtual Admy'!AF45)</f>
        <v>-17719.2</v>
      </c>
      <c r="AE42" s="231">
        <f>-('Table 5C3 - LA Connections EBR'!AC45+'Table 5C3 - LA Connections EBR'!AF45)</f>
        <v>-108530.1</v>
      </c>
      <c r="AF42" s="231">
        <f t="shared" si="3"/>
        <v>-139209.78732191795</v>
      </c>
      <c r="AG42" s="249">
        <f t="shared" si="4"/>
        <v>12269240.212678082</v>
      </c>
    </row>
    <row r="43" spans="1:33" ht="14.45" customHeight="1">
      <c r="A43" s="3">
        <v>40</v>
      </c>
      <c r="B43" s="7" t="s">
        <v>112</v>
      </c>
      <c r="C43" s="9">
        <f>+'Table 2_State Distrib and Adjs'!AP46</f>
        <v>131977189</v>
      </c>
      <c r="D43" s="10">
        <f>-'Table 5A3_OJJ'!T45</f>
        <v>-39854.673349459583</v>
      </c>
      <c r="E43" s="10"/>
      <c r="F43" s="10"/>
      <c r="G43" s="10">
        <f>-('Table 5C1A-Madison Prep'!AB46+'Table 5C1A-Madison Prep'!AE46)</f>
        <v>0</v>
      </c>
      <c r="H43" s="10">
        <f>-('Table 5C1B-DArbonne'!AB46+'Table 5C1B-DArbonne'!AE46)</f>
        <v>0</v>
      </c>
      <c r="I43" s="10">
        <f>-('Table 5C1C-Intl_VIBE'!AB46+'Table 5C1C-Intl_VIBE'!AE46)</f>
        <v>0</v>
      </c>
      <c r="J43" s="10">
        <f>-('Table 5C1D-NOMMA'!AB46+'Table 5C1D-NOMMA'!AE46)</f>
        <v>0</v>
      </c>
      <c r="K43" s="10">
        <f>-('Table 5C1E-LFNO'!AB46+'Table 5C1E-LFNO'!AE46)</f>
        <v>0</v>
      </c>
      <c r="L43" s="10">
        <f>-('Table 5C1F-Lake Charles Charter'!AB46+'Table 5C1F-Lake Charles Charter'!AE46)</f>
        <v>0</v>
      </c>
      <c r="M43" s="10">
        <f>-('Table 5C1G-JS Clark Academy'!AB46+'Table 5C1G-JS Clark Academy'!AE46)</f>
        <v>0</v>
      </c>
      <c r="N43" s="10">
        <f>-('Table 5C1H-Southwest LA Charter'!AB46+'Table 5C1H-Southwest LA Charter'!AE46)</f>
        <v>0</v>
      </c>
      <c r="O43" s="10">
        <f>-('Table 5C1I-LA Key Academy'!AB46+'Table 5C1I-LA Key Academy'!AE46)</f>
        <v>0</v>
      </c>
      <c r="P43" s="10">
        <f>-('Table 5C1J-Jefferson Chamber'!AB46+'Table 5C1J-Jefferson Chamber'!AE46)</f>
        <v>0</v>
      </c>
      <c r="Q43" s="10">
        <f>-('Table 5C1K-Tallulah Charter'!AB46+'Table 5C1K-Tallulah Charter'!AE46)</f>
        <v>0</v>
      </c>
      <c r="R43" s="10">
        <f>-('Table 5C1L-Northshore Charter'!AB46+'Table 5C1L-Northshore Charter'!AE46)</f>
        <v>0</v>
      </c>
      <c r="S43" s="10">
        <f>-('Table 5C1M-B.R. Charter'!AB46+'Table 5C1M-B.R. Charter'!AE46)</f>
        <v>0</v>
      </c>
      <c r="T43" s="10">
        <f>-('Table 5C1N-Delta Charter'!AB46+'Table 5C1N-Delta Charter'!AE46)</f>
        <v>0</v>
      </c>
      <c r="U43" s="10">
        <f>-('Table 5C1O-Impact'!AB46+'Table 5C1O-Impact'!AE46)</f>
        <v>0</v>
      </c>
      <c r="V43" s="10">
        <f>-('Table 5C1P-Vision'!AB46+'Table 5C1P-Vision'!AE46)</f>
        <v>0</v>
      </c>
      <c r="W43" s="10">
        <f>-('Table 5C1Q-Advantage'!AB46+'Table 5C1Q-Advantage'!AE46)</f>
        <v>0</v>
      </c>
      <c r="X43" s="10">
        <f>-('Table 5C1R-Iberville'!AB46+'Table 5C1R-Iberville'!AE46)</f>
        <v>0</v>
      </c>
      <c r="Y43" s="10">
        <f>-('Table 5C1S-L.C. Coll Prep'!AB46+'Table 5C1S-L.C. Coll Prep'!AE46)</f>
        <v>0</v>
      </c>
      <c r="Z43" s="10">
        <f>-('Table 5C1T-Northeast'!AB46+'Table 5C1T-Northeast'!AE46)</f>
        <v>0</v>
      </c>
      <c r="AA43" s="10">
        <f>-('Table 5C1U-Acadiana Ren'!AB46+'Table 5C1U-Acadiana Ren'!AE46)</f>
        <v>0</v>
      </c>
      <c r="AB43" s="10">
        <f>-('Table 5C1V-Laf Ren'!AB46+'Table 5C1V-Laf Ren'!AE46)</f>
        <v>0</v>
      </c>
      <c r="AC43" s="10">
        <f>-('Table 5C1W-Willow'!AB46+'Table 5C1W-Willow'!AE46)</f>
        <v>0</v>
      </c>
      <c r="AD43" s="10">
        <f>-('Table 5C2 - LA Virtual Admy'!AC46+'Table 5C2 - LA Virtual Admy'!AF46)</f>
        <v>-154605.6</v>
      </c>
      <c r="AE43" s="10">
        <f>-('Table 5C3 - LA Connections EBR'!AC46+'Table 5C3 - LA Connections EBR'!AF46)</f>
        <v>-171626.40000000002</v>
      </c>
      <c r="AF43" s="10">
        <f t="shared" si="3"/>
        <v>-366086.6733494596</v>
      </c>
      <c r="AG43" s="15">
        <f t="shared" si="4"/>
        <v>131611102.32665055</v>
      </c>
    </row>
    <row r="44" spans="1:33" ht="14.45" customHeight="1">
      <c r="A44" s="240">
        <v>41</v>
      </c>
      <c r="B44" s="241" t="s">
        <v>113</v>
      </c>
      <c r="C44" s="242">
        <f>+'Table 2_State Distrib and Adjs'!AP47</f>
        <v>5958480</v>
      </c>
      <c r="D44" s="243">
        <f>-'Table 5A3_OJJ'!T46</f>
        <v>-5118.4687052341596</v>
      </c>
      <c r="E44" s="243"/>
      <c r="F44" s="243"/>
      <c r="G44" s="243">
        <f>-('Table 5C1A-Madison Prep'!AB47+'Table 5C1A-Madison Prep'!AE47)</f>
        <v>0</v>
      </c>
      <c r="H44" s="243">
        <f>-('Table 5C1B-DArbonne'!AB47+'Table 5C1B-DArbonne'!AE47)</f>
        <v>0</v>
      </c>
      <c r="I44" s="243">
        <f>-('Table 5C1C-Intl_VIBE'!AB47+'Table 5C1C-Intl_VIBE'!AE47)</f>
        <v>0</v>
      </c>
      <c r="J44" s="243">
        <f>-('Table 5C1D-NOMMA'!AB47+'Table 5C1D-NOMMA'!AE47)</f>
        <v>0</v>
      </c>
      <c r="K44" s="243">
        <f>-('Table 5C1E-LFNO'!AB47+'Table 5C1E-LFNO'!AE47)</f>
        <v>0</v>
      </c>
      <c r="L44" s="243">
        <f>-('Table 5C1F-Lake Charles Charter'!AB47+'Table 5C1F-Lake Charles Charter'!AE47)</f>
        <v>0</v>
      </c>
      <c r="M44" s="243">
        <f>-('Table 5C1G-JS Clark Academy'!AB47+'Table 5C1G-JS Clark Academy'!AE47)</f>
        <v>0</v>
      </c>
      <c r="N44" s="243">
        <f>-('Table 5C1H-Southwest LA Charter'!AB47+'Table 5C1H-Southwest LA Charter'!AE47)</f>
        <v>0</v>
      </c>
      <c r="O44" s="243">
        <f>-('Table 5C1I-LA Key Academy'!AB47+'Table 5C1I-LA Key Academy'!AE47)</f>
        <v>0</v>
      </c>
      <c r="P44" s="243">
        <f>-('Table 5C1J-Jefferson Chamber'!AB47+'Table 5C1J-Jefferson Chamber'!AE47)</f>
        <v>0</v>
      </c>
      <c r="Q44" s="243">
        <f>-('Table 5C1K-Tallulah Charter'!AB47+'Table 5C1K-Tallulah Charter'!AE47)</f>
        <v>0</v>
      </c>
      <c r="R44" s="243">
        <f>-('Table 5C1L-Northshore Charter'!AB47+'Table 5C1L-Northshore Charter'!AE47)</f>
        <v>0</v>
      </c>
      <c r="S44" s="243">
        <f>-('Table 5C1M-B.R. Charter'!AB47+'Table 5C1M-B.R. Charter'!AE47)</f>
        <v>0</v>
      </c>
      <c r="T44" s="243">
        <f>-('Table 5C1N-Delta Charter'!AB47+'Table 5C1N-Delta Charter'!AE47)</f>
        <v>0</v>
      </c>
      <c r="U44" s="243">
        <f>-('Table 5C1O-Impact'!AB47+'Table 5C1O-Impact'!AE47)</f>
        <v>0</v>
      </c>
      <c r="V44" s="243">
        <f>-('Table 5C1P-Vision'!AB47+'Table 5C1P-Vision'!AE47)</f>
        <v>0</v>
      </c>
      <c r="W44" s="243">
        <f>-('Table 5C1Q-Advantage'!AB47+'Table 5C1Q-Advantage'!AE47)</f>
        <v>0</v>
      </c>
      <c r="X44" s="243">
        <f>-('Table 5C1R-Iberville'!AB47+'Table 5C1R-Iberville'!AE47)</f>
        <v>0</v>
      </c>
      <c r="Y44" s="243">
        <f>-('Table 5C1S-L.C. Coll Prep'!AB47+'Table 5C1S-L.C. Coll Prep'!AE47)</f>
        <v>0</v>
      </c>
      <c r="Z44" s="243">
        <f>-('Table 5C1T-Northeast'!AB47+'Table 5C1T-Northeast'!AE47)</f>
        <v>0</v>
      </c>
      <c r="AA44" s="243">
        <f>-('Table 5C1U-Acadiana Ren'!AB47+'Table 5C1U-Acadiana Ren'!AE47)</f>
        <v>0</v>
      </c>
      <c r="AB44" s="243">
        <f>-('Table 5C1V-Laf Ren'!AB47+'Table 5C1V-Laf Ren'!AE47)</f>
        <v>0</v>
      </c>
      <c r="AC44" s="243">
        <f>-('Table 5C1W-Willow'!AB47+'Table 5C1W-Willow'!AE47)</f>
        <v>0</v>
      </c>
      <c r="AD44" s="243">
        <f>-('Table 5C2 - LA Virtual Admy'!AC47+'Table 5C2 - LA Virtual Admy'!AF47)</f>
        <v>-67838.400000000009</v>
      </c>
      <c r="AE44" s="243">
        <f>-('Table 5C3 - LA Connections EBR'!AC47+'Table 5C3 - LA Connections EBR'!AF47)</f>
        <v>-21199.500000000004</v>
      </c>
      <c r="AF44" s="243">
        <f t="shared" si="3"/>
        <v>-94156.36870523417</v>
      </c>
      <c r="AG44" s="244">
        <f t="shared" si="4"/>
        <v>5864323.6312947655</v>
      </c>
    </row>
    <row r="45" spans="1:33" ht="14.45" customHeight="1">
      <c r="A45" s="228">
        <v>42</v>
      </c>
      <c r="B45" s="229" t="s">
        <v>114</v>
      </c>
      <c r="C45" s="230">
        <f>+'Table 2_State Distrib and Adjs'!AP48</f>
        <v>17756540</v>
      </c>
      <c r="D45" s="231">
        <f>-'Table 5A3_OJJ'!T47</f>
        <v>-11181.20326222895</v>
      </c>
      <c r="E45" s="231"/>
      <c r="F45" s="231"/>
      <c r="G45" s="231">
        <f>-('Table 5C1A-Madison Prep'!AB48+'Table 5C1A-Madison Prep'!AE48)</f>
        <v>0</v>
      </c>
      <c r="H45" s="231">
        <f>-('Table 5C1B-DArbonne'!AB48+'Table 5C1B-DArbonne'!AE48)</f>
        <v>0</v>
      </c>
      <c r="I45" s="231">
        <f>-('Table 5C1C-Intl_VIBE'!AB48+'Table 5C1C-Intl_VIBE'!AE48)</f>
        <v>0</v>
      </c>
      <c r="J45" s="231">
        <f>-('Table 5C1D-NOMMA'!AB48+'Table 5C1D-NOMMA'!AE48)</f>
        <v>0</v>
      </c>
      <c r="K45" s="231">
        <f>-('Table 5C1E-LFNO'!AB48+'Table 5C1E-LFNO'!AE48)</f>
        <v>0</v>
      </c>
      <c r="L45" s="231">
        <f>-('Table 5C1F-Lake Charles Charter'!AB48+'Table 5C1F-Lake Charles Charter'!AE48)</f>
        <v>0</v>
      </c>
      <c r="M45" s="231">
        <f>-('Table 5C1G-JS Clark Academy'!AB48+'Table 5C1G-JS Clark Academy'!AE48)</f>
        <v>0</v>
      </c>
      <c r="N45" s="231">
        <f>-('Table 5C1H-Southwest LA Charter'!AB48+'Table 5C1H-Southwest LA Charter'!AE48)</f>
        <v>0</v>
      </c>
      <c r="O45" s="231">
        <f>-('Table 5C1I-LA Key Academy'!AB48+'Table 5C1I-LA Key Academy'!AE48)</f>
        <v>0</v>
      </c>
      <c r="P45" s="231">
        <f>-('Table 5C1J-Jefferson Chamber'!AB48+'Table 5C1J-Jefferson Chamber'!AE48)</f>
        <v>0</v>
      </c>
      <c r="Q45" s="231">
        <f>-('Table 5C1K-Tallulah Charter'!AB48+'Table 5C1K-Tallulah Charter'!AE48)</f>
        <v>0</v>
      </c>
      <c r="R45" s="231">
        <f>-('Table 5C1L-Northshore Charter'!AB48+'Table 5C1L-Northshore Charter'!AE48)</f>
        <v>0</v>
      </c>
      <c r="S45" s="231">
        <f>-('Table 5C1M-B.R. Charter'!AB48+'Table 5C1M-B.R. Charter'!AE48)</f>
        <v>0</v>
      </c>
      <c r="T45" s="231">
        <f>-('Table 5C1N-Delta Charter'!AB48+'Table 5C1N-Delta Charter'!AE48)</f>
        <v>0</v>
      </c>
      <c r="U45" s="231">
        <f>-('Table 5C1O-Impact'!AB48+'Table 5C1O-Impact'!AE48)</f>
        <v>0</v>
      </c>
      <c r="V45" s="231">
        <f>-('Table 5C1P-Vision'!AB48+'Table 5C1P-Vision'!AE48)</f>
        <v>0</v>
      </c>
      <c r="W45" s="231">
        <f>-('Table 5C1Q-Advantage'!AB48+'Table 5C1Q-Advantage'!AE48)</f>
        <v>0</v>
      </c>
      <c r="X45" s="231">
        <f>-('Table 5C1R-Iberville'!AB48+'Table 5C1R-Iberville'!AE48)</f>
        <v>0</v>
      </c>
      <c r="Y45" s="231">
        <f>-('Table 5C1S-L.C. Coll Prep'!AB48+'Table 5C1S-L.C. Coll Prep'!AE48)</f>
        <v>0</v>
      </c>
      <c r="Z45" s="231">
        <f>-('Table 5C1T-Northeast'!AB48+'Table 5C1T-Northeast'!AE48)</f>
        <v>0</v>
      </c>
      <c r="AA45" s="231">
        <f>-('Table 5C1U-Acadiana Ren'!AB48+'Table 5C1U-Acadiana Ren'!AE48)</f>
        <v>0</v>
      </c>
      <c r="AB45" s="231">
        <f>-('Table 5C1V-Laf Ren'!AB48+'Table 5C1V-Laf Ren'!AE48)</f>
        <v>0</v>
      </c>
      <c r="AC45" s="231">
        <f>-('Table 5C1W-Willow'!AB48+'Table 5C1W-Willow'!AE48)</f>
        <v>0</v>
      </c>
      <c r="AD45" s="231">
        <f>-('Table 5C2 - LA Virtual Admy'!AC48+'Table 5C2 - LA Virtual Admy'!AF48)</f>
        <v>-10757.25</v>
      </c>
      <c r="AE45" s="231">
        <f>-('Table 5C3 - LA Connections EBR'!AC48+'Table 5C3 - LA Connections EBR'!AF48)</f>
        <v>-24588</v>
      </c>
      <c r="AF45" s="231">
        <f t="shared" si="3"/>
        <v>-46526.453262228948</v>
      </c>
      <c r="AG45" s="249">
        <f t="shared" si="4"/>
        <v>17710013.546737771</v>
      </c>
    </row>
    <row r="46" spans="1:33" ht="14.45" customHeight="1">
      <c r="A46" s="228">
        <v>43</v>
      </c>
      <c r="B46" s="229" t="s">
        <v>115</v>
      </c>
      <c r="C46" s="230">
        <f>+'Table 2_State Distrib and Adjs'!AP49</f>
        <v>26069420</v>
      </c>
      <c r="D46" s="231">
        <f>-'Table 5A3_OJJ'!T48</f>
        <v>-6383.9601539019759</v>
      </c>
      <c r="E46" s="231"/>
      <c r="F46" s="231"/>
      <c r="G46" s="231">
        <f>-('Table 5C1A-Madison Prep'!AB49+'Table 5C1A-Madison Prep'!AE49)</f>
        <v>0</v>
      </c>
      <c r="H46" s="231">
        <f>-('Table 5C1B-DArbonne'!AB49+'Table 5C1B-DArbonne'!AE49)</f>
        <v>0</v>
      </c>
      <c r="I46" s="231">
        <f>-('Table 5C1C-Intl_VIBE'!AB49+'Table 5C1C-Intl_VIBE'!AE49)</f>
        <v>0</v>
      </c>
      <c r="J46" s="231">
        <f>-('Table 5C1D-NOMMA'!AB49+'Table 5C1D-NOMMA'!AE49)</f>
        <v>0</v>
      </c>
      <c r="K46" s="231">
        <f>-('Table 5C1E-LFNO'!AB49+'Table 5C1E-LFNO'!AE49)</f>
        <v>0</v>
      </c>
      <c r="L46" s="231">
        <f>-('Table 5C1F-Lake Charles Charter'!AB49+'Table 5C1F-Lake Charles Charter'!AE49)</f>
        <v>0</v>
      </c>
      <c r="M46" s="231">
        <f>-('Table 5C1G-JS Clark Academy'!AB49+'Table 5C1G-JS Clark Academy'!AE49)</f>
        <v>0</v>
      </c>
      <c r="N46" s="231">
        <f>-('Table 5C1H-Southwest LA Charter'!AB49+'Table 5C1H-Southwest LA Charter'!AE49)</f>
        <v>0</v>
      </c>
      <c r="O46" s="231">
        <f>-('Table 5C1I-LA Key Academy'!AB49+'Table 5C1I-LA Key Academy'!AE49)</f>
        <v>0</v>
      </c>
      <c r="P46" s="231">
        <f>-('Table 5C1J-Jefferson Chamber'!AB49+'Table 5C1J-Jefferson Chamber'!AE49)</f>
        <v>0</v>
      </c>
      <c r="Q46" s="231">
        <f>-('Table 5C1K-Tallulah Charter'!AB49+'Table 5C1K-Tallulah Charter'!AE49)</f>
        <v>0</v>
      </c>
      <c r="R46" s="231">
        <f>-('Table 5C1L-Northshore Charter'!AB49+'Table 5C1L-Northshore Charter'!AE49)</f>
        <v>0</v>
      </c>
      <c r="S46" s="231">
        <f>-('Table 5C1M-B.R. Charter'!AB49+'Table 5C1M-B.R. Charter'!AE49)</f>
        <v>0</v>
      </c>
      <c r="T46" s="231">
        <f>-('Table 5C1N-Delta Charter'!AB49+'Table 5C1N-Delta Charter'!AE49)</f>
        <v>0</v>
      </c>
      <c r="U46" s="231">
        <f>-('Table 5C1O-Impact'!AB49+'Table 5C1O-Impact'!AE49)</f>
        <v>0</v>
      </c>
      <c r="V46" s="231">
        <f>-('Table 5C1P-Vision'!AB49+'Table 5C1P-Vision'!AE49)</f>
        <v>0</v>
      </c>
      <c r="W46" s="231">
        <f>-('Table 5C1Q-Advantage'!AB49+'Table 5C1Q-Advantage'!AE49)</f>
        <v>0</v>
      </c>
      <c r="X46" s="231">
        <f>-('Table 5C1R-Iberville'!AB49+'Table 5C1R-Iberville'!AE49)</f>
        <v>0</v>
      </c>
      <c r="Y46" s="231">
        <f>-('Table 5C1S-L.C. Coll Prep'!AB49+'Table 5C1S-L.C. Coll Prep'!AE49)</f>
        <v>0</v>
      </c>
      <c r="Z46" s="231">
        <f>-('Table 5C1T-Northeast'!AB49+'Table 5C1T-Northeast'!AE49)</f>
        <v>0</v>
      </c>
      <c r="AA46" s="231">
        <f>-('Table 5C1U-Acadiana Ren'!AB49+'Table 5C1U-Acadiana Ren'!AE49)</f>
        <v>0</v>
      </c>
      <c r="AB46" s="231">
        <f>-('Table 5C1V-Laf Ren'!AB49+'Table 5C1V-Laf Ren'!AE49)</f>
        <v>0</v>
      </c>
      <c r="AC46" s="231">
        <f>-('Table 5C1W-Willow'!AB49+'Table 5C1W-Willow'!AE49)</f>
        <v>0</v>
      </c>
      <c r="AD46" s="231">
        <f>-('Table 5C2 - LA Virtual Admy'!AC49+'Table 5C2 - LA Virtual Admy'!AF49)</f>
        <v>-37507.5</v>
      </c>
      <c r="AE46" s="231">
        <f>-('Table 5C3 - LA Connections EBR'!AC49+'Table 5C3 - LA Connections EBR'!AF49)</f>
        <v>-21004.199999999997</v>
      </c>
      <c r="AF46" s="231">
        <f t="shared" si="3"/>
        <v>-64895.660153901976</v>
      </c>
      <c r="AG46" s="249">
        <f t="shared" si="4"/>
        <v>26004524.339846097</v>
      </c>
    </row>
    <row r="47" spans="1:33" ht="14.45" customHeight="1">
      <c r="A47" s="228">
        <v>44</v>
      </c>
      <c r="B47" s="229" t="s">
        <v>116</v>
      </c>
      <c r="C47" s="230">
        <f>+'Table 2_State Distrib and Adjs'!AP50</f>
        <v>39110878</v>
      </c>
      <c r="D47" s="231">
        <f>-'Table 5A3_OJJ'!T49</f>
        <v>-1679.6728620799104</v>
      </c>
      <c r="E47" s="231"/>
      <c r="F47" s="231"/>
      <c r="G47" s="231">
        <f>-('Table 5C1A-Madison Prep'!AB50+'Table 5C1A-Madison Prep'!AE50)</f>
        <v>0</v>
      </c>
      <c r="H47" s="231">
        <f>-('Table 5C1B-DArbonne'!AB50+'Table 5C1B-DArbonne'!AE50)</f>
        <v>0</v>
      </c>
      <c r="I47" s="231">
        <f>-('Table 5C1C-Intl_VIBE'!AB50+'Table 5C1C-Intl_VIBE'!AE50)</f>
        <v>-12554.5</v>
      </c>
      <c r="J47" s="231">
        <f>-('Table 5C1D-NOMMA'!AB50+'Table 5C1D-NOMMA'!AE50)</f>
        <v>-3587</v>
      </c>
      <c r="K47" s="231">
        <f>-('Table 5C1E-LFNO'!AB50+'Table 5C1E-LFNO'!AE50)</f>
        <v>-14348</v>
      </c>
      <c r="L47" s="231">
        <f>-('Table 5C1F-Lake Charles Charter'!AB50+'Table 5C1F-Lake Charles Charter'!AE50)</f>
        <v>0</v>
      </c>
      <c r="M47" s="231">
        <f>-('Table 5C1G-JS Clark Academy'!AB50+'Table 5C1G-JS Clark Academy'!AE50)</f>
        <v>0</v>
      </c>
      <c r="N47" s="231">
        <f>-('Table 5C1H-Southwest LA Charter'!AB50+'Table 5C1H-Southwest LA Charter'!AE50)</f>
        <v>0</v>
      </c>
      <c r="O47" s="231">
        <f>-('Table 5C1I-LA Key Academy'!AB50+'Table 5C1I-LA Key Academy'!AE50)</f>
        <v>0</v>
      </c>
      <c r="P47" s="231">
        <f>-('Table 5C1J-Jefferson Chamber'!AB50+'Table 5C1J-Jefferson Chamber'!AE50)</f>
        <v>0</v>
      </c>
      <c r="Q47" s="231">
        <f>-('Table 5C1K-Tallulah Charter'!AB50+'Table 5C1K-Tallulah Charter'!AE50)</f>
        <v>0</v>
      </c>
      <c r="R47" s="231">
        <f>-('Table 5C1L-Northshore Charter'!AB50+'Table 5C1L-Northshore Charter'!AE50)</f>
        <v>0</v>
      </c>
      <c r="S47" s="231">
        <f>-('Table 5C1M-B.R. Charter'!AB50+'Table 5C1M-B.R. Charter'!AE50)</f>
        <v>0</v>
      </c>
      <c r="T47" s="231">
        <f>-('Table 5C1N-Delta Charter'!AB50+'Table 5C1N-Delta Charter'!AE50)</f>
        <v>0</v>
      </c>
      <c r="U47" s="231">
        <f>-('Table 5C1O-Impact'!AB50+'Table 5C1O-Impact'!AE50)</f>
        <v>0</v>
      </c>
      <c r="V47" s="231">
        <f>-('Table 5C1P-Vision'!AB50+'Table 5C1P-Vision'!AE50)</f>
        <v>0</v>
      </c>
      <c r="W47" s="231">
        <f>-('Table 5C1Q-Advantage'!AB50+'Table 5C1Q-Advantage'!AE50)</f>
        <v>0</v>
      </c>
      <c r="X47" s="231">
        <f>-('Table 5C1R-Iberville'!AB50+'Table 5C1R-Iberville'!AE50)</f>
        <v>0</v>
      </c>
      <c r="Y47" s="231">
        <f>-('Table 5C1S-L.C. Coll Prep'!AB50+'Table 5C1S-L.C. Coll Prep'!AE50)</f>
        <v>0</v>
      </c>
      <c r="Z47" s="231">
        <f>-('Table 5C1T-Northeast'!AB50+'Table 5C1T-Northeast'!AE50)</f>
        <v>0</v>
      </c>
      <c r="AA47" s="231">
        <f>-('Table 5C1U-Acadiana Ren'!AB50+'Table 5C1U-Acadiana Ren'!AE50)</f>
        <v>0</v>
      </c>
      <c r="AB47" s="231">
        <f>-('Table 5C1V-Laf Ren'!AB50+'Table 5C1V-Laf Ren'!AE50)</f>
        <v>0</v>
      </c>
      <c r="AC47" s="231">
        <f>-('Table 5C1W-Willow'!AB50+'Table 5C1W-Willow'!AE50)</f>
        <v>0</v>
      </c>
      <c r="AD47" s="231">
        <f>-('Table 5C2 - LA Virtual Admy'!AC50+'Table 5C2 - LA Virtual Admy'!AF50)</f>
        <v>-67794.3</v>
      </c>
      <c r="AE47" s="231">
        <f>-('Table 5C3 - LA Connections EBR'!AC50+'Table 5C3 - LA Connections EBR'!AF50)</f>
        <v>-37125.450000000004</v>
      </c>
      <c r="AF47" s="231">
        <f t="shared" si="3"/>
        <v>-137088.92286207993</v>
      </c>
      <c r="AG47" s="249">
        <f t="shared" si="4"/>
        <v>38973789.077137917</v>
      </c>
    </row>
    <row r="48" spans="1:33" ht="14.45" customHeight="1">
      <c r="A48" s="3">
        <v>45</v>
      </c>
      <c r="B48" s="7" t="s">
        <v>117</v>
      </c>
      <c r="C48" s="9">
        <f>+'Table 2_State Distrib and Adjs'!AP51</f>
        <v>26919010</v>
      </c>
      <c r="D48" s="10">
        <f>-'Table 5A3_OJJ'!T50</f>
        <v>-6394.9732351265066</v>
      </c>
      <c r="E48" s="10"/>
      <c r="F48" s="10"/>
      <c r="G48" s="10">
        <f>-('Table 5C1A-Madison Prep'!AB51+'Table 5C1A-Madison Prep'!AE51)</f>
        <v>0</v>
      </c>
      <c r="H48" s="10">
        <f>-('Table 5C1B-DArbonne'!AB51+'Table 5C1B-DArbonne'!AE51)</f>
        <v>0</v>
      </c>
      <c r="I48" s="10">
        <f>-('Table 5C1C-Intl_VIBE'!AB51+'Table 5C1C-Intl_VIBE'!AE51)</f>
        <v>0</v>
      </c>
      <c r="J48" s="10">
        <f>-('Table 5C1D-NOMMA'!AB51+'Table 5C1D-NOMMA'!AE51)</f>
        <v>0</v>
      </c>
      <c r="K48" s="10">
        <f>-('Table 5C1E-LFNO'!AB51+'Table 5C1E-LFNO'!AE51)</f>
        <v>-48536</v>
      </c>
      <c r="L48" s="10">
        <f>-('Table 5C1F-Lake Charles Charter'!AB51+'Table 5C1F-Lake Charles Charter'!AE51)</f>
        <v>0</v>
      </c>
      <c r="M48" s="10">
        <f>-('Table 5C1G-JS Clark Academy'!AB51+'Table 5C1G-JS Clark Academy'!AE51)</f>
        <v>0</v>
      </c>
      <c r="N48" s="10">
        <f>-('Table 5C1H-Southwest LA Charter'!AB51+'Table 5C1H-Southwest LA Charter'!AE51)</f>
        <v>0</v>
      </c>
      <c r="O48" s="10">
        <f>-('Table 5C1I-LA Key Academy'!AB51+'Table 5C1I-LA Key Academy'!AE51)</f>
        <v>0</v>
      </c>
      <c r="P48" s="10">
        <f>-('Table 5C1J-Jefferson Chamber'!AB51+'Table 5C1J-Jefferson Chamber'!AE51)</f>
        <v>-12134</v>
      </c>
      <c r="Q48" s="10">
        <f>-('Table 5C1K-Tallulah Charter'!AB51+'Table 5C1K-Tallulah Charter'!AE51)</f>
        <v>0</v>
      </c>
      <c r="R48" s="10">
        <f>-('Table 5C1L-Northshore Charter'!AB51+'Table 5C1L-Northshore Charter'!AE51)</f>
        <v>0</v>
      </c>
      <c r="S48" s="10">
        <f>-('Table 5C1M-B.R. Charter'!AB51+'Table 5C1M-B.R. Charter'!AE51)</f>
        <v>0</v>
      </c>
      <c r="T48" s="10">
        <f>-('Table 5C1N-Delta Charter'!AB51+'Table 5C1N-Delta Charter'!AE51)</f>
        <v>0</v>
      </c>
      <c r="U48" s="10">
        <f>-('Table 5C1O-Impact'!AB51+'Table 5C1O-Impact'!AE51)</f>
        <v>0</v>
      </c>
      <c r="V48" s="10">
        <f>-('Table 5C1P-Vision'!AB51+'Table 5C1P-Vision'!AE51)</f>
        <v>0</v>
      </c>
      <c r="W48" s="10">
        <f>-('Table 5C1Q-Advantage'!AB51+'Table 5C1Q-Advantage'!AE51)</f>
        <v>0</v>
      </c>
      <c r="X48" s="10">
        <f>-('Table 5C1R-Iberville'!AB51+'Table 5C1R-Iberville'!AE51)</f>
        <v>0</v>
      </c>
      <c r="Y48" s="10">
        <f>-('Table 5C1S-L.C. Coll Prep'!AB51+'Table 5C1S-L.C. Coll Prep'!AE51)</f>
        <v>0</v>
      </c>
      <c r="Z48" s="10">
        <f>-('Table 5C1T-Northeast'!AB51+'Table 5C1T-Northeast'!AE51)</f>
        <v>0</v>
      </c>
      <c r="AA48" s="10">
        <f>-('Table 5C1U-Acadiana Ren'!AB51+'Table 5C1U-Acadiana Ren'!AE51)</f>
        <v>0</v>
      </c>
      <c r="AB48" s="10">
        <f>-('Table 5C1V-Laf Ren'!AB51+'Table 5C1V-Laf Ren'!AE51)</f>
        <v>0</v>
      </c>
      <c r="AC48" s="10">
        <f>-('Table 5C1W-Willow'!AB51+'Table 5C1W-Willow'!AE51)</f>
        <v>0</v>
      </c>
      <c r="AD48" s="10">
        <f>-('Table 5C2 - LA Virtual Admy'!AC51+'Table 5C2 - LA Virtual Admy'!AF51)</f>
        <v>-114666.3</v>
      </c>
      <c r="AE48" s="10">
        <f>-('Table 5C3 - LA Connections EBR'!AC51+'Table 5C3 - LA Connections EBR'!AF51)</f>
        <v>-223872.30000000002</v>
      </c>
      <c r="AF48" s="10">
        <f t="shared" si="3"/>
        <v>-405603.57323512656</v>
      </c>
      <c r="AG48" s="15">
        <f t="shared" si="4"/>
        <v>26513406.426764872</v>
      </c>
    </row>
    <row r="49" spans="1:33" ht="14.45" customHeight="1">
      <c r="A49" s="240">
        <v>46</v>
      </c>
      <c r="B49" s="241" t="s">
        <v>118</v>
      </c>
      <c r="C49" s="242">
        <f>+'Table 2_State Distrib and Adjs'!AP52</f>
        <v>7213027</v>
      </c>
      <c r="D49" s="243">
        <f>-'Table 5A3_OJJ'!T51</f>
        <v>0</v>
      </c>
      <c r="E49" s="243"/>
      <c r="F49" s="243"/>
      <c r="G49" s="243">
        <f>-('Table 5C1A-Madison Prep'!AB52+'Table 5C1A-Madison Prep'!AE52)</f>
        <v>0</v>
      </c>
      <c r="H49" s="243">
        <f>-('Table 5C1B-DArbonne'!AB52+'Table 5C1B-DArbonne'!AE52)</f>
        <v>0</v>
      </c>
      <c r="I49" s="243">
        <f>-('Table 5C1C-Intl_VIBE'!AB52+'Table 5C1C-Intl_VIBE'!AE52)</f>
        <v>0</v>
      </c>
      <c r="J49" s="243">
        <f>-('Table 5C1D-NOMMA'!AB52+'Table 5C1D-NOMMA'!AE52)</f>
        <v>0</v>
      </c>
      <c r="K49" s="243">
        <f>-('Table 5C1E-LFNO'!AB52+'Table 5C1E-LFNO'!AE52)</f>
        <v>0</v>
      </c>
      <c r="L49" s="243">
        <f>-('Table 5C1F-Lake Charles Charter'!AB52+'Table 5C1F-Lake Charles Charter'!AE52)</f>
        <v>0</v>
      </c>
      <c r="M49" s="243">
        <f>-('Table 5C1G-JS Clark Academy'!AB52+'Table 5C1G-JS Clark Academy'!AE52)</f>
        <v>0</v>
      </c>
      <c r="N49" s="243">
        <f>-('Table 5C1H-Southwest LA Charter'!AB52+'Table 5C1H-Southwest LA Charter'!AE52)</f>
        <v>0</v>
      </c>
      <c r="O49" s="243">
        <f>-('Table 5C1I-LA Key Academy'!AB52+'Table 5C1I-LA Key Academy'!AE52)</f>
        <v>0</v>
      </c>
      <c r="P49" s="243">
        <f>-('Table 5C1J-Jefferson Chamber'!AB52+'Table 5C1J-Jefferson Chamber'!AE52)</f>
        <v>0</v>
      </c>
      <c r="Q49" s="243">
        <f>-('Table 5C1K-Tallulah Charter'!AB52+'Table 5C1K-Tallulah Charter'!AE52)</f>
        <v>0</v>
      </c>
      <c r="R49" s="243">
        <f>-('Table 5C1L-Northshore Charter'!AB52+'Table 5C1L-Northshore Charter'!AE52)</f>
        <v>0</v>
      </c>
      <c r="S49" s="243">
        <f>-('Table 5C1M-B.R. Charter'!AB52+'Table 5C1M-B.R. Charter'!AE52)</f>
        <v>0</v>
      </c>
      <c r="T49" s="243">
        <f>-('Table 5C1N-Delta Charter'!AB52+'Table 5C1N-Delta Charter'!AE52)</f>
        <v>0</v>
      </c>
      <c r="U49" s="243">
        <f>-('Table 5C1O-Impact'!AB52+'Table 5C1O-Impact'!AE52)</f>
        <v>0</v>
      </c>
      <c r="V49" s="243">
        <f>-('Table 5C1P-Vision'!AB52+'Table 5C1P-Vision'!AE52)</f>
        <v>0</v>
      </c>
      <c r="W49" s="243">
        <f>-('Table 5C1Q-Advantage'!AB52+'Table 5C1Q-Advantage'!AE52)</f>
        <v>0</v>
      </c>
      <c r="X49" s="243">
        <f>-('Table 5C1R-Iberville'!AB52+'Table 5C1R-Iberville'!AE52)</f>
        <v>0</v>
      </c>
      <c r="Y49" s="243">
        <f>-('Table 5C1S-L.C. Coll Prep'!AB52+'Table 5C1S-L.C. Coll Prep'!AE52)</f>
        <v>0</v>
      </c>
      <c r="Z49" s="243">
        <f>-('Table 5C1T-Northeast'!AB52+'Table 5C1T-Northeast'!AE52)</f>
        <v>0</v>
      </c>
      <c r="AA49" s="243">
        <f>-('Table 5C1U-Acadiana Ren'!AB52+'Table 5C1U-Acadiana Ren'!AE52)</f>
        <v>0</v>
      </c>
      <c r="AB49" s="243">
        <f>-('Table 5C1V-Laf Ren'!AB52+'Table 5C1V-Laf Ren'!AE52)</f>
        <v>0</v>
      </c>
      <c r="AC49" s="243">
        <f>-('Table 5C1W-Willow'!AB52+'Table 5C1W-Willow'!AE52)</f>
        <v>0</v>
      </c>
      <c r="AD49" s="243">
        <f>-('Table 5C2 - LA Virtual Admy'!AC52+'Table 5C2 - LA Virtual Admy'!AF52)</f>
        <v>-17239.5</v>
      </c>
      <c r="AE49" s="243">
        <f>-('Table 5C3 - LA Connections EBR'!AC52+'Table 5C3 - LA Connections EBR'!AF52)</f>
        <v>-25284.6</v>
      </c>
      <c r="AF49" s="243">
        <f t="shared" si="3"/>
        <v>-42524.1</v>
      </c>
      <c r="AG49" s="244">
        <f t="shared" si="4"/>
        <v>7170502.9000000004</v>
      </c>
    </row>
    <row r="50" spans="1:33" ht="14.45" customHeight="1">
      <c r="A50" s="228">
        <v>47</v>
      </c>
      <c r="B50" s="229" t="s">
        <v>119</v>
      </c>
      <c r="C50" s="230">
        <f>+'Table 2_State Distrib and Adjs'!AP53</f>
        <v>12677833</v>
      </c>
      <c r="D50" s="231">
        <f>-'Table 5A3_OJJ'!T52</f>
        <v>-818.71375756918121</v>
      </c>
      <c r="E50" s="231"/>
      <c r="F50" s="231"/>
      <c r="G50" s="231">
        <f>-('Table 5C1A-Madison Prep'!AB53+'Table 5C1A-Madison Prep'!AE53)</f>
        <v>0</v>
      </c>
      <c r="H50" s="231">
        <f>-('Table 5C1B-DArbonne'!AB53+'Table 5C1B-DArbonne'!AE53)</f>
        <v>0</v>
      </c>
      <c r="I50" s="231">
        <f>-('Table 5C1C-Intl_VIBE'!AB53+'Table 5C1C-Intl_VIBE'!AE53)</f>
        <v>0</v>
      </c>
      <c r="J50" s="231">
        <f>-('Table 5C1D-NOMMA'!AB53+'Table 5C1D-NOMMA'!AE53)</f>
        <v>0</v>
      </c>
      <c r="K50" s="231">
        <f>-('Table 5C1E-LFNO'!AB53+'Table 5C1E-LFNO'!AE53)</f>
        <v>0</v>
      </c>
      <c r="L50" s="231">
        <f>-('Table 5C1F-Lake Charles Charter'!AB53+'Table 5C1F-Lake Charles Charter'!AE53)</f>
        <v>0</v>
      </c>
      <c r="M50" s="231">
        <f>-('Table 5C1G-JS Clark Academy'!AB53+'Table 5C1G-JS Clark Academy'!AE53)</f>
        <v>0</v>
      </c>
      <c r="N50" s="231">
        <f>-('Table 5C1H-Southwest LA Charter'!AB53+'Table 5C1H-Southwest LA Charter'!AE53)</f>
        <v>0</v>
      </c>
      <c r="O50" s="231">
        <f>-('Table 5C1I-LA Key Academy'!AB53+'Table 5C1I-LA Key Academy'!AE53)</f>
        <v>0</v>
      </c>
      <c r="P50" s="231">
        <f>-('Table 5C1J-Jefferson Chamber'!AB53+'Table 5C1J-Jefferson Chamber'!AE53)</f>
        <v>0</v>
      </c>
      <c r="Q50" s="231">
        <f>-('Table 5C1K-Tallulah Charter'!AB53+'Table 5C1K-Tallulah Charter'!AE53)</f>
        <v>0</v>
      </c>
      <c r="R50" s="231">
        <f>-('Table 5C1L-Northshore Charter'!AB53+'Table 5C1L-Northshore Charter'!AE53)</f>
        <v>0</v>
      </c>
      <c r="S50" s="231">
        <f>-('Table 5C1M-B.R. Charter'!AB53+'Table 5C1M-B.R. Charter'!AE53)</f>
        <v>0</v>
      </c>
      <c r="T50" s="231">
        <f>-('Table 5C1N-Delta Charter'!AB53+'Table 5C1N-Delta Charter'!AE53)</f>
        <v>0</v>
      </c>
      <c r="U50" s="231">
        <f>-('Table 5C1O-Impact'!AB53+'Table 5C1O-Impact'!AE53)</f>
        <v>0</v>
      </c>
      <c r="V50" s="231">
        <f>-('Table 5C1P-Vision'!AB53+'Table 5C1P-Vision'!AE53)</f>
        <v>0</v>
      </c>
      <c r="W50" s="231">
        <f>-('Table 5C1Q-Advantage'!AB53+'Table 5C1Q-Advantage'!AE53)</f>
        <v>0</v>
      </c>
      <c r="X50" s="231">
        <f>-('Table 5C1R-Iberville'!AB53+'Table 5C1R-Iberville'!AE53)</f>
        <v>0</v>
      </c>
      <c r="Y50" s="231">
        <f>-('Table 5C1S-L.C. Coll Prep'!AB53+'Table 5C1S-L.C. Coll Prep'!AE53)</f>
        <v>0</v>
      </c>
      <c r="Z50" s="231">
        <f>-('Table 5C1T-Northeast'!AB53+'Table 5C1T-Northeast'!AE53)</f>
        <v>0</v>
      </c>
      <c r="AA50" s="231">
        <f>-('Table 5C1U-Acadiana Ren'!AB53+'Table 5C1U-Acadiana Ren'!AE53)</f>
        <v>0</v>
      </c>
      <c r="AB50" s="231">
        <f>-('Table 5C1V-Laf Ren'!AB53+'Table 5C1V-Laf Ren'!AE53)</f>
        <v>0</v>
      </c>
      <c r="AC50" s="231">
        <f>-('Table 5C1W-Willow'!AB53+'Table 5C1W-Willow'!AE53)</f>
        <v>0</v>
      </c>
      <c r="AD50" s="231">
        <f>-('Table 5C2 - LA Virtual Admy'!AC53+'Table 5C2 - LA Virtual Admy'!AF53)</f>
        <v>-20710.8</v>
      </c>
      <c r="AE50" s="231">
        <f>-('Table 5C3 - LA Connections EBR'!AC53+'Table 5C3 - LA Connections EBR'!AF53)</f>
        <v>-20710.8</v>
      </c>
      <c r="AF50" s="231">
        <f t="shared" si="3"/>
        <v>-42240.31375756918</v>
      </c>
      <c r="AG50" s="249">
        <f t="shared" si="4"/>
        <v>12635592.68624243</v>
      </c>
    </row>
    <row r="51" spans="1:33" ht="14.45" customHeight="1">
      <c r="A51" s="228">
        <v>48</v>
      </c>
      <c r="B51" s="229" t="s">
        <v>144</v>
      </c>
      <c r="C51" s="230">
        <f>+'Table 2_State Distrib and Adjs'!AP54</f>
        <v>27875661</v>
      </c>
      <c r="D51" s="231">
        <f>-'Table 5A3_OJJ'!T53</f>
        <v>-9165.3299900357288</v>
      </c>
      <c r="E51" s="231"/>
      <c r="F51" s="231"/>
      <c r="G51" s="231">
        <f>-('Table 5C1A-Madison Prep'!AB54+'Table 5C1A-Madison Prep'!AE54)</f>
        <v>0</v>
      </c>
      <c r="H51" s="231">
        <f>-('Table 5C1B-DArbonne'!AB54+'Table 5C1B-DArbonne'!AE54)</f>
        <v>0</v>
      </c>
      <c r="I51" s="231">
        <f>-('Table 5C1C-Intl_VIBE'!AB54+'Table 5C1C-Intl_VIBE'!AE54)</f>
        <v>0</v>
      </c>
      <c r="J51" s="231">
        <f>-('Table 5C1D-NOMMA'!AB54+'Table 5C1D-NOMMA'!AE54)</f>
        <v>0</v>
      </c>
      <c r="K51" s="231">
        <f>-('Table 5C1E-LFNO'!AB54+'Table 5C1E-LFNO'!AE54)</f>
        <v>-6827</v>
      </c>
      <c r="L51" s="231">
        <f>-('Table 5C1F-Lake Charles Charter'!AB54+'Table 5C1F-Lake Charles Charter'!AE54)</f>
        <v>0</v>
      </c>
      <c r="M51" s="231">
        <f>-('Table 5C1G-JS Clark Academy'!AB54+'Table 5C1G-JS Clark Academy'!AE54)</f>
        <v>0</v>
      </c>
      <c r="N51" s="231">
        <f>-('Table 5C1H-Southwest LA Charter'!AB54+'Table 5C1H-Southwest LA Charter'!AE54)</f>
        <v>0</v>
      </c>
      <c r="O51" s="231">
        <f>-('Table 5C1I-LA Key Academy'!AB54+'Table 5C1I-LA Key Academy'!AE54)</f>
        <v>0</v>
      </c>
      <c r="P51" s="231">
        <f>-('Table 5C1J-Jefferson Chamber'!AB54+'Table 5C1J-Jefferson Chamber'!AE54)</f>
        <v>-13654</v>
      </c>
      <c r="Q51" s="231">
        <f>-('Table 5C1K-Tallulah Charter'!AB54+'Table 5C1K-Tallulah Charter'!AE54)</f>
        <v>0</v>
      </c>
      <c r="R51" s="231">
        <f>-('Table 5C1L-Northshore Charter'!AB54+'Table 5C1L-Northshore Charter'!AE54)</f>
        <v>0</v>
      </c>
      <c r="S51" s="231">
        <f>-('Table 5C1M-B.R. Charter'!AB54+'Table 5C1M-B.R. Charter'!AE54)</f>
        <v>0</v>
      </c>
      <c r="T51" s="231">
        <f>-('Table 5C1N-Delta Charter'!AB54+'Table 5C1N-Delta Charter'!AE54)</f>
        <v>0</v>
      </c>
      <c r="U51" s="231">
        <f>-('Table 5C1O-Impact'!AB54+'Table 5C1O-Impact'!AE54)</f>
        <v>0</v>
      </c>
      <c r="V51" s="231">
        <f>-('Table 5C1P-Vision'!AB54+'Table 5C1P-Vision'!AE54)</f>
        <v>0</v>
      </c>
      <c r="W51" s="231">
        <f>-('Table 5C1Q-Advantage'!AB54+'Table 5C1Q-Advantage'!AE54)</f>
        <v>0</v>
      </c>
      <c r="X51" s="231">
        <f>-('Table 5C1R-Iberville'!AB54+'Table 5C1R-Iberville'!AE54)</f>
        <v>0</v>
      </c>
      <c r="Y51" s="231">
        <f>-('Table 5C1S-L.C. Coll Prep'!AB54+'Table 5C1S-L.C. Coll Prep'!AE54)</f>
        <v>0</v>
      </c>
      <c r="Z51" s="231">
        <f>-('Table 5C1T-Northeast'!AB54+'Table 5C1T-Northeast'!AE54)</f>
        <v>0</v>
      </c>
      <c r="AA51" s="231">
        <f>-('Table 5C1U-Acadiana Ren'!AB54+'Table 5C1U-Acadiana Ren'!AE54)</f>
        <v>0</v>
      </c>
      <c r="AB51" s="231">
        <f>-('Table 5C1V-Laf Ren'!AB54+'Table 5C1V-Laf Ren'!AE54)</f>
        <v>0</v>
      </c>
      <c r="AC51" s="231">
        <f>-('Table 5C1W-Willow'!AB54+'Table 5C1W-Willow'!AE54)</f>
        <v>0</v>
      </c>
      <c r="AD51" s="231">
        <f>-('Table 5C2 - LA Virtual Admy'!AC54+'Table 5C2 - LA Virtual Admy'!AF54)</f>
        <v>-144391.04999999999</v>
      </c>
      <c r="AE51" s="231">
        <f>-('Table 5C3 - LA Connections EBR'!AC54+'Table 5C3 - LA Connections EBR'!AF54)</f>
        <v>-156679.65</v>
      </c>
      <c r="AF51" s="231">
        <f t="shared" si="3"/>
        <v>-330717.02999003569</v>
      </c>
      <c r="AG51" s="249">
        <f t="shared" si="4"/>
        <v>27544943.970009964</v>
      </c>
    </row>
    <row r="52" spans="1:33" ht="14.45" customHeight="1">
      <c r="A52" s="228">
        <v>49</v>
      </c>
      <c r="B52" s="229" t="s">
        <v>120</v>
      </c>
      <c r="C52" s="230">
        <f>+'Table 2_State Distrib and Adjs'!AP55</f>
        <v>78184162</v>
      </c>
      <c r="D52" s="231">
        <f>-'Table 5A3_OJJ'!T54</f>
        <v>-19436.937717550325</v>
      </c>
      <c r="E52" s="231"/>
      <c r="F52" s="231"/>
      <c r="G52" s="231">
        <f>-('Table 5C1A-Madison Prep'!AB55+'Table 5C1A-Madison Prep'!AE55)</f>
        <v>0</v>
      </c>
      <c r="H52" s="231">
        <f>-('Table 5C1B-DArbonne'!AB55+'Table 5C1B-DArbonne'!AE55)</f>
        <v>0</v>
      </c>
      <c r="I52" s="231">
        <f>-('Table 5C1C-Intl_VIBE'!AB55+'Table 5C1C-Intl_VIBE'!AE55)</f>
        <v>0</v>
      </c>
      <c r="J52" s="231">
        <f>-('Table 5C1D-NOMMA'!AB55+'Table 5C1D-NOMMA'!AE55)</f>
        <v>0</v>
      </c>
      <c r="K52" s="231">
        <f>-('Table 5C1E-LFNO'!AB55+'Table 5C1E-LFNO'!AE55)</f>
        <v>0</v>
      </c>
      <c r="L52" s="231">
        <f>-('Table 5C1F-Lake Charles Charter'!AB55+'Table 5C1F-Lake Charles Charter'!AE55)</f>
        <v>0</v>
      </c>
      <c r="M52" s="231">
        <f>-('Table 5C1G-JS Clark Academy'!AB55+'Table 5C1G-JS Clark Academy'!AE55)</f>
        <v>-523027</v>
      </c>
      <c r="N52" s="231">
        <f>-('Table 5C1H-Southwest LA Charter'!AB55+'Table 5C1H-Southwest LA Charter'!AE55)</f>
        <v>0</v>
      </c>
      <c r="O52" s="231">
        <f>-('Table 5C1I-LA Key Academy'!AB55+'Table 5C1I-LA Key Academy'!AE55)</f>
        <v>0</v>
      </c>
      <c r="P52" s="231">
        <f>-('Table 5C1J-Jefferson Chamber'!AB55+'Table 5C1J-Jefferson Chamber'!AE55)</f>
        <v>0</v>
      </c>
      <c r="Q52" s="231">
        <f>-('Table 5C1K-Tallulah Charter'!AB55+'Table 5C1K-Tallulah Charter'!AE55)</f>
        <v>0</v>
      </c>
      <c r="R52" s="231">
        <f>-('Table 5C1L-Northshore Charter'!AB55+'Table 5C1L-Northshore Charter'!AE55)</f>
        <v>0</v>
      </c>
      <c r="S52" s="231">
        <f>-('Table 5C1M-B.R. Charter'!AB55+'Table 5C1M-B.R. Charter'!AE55)</f>
        <v>0</v>
      </c>
      <c r="T52" s="231">
        <f>-('Table 5C1N-Delta Charter'!AB55+'Table 5C1N-Delta Charter'!AE55)</f>
        <v>0</v>
      </c>
      <c r="U52" s="231">
        <f>-('Table 5C1O-Impact'!AB55+'Table 5C1O-Impact'!AE55)</f>
        <v>0</v>
      </c>
      <c r="V52" s="231">
        <f>-('Table 5C1P-Vision'!AB55+'Table 5C1P-Vision'!AE55)</f>
        <v>0</v>
      </c>
      <c r="W52" s="231">
        <f>-('Table 5C1Q-Advantage'!AB55+'Table 5C1Q-Advantage'!AE55)</f>
        <v>0</v>
      </c>
      <c r="X52" s="231">
        <f>-('Table 5C1R-Iberville'!AB55+'Table 5C1R-Iberville'!AE55)</f>
        <v>0</v>
      </c>
      <c r="Y52" s="231">
        <f>-('Table 5C1S-L.C. Coll Prep'!AB55+'Table 5C1S-L.C. Coll Prep'!AE55)</f>
        <v>0</v>
      </c>
      <c r="Z52" s="231">
        <f>-('Table 5C1T-Northeast'!AB55+'Table 5C1T-Northeast'!AE55)</f>
        <v>0</v>
      </c>
      <c r="AA52" s="231">
        <f>-('Table 5C1U-Acadiana Ren'!AB55+'Table 5C1U-Acadiana Ren'!AE55)</f>
        <v>-1199.5</v>
      </c>
      <c r="AB52" s="231">
        <f>-('Table 5C1V-Laf Ren'!AB55+'Table 5C1V-Laf Ren'!AE55)</f>
        <v>-127147</v>
      </c>
      <c r="AC52" s="231">
        <f>-('Table 5C1W-Willow'!AB55+'Table 5C1W-Willow'!AE55)</f>
        <v>-55177</v>
      </c>
      <c r="AD52" s="231">
        <f>-('Table 5C2 - LA Virtual Admy'!AC55+'Table 5C2 - LA Virtual Admy'!AF55)</f>
        <v>-196478.09999999998</v>
      </c>
      <c r="AE52" s="231">
        <f>-('Table 5C3 - LA Connections EBR'!AC55+'Table 5C3 - LA Connections EBR'!AF55)</f>
        <v>-98239.049999999988</v>
      </c>
      <c r="AF52" s="231">
        <f t="shared" si="3"/>
        <v>-1020704.5877175503</v>
      </c>
      <c r="AG52" s="249">
        <f t="shared" si="4"/>
        <v>77163457.412282452</v>
      </c>
    </row>
    <row r="53" spans="1:33" ht="14.45" customHeight="1">
      <c r="A53" s="3">
        <v>50</v>
      </c>
      <c r="B53" s="7" t="s">
        <v>121</v>
      </c>
      <c r="C53" s="9">
        <f>+'Table 2_State Distrib and Adjs'!AP56</f>
        <v>46663360</v>
      </c>
      <c r="D53" s="10">
        <f>-'Table 5A3_OJJ'!T55</f>
        <v>-7004.9636780916289</v>
      </c>
      <c r="E53" s="10"/>
      <c r="F53" s="10"/>
      <c r="G53" s="10">
        <f>-('Table 5C1A-Madison Prep'!AB56+'Table 5C1A-Madison Prep'!AE56)</f>
        <v>0</v>
      </c>
      <c r="H53" s="10">
        <f>-('Table 5C1B-DArbonne'!AB56+'Table 5C1B-DArbonne'!AE56)</f>
        <v>0</v>
      </c>
      <c r="I53" s="10">
        <f>-('Table 5C1C-Intl_VIBE'!AB56+'Table 5C1C-Intl_VIBE'!AE56)</f>
        <v>0</v>
      </c>
      <c r="J53" s="10">
        <f>-('Table 5C1D-NOMMA'!AB56+'Table 5C1D-NOMMA'!AE56)</f>
        <v>0</v>
      </c>
      <c r="K53" s="10">
        <f>-('Table 5C1E-LFNO'!AB56+'Table 5C1E-LFNO'!AE56)</f>
        <v>0</v>
      </c>
      <c r="L53" s="10">
        <f>-('Table 5C1F-Lake Charles Charter'!AB56+'Table 5C1F-Lake Charles Charter'!AE56)</f>
        <v>0</v>
      </c>
      <c r="M53" s="10">
        <f>-('Table 5C1G-JS Clark Academy'!AB56+'Table 5C1G-JS Clark Academy'!AE56)</f>
        <v>0</v>
      </c>
      <c r="N53" s="10">
        <f>-('Table 5C1H-Southwest LA Charter'!AB56+'Table 5C1H-Southwest LA Charter'!AE56)</f>
        <v>0</v>
      </c>
      <c r="O53" s="10">
        <f>-('Table 5C1I-LA Key Academy'!AB56+'Table 5C1I-LA Key Academy'!AE56)</f>
        <v>0</v>
      </c>
      <c r="P53" s="10">
        <f>-('Table 5C1J-Jefferson Chamber'!AB56+'Table 5C1J-Jefferson Chamber'!AE56)</f>
        <v>0</v>
      </c>
      <c r="Q53" s="10">
        <f>-('Table 5C1K-Tallulah Charter'!AB56+'Table 5C1K-Tallulah Charter'!AE56)</f>
        <v>0</v>
      </c>
      <c r="R53" s="10">
        <f>-('Table 5C1L-Northshore Charter'!AB56+'Table 5C1L-Northshore Charter'!AE56)</f>
        <v>0</v>
      </c>
      <c r="S53" s="10">
        <f>-('Table 5C1M-B.R. Charter'!AB56+'Table 5C1M-B.R. Charter'!AE56)</f>
        <v>0</v>
      </c>
      <c r="T53" s="10">
        <f>-('Table 5C1N-Delta Charter'!AB56+'Table 5C1N-Delta Charter'!AE56)</f>
        <v>0</v>
      </c>
      <c r="U53" s="10">
        <f>-('Table 5C1O-Impact'!AB56+'Table 5C1O-Impact'!AE56)</f>
        <v>0</v>
      </c>
      <c r="V53" s="10">
        <f>-('Table 5C1P-Vision'!AB56+'Table 5C1P-Vision'!AE56)</f>
        <v>0</v>
      </c>
      <c r="W53" s="10">
        <f>-('Table 5C1Q-Advantage'!AB56+'Table 5C1Q-Advantage'!AE56)</f>
        <v>0</v>
      </c>
      <c r="X53" s="10">
        <f>-('Table 5C1R-Iberville'!AB56+'Table 5C1R-Iberville'!AE56)</f>
        <v>0</v>
      </c>
      <c r="Y53" s="10">
        <f>-('Table 5C1S-L.C. Coll Prep'!AB56+'Table 5C1S-L.C. Coll Prep'!AE56)</f>
        <v>0</v>
      </c>
      <c r="Z53" s="10">
        <f>-('Table 5C1T-Northeast'!AB56+'Table 5C1T-Northeast'!AE56)</f>
        <v>0</v>
      </c>
      <c r="AA53" s="10">
        <f>-('Table 5C1U-Acadiana Ren'!AB56+'Table 5C1U-Acadiana Ren'!AE56)</f>
        <v>-22184.5</v>
      </c>
      <c r="AB53" s="10">
        <f>-('Table 5C1V-Laf Ren'!AB56+'Table 5C1V-Laf Ren'!AE56)</f>
        <v>-22184.5</v>
      </c>
      <c r="AC53" s="10">
        <f>-('Table 5C1W-Willow'!AB56+'Table 5C1W-Willow'!AE56)</f>
        <v>-90444.5</v>
      </c>
      <c r="AD53" s="10">
        <f>-('Table 5C2 - LA Virtual Admy'!AC56+'Table 5C2 - LA Virtual Admy'!AF56)</f>
        <v>-58362.3</v>
      </c>
      <c r="AE53" s="10">
        <f>-('Table 5C3 - LA Connections EBR'!AC56+'Table 5C3 - LA Connections EBR'!AF56)</f>
        <v>-38396.25</v>
      </c>
      <c r="AF53" s="10">
        <f t="shared" si="3"/>
        <v>-238577.01367809164</v>
      </c>
      <c r="AG53" s="15">
        <f t="shared" si="4"/>
        <v>46424782.986321911</v>
      </c>
    </row>
    <row r="54" spans="1:33" ht="14.45" customHeight="1">
      <c r="A54" s="240">
        <v>51</v>
      </c>
      <c r="B54" s="241" t="s">
        <v>122</v>
      </c>
      <c r="C54" s="242">
        <f>+'Table 2_State Distrib and Adjs'!AP57</f>
        <v>43618534</v>
      </c>
      <c r="D54" s="243">
        <f>-'Table 5A3_OJJ'!T56</f>
        <v>-11244.744144165161</v>
      </c>
      <c r="E54" s="243"/>
      <c r="F54" s="243"/>
      <c r="G54" s="243">
        <f>-('Table 5C1A-Madison Prep'!AB57+'Table 5C1A-Madison Prep'!AE57)</f>
        <v>0</v>
      </c>
      <c r="H54" s="243">
        <f>-('Table 5C1B-DArbonne'!AB57+'Table 5C1B-DArbonne'!AE57)</f>
        <v>0</v>
      </c>
      <c r="I54" s="243">
        <f>-('Table 5C1C-Intl_VIBE'!AB57+'Table 5C1C-Intl_VIBE'!AE57)</f>
        <v>0</v>
      </c>
      <c r="J54" s="243">
        <f>-('Table 5C1D-NOMMA'!AB57+'Table 5C1D-NOMMA'!AE57)</f>
        <v>0</v>
      </c>
      <c r="K54" s="243">
        <f>-('Table 5C1E-LFNO'!AB57+'Table 5C1E-LFNO'!AE57)</f>
        <v>0</v>
      </c>
      <c r="L54" s="243">
        <f>-('Table 5C1F-Lake Charles Charter'!AB57+'Table 5C1F-Lake Charles Charter'!AE57)</f>
        <v>0</v>
      </c>
      <c r="M54" s="243">
        <f>-('Table 5C1G-JS Clark Academy'!AB57+'Table 5C1G-JS Clark Academy'!AE57)</f>
        <v>0</v>
      </c>
      <c r="N54" s="243">
        <f>-('Table 5C1H-Southwest LA Charter'!AB57+'Table 5C1H-Southwest LA Charter'!AE57)</f>
        <v>0</v>
      </c>
      <c r="O54" s="243">
        <f>-('Table 5C1I-LA Key Academy'!AB57+'Table 5C1I-LA Key Academy'!AE57)</f>
        <v>0</v>
      </c>
      <c r="P54" s="243">
        <f>-('Table 5C1J-Jefferson Chamber'!AB57+'Table 5C1J-Jefferson Chamber'!AE57)</f>
        <v>0</v>
      </c>
      <c r="Q54" s="243">
        <f>-('Table 5C1K-Tallulah Charter'!AB57+'Table 5C1K-Tallulah Charter'!AE57)</f>
        <v>0</v>
      </c>
      <c r="R54" s="243">
        <f>-('Table 5C1L-Northshore Charter'!AB57+'Table 5C1L-Northshore Charter'!AE57)</f>
        <v>0</v>
      </c>
      <c r="S54" s="243">
        <f>-('Table 5C1M-B.R. Charter'!AB57+'Table 5C1M-B.R. Charter'!AE57)</f>
        <v>0</v>
      </c>
      <c r="T54" s="243">
        <f>-('Table 5C1N-Delta Charter'!AB57+'Table 5C1N-Delta Charter'!AE57)</f>
        <v>0</v>
      </c>
      <c r="U54" s="243">
        <f>-('Table 5C1O-Impact'!AB57+'Table 5C1O-Impact'!AE57)</f>
        <v>0</v>
      </c>
      <c r="V54" s="243">
        <f>-('Table 5C1P-Vision'!AB57+'Table 5C1P-Vision'!AE57)</f>
        <v>0</v>
      </c>
      <c r="W54" s="243">
        <f>-('Table 5C1Q-Advantage'!AB57+'Table 5C1Q-Advantage'!AE57)</f>
        <v>0</v>
      </c>
      <c r="X54" s="243">
        <f>-('Table 5C1R-Iberville'!AB57+'Table 5C1R-Iberville'!AE57)</f>
        <v>0</v>
      </c>
      <c r="Y54" s="243">
        <f>-('Table 5C1S-L.C. Coll Prep'!AB57+'Table 5C1S-L.C. Coll Prep'!AE57)</f>
        <v>0</v>
      </c>
      <c r="Z54" s="243">
        <f>-('Table 5C1T-Northeast'!AB57+'Table 5C1T-Northeast'!AE57)</f>
        <v>0</v>
      </c>
      <c r="AA54" s="243">
        <f>-('Table 5C1U-Acadiana Ren'!AB57+'Table 5C1U-Acadiana Ren'!AE57)</f>
        <v>0</v>
      </c>
      <c r="AB54" s="243">
        <f>-('Table 5C1V-Laf Ren'!AB57+'Table 5C1V-Laf Ren'!AE57)</f>
        <v>-13536</v>
      </c>
      <c r="AC54" s="243">
        <f>-('Table 5C1W-Willow'!AB57+'Table 5C1W-Willow'!AE57)</f>
        <v>-4512</v>
      </c>
      <c r="AD54" s="243">
        <f>-('Table 5C2 - LA Virtual Admy'!AC57+'Table 5C2 - LA Virtual Admy'!AF57)</f>
        <v>-58881.600000000006</v>
      </c>
      <c r="AE54" s="243">
        <f>-('Table 5C3 - LA Connections EBR'!AC57+'Table 5C3 - LA Connections EBR'!AF57)</f>
        <v>-58881.600000000006</v>
      </c>
      <c r="AF54" s="243">
        <f t="shared" si="3"/>
        <v>-147055.94414416517</v>
      </c>
      <c r="AG54" s="244">
        <f t="shared" si="4"/>
        <v>43471478.055855833</v>
      </c>
    </row>
    <row r="55" spans="1:33" ht="14.45" customHeight="1">
      <c r="A55" s="228">
        <v>52</v>
      </c>
      <c r="B55" s="229" t="s">
        <v>123</v>
      </c>
      <c r="C55" s="230">
        <f>+'Table 2_State Distrib and Adjs'!AP58</f>
        <v>213712681</v>
      </c>
      <c r="D55" s="231">
        <f>-'Table 5A3_OJJ'!T57</f>
        <v>-48967.592478140716</v>
      </c>
      <c r="E55" s="231"/>
      <c r="F55" s="231"/>
      <c r="G55" s="231">
        <f>-('Table 5C1A-Madison Prep'!AB58+'Table 5C1A-Madison Prep'!AE58)</f>
        <v>0</v>
      </c>
      <c r="H55" s="231">
        <f>-('Table 5C1B-DArbonne'!AB58+'Table 5C1B-DArbonne'!AE58)</f>
        <v>0</v>
      </c>
      <c r="I55" s="231">
        <f>-('Table 5C1C-Intl_VIBE'!AB58+'Table 5C1C-Intl_VIBE'!AE58)</f>
        <v>-2644.5</v>
      </c>
      <c r="J55" s="231">
        <f>-('Table 5C1D-NOMMA'!AB58+'Table 5C1D-NOMMA'!AE58)</f>
        <v>0</v>
      </c>
      <c r="K55" s="231">
        <f>-('Table 5C1E-LFNO'!AB58+'Table 5C1E-LFNO'!AE58)</f>
        <v>-5289</v>
      </c>
      <c r="L55" s="231">
        <f>-('Table 5C1F-Lake Charles Charter'!AB58+'Table 5C1F-Lake Charles Charter'!AE58)</f>
        <v>0</v>
      </c>
      <c r="M55" s="231">
        <f>-('Table 5C1G-JS Clark Academy'!AB58+'Table 5C1G-JS Clark Academy'!AE58)</f>
        <v>0</v>
      </c>
      <c r="N55" s="231">
        <f>-('Table 5C1H-Southwest LA Charter'!AB58+'Table 5C1H-Southwest LA Charter'!AE58)</f>
        <v>0</v>
      </c>
      <c r="O55" s="231">
        <f>-('Table 5C1I-LA Key Academy'!AB58+'Table 5C1I-LA Key Academy'!AE58)</f>
        <v>0</v>
      </c>
      <c r="P55" s="231">
        <f>-('Table 5C1J-Jefferson Chamber'!AB58+'Table 5C1J-Jefferson Chamber'!AE58)</f>
        <v>0</v>
      </c>
      <c r="Q55" s="231">
        <f>-('Table 5C1K-Tallulah Charter'!AB58+'Table 5C1K-Tallulah Charter'!AE58)</f>
        <v>0</v>
      </c>
      <c r="R55" s="231">
        <f>-('Table 5C1L-Northshore Charter'!AB58+'Table 5C1L-Northshore Charter'!AE58)</f>
        <v>-5289</v>
      </c>
      <c r="S55" s="231">
        <f>-('Table 5C1M-B.R. Charter'!AB58+'Table 5C1M-B.R. Charter'!AE58)</f>
        <v>0</v>
      </c>
      <c r="T55" s="231">
        <f>-('Table 5C1N-Delta Charter'!AB58+'Table 5C1N-Delta Charter'!AE58)</f>
        <v>0</v>
      </c>
      <c r="U55" s="231">
        <f>-('Table 5C1O-Impact'!AB58+'Table 5C1O-Impact'!AE58)</f>
        <v>0</v>
      </c>
      <c r="V55" s="231">
        <f>-('Table 5C1P-Vision'!AB58+'Table 5C1P-Vision'!AE58)</f>
        <v>0</v>
      </c>
      <c r="W55" s="231">
        <f>-('Table 5C1Q-Advantage'!AB58+'Table 5C1Q-Advantage'!AE58)</f>
        <v>0</v>
      </c>
      <c r="X55" s="231">
        <f>-('Table 5C1R-Iberville'!AB58+'Table 5C1R-Iberville'!AE58)</f>
        <v>0</v>
      </c>
      <c r="Y55" s="231">
        <f>-('Table 5C1S-L.C. Coll Prep'!AB58+'Table 5C1S-L.C. Coll Prep'!AE58)</f>
        <v>0</v>
      </c>
      <c r="Z55" s="231">
        <f>-('Table 5C1T-Northeast'!AB58+'Table 5C1T-Northeast'!AE58)</f>
        <v>0</v>
      </c>
      <c r="AA55" s="231">
        <f>-('Table 5C1U-Acadiana Ren'!AB58+'Table 5C1U-Acadiana Ren'!AE58)</f>
        <v>0</v>
      </c>
      <c r="AB55" s="231">
        <f>-('Table 5C1V-Laf Ren'!AB58+'Table 5C1V-Laf Ren'!AE58)</f>
        <v>0</v>
      </c>
      <c r="AC55" s="231">
        <f>-('Table 5C1W-Willow'!AB58+'Table 5C1W-Willow'!AE58)</f>
        <v>0</v>
      </c>
      <c r="AD55" s="231">
        <f>-('Table 5C2 - LA Virtual Admy'!AC58+'Table 5C2 - LA Virtual Admy'!AF58)</f>
        <v>-564071.85</v>
      </c>
      <c r="AE55" s="231">
        <f>-('Table 5C3 - LA Connections EBR'!AC58+'Table 5C3 - LA Connections EBR'!AF58)</f>
        <v>-614052.9</v>
      </c>
      <c r="AF55" s="231">
        <f t="shared" si="3"/>
        <v>-1240314.8424781407</v>
      </c>
      <c r="AG55" s="249">
        <f t="shared" si="4"/>
        <v>212472366.15752187</v>
      </c>
    </row>
    <row r="56" spans="1:33" ht="14.45" customHeight="1">
      <c r="A56" s="228">
        <v>53</v>
      </c>
      <c r="B56" s="229" t="s">
        <v>124</v>
      </c>
      <c r="C56" s="230">
        <f>+'Table 2_State Distrib and Adjs'!AP59</f>
        <v>111206478</v>
      </c>
      <c r="D56" s="231">
        <f>-'Table 5A3_OJJ'!T58</f>
        <v>-21441.884326374991</v>
      </c>
      <c r="E56" s="231"/>
      <c r="F56" s="231"/>
      <c r="G56" s="231">
        <f>-('Table 5C1A-Madison Prep'!AB59+'Table 5C1A-Madison Prep'!AE59)</f>
        <v>0</v>
      </c>
      <c r="H56" s="231">
        <f>-('Table 5C1B-DArbonne'!AB59+'Table 5C1B-DArbonne'!AE59)</f>
        <v>0</v>
      </c>
      <c r="I56" s="231">
        <f>-('Table 5C1C-Intl_VIBE'!AB59+'Table 5C1C-Intl_VIBE'!AE59)</f>
        <v>0</v>
      </c>
      <c r="J56" s="231">
        <f>-('Table 5C1D-NOMMA'!AB59+'Table 5C1D-NOMMA'!AE59)</f>
        <v>0</v>
      </c>
      <c r="K56" s="231">
        <f>-('Table 5C1E-LFNO'!AB59+'Table 5C1E-LFNO'!AE59)</f>
        <v>0</v>
      </c>
      <c r="L56" s="231">
        <f>-('Table 5C1F-Lake Charles Charter'!AB59+'Table 5C1F-Lake Charles Charter'!AE59)</f>
        <v>0</v>
      </c>
      <c r="M56" s="231">
        <f>-('Table 5C1G-JS Clark Academy'!AB59+'Table 5C1G-JS Clark Academy'!AE59)</f>
        <v>0</v>
      </c>
      <c r="N56" s="231">
        <f>-('Table 5C1H-Southwest LA Charter'!AB59+'Table 5C1H-Southwest LA Charter'!AE59)</f>
        <v>0</v>
      </c>
      <c r="O56" s="231">
        <f>-('Table 5C1I-LA Key Academy'!AB59+'Table 5C1I-LA Key Academy'!AE59)</f>
        <v>0</v>
      </c>
      <c r="P56" s="231">
        <f>-('Table 5C1J-Jefferson Chamber'!AB59+'Table 5C1J-Jefferson Chamber'!AE59)</f>
        <v>0</v>
      </c>
      <c r="Q56" s="231">
        <f>-('Table 5C1K-Tallulah Charter'!AB59+'Table 5C1K-Tallulah Charter'!AE59)</f>
        <v>0</v>
      </c>
      <c r="R56" s="231">
        <f>-('Table 5C1L-Northshore Charter'!AB59+'Table 5C1L-Northshore Charter'!AE59)</f>
        <v>0</v>
      </c>
      <c r="S56" s="231">
        <f>-('Table 5C1M-B.R. Charter'!AB59+'Table 5C1M-B.R. Charter'!AE59)</f>
        <v>0</v>
      </c>
      <c r="T56" s="231">
        <f>-('Table 5C1N-Delta Charter'!AB59+'Table 5C1N-Delta Charter'!AE59)</f>
        <v>0</v>
      </c>
      <c r="U56" s="231">
        <f>-('Table 5C1O-Impact'!AB59+'Table 5C1O-Impact'!AE59)</f>
        <v>0</v>
      </c>
      <c r="V56" s="231">
        <f>-('Table 5C1P-Vision'!AB59+'Table 5C1P-Vision'!AE59)</f>
        <v>0</v>
      </c>
      <c r="W56" s="231">
        <f>-('Table 5C1Q-Advantage'!AB59+'Table 5C1Q-Advantage'!AE59)</f>
        <v>0</v>
      </c>
      <c r="X56" s="231">
        <f>-('Table 5C1R-Iberville'!AB59+'Table 5C1R-Iberville'!AE59)</f>
        <v>0</v>
      </c>
      <c r="Y56" s="231">
        <f>-('Table 5C1S-L.C. Coll Prep'!AB59+'Table 5C1S-L.C. Coll Prep'!AE59)</f>
        <v>0</v>
      </c>
      <c r="Z56" s="231">
        <f>-('Table 5C1T-Northeast'!AB59+'Table 5C1T-Northeast'!AE59)</f>
        <v>0</v>
      </c>
      <c r="AA56" s="231">
        <f>-('Table 5C1U-Acadiana Ren'!AB59+'Table 5C1U-Acadiana Ren'!AE59)</f>
        <v>0</v>
      </c>
      <c r="AB56" s="231">
        <f>-('Table 5C1V-Laf Ren'!AB59+'Table 5C1V-Laf Ren'!AE59)</f>
        <v>0</v>
      </c>
      <c r="AC56" s="231">
        <f>-('Table 5C1W-Willow'!AB59+'Table 5C1W-Willow'!AE59)</f>
        <v>0</v>
      </c>
      <c r="AD56" s="231">
        <f>-('Table 5C2 - LA Virtual Admy'!AC59+'Table 5C2 - LA Virtual Admy'!AF59)</f>
        <v>-186253.65000000002</v>
      </c>
      <c r="AE56" s="231">
        <f>-('Table 5C3 - LA Connections EBR'!AC59+'Table 5C3 - LA Connections EBR'!AF59)</f>
        <v>-143708.4</v>
      </c>
      <c r="AF56" s="231">
        <f t="shared" si="3"/>
        <v>-351403.93432637502</v>
      </c>
      <c r="AG56" s="249">
        <f t="shared" si="4"/>
        <v>110855074.06567362</v>
      </c>
    </row>
    <row r="57" spans="1:33" ht="14.45" customHeight="1">
      <c r="A57" s="228">
        <v>54</v>
      </c>
      <c r="B57" s="229" t="s">
        <v>125</v>
      </c>
      <c r="C57" s="230">
        <f>+'Table 2_State Distrib and Adjs'!AP60</f>
        <v>4366432</v>
      </c>
      <c r="D57" s="231">
        <f>-'Table 5A3_OJJ'!T59</f>
        <v>-3942.0902883156296</v>
      </c>
      <c r="E57" s="231"/>
      <c r="F57" s="231"/>
      <c r="G57" s="231">
        <f>-('Table 5C1A-Madison Prep'!AB60+'Table 5C1A-Madison Prep'!AE60)</f>
        <v>0</v>
      </c>
      <c r="H57" s="231">
        <f>-('Table 5C1B-DArbonne'!AB60+'Table 5C1B-DArbonne'!AE60)</f>
        <v>0</v>
      </c>
      <c r="I57" s="231">
        <f>-('Table 5C1C-Intl_VIBE'!AB60+'Table 5C1C-Intl_VIBE'!AE60)</f>
        <v>0</v>
      </c>
      <c r="J57" s="231">
        <f>-('Table 5C1D-NOMMA'!AB60+'Table 5C1D-NOMMA'!AE60)</f>
        <v>0</v>
      </c>
      <c r="K57" s="231">
        <f>-('Table 5C1E-LFNO'!AB60+'Table 5C1E-LFNO'!AE60)</f>
        <v>0</v>
      </c>
      <c r="L57" s="231">
        <f>-('Table 5C1F-Lake Charles Charter'!AB60+'Table 5C1F-Lake Charles Charter'!AE60)</f>
        <v>0</v>
      </c>
      <c r="M57" s="231">
        <f>-('Table 5C1G-JS Clark Academy'!AB60+'Table 5C1G-JS Clark Academy'!AE60)</f>
        <v>0</v>
      </c>
      <c r="N57" s="231">
        <f>-('Table 5C1H-Southwest LA Charter'!AB60+'Table 5C1H-Southwest LA Charter'!AE60)</f>
        <v>0</v>
      </c>
      <c r="O57" s="231">
        <f>-('Table 5C1I-LA Key Academy'!AB60+'Table 5C1I-LA Key Academy'!AE60)</f>
        <v>0</v>
      </c>
      <c r="P57" s="231">
        <f>-('Table 5C1J-Jefferson Chamber'!AB60+'Table 5C1J-Jefferson Chamber'!AE60)</f>
        <v>0</v>
      </c>
      <c r="Q57" s="231">
        <f>-('Table 5C1K-Tallulah Charter'!AB60+'Table 5C1K-Tallulah Charter'!AE60)</f>
        <v>-2075</v>
      </c>
      <c r="R57" s="231">
        <f>-('Table 5C1L-Northshore Charter'!AB60+'Table 5C1L-Northshore Charter'!AE60)</f>
        <v>0</v>
      </c>
      <c r="S57" s="231">
        <f>-('Table 5C1M-B.R. Charter'!AB60+'Table 5C1M-B.R. Charter'!AE60)</f>
        <v>0</v>
      </c>
      <c r="T57" s="231">
        <f>-('Table 5C1N-Delta Charter'!AB60+'Table 5C1N-Delta Charter'!AE60)</f>
        <v>-33200</v>
      </c>
      <c r="U57" s="231">
        <f>-('Table 5C1O-Impact'!AB60+'Table 5C1O-Impact'!AE60)</f>
        <v>0</v>
      </c>
      <c r="V57" s="231">
        <f>-('Table 5C1P-Vision'!AB60+'Table 5C1P-Vision'!AE60)</f>
        <v>0</v>
      </c>
      <c r="W57" s="231">
        <f>-('Table 5C1Q-Advantage'!AB60+'Table 5C1Q-Advantage'!AE60)</f>
        <v>0</v>
      </c>
      <c r="X57" s="231">
        <f>-('Table 5C1R-Iberville'!AB60+'Table 5C1R-Iberville'!AE60)</f>
        <v>0</v>
      </c>
      <c r="Y57" s="231">
        <f>-('Table 5C1S-L.C. Coll Prep'!AB60+'Table 5C1S-L.C. Coll Prep'!AE60)</f>
        <v>0</v>
      </c>
      <c r="Z57" s="231">
        <f>-('Table 5C1T-Northeast'!AB60+'Table 5C1T-Northeast'!AE60)</f>
        <v>0</v>
      </c>
      <c r="AA57" s="231">
        <f>-('Table 5C1U-Acadiana Ren'!AB60+'Table 5C1U-Acadiana Ren'!AE60)</f>
        <v>0</v>
      </c>
      <c r="AB57" s="231">
        <f>-('Table 5C1V-Laf Ren'!AB60+'Table 5C1V-Laf Ren'!AE60)</f>
        <v>0</v>
      </c>
      <c r="AC57" s="231">
        <f>-('Table 5C1W-Willow'!AB60+'Table 5C1W-Willow'!AE60)</f>
        <v>0</v>
      </c>
      <c r="AD57" s="231">
        <f>-('Table 5C2 - LA Virtual Admy'!AC60+'Table 5C2 - LA Virtual Admy'!AF60)</f>
        <v>-1867.5</v>
      </c>
      <c r="AE57" s="231">
        <f>-('Table 5C3 - LA Connections EBR'!AC60+'Table 5C3 - LA Connections EBR'!AF60)</f>
        <v>-37350</v>
      </c>
      <c r="AF57" s="231">
        <f t="shared" si="3"/>
        <v>-78434.590288315638</v>
      </c>
      <c r="AG57" s="249">
        <f t="shared" si="4"/>
        <v>4287997.4097116841</v>
      </c>
    </row>
    <row r="58" spans="1:33" ht="14.45" customHeight="1">
      <c r="A58" s="3">
        <v>55</v>
      </c>
      <c r="B58" s="7" t="s">
        <v>126</v>
      </c>
      <c r="C58" s="9">
        <f>+'Table 2_State Distrib and Adjs'!AP61</f>
        <v>89710167</v>
      </c>
      <c r="D58" s="10">
        <f>-'Table 5A3_OJJ'!T60</f>
        <v>-64628.302935407213</v>
      </c>
      <c r="E58" s="10"/>
      <c r="F58" s="10"/>
      <c r="G58" s="10">
        <f>-('Table 5C1A-Madison Prep'!AB61+'Table 5C1A-Madison Prep'!AE61)</f>
        <v>0</v>
      </c>
      <c r="H58" s="10">
        <f>-('Table 5C1B-DArbonne'!AB61+'Table 5C1B-DArbonne'!AE61)</f>
        <v>0</v>
      </c>
      <c r="I58" s="10">
        <f>-('Table 5C1C-Intl_VIBE'!AB61+'Table 5C1C-Intl_VIBE'!AE61)</f>
        <v>0</v>
      </c>
      <c r="J58" s="10">
        <f>-('Table 5C1D-NOMMA'!AB61+'Table 5C1D-NOMMA'!AE61)</f>
        <v>0</v>
      </c>
      <c r="K58" s="10">
        <f>-('Table 5C1E-LFNO'!AB61+'Table 5C1E-LFNO'!AE61)</f>
        <v>0</v>
      </c>
      <c r="L58" s="10">
        <f>-('Table 5C1F-Lake Charles Charter'!AB61+'Table 5C1F-Lake Charles Charter'!AE61)</f>
        <v>0</v>
      </c>
      <c r="M58" s="10">
        <f>-('Table 5C1G-JS Clark Academy'!AB61+'Table 5C1G-JS Clark Academy'!AE61)</f>
        <v>0</v>
      </c>
      <c r="N58" s="10">
        <f>-('Table 5C1H-Southwest LA Charter'!AB61+'Table 5C1H-Southwest LA Charter'!AE61)</f>
        <v>0</v>
      </c>
      <c r="O58" s="10">
        <f>-('Table 5C1I-LA Key Academy'!AB61+'Table 5C1I-LA Key Academy'!AE61)</f>
        <v>0</v>
      </c>
      <c r="P58" s="10">
        <f>-('Table 5C1J-Jefferson Chamber'!AB61+'Table 5C1J-Jefferson Chamber'!AE61)</f>
        <v>0</v>
      </c>
      <c r="Q58" s="10">
        <f>-('Table 5C1K-Tallulah Charter'!AB61+'Table 5C1K-Tallulah Charter'!AE61)</f>
        <v>0</v>
      </c>
      <c r="R58" s="10">
        <f>-('Table 5C1L-Northshore Charter'!AB61+'Table 5C1L-Northshore Charter'!AE61)</f>
        <v>0</v>
      </c>
      <c r="S58" s="10">
        <f>-('Table 5C1M-B.R. Charter'!AB61+'Table 5C1M-B.R. Charter'!AE61)</f>
        <v>0</v>
      </c>
      <c r="T58" s="10">
        <f>-('Table 5C1N-Delta Charter'!AB61+'Table 5C1N-Delta Charter'!AE61)</f>
        <v>0</v>
      </c>
      <c r="U58" s="10">
        <f>-('Table 5C1O-Impact'!AB61+'Table 5C1O-Impact'!AE61)</f>
        <v>0</v>
      </c>
      <c r="V58" s="10">
        <f>-('Table 5C1P-Vision'!AB61+'Table 5C1P-Vision'!AE61)</f>
        <v>0</v>
      </c>
      <c r="W58" s="10">
        <f>-('Table 5C1Q-Advantage'!AB61+'Table 5C1Q-Advantage'!AE61)</f>
        <v>0</v>
      </c>
      <c r="X58" s="10">
        <f>-('Table 5C1R-Iberville'!AB61+'Table 5C1R-Iberville'!AE61)</f>
        <v>0</v>
      </c>
      <c r="Y58" s="10">
        <f>-('Table 5C1S-L.C. Coll Prep'!AB61+'Table 5C1S-L.C. Coll Prep'!AE61)</f>
        <v>0</v>
      </c>
      <c r="Z58" s="10">
        <f>-('Table 5C1T-Northeast'!AB61+'Table 5C1T-Northeast'!AE61)</f>
        <v>0</v>
      </c>
      <c r="AA58" s="10">
        <f>-('Table 5C1U-Acadiana Ren'!AB61+'Table 5C1U-Acadiana Ren'!AE61)</f>
        <v>0</v>
      </c>
      <c r="AB58" s="10">
        <f>-('Table 5C1V-Laf Ren'!AB61+'Table 5C1V-Laf Ren'!AE61)</f>
        <v>0</v>
      </c>
      <c r="AC58" s="10">
        <f>-('Table 5C1W-Willow'!AB61+'Table 5C1W-Willow'!AE61)</f>
        <v>0</v>
      </c>
      <c r="AD58" s="10">
        <f>-('Table 5C2 - LA Virtual Admy'!AC61+'Table 5C2 - LA Virtual Admy'!AF61)</f>
        <v>-139115.25</v>
      </c>
      <c r="AE58" s="10">
        <f>-('Table 5C3 - LA Connections EBR'!AC61+'Table 5C3 - LA Connections EBR'!AF61)</f>
        <v>-170211.6</v>
      </c>
      <c r="AF58" s="10">
        <f t="shared" si="3"/>
        <v>-373955.15293540724</v>
      </c>
      <c r="AG58" s="15">
        <f t="shared" si="4"/>
        <v>89336211.847064599</v>
      </c>
    </row>
    <row r="59" spans="1:33" ht="14.45" customHeight="1">
      <c r="A59" s="240">
        <v>56</v>
      </c>
      <c r="B59" s="241" t="s">
        <v>127</v>
      </c>
      <c r="C59" s="242">
        <f>+'Table 2_State Distrib and Adjs'!AP62</f>
        <v>12185591</v>
      </c>
      <c r="D59" s="243">
        <f>-'Table 5A3_OJJ'!T61</f>
        <v>0</v>
      </c>
      <c r="E59" s="243"/>
      <c r="F59" s="243"/>
      <c r="G59" s="243">
        <f>-('Table 5C1A-Madison Prep'!AB62+'Table 5C1A-Madison Prep'!AE62)</f>
        <v>0</v>
      </c>
      <c r="H59" s="243">
        <f>-('Table 5C1B-DArbonne'!AB62+'Table 5C1B-DArbonne'!AE62)</f>
        <v>-2154178</v>
      </c>
      <c r="I59" s="243">
        <f>-('Table 5C1C-Intl_VIBE'!AB62+'Table 5C1C-Intl_VIBE'!AE62)</f>
        <v>0</v>
      </c>
      <c r="J59" s="243">
        <f>-('Table 5C1D-NOMMA'!AB62+'Table 5C1D-NOMMA'!AE62)</f>
        <v>0</v>
      </c>
      <c r="K59" s="243">
        <f>-('Table 5C1E-LFNO'!AB62+'Table 5C1E-LFNO'!AE62)</f>
        <v>0</v>
      </c>
      <c r="L59" s="243">
        <f>-('Table 5C1F-Lake Charles Charter'!AB62+'Table 5C1F-Lake Charles Charter'!AE62)</f>
        <v>0</v>
      </c>
      <c r="M59" s="243">
        <f>-('Table 5C1G-JS Clark Academy'!AB62+'Table 5C1G-JS Clark Academy'!AE62)</f>
        <v>0</v>
      </c>
      <c r="N59" s="243">
        <f>-('Table 5C1H-Southwest LA Charter'!AB62+'Table 5C1H-Southwest LA Charter'!AE62)</f>
        <v>0</v>
      </c>
      <c r="O59" s="243">
        <f>-('Table 5C1I-LA Key Academy'!AB62+'Table 5C1I-LA Key Academy'!AE62)</f>
        <v>0</v>
      </c>
      <c r="P59" s="243">
        <f>-('Table 5C1J-Jefferson Chamber'!AB62+'Table 5C1J-Jefferson Chamber'!AE62)</f>
        <v>0</v>
      </c>
      <c r="Q59" s="243">
        <f>-('Table 5C1K-Tallulah Charter'!AB62+'Table 5C1K-Tallulah Charter'!AE62)</f>
        <v>0</v>
      </c>
      <c r="R59" s="243">
        <f>-('Table 5C1L-Northshore Charter'!AB62+'Table 5C1L-Northshore Charter'!AE62)</f>
        <v>0</v>
      </c>
      <c r="S59" s="243">
        <f>-('Table 5C1M-B.R. Charter'!AB62+'Table 5C1M-B.R. Charter'!AE62)</f>
        <v>0</v>
      </c>
      <c r="T59" s="243">
        <f>-('Table 5C1N-Delta Charter'!AB62+'Table 5C1N-Delta Charter'!AE62)</f>
        <v>0</v>
      </c>
      <c r="U59" s="243">
        <f>-('Table 5C1O-Impact'!AB62+'Table 5C1O-Impact'!AE62)</f>
        <v>0</v>
      </c>
      <c r="V59" s="243">
        <f>-('Table 5C1P-Vision'!AB62+'Table 5C1P-Vision'!AE62)</f>
        <v>0</v>
      </c>
      <c r="W59" s="243">
        <f>-('Table 5C1Q-Advantage'!AB62+'Table 5C1Q-Advantage'!AE62)</f>
        <v>0</v>
      </c>
      <c r="X59" s="243">
        <f>-('Table 5C1R-Iberville'!AB62+'Table 5C1R-Iberville'!AE62)</f>
        <v>0</v>
      </c>
      <c r="Y59" s="243">
        <f>-('Table 5C1S-L.C. Coll Prep'!AB62+'Table 5C1S-L.C. Coll Prep'!AE62)</f>
        <v>0</v>
      </c>
      <c r="Z59" s="243">
        <f>-('Table 5C1T-Northeast'!AB62+'Table 5C1T-Northeast'!AE62)</f>
        <v>-179991</v>
      </c>
      <c r="AA59" s="243">
        <f>-('Table 5C1U-Acadiana Ren'!AB62+'Table 5C1U-Acadiana Ren'!AE62)</f>
        <v>0</v>
      </c>
      <c r="AB59" s="243">
        <f>-('Table 5C1V-Laf Ren'!AB62+'Table 5C1V-Laf Ren'!AE62)</f>
        <v>0</v>
      </c>
      <c r="AC59" s="243">
        <f>-('Table 5C1W-Willow'!AB62+'Table 5C1W-Willow'!AE62)</f>
        <v>0</v>
      </c>
      <c r="AD59" s="243">
        <f>-('Table 5C2 - LA Virtual Admy'!AC62+'Table 5C2 - LA Virtual Admy'!AF62)</f>
        <v>-28284.300000000003</v>
      </c>
      <c r="AE59" s="243">
        <f>-('Table 5C3 - LA Connections EBR'!AC62+'Table 5C3 - LA Connections EBR'!AF62)</f>
        <v>-14142.150000000001</v>
      </c>
      <c r="AF59" s="243">
        <f t="shared" si="3"/>
        <v>-2376595.4499999997</v>
      </c>
      <c r="AG59" s="244">
        <f t="shared" si="4"/>
        <v>9808995.5499999989</v>
      </c>
    </row>
    <row r="60" spans="1:33" ht="14.45" customHeight="1">
      <c r="A60" s="228">
        <v>57</v>
      </c>
      <c r="B60" s="229" t="s">
        <v>128</v>
      </c>
      <c r="C60" s="230">
        <f>+'Table 2_State Distrib and Adjs'!AP63</f>
        <v>49367147</v>
      </c>
      <c r="D60" s="231">
        <f>-'Table 5A3_OJJ'!T62</f>
        <v>-9119.1966071771858</v>
      </c>
      <c r="E60" s="231"/>
      <c r="F60" s="231"/>
      <c r="G60" s="231">
        <f>-('Table 5C1A-Madison Prep'!AB63+'Table 5C1A-Madison Prep'!AE63)</f>
        <v>0</v>
      </c>
      <c r="H60" s="231">
        <f>-('Table 5C1B-DArbonne'!AB63+'Table 5C1B-DArbonne'!AE63)</f>
        <v>0</v>
      </c>
      <c r="I60" s="231">
        <f>-('Table 5C1C-Intl_VIBE'!AB63+'Table 5C1C-Intl_VIBE'!AE63)</f>
        <v>0</v>
      </c>
      <c r="J60" s="231">
        <f>-('Table 5C1D-NOMMA'!AB63+'Table 5C1D-NOMMA'!AE63)</f>
        <v>0</v>
      </c>
      <c r="K60" s="231">
        <f>-('Table 5C1E-LFNO'!AB63+'Table 5C1E-LFNO'!AE63)</f>
        <v>0</v>
      </c>
      <c r="L60" s="231">
        <f>-('Table 5C1F-Lake Charles Charter'!AB63+'Table 5C1F-Lake Charles Charter'!AE63)</f>
        <v>0</v>
      </c>
      <c r="M60" s="231">
        <f>-('Table 5C1G-JS Clark Academy'!AB63+'Table 5C1G-JS Clark Academy'!AE63)</f>
        <v>0</v>
      </c>
      <c r="N60" s="231">
        <f>-('Table 5C1H-Southwest LA Charter'!AB63+'Table 5C1H-Southwest LA Charter'!AE63)</f>
        <v>0</v>
      </c>
      <c r="O60" s="231">
        <f>-('Table 5C1I-LA Key Academy'!AB63+'Table 5C1I-LA Key Academy'!AE63)</f>
        <v>0</v>
      </c>
      <c r="P60" s="231">
        <f>-('Table 5C1J-Jefferson Chamber'!AB63+'Table 5C1J-Jefferson Chamber'!AE63)</f>
        <v>0</v>
      </c>
      <c r="Q60" s="231">
        <f>-('Table 5C1K-Tallulah Charter'!AB63+'Table 5C1K-Tallulah Charter'!AE63)</f>
        <v>0</v>
      </c>
      <c r="R60" s="231">
        <f>-('Table 5C1L-Northshore Charter'!AB63+'Table 5C1L-Northshore Charter'!AE63)</f>
        <v>0</v>
      </c>
      <c r="S60" s="231">
        <f>-('Table 5C1M-B.R. Charter'!AB63+'Table 5C1M-B.R. Charter'!AE63)</f>
        <v>0</v>
      </c>
      <c r="T60" s="231">
        <f>-('Table 5C1N-Delta Charter'!AB63+'Table 5C1N-Delta Charter'!AE63)</f>
        <v>0</v>
      </c>
      <c r="U60" s="231">
        <f>-('Table 5C1O-Impact'!AB63+'Table 5C1O-Impact'!AE63)</f>
        <v>0</v>
      </c>
      <c r="V60" s="231">
        <f>-('Table 5C1P-Vision'!AB63+'Table 5C1P-Vision'!AE63)</f>
        <v>0</v>
      </c>
      <c r="W60" s="231">
        <f>-('Table 5C1Q-Advantage'!AB63+'Table 5C1Q-Advantage'!AE63)</f>
        <v>0</v>
      </c>
      <c r="X60" s="231">
        <f>-('Table 5C1R-Iberville'!AB63+'Table 5C1R-Iberville'!AE63)</f>
        <v>0</v>
      </c>
      <c r="Y60" s="231">
        <f>-('Table 5C1S-L.C. Coll Prep'!AB63+'Table 5C1S-L.C. Coll Prep'!AE63)</f>
        <v>0</v>
      </c>
      <c r="Z60" s="231">
        <f>-('Table 5C1T-Northeast'!AB63+'Table 5C1T-Northeast'!AE63)</f>
        <v>0</v>
      </c>
      <c r="AA60" s="231">
        <f>-('Table 5C1U-Acadiana Ren'!AB63+'Table 5C1U-Acadiana Ren'!AE63)</f>
        <v>-55440</v>
      </c>
      <c r="AB60" s="231">
        <f>-('Table 5C1V-Laf Ren'!AB63+'Table 5C1V-Laf Ren'!AE63)</f>
        <v>-6930</v>
      </c>
      <c r="AC60" s="231">
        <f>-('Table 5C1W-Willow'!AB63+'Table 5C1W-Willow'!AE63)</f>
        <v>-17325</v>
      </c>
      <c r="AD60" s="231">
        <f>-('Table 5C2 - LA Virtual Admy'!AC63+'Table 5C2 - LA Virtual Admy'!AF63)</f>
        <v>-88877.25</v>
      </c>
      <c r="AE60" s="231">
        <f>-('Table 5C3 - LA Connections EBR'!AC63+'Table 5C3 - LA Connections EBR'!AF63)</f>
        <v>-32744.25</v>
      </c>
      <c r="AF60" s="231">
        <f t="shared" si="3"/>
        <v>-210435.6966071772</v>
      </c>
      <c r="AG60" s="249">
        <f t="shared" si="4"/>
        <v>49156711.30339282</v>
      </c>
    </row>
    <row r="61" spans="1:33" ht="14.45" customHeight="1">
      <c r="A61" s="228">
        <v>58</v>
      </c>
      <c r="B61" s="229" t="s">
        <v>129</v>
      </c>
      <c r="C61" s="230">
        <f>+'Table 2_State Distrib and Adjs'!AP64</f>
        <v>55358628</v>
      </c>
      <c r="D61" s="231">
        <f>-'Table 5A3_OJJ'!T63</f>
        <v>0</v>
      </c>
      <c r="E61" s="231"/>
      <c r="F61" s="231"/>
      <c r="G61" s="231">
        <f>-('Table 5C1A-Madison Prep'!AB64+'Table 5C1A-Madison Prep'!AE64)</f>
        <v>0</v>
      </c>
      <c r="H61" s="231">
        <f>-('Table 5C1B-DArbonne'!AB64+'Table 5C1B-DArbonne'!AE64)</f>
        <v>0</v>
      </c>
      <c r="I61" s="231">
        <f>-('Table 5C1C-Intl_VIBE'!AB64+'Table 5C1C-Intl_VIBE'!AE64)</f>
        <v>0</v>
      </c>
      <c r="J61" s="231">
        <f>-('Table 5C1D-NOMMA'!AB64+'Table 5C1D-NOMMA'!AE64)</f>
        <v>0</v>
      </c>
      <c r="K61" s="231">
        <f>-('Table 5C1E-LFNO'!AB64+'Table 5C1E-LFNO'!AE64)</f>
        <v>0</v>
      </c>
      <c r="L61" s="231">
        <f>-('Table 5C1F-Lake Charles Charter'!AB64+'Table 5C1F-Lake Charles Charter'!AE64)</f>
        <v>0</v>
      </c>
      <c r="M61" s="231">
        <f>-('Table 5C1G-JS Clark Academy'!AB64+'Table 5C1G-JS Clark Academy'!AE64)</f>
        <v>0</v>
      </c>
      <c r="N61" s="231">
        <f>-('Table 5C1H-Southwest LA Charter'!AB64+'Table 5C1H-Southwest LA Charter'!AE64)</f>
        <v>0</v>
      </c>
      <c r="O61" s="231">
        <f>-('Table 5C1I-LA Key Academy'!AB64+'Table 5C1I-LA Key Academy'!AE64)</f>
        <v>0</v>
      </c>
      <c r="P61" s="231">
        <f>-('Table 5C1J-Jefferson Chamber'!AB64+'Table 5C1J-Jefferson Chamber'!AE64)</f>
        <v>0</v>
      </c>
      <c r="Q61" s="231">
        <f>-('Table 5C1K-Tallulah Charter'!AB64+'Table 5C1K-Tallulah Charter'!AE64)</f>
        <v>0</v>
      </c>
      <c r="R61" s="231">
        <f>-('Table 5C1L-Northshore Charter'!AB64+'Table 5C1L-Northshore Charter'!AE64)</f>
        <v>0</v>
      </c>
      <c r="S61" s="231">
        <f>-('Table 5C1M-B.R. Charter'!AB64+'Table 5C1M-B.R. Charter'!AE64)</f>
        <v>0</v>
      </c>
      <c r="T61" s="231">
        <f>-('Table 5C1N-Delta Charter'!AB64+'Table 5C1N-Delta Charter'!AE64)</f>
        <v>0</v>
      </c>
      <c r="U61" s="231">
        <f>-('Table 5C1O-Impact'!AB64+'Table 5C1O-Impact'!AE64)</f>
        <v>0</v>
      </c>
      <c r="V61" s="231">
        <f>-('Table 5C1P-Vision'!AB64+'Table 5C1P-Vision'!AE64)</f>
        <v>0</v>
      </c>
      <c r="W61" s="231">
        <f>-('Table 5C1Q-Advantage'!AB64+'Table 5C1Q-Advantage'!AE64)</f>
        <v>0</v>
      </c>
      <c r="X61" s="231">
        <f>-('Table 5C1R-Iberville'!AB64+'Table 5C1R-Iberville'!AE64)</f>
        <v>0</v>
      </c>
      <c r="Y61" s="231">
        <f>-('Table 5C1S-L.C. Coll Prep'!AB64+'Table 5C1S-L.C. Coll Prep'!AE64)</f>
        <v>0</v>
      </c>
      <c r="Z61" s="231">
        <f>-('Table 5C1T-Northeast'!AB64+'Table 5C1T-Northeast'!AE64)</f>
        <v>0</v>
      </c>
      <c r="AA61" s="231">
        <f>-('Table 5C1U-Acadiana Ren'!AB64+'Table 5C1U-Acadiana Ren'!AE64)</f>
        <v>0</v>
      </c>
      <c r="AB61" s="231">
        <f>-('Table 5C1V-Laf Ren'!AB64+'Table 5C1V-Laf Ren'!AE64)</f>
        <v>0</v>
      </c>
      <c r="AC61" s="231">
        <f>-('Table 5C1W-Willow'!AB64+'Table 5C1W-Willow'!AE64)</f>
        <v>0</v>
      </c>
      <c r="AD61" s="231">
        <f>-('Table 5C2 - LA Virtual Admy'!AC64+'Table 5C2 - LA Virtual Admy'!AF64)</f>
        <v>-89713.799999999988</v>
      </c>
      <c r="AE61" s="231">
        <f>-('Table 5C3 - LA Connections EBR'!AC64+'Table 5C3 - LA Connections EBR'!AF64)</f>
        <v>-62409.599999999999</v>
      </c>
      <c r="AF61" s="231">
        <f t="shared" si="3"/>
        <v>-152123.4</v>
      </c>
      <c r="AG61" s="249">
        <f t="shared" si="4"/>
        <v>55206504.600000001</v>
      </c>
    </row>
    <row r="62" spans="1:33" ht="14.45" customHeight="1">
      <c r="A62" s="228">
        <v>59</v>
      </c>
      <c r="B62" s="229" t="s">
        <v>130</v>
      </c>
      <c r="C62" s="230">
        <f>+'Table 2_State Distrib and Adjs'!AP65</f>
        <v>37509971</v>
      </c>
      <c r="D62" s="231">
        <f>-'Table 5A3_OJJ'!T64</f>
        <v>-1851.7598879551274</v>
      </c>
      <c r="E62" s="231"/>
      <c r="F62" s="231"/>
      <c r="G62" s="231">
        <f>-('Table 5C1A-Madison Prep'!AB65+'Table 5C1A-Madison Prep'!AE65)</f>
        <v>0</v>
      </c>
      <c r="H62" s="231">
        <f>-('Table 5C1B-DArbonne'!AB65+'Table 5C1B-DArbonne'!AE65)</f>
        <v>0</v>
      </c>
      <c r="I62" s="231">
        <f>-('Table 5C1C-Intl_VIBE'!AB65+'Table 5C1C-Intl_VIBE'!AE65)</f>
        <v>0</v>
      </c>
      <c r="J62" s="231">
        <f>-('Table 5C1D-NOMMA'!AB65+'Table 5C1D-NOMMA'!AE65)</f>
        <v>0</v>
      </c>
      <c r="K62" s="231">
        <f>-('Table 5C1E-LFNO'!AB65+'Table 5C1E-LFNO'!AE65)</f>
        <v>0</v>
      </c>
      <c r="L62" s="231">
        <f>-('Table 5C1F-Lake Charles Charter'!AB65+'Table 5C1F-Lake Charles Charter'!AE65)</f>
        <v>0</v>
      </c>
      <c r="M62" s="231">
        <f>-('Table 5C1G-JS Clark Academy'!AB65+'Table 5C1G-JS Clark Academy'!AE65)</f>
        <v>0</v>
      </c>
      <c r="N62" s="231">
        <f>-('Table 5C1H-Southwest LA Charter'!AB65+'Table 5C1H-Southwest LA Charter'!AE65)</f>
        <v>0</v>
      </c>
      <c r="O62" s="231">
        <f>-('Table 5C1I-LA Key Academy'!AB65+'Table 5C1I-LA Key Academy'!AE65)</f>
        <v>0</v>
      </c>
      <c r="P62" s="231">
        <f>-('Table 5C1J-Jefferson Chamber'!AB65+'Table 5C1J-Jefferson Chamber'!AE65)</f>
        <v>-760.5</v>
      </c>
      <c r="Q62" s="231">
        <f>-('Table 5C1K-Tallulah Charter'!AB65+'Table 5C1K-Tallulah Charter'!AE65)</f>
        <v>0</v>
      </c>
      <c r="R62" s="231">
        <f>-('Table 5C1L-Northshore Charter'!AB65+'Table 5C1L-Northshore Charter'!AE65)</f>
        <v>-23575.5</v>
      </c>
      <c r="S62" s="231">
        <f>-('Table 5C1M-B.R. Charter'!AB65+'Table 5C1M-B.R. Charter'!AE65)</f>
        <v>0</v>
      </c>
      <c r="T62" s="231">
        <f>-('Table 5C1N-Delta Charter'!AB65+'Table 5C1N-Delta Charter'!AE65)</f>
        <v>0</v>
      </c>
      <c r="U62" s="231">
        <f>-('Table 5C1O-Impact'!AB65+'Table 5C1O-Impact'!AE65)</f>
        <v>0</v>
      </c>
      <c r="V62" s="231">
        <f>-('Table 5C1P-Vision'!AB65+'Table 5C1P-Vision'!AE65)</f>
        <v>0</v>
      </c>
      <c r="W62" s="231">
        <f>-('Table 5C1Q-Advantage'!AB65+'Table 5C1Q-Advantage'!AE65)</f>
        <v>0</v>
      </c>
      <c r="X62" s="231">
        <f>-('Table 5C1R-Iberville'!AB65+'Table 5C1R-Iberville'!AE65)</f>
        <v>0</v>
      </c>
      <c r="Y62" s="231">
        <f>-('Table 5C1S-L.C. Coll Prep'!AB65+'Table 5C1S-L.C. Coll Prep'!AE65)</f>
        <v>0</v>
      </c>
      <c r="Z62" s="231">
        <f>-('Table 5C1T-Northeast'!AB65+'Table 5C1T-Northeast'!AE65)</f>
        <v>0</v>
      </c>
      <c r="AA62" s="231">
        <f>-('Table 5C1U-Acadiana Ren'!AB65+'Table 5C1U-Acadiana Ren'!AE65)</f>
        <v>0</v>
      </c>
      <c r="AB62" s="231">
        <f>-('Table 5C1V-Laf Ren'!AB65+'Table 5C1V-Laf Ren'!AE65)</f>
        <v>0</v>
      </c>
      <c r="AC62" s="231">
        <f>-('Table 5C1W-Willow'!AB65+'Table 5C1W-Willow'!AE65)</f>
        <v>0</v>
      </c>
      <c r="AD62" s="231">
        <f>-('Table 5C2 - LA Virtual Admy'!AC65+'Table 5C2 - LA Virtual Admy'!AF65)</f>
        <v>-28746.900000000005</v>
      </c>
      <c r="AE62" s="231">
        <f>-('Table 5C3 - LA Connections EBR'!AC65+'Table 5C3 - LA Connections EBR'!AF65)</f>
        <v>-26669.25</v>
      </c>
      <c r="AF62" s="231">
        <f t="shared" si="3"/>
        <v>-81603.909887955131</v>
      </c>
      <c r="AG62" s="249">
        <f t="shared" si="4"/>
        <v>37428367.090112045</v>
      </c>
    </row>
    <row r="63" spans="1:33" ht="14.45" customHeight="1">
      <c r="A63" s="3">
        <v>60</v>
      </c>
      <c r="B63" s="7" t="s">
        <v>131</v>
      </c>
      <c r="C63" s="9">
        <f>+'Table 2_State Distrib and Adjs'!AP66</f>
        <v>37373685</v>
      </c>
      <c r="D63" s="10">
        <f>-'Table 5A3_OJJ'!T65</f>
        <v>-12105.153261289417</v>
      </c>
      <c r="E63" s="10"/>
      <c r="F63" s="10"/>
      <c r="G63" s="10">
        <f>-('Table 5C1A-Madison Prep'!AB66+'Table 5C1A-Madison Prep'!AE66)</f>
        <v>0</v>
      </c>
      <c r="H63" s="10">
        <f>-('Table 5C1B-DArbonne'!AB66+'Table 5C1B-DArbonne'!AE66)</f>
        <v>0</v>
      </c>
      <c r="I63" s="10">
        <f>-('Table 5C1C-Intl_VIBE'!AB66+'Table 5C1C-Intl_VIBE'!AE66)</f>
        <v>0</v>
      </c>
      <c r="J63" s="10">
        <f>-('Table 5C1D-NOMMA'!AB66+'Table 5C1D-NOMMA'!AE66)</f>
        <v>0</v>
      </c>
      <c r="K63" s="10">
        <f>-('Table 5C1E-LFNO'!AB66+'Table 5C1E-LFNO'!AE66)</f>
        <v>0</v>
      </c>
      <c r="L63" s="10">
        <f>-('Table 5C1F-Lake Charles Charter'!AB66+'Table 5C1F-Lake Charles Charter'!AE66)</f>
        <v>0</v>
      </c>
      <c r="M63" s="10">
        <f>-('Table 5C1G-JS Clark Academy'!AB66+'Table 5C1G-JS Clark Academy'!AE66)</f>
        <v>0</v>
      </c>
      <c r="N63" s="10">
        <f>-('Table 5C1H-Southwest LA Charter'!AB66+'Table 5C1H-Southwest LA Charter'!AE66)</f>
        <v>0</v>
      </c>
      <c r="O63" s="10">
        <f>-('Table 5C1I-LA Key Academy'!AB66+'Table 5C1I-LA Key Academy'!AE66)</f>
        <v>0</v>
      </c>
      <c r="P63" s="10">
        <f>-('Table 5C1J-Jefferson Chamber'!AB66+'Table 5C1J-Jefferson Chamber'!AE66)</f>
        <v>0</v>
      </c>
      <c r="Q63" s="10">
        <f>-('Table 5C1K-Tallulah Charter'!AB66+'Table 5C1K-Tallulah Charter'!AE66)</f>
        <v>0</v>
      </c>
      <c r="R63" s="10">
        <f>-('Table 5C1L-Northshore Charter'!AB66+'Table 5C1L-Northshore Charter'!AE66)</f>
        <v>0</v>
      </c>
      <c r="S63" s="10">
        <f>-('Table 5C1M-B.R. Charter'!AB66+'Table 5C1M-B.R. Charter'!AE66)</f>
        <v>0</v>
      </c>
      <c r="T63" s="10">
        <f>-('Table 5C1N-Delta Charter'!AB66+'Table 5C1N-Delta Charter'!AE66)</f>
        <v>0</v>
      </c>
      <c r="U63" s="10">
        <f>-('Table 5C1O-Impact'!AB66+'Table 5C1O-Impact'!AE66)</f>
        <v>0</v>
      </c>
      <c r="V63" s="10">
        <f>-('Table 5C1P-Vision'!AB66+'Table 5C1P-Vision'!AE66)</f>
        <v>0</v>
      </c>
      <c r="W63" s="10">
        <f>-('Table 5C1Q-Advantage'!AB66+'Table 5C1Q-Advantage'!AE66)</f>
        <v>0</v>
      </c>
      <c r="X63" s="10">
        <f>-('Table 5C1R-Iberville'!AB66+'Table 5C1R-Iberville'!AE66)</f>
        <v>0</v>
      </c>
      <c r="Y63" s="10">
        <f>-('Table 5C1S-L.C. Coll Prep'!AB66+'Table 5C1S-L.C. Coll Prep'!AE66)</f>
        <v>0</v>
      </c>
      <c r="Z63" s="10">
        <f>-('Table 5C1T-Northeast'!AB66+'Table 5C1T-Northeast'!AE66)</f>
        <v>0</v>
      </c>
      <c r="AA63" s="10">
        <f>-('Table 5C1U-Acadiana Ren'!AB66+'Table 5C1U-Acadiana Ren'!AE66)</f>
        <v>0</v>
      </c>
      <c r="AB63" s="10">
        <f>-('Table 5C1V-Laf Ren'!AB66+'Table 5C1V-Laf Ren'!AE66)</f>
        <v>0</v>
      </c>
      <c r="AC63" s="10">
        <f>-('Table 5C1W-Willow'!AB66+'Table 5C1W-Willow'!AE66)</f>
        <v>0</v>
      </c>
      <c r="AD63" s="10">
        <f>-('Table 5C2 - LA Virtual Admy'!AC66+'Table 5C2 - LA Virtual Admy'!AF66)</f>
        <v>-36216</v>
      </c>
      <c r="AE63" s="10">
        <f>-('Table 5C3 - LA Connections EBR'!AC66+'Table 5C3 - LA Connections EBR'!AF66)</f>
        <v>-83296.799999999988</v>
      </c>
      <c r="AF63" s="10">
        <f t="shared" si="3"/>
        <v>-131617.9532612894</v>
      </c>
      <c r="AG63" s="15">
        <f t="shared" si="4"/>
        <v>37242067.046738714</v>
      </c>
    </row>
    <row r="64" spans="1:33" ht="14.45" customHeight="1">
      <c r="A64" s="240">
        <v>61</v>
      </c>
      <c r="B64" s="241" t="s">
        <v>132</v>
      </c>
      <c r="C64" s="242">
        <f>+'Table 2_State Distrib and Adjs'!AP67</f>
        <v>13540132</v>
      </c>
      <c r="D64" s="243">
        <f>-'Table 5A3_OJJ'!T66</f>
        <v>-4296.4414832814527</v>
      </c>
      <c r="E64" s="243"/>
      <c r="F64" s="243"/>
      <c r="G64" s="243">
        <f>-('Table 5C1A-Madison Prep'!AB67+'Table 5C1A-Madison Prep'!AE67)</f>
        <v>-13478</v>
      </c>
      <c r="H64" s="243">
        <f>-('Table 5C1B-DArbonne'!AB67+'Table 5C1B-DArbonne'!AE67)</f>
        <v>0</v>
      </c>
      <c r="I64" s="243">
        <f>-('Table 5C1C-Intl_VIBE'!AB67+'Table 5C1C-Intl_VIBE'!AE67)</f>
        <v>0</v>
      </c>
      <c r="J64" s="243">
        <f>-('Table 5C1D-NOMMA'!AB67+'Table 5C1D-NOMMA'!AE67)</f>
        <v>0</v>
      </c>
      <c r="K64" s="243">
        <f>-('Table 5C1E-LFNO'!AB67+'Table 5C1E-LFNO'!AE67)</f>
        <v>0</v>
      </c>
      <c r="L64" s="243">
        <f>-('Table 5C1F-Lake Charles Charter'!AB67+'Table 5C1F-Lake Charles Charter'!AE67)</f>
        <v>0</v>
      </c>
      <c r="M64" s="243">
        <f>-('Table 5C1G-JS Clark Academy'!AB67+'Table 5C1G-JS Clark Academy'!AE67)</f>
        <v>0</v>
      </c>
      <c r="N64" s="243">
        <f>-('Table 5C1H-Southwest LA Charter'!AB67+'Table 5C1H-Southwest LA Charter'!AE67)</f>
        <v>0</v>
      </c>
      <c r="O64" s="243">
        <f>-('Table 5C1I-LA Key Academy'!AB67+'Table 5C1I-LA Key Academy'!AE67)</f>
        <v>-33695</v>
      </c>
      <c r="P64" s="243">
        <f>-('Table 5C1J-Jefferson Chamber'!AB67+'Table 5C1J-Jefferson Chamber'!AE67)</f>
        <v>0</v>
      </c>
      <c r="Q64" s="243">
        <f>-('Table 5C1K-Tallulah Charter'!AB67+'Table 5C1K-Tallulah Charter'!AE67)</f>
        <v>0</v>
      </c>
      <c r="R64" s="243">
        <f>-('Table 5C1L-Northshore Charter'!AB67+'Table 5C1L-Northshore Charter'!AE67)</f>
        <v>0</v>
      </c>
      <c r="S64" s="243">
        <f>-('Table 5C1M-B.R. Charter'!AB67+'Table 5C1M-B.R. Charter'!AE67)</f>
        <v>-6739</v>
      </c>
      <c r="T64" s="243">
        <f>-('Table 5C1N-Delta Charter'!AB67+'Table 5C1N-Delta Charter'!AE67)</f>
        <v>0</v>
      </c>
      <c r="U64" s="243">
        <f>-('Table 5C1O-Impact'!AB67+'Table 5C1O-Impact'!AE67)</f>
        <v>0</v>
      </c>
      <c r="V64" s="243">
        <f>-('Table 5C1P-Vision'!AB67+'Table 5C1P-Vision'!AE67)</f>
        <v>0</v>
      </c>
      <c r="W64" s="243">
        <f>-('Table 5C1Q-Advantage'!AB67+'Table 5C1Q-Advantage'!AE67)</f>
        <v>-20217</v>
      </c>
      <c r="X64" s="243">
        <f>-('Table 5C1R-Iberville'!AB67+'Table 5C1R-Iberville'!AE67)</f>
        <v>-90976.5</v>
      </c>
      <c r="Y64" s="243">
        <f>-('Table 5C1S-L.C. Coll Prep'!AB67+'Table 5C1S-L.C. Coll Prep'!AE67)</f>
        <v>0</v>
      </c>
      <c r="Z64" s="243">
        <f>-('Table 5C1T-Northeast'!AB67+'Table 5C1T-Northeast'!AE67)</f>
        <v>0</v>
      </c>
      <c r="AA64" s="243">
        <f>-('Table 5C1U-Acadiana Ren'!AB67+'Table 5C1U-Acadiana Ren'!AE67)</f>
        <v>0</v>
      </c>
      <c r="AB64" s="243">
        <f>-('Table 5C1V-Laf Ren'!AB67+'Table 5C1V-Laf Ren'!AE67)</f>
        <v>0</v>
      </c>
      <c r="AC64" s="243">
        <f>-('Table 5C1W-Willow'!AB67+'Table 5C1W-Willow'!AE67)</f>
        <v>0</v>
      </c>
      <c r="AD64" s="243">
        <f>-('Table 5C2 - LA Virtual Admy'!AC67+'Table 5C2 - LA Virtual Admy'!AF67)</f>
        <v>-48520.800000000003</v>
      </c>
      <c r="AE64" s="243">
        <f>-('Table 5C3 - LA Connections EBR'!AC67+'Table 5C3 - LA Connections EBR'!AF67)</f>
        <v>-84911.4</v>
      </c>
      <c r="AF64" s="243">
        <f t="shared" si="3"/>
        <v>-302834.14148328139</v>
      </c>
      <c r="AG64" s="244">
        <f t="shared" si="4"/>
        <v>13237297.858516717</v>
      </c>
    </row>
    <row r="65" spans="1:33" ht="14.45" customHeight="1">
      <c r="A65" s="228">
        <v>62</v>
      </c>
      <c r="B65" s="229" t="s">
        <v>133</v>
      </c>
      <c r="C65" s="230">
        <f>+'Table 2_State Distrib and Adjs'!AP68</f>
        <v>13126015</v>
      </c>
      <c r="D65" s="231">
        <f>-'Table 5A3_OJJ'!T67</f>
        <v>-1991.7532437297114</v>
      </c>
      <c r="E65" s="231"/>
      <c r="F65" s="231"/>
      <c r="G65" s="231">
        <f>-('Table 5C1A-Madison Prep'!AB68+'Table 5C1A-Madison Prep'!AE68)</f>
        <v>0</v>
      </c>
      <c r="H65" s="231">
        <f>-('Table 5C1B-DArbonne'!AB68+'Table 5C1B-DArbonne'!AE68)</f>
        <v>0</v>
      </c>
      <c r="I65" s="231">
        <f>-('Table 5C1C-Intl_VIBE'!AB68+'Table 5C1C-Intl_VIBE'!AE68)</f>
        <v>0</v>
      </c>
      <c r="J65" s="231">
        <f>-('Table 5C1D-NOMMA'!AB68+'Table 5C1D-NOMMA'!AE68)</f>
        <v>0</v>
      </c>
      <c r="K65" s="231">
        <f>-('Table 5C1E-LFNO'!AB68+'Table 5C1E-LFNO'!AE68)</f>
        <v>0</v>
      </c>
      <c r="L65" s="231">
        <f>-('Table 5C1F-Lake Charles Charter'!AB68+'Table 5C1F-Lake Charles Charter'!AE68)</f>
        <v>0</v>
      </c>
      <c r="M65" s="231">
        <f>-('Table 5C1G-JS Clark Academy'!AB68+'Table 5C1G-JS Clark Academy'!AE68)</f>
        <v>0</v>
      </c>
      <c r="N65" s="231">
        <f>-('Table 5C1H-Southwest LA Charter'!AB68+'Table 5C1H-Southwest LA Charter'!AE68)</f>
        <v>0</v>
      </c>
      <c r="O65" s="231">
        <f>-('Table 5C1I-LA Key Academy'!AB68+'Table 5C1I-LA Key Academy'!AE68)</f>
        <v>0</v>
      </c>
      <c r="P65" s="231">
        <f>-('Table 5C1J-Jefferson Chamber'!AB68+'Table 5C1J-Jefferson Chamber'!AE68)</f>
        <v>0</v>
      </c>
      <c r="Q65" s="231">
        <f>-('Table 5C1K-Tallulah Charter'!AB68+'Table 5C1K-Tallulah Charter'!AE68)</f>
        <v>0</v>
      </c>
      <c r="R65" s="231">
        <f>-('Table 5C1L-Northshore Charter'!AB68+'Table 5C1L-Northshore Charter'!AE68)</f>
        <v>0</v>
      </c>
      <c r="S65" s="231">
        <f>-('Table 5C1M-B.R. Charter'!AB68+'Table 5C1M-B.R. Charter'!AE68)</f>
        <v>0</v>
      </c>
      <c r="T65" s="231">
        <f>-('Table 5C1N-Delta Charter'!AB68+'Table 5C1N-Delta Charter'!AE68)</f>
        <v>0</v>
      </c>
      <c r="U65" s="231">
        <f>-('Table 5C1O-Impact'!AB68+'Table 5C1O-Impact'!AE68)</f>
        <v>0</v>
      </c>
      <c r="V65" s="231">
        <f>-('Table 5C1P-Vision'!AB68+'Table 5C1P-Vision'!AE68)</f>
        <v>0</v>
      </c>
      <c r="W65" s="231">
        <f>-('Table 5C1Q-Advantage'!AB68+'Table 5C1Q-Advantage'!AE68)</f>
        <v>0</v>
      </c>
      <c r="X65" s="231">
        <f>-('Table 5C1R-Iberville'!AB68+'Table 5C1R-Iberville'!AE68)</f>
        <v>0</v>
      </c>
      <c r="Y65" s="231">
        <f>-('Table 5C1S-L.C. Coll Prep'!AB68+'Table 5C1S-L.C. Coll Prep'!AE68)</f>
        <v>0</v>
      </c>
      <c r="Z65" s="231">
        <f>-('Table 5C1T-Northeast'!AB68+'Table 5C1T-Northeast'!AE68)</f>
        <v>0</v>
      </c>
      <c r="AA65" s="231">
        <f>-('Table 5C1U-Acadiana Ren'!AB68+'Table 5C1U-Acadiana Ren'!AE68)</f>
        <v>0</v>
      </c>
      <c r="AB65" s="231">
        <f>-('Table 5C1V-Laf Ren'!AB68+'Table 5C1V-Laf Ren'!AE68)</f>
        <v>0</v>
      </c>
      <c r="AC65" s="231">
        <f>-('Table 5C1W-Willow'!AB68+'Table 5C1W-Willow'!AE68)</f>
        <v>0</v>
      </c>
      <c r="AD65" s="231">
        <f>-('Table 5C2 - LA Virtual Admy'!AC68+'Table 5C2 - LA Virtual Admy'!AF68)</f>
        <v>-6580.35</v>
      </c>
      <c r="AE65" s="231">
        <f>-('Table 5C3 - LA Connections EBR'!AC68+'Table 5C3 - LA Connections EBR'!AF68)</f>
        <v>-3760.2000000000003</v>
      </c>
      <c r="AF65" s="231">
        <f t="shared" si="3"/>
        <v>-12332.303243729712</v>
      </c>
      <c r="AG65" s="249">
        <f t="shared" si="4"/>
        <v>13113682.696756272</v>
      </c>
    </row>
    <row r="66" spans="1:33" ht="14.45" customHeight="1">
      <c r="A66" s="228">
        <v>63</v>
      </c>
      <c r="B66" s="229" t="s">
        <v>134</v>
      </c>
      <c r="C66" s="230">
        <f>+'Table 2_State Distrib and Adjs'!AP69</f>
        <v>9722879</v>
      </c>
      <c r="D66" s="231">
        <f>-'Table 5A3_OJJ'!T68</f>
        <v>-2610.9038782973907</v>
      </c>
      <c r="E66" s="231"/>
      <c r="F66" s="231"/>
      <c r="G66" s="231">
        <f>-('Table 5C1A-Madison Prep'!AB69+'Table 5C1A-Madison Prep'!AE69)</f>
        <v>0</v>
      </c>
      <c r="H66" s="231">
        <f>-('Table 5C1B-DArbonne'!AB69+'Table 5C1B-DArbonne'!AE69)</f>
        <v>0</v>
      </c>
      <c r="I66" s="231">
        <f>-('Table 5C1C-Intl_VIBE'!AB69+'Table 5C1C-Intl_VIBE'!AE69)</f>
        <v>0</v>
      </c>
      <c r="J66" s="231">
        <f>-('Table 5C1D-NOMMA'!AB69+'Table 5C1D-NOMMA'!AE69)</f>
        <v>0</v>
      </c>
      <c r="K66" s="231">
        <f>-('Table 5C1E-LFNO'!AB69+'Table 5C1E-LFNO'!AE69)</f>
        <v>0</v>
      </c>
      <c r="L66" s="231">
        <f>-('Table 5C1F-Lake Charles Charter'!AB69+'Table 5C1F-Lake Charles Charter'!AE69)</f>
        <v>0</v>
      </c>
      <c r="M66" s="231">
        <f>-('Table 5C1G-JS Clark Academy'!AB69+'Table 5C1G-JS Clark Academy'!AE69)</f>
        <v>0</v>
      </c>
      <c r="N66" s="231">
        <f>-('Table 5C1H-Southwest LA Charter'!AB69+'Table 5C1H-Southwest LA Charter'!AE69)</f>
        <v>0</v>
      </c>
      <c r="O66" s="231">
        <f>-('Table 5C1I-LA Key Academy'!AB69+'Table 5C1I-LA Key Academy'!AE69)</f>
        <v>0</v>
      </c>
      <c r="P66" s="231">
        <f>-('Table 5C1J-Jefferson Chamber'!AB69+'Table 5C1J-Jefferson Chamber'!AE69)</f>
        <v>0</v>
      </c>
      <c r="Q66" s="231">
        <f>-('Table 5C1K-Tallulah Charter'!AB69+'Table 5C1K-Tallulah Charter'!AE69)</f>
        <v>0</v>
      </c>
      <c r="R66" s="231">
        <f>-('Table 5C1L-Northshore Charter'!AB69+'Table 5C1L-Northshore Charter'!AE69)</f>
        <v>0</v>
      </c>
      <c r="S66" s="231">
        <f>-('Table 5C1M-B.R. Charter'!AB69+'Table 5C1M-B.R. Charter'!AE69)</f>
        <v>0</v>
      </c>
      <c r="T66" s="231">
        <f>-('Table 5C1N-Delta Charter'!AB69+'Table 5C1N-Delta Charter'!AE69)</f>
        <v>0</v>
      </c>
      <c r="U66" s="231">
        <f>-('Table 5C1O-Impact'!AB69+'Table 5C1O-Impact'!AE69)</f>
        <v>0</v>
      </c>
      <c r="V66" s="231">
        <f>-('Table 5C1P-Vision'!AB69+'Table 5C1P-Vision'!AE69)</f>
        <v>0</v>
      </c>
      <c r="W66" s="231">
        <f>-('Table 5C1Q-Advantage'!AB69+'Table 5C1Q-Advantage'!AE69)</f>
        <v>0</v>
      </c>
      <c r="X66" s="231">
        <f>-('Table 5C1R-Iberville'!AB69+'Table 5C1R-Iberville'!AE69)</f>
        <v>0</v>
      </c>
      <c r="Y66" s="231">
        <f>-('Table 5C1S-L.C. Coll Prep'!AB69+'Table 5C1S-L.C. Coll Prep'!AE69)</f>
        <v>0</v>
      </c>
      <c r="Z66" s="231">
        <f>-('Table 5C1T-Northeast'!AB69+'Table 5C1T-Northeast'!AE69)</f>
        <v>0</v>
      </c>
      <c r="AA66" s="231">
        <f>-('Table 5C1U-Acadiana Ren'!AB69+'Table 5C1U-Acadiana Ren'!AE69)</f>
        <v>0</v>
      </c>
      <c r="AB66" s="231">
        <f>-('Table 5C1V-Laf Ren'!AB69+'Table 5C1V-Laf Ren'!AE69)</f>
        <v>0</v>
      </c>
      <c r="AC66" s="231">
        <f>-('Table 5C1W-Willow'!AB69+'Table 5C1W-Willow'!AE69)</f>
        <v>0</v>
      </c>
      <c r="AD66" s="231">
        <f>-('Table 5C2 - LA Virtual Admy'!AC69+'Table 5C2 - LA Virtual Admy'!AF69)</f>
        <v>-53301.599999999999</v>
      </c>
      <c r="AE66" s="231">
        <f>-('Table 5C3 - LA Connections EBR'!AC69+'Table 5C3 - LA Connections EBR'!AF69)</f>
        <v>-29982.15</v>
      </c>
      <c r="AF66" s="231">
        <f t="shared" si="3"/>
        <v>-85894.653878297395</v>
      </c>
      <c r="AG66" s="249">
        <f t="shared" si="4"/>
        <v>9636984.3461217023</v>
      </c>
    </row>
    <row r="67" spans="1:33" ht="14.45" customHeight="1">
      <c r="A67" s="228">
        <v>64</v>
      </c>
      <c r="B67" s="229" t="s">
        <v>135</v>
      </c>
      <c r="C67" s="230">
        <f>+'Table 2_State Distrib and Adjs'!AP70</f>
        <v>16101350</v>
      </c>
      <c r="D67" s="231">
        <f>-'Table 5A3_OJJ'!T69</f>
        <v>-1865.1692541621821</v>
      </c>
      <c r="E67" s="231"/>
      <c r="F67" s="231"/>
      <c r="G67" s="231">
        <f>-('Table 5C1A-Madison Prep'!AB70+'Table 5C1A-Madison Prep'!AE70)</f>
        <v>0</v>
      </c>
      <c r="H67" s="231">
        <f>-('Table 5C1B-DArbonne'!AB70+'Table 5C1B-DArbonne'!AE70)</f>
        <v>0</v>
      </c>
      <c r="I67" s="231">
        <f>-('Table 5C1C-Intl_VIBE'!AB70+'Table 5C1C-Intl_VIBE'!AE70)</f>
        <v>0</v>
      </c>
      <c r="J67" s="231">
        <f>-('Table 5C1D-NOMMA'!AB70+'Table 5C1D-NOMMA'!AE70)</f>
        <v>0</v>
      </c>
      <c r="K67" s="231">
        <f>-('Table 5C1E-LFNO'!AB70+'Table 5C1E-LFNO'!AE70)</f>
        <v>0</v>
      </c>
      <c r="L67" s="231">
        <f>-('Table 5C1F-Lake Charles Charter'!AB70+'Table 5C1F-Lake Charles Charter'!AE70)</f>
        <v>0</v>
      </c>
      <c r="M67" s="231">
        <f>-('Table 5C1G-JS Clark Academy'!AB70+'Table 5C1G-JS Clark Academy'!AE70)</f>
        <v>0</v>
      </c>
      <c r="N67" s="231">
        <f>-('Table 5C1H-Southwest LA Charter'!AB70+'Table 5C1H-Southwest LA Charter'!AE70)</f>
        <v>0</v>
      </c>
      <c r="O67" s="231">
        <f>-('Table 5C1I-LA Key Academy'!AB70+'Table 5C1I-LA Key Academy'!AE70)</f>
        <v>0</v>
      </c>
      <c r="P67" s="231">
        <f>-('Table 5C1J-Jefferson Chamber'!AB70+'Table 5C1J-Jefferson Chamber'!AE70)</f>
        <v>0</v>
      </c>
      <c r="Q67" s="231">
        <f>-('Table 5C1K-Tallulah Charter'!AB70+'Table 5C1K-Tallulah Charter'!AE70)</f>
        <v>0</v>
      </c>
      <c r="R67" s="231">
        <f>-('Table 5C1L-Northshore Charter'!AB70+'Table 5C1L-Northshore Charter'!AE70)</f>
        <v>0</v>
      </c>
      <c r="S67" s="231">
        <f>-('Table 5C1M-B.R. Charter'!AB70+'Table 5C1M-B.R. Charter'!AE70)</f>
        <v>0</v>
      </c>
      <c r="T67" s="231">
        <f>-('Table 5C1N-Delta Charter'!AB70+'Table 5C1N-Delta Charter'!AE70)</f>
        <v>0</v>
      </c>
      <c r="U67" s="231">
        <f>-('Table 5C1O-Impact'!AB70+'Table 5C1O-Impact'!AE70)</f>
        <v>0</v>
      </c>
      <c r="V67" s="231">
        <f>-('Table 5C1P-Vision'!AB70+'Table 5C1P-Vision'!AE70)</f>
        <v>0</v>
      </c>
      <c r="W67" s="231">
        <f>-('Table 5C1Q-Advantage'!AB70+'Table 5C1Q-Advantage'!AE70)</f>
        <v>0</v>
      </c>
      <c r="X67" s="231">
        <f>-('Table 5C1R-Iberville'!AB70+'Table 5C1R-Iberville'!AE70)</f>
        <v>0</v>
      </c>
      <c r="Y67" s="231">
        <f>-('Table 5C1S-L.C. Coll Prep'!AB70+'Table 5C1S-L.C. Coll Prep'!AE70)</f>
        <v>0</v>
      </c>
      <c r="Z67" s="231">
        <f>-('Table 5C1T-Northeast'!AB70+'Table 5C1T-Northeast'!AE70)</f>
        <v>0</v>
      </c>
      <c r="AA67" s="231">
        <f>-('Table 5C1U-Acadiana Ren'!AB70+'Table 5C1U-Acadiana Ren'!AE70)</f>
        <v>0</v>
      </c>
      <c r="AB67" s="231">
        <f>-('Table 5C1V-Laf Ren'!AB70+'Table 5C1V-Laf Ren'!AE70)</f>
        <v>0</v>
      </c>
      <c r="AC67" s="231">
        <f>-('Table 5C1W-Willow'!AB70+'Table 5C1W-Willow'!AE70)</f>
        <v>0</v>
      </c>
      <c r="AD67" s="231">
        <f>-('Table 5C2 - LA Virtual Admy'!AC70+'Table 5C2 - LA Virtual Admy'!AF70)</f>
        <v>-17652.599999999999</v>
      </c>
      <c r="AE67" s="231">
        <f>-('Table 5C3 - LA Connections EBR'!AC70+'Table 5C3 - LA Connections EBR'!AF70)</f>
        <v>-12609</v>
      </c>
      <c r="AF67" s="231">
        <f t="shared" si="3"/>
        <v>-32126.76925416218</v>
      </c>
      <c r="AG67" s="249">
        <f t="shared" si="4"/>
        <v>16069223.230745839</v>
      </c>
    </row>
    <row r="68" spans="1:33" ht="14.45" customHeight="1">
      <c r="A68" s="3">
        <v>65</v>
      </c>
      <c r="B68" s="7" t="s">
        <v>136</v>
      </c>
      <c r="C68" s="9">
        <f>+'Table 2_State Distrib and Adjs'!AP71</f>
        <v>45274004</v>
      </c>
      <c r="D68" s="10">
        <f>-'Table 5A3_OJJ'!T70</f>
        <v>0</v>
      </c>
      <c r="E68" s="10"/>
      <c r="F68" s="10"/>
      <c r="G68" s="10">
        <f>-('Table 5C1A-Madison Prep'!AB71+'Table 5C1A-Madison Prep'!AE71)</f>
        <v>0</v>
      </c>
      <c r="H68" s="10">
        <f>-('Table 5C1B-DArbonne'!AB71+'Table 5C1B-DArbonne'!AE71)</f>
        <v>-2607.5</v>
      </c>
      <c r="I68" s="10">
        <f>-('Table 5C1C-Intl_VIBE'!AB71+'Table 5C1C-Intl_VIBE'!AE71)</f>
        <v>0</v>
      </c>
      <c r="J68" s="10">
        <f>-('Table 5C1D-NOMMA'!AB71+'Table 5C1D-NOMMA'!AE71)</f>
        <v>0</v>
      </c>
      <c r="K68" s="10">
        <f>-('Table 5C1E-LFNO'!AB71+'Table 5C1E-LFNO'!AE71)</f>
        <v>0</v>
      </c>
      <c r="L68" s="10">
        <f>-('Table 5C1F-Lake Charles Charter'!AB71+'Table 5C1F-Lake Charles Charter'!AE71)</f>
        <v>0</v>
      </c>
      <c r="M68" s="10">
        <f>-('Table 5C1G-JS Clark Academy'!AB71+'Table 5C1G-JS Clark Academy'!AE71)</f>
        <v>0</v>
      </c>
      <c r="N68" s="10">
        <f>-('Table 5C1H-Southwest LA Charter'!AB71+'Table 5C1H-Southwest LA Charter'!AE71)</f>
        <v>0</v>
      </c>
      <c r="O68" s="10">
        <f>-('Table 5C1I-LA Key Academy'!AB71+'Table 5C1I-LA Key Academy'!AE71)</f>
        <v>0</v>
      </c>
      <c r="P68" s="10">
        <f>-('Table 5C1J-Jefferson Chamber'!AB71+'Table 5C1J-Jefferson Chamber'!AE71)</f>
        <v>0</v>
      </c>
      <c r="Q68" s="10">
        <f>-('Table 5C1K-Tallulah Charter'!AB71+'Table 5C1K-Tallulah Charter'!AE71)</f>
        <v>0</v>
      </c>
      <c r="R68" s="10">
        <f>-('Table 5C1L-Northshore Charter'!AB71+'Table 5C1L-Northshore Charter'!AE71)</f>
        <v>0</v>
      </c>
      <c r="S68" s="10">
        <f>-('Table 5C1M-B.R. Charter'!AB71+'Table 5C1M-B.R. Charter'!AE71)</f>
        <v>0</v>
      </c>
      <c r="T68" s="10">
        <f>-('Table 5C1N-Delta Charter'!AB71+'Table 5C1N-Delta Charter'!AE71)</f>
        <v>0</v>
      </c>
      <c r="U68" s="10">
        <f>-('Table 5C1O-Impact'!AB71+'Table 5C1O-Impact'!AE71)</f>
        <v>0</v>
      </c>
      <c r="V68" s="10">
        <f>-('Table 5C1P-Vision'!AB71+'Table 5C1P-Vision'!AE71)</f>
        <v>0</v>
      </c>
      <c r="W68" s="10">
        <f>-('Table 5C1Q-Advantage'!AB71+'Table 5C1Q-Advantage'!AE71)</f>
        <v>0</v>
      </c>
      <c r="X68" s="10">
        <f>-('Table 5C1R-Iberville'!AB71+'Table 5C1R-Iberville'!AE71)</f>
        <v>0</v>
      </c>
      <c r="Y68" s="10">
        <f>-('Table 5C1S-L.C. Coll Prep'!AB71+'Table 5C1S-L.C. Coll Prep'!AE71)</f>
        <v>0</v>
      </c>
      <c r="Z68" s="10">
        <f>-('Table 5C1T-Northeast'!AB71+'Table 5C1T-Northeast'!AE71)</f>
        <v>0</v>
      </c>
      <c r="AA68" s="10">
        <f>-('Table 5C1U-Acadiana Ren'!AB71+'Table 5C1U-Acadiana Ren'!AE71)</f>
        <v>0</v>
      </c>
      <c r="AB68" s="10">
        <f>-('Table 5C1V-Laf Ren'!AB71+'Table 5C1V-Laf Ren'!AE71)</f>
        <v>0</v>
      </c>
      <c r="AC68" s="10">
        <f>-('Table 5C1W-Willow'!AB71+'Table 5C1W-Willow'!AE71)</f>
        <v>0</v>
      </c>
      <c r="AD68" s="10">
        <f>-('Table 5C2 - LA Virtual Admy'!AC71+'Table 5C2 - LA Virtual Admy'!AF71)</f>
        <v>-37548</v>
      </c>
      <c r="AE68" s="10">
        <f>-('Table 5C3 - LA Connections EBR'!AC71+'Table 5C3 - LA Connections EBR'!AF71)</f>
        <v>0</v>
      </c>
      <c r="AF68" s="10">
        <f t="shared" ref="AF68:AF72" si="5">SUM(D68:AE68)</f>
        <v>-40155.5</v>
      </c>
      <c r="AG68" s="15">
        <f t="shared" si="4"/>
        <v>45233848.5</v>
      </c>
    </row>
    <row r="69" spans="1:33" ht="14.45" customHeight="1">
      <c r="A69" s="240">
        <v>66</v>
      </c>
      <c r="B69" s="241" t="s">
        <v>137</v>
      </c>
      <c r="C69" s="242">
        <f>+'Table 2_State Distrib and Adjs'!AP72</f>
        <v>11885075</v>
      </c>
      <c r="D69" s="243">
        <f>-'Table 5A3_OJJ'!T71</f>
        <v>0</v>
      </c>
      <c r="E69" s="243"/>
      <c r="F69" s="243"/>
      <c r="G69" s="243">
        <f>-('Table 5C1A-Madison Prep'!AB72+'Table 5C1A-Madison Prep'!AE72)</f>
        <v>0</v>
      </c>
      <c r="H69" s="243">
        <f>-('Table 5C1B-DArbonne'!AB72+'Table 5C1B-DArbonne'!AE72)</f>
        <v>0</v>
      </c>
      <c r="I69" s="243">
        <f>-('Table 5C1C-Intl_VIBE'!AB72+'Table 5C1C-Intl_VIBE'!AE72)</f>
        <v>0</v>
      </c>
      <c r="J69" s="243">
        <f>-('Table 5C1D-NOMMA'!AB72+'Table 5C1D-NOMMA'!AE72)</f>
        <v>0</v>
      </c>
      <c r="K69" s="243">
        <f>-('Table 5C1E-LFNO'!AB72+'Table 5C1E-LFNO'!AE72)</f>
        <v>0</v>
      </c>
      <c r="L69" s="243">
        <f>-('Table 5C1F-Lake Charles Charter'!AB72+'Table 5C1F-Lake Charles Charter'!AE72)</f>
        <v>0</v>
      </c>
      <c r="M69" s="243">
        <f>-('Table 5C1G-JS Clark Academy'!AB72+'Table 5C1G-JS Clark Academy'!AE72)</f>
        <v>0</v>
      </c>
      <c r="N69" s="243">
        <f>-('Table 5C1H-Southwest LA Charter'!AB72+'Table 5C1H-Southwest LA Charter'!AE72)</f>
        <v>0</v>
      </c>
      <c r="O69" s="243">
        <f>-('Table 5C1I-LA Key Academy'!AB72+'Table 5C1I-LA Key Academy'!AE72)</f>
        <v>0</v>
      </c>
      <c r="P69" s="243">
        <f>-('Table 5C1J-Jefferson Chamber'!AB72+'Table 5C1J-Jefferson Chamber'!AE72)</f>
        <v>0</v>
      </c>
      <c r="Q69" s="243">
        <f>-('Table 5C1K-Tallulah Charter'!AB72+'Table 5C1K-Tallulah Charter'!AE72)</f>
        <v>0</v>
      </c>
      <c r="R69" s="243">
        <f>-('Table 5C1L-Northshore Charter'!AB72+'Table 5C1L-Northshore Charter'!AE72)</f>
        <v>-1439991</v>
      </c>
      <c r="S69" s="243">
        <f>-('Table 5C1M-B.R. Charter'!AB72+'Table 5C1M-B.R. Charter'!AE72)</f>
        <v>0</v>
      </c>
      <c r="T69" s="243">
        <f>-('Table 5C1N-Delta Charter'!AB72+'Table 5C1N-Delta Charter'!AE72)</f>
        <v>0</v>
      </c>
      <c r="U69" s="243">
        <f>-('Table 5C1O-Impact'!AB72+'Table 5C1O-Impact'!AE72)</f>
        <v>0</v>
      </c>
      <c r="V69" s="243">
        <f>-('Table 5C1P-Vision'!AB72+'Table 5C1P-Vision'!AE72)</f>
        <v>0</v>
      </c>
      <c r="W69" s="243">
        <f>-('Table 5C1Q-Advantage'!AB72+'Table 5C1Q-Advantage'!AE72)</f>
        <v>0</v>
      </c>
      <c r="X69" s="243">
        <f>-('Table 5C1R-Iberville'!AB72+'Table 5C1R-Iberville'!AE72)</f>
        <v>0</v>
      </c>
      <c r="Y69" s="243">
        <f>-('Table 5C1S-L.C. Coll Prep'!AB72+'Table 5C1S-L.C. Coll Prep'!AE72)</f>
        <v>0</v>
      </c>
      <c r="Z69" s="243">
        <f>-('Table 5C1T-Northeast'!AB72+'Table 5C1T-Northeast'!AE72)</f>
        <v>0</v>
      </c>
      <c r="AA69" s="243">
        <f>-('Table 5C1U-Acadiana Ren'!AB72+'Table 5C1U-Acadiana Ren'!AE72)</f>
        <v>0</v>
      </c>
      <c r="AB69" s="243">
        <f>-('Table 5C1V-Laf Ren'!AB72+'Table 5C1V-Laf Ren'!AE72)</f>
        <v>0</v>
      </c>
      <c r="AC69" s="243">
        <f>-('Table 5C1W-Willow'!AB72+'Table 5C1W-Willow'!AE72)</f>
        <v>0</v>
      </c>
      <c r="AD69" s="243">
        <f>-('Table 5C2 - LA Virtual Admy'!AC72+'Table 5C2 - LA Virtual Admy'!AF72)</f>
        <v>-12992.400000000001</v>
      </c>
      <c r="AE69" s="243">
        <f>-('Table 5C3 - LA Connections EBR'!AC72+'Table 5C3 - LA Connections EBR'!AF72)</f>
        <v>-9525.6</v>
      </c>
      <c r="AF69" s="243">
        <f t="shared" si="5"/>
        <v>-1462509</v>
      </c>
      <c r="AG69" s="244">
        <f t="shared" si="4"/>
        <v>10422566</v>
      </c>
    </row>
    <row r="70" spans="1:33" ht="14.45" customHeight="1">
      <c r="A70" s="228">
        <v>67</v>
      </c>
      <c r="B70" s="229" t="s">
        <v>28</v>
      </c>
      <c r="C70" s="230">
        <f>+'Table 2_State Distrib and Adjs'!AP73</f>
        <v>29975156</v>
      </c>
      <c r="D70" s="231">
        <f>-'Table 5A3_OJJ'!T72</f>
        <v>0</v>
      </c>
      <c r="E70" s="231"/>
      <c r="F70" s="231"/>
      <c r="G70" s="231">
        <f>-('Table 5C1A-Madison Prep'!AB73+'Table 5C1A-Madison Prep'!AE73)</f>
        <v>-15207</v>
      </c>
      <c r="H70" s="231">
        <f>-('Table 5C1B-DArbonne'!AB73+'Table 5C1B-DArbonne'!AE73)</f>
        <v>0</v>
      </c>
      <c r="I70" s="231">
        <f>-('Table 5C1C-Intl_VIBE'!AB73+'Table 5C1C-Intl_VIBE'!AE73)</f>
        <v>0</v>
      </c>
      <c r="J70" s="231">
        <f>-('Table 5C1D-NOMMA'!AB73+'Table 5C1D-NOMMA'!AE73)</f>
        <v>0</v>
      </c>
      <c r="K70" s="231">
        <f>-('Table 5C1E-LFNO'!AB73+'Table 5C1E-LFNO'!AE73)</f>
        <v>0</v>
      </c>
      <c r="L70" s="231">
        <f>-('Table 5C1F-Lake Charles Charter'!AB73+'Table 5C1F-Lake Charles Charter'!AE73)</f>
        <v>0</v>
      </c>
      <c r="M70" s="231">
        <f>-('Table 5C1G-JS Clark Academy'!AB73+'Table 5C1G-JS Clark Academy'!AE73)</f>
        <v>0</v>
      </c>
      <c r="N70" s="231">
        <f>-('Table 5C1H-Southwest LA Charter'!AB73+'Table 5C1H-Southwest LA Charter'!AE73)</f>
        <v>0</v>
      </c>
      <c r="O70" s="231">
        <f>-('Table 5C1I-LA Key Academy'!AB73+'Table 5C1I-LA Key Academy'!AE73)</f>
        <v>0</v>
      </c>
      <c r="P70" s="231">
        <f>-('Table 5C1J-Jefferson Chamber'!AB73+'Table 5C1J-Jefferson Chamber'!AE73)</f>
        <v>0</v>
      </c>
      <c r="Q70" s="231">
        <f>-('Table 5C1K-Tallulah Charter'!AB73+'Table 5C1K-Tallulah Charter'!AE73)</f>
        <v>0</v>
      </c>
      <c r="R70" s="231">
        <f>-('Table 5C1L-Northshore Charter'!AB73+'Table 5C1L-Northshore Charter'!AE73)</f>
        <v>0</v>
      </c>
      <c r="S70" s="231">
        <f>-('Table 5C1M-B.R. Charter'!AB73+'Table 5C1M-B.R. Charter'!AE73)</f>
        <v>0</v>
      </c>
      <c r="T70" s="231">
        <f>-('Table 5C1N-Delta Charter'!AB73+'Table 5C1N-Delta Charter'!AE73)</f>
        <v>0</v>
      </c>
      <c r="U70" s="231">
        <f>-('Table 5C1O-Impact'!AB73+'Table 5C1O-Impact'!AE73)</f>
        <v>-25345</v>
      </c>
      <c r="V70" s="231">
        <f>-('Table 5C1P-Vision'!AB73+'Table 5C1P-Vision'!AE73)</f>
        <v>0</v>
      </c>
      <c r="W70" s="231">
        <f>-('Table 5C1Q-Advantage'!AB73+'Table 5C1Q-Advantage'!AE73)</f>
        <v>-25345</v>
      </c>
      <c r="X70" s="231">
        <f>-('Table 5C1R-Iberville'!AB73+'Table 5C1R-Iberville'!AE73)</f>
        <v>0</v>
      </c>
      <c r="Y70" s="231">
        <f>-('Table 5C1S-L.C. Coll Prep'!AB73+'Table 5C1S-L.C. Coll Prep'!AE73)</f>
        <v>0</v>
      </c>
      <c r="Z70" s="231">
        <f>-('Table 5C1T-Northeast'!AB73+'Table 5C1T-Northeast'!AE73)</f>
        <v>0</v>
      </c>
      <c r="AA70" s="231">
        <f>-('Table 5C1U-Acadiana Ren'!AB73+'Table 5C1U-Acadiana Ren'!AE73)</f>
        <v>0</v>
      </c>
      <c r="AB70" s="231">
        <f>-('Table 5C1V-Laf Ren'!AB73+'Table 5C1V-Laf Ren'!AE73)</f>
        <v>0</v>
      </c>
      <c r="AC70" s="231">
        <f>-('Table 5C1W-Willow'!AB73+'Table 5C1W-Willow'!AE73)</f>
        <v>0</v>
      </c>
      <c r="AD70" s="231">
        <f>-('Table 5C2 - LA Virtual Admy'!AC73+'Table 5C2 - LA Virtual Admy'!AF73)</f>
        <v>-31934.700000000004</v>
      </c>
      <c r="AE70" s="231">
        <f>-('Table 5C3 - LA Connections EBR'!AC73+'Table 5C3 - LA Connections EBR'!AF73)</f>
        <v>0</v>
      </c>
      <c r="AF70" s="231">
        <f t="shared" si="5"/>
        <v>-97831.700000000012</v>
      </c>
      <c r="AG70" s="249">
        <f t="shared" si="4"/>
        <v>29877324.300000001</v>
      </c>
    </row>
    <row r="71" spans="1:33" ht="14.45" customHeight="1">
      <c r="A71" s="228">
        <v>68</v>
      </c>
      <c r="B71" s="229" t="s">
        <v>27</v>
      </c>
      <c r="C71" s="230">
        <f>+'Table 2_State Distrib and Adjs'!AP74</f>
        <v>10158192</v>
      </c>
      <c r="D71" s="231">
        <f>-'Table 5A3_OJJ'!T73</f>
        <v>-707.04076946127429</v>
      </c>
      <c r="E71" s="231"/>
      <c r="F71" s="231"/>
      <c r="G71" s="231">
        <f>-('Table 5C1A-Madison Prep'!AB74+'Table 5C1A-Madison Prep'!AE74)</f>
        <v>-24480</v>
      </c>
      <c r="H71" s="231">
        <f>-('Table 5C1B-DArbonne'!AB74+'Table 5C1B-DArbonne'!AE74)</f>
        <v>0</v>
      </c>
      <c r="I71" s="231">
        <f>-('Table 5C1C-Intl_VIBE'!AB74+'Table 5C1C-Intl_VIBE'!AE74)</f>
        <v>0</v>
      </c>
      <c r="J71" s="231">
        <f>-('Table 5C1D-NOMMA'!AB74+'Table 5C1D-NOMMA'!AE74)</f>
        <v>0</v>
      </c>
      <c r="K71" s="231">
        <f>-('Table 5C1E-LFNO'!AB74+'Table 5C1E-LFNO'!AE74)</f>
        <v>0</v>
      </c>
      <c r="L71" s="231">
        <f>-('Table 5C1F-Lake Charles Charter'!AB74+'Table 5C1F-Lake Charles Charter'!AE74)</f>
        <v>0</v>
      </c>
      <c r="M71" s="231">
        <f>-('Table 5C1G-JS Clark Academy'!AB74+'Table 5C1G-JS Clark Academy'!AE74)</f>
        <v>0</v>
      </c>
      <c r="N71" s="231">
        <f>-('Table 5C1H-Southwest LA Charter'!AB74+'Table 5C1H-Southwest LA Charter'!AE74)</f>
        <v>0</v>
      </c>
      <c r="O71" s="231">
        <f>-('Table 5C1I-LA Key Academy'!AB74+'Table 5C1I-LA Key Academy'!AE74)</f>
        <v>0</v>
      </c>
      <c r="P71" s="231">
        <f>-('Table 5C1J-Jefferson Chamber'!AB74+'Table 5C1J-Jefferson Chamber'!AE74)</f>
        <v>0</v>
      </c>
      <c r="Q71" s="231">
        <f>-('Table 5C1K-Tallulah Charter'!AB74+'Table 5C1K-Tallulah Charter'!AE74)</f>
        <v>0</v>
      </c>
      <c r="R71" s="231">
        <f>-('Table 5C1L-Northshore Charter'!AB74+'Table 5C1L-Northshore Charter'!AE74)</f>
        <v>0</v>
      </c>
      <c r="S71" s="231">
        <f>-('Table 5C1M-B.R. Charter'!AB74+'Table 5C1M-B.R. Charter'!AE74)</f>
        <v>0</v>
      </c>
      <c r="T71" s="231">
        <f>-('Table 5C1N-Delta Charter'!AB74+'Table 5C1N-Delta Charter'!AE74)</f>
        <v>0</v>
      </c>
      <c r="U71" s="231">
        <f>-('Table 5C1O-Impact'!AB74+'Table 5C1O-Impact'!AE74)</f>
        <v>-250560</v>
      </c>
      <c r="V71" s="231">
        <f>-('Table 5C1P-Vision'!AB74+'Table 5C1P-Vision'!AE74)</f>
        <v>0</v>
      </c>
      <c r="W71" s="231">
        <f>-('Table 5C1Q-Advantage'!AB74+'Table 5C1Q-Advantage'!AE74)</f>
        <v>-586080</v>
      </c>
      <c r="X71" s="231">
        <f>-('Table 5C1R-Iberville'!AB74+'Table 5C1R-Iberville'!AE74)</f>
        <v>0</v>
      </c>
      <c r="Y71" s="231">
        <f>-('Table 5C1S-L.C. Coll Prep'!AB74+'Table 5C1S-L.C. Coll Prep'!AE74)</f>
        <v>0</v>
      </c>
      <c r="Z71" s="231">
        <f>-('Table 5C1T-Northeast'!AB74+'Table 5C1T-Northeast'!AE74)</f>
        <v>0</v>
      </c>
      <c r="AA71" s="231">
        <f>-('Table 5C1U-Acadiana Ren'!AB74+'Table 5C1U-Acadiana Ren'!AE74)</f>
        <v>0</v>
      </c>
      <c r="AB71" s="231">
        <f>-('Table 5C1V-Laf Ren'!AB74+'Table 5C1V-Laf Ren'!AE74)</f>
        <v>0</v>
      </c>
      <c r="AC71" s="231">
        <f>-('Table 5C1W-Willow'!AB74+'Table 5C1W-Willow'!AE74)</f>
        <v>0</v>
      </c>
      <c r="AD71" s="231">
        <f>-('Table 5C2 - LA Virtual Admy'!AC74+'Table 5C2 - LA Virtual Admy'!AF74)</f>
        <v>-11664</v>
      </c>
      <c r="AE71" s="231">
        <f>-('Table 5C3 - LA Connections EBR'!AC74+'Table 5C3 - LA Connections EBR'!AF74)</f>
        <v>0</v>
      </c>
      <c r="AF71" s="231">
        <f t="shared" si="5"/>
        <v>-873491.04076946131</v>
      </c>
      <c r="AG71" s="249">
        <f t="shared" si="4"/>
        <v>9284700.9592305385</v>
      </c>
    </row>
    <row r="72" spans="1:33" ht="14.45" customHeight="1">
      <c r="A72" s="232">
        <v>69</v>
      </c>
      <c r="B72" s="233" t="s">
        <v>147</v>
      </c>
      <c r="C72" s="234">
        <f>+'Table 2_State Distrib and Adjs'!AP75</f>
        <v>28702193</v>
      </c>
      <c r="D72" s="235">
        <f>-'Table 5A3_OJJ'!T74</f>
        <v>0</v>
      </c>
      <c r="E72" s="235"/>
      <c r="F72" s="235"/>
      <c r="G72" s="235">
        <f>-('Table 5C1A-Madison Prep'!AB75+'Table 5C1A-Madison Prep'!AE75)</f>
        <v>0</v>
      </c>
      <c r="H72" s="235">
        <f>-('Table 5C1B-DArbonne'!AB75+'Table 5C1B-DArbonne'!AE75)</f>
        <v>0</v>
      </c>
      <c r="I72" s="235">
        <f>-('Table 5C1C-Intl_VIBE'!AB75+'Table 5C1C-Intl_VIBE'!AE75)</f>
        <v>0</v>
      </c>
      <c r="J72" s="235">
        <f>-('Table 5C1D-NOMMA'!AB75+'Table 5C1D-NOMMA'!AE75)</f>
        <v>0</v>
      </c>
      <c r="K72" s="235">
        <f>-('Table 5C1E-LFNO'!AB75+'Table 5C1E-LFNO'!AE75)</f>
        <v>0</v>
      </c>
      <c r="L72" s="235">
        <f>-('Table 5C1F-Lake Charles Charter'!AB75+'Table 5C1F-Lake Charles Charter'!AE75)</f>
        <v>0</v>
      </c>
      <c r="M72" s="235">
        <f>-('Table 5C1G-JS Clark Academy'!AB75+'Table 5C1G-JS Clark Academy'!AE75)</f>
        <v>0</v>
      </c>
      <c r="N72" s="235">
        <f>-('Table 5C1H-Southwest LA Charter'!AB75+'Table 5C1H-Southwest LA Charter'!AE75)</f>
        <v>0</v>
      </c>
      <c r="O72" s="235">
        <f>-('Table 5C1I-LA Key Academy'!AB75+'Table 5C1I-LA Key Academy'!AE75)</f>
        <v>-6660</v>
      </c>
      <c r="P72" s="235">
        <f>-('Table 5C1J-Jefferson Chamber'!AB75+'Table 5C1J-Jefferson Chamber'!AE75)</f>
        <v>0</v>
      </c>
      <c r="Q72" s="235">
        <f>-('Table 5C1K-Tallulah Charter'!AB75+'Table 5C1K-Tallulah Charter'!AE75)</f>
        <v>0</v>
      </c>
      <c r="R72" s="235">
        <f>-('Table 5C1L-Northshore Charter'!AB75+'Table 5C1L-Northshore Charter'!AE75)</f>
        <v>0</v>
      </c>
      <c r="S72" s="235">
        <f>-('Table 5C1M-B.R. Charter'!AB75+'Table 5C1M-B.R. Charter'!AE75)</f>
        <v>0</v>
      </c>
      <c r="T72" s="235">
        <f>-('Table 5C1N-Delta Charter'!AB75+'Table 5C1N-Delta Charter'!AE75)</f>
        <v>0</v>
      </c>
      <c r="U72" s="235">
        <f>-('Table 5C1O-Impact'!AB75+'Table 5C1O-Impact'!AE75)</f>
        <v>0</v>
      </c>
      <c r="V72" s="235">
        <f>-('Table 5C1P-Vision'!AB75+'Table 5C1P-Vision'!AE75)</f>
        <v>0</v>
      </c>
      <c r="W72" s="235">
        <f>-('Table 5C1Q-Advantage'!AB75+'Table 5C1Q-Advantage'!AE75)</f>
        <v>-9990</v>
      </c>
      <c r="X72" s="235">
        <f>-('Table 5C1R-Iberville'!AB75+'Table 5C1R-Iberville'!AE75)</f>
        <v>0</v>
      </c>
      <c r="Y72" s="235">
        <f>-('Table 5C1S-L.C. Coll Prep'!AB75+'Table 5C1S-L.C. Coll Prep'!AE75)</f>
        <v>0</v>
      </c>
      <c r="Z72" s="235">
        <f>-('Table 5C1T-Northeast'!AB75+'Table 5C1T-Northeast'!AE75)</f>
        <v>0</v>
      </c>
      <c r="AA72" s="235">
        <f>-('Table 5C1U-Acadiana Ren'!AB75+'Table 5C1U-Acadiana Ren'!AE75)</f>
        <v>0</v>
      </c>
      <c r="AB72" s="235">
        <f>-('Table 5C1V-Laf Ren'!AB75+'Table 5C1V-Laf Ren'!AE75)</f>
        <v>0</v>
      </c>
      <c r="AC72" s="235">
        <f>-('Table 5C1W-Willow'!AB75+'Table 5C1W-Willow'!AE75)</f>
        <v>0</v>
      </c>
      <c r="AD72" s="235">
        <f>-('Table 5C2 - LA Virtual Admy'!AC75+'Table 5C2 - LA Virtual Admy'!AF75)</f>
        <v>-29970</v>
      </c>
      <c r="AE72" s="235">
        <f>-('Table 5C3 - LA Connections EBR'!AC75+'Table 5C3 - LA Connections EBR'!AF75)</f>
        <v>0</v>
      </c>
      <c r="AF72" s="235">
        <f t="shared" si="5"/>
        <v>-46620</v>
      </c>
      <c r="AG72" s="250">
        <f t="shared" si="4"/>
        <v>28655573</v>
      </c>
    </row>
    <row r="73" spans="1:33" ht="14.45" customHeight="1" thickBot="1">
      <c r="A73" s="236"/>
      <c r="B73" s="237" t="s">
        <v>138</v>
      </c>
      <c r="C73" s="251">
        <f t="shared" ref="C73:AG73" si="6">SUM(C4:C72)</f>
        <v>3357401623</v>
      </c>
      <c r="D73" s="251">
        <f>SUM(D4:D72)</f>
        <v>-1065289.0265643809</v>
      </c>
      <c r="E73" s="251">
        <f t="shared" si="6"/>
        <v>-14701521.5</v>
      </c>
      <c r="F73" s="251">
        <f t="shared" si="6"/>
        <v>-143519462.5</v>
      </c>
      <c r="G73" s="251">
        <f t="shared" si="6"/>
        <v>-2345128</v>
      </c>
      <c r="H73" s="251">
        <f t="shared" si="6"/>
        <v>-2316082.5</v>
      </c>
      <c r="I73" s="251">
        <f t="shared" si="6"/>
        <v>-2611925.5</v>
      </c>
      <c r="J73" s="251">
        <f t="shared" si="6"/>
        <v>-2918337</v>
      </c>
      <c r="K73" s="251">
        <f t="shared" si="6"/>
        <v>-2365758.5</v>
      </c>
      <c r="L73" s="251">
        <f t="shared" si="6"/>
        <v>-3970030.5</v>
      </c>
      <c r="M73" s="251">
        <f t="shared" si="6"/>
        <v>-528843</v>
      </c>
      <c r="N73" s="251">
        <f t="shared" si="6"/>
        <v>-4032985.5</v>
      </c>
      <c r="O73" s="251">
        <f t="shared" si="6"/>
        <v>-1213549.5</v>
      </c>
      <c r="P73" s="251">
        <f t="shared" si="6"/>
        <v>-558729.5</v>
      </c>
      <c r="Q73" s="251">
        <f t="shared" si="6"/>
        <v>-1271607</v>
      </c>
      <c r="R73" s="251">
        <f t="shared" si="6"/>
        <v>-1468855.5</v>
      </c>
      <c r="S73" s="251">
        <f t="shared" si="6"/>
        <v>-4193318.5</v>
      </c>
      <c r="T73" s="251">
        <f t="shared" si="6"/>
        <v>-1072129</v>
      </c>
      <c r="U73" s="251">
        <f t="shared" si="6"/>
        <v>-737920</v>
      </c>
      <c r="V73" s="251">
        <f t="shared" si="6"/>
        <v>-643243.5</v>
      </c>
      <c r="W73" s="251">
        <f t="shared" si="6"/>
        <v>-1578539.5</v>
      </c>
      <c r="X73" s="251">
        <f t="shared" si="6"/>
        <v>-2936278.5</v>
      </c>
      <c r="Y73" s="251">
        <f t="shared" si="6"/>
        <v>-471138</v>
      </c>
      <c r="Z73" s="251">
        <f t="shared" si="6"/>
        <v>-515756.5</v>
      </c>
      <c r="AA73" s="251">
        <f t="shared" si="6"/>
        <v>-3809996</v>
      </c>
      <c r="AB73" s="251">
        <f t="shared" si="6"/>
        <v>-2811005.5</v>
      </c>
      <c r="AC73" s="251">
        <f t="shared" si="6"/>
        <v>-2538074</v>
      </c>
      <c r="AD73" s="251">
        <f>SUM(AD4:AD72)</f>
        <v>-7444414.7999999989</v>
      </c>
      <c r="AE73" s="251">
        <f>SUM(AE4:AE72)</f>
        <v>-7137246.1500000013</v>
      </c>
      <c r="AF73" s="251">
        <f>SUM(AF4:AF72)</f>
        <v>-220777164.97656441</v>
      </c>
      <c r="AG73" s="252">
        <f t="shared" si="6"/>
        <v>3136624458.0234365</v>
      </c>
    </row>
    <row r="74" spans="1:33" ht="13.5" thickTop="1"/>
    <row r="75" spans="1:33" ht="13.15" customHeight="1">
      <c r="E75" s="638"/>
      <c r="F75" s="638"/>
      <c r="G75" s="638"/>
      <c r="H75" s="638"/>
      <c r="I75" s="638"/>
      <c r="J75" s="638"/>
    </row>
  </sheetData>
  <printOptions horizontalCentered="1"/>
  <pageMargins left="0.25" right="0.25" top="0.99" bottom="0.75" header="0.3" footer="0.3"/>
  <pageSetup paperSize="5" scale="78" firstPageNumber="7" orientation="portrait" r:id="rId1"/>
  <headerFooter>
    <oddHeader xml:space="preserve">&amp;L&amp;"Arial,Bold"&amp;14&amp;K000000Table 2A-1:  FY2014-15 Budget Letter (March 2015)
MFP Transfer Amount (Annual) 
</oddHead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90"/>
  <sheetViews>
    <sheetView view="pageBreakPreview" zoomScale="80" zoomScaleNormal="8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427" customWidth="1"/>
    <col min="2" max="2" width="37.7109375" style="427" customWidth="1"/>
    <col min="3" max="3" width="12.140625" style="427" bestFit="1" customWidth="1"/>
    <col min="4" max="4" width="13.7109375" style="427" bestFit="1" customWidth="1"/>
    <col min="5" max="5" width="9.85546875" style="427" bestFit="1" customWidth="1"/>
    <col min="6" max="7" width="12.28515625" style="427" bestFit="1" customWidth="1"/>
    <col min="8" max="8" width="11.5703125" style="427" bestFit="1" customWidth="1"/>
    <col min="9" max="12" width="11.85546875" style="427" bestFit="1" customWidth="1"/>
    <col min="13" max="13" width="10.85546875" style="427" bestFit="1" customWidth="1"/>
    <col min="14" max="14" width="13.140625" style="427" customWidth="1"/>
    <col min="15" max="15" width="13.42578125" style="427" bestFit="1" customWidth="1"/>
    <col min="16" max="16" width="14.7109375" style="427" customWidth="1"/>
    <col min="17" max="18" width="14" style="427" customWidth="1"/>
    <col min="19" max="19" width="10.7109375" style="427" customWidth="1"/>
    <col min="20" max="20" width="14.85546875" style="427" customWidth="1"/>
    <col min="21" max="22" width="14.5703125" style="427" customWidth="1"/>
    <col min="23" max="23" width="11.7109375" style="427" customWidth="1"/>
    <col min="24" max="24" width="14.42578125" style="427" bestFit="1" customWidth="1"/>
    <col min="25" max="27" width="11.7109375" style="427" customWidth="1"/>
    <col min="28" max="28" width="14.42578125" style="427" bestFit="1" customWidth="1"/>
    <col min="29" max="29" width="10.5703125" style="427" customWidth="1"/>
    <col min="30" max="30" width="14.42578125" style="427" bestFit="1" customWidth="1"/>
    <col min="31" max="31" width="11.85546875" style="427" bestFit="1" customWidth="1"/>
    <col min="32" max="32" width="14.42578125" style="427" bestFit="1" customWidth="1"/>
    <col min="33" max="33" width="9.5703125" style="427" bestFit="1" customWidth="1"/>
    <col min="34" max="34" width="9.28515625" style="427" bestFit="1" customWidth="1"/>
    <col min="35" max="37" width="14.42578125" style="427" bestFit="1" customWidth="1"/>
    <col min="38" max="38" width="0" style="427" hidden="1" customWidth="1"/>
    <col min="39" max="40" width="12.28515625" style="427" hidden="1" customWidth="1"/>
    <col min="41" max="41" width="10" style="427" hidden="1" customWidth="1"/>
    <col min="42" max="16384" width="8.85546875" style="427"/>
  </cols>
  <sheetData>
    <row r="1" spans="1:41" ht="23.45" customHeight="1">
      <c r="A1" s="1535" t="s">
        <v>266</v>
      </c>
      <c r="B1" s="1536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454"/>
      <c r="B2" s="1455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37"/>
      <c r="B3" s="1455"/>
      <c r="C3" s="1525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38"/>
      <c r="B4" s="1457"/>
      <c r="C4" s="1520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H5" si="1">E5+1</f>
        <v>4</v>
      </c>
      <c r="G5" s="23">
        <f t="shared" si="1"/>
        <v>5</v>
      </c>
      <c r="H5" s="23">
        <f t="shared" si="1"/>
        <v>6</v>
      </c>
      <c r="I5" s="23">
        <f t="shared" ref="I5" si="2">H5+1</f>
        <v>7</v>
      </c>
      <c r="J5" s="23">
        <f t="shared" ref="J5" si="3">I5+1</f>
        <v>8</v>
      </c>
      <c r="K5" s="23">
        <f t="shared" ref="K5" si="4">J5+1</f>
        <v>9</v>
      </c>
      <c r="L5" s="23">
        <f t="shared" ref="L5" si="5">K5+1</f>
        <v>10</v>
      </c>
      <c r="M5" s="23">
        <f t="shared" ref="M5" si="6">L5+1</f>
        <v>11</v>
      </c>
      <c r="N5" s="23">
        <f t="shared" ref="N5" si="7">M5+1</f>
        <v>12</v>
      </c>
      <c r="O5" s="23">
        <f t="shared" ref="O5" si="8">N5+1</f>
        <v>13</v>
      </c>
      <c r="P5" s="23">
        <f t="shared" ref="P5" si="9">O5+1</f>
        <v>14</v>
      </c>
      <c r="Q5" s="23">
        <f t="shared" ref="Q5" si="10">P5+1</f>
        <v>15</v>
      </c>
      <c r="R5" s="23">
        <f t="shared" ref="R5" si="11">Q5+1</f>
        <v>16</v>
      </c>
      <c r="S5" s="23">
        <f t="shared" ref="S5" si="12">R5+1</f>
        <v>17</v>
      </c>
      <c r="T5" s="23">
        <f t="shared" ref="T5" si="13">S5+1</f>
        <v>18</v>
      </c>
      <c r="U5" s="23">
        <f t="shared" ref="U5" si="14">T5+1</f>
        <v>19</v>
      </c>
      <c r="V5" s="23">
        <f t="shared" ref="V5" si="15">U5+1</f>
        <v>20</v>
      </c>
      <c r="W5" s="23">
        <f t="shared" ref="W5" si="16">V5+1</f>
        <v>21</v>
      </c>
      <c r="X5" s="23">
        <f t="shared" ref="X5" si="17">W5+1</f>
        <v>22</v>
      </c>
      <c r="Y5" s="23">
        <f t="shared" ref="Y5" si="18">X5+1</f>
        <v>23</v>
      </c>
      <c r="Z5" s="23">
        <f t="shared" ref="Z5" si="19">Y5+1</f>
        <v>24</v>
      </c>
      <c r="AA5" s="23">
        <f t="shared" ref="AA5" si="20">Z5+1</f>
        <v>25</v>
      </c>
      <c r="AB5" s="23">
        <f t="shared" ref="AB5" si="21">AA5+1</f>
        <v>26</v>
      </c>
      <c r="AC5" s="23">
        <f t="shared" ref="AC5" si="22">AB5+1</f>
        <v>27</v>
      </c>
      <c r="AD5" s="23">
        <f t="shared" ref="AD5" si="23">AC5+1</f>
        <v>28</v>
      </c>
      <c r="AE5" s="23">
        <f t="shared" ref="AE5" si="24">AD5+1</f>
        <v>29</v>
      </c>
      <c r="AF5" s="23">
        <f t="shared" ref="AF5" si="25">AE5+1</f>
        <v>30</v>
      </c>
      <c r="AG5" s="23">
        <f t="shared" ref="AG5" si="26">AF5+1</f>
        <v>31</v>
      </c>
      <c r="AH5" s="23">
        <f t="shared" ref="AH5" si="27">AG5+1</f>
        <v>32</v>
      </c>
      <c r="AI5" s="23">
        <f t="shared" ref="AI5" si="28">AH5+1</f>
        <v>33</v>
      </c>
      <c r="AJ5" s="23">
        <f t="shared" ref="AJ5" si="29">AI5+1</f>
        <v>34</v>
      </c>
      <c r="AK5" s="23">
        <f t="shared" ref="AK5" si="30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2"/>
      <c r="J6" s="52"/>
      <c r="K6" s="52"/>
      <c r="L6" s="52"/>
      <c r="M6" s="30"/>
      <c r="N6" s="30"/>
      <c r="O6" s="30"/>
      <c r="P6" s="30"/>
      <c r="Q6" s="52"/>
      <c r="R6" s="52"/>
      <c r="S6" s="30"/>
      <c r="T6" s="30"/>
      <c r="U6" s="30"/>
      <c r="V6" s="30"/>
      <c r="W6" s="52"/>
      <c r="X6" s="52"/>
      <c r="Y6" s="55"/>
      <c r="Z6" s="55"/>
      <c r="AA6" s="55"/>
      <c r="AB6" s="52"/>
      <c r="AC6" s="30"/>
      <c r="AD6" s="30"/>
      <c r="AE6" s="30"/>
      <c r="AF6" s="30"/>
      <c r="AG6" s="52"/>
      <c r="AH6" s="52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2.1.14'!P3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990">
        <f>'[1]Oct midyear JS Clark'!K4</f>
        <v>0</v>
      </c>
      <c r="J7" s="210">
        <f>'[1]Feb midyear JS Clark'!K4</f>
        <v>0</v>
      </c>
      <c r="K7" s="211">
        <f>I7+J7</f>
        <v>0</v>
      </c>
      <c r="L7" s="344">
        <f>H7+K7</f>
        <v>0</v>
      </c>
      <c r="M7" s="273">
        <f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'[2]Table 5C1G-JS Clark Academy'!S7+'[14]Table 5C1G-JS Clark Academy'!S7+(6*'[20]Table 5C1G-JS Clark Academy'!S7)</f>
        <v>0</v>
      </c>
      <c r="R7" s="210">
        <f>P7-Q7</f>
        <v>0</v>
      </c>
      <c r="S7" s="350">
        <f t="shared" ref="S7:S38" si="31">ROUND(R7/$S$88,0)</f>
        <v>0</v>
      </c>
      <c r="T7" s="350">
        <f>+P7</f>
        <v>0</v>
      </c>
      <c r="U7" s="274">
        <f>'Table 5C1A-Madison Prep'!U7</f>
        <v>2424</v>
      </c>
      <c r="V7" s="327">
        <f t="shared" ref="V7:V38" si="32">C7*U7</f>
        <v>0</v>
      </c>
      <c r="W7" s="994">
        <f>'[1]Oct midyear JS Clark'!E4</f>
        <v>0</v>
      </c>
      <c r="X7" s="276">
        <f>W7*U7</f>
        <v>0</v>
      </c>
      <c r="Y7" s="883">
        <f>'[1]Feb midyear JS Clark'!E4</f>
        <v>0</v>
      </c>
      <c r="Z7" s="276">
        <f t="shared" ref="Z7:Z70" si="33">+U7*Y7*0.5</f>
        <v>0</v>
      </c>
      <c r="AA7" s="275">
        <f>+Z7+X7</f>
        <v>0</v>
      </c>
      <c r="AB7" s="323">
        <f>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'[2]Table 5C1G-JS Clark Academy'!AI7+'[14]Table 5C1G-JS Clark Academy'!AI7+(6*'[20]Table 5C1G-JS Clark Academy'!AI7)</f>
        <v>0</v>
      </c>
      <c r="AH7" s="279">
        <f>AF7-AG7</f>
        <v>0</v>
      </c>
      <c r="AI7" s="323">
        <f t="shared" ref="AI7:AI38" si="34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35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2.1.14'!P4</f>
        <v>0</v>
      </c>
      <c r="D8" s="201">
        <f>+'Table 5C1A-Madison Prep'!D8</f>
        <v>6316.6266417386641</v>
      </c>
      <c r="E8" s="202">
        <f t="shared" ref="E8:E71" si="36">C8*D8</f>
        <v>0</v>
      </c>
      <c r="F8" s="202">
        <f>+'Table 5C1A-Madison Prep'!F8</f>
        <v>842.32</v>
      </c>
      <c r="G8" s="202">
        <f t="shared" ref="G8:G71" si="37">C8*F8</f>
        <v>0</v>
      </c>
      <c r="H8" s="345">
        <f t="shared" ref="H8:H71" si="38">E8+G8</f>
        <v>0</v>
      </c>
      <c r="I8" s="991">
        <f>'[1]Oct midyear JS Clark'!K5</f>
        <v>0</v>
      </c>
      <c r="J8" s="203">
        <f>'[1]Feb midyear JS Clark'!K5</f>
        <v>0</v>
      </c>
      <c r="K8" s="204">
        <f t="shared" ref="K8:K71" si="39">I8+J8</f>
        <v>0</v>
      </c>
      <c r="L8" s="345">
        <f t="shared" ref="L8:L38" si="40">H8+K8</f>
        <v>0</v>
      </c>
      <c r="M8" s="286">
        <f t="shared" ref="M8:M71" si="41">-(0.25%*L8)</f>
        <v>0</v>
      </c>
      <c r="N8" s="345">
        <f t="shared" ref="N8:N71" si="42">SUM(L8:M8)</f>
        <v>0</v>
      </c>
      <c r="O8" s="201">
        <v>0</v>
      </c>
      <c r="P8" s="351">
        <f t="shared" ref="P8:P71" si="43">SUM(N8:O8)</f>
        <v>0</v>
      </c>
      <c r="Q8" s="203">
        <f>'[2]Table 5C1G-JS Clark Academy'!S8+'[14]Table 5C1G-JS Clark Academy'!S8+(6*'[20]Table 5C1G-JS Clark Academy'!S8)</f>
        <v>0</v>
      </c>
      <c r="R8" s="203">
        <f t="shared" ref="R8:R71" si="44">P8-Q8</f>
        <v>0</v>
      </c>
      <c r="S8" s="351">
        <f t="shared" si="31"/>
        <v>0</v>
      </c>
      <c r="T8" s="351">
        <f t="shared" ref="T8:T71" si="45">+P8</f>
        <v>0</v>
      </c>
      <c r="U8" s="287">
        <f>'Table 5C1A-Madison Prep'!U8</f>
        <v>2786</v>
      </c>
      <c r="V8" s="328">
        <f t="shared" si="32"/>
        <v>0</v>
      </c>
      <c r="W8" s="995">
        <f>'[1]Oct midyear JS Clark'!E5</f>
        <v>0</v>
      </c>
      <c r="X8" s="290">
        <f t="shared" ref="X8:X71" si="46">W8*U8</f>
        <v>0</v>
      </c>
      <c r="Y8" s="289">
        <f>'[1]Feb midyear JS Clark'!E5</f>
        <v>0</v>
      </c>
      <c r="Z8" s="290">
        <f t="shared" si="33"/>
        <v>0</v>
      </c>
      <c r="AA8" s="288">
        <f t="shared" ref="AA8:AA71" si="47">+Z8+X8</f>
        <v>0</v>
      </c>
      <c r="AB8" s="324">
        <f t="shared" ref="AB8:AB71" si="48">V8+AA8</f>
        <v>0</v>
      </c>
      <c r="AC8" s="292">
        <f t="shared" ref="AC8:AC71" si="49">-(0.25%*AB8)</f>
        <v>0</v>
      </c>
      <c r="AD8" s="324">
        <f t="shared" ref="AD8:AD71" si="50">SUM(AB8:AC8)</f>
        <v>0</v>
      </c>
      <c r="AE8" s="293">
        <v>0</v>
      </c>
      <c r="AF8" s="324">
        <f t="shared" ref="AF8:AF71" si="51">SUM(AD8:AE8)</f>
        <v>0</v>
      </c>
      <c r="AG8" s="293">
        <f>'[2]Table 5C1G-JS Clark Academy'!AI8+'[14]Table 5C1G-JS Clark Academy'!AI8+(6*'[20]Table 5C1G-JS Clark Academy'!AI8)</f>
        <v>0</v>
      </c>
      <c r="AH8" s="293">
        <f t="shared" ref="AH8:AH71" si="52">AF8-AG8</f>
        <v>0</v>
      </c>
      <c r="AI8" s="324">
        <f t="shared" si="34"/>
        <v>0</v>
      </c>
      <c r="AJ8" s="321">
        <f t="shared" ref="AJ8:AJ71" si="53">T8+AF8</f>
        <v>0</v>
      </c>
      <c r="AK8" s="342">
        <f t="shared" ref="AK8:AK71" si="54">S8+AI8</f>
        <v>0</v>
      </c>
      <c r="AM8" s="286">
        <v>0</v>
      </c>
      <c r="AN8" s="286">
        <f t="shared" ref="AN8:AN71" si="55">+AC8</f>
        <v>0</v>
      </c>
      <c r="AO8" s="286">
        <f t="shared" si="35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2.1.14'!P5</f>
        <v>0</v>
      </c>
      <c r="D9" s="201">
        <f>+'Table 5C1A-Madison Prep'!D9</f>
        <v>4155.1862027396819</v>
      </c>
      <c r="E9" s="202">
        <f t="shared" si="36"/>
        <v>0</v>
      </c>
      <c r="F9" s="202">
        <f>+'Table 5C1A-Madison Prep'!F9</f>
        <v>596.84</v>
      </c>
      <c r="G9" s="202">
        <f t="shared" si="37"/>
        <v>0</v>
      </c>
      <c r="H9" s="345">
        <f t="shared" si="38"/>
        <v>0</v>
      </c>
      <c r="I9" s="991">
        <f>'[1]Oct midyear JS Clark'!K6</f>
        <v>0</v>
      </c>
      <c r="J9" s="203">
        <f>'[1]Feb midyear JS Clark'!K6</f>
        <v>0</v>
      </c>
      <c r="K9" s="204">
        <f t="shared" si="39"/>
        <v>0</v>
      </c>
      <c r="L9" s="345">
        <f t="shared" si="40"/>
        <v>0</v>
      </c>
      <c r="M9" s="286">
        <f t="shared" si="41"/>
        <v>0</v>
      </c>
      <c r="N9" s="345">
        <f t="shared" si="42"/>
        <v>0</v>
      </c>
      <c r="O9" s="201">
        <v>0</v>
      </c>
      <c r="P9" s="351">
        <f t="shared" si="43"/>
        <v>0</v>
      </c>
      <c r="Q9" s="203">
        <f>'[2]Table 5C1G-JS Clark Academy'!S9+'[14]Table 5C1G-JS Clark Academy'!S9+(6*'[20]Table 5C1G-JS Clark Academy'!S9)</f>
        <v>0</v>
      </c>
      <c r="R9" s="203">
        <f t="shared" si="44"/>
        <v>0</v>
      </c>
      <c r="S9" s="351">
        <f t="shared" si="31"/>
        <v>0</v>
      </c>
      <c r="T9" s="351">
        <f t="shared" si="45"/>
        <v>0</v>
      </c>
      <c r="U9" s="287">
        <f>'Table 5C1A-Madison Prep'!U9</f>
        <v>5927</v>
      </c>
      <c r="V9" s="328">
        <f t="shared" si="32"/>
        <v>0</v>
      </c>
      <c r="W9" s="995">
        <f>'[1]Oct midyear JS Clark'!E6</f>
        <v>0</v>
      </c>
      <c r="X9" s="290">
        <f t="shared" si="46"/>
        <v>0</v>
      </c>
      <c r="Y9" s="289">
        <f>'[1]Feb midyear JS Clark'!E6</f>
        <v>0</v>
      </c>
      <c r="Z9" s="290">
        <f t="shared" si="33"/>
        <v>0</v>
      </c>
      <c r="AA9" s="288">
        <f t="shared" si="47"/>
        <v>0</v>
      </c>
      <c r="AB9" s="324">
        <f t="shared" si="48"/>
        <v>0</v>
      </c>
      <c r="AC9" s="292">
        <f t="shared" si="49"/>
        <v>0</v>
      </c>
      <c r="AD9" s="324">
        <f t="shared" si="50"/>
        <v>0</v>
      </c>
      <c r="AE9" s="293">
        <v>0</v>
      </c>
      <c r="AF9" s="324">
        <f t="shared" si="51"/>
        <v>0</v>
      </c>
      <c r="AG9" s="293">
        <f>'[2]Table 5C1G-JS Clark Academy'!AI9+'[14]Table 5C1G-JS Clark Academy'!AI9+(6*'[20]Table 5C1G-JS Clark Academy'!AI9)</f>
        <v>0</v>
      </c>
      <c r="AH9" s="293">
        <f t="shared" si="52"/>
        <v>0</v>
      </c>
      <c r="AI9" s="324">
        <f t="shared" si="34"/>
        <v>0</v>
      </c>
      <c r="AJ9" s="321">
        <f t="shared" si="53"/>
        <v>0</v>
      </c>
      <c r="AK9" s="342">
        <f t="shared" si="54"/>
        <v>0</v>
      </c>
      <c r="AM9" s="286">
        <v>0</v>
      </c>
      <c r="AN9" s="286">
        <f t="shared" si="55"/>
        <v>0</v>
      </c>
      <c r="AO9" s="286">
        <f t="shared" si="35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2.1.14'!P6</f>
        <v>0</v>
      </c>
      <c r="D10" s="201">
        <f>+'Table 5C1A-Madison Prep'!D10</f>
        <v>6119.0581446878568</v>
      </c>
      <c r="E10" s="202">
        <f t="shared" si="36"/>
        <v>0</v>
      </c>
      <c r="F10" s="202">
        <f>+'Table 5C1A-Madison Prep'!F10</f>
        <v>585.76</v>
      </c>
      <c r="G10" s="202">
        <f t="shared" si="37"/>
        <v>0</v>
      </c>
      <c r="H10" s="345">
        <f t="shared" si="38"/>
        <v>0</v>
      </c>
      <c r="I10" s="991">
        <f>'[1]Oct midyear JS Clark'!K7</f>
        <v>0</v>
      </c>
      <c r="J10" s="203">
        <f>'[1]Feb midyear JS Clark'!K7</f>
        <v>0</v>
      </c>
      <c r="K10" s="204">
        <f t="shared" si="39"/>
        <v>0</v>
      </c>
      <c r="L10" s="345">
        <f t="shared" si="40"/>
        <v>0</v>
      </c>
      <c r="M10" s="286">
        <f t="shared" si="41"/>
        <v>0</v>
      </c>
      <c r="N10" s="345">
        <f t="shared" si="42"/>
        <v>0</v>
      </c>
      <c r="O10" s="201">
        <v>0</v>
      </c>
      <c r="P10" s="351">
        <f t="shared" si="43"/>
        <v>0</v>
      </c>
      <c r="Q10" s="203">
        <f>'[2]Table 5C1G-JS Clark Academy'!S10+'[14]Table 5C1G-JS Clark Academy'!S10+(6*'[20]Table 5C1G-JS Clark Academy'!S10)</f>
        <v>0</v>
      </c>
      <c r="R10" s="203">
        <f t="shared" si="44"/>
        <v>0</v>
      </c>
      <c r="S10" s="351">
        <f t="shared" si="31"/>
        <v>0</v>
      </c>
      <c r="T10" s="351">
        <f t="shared" si="45"/>
        <v>0</v>
      </c>
      <c r="U10" s="287">
        <f>'Table 5C1A-Madison Prep'!U10</f>
        <v>4203</v>
      </c>
      <c r="V10" s="328">
        <f t="shared" si="32"/>
        <v>0</v>
      </c>
      <c r="W10" s="995">
        <f>'[1]Oct midyear JS Clark'!E7</f>
        <v>0</v>
      </c>
      <c r="X10" s="290">
        <f t="shared" si="46"/>
        <v>0</v>
      </c>
      <c r="Y10" s="289">
        <f>'[1]Feb midyear JS Clark'!E7</f>
        <v>0</v>
      </c>
      <c r="Z10" s="290">
        <f t="shared" si="33"/>
        <v>0</v>
      </c>
      <c r="AA10" s="288">
        <f t="shared" si="47"/>
        <v>0</v>
      </c>
      <c r="AB10" s="324">
        <f t="shared" si="48"/>
        <v>0</v>
      </c>
      <c r="AC10" s="292">
        <f t="shared" si="49"/>
        <v>0</v>
      </c>
      <c r="AD10" s="324">
        <f t="shared" si="50"/>
        <v>0</v>
      </c>
      <c r="AE10" s="293">
        <v>0</v>
      </c>
      <c r="AF10" s="324">
        <f t="shared" si="51"/>
        <v>0</v>
      </c>
      <c r="AG10" s="293">
        <f>'[2]Table 5C1G-JS Clark Academy'!AI10+'[14]Table 5C1G-JS Clark Academy'!AI10+(6*'[20]Table 5C1G-JS Clark Academy'!AI10)</f>
        <v>0</v>
      </c>
      <c r="AH10" s="293">
        <f t="shared" si="52"/>
        <v>0</v>
      </c>
      <c r="AI10" s="324">
        <f t="shared" si="34"/>
        <v>0</v>
      </c>
      <c r="AJ10" s="321">
        <f t="shared" si="53"/>
        <v>0</v>
      </c>
      <c r="AK10" s="342">
        <f t="shared" si="54"/>
        <v>0</v>
      </c>
      <c r="AM10" s="286">
        <v>0</v>
      </c>
      <c r="AN10" s="286">
        <f t="shared" si="55"/>
        <v>0</v>
      </c>
      <c r="AO10" s="286">
        <f t="shared" si="35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2.1.14'!P7</f>
        <v>0</v>
      </c>
      <c r="D11" s="194">
        <f>+'Table 5C1A-Madison Prep'!D11</f>
        <v>5268.940566009911</v>
      </c>
      <c r="E11" s="195">
        <f t="shared" si="36"/>
        <v>0</v>
      </c>
      <c r="F11" s="195">
        <f>+'Table 5C1A-Madison Prep'!F11</f>
        <v>555.91</v>
      </c>
      <c r="G11" s="195">
        <f t="shared" si="37"/>
        <v>0</v>
      </c>
      <c r="H11" s="346">
        <f t="shared" si="38"/>
        <v>0</v>
      </c>
      <c r="I11" s="992">
        <f>'[1]Oct midyear JS Clark'!K8</f>
        <v>0</v>
      </c>
      <c r="J11" s="196">
        <f>'[1]Feb midyear JS Clark'!K8</f>
        <v>0</v>
      </c>
      <c r="K11" s="197">
        <f t="shared" si="39"/>
        <v>0</v>
      </c>
      <c r="L11" s="346">
        <f t="shared" si="40"/>
        <v>0</v>
      </c>
      <c r="M11" s="296">
        <f t="shared" si="41"/>
        <v>0</v>
      </c>
      <c r="N11" s="346">
        <f t="shared" si="42"/>
        <v>0</v>
      </c>
      <c r="O11" s="194">
        <v>0</v>
      </c>
      <c r="P11" s="352">
        <f t="shared" si="43"/>
        <v>0</v>
      </c>
      <c r="Q11" s="622">
        <f>'[2]Table 5C1G-JS Clark Academy'!S11+'[14]Table 5C1G-JS Clark Academy'!S11+(6*'[20]Table 5C1G-JS Clark Academy'!S11)</f>
        <v>0</v>
      </c>
      <c r="R11" s="196">
        <f t="shared" si="44"/>
        <v>0</v>
      </c>
      <c r="S11" s="356">
        <f t="shared" si="31"/>
        <v>0</v>
      </c>
      <c r="T11" s="356">
        <f t="shared" si="45"/>
        <v>0</v>
      </c>
      <c r="U11" s="281">
        <f>'Table 5C1A-Madison Prep'!U11</f>
        <v>1923</v>
      </c>
      <c r="V11" s="329">
        <f t="shared" si="32"/>
        <v>0</v>
      </c>
      <c r="W11" s="996">
        <f>'[1]Oct midyear JS Clark'!E8</f>
        <v>0</v>
      </c>
      <c r="X11" s="282">
        <f t="shared" si="46"/>
        <v>0</v>
      </c>
      <c r="Y11" s="884">
        <f>'[1]Feb midyear JS Clark'!E8</f>
        <v>0</v>
      </c>
      <c r="Z11" s="282">
        <f t="shared" si="33"/>
        <v>0</v>
      </c>
      <c r="AA11" s="283">
        <f t="shared" si="47"/>
        <v>0</v>
      </c>
      <c r="AB11" s="325">
        <f t="shared" si="48"/>
        <v>0</v>
      </c>
      <c r="AC11" s="298">
        <f t="shared" si="49"/>
        <v>0</v>
      </c>
      <c r="AD11" s="325">
        <f t="shared" si="50"/>
        <v>0</v>
      </c>
      <c r="AE11" s="284">
        <v>0</v>
      </c>
      <c r="AF11" s="325">
        <f t="shared" si="51"/>
        <v>0</v>
      </c>
      <c r="AG11" s="284">
        <f>'[2]Table 5C1G-JS Clark Academy'!AI11+'[14]Table 5C1G-JS Clark Academy'!AI11+(6*'[20]Table 5C1G-JS Clark Academy'!AI11)</f>
        <v>0</v>
      </c>
      <c r="AH11" s="284">
        <f t="shared" si="52"/>
        <v>0</v>
      </c>
      <c r="AI11" s="325">
        <f t="shared" si="34"/>
        <v>0</v>
      </c>
      <c r="AJ11" s="338">
        <f t="shared" si="53"/>
        <v>0</v>
      </c>
      <c r="AK11" s="343">
        <f t="shared" si="54"/>
        <v>0</v>
      </c>
      <c r="AM11" s="296">
        <v>0</v>
      </c>
      <c r="AN11" s="296">
        <f t="shared" si="55"/>
        <v>0</v>
      </c>
      <c r="AO11" s="296">
        <f t="shared" si="35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2.1.14'!P8</f>
        <v>0</v>
      </c>
      <c r="D12" s="208">
        <f>+'Table 5C1A-Madison Prep'!D12</f>
        <v>5378.5086124955869</v>
      </c>
      <c r="E12" s="209">
        <f t="shared" si="36"/>
        <v>0</v>
      </c>
      <c r="F12" s="209">
        <f>+'Table 5C1A-Madison Prep'!F12</f>
        <v>545.4799999999999</v>
      </c>
      <c r="G12" s="209">
        <f t="shared" si="37"/>
        <v>0</v>
      </c>
      <c r="H12" s="344">
        <f t="shared" si="38"/>
        <v>0</v>
      </c>
      <c r="I12" s="990">
        <f>'[1]Oct midyear JS Clark'!K9</f>
        <v>0</v>
      </c>
      <c r="J12" s="210">
        <f>'[1]Feb midyear JS Clark'!K9</f>
        <v>0</v>
      </c>
      <c r="K12" s="211">
        <f t="shared" si="39"/>
        <v>0</v>
      </c>
      <c r="L12" s="344">
        <f t="shared" si="40"/>
        <v>0</v>
      </c>
      <c r="M12" s="273">
        <f t="shared" si="41"/>
        <v>0</v>
      </c>
      <c r="N12" s="344">
        <f t="shared" si="42"/>
        <v>0</v>
      </c>
      <c r="O12" s="208">
        <v>0</v>
      </c>
      <c r="P12" s="350">
        <f t="shared" si="43"/>
        <v>0</v>
      </c>
      <c r="Q12" s="210">
        <f>'[2]Table 5C1G-JS Clark Academy'!S12+'[14]Table 5C1G-JS Clark Academy'!S12+(6*'[20]Table 5C1G-JS Clark Academy'!S12)</f>
        <v>0</v>
      </c>
      <c r="R12" s="210">
        <f t="shared" si="44"/>
        <v>0</v>
      </c>
      <c r="S12" s="350">
        <f t="shared" si="31"/>
        <v>0</v>
      </c>
      <c r="T12" s="350">
        <f t="shared" si="45"/>
        <v>0</v>
      </c>
      <c r="U12" s="274">
        <f>'Table 5C1A-Madison Prep'!U12</f>
        <v>4057</v>
      </c>
      <c r="V12" s="327">
        <f t="shared" si="32"/>
        <v>0</v>
      </c>
      <c r="W12" s="994">
        <f>'[1]Oct midyear JS Clark'!E9</f>
        <v>0</v>
      </c>
      <c r="X12" s="276">
        <f t="shared" si="46"/>
        <v>0</v>
      </c>
      <c r="Y12" s="883">
        <f>'[1]Feb midyear JS Clark'!E9</f>
        <v>0</v>
      </c>
      <c r="Z12" s="276">
        <f t="shared" si="33"/>
        <v>0</v>
      </c>
      <c r="AA12" s="275">
        <f t="shared" si="47"/>
        <v>0</v>
      </c>
      <c r="AB12" s="323">
        <f t="shared" si="48"/>
        <v>0</v>
      </c>
      <c r="AC12" s="278">
        <f t="shared" si="49"/>
        <v>0</v>
      </c>
      <c r="AD12" s="323">
        <f t="shared" si="50"/>
        <v>0</v>
      </c>
      <c r="AE12" s="279">
        <v>0</v>
      </c>
      <c r="AF12" s="323">
        <f t="shared" si="51"/>
        <v>0</v>
      </c>
      <c r="AG12" s="279">
        <f>'[2]Table 5C1G-JS Clark Academy'!AI12+'[14]Table 5C1G-JS Clark Academy'!AI12+(6*'[20]Table 5C1G-JS Clark Academy'!AI12)</f>
        <v>0</v>
      </c>
      <c r="AH12" s="279">
        <f t="shared" si="52"/>
        <v>0</v>
      </c>
      <c r="AI12" s="323">
        <f t="shared" si="34"/>
        <v>0</v>
      </c>
      <c r="AJ12" s="337">
        <f t="shared" si="53"/>
        <v>0</v>
      </c>
      <c r="AK12" s="341">
        <f t="shared" si="54"/>
        <v>0</v>
      </c>
      <c r="AM12" s="273">
        <v>0</v>
      </c>
      <c r="AN12" s="273">
        <f t="shared" si="55"/>
        <v>0</v>
      </c>
      <c r="AO12" s="273">
        <f t="shared" si="35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2.1.14'!P9</f>
        <v>0</v>
      </c>
      <c r="D13" s="201">
        <f>+'Table 5C1A-Madison Prep'!D13</f>
        <v>2243.0031963470319</v>
      </c>
      <c r="E13" s="202">
        <f t="shared" si="36"/>
        <v>0</v>
      </c>
      <c r="F13" s="202">
        <f>+'Table 5C1A-Madison Prep'!F13</f>
        <v>756.91999999999985</v>
      </c>
      <c r="G13" s="202">
        <f t="shared" si="37"/>
        <v>0</v>
      </c>
      <c r="H13" s="345">
        <f t="shared" si="38"/>
        <v>0</v>
      </c>
      <c r="I13" s="991">
        <f>'[1]Oct midyear JS Clark'!K10</f>
        <v>0</v>
      </c>
      <c r="J13" s="203">
        <f>'[1]Feb midyear JS Clark'!K10</f>
        <v>0</v>
      </c>
      <c r="K13" s="204">
        <f t="shared" si="39"/>
        <v>0</v>
      </c>
      <c r="L13" s="345">
        <f t="shared" si="40"/>
        <v>0</v>
      </c>
      <c r="M13" s="286">
        <f t="shared" si="41"/>
        <v>0</v>
      </c>
      <c r="N13" s="345">
        <f t="shared" si="42"/>
        <v>0</v>
      </c>
      <c r="O13" s="201">
        <v>0</v>
      </c>
      <c r="P13" s="351">
        <f t="shared" si="43"/>
        <v>0</v>
      </c>
      <c r="Q13" s="203">
        <f>'[2]Table 5C1G-JS Clark Academy'!S13+'[14]Table 5C1G-JS Clark Academy'!S13+(6*'[20]Table 5C1G-JS Clark Academy'!S13)</f>
        <v>0</v>
      </c>
      <c r="R13" s="203">
        <f t="shared" si="44"/>
        <v>0</v>
      </c>
      <c r="S13" s="351">
        <f t="shared" si="31"/>
        <v>0</v>
      </c>
      <c r="T13" s="351">
        <f t="shared" si="45"/>
        <v>0</v>
      </c>
      <c r="U13" s="287">
        <f>'Table 5C1A-Madison Prep'!U13</f>
        <v>12112</v>
      </c>
      <c r="V13" s="328">
        <f t="shared" si="32"/>
        <v>0</v>
      </c>
      <c r="W13" s="995">
        <f>'[1]Oct midyear JS Clark'!E10</f>
        <v>0</v>
      </c>
      <c r="X13" s="290">
        <f t="shared" si="46"/>
        <v>0</v>
      </c>
      <c r="Y13" s="289">
        <f>'[1]Feb midyear JS Clark'!E10</f>
        <v>0</v>
      </c>
      <c r="Z13" s="290">
        <f t="shared" si="33"/>
        <v>0</v>
      </c>
      <c r="AA13" s="288">
        <f t="shared" si="47"/>
        <v>0</v>
      </c>
      <c r="AB13" s="324">
        <f t="shared" si="48"/>
        <v>0</v>
      </c>
      <c r="AC13" s="292">
        <f t="shared" si="49"/>
        <v>0</v>
      </c>
      <c r="AD13" s="324">
        <f t="shared" si="50"/>
        <v>0</v>
      </c>
      <c r="AE13" s="293">
        <v>0</v>
      </c>
      <c r="AF13" s="324">
        <f t="shared" si="51"/>
        <v>0</v>
      </c>
      <c r="AG13" s="293">
        <f>'[2]Table 5C1G-JS Clark Academy'!AI13+'[14]Table 5C1G-JS Clark Academy'!AI13+(6*'[20]Table 5C1G-JS Clark Academy'!AI13)</f>
        <v>0</v>
      </c>
      <c r="AH13" s="293">
        <f t="shared" si="52"/>
        <v>0</v>
      </c>
      <c r="AI13" s="324">
        <f t="shared" si="34"/>
        <v>0</v>
      </c>
      <c r="AJ13" s="321">
        <f t="shared" si="53"/>
        <v>0</v>
      </c>
      <c r="AK13" s="342">
        <f t="shared" si="54"/>
        <v>0</v>
      </c>
      <c r="AM13" s="286">
        <v>0</v>
      </c>
      <c r="AN13" s="286">
        <f t="shared" si="55"/>
        <v>0</v>
      </c>
      <c r="AO13" s="286">
        <f t="shared" si="35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2.1.14'!P10</f>
        <v>0</v>
      </c>
      <c r="D14" s="201">
        <f>+'Table 5C1A-Madison Prep'!D14</f>
        <v>4669.802459558854</v>
      </c>
      <c r="E14" s="202">
        <f t="shared" si="36"/>
        <v>0</v>
      </c>
      <c r="F14" s="202">
        <f>+'Table 5C1A-Madison Prep'!F14</f>
        <v>725.76</v>
      </c>
      <c r="G14" s="202">
        <f t="shared" si="37"/>
        <v>0</v>
      </c>
      <c r="H14" s="345">
        <f t="shared" si="38"/>
        <v>0</v>
      </c>
      <c r="I14" s="991">
        <f>'[1]Oct midyear JS Clark'!K11</f>
        <v>0</v>
      </c>
      <c r="J14" s="203">
        <f>'[1]Feb midyear JS Clark'!K11</f>
        <v>0</v>
      </c>
      <c r="K14" s="204">
        <f t="shared" si="39"/>
        <v>0</v>
      </c>
      <c r="L14" s="345">
        <f t="shared" si="40"/>
        <v>0</v>
      </c>
      <c r="M14" s="286">
        <f t="shared" si="41"/>
        <v>0</v>
      </c>
      <c r="N14" s="345">
        <f t="shared" si="42"/>
        <v>0</v>
      </c>
      <c r="O14" s="201">
        <v>0</v>
      </c>
      <c r="P14" s="351">
        <f t="shared" si="43"/>
        <v>0</v>
      </c>
      <c r="Q14" s="203">
        <f>'[2]Table 5C1G-JS Clark Academy'!S14+'[14]Table 5C1G-JS Clark Academy'!S14+(6*'[20]Table 5C1G-JS Clark Academy'!S14)</f>
        <v>0</v>
      </c>
      <c r="R14" s="203">
        <f t="shared" si="44"/>
        <v>0</v>
      </c>
      <c r="S14" s="351">
        <f t="shared" si="31"/>
        <v>0</v>
      </c>
      <c r="T14" s="351">
        <f t="shared" si="45"/>
        <v>0</v>
      </c>
      <c r="U14" s="287">
        <f>'Table 5C1A-Madison Prep'!U14</f>
        <v>4124</v>
      </c>
      <c r="V14" s="328">
        <f t="shared" si="32"/>
        <v>0</v>
      </c>
      <c r="W14" s="995">
        <f>'[1]Oct midyear JS Clark'!E11</f>
        <v>0</v>
      </c>
      <c r="X14" s="290">
        <f t="shared" si="46"/>
        <v>0</v>
      </c>
      <c r="Y14" s="289">
        <f>'[1]Feb midyear JS Clark'!E11</f>
        <v>0</v>
      </c>
      <c r="Z14" s="290">
        <f t="shared" si="33"/>
        <v>0</v>
      </c>
      <c r="AA14" s="288">
        <f t="shared" si="47"/>
        <v>0</v>
      </c>
      <c r="AB14" s="324">
        <f t="shared" si="48"/>
        <v>0</v>
      </c>
      <c r="AC14" s="292">
        <f t="shared" si="49"/>
        <v>0</v>
      </c>
      <c r="AD14" s="324">
        <f t="shared" si="50"/>
        <v>0</v>
      </c>
      <c r="AE14" s="293">
        <v>0</v>
      </c>
      <c r="AF14" s="324">
        <f t="shared" si="51"/>
        <v>0</v>
      </c>
      <c r="AG14" s="293">
        <f>'[2]Table 5C1G-JS Clark Academy'!AI14+'[14]Table 5C1G-JS Clark Academy'!AI14+(6*'[20]Table 5C1G-JS Clark Academy'!AI14)</f>
        <v>0</v>
      </c>
      <c r="AH14" s="293">
        <f t="shared" si="52"/>
        <v>0</v>
      </c>
      <c r="AI14" s="324">
        <f t="shared" si="34"/>
        <v>0</v>
      </c>
      <c r="AJ14" s="321">
        <f t="shared" si="53"/>
        <v>0</v>
      </c>
      <c r="AK14" s="342">
        <f t="shared" si="54"/>
        <v>0</v>
      </c>
      <c r="AM14" s="286">
        <v>0</v>
      </c>
      <c r="AN14" s="286">
        <f t="shared" si="55"/>
        <v>0</v>
      </c>
      <c r="AO14" s="286">
        <f t="shared" si="35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2.1.14'!P11</f>
        <v>0</v>
      </c>
      <c r="D15" s="201">
        <f>+'Table 5C1A-Madison Prep'!D15</f>
        <v>4632.4615072045008</v>
      </c>
      <c r="E15" s="202">
        <f t="shared" si="36"/>
        <v>0</v>
      </c>
      <c r="F15" s="202">
        <f>+'Table 5C1A-Madison Prep'!F15</f>
        <v>744.76</v>
      </c>
      <c r="G15" s="202">
        <f t="shared" si="37"/>
        <v>0</v>
      </c>
      <c r="H15" s="345">
        <f t="shared" si="38"/>
        <v>0</v>
      </c>
      <c r="I15" s="991">
        <f>'[1]Oct midyear JS Clark'!K12</f>
        <v>0</v>
      </c>
      <c r="J15" s="203">
        <f>'[1]Feb midyear JS Clark'!K12</f>
        <v>0</v>
      </c>
      <c r="K15" s="204">
        <f t="shared" si="39"/>
        <v>0</v>
      </c>
      <c r="L15" s="345">
        <f t="shared" si="40"/>
        <v>0</v>
      </c>
      <c r="M15" s="286">
        <f t="shared" si="41"/>
        <v>0</v>
      </c>
      <c r="N15" s="345">
        <f t="shared" si="42"/>
        <v>0</v>
      </c>
      <c r="O15" s="201">
        <v>0</v>
      </c>
      <c r="P15" s="351">
        <f t="shared" si="43"/>
        <v>0</v>
      </c>
      <c r="Q15" s="203">
        <f>'[2]Table 5C1G-JS Clark Academy'!S15+'[14]Table 5C1G-JS Clark Academy'!S15+(6*'[20]Table 5C1G-JS Clark Academy'!S15)</f>
        <v>0</v>
      </c>
      <c r="R15" s="203">
        <f t="shared" si="44"/>
        <v>0</v>
      </c>
      <c r="S15" s="351">
        <f t="shared" si="31"/>
        <v>0</v>
      </c>
      <c r="T15" s="351">
        <f t="shared" si="45"/>
        <v>0</v>
      </c>
      <c r="U15" s="287">
        <f>'Table 5C1A-Madison Prep'!U15</f>
        <v>4901</v>
      </c>
      <c r="V15" s="328">
        <f t="shared" si="32"/>
        <v>0</v>
      </c>
      <c r="W15" s="995">
        <f>'[1]Oct midyear JS Clark'!E12</f>
        <v>0</v>
      </c>
      <c r="X15" s="290">
        <f t="shared" si="46"/>
        <v>0</v>
      </c>
      <c r="Y15" s="289">
        <f>'[1]Feb midyear JS Clark'!E12</f>
        <v>0</v>
      </c>
      <c r="Z15" s="290">
        <f t="shared" si="33"/>
        <v>0</v>
      </c>
      <c r="AA15" s="288">
        <f t="shared" si="47"/>
        <v>0</v>
      </c>
      <c r="AB15" s="324">
        <f t="shared" si="48"/>
        <v>0</v>
      </c>
      <c r="AC15" s="292">
        <f t="shared" si="49"/>
        <v>0</v>
      </c>
      <c r="AD15" s="324">
        <f t="shared" si="50"/>
        <v>0</v>
      </c>
      <c r="AE15" s="293">
        <v>0</v>
      </c>
      <c r="AF15" s="324">
        <f t="shared" si="51"/>
        <v>0</v>
      </c>
      <c r="AG15" s="293">
        <f>'[2]Table 5C1G-JS Clark Academy'!AI15+'[14]Table 5C1G-JS Clark Academy'!AI15+(6*'[20]Table 5C1G-JS Clark Academy'!AI15)</f>
        <v>0</v>
      </c>
      <c r="AH15" s="293">
        <f t="shared" si="52"/>
        <v>0</v>
      </c>
      <c r="AI15" s="324">
        <f t="shared" si="34"/>
        <v>0</v>
      </c>
      <c r="AJ15" s="321">
        <f t="shared" si="53"/>
        <v>0</v>
      </c>
      <c r="AK15" s="342">
        <f t="shared" si="54"/>
        <v>0</v>
      </c>
      <c r="AM15" s="286">
        <v>0</v>
      </c>
      <c r="AN15" s="286">
        <f t="shared" si="55"/>
        <v>0</v>
      </c>
      <c r="AO15" s="286">
        <f t="shared" si="35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2.1.14'!P12</f>
        <v>0</v>
      </c>
      <c r="D16" s="194">
        <f>+'Table 5C1A-Madison Prep'!D16</f>
        <v>4384.374733918472</v>
      </c>
      <c r="E16" s="195">
        <f t="shared" si="36"/>
        <v>0</v>
      </c>
      <c r="F16" s="195">
        <f>+'Table 5C1A-Madison Prep'!F16</f>
        <v>608.04000000000008</v>
      </c>
      <c r="G16" s="195">
        <f t="shared" si="37"/>
        <v>0</v>
      </c>
      <c r="H16" s="346">
        <f t="shared" si="38"/>
        <v>0</v>
      </c>
      <c r="I16" s="992">
        <f>'[1]Oct midyear JS Clark'!K13</f>
        <v>0</v>
      </c>
      <c r="J16" s="196">
        <f>'[1]Feb midyear JS Clark'!K13</f>
        <v>0</v>
      </c>
      <c r="K16" s="197">
        <f t="shared" si="39"/>
        <v>0</v>
      </c>
      <c r="L16" s="346">
        <f t="shared" si="40"/>
        <v>0</v>
      </c>
      <c r="M16" s="296">
        <f t="shared" si="41"/>
        <v>0</v>
      </c>
      <c r="N16" s="346">
        <f t="shared" si="42"/>
        <v>0</v>
      </c>
      <c r="O16" s="194">
        <v>0</v>
      </c>
      <c r="P16" s="352">
        <f t="shared" si="43"/>
        <v>0</v>
      </c>
      <c r="Q16" s="622">
        <f>'[2]Table 5C1G-JS Clark Academy'!S16+'[14]Table 5C1G-JS Clark Academy'!S16+(6*'[20]Table 5C1G-JS Clark Academy'!S16)</f>
        <v>0</v>
      </c>
      <c r="R16" s="196">
        <f t="shared" si="44"/>
        <v>0</v>
      </c>
      <c r="S16" s="356">
        <f t="shared" si="31"/>
        <v>0</v>
      </c>
      <c r="T16" s="356">
        <f t="shared" si="45"/>
        <v>0</v>
      </c>
      <c r="U16" s="281">
        <f>'Table 5C1A-Madison Prep'!U16</f>
        <v>4619</v>
      </c>
      <c r="V16" s="329">
        <f t="shared" si="32"/>
        <v>0</v>
      </c>
      <c r="W16" s="996">
        <f>'[1]Oct midyear JS Clark'!E13</f>
        <v>0</v>
      </c>
      <c r="X16" s="282">
        <f t="shared" si="46"/>
        <v>0</v>
      </c>
      <c r="Y16" s="884">
        <f>'[1]Feb midyear JS Clark'!E13</f>
        <v>0</v>
      </c>
      <c r="Z16" s="282">
        <f t="shared" si="33"/>
        <v>0</v>
      </c>
      <c r="AA16" s="283">
        <f t="shared" si="47"/>
        <v>0</v>
      </c>
      <c r="AB16" s="325">
        <f t="shared" si="48"/>
        <v>0</v>
      </c>
      <c r="AC16" s="298">
        <f t="shared" si="49"/>
        <v>0</v>
      </c>
      <c r="AD16" s="325">
        <f t="shared" si="50"/>
        <v>0</v>
      </c>
      <c r="AE16" s="284">
        <v>0</v>
      </c>
      <c r="AF16" s="325">
        <f t="shared" si="51"/>
        <v>0</v>
      </c>
      <c r="AG16" s="284">
        <f>'[2]Table 5C1G-JS Clark Academy'!AI16+'[14]Table 5C1G-JS Clark Academy'!AI16+(6*'[20]Table 5C1G-JS Clark Academy'!AI16)</f>
        <v>0</v>
      </c>
      <c r="AH16" s="284">
        <f t="shared" si="52"/>
        <v>0</v>
      </c>
      <c r="AI16" s="325">
        <f t="shared" si="34"/>
        <v>0</v>
      </c>
      <c r="AJ16" s="338">
        <f t="shared" si="53"/>
        <v>0</v>
      </c>
      <c r="AK16" s="343">
        <f t="shared" si="54"/>
        <v>0</v>
      </c>
      <c r="AM16" s="296">
        <v>0</v>
      </c>
      <c r="AN16" s="296">
        <f t="shared" si="55"/>
        <v>0</v>
      </c>
      <c r="AO16" s="296">
        <f t="shared" si="35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2.1.14'!P13</f>
        <v>0</v>
      </c>
      <c r="D17" s="208">
        <f>+'Table 5C1A-Madison Prep'!D17</f>
        <v>7098.5372236353351</v>
      </c>
      <c r="E17" s="209">
        <f t="shared" si="36"/>
        <v>0</v>
      </c>
      <c r="F17" s="209">
        <f>+'Table 5C1A-Madison Prep'!F17</f>
        <v>706.55</v>
      </c>
      <c r="G17" s="209">
        <f t="shared" si="37"/>
        <v>0</v>
      </c>
      <c r="H17" s="344">
        <f t="shared" si="38"/>
        <v>0</v>
      </c>
      <c r="I17" s="990">
        <f>'[1]Oct midyear JS Clark'!K14</f>
        <v>0</v>
      </c>
      <c r="J17" s="210">
        <f>'[1]Feb midyear JS Clark'!K14</f>
        <v>0</v>
      </c>
      <c r="K17" s="211">
        <f t="shared" si="39"/>
        <v>0</v>
      </c>
      <c r="L17" s="344">
        <f t="shared" si="40"/>
        <v>0</v>
      </c>
      <c r="M17" s="273">
        <f t="shared" si="41"/>
        <v>0</v>
      </c>
      <c r="N17" s="344">
        <f t="shared" si="42"/>
        <v>0</v>
      </c>
      <c r="O17" s="208">
        <v>0</v>
      </c>
      <c r="P17" s="350">
        <f t="shared" si="43"/>
        <v>0</v>
      </c>
      <c r="Q17" s="210">
        <f>'[2]Table 5C1G-JS Clark Academy'!S17+'[14]Table 5C1G-JS Clark Academy'!S17+(6*'[20]Table 5C1G-JS Clark Academy'!S17)</f>
        <v>0</v>
      </c>
      <c r="R17" s="210">
        <f t="shared" si="44"/>
        <v>0</v>
      </c>
      <c r="S17" s="350">
        <f t="shared" si="31"/>
        <v>0</v>
      </c>
      <c r="T17" s="350">
        <f t="shared" si="45"/>
        <v>0</v>
      </c>
      <c r="U17" s="274">
        <f>'Table 5C1A-Madison Prep'!U17</f>
        <v>3580</v>
      </c>
      <c r="V17" s="327">
        <f t="shared" si="32"/>
        <v>0</v>
      </c>
      <c r="W17" s="994">
        <f>'[1]Oct midyear JS Clark'!E14</f>
        <v>0</v>
      </c>
      <c r="X17" s="276">
        <f t="shared" si="46"/>
        <v>0</v>
      </c>
      <c r="Y17" s="883">
        <f>'[1]Feb midyear JS Clark'!E14</f>
        <v>0</v>
      </c>
      <c r="Z17" s="276">
        <f t="shared" si="33"/>
        <v>0</v>
      </c>
      <c r="AA17" s="275">
        <f t="shared" si="47"/>
        <v>0</v>
      </c>
      <c r="AB17" s="323">
        <f t="shared" si="48"/>
        <v>0</v>
      </c>
      <c r="AC17" s="278">
        <f t="shared" si="49"/>
        <v>0</v>
      </c>
      <c r="AD17" s="323">
        <f t="shared" si="50"/>
        <v>0</v>
      </c>
      <c r="AE17" s="279">
        <v>0</v>
      </c>
      <c r="AF17" s="323">
        <f t="shared" si="51"/>
        <v>0</v>
      </c>
      <c r="AG17" s="279">
        <f>'[2]Table 5C1G-JS Clark Academy'!AI17+'[14]Table 5C1G-JS Clark Academy'!AI17+(6*'[20]Table 5C1G-JS Clark Academy'!AI17)</f>
        <v>0</v>
      </c>
      <c r="AH17" s="279">
        <f t="shared" si="52"/>
        <v>0</v>
      </c>
      <c r="AI17" s="323">
        <f t="shared" si="34"/>
        <v>0</v>
      </c>
      <c r="AJ17" s="337">
        <f t="shared" si="53"/>
        <v>0</v>
      </c>
      <c r="AK17" s="341">
        <f t="shared" si="54"/>
        <v>0</v>
      </c>
      <c r="AM17" s="273">
        <v>0</v>
      </c>
      <c r="AN17" s="273">
        <f t="shared" si="55"/>
        <v>0</v>
      </c>
      <c r="AO17" s="273">
        <f t="shared" si="35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2.1.14'!P14</f>
        <v>0</v>
      </c>
      <c r="D18" s="201">
        <f>+'Table 5C1A-Madison Prep'!D18</f>
        <v>1666.6040983606558</v>
      </c>
      <c r="E18" s="202">
        <f t="shared" si="36"/>
        <v>0</v>
      </c>
      <c r="F18" s="202">
        <f>+'Table 5C1A-Madison Prep'!F18</f>
        <v>1063.31</v>
      </c>
      <c r="G18" s="202">
        <f t="shared" si="37"/>
        <v>0</v>
      </c>
      <c r="H18" s="345">
        <f t="shared" si="38"/>
        <v>0</v>
      </c>
      <c r="I18" s="991">
        <f>'[1]Oct midyear JS Clark'!K15</f>
        <v>0</v>
      </c>
      <c r="J18" s="203">
        <f>'[1]Feb midyear JS Clark'!K15</f>
        <v>0</v>
      </c>
      <c r="K18" s="204">
        <f t="shared" si="39"/>
        <v>0</v>
      </c>
      <c r="L18" s="345">
        <f t="shared" si="40"/>
        <v>0</v>
      </c>
      <c r="M18" s="286">
        <f t="shared" si="41"/>
        <v>0</v>
      </c>
      <c r="N18" s="345">
        <f t="shared" si="42"/>
        <v>0</v>
      </c>
      <c r="O18" s="201">
        <v>0</v>
      </c>
      <c r="P18" s="351">
        <f t="shared" si="43"/>
        <v>0</v>
      </c>
      <c r="Q18" s="203">
        <f>'[2]Table 5C1G-JS Clark Academy'!S18+'[14]Table 5C1G-JS Clark Academy'!S18+(6*'[20]Table 5C1G-JS Clark Academy'!S18)</f>
        <v>0</v>
      </c>
      <c r="R18" s="203">
        <f t="shared" si="44"/>
        <v>0</v>
      </c>
      <c r="S18" s="351">
        <f t="shared" si="31"/>
        <v>0</v>
      </c>
      <c r="T18" s="351">
        <f t="shared" si="45"/>
        <v>0</v>
      </c>
      <c r="U18" s="287">
        <f>'Table 5C1A-Madison Prep'!U18</f>
        <v>8094</v>
      </c>
      <c r="V18" s="328">
        <f t="shared" si="32"/>
        <v>0</v>
      </c>
      <c r="W18" s="995">
        <f>'[1]Oct midyear JS Clark'!E15</f>
        <v>0</v>
      </c>
      <c r="X18" s="290">
        <f t="shared" si="46"/>
        <v>0</v>
      </c>
      <c r="Y18" s="289">
        <f>'[1]Feb midyear JS Clark'!E15</f>
        <v>0</v>
      </c>
      <c r="Z18" s="290">
        <f t="shared" si="33"/>
        <v>0</v>
      </c>
      <c r="AA18" s="288">
        <f t="shared" si="47"/>
        <v>0</v>
      </c>
      <c r="AB18" s="324">
        <f t="shared" si="48"/>
        <v>0</v>
      </c>
      <c r="AC18" s="292">
        <f t="shared" si="49"/>
        <v>0</v>
      </c>
      <c r="AD18" s="324">
        <f t="shared" si="50"/>
        <v>0</v>
      </c>
      <c r="AE18" s="293">
        <v>0</v>
      </c>
      <c r="AF18" s="324">
        <f t="shared" si="51"/>
        <v>0</v>
      </c>
      <c r="AG18" s="293">
        <f>'[2]Table 5C1G-JS Clark Academy'!AI18+'[14]Table 5C1G-JS Clark Academy'!AI18+(6*'[20]Table 5C1G-JS Clark Academy'!AI18)</f>
        <v>0</v>
      </c>
      <c r="AH18" s="293">
        <f t="shared" si="52"/>
        <v>0</v>
      </c>
      <c r="AI18" s="324">
        <f t="shared" si="34"/>
        <v>0</v>
      </c>
      <c r="AJ18" s="321">
        <f t="shared" si="53"/>
        <v>0</v>
      </c>
      <c r="AK18" s="342">
        <f t="shared" si="54"/>
        <v>0</v>
      </c>
      <c r="AM18" s="286">
        <v>0</v>
      </c>
      <c r="AN18" s="286">
        <f t="shared" si="55"/>
        <v>0</v>
      </c>
      <c r="AO18" s="286">
        <f t="shared" si="35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2.1.14'!P15</f>
        <v>0</v>
      </c>
      <c r="D19" s="201">
        <f>+'Table 5C1A-Madison Prep'!D19</f>
        <v>6433.6297758332212</v>
      </c>
      <c r="E19" s="202">
        <f t="shared" si="36"/>
        <v>0</v>
      </c>
      <c r="F19" s="202">
        <f>+'Table 5C1A-Madison Prep'!F19</f>
        <v>749.43000000000006</v>
      </c>
      <c r="G19" s="202">
        <f t="shared" si="37"/>
        <v>0</v>
      </c>
      <c r="H19" s="345">
        <f t="shared" si="38"/>
        <v>0</v>
      </c>
      <c r="I19" s="991">
        <f>'[1]Oct midyear JS Clark'!K16</f>
        <v>0</v>
      </c>
      <c r="J19" s="203">
        <f>'[1]Feb midyear JS Clark'!K16</f>
        <v>0</v>
      </c>
      <c r="K19" s="204">
        <f t="shared" si="39"/>
        <v>0</v>
      </c>
      <c r="L19" s="345">
        <f t="shared" si="40"/>
        <v>0</v>
      </c>
      <c r="M19" s="286">
        <f t="shared" si="41"/>
        <v>0</v>
      </c>
      <c r="N19" s="345">
        <f t="shared" si="42"/>
        <v>0</v>
      </c>
      <c r="O19" s="201">
        <v>0</v>
      </c>
      <c r="P19" s="351">
        <f t="shared" si="43"/>
        <v>0</v>
      </c>
      <c r="Q19" s="203">
        <f>'[2]Table 5C1G-JS Clark Academy'!S19+'[14]Table 5C1G-JS Clark Academy'!S19+(6*'[20]Table 5C1G-JS Clark Academy'!S19)</f>
        <v>0</v>
      </c>
      <c r="R19" s="203">
        <f t="shared" si="44"/>
        <v>0</v>
      </c>
      <c r="S19" s="351">
        <f t="shared" si="31"/>
        <v>0</v>
      </c>
      <c r="T19" s="351">
        <f t="shared" si="45"/>
        <v>0</v>
      </c>
      <c r="U19" s="287">
        <f>'Table 5C1A-Madison Prep'!U19</f>
        <v>2762</v>
      </c>
      <c r="V19" s="328">
        <f t="shared" si="32"/>
        <v>0</v>
      </c>
      <c r="W19" s="995">
        <f>'[1]Oct midyear JS Clark'!E16</f>
        <v>0</v>
      </c>
      <c r="X19" s="290">
        <f t="shared" si="46"/>
        <v>0</v>
      </c>
      <c r="Y19" s="289">
        <f>'[1]Feb midyear JS Clark'!E16</f>
        <v>0</v>
      </c>
      <c r="Z19" s="290">
        <f t="shared" si="33"/>
        <v>0</v>
      </c>
      <c r="AA19" s="288">
        <f t="shared" si="47"/>
        <v>0</v>
      </c>
      <c r="AB19" s="324">
        <f t="shared" si="48"/>
        <v>0</v>
      </c>
      <c r="AC19" s="292">
        <f t="shared" si="49"/>
        <v>0</v>
      </c>
      <c r="AD19" s="324">
        <f t="shared" si="50"/>
        <v>0</v>
      </c>
      <c r="AE19" s="293">
        <v>0</v>
      </c>
      <c r="AF19" s="324">
        <f t="shared" si="51"/>
        <v>0</v>
      </c>
      <c r="AG19" s="293">
        <f>'[2]Table 5C1G-JS Clark Academy'!AI19+'[14]Table 5C1G-JS Clark Academy'!AI19+(6*'[20]Table 5C1G-JS Clark Academy'!AI19)</f>
        <v>0</v>
      </c>
      <c r="AH19" s="293">
        <f t="shared" si="52"/>
        <v>0</v>
      </c>
      <c r="AI19" s="324">
        <f t="shared" si="34"/>
        <v>0</v>
      </c>
      <c r="AJ19" s="321">
        <f t="shared" si="53"/>
        <v>0</v>
      </c>
      <c r="AK19" s="342">
        <f t="shared" si="54"/>
        <v>0</v>
      </c>
      <c r="AM19" s="286">
        <v>0</v>
      </c>
      <c r="AN19" s="286">
        <f t="shared" si="55"/>
        <v>0</v>
      </c>
      <c r="AO19" s="286">
        <f t="shared" si="35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2.1.14'!P16</f>
        <v>0</v>
      </c>
      <c r="D20" s="201">
        <f>+'Table 5C1A-Madison Prep'!D20</f>
        <v>5334.9509412500001</v>
      </c>
      <c r="E20" s="202">
        <f t="shared" si="36"/>
        <v>0</v>
      </c>
      <c r="F20" s="202">
        <f>+'Table 5C1A-Madison Prep'!F20</f>
        <v>809.9799999999999</v>
      </c>
      <c r="G20" s="202">
        <f t="shared" si="37"/>
        <v>0</v>
      </c>
      <c r="H20" s="345">
        <f t="shared" si="38"/>
        <v>0</v>
      </c>
      <c r="I20" s="991">
        <f>'[1]Oct midyear JS Clark'!K17</f>
        <v>0</v>
      </c>
      <c r="J20" s="203">
        <f>'[1]Feb midyear JS Clark'!K17</f>
        <v>0</v>
      </c>
      <c r="K20" s="204">
        <f t="shared" si="39"/>
        <v>0</v>
      </c>
      <c r="L20" s="345">
        <f t="shared" si="40"/>
        <v>0</v>
      </c>
      <c r="M20" s="286">
        <f t="shared" si="41"/>
        <v>0</v>
      </c>
      <c r="N20" s="345">
        <f t="shared" si="42"/>
        <v>0</v>
      </c>
      <c r="O20" s="201">
        <v>0</v>
      </c>
      <c r="P20" s="351">
        <f t="shared" si="43"/>
        <v>0</v>
      </c>
      <c r="Q20" s="203">
        <f>'[2]Table 5C1G-JS Clark Academy'!S20+'[14]Table 5C1G-JS Clark Academy'!S20+(6*'[20]Table 5C1G-JS Clark Academy'!S20)</f>
        <v>0</v>
      </c>
      <c r="R20" s="203">
        <f t="shared" si="44"/>
        <v>0</v>
      </c>
      <c r="S20" s="351">
        <f t="shared" si="31"/>
        <v>0</v>
      </c>
      <c r="T20" s="351">
        <f t="shared" si="45"/>
        <v>0</v>
      </c>
      <c r="U20" s="287">
        <f>'Table 5C1A-Madison Prep'!U20</f>
        <v>4171</v>
      </c>
      <c r="V20" s="328">
        <f t="shared" si="32"/>
        <v>0</v>
      </c>
      <c r="W20" s="995">
        <f>'[1]Oct midyear JS Clark'!E17</f>
        <v>0</v>
      </c>
      <c r="X20" s="290">
        <f t="shared" si="46"/>
        <v>0</v>
      </c>
      <c r="Y20" s="289">
        <f>'[1]Feb midyear JS Clark'!E17</f>
        <v>0</v>
      </c>
      <c r="Z20" s="290">
        <f t="shared" si="33"/>
        <v>0</v>
      </c>
      <c r="AA20" s="288">
        <f t="shared" si="47"/>
        <v>0</v>
      </c>
      <c r="AB20" s="324">
        <f t="shared" si="48"/>
        <v>0</v>
      </c>
      <c r="AC20" s="292">
        <f t="shared" si="49"/>
        <v>0</v>
      </c>
      <c r="AD20" s="324">
        <f t="shared" si="50"/>
        <v>0</v>
      </c>
      <c r="AE20" s="293">
        <v>0</v>
      </c>
      <c r="AF20" s="324">
        <f t="shared" si="51"/>
        <v>0</v>
      </c>
      <c r="AG20" s="293">
        <f>'[2]Table 5C1G-JS Clark Academy'!AI20+'[14]Table 5C1G-JS Clark Academy'!AI20+(6*'[20]Table 5C1G-JS Clark Academy'!AI20)</f>
        <v>0</v>
      </c>
      <c r="AH20" s="293">
        <f t="shared" si="52"/>
        <v>0</v>
      </c>
      <c r="AI20" s="324">
        <f t="shared" si="34"/>
        <v>0</v>
      </c>
      <c r="AJ20" s="321">
        <f t="shared" si="53"/>
        <v>0</v>
      </c>
      <c r="AK20" s="342">
        <f t="shared" si="54"/>
        <v>0</v>
      </c>
      <c r="AM20" s="286">
        <v>0</v>
      </c>
      <c r="AN20" s="286">
        <f t="shared" si="55"/>
        <v>0</v>
      </c>
      <c r="AO20" s="286">
        <f t="shared" si="35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2.1.14'!P17</f>
        <v>0</v>
      </c>
      <c r="D21" s="194">
        <f>+'Table 5C1A-Madison Prep'!D21</f>
        <v>5749.8285214059952</v>
      </c>
      <c r="E21" s="195">
        <f t="shared" si="36"/>
        <v>0</v>
      </c>
      <c r="F21" s="195">
        <f>+'Table 5C1A-Madison Prep'!F21</f>
        <v>553.79999999999995</v>
      </c>
      <c r="G21" s="195">
        <f t="shared" si="37"/>
        <v>0</v>
      </c>
      <c r="H21" s="346">
        <f t="shared" si="38"/>
        <v>0</v>
      </c>
      <c r="I21" s="992">
        <f>'[1]Oct midyear JS Clark'!K18</f>
        <v>0</v>
      </c>
      <c r="J21" s="196">
        <f>'[1]Feb midyear JS Clark'!K18</f>
        <v>0</v>
      </c>
      <c r="K21" s="197">
        <f t="shared" si="39"/>
        <v>0</v>
      </c>
      <c r="L21" s="346">
        <f t="shared" si="40"/>
        <v>0</v>
      </c>
      <c r="M21" s="296">
        <f t="shared" si="41"/>
        <v>0</v>
      </c>
      <c r="N21" s="346">
        <f t="shared" si="42"/>
        <v>0</v>
      </c>
      <c r="O21" s="194">
        <v>0</v>
      </c>
      <c r="P21" s="352">
        <f t="shared" si="43"/>
        <v>0</v>
      </c>
      <c r="Q21" s="622">
        <f>'[2]Table 5C1G-JS Clark Academy'!S21+'[14]Table 5C1G-JS Clark Academy'!S21+(6*'[20]Table 5C1G-JS Clark Academy'!S21)</f>
        <v>0</v>
      </c>
      <c r="R21" s="196">
        <f t="shared" si="44"/>
        <v>0</v>
      </c>
      <c r="S21" s="356">
        <f t="shared" si="31"/>
        <v>0</v>
      </c>
      <c r="T21" s="356">
        <f t="shared" si="45"/>
        <v>0</v>
      </c>
      <c r="U21" s="281">
        <f>'Table 5C1A-Madison Prep'!U21</f>
        <v>2880</v>
      </c>
      <c r="V21" s="329">
        <f t="shared" si="32"/>
        <v>0</v>
      </c>
      <c r="W21" s="996">
        <f>'[1]Oct midyear JS Clark'!E18</f>
        <v>0</v>
      </c>
      <c r="X21" s="282">
        <f t="shared" si="46"/>
        <v>0</v>
      </c>
      <c r="Y21" s="884">
        <f>'[1]Feb midyear JS Clark'!E18</f>
        <v>0</v>
      </c>
      <c r="Z21" s="282">
        <f t="shared" si="33"/>
        <v>0</v>
      </c>
      <c r="AA21" s="283">
        <f t="shared" si="47"/>
        <v>0</v>
      </c>
      <c r="AB21" s="325">
        <f t="shared" si="48"/>
        <v>0</v>
      </c>
      <c r="AC21" s="298">
        <f t="shared" si="49"/>
        <v>0</v>
      </c>
      <c r="AD21" s="325">
        <f t="shared" si="50"/>
        <v>0</v>
      </c>
      <c r="AE21" s="284">
        <v>0</v>
      </c>
      <c r="AF21" s="325">
        <f t="shared" si="51"/>
        <v>0</v>
      </c>
      <c r="AG21" s="284">
        <f>'[2]Table 5C1G-JS Clark Academy'!AI21+'[14]Table 5C1G-JS Clark Academy'!AI21+(6*'[20]Table 5C1G-JS Clark Academy'!AI21)</f>
        <v>0</v>
      </c>
      <c r="AH21" s="284">
        <f t="shared" si="52"/>
        <v>0</v>
      </c>
      <c r="AI21" s="325">
        <f t="shared" si="34"/>
        <v>0</v>
      </c>
      <c r="AJ21" s="338">
        <f t="shared" si="53"/>
        <v>0</v>
      </c>
      <c r="AK21" s="343">
        <f t="shared" si="54"/>
        <v>0</v>
      </c>
      <c r="AM21" s="296">
        <v>0</v>
      </c>
      <c r="AN21" s="296">
        <f t="shared" si="55"/>
        <v>0</v>
      </c>
      <c r="AO21" s="296">
        <f t="shared" si="35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2.1.14'!P18</f>
        <v>0</v>
      </c>
      <c r="D22" s="208">
        <f>+'Table 5C1A-Madison Prep'!D22</f>
        <v>1980.2494354342025</v>
      </c>
      <c r="E22" s="209">
        <f t="shared" si="36"/>
        <v>0</v>
      </c>
      <c r="F22" s="209">
        <f>+'Table 5C1A-Madison Prep'!F22</f>
        <v>686.73</v>
      </c>
      <c r="G22" s="209">
        <f t="shared" si="37"/>
        <v>0</v>
      </c>
      <c r="H22" s="344">
        <f t="shared" si="38"/>
        <v>0</v>
      </c>
      <c r="I22" s="990">
        <f>'[1]Oct midyear JS Clark'!K19</f>
        <v>0</v>
      </c>
      <c r="J22" s="210">
        <f>'[1]Feb midyear JS Clark'!K19</f>
        <v>0</v>
      </c>
      <c r="K22" s="211">
        <f t="shared" si="39"/>
        <v>0</v>
      </c>
      <c r="L22" s="344">
        <f t="shared" si="40"/>
        <v>0</v>
      </c>
      <c r="M22" s="273">
        <f t="shared" si="41"/>
        <v>0</v>
      </c>
      <c r="N22" s="344">
        <f t="shared" si="42"/>
        <v>0</v>
      </c>
      <c r="O22" s="208">
        <v>0</v>
      </c>
      <c r="P22" s="350">
        <f t="shared" si="43"/>
        <v>0</v>
      </c>
      <c r="Q22" s="210">
        <f>'[2]Table 5C1G-JS Clark Academy'!S22+'[14]Table 5C1G-JS Clark Academy'!S22+(6*'[20]Table 5C1G-JS Clark Academy'!S22)</f>
        <v>0</v>
      </c>
      <c r="R22" s="210">
        <f t="shared" si="44"/>
        <v>0</v>
      </c>
      <c r="S22" s="350">
        <f t="shared" si="31"/>
        <v>0</v>
      </c>
      <c r="T22" s="350">
        <f t="shared" si="45"/>
        <v>0</v>
      </c>
      <c r="U22" s="274">
        <f>'Table 5C1A-Madison Prep'!U22</f>
        <v>13021</v>
      </c>
      <c r="V22" s="327">
        <f t="shared" si="32"/>
        <v>0</v>
      </c>
      <c r="W22" s="994">
        <f>'[1]Oct midyear JS Clark'!E19</f>
        <v>0</v>
      </c>
      <c r="X22" s="276">
        <f t="shared" si="46"/>
        <v>0</v>
      </c>
      <c r="Y22" s="883">
        <f>'[1]Feb midyear JS Clark'!E19</f>
        <v>0</v>
      </c>
      <c r="Z22" s="276">
        <f t="shared" si="33"/>
        <v>0</v>
      </c>
      <c r="AA22" s="275">
        <f t="shared" si="47"/>
        <v>0</v>
      </c>
      <c r="AB22" s="323">
        <f t="shared" si="48"/>
        <v>0</v>
      </c>
      <c r="AC22" s="278">
        <f t="shared" si="49"/>
        <v>0</v>
      </c>
      <c r="AD22" s="323">
        <f t="shared" si="50"/>
        <v>0</v>
      </c>
      <c r="AE22" s="279">
        <v>0</v>
      </c>
      <c r="AF22" s="323">
        <f t="shared" si="51"/>
        <v>0</v>
      </c>
      <c r="AG22" s="279">
        <f>'[2]Table 5C1G-JS Clark Academy'!AI22+'[14]Table 5C1G-JS Clark Academy'!AI22+(6*'[20]Table 5C1G-JS Clark Academy'!AI22)</f>
        <v>0</v>
      </c>
      <c r="AH22" s="279">
        <f t="shared" si="52"/>
        <v>0</v>
      </c>
      <c r="AI22" s="323">
        <f t="shared" si="34"/>
        <v>0</v>
      </c>
      <c r="AJ22" s="337">
        <f t="shared" si="53"/>
        <v>0</v>
      </c>
      <c r="AK22" s="341">
        <f t="shared" si="54"/>
        <v>0</v>
      </c>
      <c r="AM22" s="273">
        <v>0</v>
      </c>
      <c r="AN22" s="273">
        <f t="shared" si="55"/>
        <v>0</v>
      </c>
      <c r="AO22" s="273">
        <f t="shared" si="35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2.1.14'!P19</f>
        <v>0</v>
      </c>
      <c r="D23" s="201">
        <f>+'Table 5C1A-Madison Prep'!D23</f>
        <v>3363.5980368254495</v>
      </c>
      <c r="E23" s="202">
        <f t="shared" si="36"/>
        <v>0</v>
      </c>
      <c r="F23" s="202">
        <f>+'Table 5C1A-Madison Prep'!F23</f>
        <v>801.47762416806802</v>
      </c>
      <c r="G23" s="202">
        <f t="shared" si="37"/>
        <v>0</v>
      </c>
      <c r="H23" s="345">
        <f t="shared" si="38"/>
        <v>0</v>
      </c>
      <c r="I23" s="991">
        <f>'[1]Oct midyear JS Clark'!K20</f>
        <v>0</v>
      </c>
      <c r="J23" s="203">
        <f>'[1]Feb midyear JS Clark'!K20</f>
        <v>0</v>
      </c>
      <c r="K23" s="204">
        <f t="shared" si="39"/>
        <v>0</v>
      </c>
      <c r="L23" s="345">
        <f t="shared" si="40"/>
        <v>0</v>
      </c>
      <c r="M23" s="286">
        <f t="shared" si="41"/>
        <v>0</v>
      </c>
      <c r="N23" s="345">
        <f t="shared" si="42"/>
        <v>0</v>
      </c>
      <c r="O23" s="201">
        <v>0</v>
      </c>
      <c r="P23" s="351">
        <f t="shared" si="43"/>
        <v>0</v>
      </c>
      <c r="Q23" s="203">
        <f>'[2]Table 5C1G-JS Clark Academy'!S23+'[14]Table 5C1G-JS Clark Academy'!S23+(6*'[20]Table 5C1G-JS Clark Academy'!S23)</f>
        <v>0</v>
      </c>
      <c r="R23" s="203">
        <f t="shared" si="44"/>
        <v>0</v>
      </c>
      <c r="S23" s="351">
        <f t="shared" si="31"/>
        <v>0</v>
      </c>
      <c r="T23" s="351">
        <f t="shared" si="45"/>
        <v>0</v>
      </c>
      <c r="U23" s="287">
        <f>'Table 5C1A-Madison Prep'!U23</f>
        <v>6954</v>
      </c>
      <c r="V23" s="328">
        <f t="shared" si="32"/>
        <v>0</v>
      </c>
      <c r="W23" s="995">
        <f>'[1]Oct midyear JS Clark'!E20</f>
        <v>0</v>
      </c>
      <c r="X23" s="290">
        <f t="shared" si="46"/>
        <v>0</v>
      </c>
      <c r="Y23" s="289">
        <f>'[1]Feb midyear JS Clark'!E20</f>
        <v>0</v>
      </c>
      <c r="Z23" s="290">
        <f t="shared" si="33"/>
        <v>0</v>
      </c>
      <c r="AA23" s="288">
        <f t="shared" si="47"/>
        <v>0</v>
      </c>
      <c r="AB23" s="324">
        <f t="shared" si="48"/>
        <v>0</v>
      </c>
      <c r="AC23" s="292">
        <f t="shared" si="49"/>
        <v>0</v>
      </c>
      <c r="AD23" s="324">
        <f t="shared" si="50"/>
        <v>0</v>
      </c>
      <c r="AE23" s="293">
        <v>0</v>
      </c>
      <c r="AF23" s="324">
        <f t="shared" si="51"/>
        <v>0</v>
      </c>
      <c r="AG23" s="293">
        <f>'[2]Table 5C1G-JS Clark Academy'!AI23+'[14]Table 5C1G-JS Clark Academy'!AI23+(6*'[20]Table 5C1G-JS Clark Academy'!AI23)</f>
        <v>0</v>
      </c>
      <c r="AH23" s="293">
        <f t="shared" si="52"/>
        <v>0</v>
      </c>
      <c r="AI23" s="324">
        <f t="shared" si="34"/>
        <v>0</v>
      </c>
      <c r="AJ23" s="321">
        <f t="shared" si="53"/>
        <v>0</v>
      </c>
      <c r="AK23" s="342">
        <f t="shared" si="54"/>
        <v>0</v>
      </c>
      <c r="AM23" s="286">
        <v>0</v>
      </c>
      <c r="AN23" s="286">
        <f t="shared" si="55"/>
        <v>0</v>
      </c>
      <c r="AO23" s="286">
        <f t="shared" si="35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2.1.14'!P20</f>
        <v>0</v>
      </c>
      <c r="D24" s="201">
        <f>+'Table 5C1A-Madison Prep'!D24</f>
        <v>6354.5533500475731</v>
      </c>
      <c r="E24" s="202">
        <f t="shared" si="36"/>
        <v>0</v>
      </c>
      <c r="F24" s="202">
        <f>+'Table 5C1A-Madison Prep'!F24</f>
        <v>845.94999999999993</v>
      </c>
      <c r="G24" s="202">
        <f t="shared" si="37"/>
        <v>0</v>
      </c>
      <c r="H24" s="345">
        <f t="shared" si="38"/>
        <v>0</v>
      </c>
      <c r="I24" s="991">
        <f>'[1]Oct midyear JS Clark'!K21</f>
        <v>0</v>
      </c>
      <c r="J24" s="203">
        <f>'[1]Feb midyear JS Clark'!K21</f>
        <v>0</v>
      </c>
      <c r="K24" s="204">
        <f t="shared" si="39"/>
        <v>0</v>
      </c>
      <c r="L24" s="345">
        <f t="shared" si="40"/>
        <v>0</v>
      </c>
      <c r="M24" s="286">
        <f t="shared" si="41"/>
        <v>0</v>
      </c>
      <c r="N24" s="345">
        <f t="shared" si="42"/>
        <v>0</v>
      </c>
      <c r="O24" s="201">
        <v>0</v>
      </c>
      <c r="P24" s="351">
        <f t="shared" si="43"/>
        <v>0</v>
      </c>
      <c r="Q24" s="203">
        <f>'[2]Table 5C1G-JS Clark Academy'!S24+'[14]Table 5C1G-JS Clark Academy'!S24+(6*'[20]Table 5C1G-JS Clark Academy'!S24)</f>
        <v>0</v>
      </c>
      <c r="R24" s="203">
        <f t="shared" si="44"/>
        <v>0</v>
      </c>
      <c r="S24" s="351">
        <f t="shared" si="31"/>
        <v>0</v>
      </c>
      <c r="T24" s="351">
        <f t="shared" si="45"/>
        <v>0</v>
      </c>
      <c r="U24" s="287">
        <f>'Table 5C1A-Madison Prep'!U24</f>
        <v>2442</v>
      </c>
      <c r="V24" s="328">
        <f t="shared" si="32"/>
        <v>0</v>
      </c>
      <c r="W24" s="995">
        <f>'[1]Oct midyear JS Clark'!E21</f>
        <v>0</v>
      </c>
      <c r="X24" s="290">
        <f t="shared" si="46"/>
        <v>0</v>
      </c>
      <c r="Y24" s="289">
        <f>'[1]Feb midyear JS Clark'!E21</f>
        <v>0</v>
      </c>
      <c r="Z24" s="290">
        <f t="shared" si="33"/>
        <v>0</v>
      </c>
      <c r="AA24" s="288">
        <f t="shared" si="47"/>
        <v>0</v>
      </c>
      <c r="AB24" s="324">
        <f t="shared" si="48"/>
        <v>0</v>
      </c>
      <c r="AC24" s="292">
        <f t="shared" si="49"/>
        <v>0</v>
      </c>
      <c r="AD24" s="324">
        <f t="shared" si="50"/>
        <v>0</v>
      </c>
      <c r="AE24" s="293">
        <v>0</v>
      </c>
      <c r="AF24" s="324">
        <f t="shared" si="51"/>
        <v>0</v>
      </c>
      <c r="AG24" s="293">
        <f>'[2]Table 5C1G-JS Clark Academy'!AI24+'[14]Table 5C1G-JS Clark Academy'!AI24+(6*'[20]Table 5C1G-JS Clark Academy'!AI24)</f>
        <v>0</v>
      </c>
      <c r="AH24" s="293">
        <f t="shared" si="52"/>
        <v>0</v>
      </c>
      <c r="AI24" s="324">
        <f t="shared" si="34"/>
        <v>0</v>
      </c>
      <c r="AJ24" s="321">
        <f t="shared" si="53"/>
        <v>0</v>
      </c>
      <c r="AK24" s="342">
        <f t="shared" si="54"/>
        <v>0</v>
      </c>
      <c r="AM24" s="286">
        <v>0</v>
      </c>
      <c r="AN24" s="286">
        <f t="shared" si="55"/>
        <v>0</v>
      </c>
      <c r="AO24" s="286">
        <f t="shared" si="35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2.1.14'!P21</f>
        <v>0</v>
      </c>
      <c r="D25" s="201">
        <f>+'Table 5C1A-Madison Prep'!D25</f>
        <v>5314.3921869460446</v>
      </c>
      <c r="E25" s="202">
        <f t="shared" si="36"/>
        <v>0</v>
      </c>
      <c r="F25" s="202">
        <f>+'Table 5C1A-Madison Prep'!F25</f>
        <v>905.43</v>
      </c>
      <c r="G25" s="202">
        <f t="shared" si="37"/>
        <v>0</v>
      </c>
      <c r="H25" s="345">
        <f t="shared" si="38"/>
        <v>0</v>
      </c>
      <c r="I25" s="991">
        <f>'[1]Oct midyear JS Clark'!K22</f>
        <v>0</v>
      </c>
      <c r="J25" s="203">
        <f>'[1]Feb midyear JS Clark'!K22</f>
        <v>0</v>
      </c>
      <c r="K25" s="204">
        <f t="shared" si="39"/>
        <v>0</v>
      </c>
      <c r="L25" s="345">
        <f t="shared" si="40"/>
        <v>0</v>
      </c>
      <c r="M25" s="286">
        <f t="shared" si="41"/>
        <v>0</v>
      </c>
      <c r="N25" s="345">
        <f t="shared" si="42"/>
        <v>0</v>
      </c>
      <c r="O25" s="201">
        <v>0</v>
      </c>
      <c r="P25" s="351">
        <f t="shared" si="43"/>
        <v>0</v>
      </c>
      <c r="Q25" s="203">
        <f>'[2]Table 5C1G-JS Clark Academy'!S25+'[14]Table 5C1G-JS Clark Academy'!S25+(6*'[20]Table 5C1G-JS Clark Academy'!S25)</f>
        <v>0</v>
      </c>
      <c r="R25" s="203">
        <f t="shared" si="44"/>
        <v>0</v>
      </c>
      <c r="S25" s="351">
        <f t="shared" si="31"/>
        <v>0</v>
      </c>
      <c r="T25" s="351">
        <f t="shared" si="45"/>
        <v>0</v>
      </c>
      <c r="U25" s="287">
        <f>'Table 5C1A-Madison Prep'!U25</f>
        <v>3051</v>
      </c>
      <c r="V25" s="328">
        <f t="shared" si="32"/>
        <v>0</v>
      </c>
      <c r="W25" s="995">
        <f>'[1]Oct midyear JS Clark'!E22</f>
        <v>0</v>
      </c>
      <c r="X25" s="290">
        <f t="shared" si="46"/>
        <v>0</v>
      </c>
      <c r="Y25" s="289">
        <f>'[1]Feb midyear JS Clark'!E22</f>
        <v>0</v>
      </c>
      <c r="Z25" s="290">
        <f t="shared" si="33"/>
        <v>0</v>
      </c>
      <c r="AA25" s="288">
        <f t="shared" si="47"/>
        <v>0</v>
      </c>
      <c r="AB25" s="324">
        <f t="shared" si="48"/>
        <v>0</v>
      </c>
      <c r="AC25" s="292">
        <f t="shared" si="49"/>
        <v>0</v>
      </c>
      <c r="AD25" s="324">
        <f t="shared" si="50"/>
        <v>0</v>
      </c>
      <c r="AE25" s="293">
        <v>0</v>
      </c>
      <c r="AF25" s="324">
        <f t="shared" si="51"/>
        <v>0</v>
      </c>
      <c r="AG25" s="293">
        <f>'[2]Table 5C1G-JS Clark Academy'!AI25+'[14]Table 5C1G-JS Clark Academy'!AI25+(6*'[20]Table 5C1G-JS Clark Academy'!AI25)</f>
        <v>0</v>
      </c>
      <c r="AH25" s="293">
        <f t="shared" si="52"/>
        <v>0</v>
      </c>
      <c r="AI25" s="324">
        <f t="shared" si="34"/>
        <v>0</v>
      </c>
      <c r="AJ25" s="321">
        <f t="shared" si="53"/>
        <v>0</v>
      </c>
      <c r="AK25" s="342">
        <f t="shared" si="54"/>
        <v>0</v>
      </c>
      <c r="AM25" s="286">
        <v>0</v>
      </c>
      <c r="AN25" s="286">
        <f t="shared" si="55"/>
        <v>0</v>
      </c>
      <c r="AO25" s="286">
        <f t="shared" si="35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2.1.14'!P22</f>
        <v>0</v>
      </c>
      <c r="D26" s="194">
        <f>+'Table 5C1A-Madison Prep'!D26</f>
        <v>5278.5201565562011</v>
      </c>
      <c r="E26" s="195">
        <f t="shared" si="36"/>
        <v>0</v>
      </c>
      <c r="F26" s="195">
        <f>+'Table 5C1A-Madison Prep'!F26</f>
        <v>586.16999999999996</v>
      </c>
      <c r="G26" s="195">
        <f t="shared" si="37"/>
        <v>0</v>
      </c>
      <c r="H26" s="346">
        <f t="shared" si="38"/>
        <v>0</v>
      </c>
      <c r="I26" s="992">
        <f>'[1]Oct midyear JS Clark'!K23</f>
        <v>0</v>
      </c>
      <c r="J26" s="196">
        <f>'[1]Feb midyear JS Clark'!K23</f>
        <v>0</v>
      </c>
      <c r="K26" s="197">
        <f t="shared" si="39"/>
        <v>0</v>
      </c>
      <c r="L26" s="346">
        <f t="shared" si="40"/>
        <v>0</v>
      </c>
      <c r="M26" s="296">
        <f t="shared" si="41"/>
        <v>0</v>
      </c>
      <c r="N26" s="346">
        <f t="shared" si="42"/>
        <v>0</v>
      </c>
      <c r="O26" s="194">
        <v>0</v>
      </c>
      <c r="P26" s="352">
        <f t="shared" si="43"/>
        <v>0</v>
      </c>
      <c r="Q26" s="622">
        <f>'[2]Table 5C1G-JS Clark Academy'!S26+'[14]Table 5C1G-JS Clark Academy'!S26+(6*'[20]Table 5C1G-JS Clark Academy'!S26)</f>
        <v>0</v>
      </c>
      <c r="R26" s="196">
        <f t="shared" si="44"/>
        <v>0</v>
      </c>
      <c r="S26" s="356">
        <f t="shared" si="31"/>
        <v>0</v>
      </c>
      <c r="T26" s="356">
        <f t="shared" si="45"/>
        <v>0</v>
      </c>
      <c r="U26" s="281">
        <f>'Table 5C1A-Madison Prep'!U26</f>
        <v>2484</v>
      </c>
      <c r="V26" s="329">
        <f t="shared" si="32"/>
        <v>0</v>
      </c>
      <c r="W26" s="996">
        <f>'[1]Oct midyear JS Clark'!E23</f>
        <v>0</v>
      </c>
      <c r="X26" s="282">
        <f t="shared" si="46"/>
        <v>0</v>
      </c>
      <c r="Y26" s="884">
        <f>'[1]Feb midyear JS Clark'!E23</f>
        <v>0</v>
      </c>
      <c r="Z26" s="282">
        <f t="shared" si="33"/>
        <v>0</v>
      </c>
      <c r="AA26" s="283">
        <f t="shared" si="47"/>
        <v>0</v>
      </c>
      <c r="AB26" s="325">
        <f t="shared" si="48"/>
        <v>0</v>
      </c>
      <c r="AC26" s="298">
        <f t="shared" si="49"/>
        <v>0</v>
      </c>
      <c r="AD26" s="325">
        <f t="shared" si="50"/>
        <v>0</v>
      </c>
      <c r="AE26" s="284">
        <v>0</v>
      </c>
      <c r="AF26" s="325">
        <f t="shared" si="51"/>
        <v>0</v>
      </c>
      <c r="AG26" s="284">
        <f>'[2]Table 5C1G-JS Clark Academy'!AI26+'[14]Table 5C1G-JS Clark Academy'!AI26+(6*'[20]Table 5C1G-JS Clark Academy'!AI26)</f>
        <v>0</v>
      </c>
      <c r="AH26" s="284">
        <f t="shared" si="52"/>
        <v>0</v>
      </c>
      <c r="AI26" s="325">
        <f t="shared" si="34"/>
        <v>0</v>
      </c>
      <c r="AJ26" s="338">
        <f t="shared" si="53"/>
        <v>0</v>
      </c>
      <c r="AK26" s="343">
        <f t="shared" si="54"/>
        <v>0</v>
      </c>
      <c r="AM26" s="296">
        <v>0</v>
      </c>
      <c r="AN26" s="296">
        <f t="shared" si="55"/>
        <v>0</v>
      </c>
      <c r="AO26" s="296">
        <f t="shared" si="35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2.1.14'!P23</f>
        <v>0</v>
      </c>
      <c r="D27" s="208">
        <f>+'Table 5C1A-Madison Prep'!D27</f>
        <v>6082.3042295867763</v>
      </c>
      <c r="E27" s="209">
        <f t="shared" si="36"/>
        <v>0</v>
      </c>
      <c r="F27" s="209">
        <f>+'Table 5C1A-Madison Prep'!F27</f>
        <v>610.35</v>
      </c>
      <c r="G27" s="209">
        <f t="shared" si="37"/>
        <v>0</v>
      </c>
      <c r="H27" s="344">
        <f t="shared" si="38"/>
        <v>0</v>
      </c>
      <c r="I27" s="990">
        <f>'[1]Oct midyear JS Clark'!K24</f>
        <v>0</v>
      </c>
      <c r="J27" s="210">
        <f>'[1]Feb midyear JS Clark'!K24</f>
        <v>0</v>
      </c>
      <c r="K27" s="211">
        <f t="shared" si="39"/>
        <v>0</v>
      </c>
      <c r="L27" s="344">
        <f t="shared" si="40"/>
        <v>0</v>
      </c>
      <c r="M27" s="273">
        <f t="shared" si="41"/>
        <v>0</v>
      </c>
      <c r="N27" s="344">
        <f t="shared" si="42"/>
        <v>0</v>
      </c>
      <c r="O27" s="208">
        <v>0</v>
      </c>
      <c r="P27" s="350">
        <f t="shared" si="43"/>
        <v>0</v>
      </c>
      <c r="Q27" s="210">
        <f>'[2]Table 5C1G-JS Clark Academy'!S27+'[14]Table 5C1G-JS Clark Academy'!S27+(6*'[20]Table 5C1G-JS Clark Academy'!S27)</f>
        <v>0</v>
      </c>
      <c r="R27" s="210">
        <f t="shared" si="44"/>
        <v>0</v>
      </c>
      <c r="S27" s="350">
        <f t="shared" si="31"/>
        <v>0</v>
      </c>
      <c r="T27" s="350">
        <f t="shared" si="45"/>
        <v>0</v>
      </c>
      <c r="U27" s="274">
        <f>'Table 5C1A-Madison Prep'!U27</f>
        <v>2487</v>
      </c>
      <c r="V27" s="327">
        <f t="shared" si="32"/>
        <v>0</v>
      </c>
      <c r="W27" s="994">
        <f>'[1]Oct midyear JS Clark'!E24</f>
        <v>0</v>
      </c>
      <c r="X27" s="276">
        <f t="shared" si="46"/>
        <v>0</v>
      </c>
      <c r="Y27" s="883">
        <f>'[1]Feb midyear JS Clark'!E24</f>
        <v>0</v>
      </c>
      <c r="Z27" s="276">
        <f t="shared" si="33"/>
        <v>0</v>
      </c>
      <c r="AA27" s="275">
        <f t="shared" si="47"/>
        <v>0</v>
      </c>
      <c r="AB27" s="323">
        <f t="shared" si="48"/>
        <v>0</v>
      </c>
      <c r="AC27" s="278">
        <f t="shared" si="49"/>
        <v>0</v>
      </c>
      <c r="AD27" s="323">
        <f t="shared" si="50"/>
        <v>0</v>
      </c>
      <c r="AE27" s="279">
        <v>0</v>
      </c>
      <c r="AF27" s="323">
        <f t="shared" si="51"/>
        <v>0</v>
      </c>
      <c r="AG27" s="279">
        <f>'[2]Table 5C1G-JS Clark Academy'!AI27+'[14]Table 5C1G-JS Clark Academy'!AI27+(6*'[20]Table 5C1G-JS Clark Academy'!AI27)</f>
        <v>0</v>
      </c>
      <c r="AH27" s="279">
        <f t="shared" si="52"/>
        <v>0</v>
      </c>
      <c r="AI27" s="323">
        <f t="shared" si="34"/>
        <v>0</v>
      </c>
      <c r="AJ27" s="337">
        <f t="shared" si="53"/>
        <v>0</v>
      </c>
      <c r="AK27" s="341">
        <f t="shared" si="54"/>
        <v>0</v>
      </c>
      <c r="AM27" s="273">
        <v>0</v>
      </c>
      <c r="AN27" s="273">
        <f t="shared" si="55"/>
        <v>0</v>
      </c>
      <c r="AO27" s="273">
        <f t="shared" si="35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2.1.14'!P24</f>
        <v>0</v>
      </c>
      <c r="D28" s="201">
        <f>+'Table 5C1A-Madison Prep'!D28</f>
        <v>6416.1099808195995</v>
      </c>
      <c r="E28" s="202">
        <f t="shared" si="36"/>
        <v>0</v>
      </c>
      <c r="F28" s="202">
        <f>+'Table 5C1A-Madison Prep'!F28</f>
        <v>496.36</v>
      </c>
      <c r="G28" s="202">
        <f t="shared" si="37"/>
        <v>0</v>
      </c>
      <c r="H28" s="345">
        <f t="shared" si="38"/>
        <v>0</v>
      </c>
      <c r="I28" s="991">
        <f>'[1]Oct midyear JS Clark'!K25</f>
        <v>0</v>
      </c>
      <c r="J28" s="203">
        <f>'[1]Feb midyear JS Clark'!K25</f>
        <v>0</v>
      </c>
      <c r="K28" s="204">
        <f t="shared" si="39"/>
        <v>0</v>
      </c>
      <c r="L28" s="345">
        <f t="shared" si="40"/>
        <v>0</v>
      </c>
      <c r="M28" s="286">
        <f t="shared" si="41"/>
        <v>0</v>
      </c>
      <c r="N28" s="345">
        <f t="shared" si="42"/>
        <v>0</v>
      </c>
      <c r="O28" s="201">
        <v>0</v>
      </c>
      <c r="P28" s="351">
        <f t="shared" si="43"/>
        <v>0</v>
      </c>
      <c r="Q28" s="203">
        <f>'[2]Table 5C1G-JS Clark Academy'!S28+'[14]Table 5C1G-JS Clark Academy'!S28+(6*'[20]Table 5C1G-JS Clark Academy'!S28)</f>
        <v>0</v>
      </c>
      <c r="R28" s="203">
        <f t="shared" si="44"/>
        <v>0</v>
      </c>
      <c r="S28" s="351">
        <f t="shared" si="31"/>
        <v>0</v>
      </c>
      <c r="T28" s="351">
        <f t="shared" si="45"/>
        <v>0</v>
      </c>
      <c r="U28" s="287">
        <f>'Table 5C1A-Madison Prep'!U28</f>
        <v>1584</v>
      </c>
      <c r="V28" s="328">
        <f t="shared" si="32"/>
        <v>0</v>
      </c>
      <c r="W28" s="995">
        <f>'[1]Oct midyear JS Clark'!E25</f>
        <v>0</v>
      </c>
      <c r="X28" s="290">
        <f t="shared" si="46"/>
        <v>0</v>
      </c>
      <c r="Y28" s="289">
        <f>'[1]Feb midyear JS Clark'!E25</f>
        <v>0</v>
      </c>
      <c r="Z28" s="290">
        <f t="shared" si="33"/>
        <v>0</v>
      </c>
      <c r="AA28" s="288">
        <f t="shared" si="47"/>
        <v>0</v>
      </c>
      <c r="AB28" s="324">
        <f t="shared" si="48"/>
        <v>0</v>
      </c>
      <c r="AC28" s="292">
        <f t="shared" si="49"/>
        <v>0</v>
      </c>
      <c r="AD28" s="324">
        <f t="shared" si="50"/>
        <v>0</v>
      </c>
      <c r="AE28" s="293">
        <v>0</v>
      </c>
      <c r="AF28" s="324">
        <f t="shared" si="51"/>
        <v>0</v>
      </c>
      <c r="AG28" s="293">
        <f>'[2]Table 5C1G-JS Clark Academy'!AI28+'[14]Table 5C1G-JS Clark Academy'!AI28+(6*'[20]Table 5C1G-JS Clark Academy'!AI28)</f>
        <v>0</v>
      </c>
      <c r="AH28" s="293">
        <f t="shared" si="52"/>
        <v>0</v>
      </c>
      <c r="AI28" s="324">
        <f t="shared" si="34"/>
        <v>0</v>
      </c>
      <c r="AJ28" s="321">
        <f t="shared" si="53"/>
        <v>0</v>
      </c>
      <c r="AK28" s="342">
        <f t="shared" si="54"/>
        <v>0</v>
      </c>
      <c r="AM28" s="286">
        <v>0</v>
      </c>
      <c r="AN28" s="286">
        <f t="shared" si="55"/>
        <v>0</v>
      </c>
      <c r="AO28" s="286">
        <f t="shared" si="35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2.1.14'!P25</f>
        <v>0</v>
      </c>
      <c r="D29" s="201">
        <f>+'Table 5C1A-Madison Prep'!D29</f>
        <v>5011.0215265979159</v>
      </c>
      <c r="E29" s="202">
        <f t="shared" si="36"/>
        <v>0</v>
      </c>
      <c r="F29" s="202">
        <f>+'Table 5C1A-Madison Prep'!F29</f>
        <v>688.58</v>
      </c>
      <c r="G29" s="202">
        <f t="shared" si="37"/>
        <v>0</v>
      </c>
      <c r="H29" s="345">
        <f t="shared" si="38"/>
        <v>0</v>
      </c>
      <c r="I29" s="991">
        <f>'[1]Oct midyear JS Clark'!K26</f>
        <v>0</v>
      </c>
      <c r="J29" s="203">
        <f>'[1]Feb midyear JS Clark'!K26</f>
        <v>0</v>
      </c>
      <c r="K29" s="204">
        <f t="shared" si="39"/>
        <v>0</v>
      </c>
      <c r="L29" s="345">
        <f t="shared" si="40"/>
        <v>0</v>
      </c>
      <c r="M29" s="286">
        <f t="shared" si="41"/>
        <v>0</v>
      </c>
      <c r="N29" s="345">
        <f t="shared" si="42"/>
        <v>0</v>
      </c>
      <c r="O29" s="201">
        <v>0</v>
      </c>
      <c r="P29" s="351">
        <f t="shared" si="43"/>
        <v>0</v>
      </c>
      <c r="Q29" s="203">
        <f>'[2]Table 5C1G-JS Clark Academy'!S29+'[14]Table 5C1G-JS Clark Academy'!S29+(6*'[20]Table 5C1G-JS Clark Academy'!S29)</f>
        <v>0</v>
      </c>
      <c r="R29" s="203">
        <f t="shared" si="44"/>
        <v>0</v>
      </c>
      <c r="S29" s="351">
        <f t="shared" si="31"/>
        <v>0</v>
      </c>
      <c r="T29" s="351">
        <f t="shared" si="45"/>
        <v>0</v>
      </c>
      <c r="U29" s="287">
        <f>'Table 5C1A-Madison Prep'!U29</f>
        <v>3500</v>
      </c>
      <c r="V29" s="328">
        <f t="shared" si="32"/>
        <v>0</v>
      </c>
      <c r="W29" s="995">
        <f>'[1]Oct midyear JS Clark'!E26</f>
        <v>0</v>
      </c>
      <c r="X29" s="290">
        <f t="shared" si="46"/>
        <v>0</v>
      </c>
      <c r="Y29" s="289">
        <f>'[1]Feb midyear JS Clark'!E26</f>
        <v>0</v>
      </c>
      <c r="Z29" s="290">
        <f t="shared" si="33"/>
        <v>0</v>
      </c>
      <c r="AA29" s="288">
        <f t="shared" si="47"/>
        <v>0</v>
      </c>
      <c r="AB29" s="324">
        <f t="shared" si="48"/>
        <v>0</v>
      </c>
      <c r="AC29" s="292">
        <f t="shared" si="49"/>
        <v>0</v>
      </c>
      <c r="AD29" s="324">
        <f t="shared" si="50"/>
        <v>0</v>
      </c>
      <c r="AE29" s="293">
        <v>0</v>
      </c>
      <c r="AF29" s="324">
        <f t="shared" si="51"/>
        <v>0</v>
      </c>
      <c r="AG29" s="293">
        <f>'[2]Table 5C1G-JS Clark Academy'!AI29+'[14]Table 5C1G-JS Clark Academy'!AI29+(6*'[20]Table 5C1G-JS Clark Academy'!AI29)</f>
        <v>0</v>
      </c>
      <c r="AH29" s="293">
        <f t="shared" si="52"/>
        <v>0</v>
      </c>
      <c r="AI29" s="324">
        <f t="shared" si="34"/>
        <v>0</v>
      </c>
      <c r="AJ29" s="321">
        <f t="shared" si="53"/>
        <v>0</v>
      </c>
      <c r="AK29" s="342">
        <f t="shared" si="54"/>
        <v>0</v>
      </c>
      <c r="AM29" s="286">
        <v>0</v>
      </c>
      <c r="AN29" s="286">
        <f t="shared" si="55"/>
        <v>0</v>
      </c>
      <c r="AO29" s="286">
        <f t="shared" si="35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2.1.14'!P26</f>
        <v>0</v>
      </c>
      <c r="D30" s="201">
        <f>+'Table 5C1A-Madison Prep'!D30</f>
        <v>2611.6740361576999</v>
      </c>
      <c r="E30" s="202">
        <f t="shared" si="36"/>
        <v>0</v>
      </c>
      <c r="F30" s="202">
        <f>+'Table 5C1A-Madison Prep'!F30</f>
        <v>854.24999999999989</v>
      </c>
      <c r="G30" s="202">
        <f t="shared" si="37"/>
        <v>0</v>
      </c>
      <c r="H30" s="345">
        <f t="shared" si="38"/>
        <v>0</v>
      </c>
      <c r="I30" s="991">
        <f>'[1]Oct midyear JS Clark'!K27</f>
        <v>0</v>
      </c>
      <c r="J30" s="203">
        <f>'[1]Feb midyear JS Clark'!K27</f>
        <v>0</v>
      </c>
      <c r="K30" s="204">
        <f t="shared" si="39"/>
        <v>0</v>
      </c>
      <c r="L30" s="345">
        <f t="shared" si="40"/>
        <v>0</v>
      </c>
      <c r="M30" s="286">
        <f t="shared" si="41"/>
        <v>0</v>
      </c>
      <c r="N30" s="345">
        <f t="shared" si="42"/>
        <v>0</v>
      </c>
      <c r="O30" s="201">
        <v>0</v>
      </c>
      <c r="P30" s="351">
        <f t="shared" si="43"/>
        <v>0</v>
      </c>
      <c r="Q30" s="203">
        <f>'[2]Table 5C1G-JS Clark Academy'!S30+'[14]Table 5C1G-JS Clark Academy'!S30+(6*'[20]Table 5C1G-JS Clark Academy'!S30)</f>
        <v>0</v>
      </c>
      <c r="R30" s="203">
        <f t="shared" si="44"/>
        <v>0</v>
      </c>
      <c r="S30" s="351">
        <f t="shared" si="31"/>
        <v>0</v>
      </c>
      <c r="T30" s="351">
        <f t="shared" si="45"/>
        <v>0</v>
      </c>
      <c r="U30" s="287">
        <f>'Table 5C1A-Madison Prep'!U30</f>
        <v>11051</v>
      </c>
      <c r="V30" s="328">
        <f t="shared" si="32"/>
        <v>0</v>
      </c>
      <c r="W30" s="995">
        <f>'[1]Oct midyear JS Clark'!E27</f>
        <v>0</v>
      </c>
      <c r="X30" s="290">
        <f t="shared" si="46"/>
        <v>0</v>
      </c>
      <c r="Y30" s="289">
        <f>'[1]Feb midyear JS Clark'!E27</f>
        <v>0</v>
      </c>
      <c r="Z30" s="290">
        <f t="shared" si="33"/>
        <v>0</v>
      </c>
      <c r="AA30" s="288">
        <f t="shared" si="47"/>
        <v>0</v>
      </c>
      <c r="AB30" s="324">
        <f t="shared" si="48"/>
        <v>0</v>
      </c>
      <c r="AC30" s="292">
        <f t="shared" si="49"/>
        <v>0</v>
      </c>
      <c r="AD30" s="324">
        <f t="shared" si="50"/>
        <v>0</v>
      </c>
      <c r="AE30" s="293">
        <v>0</v>
      </c>
      <c r="AF30" s="324">
        <f t="shared" si="51"/>
        <v>0</v>
      </c>
      <c r="AG30" s="293">
        <f>'[2]Table 5C1G-JS Clark Academy'!AI30+'[14]Table 5C1G-JS Clark Academy'!AI30+(6*'[20]Table 5C1G-JS Clark Academy'!AI30)</f>
        <v>0</v>
      </c>
      <c r="AH30" s="293">
        <f t="shared" si="52"/>
        <v>0</v>
      </c>
      <c r="AI30" s="324">
        <f t="shared" si="34"/>
        <v>0</v>
      </c>
      <c r="AJ30" s="321">
        <f t="shared" si="53"/>
        <v>0</v>
      </c>
      <c r="AK30" s="342">
        <f t="shared" si="54"/>
        <v>0</v>
      </c>
      <c r="AM30" s="286">
        <v>0</v>
      </c>
      <c r="AN30" s="286">
        <f t="shared" si="55"/>
        <v>0</v>
      </c>
      <c r="AO30" s="286">
        <f t="shared" si="35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2.1.14'!P27</f>
        <v>0</v>
      </c>
      <c r="D31" s="194">
        <f>+'Table 5C1A-Madison Prep'!D31</f>
        <v>4173.0720274945697</v>
      </c>
      <c r="E31" s="195">
        <f t="shared" si="36"/>
        <v>0</v>
      </c>
      <c r="F31" s="195">
        <f>+'Table 5C1A-Madison Prep'!F31</f>
        <v>653.73</v>
      </c>
      <c r="G31" s="195">
        <f t="shared" si="37"/>
        <v>0</v>
      </c>
      <c r="H31" s="346">
        <f t="shared" si="38"/>
        <v>0</v>
      </c>
      <c r="I31" s="992">
        <f>'[1]Oct midyear JS Clark'!K28</f>
        <v>0</v>
      </c>
      <c r="J31" s="196">
        <f>'[1]Feb midyear JS Clark'!K28</f>
        <v>0</v>
      </c>
      <c r="K31" s="197">
        <f t="shared" si="39"/>
        <v>0</v>
      </c>
      <c r="L31" s="346">
        <f t="shared" si="40"/>
        <v>0</v>
      </c>
      <c r="M31" s="296">
        <f t="shared" si="41"/>
        <v>0</v>
      </c>
      <c r="N31" s="346">
        <f t="shared" si="42"/>
        <v>0</v>
      </c>
      <c r="O31" s="194">
        <v>0</v>
      </c>
      <c r="P31" s="352">
        <f t="shared" si="43"/>
        <v>0</v>
      </c>
      <c r="Q31" s="622">
        <f>'[2]Table 5C1G-JS Clark Academy'!S31+'[14]Table 5C1G-JS Clark Academy'!S31+(6*'[20]Table 5C1G-JS Clark Academy'!S31)</f>
        <v>0</v>
      </c>
      <c r="R31" s="196">
        <f t="shared" si="44"/>
        <v>0</v>
      </c>
      <c r="S31" s="356">
        <f t="shared" si="31"/>
        <v>0</v>
      </c>
      <c r="T31" s="356">
        <f t="shared" si="45"/>
        <v>0</v>
      </c>
      <c r="U31" s="281">
        <f>'Table 5C1A-Madison Prep'!U31</f>
        <v>5156</v>
      </c>
      <c r="V31" s="329">
        <f t="shared" si="32"/>
        <v>0</v>
      </c>
      <c r="W31" s="996">
        <f>'[1]Oct midyear JS Clark'!E28</f>
        <v>0</v>
      </c>
      <c r="X31" s="282">
        <f t="shared" si="46"/>
        <v>0</v>
      </c>
      <c r="Y31" s="884">
        <f>'[1]Feb midyear JS Clark'!E28</f>
        <v>0</v>
      </c>
      <c r="Z31" s="282">
        <f t="shared" si="33"/>
        <v>0</v>
      </c>
      <c r="AA31" s="283">
        <f t="shared" si="47"/>
        <v>0</v>
      </c>
      <c r="AB31" s="325">
        <f t="shared" si="48"/>
        <v>0</v>
      </c>
      <c r="AC31" s="298">
        <f t="shared" si="49"/>
        <v>0</v>
      </c>
      <c r="AD31" s="325">
        <f t="shared" si="50"/>
        <v>0</v>
      </c>
      <c r="AE31" s="284">
        <v>0</v>
      </c>
      <c r="AF31" s="325">
        <f t="shared" si="51"/>
        <v>0</v>
      </c>
      <c r="AG31" s="284">
        <f>'[2]Table 5C1G-JS Clark Academy'!AI31+'[14]Table 5C1G-JS Clark Academy'!AI31+(6*'[20]Table 5C1G-JS Clark Academy'!AI31)</f>
        <v>0</v>
      </c>
      <c r="AH31" s="284">
        <f t="shared" si="52"/>
        <v>0</v>
      </c>
      <c r="AI31" s="325">
        <f t="shared" si="34"/>
        <v>0</v>
      </c>
      <c r="AJ31" s="338">
        <f t="shared" si="53"/>
        <v>0</v>
      </c>
      <c r="AK31" s="343">
        <f t="shared" si="54"/>
        <v>0</v>
      </c>
      <c r="AM31" s="296">
        <v>0</v>
      </c>
      <c r="AN31" s="296">
        <f t="shared" si="55"/>
        <v>0</v>
      </c>
      <c r="AO31" s="296">
        <f t="shared" si="35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2.1.14'!P28</f>
        <v>0</v>
      </c>
      <c r="D32" s="208">
        <f>+'Table 5C1A-Madison Prep'!D32</f>
        <v>3424.5649970570835</v>
      </c>
      <c r="E32" s="209">
        <f t="shared" si="36"/>
        <v>0</v>
      </c>
      <c r="F32" s="209">
        <f>+'Table 5C1A-Madison Prep'!F32</f>
        <v>836.83</v>
      </c>
      <c r="G32" s="209">
        <f t="shared" si="37"/>
        <v>0</v>
      </c>
      <c r="H32" s="344">
        <f t="shared" si="38"/>
        <v>0</v>
      </c>
      <c r="I32" s="990">
        <f>'[1]Oct midyear JS Clark'!K29</f>
        <v>0</v>
      </c>
      <c r="J32" s="210">
        <f>'[1]Feb midyear JS Clark'!K29</f>
        <v>0</v>
      </c>
      <c r="K32" s="211">
        <f t="shared" si="39"/>
        <v>0</v>
      </c>
      <c r="L32" s="344">
        <f t="shared" si="40"/>
        <v>0</v>
      </c>
      <c r="M32" s="273">
        <f t="shared" si="41"/>
        <v>0</v>
      </c>
      <c r="N32" s="344">
        <f t="shared" si="42"/>
        <v>0</v>
      </c>
      <c r="O32" s="208">
        <v>0</v>
      </c>
      <c r="P32" s="350">
        <f t="shared" si="43"/>
        <v>0</v>
      </c>
      <c r="Q32" s="210">
        <f>'[2]Table 5C1G-JS Clark Academy'!S32+'[14]Table 5C1G-JS Clark Academy'!S32+(6*'[20]Table 5C1G-JS Clark Academy'!S32)</f>
        <v>0</v>
      </c>
      <c r="R32" s="210">
        <f t="shared" si="44"/>
        <v>0</v>
      </c>
      <c r="S32" s="350">
        <f t="shared" si="31"/>
        <v>0</v>
      </c>
      <c r="T32" s="350">
        <f t="shared" si="45"/>
        <v>0</v>
      </c>
      <c r="U32" s="274">
        <f>'Table 5C1A-Madison Prep'!U32</f>
        <v>5153</v>
      </c>
      <c r="V32" s="327">
        <f t="shared" si="32"/>
        <v>0</v>
      </c>
      <c r="W32" s="994">
        <f>'[1]Oct midyear JS Clark'!E29</f>
        <v>0</v>
      </c>
      <c r="X32" s="276">
        <f t="shared" si="46"/>
        <v>0</v>
      </c>
      <c r="Y32" s="883">
        <f>'[1]Feb midyear JS Clark'!E29</f>
        <v>0</v>
      </c>
      <c r="Z32" s="276">
        <f t="shared" si="33"/>
        <v>0</v>
      </c>
      <c r="AA32" s="275">
        <f t="shared" si="47"/>
        <v>0</v>
      </c>
      <c r="AB32" s="323">
        <f t="shared" si="48"/>
        <v>0</v>
      </c>
      <c r="AC32" s="278">
        <f t="shared" si="49"/>
        <v>0</v>
      </c>
      <c r="AD32" s="323">
        <f t="shared" si="50"/>
        <v>0</v>
      </c>
      <c r="AE32" s="279">
        <v>0</v>
      </c>
      <c r="AF32" s="323">
        <f t="shared" si="51"/>
        <v>0</v>
      </c>
      <c r="AG32" s="279">
        <f>'[2]Table 5C1G-JS Clark Academy'!AI32+'[14]Table 5C1G-JS Clark Academy'!AI32+(6*'[20]Table 5C1G-JS Clark Academy'!AI32)</f>
        <v>0</v>
      </c>
      <c r="AH32" s="279">
        <f t="shared" si="52"/>
        <v>0</v>
      </c>
      <c r="AI32" s="323">
        <f t="shared" si="34"/>
        <v>0</v>
      </c>
      <c r="AJ32" s="337">
        <f t="shared" si="53"/>
        <v>0</v>
      </c>
      <c r="AK32" s="341">
        <f t="shared" si="54"/>
        <v>0</v>
      </c>
      <c r="AM32" s="273">
        <v>0</v>
      </c>
      <c r="AN32" s="273">
        <f t="shared" si="55"/>
        <v>0</v>
      </c>
      <c r="AO32" s="273">
        <f t="shared" si="35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2.1.14'!P29</f>
        <v>0</v>
      </c>
      <c r="D33" s="201">
        <f>+'Table 5C1A-Madison Prep'!D33</f>
        <v>5804.9013839977006</v>
      </c>
      <c r="E33" s="202">
        <f t="shared" si="36"/>
        <v>0</v>
      </c>
      <c r="F33" s="202">
        <f>+'Table 5C1A-Madison Prep'!F33</f>
        <v>693.06</v>
      </c>
      <c r="G33" s="202">
        <f t="shared" si="37"/>
        <v>0</v>
      </c>
      <c r="H33" s="345">
        <f t="shared" si="38"/>
        <v>0</v>
      </c>
      <c r="I33" s="991">
        <f>'[1]Oct midyear JS Clark'!K30</f>
        <v>0</v>
      </c>
      <c r="J33" s="203">
        <f>'[1]Feb midyear JS Clark'!K30</f>
        <v>0</v>
      </c>
      <c r="K33" s="204">
        <f t="shared" si="39"/>
        <v>0</v>
      </c>
      <c r="L33" s="345">
        <f t="shared" si="40"/>
        <v>0</v>
      </c>
      <c r="M33" s="286">
        <f t="shared" si="41"/>
        <v>0</v>
      </c>
      <c r="N33" s="345">
        <f t="shared" si="42"/>
        <v>0</v>
      </c>
      <c r="O33" s="201">
        <v>0</v>
      </c>
      <c r="P33" s="351">
        <f t="shared" si="43"/>
        <v>0</v>
      </c>
      <c r="Q33" s="203">
        <f>'[2]Table 5C1G-JS Clark Academy'!S33+'[14]Table 5C1G-JS Clark Academy'!S33+(6*'[20]Table 5C1G-JS Clark Academy'!S33)</f>
        <v>0</v>
      </c>
      <c r="R33" s="203">
        <f t="shared" si="44"/>
        <v>0</v>
      </c>
      <c r="S33" s="351">
        <f t="shared" si="31"/>
        <v>0</v>
      </c>
      <c r="T33" s="351">
        <f t="shared" si="45"/>
        <v>0</v>
      </c>
      <c r="U33" s="287">
        <f>'Table 5C1A-Madison Prep'!U33</f>
        <v>3225</v>
      </c>
      <c r="V33" s="328">
        <f t="shared" si="32"/>
        <v>0</v>
      </c>
      <c r="W33" s="995">
        <f>'[1]Oct midyear JS Clark'!E30</f>
        <v>0</v>
      </c>
      <c r="X33" s="290">
        <f t="shared" si="46"/>
        <v>0</v>
      </c>
      <c r="Y33" s="289">
        <f>'[1]Feb midyear JS Clark'!E30</f>
        <v>0</v>
      </c>
      <c r="Z33" s="290">
        <f t="shared" si="33"/>
        <v>0</v>
      </c>
      <c r="AA33" s="288">
        <f t="shared" si="47"/>
        <v>0</v>
      </c>
      <c r="AB33" s="324">
        <f t="shared" si="48"/>
        <v>0</v>
      </c>
      <c r="AC33" s="292">
        <f t="shared" si="49"/>
        <v>0</v>
      </c>
      <c r="AD33" s="324">
        <f t="shared" si="50"/>
        <v>0</v>
      </c>
      <c r="AE33" s="293">
        <v>0</v>
      </c>
      <c r="AF33" s="324">
        <f t="shared" si="51"/>
        <v>0</v>
      </c>
      <c r="AG33" s="293">
        <f>'[2]Table 5C1G-JS Clark Academy'!AI33+'[14]Table 5C1G-JS Clark Academy'!AI33+(6*'[20]Table 5C1G-JS Clark Academy'!AI33)</f>
        <v>0</v>
      </c>
      <c r="AH33" s="293">
        <f t="shared" si="52"/>
        <v>0</v>
      </c>
      <c r="AI33" s="324">
        <f t="shared" si="34"/>
        <v>0</v>
      </c>
      <c r="AJ33" s="321">
        <f t="shared" si="53"/>
        <v>0</v>
      </c>
      <c r="AK33" s="342">
        <f t="shared" si="54"/>
        <v>0</v>
      </c>
      <c r="AM33" s="286">
        <v>0</v>
      </c>
      <c r="AN33" s="286">
        <f t="shared" si="55"/>
        <v>0</v>
      </c>
      <c r="AO33" s="286">
        <f t="shared" si="35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2.1.14'!P30</f>
        <v>1</v>
      </c>
      <c r="D34" s="201">
        <f>+'Table 5C1A-Madison Prep'!D34</f>
        <v>3137.4158846568821</v>
      </c>
      <c r="E34" s="202">
        <f t="shared" si="36"/>
        <v>3137.4158846568821</v>
      </c>
      <c r="F34" s="202">
        <f>+'Table 5C1A-Madison Prep'!F34</f>
        <v>694.4</v>
      </c>
      <c r="G34" s="202">
        <f t="shared" si="37"/>
        <v>694.4</v>
      </c>
      <c r="H34" s="345">
        <f t="shared" si="38"/>
        <v>3831.8158846568822</v>
      </c>
      <c r="I34" s="991">
        <f>'[1]Oct midyear JS Clark'!K31</f>
        <v>3831.8158846568822</v>
      </c>
      <c r="J34" s="203">
        <f>'[1]Feb midyear JS Clark'!K31</f>
        <v>-3831.8158846568822</v>
      </c>
      <c r="K34" s="204">
        <f t="shared" si="39"/>
        <v>0</v>
      </c>
      <c r="L34" s="345">
        <f t="shared" si="40"/>
        <v>3831.8158846568822</v>
      </c>
      <c r="M34" s="286">
        <f t="shared" si="41"/>
        <v>-9.5795397116422052</v>
      </c>
      <c r="N34" s="345">
        <f t="shared" si="42"/>
        <v>3822.23634494524</v>
      </c>
      <c r="O34" s="201">
        <v>0</v>
      </c>
      <c r="P34" s="351">
        <f t="shared" si="43"/>
        <v>3822.23634494524</v>
      </c>
      <c r="Q34" s="203">
        <f>'[2]Table 5C1G-JS Clark Academy'!S34+'[14]Table 5C1G-JS Clark Academy'!S34+(6*'[20]Table 5C1G-JS Clark Academy'!S34)</f>
        <v>116</v>
      </c>
      <c r="R34" s="203">
        <f t="shared" si="44"/>
        <v>3706.23634494524</v>
      </c>
      <c r="S34" s="351">
        <f t="shared" si="31"/>
        <v>927</v>
      </c>
      <c r="T34" s="351">
        <f t="shared" si="45"/>
        <v>3822.23634494524</v>
      </c>
      <c r="U34" s="287">
        <f>'Table 5C1A-Madison Prep'!U34</f>
        <v>5816</v>
      </c>
      <c r="V34" s="328">
        <f t="shared" si="32"/>
        <v>5816</v>
      </c>
      <c r="W34" s="995">
        <f>'[1]Oct midyear JS Clark'!E31</f>
        <v>1</v>
      </c>
      <c r="X34" s="290">
        <f t="shared" si="46"/>
        <v>5816</v>
      </c>
      <c r="Y34" s="289">
        <f>'[1]Feb midyear JS Clark'!E31</f>
        <v>-2</v>
      </c>
      <c r="Z34" s="290">
        <f t="shared" si="33"/>
        <v>-5816</v>
      </c>
      <c r="AA34" s="288">
        <f t="shared" si="47"/>
        <v>0</v>
      </c>
      <c r="AB34" s="324">
        <f t="shared" si="48"/>
        <v>5816</v>
      </c>
      <c r="AC34" s="292">
        <f t="shared" si="49"/>
        <v>-14.540000000000001</v>
      </c>
      <c r="AD34" s="324">
        <f t="shared" si="50"/>
        <v>5801.46</v>
      </c>
      <c r="AE34" s="293">
        <v>0</v>
      </c>
      <c r="AF34" s="324">
        <f t="shared" si="51"/>
        <v>5801.46</v>
      </c>
      <c r="AG34" s="293">
        <f>'[2]Table 5C1G-JS Clark Academy'!AI34+'[14]Table 5C1G-JS Clark Academy'!AI34+(6*'[20]Table 5C1G-JS Clark Academy'!AI34)</f>
        <v>173</v>
      </c>
      <c r="AH34" s="293">
        <f t="shared" si="52"/>
        <v>5628.46</v>
      </c>
      <c r="AI34" s="324">
        <f t="shared" si="34"/>
        <v>1407</v>
      </c>
      <c r="AJ34" s="321">
        <f t="shared" si="53"/>
        <v>9623.6963449452396</v>
      </c>
      <c r="AK34" s="342">
        <f t="shared" si="54"/>
        <v>2334</v>
      </c>
      <c r="AM34" s="286">
        <v>-14.475</v>
      </c>
      <c r="AN34" s="286">
        <f t="shared" si="55"/>
        <v>-14.540000000000001</v>
      </c>
      <c r="AO34" s="286">
        <f>+AN34-AM34</f>
        <v>-6.5000000000001279E-2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2.1.14'!P31</f>
        <v>0</v>
      </c>
      <c r="D35" s="201">
        <f>+'Table 5C1A-Madison Prep'!D35</f>
        <v>3839.0123210173724</v>
      </c>
      <c r="E35" s="202">
        <f t="shared" si="36"/>
        <v>0</v>
      </c>
      <c r="F35" s="202">
        <f>+'Table 5C1A-Madison Prep'!F35</f>
        <v>754.94999999999993</v>
      </c>
      <c r="G35" s="202">
        <f t="shared" si="37"/>
        <v>0</v>
      </c>
      <c r="H35" s="345">
        <f t="shared" si="38"/>
        <v>0</v>
      </c>
      <c r="I35" s="991">
        <f>'[1]Oct midyear JS Clark'!K32</f>
        <v>0</v>
      </c>
      <c r="J35" s="203">
        <f>'[1]Feb midyear JS Clark'!K32</f>
        <v>0</v>
      </c>
      <c r="K35" s="204">
        <f t="shared" si="39"/>
        <v>0</v>
      </c>
      <c r="L35" s="345">
        <f t="shared" si="40"/>
        <v>0</v>
      </c>
      <c r="M35" s="286">
        <f t="shared" si="41"/>
        <v>0</v>
      </c>
      <c r="N35" s="345">
        <f t="shared" si="42"/>
        <v>0</v>
      </c>
      <c r="O35" s="201">
        <v>0</v>
      </c>
      <c r="P35" s="351">
        <f t="shared" si="43"/>
        <v>0</v>
      </c>
      <c r="Q35" s="203">
        <f>'[2]Table 5C1G-JS Clark Academy'!S35+'[14]Table 5C1G-JS Clark Academy'!S35+(6*'[20]Table 5C1G-JS Clark Academy'!S35)</f>
        <v>0</v>
      </c>
      <c r="R35" s="203">
        <f t="shared" si="44"/>
        <v>0</v>
      </c>
      <c r="S35" s="351">
        <f t="shared" si="31"/>
        <v>0</v>
      </c>
      <c r="T35" s="351">
        <f t="shared" si="45"/>
        <v>0</v>
      </c>
      <c r="U35" s="287">
        <f>'Table 5C1A-Madison Prep'!U35</f>
        <v>5046</v>
      </c>
      <c r="V35" s="328">
        <f t="shared" si="32"/>
        <v>0</v>
      </c>
      <c r="W35" s="995">
        <f>'[1]Oct midyear JS Clark'!E32</f>
        <v>0</v>
      </c>
      <c r="X35" s="290">
        <f t="shared" si="46"/>
        <v>0</v>
      </c>
      <c r="Y35" s="289">
        <f>'[1]Feb midyear JS Clark'!E32</f>
        <v>0</v>
      </c>
      <c r="Z35" s="290">
        <f t="shared" si="33"/>
        <v>0</v>
      </c>
      <c r="AA35" s="288">
        <f t="shared" si="47"/>
        <v>0</v>
      </c>
      <c r="AB35" s="324">
        <f t="shared" si="48"/>
        <v>0</v>
      </c>
      <c r="AC35" s="292">
        <f t="shared" si="49"/>
        <v>0</v>
      </c>
      <c r="AD35" s="324">
        <f t="shared" si="50"/>
        <v>0</v>
      </c>
      <c r="AE35" s="293">
        <v>0</v>
      </c>
      <c r="AF35" s="324">
        <f t="shared" si="51"/>
        <v>0</v>
      </c>
      <c r="AG35" s="293">
        <f>'[2]Table 5C1G-JS Clark Academy'!AI35+'[14]Table 5C1G-JS Clark Academy'!AI35+(6*'[20]Table 5C1G-JS Clark Academy'!AI35)</f>
        <v>0</v>
      </c>
      <c r="AH35" s="293">
        <f t="shared" si="52"/>
        <v>0</v>
      </c>
      <c r="AI35" s="324">
        <f t="shared" si="34"/>
        <v>0</v>
      </c>
      <c r="AJ35" s="321">
        <f t="shared" si="53"/>
        <v>0</v>
      </c>
      <c r="AK35" s="342">
        <f t="shared" si="54"/>
        <v>0</v>
      </c>
      <c r="AM35" s="286">
        <v>0</v>
      </c>
      <c r="AN35" s="286">
        <f t="shared" si="55"/>
        <v>0</v>
      </c>
      <c r="AO35" s="286">
        <f t="shared" ref="AO35:AO75" si="56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2.1.14'!P32</f>
        <v>0</v>
      </c>
      <c r="D36" s="194">
        <f>+'Table 5C1A-Madison Prep'!D36</f>
        <v>5804.5327273996763</v>
      </c>
      <c r="E36" s="195">
        <f t="shared" si="36"/>
        <v>0</v>
      </c>
      <c r="F36" s="195">
        <f>+'Table 5C1A-Madison Prep'!F36</f>
        <v>727.17</v>
      </c>
      <c r="G36" s="195">
        <f t="shared" si="37"/>
        <v>0</v>
      </c>
      <c r="H36" s="346">
        <f t="shared" si="38"/>
        <v>0</v>
      </c>
      <c r="I36" s="992">
        <f>'[1]Oct midyear JS Clark'!K33</f>
        <v>0</v>
      </c>
      <c r="J36" s="196">
        <f>'[1]Feb midyear JS Clark'!K33</f>
        <v>0</v>
      </c>
      <c r="K36" s="197">
        <f t="shared" si="39"/>
        <v>0</v>
      </c>
      <c r="L36" s="346">
        <f t="shared" si="40"/>
        <v>0</v>
      </c>
      <c r="M36" s="296">
        <f t="shared" si="41"/>
        <v>0</v>
      </c>
      <c r="N36" s="346">
        <f t="shared" si="42"/>
        <v>0</v>
      </c>
      <c r="O36" s="194">
        <v>0</v>
      </c>
      <c r="P36" s="352">
        <f t="shared" si="43"/>
        <v>0</v>
      </c>
      <c r="Q36" s="622">
        <f>'[2]Table 5C1G-JS Clark Academy'!S36+'[14]Table 5C1G-JS Clark Academy'!S36+(6*'[20]Table 5C1G-JS Clark Academy'!S36)</f>
        <v>0</v>
      </c>
      <c r="R36" s="196">
        <f t="shared" si="44"/>
        <v>0</v>
      </c>
      <c r="S36" s="356">
        <f t="shared" si="31"/>
        <v>0</v>
      </c>
      <c r="T36" s="356">
        <f t="shared" si="45"/>
        <v>0</v>
      </c>
      <c r="U36" s="281">
        <f>'Table 5C1A-Madison Prep'!U36</f>
        <v>3999</v>
      </c>
      <c r="V36" s="329">
        <f t="shared" si="32"/>
        <v>0</v>
      </c>
      <c r="W36" s="996">
        <f>'[1]Oct midyear JS Clark'!E33</f>
        <v>0</v>
      </c>
      <c r="X36" s="282">
        <f t="shared" si="46"/>
        <v>0</v>
      </c>
      <c r="Y36" s="884">
        <f>'[1]Feb midyear JS Clark'!E33</f>
        <v>0</v>
      </c>
      <c r="Z36" s="282">
        <f t="shared" si="33"/>
        <v>0</v>
      </c>
      <c r="AA36" s="283">
        <f t="shared" si="47"/>
        <v>0</v>
      </c>
      <c r="AB36" s="325">
        <f t="shared" si="48"/>
        <v>0</v>
      </c>
      <c r="AC36" s="298">
        <f t="shared" si="49"/>
        <v>0</v>
      </c>
      <c r="AD36" s="325">
        <f t="shared" si="50"/>
        <v>0</v>
      </c>
      <c r="AE36" s="284">
        <v>0</v>
      </c>
      <c r="AF36" s="325">
        <f t="shared" si="51"/>
        <v>0</v>
      </c>
      <c r="AG36" s="284">
        <f>'[2]Table 5C1G-JS Clark Academy'!AI36+'[14]Table 5C1G-JS Clark Academy'!AI36+(6*'[20]Table 5C1G-JS Clark Academy'!AI36)</f>
        <v>0</v>
      </c>
      <c r="AH36" s="284">
        <f t="shared" si="52"/>
        <v>0</v>
      </c>
      <c r="AI36" s="325">
        <f t="shared" si="34"/>
        <v>0</v>
      </c>
      <c r="AJ36" s="338">
        <f t="shared" si="53"/>
        <v>0</v>
      </c>
      <c r="AK36" s="343">
        <f t="shared" si="54"/>
        <v>0</v>
      </c>
      <c r="AM36" s="296">
        <v>0</v>
      </c>
      <c r="AN36" s="296">
        <f t="shared" si="55"/>
        <v>0</v>
      </c>
      <c r="AO36" s="296">
        <f t="shared" si="56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2.1.14'!P33</f>
        <v>0</v>
      </c>
      <c r="D37" s="208">
        <f>+'Table 5C1A-Madison Prep'!D37</f>
        <v>4520.6176716868531</v>
      </c>
      <c r="E37" s="209">
        <f t="shared" si="36"/>
        <v>0</v>
      </c>
      <c r="F37" s="209">
        <f>+'Table 5C1A-Madison Prep'!F37</f>
        <v>620.83000000000004</v>
      </c>
      <c r="G37" s="209">
        <f t="shared" si="37"/>
        <v>0</v>
      </c>
      <c r="H37" s="344">
        <f t="shared" si="38"/>
        <v>0</v>
      </c>
      <c r="I37" s="990">
        <f>'[1]Oct midyear JS Clark'!K34</f>
        <v>0</v>
      </c>
      <c r="J37" s="210">
        <f>'[1]Feb midyear JS Clark'!K34</f>
        <v>0</v>
      </c>
      <c r="K37" s="211">
        <f t="shared" si="39"/>
        <v>0</v>
      </c>
      <c r="L37" s="344">
        <f t="shared" si="40"/>
        <v>0</v>
      </c>
      <c r="M37" s="273">
        <f t="shared" si="41"/>
        <v>0</v>
      </c>
      <c r="N37" s="344">
        <f t="shared" si="42"/>
        <v>0</v>
      </c>
      <c r="O37" s="208">
        <v>0</v>
      </c>
      <c r="P37" s="350">
        <f t="shared" si="43"/>
        <v>0</v>
      </c>
      <c r="Q37" s="210">
        <f>'[2]Table 5C1G-JS Clark Academy'!S37+'[14]Table 5C1G-JS Clark Academy'!S37+(6*'[20]Table 5C1G-JS Clark Academy'!S37)</f>
        <v>0</v>
      </c>
      <c r="R37" s="210">
        <f t="shared" si="44"/>
        <v>0</v>
      </c>
      <c r="S37" s="350">
        <f t="shared" si="31"/>
        <v>0</v>
      </c>
      <c r="T37" s="350">
        <f t="shared" si="45"/>
        <v>0</v>
      </c>
      <c r="U37" s="274">
        <f>'Table 5C1A-Madison Prep'!U37</f>
        <v>5028</v>
      </c>
      <c r="V37" s="327">
        <f t="shared" si="32"/>
        <v>0</v>
      </c>
      <c r="W37" s="994">
        <f>'[1]Oct midyear JS Clark'!E34</f>
        <v>0</v>
      </c>
      <c r="X37" s="276">
        <f t="shared" si="46"/>
        <v>0</v>
      </c>
      <c r="Y37" s="883">
        <f>'[1]Feb midyear JS Clark'!E34</f>
        <v>0</v>
      </c>
      <c r="Z37" s="276">
        <f t="shared" si="33"/>
        <v>0</v>
      </c>
      <c r="AA37" s="275">
        <f t="shared" si="47"/>
        <v>0</v>
      </c>
      <c r="AB37" s="323">
        <f t="shared" si="48"/>
        <v>0</v>
      </c>
      <c r="AC37" s="278">
        <f t="shared" si="49"/>
        <v>0</v>
      </c>
      <c r="AD37" s="323">
        <f t="shared" si="50"/>
        <v>0</v>
      </c>
      <c r="AE37" s="279">
        <v>0</v>
      </c>
      <c r="AF37" s="323">
        <f t="shared" si="51"/>
        <v>0</v>
      </c>
      <c r="AG37" s="279">
        <f>'[2]Table 5C1G-JS Clark Academy'!AI37+'[14]Table 5C1G-JS Clark Academy'!AI37+(6*'[20]Table 5C1G-JS Clark Academy'!AI37)</f>
        <v>0</v>
      </c>
      <c r="AH37" s="279">
        <f t="shared" si="52"/>
        <v>0</v>
      </c>
      <c r="AI37" s="323">
        <f t="shared" si="34"/>
        <v>0</v>
      </c>
      <c r="AJ37" s="337">
        <f t="shared" si="53"/>
        <v>0</v>
      </c>
      <c r="AK37" s="341">
        <f t="shared" si="54"/>
        <v>0</v>
      </c>
      <c r="AM37" s="273">
        <v>0</v>
      </c>
      <c r="AN37" s="273">
        <f t="shared" si="55"/>
        <v>0</v>
      </c>
      <c r="AO37" s="273">
        <f t="shared" si="56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2.1.14'!P34</f>
        <v>0</v>
      </c>
      <c r="D38" s="201">
        <f>+'Table 5C1A-Madison Prep'!D38</f>
        <v>5652.819189061127</v>
      </c>
      <c r="E38" s="202">
        <f t="shared" si="36"/>
        <v>0</v>
      </c>
      <c r="F38" s="202">
        <f>+'Table 5C1A-Madison Prep'!F38</f>
        <v>559.77</v>
      </c>
      <c r="G38" s="202">
        <f t="shared" si="37"/>
        <v>0</v>
      </c>
      <c r="H38" s="345">
        <f t="shared" si="38"/>
        <v>0</v>
      </c>
      <c r="I38" s="991">
        <f>'[1]Oct midyear JS Clark'!K35</f>
        <v>0</v>
      </c>
      <c r="J38" s="203">
        <f>'[1]Feb midyear JS Clark'!K35</f>
        <v>0</v>
      </c>
      <c r="K38" s="204">
        <f t="shared" si="39"/>
        <v>0</v>
      </c>
      <c r="L38" s="345">
        <f t="shared" si="40"/>
        <v>0</v>
      </c>
      <c r="M38" s="286">
        <f t="shared" si="41"/>
        <v>0</v>
      </c>
      <c r="N38" s="345">
        <f t="shared" si="42"/>
        <v>0</v>
      </c>
      <c r="O38" s="201">
        <v>0</v>
      </c>
      <c r="P38" s="351">
        <f t="shared" si="43"/>
        <v>0</v>
      </c>
      <c r="Q38" s="203">
        <f>'[2]Table 5C1G-JS Clark Academy'!S38+'[14]Table 5C1G-JS Clark Academy'!S38+(6*'[20]Table 5C1G-JS Clark Academy'!S38)</f>
        <v>0</v>
      </c>
      <c r="R38" s="203">
        <f t="shared" si="44"/>
        <v>0</v>
      </c>
      <c r="S38" s="351">
        <f t="shared" si="31"/>
        <v>0</v>
      </c>
      <c r="T38" s="351">
        <f t="shared" si="45"/>
        <v>0</v>
      </c>
      <c r="U38" s="287">
        <f>'Table 5C1A-Madison Prep'!U38</f>
        <v>2139</v>
      </c>
      <c r="V38" s="328">
        <f t="shared" si="32"/>
        <v>0</v>
      </c>
      <c r="W38" s="995">
        <f>'[1]Oct midyear JS Clark'!E35</f>
        <v>0</v>
      </c>
      <c r="X38" s="290">
        <f t="shared" si="46"/>
        <v>0</v>
      </c>
      <c r="Y38" s="289">
        <f>'[1]Feb midyear JS Clark'!E35</f>
        <v>0</v>
      </c>
      <c r="Z38" s="290">
        <f t="shared" si="33"/>
        <v>0</v>
      </c>
      <c r="AA38" s="288">
        <f t="shared" si="47"/>
        <v>0</v>
      </c>
      <c r="AB38" s="324">
        <f t="shared" si="48"/>
        <v>0</v>
      </c>
      <c r="AC38" s="292">
        <f t="shared" si="49"/>
        <v>0</v>
      </c>
      <c r="AD38" s="324">
        <f t="shared" si="50"/>
        <v>0</v>
      </c>
      <c r="AE38" s="293">
        <v>0</v>
      </c>
      <c r="AF38" s="324">
        <f t="shared" si="51"/>
        <v>0</v>
      </c>
      <c r="AG38" s="293">
        <f>'[2]Table 5C1G-JS Clark Academy'!AI38+'[14]Table 5C1G-JS Clark Academy'!AI38+(6*'[20]Table 5C1G-JS Clark Academy'!AI38)</f>
        <v>0</v>
      </c>
      <c r="AH38" s="293">
        <f t="shared" si="52"/>
        <v>0</v>
      </c>
      <c r="AI38" s="324">
        <f t="shared" si="34"/>
        <v>0</v>
      </c>
      <c r="AJ38" s="321">
        <f t="shared" si="53"/>
        <v>0</v>
      </c>
      <c r="AK38" s="342">
        <f t="shared" si="54"/>
        <v>0</v>
      </c>
      <c r="AM38" s="286">
        <v>0</v>
      </c>
      <c r="AN38" s="286">
        <f t="shared" si="55"/>
        <v>0</v>
      </c>
      <c r="AO38" s="286">
        <f t="shared" si="56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2.1.14'!P35</f>
        <v>0</v>
      </c>
      <c r="D39" s="201">
        <f>+'Table 5C1A-Madison Prep'!D39</f>
        <v>5456.2254558085233</v>
      </c>
      <c r="E39" s="202">
        <f t="shared" si="36"/>
        <v>0</v>
      </c>
      <c r="F39" s="202">
        <f>+'Table 5C1A-Madison Prep'!F39</f>
        <v>655.31000000000006</v>
      </c>
      <c r="G39" s="202">
        <f t="shared" si="37"/>
        <v>0</v>
      </c>
      <c r="H39" s="345">
        <f t="shared" si="38"/>
        <v>0</v>
      </c>
      <c r="I39" s="991">
        <f>'[1]Oct midyear JS Clark'!K36</f>
        <v>0</v>
      </c>
      <c r="J39" s="203">
        <f>'[1]Feb midyear JS Clark'!K36</f>
        <v>0</v>
      </c>
      <c r="K39" s="204">
        <f t="shared" si="39"/>
        <v>0</v>
      </c>
      <c r="L39" s="345">
        <f t="shared" ref="L39:L70" si="57">H39+K39</f>
        <v>0</v>
      </c>
      <c r="M39" s="286">
        <f t="shared" si="41"/>
        <v>0</v>
      </c>
      <c r="N39" s="345">
        <f t="shared" si="42"/>
        <v>0</v>
      </c>
      <c r="O39" s="201">
        <v>0</v>
      </c>
      <c r="P39" s="351">
        <f t="shared" si="43"/>
        <v>0</v>
      </c>
      <c r="Q39" s="203">
        <f>'[2]Table 5C1G-JS Clark Academy'!S39+'[14]Table 5C1G-JS Clark Academy'!S39+(6*'[20]Table 5C1G-JS Clark Academy'!S39)</f>
        <v>0</v>
      </c>
      <c r="R39" s="203">
        <f t="shared" si="44"/>
        <v>0</v>
      </c>
      <c r="S39" s="351">
        <f t="shared" ref="S39:S70" si="58">ROUND(R39/$S$88,0)</f>
        <v>0</v>
      </c>
      <c r="T39" s="351">
        <f t="shared" si="45"/>
        <v>0</v>
      </c>
      <c r="U39" s="287">
        <f>'Table 5C1A-Madison Prep'!U39</f>
        <v>3784</v>
      </c>
      <c r="V39" s="328">
        <f t="shared" ref="V39:V70" si="59">C39*U39</f>
        <v>0</v>
      </c>
      <c r="W39" s="995">
        <f>'[1]Oct midyear JS Clark'!E36</f>
        <v>0</v>
      </c>
      <c r="X39" s="290">
        <f t="shared" si="46"/>
        <v>0</v>
      </c>
      <c r="Y39" s="289">
        <f>'[1]Feb midyear JS Clark'!E36</f>
        <v>0</v>
      </c>
      <c r="Z39" s="290">
        <f t="shared" si="33"/>
        <v>0</v>
      </c>
      <c r="AA39" s="288">
        <f t="shared" si="47"/>
        <v>0</v>
      </c>
      <c r="AB39" s="324">
        <f t="shared" si="48"/>
        <v>0</v>
      </c>
      <c r="AC39" s="292">
        <f t="shared" si="49"/>
        <v>0</v>
      </c>
      <c r="AD39" s="324">
        <f t="shared" si="50"/>
        <v>0</v>
      </c>
      <c r="AE39" s="293">
        <v>0</v>
      </c>
      <c r="AF39" s="324">
        <f t="shared" si="51"/>
        <v>0</v>
      </c>
      <c r="AG39" s="293">
        <f>'[2]Table 5C1G-JS Clark Academy'!AI39+'[14]Table 5C1G-JS Clark Academy'!AI39+(6*'[20]Table 5C1G-JS Clark Academy'!AI39)</f>
        <v>0</v>
      </c>
      <c r="AH39" s="293">
        <f t="shared" si="52"/>
        <v>0</v>
      </c>
      <c r="AI39" s="324">
        <f t="shared" ref="AI39:AI70" si="60">ROUND(AH39/$AI$88,0)</f>
        <v>0</v>
      </c>
      <c r="AJ39" s="321">
        <f t="shared" si="53"/>
        <v>0</v>
      </c>
      <c r="AK39" s="342">
        <f t="shared" si="54"/>
        <v>0</v>
      </c>
      <c r="AM39" s="286">
        <v>0</v>
      </c>
      <c r="AN39" s="286">
        <f t="shared" si="55"/>
        <v>0</v>
      </c>
      <c r="AO39" s="286">
        <f t="shared" si="56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2.1.14'!P36</f>
        <v>0</v>
      </c>
      <c r="D40" s="201">
        <f>+'Table 5C1A-Madison Prep'!D40</f>
        <v>6292.0976842789005</v>
      </c>
      <c r="E40" s="202">
        <f t="shared" si="36"/>
        <v>0</v>
      </c>
      <c r="F40" s="202">
        <f>+'Table 5C1A-Madison Prep'!F40</f>
        <v>644.11000000000013</v>
      </c>
      <c r="G40" s="202">
        <f t="shared" si="37"/>
        <v>0</v>
      </c>
      <c r="H40" s="345">
        <f t="shared" si="38"/>
        <v>0</v>
      </c>
      <c r="I40" s="991">
        <f>'[1]Oct midyear JS Clark'!K37</f>
        <v>0</v>
      </c>
      <c r="J40" s="203">
        <f>'[1]Feb midyear JS Clark'!K37</f>
        <v>0</v>
      </c>
      <c r="K40" s="204">
        <f t="shared" si="39"/>
        <v>0</v>
      </c>
      <c r="L40" s="345">
        <f t="shared" si="57"/>
        <v>0</v>
      </c>
      <c r="M40" s="286">
        <f t="shared" si="41"/>
        <v>0</v>
      </c>
      <c r="N40" s="345">
        <f t="shared" si="42"/>
        <v>0</v>
      </c>
      <c r="O40" s="201">
        <v>0</v>
      </c>
      <c r="P40" s="351">
        <f t="shared" si="43"/>
        <v>0</v>
      </c>
      <c r="Q40" s="203">
        <f>'[2]Table 5C1G-JS Clark Academy'!S40+'[14]Table 5C1G-JS Clark Academy'!S40+(6*'[20]Table 5C1G-JS Clark Academy'!S40)</f>
        <v>0</v>
      </c>
      <c r="R40" s="203">
        <f t="shared" si="44"/>
        <v>0</v>
      </c>
      <c r="S40" s="351">
        <f t="shared" si="58"/>
        <v>0</v>
      </c>
      <c r="T40" s="351">
        <f t="shared" si="45"/>
        <v>0</v>
      </c>
      <c r="U40" s="287">
        <f>'Table 5C1A-Madison Prep'!U40</f>
        <v>2911</v>
      </c>
      <c r="V40" s="328">
        <f t="shared" si="59"/>
        <v>0</v>
      </c>
      <c r="W40" s="995">
        <f>'[1]Oct midyear JS Clark'!E37</f>
        <v>0</v>
      </c>
      <c r="X40" s="290">
        <f t="shared" si="46"/>
        <v>0</v>
      </c>
      <c r="Y40" s="289">
        <f>'[1]Feb midyear JS Clark'!E37</f>
        <v>0</v>
      </c>
      <c r="Z40" s="290">
        <f t="shared" si="33"/>
        <v>0</v>
      </c>
      <c r="AA40" s="288">
        <f t="shared" si="47"/>
        <v>0</v>
      </c>
      <c r="AB40" s="324">
        <f t="shared" si="48"/>
        <v>0</v>
      </c>
      <c r="AC40" s="292">
        <f t="shared" si="49"/>
        <v>0</v>
      </c>
      <c r="AD40" s="324">
        <f t="shared" si="50"/>
        <v>0</v>
      </c>
      <c r="AE40" s="293">
        <v>0</v>
      </c>
      <c r="AF40" s="324">
        <f t="shared" si="51"/>
        <v>0</v>
      </c>
      <c r="AG40" s="293">
        <f>'[2]Table 5C1G-JS Clark Academy'!AI40+'[14]Table 5C1G-JS Clark Academy'!AI40+(6*'[20]Table 5C1G-JS Clark Academy'!AI40)</f>
        <v>0</v>
      </c>
      <c r="AH40" s="293">
        <f t="shared" si="52"/>
        <v>0</v>
      </c>
      <c r="AI40" s="324">
        <f t="shared" si="60"/>
        <v>0</v>
      </c>
      <c r="AJ40" s="321">
        <f t="shared" si="53"/>
        <v>0</v>
      </c>
      <c r="AK40" s="342">
        <f t="shared" si="54"/>
        <v>0</v>
      </c>
      <c r="AM40" s="286">
        <v>0</v>
      </c>
      <c r="AN40" s="286">
        <f t="shared" si="55"/>
        <v>0</v>
      </c>
      <c r="AO40" s="286">
        <f t="shared" si="56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2.1.14'!P37</f>
        <v>0</v>
      </c>
      <c r="D41" s="194">
        <f>+'Table 5C1A-Madison Prep'!D41</f>
        <v>5166.2482060477605</v>
      </c>
      <c r="E41" s="195">
        <f t="shared" si="36"/>
        <v>0</v>
      </c>
      <c r="F41" s="195">
        <f>+'Table 5C1A-Madison Prep'!F41</f>
        <v>537.96</v>
      </c>
      <c r="G41" s="195">
        <f t="shared" si="37"/>
        <v>0</v>
      </c>
      <c r="H41" s="346">
        <f t="shared" si="38"/>
        <v>0</v>
      </c>
      <c r="I41" s="992">
        <f>'[1]Oct midyear JS Clark'!K38</f>
        <v>0</v>
      </c>
      <c r="J41" s="196">
        <f>'[1]Feb midyear JS Clark'!K38</f>
        <v>0</v>
      </c>
      <c r="K41" s="197">
        <f t="shared" si="39"/>
        <v>0</v>
      </c>
      <c r="L41" s="346">
        <f t="shared" si="57"/>
        <v>0</v>
      </c>
      <c r="M41" s="296">
        <f t="shared" si="41"/>
        <v>0</v>
      </c>
      <c r="N41" s="346">
        <f t="shared" si="42"/>
        <v>0</v>
      </c>
      <c r="O41" s="194">
        <v>0</v>
      </c>
      <c r="P41" s="352">
        <f t="shared" si="43"/>
        <v>0</v>
      </c>
      <c r="Q41" s="622">
        <f>'[2]Table 5C1G-JS Clark Academy'!S41+'[14]Table 5C1G-JS Clark Academy'!S41+(6*'[20]Table 5C1G-JS Clark Academy'!S41)</f>
        <v>0</v>
      </c>
      <c r="R41" s="196">
        <f t="shared" si="44"/>
        <v>0</v>
      </c>
      <c r="S41" s="356">
        <f t="shared" si="58"/>
        <v>0</v>
      </c>
      <c r="T41" s="356">
        <f t="shared" si="45"/>
        <v>0</v>
      </c>
      <c r="U41" s="281">
        <f>'Table 5C1A-Madison Prep'!U41</f>
        <v>3337</v>
      </c>
      <c r="V41" s="329">
        <f t="shared" si="59"/>
        <v>0</v>
      </c>
      <c r="W41" s="996">
        <f>'[1]Oct midyear JS Clark'!E38</f>
        <v>0</v>
      </c>
      <c r="X41" s="282">
        <f t="shared" si="46"/>
        <v>0</v>
      </c>
      <c r="Y41" s="884">
        <f>'[1]Feb midyear JS Clark'!E38</f>
        <v>0</v>
      </c>
      <c r="Z41" s="282">
        <f t="shared" si="33"/>
        <v>0</v>
      </c>
      <c r="AA41" s="283">
        <f t="shared" si="47"/>
        <v>0</v>
      </c>
      <c r="AB41" s="325">
        <f t="shared" si="48"/>
        <v>0</v>
      </c>
      <c r="AC41" s="298">
        <f t="shared" si="49"/>
        <v>0</v>
      </c>
      <c r="AD41" s="325">
        <f t="shared" si="50"/>
        <v>0</v>
      </c>
      <c r="AE41" s="284">
        <v>0</v>
      </c>
      <c r="AF41" s="325">
        <f t="shared" si="51"/>
        <v>0</v>
      </c>
      <c r="AG41" s="284">
        <f>'[2]Table 5C1G-JS Clark Academy'!AI41+'[14]Table 5C1G-JS Clark Academy'!AI41+(6*'[20]Table 5C1G-JS Clark Academy'!AI41)</f>
        <v>0</v>
      </c>
      <c r="AH41" s="284">
        <f t="shared" si="52"/>
        <v>0</v>
      </c>
      <c r="AI41" s="325">
        <f t="shared" si="60"/>
        <v>0</v>
      </c>
      <c r="AJ41" s="338">
        <f t="shared" si="53"/>
        <v>0</v>
      </c>
      <c r="AK41" s="343">
        <f t="shared" si="54"/>
        <v>0</v>
      </c>
      <c r="AM41" s="296">
        <v>0</v>
      </c>
      <c r="AN41" s="296">
        <f t="shared" si="55"/>
        <v>0</v>
      </c>
      <c r="AO41" s="296">
        <f t="shared" si="56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2.1.14'!P38</f>
        <v>0</v>
      </c>
      <c r="D42" s="208">
        <f>+'Table 5C1A-Madison Prep'!D42</f>
        <v>3602.7009974327857</v>
      </c>
      <c r="E42" s="209">
        <f t="shared" si="36"/>
        <v>0</v>
      </c>
      <c r="F42" s="209">
        <f>+'Table 5C1A-Madison Prep'!F42</f>
        <v>746.0335616438357</v>
      </c>
      <c r="G42" s="209">
        <f t="shared" si="37"/>
        <v>0</v>
      </c>
      <c r="H42" s="344">
        <f t="shared" si="38"/>
        <v>0</v>
      </c>
      <c r="I42" s="990">
        <f>'[1]Oct midyear JS Clark'!K39</f>
        <v>0</v>
      </c>
      <c r="J42" s="210">
        <f>'[1]Feb midyear JS Clark'!K39</f>
        <v>0</v>
      </c>
      <c r="K42" s="211">
        <f t="shared" si="39"/>
        <v>0</v>
      </c>
      <c r="L42" s="344">
        <f t="shared" si="57"/>
        <v>0</v>
      </c>
      <c r="M42" s="273">
        <f t="shared" si="41"/>
        <v>0</v>
      </c>
      <c r="N42" s="344">
        <f t="shared" si="42"/>
        <v>0</v>
      </c>
      <c r="O42" s="208">
        <v>0</v>
      </c>
      <c r="P42" s="350">
        <f t="shared" si="43"/>
        <v>0</v>
      </c>
      <c r="Q42" s="210">
        <f>'[2]Table 5C1G-JS Clark Academy'!S42+'[14]Table 5C1G-JS Clark Academy'!S42+(6*'[20]Table 5C1G-JS Clark Academy'!S42)</f>
        <v>0</v>
      </c>
      <c r="R42" s="210">
        <f t="shared" si="44"/>
        <v>0</v>
      </c>
      <c r="S42" s="350">
        <f t="shared" si="58"/>
        <v>0</v>
      </c>
      <c r="T42" s="350">
        <f t="shared" si="45"/>
        <v>0</v>
      </c>
      <c r="U42" s="274">
        <f>'Table 5C1A-Madison Prep'!U42</f>
        <v>5469</v>
      </c>
      <c r="V42" s="327">
        <f t="shared" si="59"/>
        <v>0</v>
      </c>
      <c r="W42" s="994">
        <f>'[1]Oct midyear JS Clark'!E39</f>
        <v>0</v>
      </c>
      <c r="X42" s="276">
        <f t="shared" si="46"/>
        <v>0</v>
      </c>
      <c r="Y42" s="883">
        <f>'[1]Feb midyear JS Clark'!E39</f>
        <v>0</v>
      </c>
      <c r="Z42" s="276">
        <f t="shared" si="33"/>
        <v>0</v>
      </c>
      <c r="AA42" s="275">
        <f t="shared" si="47"/>
        <v>0</v>
      </c>
      <c r="AB42" s="323">
        <f t="shared" si="48"/>
        <v>0</v>
      </c>
      <c r="AC42" s="278">
        <f t="shared" si="49"/>
        <v>0</v>
      </c>
      <c r="AD42" s="323">
        <f t="shared" si="50"/>
        <v>0</v>
      </c>
      <c r="AE42" s="279">
        <v>0</v>
      </c>
      <c r="AF42" s="323">
        <f t="shared" si="51"/>
        <v>0</v>
      </c>
      <c r="AG42" s="279">
        <f>'[2]Table 5C1G-JS Clark Academy'!AI42+'[14]Table 5C1G-JS Clark Academy'!AI42+(6*'[20]Table 5C1G-JS Clark Academy'!AI42)</f>
        <v>0</v>
      </c>
      <c r="AH42" s="279">
        <f t="shared" si="52"/>
        <v>0</v>
      </c>
      <c r="AI42" s="323">
        <f t="shared" si="60"/>
        <v>0</v>
      </c>
      <c r="AJ42" s="337">
        <f t="shared" si="53"/>
        <v>0</v>
      </c>
      <c r="AK42" s="341">
        <f t="shared" si="54"/>
        <v>0</v>
      </c>
      <c r="AM42" s="273">
        <v>0</v>
      </c>
      <c r="AN42" s="273">
        <f t="shared" si="55"/>
        <v>0</v>
      </c>
      <c r="AO42" s="273">
        <f t="shared" si="56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2.1.14'!P39</f>
        <v>0</v>
      </c>
      <c r="D43" s="201">
        <f>+'Table 5C1A-Madison Prep'!D43</f>
        <v>5665.3839260317691</v>
      </c>
      <c r="E43" s="202">
        <f t="shared" si="36"/>
        <v>0</v>
      </c>
      <c r="F43" s="202">
        <f>+'Table 5C1A-Madison Prep'!F43</f>
        <v>653.61</v>
      </c>
      <c r="G43" s="202">
        <f t="shared" si="37"/>
        <v>0</v>
      </c>
      <c r="H43" s="345">
        <f t="shared" si="38"/>
        <v>0</v>
      </c>
      <c r="I43" s="991">
        <f>'[1]Oct midyear JS Clark'!K40</f>
        <v>0</v>
      </c>
      <c r="J43" s="203">
        <f>'[1]Feb midyear JS Clark'!K40</f>
        <v>0</v>
      </c>
      <c r="K43" s="204">
        <f t="shared" si="39"/>
        <v>0</v>
      </c>
      <c r="L43" s="345">
        <f t="shared" si="57"/>
        <v>0</v>
      </c>
      <c r="M43" s="286">
        <f t="shared" si="41"/>
        <v>0</v>
      </c>
      <c r="N43" s="345">
        <f t="shared" si="42"/>
        <v>0</v>
      </c>
      <c r="O43" s="201">
        <v>0</v>
      </c>
      <c r="P43" s="351">
        <f t="shared" si="43"/>
        <v>0</v>
      </c>
      <c r="Q43" s="203">
        <f>'[2]Table 5C1G-JS Clark Academy'!S43+'[14]Table 5C1G-JS Clark Academy'!S43+(6*'[20]Table 5C1G-JS Clark Academy'!S43)</f>
        <v>0</v>
      </c>
      <c r="R43" s="203">
        <f t="shared" si="44"/>
        <v>0</v>
      </c>
      <c r="S43" s="351">
        <f t="shared" si="58"/>
        <v>0</v>
      </c>
      <c r="T43" s="351">
        <f t="shared" si="45"/>
        <v>0</v>
      </c>
      <c r="U43" s="287">
        <f>'Table 5C1A-Madison Prep'!U43</f>
        <v>3424</v>
      </c>
      <c r="V43" s="328">
        <f t="shared" si="59"/>
        <v>0</v>
      </c>
      <c r="W43" s="995">
        <f>'[1]Oct midyear JS Clark'!E40</f>
        <v>0</v>
      </c>
      <c r="X43" s="290">
        <f t="shared" si="46"/>
        <v>0</v>
      </c>
      <c r="Y43" s="289">
        <f>'[1]Feb midyear JS Clark'!E40</f>
        <v>0</v>
      </c>
      <c r="Z43" s="290">
        <f t="shared" si="33"/>
        <v>0</v>
      </c>
      <c r="AA43" s="288">
        <f t="shared" si="47"/>
        <v>0</v>
      </c>
      <c r="AB43" s="324">
        <f t="shared" si="48"/>
        <v>0</v>
      </c>
      <c r="AC43" s="292">
        <f t="shared" si="49"/>
        <v>0</v>
      </c>
      <c r="AD43" s="324">
        <f t="shared" si="50"/>
        <v>0</v>
      </c>
      <c r="AE43" s="293">
        <v>0</v>
      </c>
      <c r="AF43" s="324">
        <f t="shared" si="51"/>
        <v>0</v>
      </c>
      <c r="AG43" s="293">
        <f>'[2]Table 5C1G-JS Clark Academy'!AI43+'[14]Table 5C1G-JS Clark Academy'!AI43+(6*'[20]Table 5C1G-JS Clark Academy'!AI43)</f>
        <v>0</v>
      </c>
      <c r="AH43" s="293">
        <f t="shared" si="52"/>
        <v>0</v>
      </c>
      <c r="AI43" s="324">
        <f t="shared" si="60"/>
        <v>0</v>
      </c>
      <c r="AJ43" s="321">
        <f t="shared" si="53"/>
        <v>0</v>
      </c>
      <c r="AK43" s="342">
        <f t="shared" si="54"/>
        <v>0</v>
      </c>
      <c r="AM43" s="286">
        <v>0</v>
      </c>
      <c r="AN43" s="286">
        <f t="shared" si="55"/>
        <v>0</v>
      </c>
      <c r="AO43" s="286">
        <f t="shared" si="56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2.1.14'!P40</f>
        <v>0</v>
      </c>
      <c r="D44" s="201">
        <f>+'Table 5C1A-Madison Prep'!D44</f>
        <v>2088.8017552916881</v>
      </c>
      <c r="E44" s="202">
        <f t="shared" si="36"/>
        <v>0</v>
      </c>
      <c r="F44" s="202">
        <f>+'Table 5C1A-Madison Prep'!F44</f>
        <v>829.92000000000007</v>
      </c>
      <c r="G44" s="202">
        <f t="shared" si="37"/>
        <v>0</v>
      </c>
      <c r="H44" s="345">
        <f t="shared" si="38"/>
        <v>0</v>
      </c>
      <c r="I44" s="991">
        <f>'[1]Oct midyear JS Clark'!K41</f>
        <v>0</v>
      </c>
      <c r="J44" s="203">
        <f>'[1]Feb midyear JS Clark'!K41</f>
        <v>0</v>
      </c>
      <c r="K44" s="204">
        <f t="shared" si="39"/>
        <v>0</v>
      </c>
      <c r="L44" s="345">
        <f t="shared" si="57"/>
        <v>0</v>
      </c>
      <c r="M44" s="286">
        <f t="shared" si="41"/>
        <v>0</v>
      </c>
      <c r="N44" s="345">
        <f t="shared" si="42"/>
        <v>0</v>
      </c>
      <c r="O44" s="201">
        <v>0</v>
      </c>
      <c r="P44" s="351">
        <f t="shared" si="43"/>
        <v>0</v>
      </c>
      <c r="Q44" s="203">
        <f>'[2]Table 5C1G-JS Clark Academy'!S44+'[14]Table 5C1G-JS Clark Academy'!S44+(6*'[20]Table 5C1G-JS Clark Academy'!S44)</f>
        <v>0</v>
      </c>
      <c r="R44" s="203">
        <f t="shared" si="44"/>
        <v>0</v>
      </c>
      <c r="S44" s="351">
        <f t="shared" si="58"/>
        <v>0</v>
      </c>
      <c r="T44" s="351">
        <f t="shared" si="45"/>
        <v>0</v>
      </c>
      <c r="U44" s="287">
        <f>'Table 5C1A-Madison Prep'!U44</f>
        <v>11060</v>
      </c>
      <c r="V44" s="328">
        <f t="shared" si="59"/>
        <v>0</v>
      </c>
      <c r="W44" s="995">
        <f>'[1]Oct midyear JS Clark'!E41</f>
        <v>0</v>
      </c>
      <c r="X44" s="290">
        <f t="shared" si="46"/>
        <v>0</v>
      </c>
      <c r="Y44" s="289">
        <f>'[1]Feb midyear JS Clark'!E41</f>
        <v>0</v>
      </c>
      <c r="Z44" s="290">
        <f t="shared" si="33"/>
        <v>0</v>
      </c>
      <c r="AA44" s="288">
        <f t="shared" si="47"/>
        <v>0</v>
      </c>
      <c r="AB44" s="324">
        <f t="shared" si="48"/>
        <v>0</v>
      </c>
      <c r="AC44" s="292">
        <f t="shared" si="49"/>
        <v>0</v>
      </c>
      <c r="AD44" s="324">
        <f t="shared" si="50"/>
        <v>0</v>
      </c>
      <c r="AE44" s="293">
        <v>0</v>
      </c>
      <c r="AF44" s="324">
        <f t="shared" si="51"/>
        <v>0</v>
      </c>
      <c r="AG44" s="293">
        <f>'[2]Table 5C1G-JS Clark Academy'!AI44+'[14]Table 5C1G-JS Clark Academy'!AI44+(6*'[20]Table 5C1G-JS Clark Academy'!AI44)</f>
        <v>0</v>
      </c>
      <c r="AH44" s="293">
        <f t="shared" si="52"/>
        <v>0</v>
      </c>
      <c r="AI44" s="324">
        <f t="shared" si="60"/>
        <v>0</v>
      </c>
      <c r="AJ44" s="321">
        <f t="shared" si="53"/>
        <v>0</v>
      </c>
      <c r="AK44" s="342">
        <f t="shared" si="54"/>
        <v>0</v>
      </c>
      <c r="AM44" s="286">
        <v>0</v>
      </c>
      <c r="AN44" s="286">
        <f t="shared" si="55"/>
        <v>0</v>
      </c>
      <c r="AO44" s="286">
        <f t="shared" si="56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2.1.14'!P41</f>
        <v>0</v>
      </c>
      <c r="D45" s="201">
        <f>+'Table 5C1A-Madison Prep'!D45</f>
        <v>3656.9056809295676</v>
      </c>
      <c r="E45" s="202">
        <f t="shared" si="36"/>
        <v>0</v>
      </c>
      <c r="F45" s="202">
        <f>+'Table 5C1A-Madison Prep'!F45</f>
        <v>779.65573042776396</v>
      </c>
      <c r="G45" s="202">
        <f t="shared" si="37"/>
        <v>0</v>
      </c>
      <c r="H45" s="345">
        <f t="shared" si="38"/>
        <v>0</v>
      </c>
      <c r="I45" s="991">
        <f>'[1]Oct midyear JS Clark'!K42</f>
        <v>0</v>
      </c>
      <c r="J45" s="203">
        <f>'[1]Feb midyear JS Clark'!K42</f>
        <v>0</v>
      </c>
      <c r="K45" s="204">
        <f t="shared" si="39"/>
        <v>0</v>
      </c>
      <c r="L45" s="345">
        <f t="shared" si="57"/>
        <v>0</v>
      </c>
      <c r="M45" s="286">
        <f t="shared" si="41"/>
        <v>0</v>
      </c>
      <c r="N45" s="345">
        <f t="shared" si="42"/>
        <v>0</v>
      </c>
      <c r="O45" s="201">
        <v>0</v>
      </c>
      <c r="P45" s="351">
        <f t="shared" si="43"/>
        <v>0</v>
      </c>
      <c r="Q45" s="203">
        <f>'[2]Table 5C1G-JS Clark Academy'!S45+'[14]Table 5C1G-JS Clark Academy'!S45+(6*'[20]Table 5C1G-JS Clark Academy'!S45)</f>
        <v>0</v>
      </c>
      <c r="R45" s="203">
        <f t="shared" si="44"/>
        <v>0</v>
      </c>
      <c r="S45" s="351">
        <f t="shared" si="58"/>
        <v>0</v>
      </c>
      <c r="T45" s="351">
        <f t="shared" si="45"/>
        <v>0</v>
      </c>
      <c r="U45" s="287">
        <f>'Table 5C1A-Madison Prep'!U45</f>
        <v>4922</v>
      </c>
      <c r="V45" s="328">
        <f t="shared" si="59"/>
        <v>0</v>
      </c>
      <c r="W45" s="995">
        <f>'[1]Oct midyear JS Clark'!E42</f>
        <v>0</v>
      </c>
      <c r="X45" s="290">
        <f t="shared" si="46"/>
        <v>0</v>
      </c>
      <c r="Y45" s="289">
        <f>'[1]Feb midyear JS Clark'!E42</f>
        <v>0</v>
      </c>
      <c r="Z45" s="290">
        <f t="shared" si="33"/>
        <v>0</v>
      </c>
      <c r="AA45" s="288">
        <f t="shared" si="47"/>
        <v>0</v>
      </c>
      <c r="AB45" s="324">
        <f t="shared" si="48"/>
        <v>0</v>
      </c>
      <c r="AC45" s="292">
        <f t="shared" si="49"/>
        <v>0</v>
      </c>
      <c r="AD45" s="324">
        <f t="shared" si="50"/>
        <v>0</v>
      </c>
      <c r="AE45" s="293">
        <v>0</v>
      </c>
      <c r="AF45" s="324">
        <f t="shared" si="51"/>
        <v>0</v>
      </c>
      <c r="AG45" s="293">
        <f>'[2]Table 5C1G-JS Clark Academy'!AI45+'[14]Table 5C1G-JS Clark Academy'!AI45+(6*'[20]Table 5C1G-JS Clark Academy'!AI45)</f>
        <v>0</v>
      </c>
      <c r="AH45" s="293">
        <f t="shared" si="52"/>
        <v>0</v>
      </c>
      <c r="AI45" s="324">
        <f t="shared" si="60"/>
        <v>0</v>
      </c>
      <c r="AJ45" s="321">
        <f t="shared" si="53"/>
        <v>0</v>
      </c>
      <c r="AK45" s="342">
        <f t="shared" si="54"/>
        <v>0</v>
      </c>
      <c r="AM45" s="286">
        <v>0</v>
      </c>
      <c r="AN45" s="286">
        <f t="shared" si="55"/>
        <v>0</v>
      </c>
      <c r="AO45" s="286">
        <f t="shared" si="56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2.1.14'!P42</f>
        <v>0</v>
      </c>
      <c r="D46" s="194">
        <f>+'Table 5C1A-Madison Prep'!D46</f>
        <v>5121.8110285698403</v>
      </c>
      <c r="E46" s="195">
        <f t="shared" si="36"/>
        <v>0</v>
      </c>
      <c r="F46" s="195">
        <f>+'Table 5C1A-Madison Prep'!F46</f>
        <v>700.2700000000001</v>
      </c>
      <c r="G46" s="195">
        <f t="shared" si="37"/>
        <v>0</v>
      </c>
      <c r="H46" s="346">
        <f t="shared" si="38"/>
        <v>0</v>
      </c>
      <c r="I46" s="992">
        <f>'[1]Oct midyear JS Clark'!K43</f>
        <v>0</v>
      </c>
      <c r="J46" s="196">
        <f>'[1]Feb midyear JS Clark'!K43</f>
        <v>0</v>
      </c>
      <c r="K46" s="197">
        <f t="shared" si="39"/>
        <v>0</v>
      </c>
      <c r="L46" s="346">
        <f t="shared" si="57"/>
        <v>0</v>
      </c>
      <c r="M46" s="296">
        <f t="shared" si="41"/>
        <v>0</v>
      </c>
      <c r="N46" s="346">
        <f t="shared" si="42"/>
        <v>0</v>
      </c>
      <c r="O46" s="194">
        <v>0</v>
      </c>
      <c r="P46" s="352">
        <f t="shared" si="43"/>
        <v>0</v>
      </c>
      <c r="Q46" s="622">
        <f>'[2]Table 5C1G-JS Clark Academy'!S46+'[14]Table 5C1G-JS Clark Academy'!S46+(6*'[20]Table 5C1G-JS Clark Academy'!S46)</f>
        <v>0</v>
      </c>
      <c r="R46" s="196">
        <f t="shared" si="44"/>
        <v>0</v>
      </c>
      <c r="S46" s="356">
        <f t="shared" si="58"/>
        <v>0</v>
      </c>
      <c r="T46" s="356">
        <f t="shared" si="45"/>
        <v>0</v>
      </c>
      <c r="U46" s="281">
        <f>'Table 5C1A-Madison Prep'!U46</f>
        <v>3152</v>
      </c>
      <c r="V46" s="329">
        <f t="shared" si="59"/>
        <v>0</v>
      </c>
      <c r="W46" s="996">
        <f>'[1]Oct midyear JS Clark'!E43</f>
        <v>0</v>
      </c>
      <c r="X46" s="282">
        <f t="shared" si="46"/>
        <v>0</v>
      </c>
      <c r="Y46" s="884">
        <f>'[1]Feb midyear JS Clark'!E43</f>
        <v>0</v>
      </c>
      <c r="Z46" s="282">
        <f t="shared" si="33"/>
        <v>0</v>
      </c>
      <c r="AA46" s="283">
        <f t="shared" si="47"/>
        <v>0</v>
      </c>
      <c r="AB46" s="325">
        <f t="shared" si="48"/>
        <v>0</v>
      </c>
      <c r="AC46" s="298">
        <f t="shared" si="49"/>
        <v>0</v>
      </c>
      <c r="AD46" s="325">
        <f t="shared" si="50"/>
        <v>0</v>
      </c>
      <c r="AE46" s="284">
        <v>0</v>
      </c>
      <c r="AF46" s="325">
        <f t="shared" si="51"/>
        <v>0</v>
      </c>
      <c r="AG46" s="284">
        <f>'[2]Table 5C1G-JS Clark Academy'!AI46+'[14]Table 5C1G-JS Clark Academy'!AI46+(6*'[20]Table 5C1G-JS Clark Academy'!AI46)</f>
        <v>0</v>
      </c>
      <c r="AH46" s="284">
        <f t="shared" si="52"/>
        <v>0</v>
      </c>
      <c r="AI46" s="325">
        <f t="shared" si="60"/>
        <v>0</v>
      </c>
      <c r="AJ46" s="338">
        <f t="shared" si="53"/>
        <v>0</v>
      </c>
      <c r="AK46" s="343">
        <f t="shared" si="54"/>
        <v>0</v>
      </c>
      <c r="AM46" s="296">
        <v>0</v>
      </c>
      <c r="AN46" s="296">
        <f t="shared" si="55"/>
        <v>0</v>
      </c>
      <c r="AO46" s="296">
        <f t="shared" si="56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2.1.14'!P43</f>
        <v>0</v>
      </c>
      <c r="D47" s="208">
        <f>+'Table 5C1A-Madison Prep'!D47</f>
        <v>3291.1948574716475</v>
      </c>
      <c r="E47" s="209">
        <f t="shared" si="36"/>
        <v>0</v>
      </c>
      <c r="F47" s="209">
        <f>+'Table 5C1A-Madison Prep'!F47</f>
        <v>886.22</v>
      </c>
      <c r="G47" s="209">
        <f t="shared" si="37"/>
        <v>0</v>
      </c>
      <c r="H47" s="344">
        <f t="shared" si="38"/>
        <v>0</v>
      </c>
      <c r="I47" s="990">
        <f>'[1]Oct midyear JS Clark'!K44</f>
        <v>0</v>
      </c>
      <c r="J47" s="210">
        <f>'[1]Feb midyear JS Clark'!K44</f>
        <v>0</v>
      </c>
      <c r="K47" s="211">
        <f t="shared" si="39"/>
        <v>0</v>
      </c>
      <c r="L47" s="344">
        <f t="shared" si="57"/>
        <v>0</v>
      </c>
      <c r="M47" s="273">
        <f t="shared" si="41"/>
        <v>0</v>
      </c>
      <c r="N47" s="344">
        <f t="shared" si="42"/>
        <v>0</v>
      </c>
      <c r="O47" s="208">
        <v>0</v>
      </c>
      <c r="P47" s="350">
        <f t="shared" si="43"/>
        <v>0</v>
      </c>
      <c r="Q47" s="210">
        <f>'[2]Table 5C1G-JS Clark Academy'!S47+'[14]Table 5C1G-JS Clark Academy'!S47+(6*'[20]Table 5C1G-JS Clark Academy'!S47)</f>
        <v>0</v>
      </c>
      <c r="R47" s="210">
        <f t="shared" si="44"/>
        <v>0</v>
      </c>
      <c r="S47" s="350">
        <f t="shared" si="58"/>
        <v>0</v>
      </c>
      <c r="T47" s="350">
        <f t="shared" si="45"/>
        <v>0</v>
      </c>
      <c r="U47" s="274">
        <f>'Table 5C1A-Madison Prep'!U47</f>
        <v>9422</v>
      </c>
      <c r="V47" s="327">
        <f t="shared" si="59"/>
        <v>0</v>
      </c>
      <c r="W47" s="994">
        <f>'[1]Oct midyear JS Clark'!E44</f>
        <v>0</v>
      </c>
      <c r="X47" s="276">
        <f t="shared" si="46"/>
        <v>0</v>
      </c>
      <c r="Y47" s="883">
        <f>'[1]Feb midyear JS Clark'!E44</f>
        <v>0</v>
      </c>
      <c r="Z47" s="276">
        <f t="shared" si="33"/>
        <v>0</v>
      </c>
      <c r="AA47" s="275">
        <f t="shared" si="47"/>
        <v>0</v>
      </c>
      <c r="AB47" s="323">
        <f t="shared" si="48"/>
        <v>0</v>
      </c>
      <c r="AC47" s="278">
        <f t="shared" si="49"/>
        <v>0</v>
      </c>
      <c r="AD47" s="323">
        <f t="shared" si="50"/>
        <v>0</v>
      </c>
      <c r="AE47" s="279">
        <v>0</v>
      </c>
      <c r="AF47" s="323">
        <f t="shared" si="51"/>
        <v>0</v>
      </c>
      <c r="AG47" s="279">
        <f>'[2]Table 5C1G-JS Clark Academy'!AI47+'[14]Table 5C1G-JS Clark Academy'!AI47+(6*'[20]Table 5C1G-JS Clark Academy'!AI47)</f>
        <v>0</v>
      </c>
      <c r="AH47" s="279">
        <f t="shared" si="52"/>
        <v>0</v>
      </c>
      <c r="AI47" s="323">
        <f t="shared" si="60"/>
        <v>0</v>
      </c>
      <c r="AJ47" s="337">
        <f t="shared" si="53"/>
        <v>0</v>
      </c>
      <c r="AK47" s="341">
        <f t="shared" si="54"/>
        <v>0</v>
      </c>
      <c r="AM47" s="273">
        <v>0</v>
      </c>
      <c r="AN47" s="273">
        <f t="shared" si="55"/>
        <v>0</v>
      </c>
      <c r="AO47" s="273">
        <f t="shared" si="56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2.1.14'!P44</f>
        <v>0</v>
      </c>
      <c r="D48" s="201">
        <f>+'Table 5C1A-Madison Prep'!D48</f>
        <v>5113.6077751368684</v>
      </c>
      <c r="E48" s="202">
        <f t="shared" si="36"/>
        <v>0</v>
      </c>
      <c r="F48" s="202">
        <f>+'Table 5C1A-Madison Prep'!F48</f>
        <v>534.28</v>
      </c>
      <c r="G48" s="202">
        <f t="shared" si="37"/>
        <v>0</v>
      </c>
      <c r="H48" s="345">
        <f t="shared" si="38"/>
        <v>0</v>
      </c>
      <c r="I48" s="991">
        <f>'[1]Oct midyear JS Clark'!K45</f>
        <v>0</v>
      </c>
      <c r="J48" s="203">
        <f>'[1]Feb midyear JS Clark'!K45</f>
        <v>0</v>
      </c>
      <c r="K48" s="204">
        <f t="shared" si="39"/>
        <v>0</v>
      </c>
      <c r="L48" s="345">
        <f t="shared" si="57"/>
        <v>0</v>
      </c>
      <c r="M48" s="286">
        <f t="shared" si="41"/>
        <v>0</v>
      </c>
      <c r="N48" s="345">
        <f t="shared" si="42"/>
        <v>0</v>
      </c>
      <c r="O48" s="201">
        <v>0</v>
      </c>
      <c r="P48" s="351">
        <f t="shared" si="43"/>
        <v>0</v>
      </c>
      <c r="Q48" s="203">
        <f>'[2]Table 5C1G-JS Clark Academy'!S48+'[14]Table 5C1G-JS Clark Academy'!S48+(6*'[20]Table 5C1G-JS Clark Academy'!S48)</f>
        <v>0</v>
      </c>
      <c r="R48" s="203">
        <f t="shared" si="44"/>
        <v>0</v>
      </c>
      <c r="S48" s="351">
        <f t="shared" si="58"/>
        <v>0</v>
      </c>
      <c r="T48" s="351">
        <f t="shared" si="45"/>
        <v>0</v>
      </c>
      <c r="U48" s="287">
        <f>'Table 5C1A-Madison Prep'!U48</f>
        <v>3415</v>
      </c>
      <c r="V48" s="328">
        <f t="shared" si="59"/>
        <v>0</v>
      </c>
      <c r="W48" s="995">
        <f>'[1]Oct midyear JS Clark'!E45</f>
        <v>0</v>
      </c>
      <c r="X48" s="290">
        <f t="shared" si="46"/>
        <v>0</v>
      </c>
      <c r="Y48" s="289">
        <f>'[1]Feb midyear JS Clark'!E45</f>
        <v>0</v>
      </c>
      <c r="Z48" s="290">
        <f t="shared" si="33"/>
        <v>0</v>
      </c>
      <c r="AA48" s="288">
        <f t="shared" si="47"/>
        <v>0</v>
      </c>
      <c r="AB48" s="324">
        <f t="shared" si="48"/>
        <v>0</v>
      </c>
      <c r="AC48" s="292">
        <f t="shared" si="49"/>
        <v>0</v>
      </c>
      <c r="AD48" s="324">
        <f t="shared" si="50"/>
        <v>0</v>
      </c>
      <c r="AE48" s="293">
        <v>0</v>
      </c>
      <c r="AF48" s="324">
        <f t="shared" si="51"/>
        <v>0</v>
      </c>
      <c r="AG48" s="293">
        <f>'[2]Table 5C1G-JS Clark Academy'!AI48+'[14]Table 5C1G-JS Clark Academy'!AI48+(6*'[20]Table 5C1G-JS Clark Academy'!AI48)</f>
        <v>0</v>
      </c>
      <c r="AH48" s="293">
        <f t="shared" si="52"/>
        <v>0</v>
      </c>
      <c r="AI48" s="324">
        <f t="shared" si="60"/>
        <v>0</v>
      </c>
      <c r="AJ48" s="321">
        <f t="shared" si="53"/>
        <v>0</v>
      </c>
      <c r="AK48" s="342">
        <f t="shared" si="54"/>
        <v>0</v>
      </c>
      <c r="AM48" s="286">
        <v>0</v>
      </c>
      <c r="AN48" s="286">
        <f t="shared" si="55"/>
        <v>0</v>
      </c>
      <c r="AO48" s="286">
        <f t="shared" si="56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2.1.14'!P45</f>
        <v>0</v>
      </c>
      <c r="D49" s="201">
        <f>+'Table 5C1A-Madison Prep'!D49</f>
        <v>5788.74387205947</v>
      </c>
      <c r="E49" s="202">
        <f t="shared" si="36"/>
        <v>0</v>
      </c>
      <c r="F49" s="202">
        <f>+'Table 5C1A-Madison Prep'!F49</f>
        <v>574.6099999999999</v>
      </c>
      <c r="G49" s="202">
        <f t="shared" si="37"/>
        <v>0</v>
      </c>
      <c r="H49" s="345">
        <f t="shared" si="38"/>
        <v>0</v>
      </c>
      <c r="I49" s="991">
        <f>'[1]Oct midyear JS Clark'!K46</f>
        <v>0</v>
      </c>
      <c r="J49" s="203">
        <f>'[1]Feb midyear JS Clark'!K46</f>
        <v>0</v>
      </c>
      <c r="K49" s="204">
        <f t="shared" si="39"/>
        <v>0</v>
      </c>
      <c r="L49" s="345">
        <f t="shared" si="57"/>
        <v>0</v>
      </c>
      <c r="M49" s="286">
        <f t="shared" si="41"/>
        <v>0</v>
      </c>
      <c r="N49" s="345">
        <f t="shared" si="42"/>
        <v>0</v>
      </c>
      <c r="O49" s="201">
        <v>0</v>
      </c>
      <c r="P49" s="351">
        <f t="shared" si="43"/>
        <v>0</v>
      </c>
      <c r="Q49" s="203">
        <f>'[2]Table 5C1G-JS Clark Academy'!S49+'[14]Table 5C1G-JS Clark Academy'!S49+(6*'[20]Table 5C1G-JS Clark Academy'!S49)</f>
        <v>0</v>
      </c>
      <c r="R49" s="203">
        <f t="shared" si="44"/>
        <v>0</v>
      </c>
      <c r="S49" s="351">
        <f t="shared" si="58"/>
        <v>0</v>
      </c>
      <c r="T49" s="351">
        <f t="shared" si="45"/>
        <v>0</v>
      </c>
      <c r="U49" s="287">
        <f>'Table 5C1A-Madison Prep'!U49</f>
        <v>3334</v>
      </c>
      <c r="V49" s="328">
        <f t="shared" si="59"/>
        <v>0</v>
      </c>
      <c r="W49" s="995">
        <f>'[1]Oct midyear JS Clark'!E46</f>
        <v>0</v>
      </c>
      <c r="X49" s="290">
        <f t="shared" si="46"/>
        <v>0</v>
      </c>
      <c r="Y49" s="289">
        <f>'[1]Feb midyear JS Clark'!E46</f>
        <v>0</v>
      </c>
      <c r="Z49" s="290">
        <f t="shared" si="33"/>
        <v>0</v>
      </c>
      <c r="AA49" s="288">
        <f t="shared" si="47"/>
        <v>0</v>
      </c>
      <c r="AB49" s="324">
        <f t="shared" si="48"/>
        <v>0</v>
      </c>
      <c r="AC49" s="292">
        <f t="shared" si="49"/>
        <v>0</v>
      </c>
      <c r="AD49" s="324">
        <f t="shared" si="50"/>
        <v>0</v>
      </c>
      <c r="AE49" s="293">
        <v>0</v>
      </c>
      <c r="AF49" s="324">
        <f t="shared" si="51"/>
        <v>0</v>
      </c>
      <c r="AG49" s="293">
        <f>'[2]Table 5C1G-JS Clark Academy'!AI49+'[14]Table 5C1G-JS Clark Academy'!AI49+(6*'[20]Table 5C1G-JS Clark Academy'!AI49)</f>
        <v>0</v>
      </c>
      <c r="AH49" s="293">
        <f t="shared" si="52"/>
        <v>0</v>
      </c>
      <c r="AI49" s="324">
        <f t="shared" si="60"/>
        <v>0</v>
      </c>
      <c r="AJ49" s="321">
        <f t="shared" si="53"/>
        <v>0</v>
      </c>
      <c r="AK49" s="342">
        <f t="shared" si="54"/>
        <v>0</v>
      </c>
      <c r="AM49" s="286">
        <v>0</v>
      </c>
      <c r="AN49" s="286">
        <f t="shared" si="55"/>
        <v>0</v>
      </c>
      <c r="AO49" s="286">
        <f t="shared" si="56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2.1.14'!P46</f>
        <v>0</v>
      </c>
      <c r="D50" s="201">
        <f>+'Table 5C1A-Madison Prep'!D50</f>
        <v>4897.5958151820359</v>
      </c>
      <c r="E50" s="202">
        <f t="shared" si="36"/>
        <v>0</v>
      </c>
      <c r="F50" s="202">
        <f>+'Table 5C1A-Madison Prep'!F50</f>
        <v>663.16000000000008</v>
      </c>
      <c r="G50" s="202">
        <f t="shared" si="37"/>
        <v>0</v>
      </c>
      <c r="H50" s="345">
        <f t="shared" si="38"/>
        <v>0</v>
      </c>
      <c r="I50" s="991">
        <f>'[1]Oct midyear JS Clark'!K47</f>
        <v>0</v>
      </c>
      <c r="J50" s="203">
        <f>'[1]Feb midyear JS Clark'!K47</f>
        <v>0</v>
      </c>
      <c r="K50" s="204">
        <f t="shared" si="39"/>
        <v>0</v>
      </c>
      <c r="L50" s="345">
        <f t="shared" si="57"/>
        <v>0</v>
      </c>
      <c r="M50" s="286">
        <f t="shared" si="41"/>
        <v>0</v>
      </c>
      <c r="N50" s="345">
        <f t="shared" si="42"/>
        <v>0</v>
      </c>
      <c r="O50" s="201">
        <v>0</v>
      </c>
      <c r="P50" s="351">
        <f t="shared" si="43"/>
        <v>0</v>
      </c>
      <c r="Q50" s="203">
        <f>'[2]Table 5C1G-JS Clark Academy'!S50+'[14]Table 5C1G-JS Clark Academy'!S50+(6*'[20]Table 5C1G-JS Clark Academy'!S50)</f>
        <v>0</v>
      </c>
      <c r="R50" s="203">
        <f t="shared" si="44"/>
        <v>0</v>
      </c>
      <c r="S50" s="351">
        <f t="shared" si="58"/>
        <v>0</v>
      </c>
      <c r="T50" s="351">
        <f t="shared" si="45"/>
        <v>0</v>
      </c>
      <c r="U50" s="287">
        <f>'Table 5C1A-Madison Prep'!U50</f>
        <v>3587</v>
      </c>
      <c r="V50" s="328">
        <f t="shared" si="59"/>
        <v>0</v>
      </c>
      <c r="W50" s="995">
        <f>'[1]Oct midyear JS Clark'!E47</f>
        <v>0</v>
      </c>
      <c r="X50" s="290">
        <f t="shared" si="46"/>
        <v>0</v>
      </c>
      <c r="Y50" s="289">
        <f>'[1]Feb midyear JS Clark'!E47</f>
        <v>0</v>
      </c>
      <c r="Z50" s="290">
        <f t="shared" si="33"/>
        <v>0</v>
      </c>
      <c r="AA50" s="288">
        <f t="shared" si="47"/>
        <v>0</v>
      </c>
      <c r="AB50" s="324">
        <f t="shared" si="48"/>
        <v>0</v>
      </c>
      <c r="AC50" s="292">
        <f t="shared" si="49"/>
        <v>0</v>
      </c>
      <c r="AD50" s="324">
        <f t="shared" si="50"/>
        <v>0</v>
      </c>
      <c r="AE50" s="293">
        <v>0</v>
      </c>
      <c r="AF50" s="324">
        <f t="shared" si="51"/>
        <v>0</v>
      </c>
      <c r="AG50" s="293">
        <f>'[2]Table 5C1G-JS Clark Academy'!AI50+'[14]Table 5C1G-JS Clark Academy'!AI50+(6*'[20]Table 5C1G-JS Clark Academy'!AI50)</f>
        <v>0</v>
      </c>
      <c r="AH50" s="293">
        <f t="shared" si="52"/>
        <v>0</v>
      </c>
      <c r="AI50" s="324">
        <f t="shared" si="60"/>
        <v>0</v>
      </c>
      <c r="AJ50" s="321">
        <f t="shared" si="53"/>
        <v>0</v>
      </c>
      <c r="AK50" s="342">
        <f t="shared" si="54"/>
        <v>0</v>
      </c>
      <c r="AM50" s="286">
        <v>0</v>
      </c>
      <c r="AN50" s="286">
        <f t="shared" si="55"/>
        <v>0</v>
      </c>
      <c r="AO50" s="286">
        <f t="shared" si="56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2.1.14'!P47</f>
        <v>0</v>
      </c>
      <c r="D51" s="194">
        <f>+'Table 5C1A-Madison Prep'!D51</f>
        <v>2054.0472499469101</v>
      </c>
      <c r="E51" s="195">
        <f t="shared" si="36"/>
        <v>0</v>
      </c>
      <c r="F51" s="195">
        <f>+'Table 5C1A-Madison Prep'!F51</f>
        <v>753.96000000000015</v>
      </c>
      <c r="G51" s="195">
        <f t="shared" si="37"/>
        <v>0</v>
      </c>
      <c r="H51" s="346">
        <f t="shared" si="38"/>
        <v>0</v>
      </c>
      <c r="I51" s="992">
        <f>'[1]Oct midyear JS Clark'!K48</f>
        <v>0</v>
      </c>
      <c r="J51" s="196">
        <f>'[1]Feb midyear JS Clark'!K48</f>
        <v>0</v>
      </c>
      <c r="K51" s="197">
        <f t="shared" si="39"/>
        <v>0</v>
      </c>
      <c r="L51" s="346">
        <f t="shared" si="57"/>
        <v>0</v>
      </c>
      <c r="M51" s="296">
        <f t="shared" si="41"/>
        <v>0</v>
      </c>
      <c r="N51" s="346">
        <f t="shared" si="42"/>
        <v>0</v>
      </c>
      <c r="O51" s="194">
        <v>0</v>
      </c>
      <c r="P51" s="352">
        <f t="shared" si="43"/>
        <v>0</v>
      </c>
      <c r="Q51" s="622">
        <f>'[2]Table 5C1G-JS Clark Academy'!S51+'[14]Table 5C1G-JS Clark Academy'!S51+(6*'[20]Table 5C1G-JS Clark Academy'!S51)</f>
        <v>0</v>
      </c>
      <c r="R51" s="196">
        <f t="shared" si="44"/>
        <v>0</v>
      </c>
      <c r="S51" s="356">
        <f t="shared" si="58"/>
        <v>0</v>
      </c>
      <c r="T51" s="356">
        <f t="shared" si="45"/>
        <v>0</v>
      </c>
      <c r="U51" s="281">
        <f>'Table 5C1A-Madison Prep'!U51</f>
        <v>12134</v>
      </c>
      <c r="V51" s="329">
        <f t="shared" si="59"/>
        <v>0</v>
      </c>
      <c r="W51" s="996">
        <f>'[1]Oct midyear JS Clark'!E48</f>
        <v>0</v>
      </c>
      <c r="X51" s="282">
        <f t="shared" si="46"/>
        <v>0</v>
      </c>
      <c r="Y51" s="884">
        <f>'[1]Feb midyear JS Clark'!E48</f>
        <v>0</v>
      </c>
      <c r="Z51" s="282">
        <f t="shared" si="33"/>
        <v>0</v>
      </c>
      <c r="AA51" s="283">
        <f t="shared" si="47"/>
        <v>0</v>
      </c>
      <c r="AB51" s="325">
        <f t="shared" si="48"/>
        <v>0</v>
      </c>
      <c r="AC51" s="298">
        <f t="shared" si="49"/>
        <v>0</v>
      </c>
      <c r="AD51" s="325">
        <f t="shared" si="50"/>
        <v>0</v>
      </c>
      <c r="AE51" s="284">
        <v>0</v>
      </c>
      <c r="AF51" s="325">
        <f t="shared" si="51"/>
        <v>0</v>
      </c>
      <c r="AG51" s="284">
        <f>'[2]Table 5C1G-JS Clark Academy'!AI51+'[14]Table 5C1G-JS Clark Academy'!AI51+(6*'[20]Table 5C1G-JS Clark Academy'!AI51)</f>
        <v>0</v>
      </c>
      <c r="AH51" s="284">
        <f t="shared" si="52"/>
        <v>0</v>
      </c>
      <c r="AI51" s="325">
        <f t="shared" si="60"/>
        <v>0</v>
      </c>
      <c r="AJ51" s="338">
        <f t="shared" si="53"/>
        <v>0</v>
      </c>
      <c r="AK51" s="343">
        <f t="shared" si="54"/>
        <v>0</v>
      </c>
      <c r="AM51" s="296">
        <v>0</v>
      </c>
      <c r="AN51" s="296">
        <f t="shared" si="55"/>
        <v>0</v>
      </c>
      <c r="AO51" s="296">
        <f t="shared" si="56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2.1.14'!P48</f>
        <v>0</v>
      </c>
      <c r="D52" s="208">
        <f>+'Table 5C1A-Madison Prep'!D52</f>
        <v>6051.2144468088381</v>
      </c>
      <c r="E52" s="209">
        <f t="shared" si="36"/>
        <v>0</v>
      </c>
      <c r="F52" s="209">
        <f>+'Table 5C1A-Madison Prep'!F52</f>
        <v>728.06</v>
      </c>
      <c r="G52" s="209">
        <f t="shared" si="37"/>
        <v>0</v>
      </c>
      <c r="H52" s="344">
        <f t="shared" si="38"/>
        <v>0</v>
      </c>
      <c r="I52" s="990">
        <f>'[1]Oct midyear JS Clark'!K49</f>
        <v>0</v>
      </c>
      <c r="J52" s="210">
        <f>'[1]Feb midyear JS Clark'!K49</f>
        <v>0</v>
      </c>
      <c r="K52" s="211">
        <f t="shared" si="39"/>
        <v>0</v>
      </c>
      <c r="L52" s="344">
        <f t="shared" si="57"/>
        <v>0</v>
      </c>
      <c r="M52" s="273">
        <f t="shared" si="41"/>
        <v>0</v>
      </c>
      <c r="N52" s="344">
        <f t="shared" si="42"/>
        <v>0</v>
      </c>
      <c r="O52" s="208">
        <v>0</v>
      </c>
      <c r="P52" s="350">
        <f t="shared" si="43"/>
        <v>0</v>
      </c>
      <c r="Q52" s="210">
        <f>'[2]Table 5C1G-JS Clark Academy'!S52+'[14]Table 5C1G-JS Clark Academy'!S52+(6*'[20]Table 5C1G-JS Clark Academy'!S52)</f>
        <v>0</v>
      </c>
      <c r="R52" s="210">
        <f t="shared" si="44"/>
        <v>0</v>
      </c>
      <c r="S52" s="350">
        <f t="shared" si="58"/>
        <v>0</v>
      </c>
      <c r="T52" s="350">
        <f t="shared" si="45"/>
        <v>0</v>
      </c>
      <c r="U52" s="274">
        <f>'Table 5C1A-Madison Prep'!U52</f>
        <v>2554</v>
      </c>
      <c r="V52" s="327">
        <f t="shared" si="59"/>
        <v>0</v>
      </c>
      <c r="W52" s="994">
        <f>'[1]Oct midyear JS Clark'!E49</f>
        <v>0</v>
      </c>
      <c r="X52" s="276">
        <f t="shared" si="46"/>
        <v>0</v>
      </c>
      <c r="Y52" s="883">
        <f>'[1]Feb midyear JS Clark'!E49</f>
        <v>0</v>
      </c>
      <c r="Z52" s="276">
        <f t="shared" si="33"/>
        <v>0</v>
      </c>
      <c r="AA52" s="275">
        <f t="shared" si="47"/>
        <v>0</v>
      </c>
      <c r="AB52" s="323">
        <f t="shared" si="48"/>
        <v>0</v>
      </c>
      <c r="AC52" s="278">
        <f t="shared" si="49"/>
        <v>0</v>
      </c>
      <c r="AD52" s="323">
        <f t="shared" si="50"/>
        <v>0</v>
      </c>
      <c r="AE52" s="279">
        <v>0</v>
      </c>
      <c r="AF52" s="323">
        <f t="shared" si="51"/>
        <v>0</v>
      </c>
      <c r="AG52" s="279">
        <f>'[2]Table 5C1G-JS Clark Academy'!AI52+'[14]Table 5C1G-JS Clark Academy'!AI52+(6*'[20]Table 5C1G-JS Clark Academy'!AI52)</f>
        <v>0</v>
      </c>
      <c r="AH52" s="279">
        <f t="shared" si="52"/>
        <v>0</v>
      </c>
      <c r="AI52" s="323">
        <f t="shared" si="60"/>
        <v>0</v>
      </c>
      <c r="AJ52" s="337">
        <f t="shared" si="53"/>
        <v>0</v>
      </c>
      <c r="AK52" s="341">
        <f t="shared" si="54"/>
        <v>0</v>
      </c>
      <c r="AM52" s="273">
        <v>0</v>
      </c>
      <c r="AN52" s="273">
        <f t="shared" si="55"/>
        <v>0</v>
      </c>
      <c r="AO52" s="273">
        <f t="shared" si="56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2.1.14'!P49</f>
        <v>0</v>
      </c>
      <c r="D53" s="201">
        <f>+'Table 5C1A-Madison Prep'!D53</f>
        <v>2524.1485257646736</v>
      </c>
      <c r="E53" s="202">
        <f t="shared" si="36"/>
        <v>0</v>
      </c>
      <c r="F53" s="202">
        <f>+'Table 5C1A-Madison Prep'!F53</f>
        <v>910.76</v>
      </c>
      <c r="G53" s="202">
        <f t="shared" si="37"/>
        <v>0</v>
      </c>
      <c r="H53" s="345">
        <f t="shared" si="38"/>
        <v>0</v>
      </c>
      <c r="I53" s="991">
        <f>'[1]Oct midyear JS Clark'!K50</f>
        <v>0</v>
      </c>
      <c r="J53" s="203">
        <f>'[1]Feb midyear JS Clark'!K50</f>
        <v>0</v>
      </c>
      <c r="K53" s="204">
        <f t="shared" si="39"/>
        <v>0</v>
      </c>
      <c r="L53" s="345">
        <f t="shared" si="57"/>
        <v>0</v>
      </c>
      <c r="M53" s="286">
        <f t="shared" si="41"/>
        <v>0</v>
      </c>
      <c r="N53" s="345">
        <f t="shared" si="42"/>
        <v>0</v>
      </c>
      <c r="O53" s="201">
        <v>0</v>
      </c>
      <c r="P53" s="351">
        <f t="shared" si="43"/>
        <v>0</v>
      </c>
      <c r="Q53" s="203">
        <f>'[2]Table 5C1G-JS Clark Academy'!S53+'[14]Table 5C1G-JS Clark Academy'!S53+(6*'[20]Table 5C1G-JS Clark Academy'!S53)</f>
        <v>0</v>
      </c>
      <c r="R53" s="203">
        <f t="shared" si="44"/>
        <v>0</v>
      </c>
      <c r="S53" s="351">
        <f t="shared" si="58"/>
        <v>0</v>
      </c>
      <c r="T53" s="351">
        <f t="shared" si="45"/>
        <v>0</v>
      </c>
      <c r="U53" s="287">
        <f>'Table 5C1A-Madison Prep'!U53</f>
        <v>11506</v>
      </c>
      <c r="V53" s="328">
        <f t="shared" si="59"/>
        <v>0</v>
      </c>
      <c r="W53" s="995">
        <f>'[1]Oct midyear JS Clark'!E50</f>
        <v>0</v>
      </c>
      <c r="X53" s="290">
        <f t="shared" si="46"/>
        <v>0</v>
      </c>
      <c r="Y53" s="289">
        <f>'[1]Feb midyear JS Clark'!E50</f>
        <v>0</v>
      </c>
      <c r="Z53" s="290">
        <f t="shared" si="33"/>
        <v>0</v>
      </c>
      <c r="AA53" s="288">
        <f t="shared" si="47"/>
        <v>0</v>
      </c>
      <c r="AB53" s="324">
        <f t="shared" si="48"/>
        <v>0</v>
      </c>
      <c r="AC53" s="292">
        <f t="shared" si="49"/>
        <v>0</v>
      </c>
      <c r="AD53" s="324">
        <f t="shared" si="50"/>
        <v>0</v>
      </c>
      <c r="AE53" s="293">
        <v>0</v>
      </c>
      <c r="AF53" s="324">
        <f t="shared" si="51"/>
        <v>0</v>
      </c>
      <c r="AG53" s="293">
        <f>'[2]Table 5C1G-JS Clark Academy'!AI53+'[14]Table 5C1G-JS Clark Academy'!AI53+(6*'[20]Table 5C1G-JS Clark Academy'!AI53)</f>
        <v>0</v>
      </c>
      <c r="AH53" s="293">
        <f t="shared" si="52"/>
        <v>0</v>
      </c>
      <c r="AI53" s="324">
        <f t="shared" si="60"/>
        <v>0</v>
      </c>
      <c r="AJ53" s="321">
        <f t="shared" si="53"/>
        <v>0</v>
      </c>
      <c r="AK53" s="342">
        <f t="shared" si="54"/>
        <v>0</v>
      </c>
      <c r="AM53" s="286">
        <v>0</v>
      </c>
      <c r="AN53" s="286">
        <f t="shared" si="55"/>
        <v>0</v>
      </c>
      <c r="AO53" s="286">
        <f t="shared" si="56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2.1.14'!P50</f>
        <v>0</v>
      </c>
      <c r="D54" s="201">
        <f>+'Table 5C1A-Madison Prep'!D54</f>
        <v>3983.3582529800719</v>
      </c>
      <c r="E54" s="202">
        <f t="shared" si="36"/>
        <v>0</v>
      </c>
      <c r="F54" s="202">
        <f>+'Table 5C1A-Madison Prep'!F54</f>
        <v>871.07</v>
      </c>
      <c r="G54" s="202">
        <f t="shared" si="37"/>
        <v>0</v>
      </c>
      <c r="H54" s="345">
        <f t="shared" si="38"/>
        <v>0</v>
      </c>
      <c r="I54" s="991">
        <f>'[1]Oct midyear JS Clark'!K51</f>
        <v>0</v>
      </c>
      <c r="J54" s="203">
        <f>'[1]Feb midyear JS Clark'!K51</f>
        <v>0</v>
      </c>
      <c r="K54" s="204">
        <f t="shared" si="39"/>
        <v>0</v>
      </c>
      <c r="L54" s="345">
        <f t="shared" si="57"/>
        <v>0</v>
      </c>
      <c r="M54" s="286">
        <f t="shared" si="41"/>
        <v>0</v>
      </c>
      <c r="N54" s="345">
        <f t="shared" si="42"/>
        <v>0</v>
      </c>
      <c r="O54" s="201">
        <v>0</v>
      </c>
      <c r="P54" s="351">
        <f t="shared" si="43"/>
        <v>0</v>
      </c>
      <c r="Q54" s="203">
        <f>'[2]Table 5C1G-JS Clark Academy'!S54+'[14]Table 5C1G-JS Clark Academy'!S54+(6*'[20]Table 5C1G-JS Clark Academy'!S54)</f>
        <v>0</v>
      </c>
      <c r="R54" s="203">
        <f t="shared" si="44"/>
        <v>0</v>
      </c>
      <c r="S54" s="351">
        <f t="shared" si="58"/>
        <v>0</v>
      </c>
      <c r="T54" s="351">
        <f t="shared" si="45"/>
        <v>0</v>
      </c>
      <c r="U54" s="287">
        <f>'Table 5C1A-Madison Prep'!U54</f>
        <v>6827</v>
      </c>
      <c r="V54" s="328">
        <f t="shared" si="59"/>
        <v>0</v>
      </c>
      <c r="W54" s="995">
        <f>'[1]Oct midyear JS Clark'!E51</f>
        <v>0</v>
      </c>
      <c r="X54" s="290">
        <f t="shared" si="46"/>
        <v>0</v>
      </c>
      <c r="Y54" s="289">
        <f>'[1]Feb midyear JS Clark'!E51</f>
        <v>0</v>
      </c>
      <c r="Z54" s="290">
        <f t="shared" si="33"/>
        <v>0</v>
      </c>
      <c r="AA54" s="288">
        <f t="shared" si="47"/>
        <v>0</v>
      </c>
      <c r="AB54" s="324">
        <f t="shared" si="48"/>
        <v>0</v>
      </c>
      <c r="AC54" s="292">
        <f t="shared" si="49"/>
        <v>0</v>
      </c>
      <c r="AD54" s="324">
        <f t="shared" si="50"/>
        <v>0</v>
      </c>
      <c r="AE54" s="293">
        <v>0</v>
      </c>
      <c r="AF54" s="324">
        <f t="shared" si="51"/>
        <v>0</v>
      </c>
      <c r="AG54" s="293">
        <f>'[2]Table 5C1G-JS Clark Academy'!AI54+'[14]Table 5C1G-JS Clark Academy'!AI54+(6*'[20]Table 5C1G-JS Clark Academy'!AI54)</f>
        <v>0</v>
      </c>
      <c r="AH54" s="293">
        <f t="shared" si="52"/>
        <v>0</v>
      </c>
      <c r="AI54" s="324">
        <f t="shared" si="60"/>
        <v>0</v>
      </c>
      <c r="AJ54" s="321">
        <f t="shared" si="53"/>
        <v>0</v>
      </c>
      <c r="AK54" s="342">
        <f t="shared" si="54"/>
        <v>0</v>
      </c>
      <c r="AM54" s="286">
        <v>0</v>
      </c>
      <c r="AN54" s="286">
        <f t="shared" si="55"/>
        <v>0</v>
      </c>
      <c r="AO54" s="286">
        <f t="shared" si="56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2.1.14'!P51</f>
        <v>195</v>
      </c>
      <c r="D55" s="201">
        <f>+'Table 5C1A-Madison Prep'!D55</f>
        <v>4995.8755315659191</v>
      </c>
      <c r="E55" s="202">
        <f t="shared" si="36"/>
        <v>974195.72865535424</v>
      </c>
      <c r="F55" s="202">
        <f>+'Table 5C1A-Madison Prep'!F55</f>
        <v>574.43999999999994</v>
      </c>
      <c r="G55" s="202">
        <f t="shared" si="37"/>
        <v>112015.79999999999</v>
      </c>
      <c r="H55" s="345">
        <f t="shared" si="38"/>
        <v>1086211.5286553542</v>
      </c>
      <c r="I55" s="991">
        <f>'[1]Oct midyear JS Clark'!K52</f>
        <v>128117.25722601613</v>
      </c>
      <c r="J55" s="203">
        <f>'[1]Feb midyear JS Clark'!K52</f>
        <v>-30636.735423612554</v>
      </c>
      <c r="K55" s="204">
        <f t="shared" si="39"/>
        <v>97480.521802403571</v>
      </c>
      <c r="L55" s="345">
        <f t="shared" si="57"/>
        <v>1183692.0504577577</v>
      </c>
      <c r="M55" s="286">
        <f t="shared" si="41"/>
        <v>-2959.230126144394</v>
      </c>
      <c r="N55" s="345">
        <f t="shared" si="42"/>
        <v>1180732.8203316133</v>
      </c>
      <c r="O55" s="201">
        <f>32467-2697</f>
        <v>29770</v>
      </c>
      <c r="P55" s="351">
        <f t="shared" si="43"/>
        <v>1210502.8203316133</v>
      </c>
      <c r="Q55" s="203">
        <f>'[2]Table 5C1G-JS Clark Academy'!S55+'[14]Table 5C1G-JS Clark Academy'!S55+(6*'[20]Table 5C1G-JS Clark Academy'!S55)</f>
        <v>940693</v>
      </c>
      <c r="R55" s="203">
        <f t="shared" si="44"/>
        <v>269809.8203316133</v>
      </c>
      <c r="S55" s="351">
        <f t="shared" si="58"/>
        <v>67452</v>
      </c>
      <c r="T55" s="351">
        <f t="shared" si="45"/>
        <v>1210502.8203316133</v>
      </c>
      <c r="U55" s="287">
        <f>'Table 5C1A-Madison Prep'!U55</f>
        <v>2399</v>
      </c>
      <c r="V55" s="328">
        <f t="shared" si="59"/>
        <v>467805</v>
      </c>
      <c r="W55" s="995">
        <f>'[1]Oct midyear JS Clark'!E52</f>
        <v>23</v>
      </c>
      <c r="X55" s="290">
        <f t="shared" si="46"/>
        <v>55177</v>
      </c>
      <c r="Y55" s="289">
        <f>'[1]Feb midyear JS Clark'!E52</f>
        <v>-11</v>
      </c>
      <c r="Z55" s="290">
        <f t="shared" si="33"/>
        <v>-13194.5</v>
      </c>
      <c r="AA55" s="288">
        <f t="shared" si="47"/>
        <v>41982.5</v>
      </c>
      <c r="AB55" s="324">
        <f t="shared" si="48"/>
        <v>509787.5</v>
      </c>
      <c r="AC55" s="292">
        <f t="shared" si="49"/>
        <v>-1274.46875</v>
      </c>
      <c r="AD55" s="324">
        <f t="shared" si="50"/>
        <v>508513.03125</v>
      </c>
      <c r="AE55" s="293">
        <f>-1172.5+14412</f>
        <v>13239.5</v>
      </c>
      <c r="AF55" s="324">
        <f t="shared" si="51"/>
        <v>521752.53125</v>
      </c>
      <c r="AG55" s="293">
        <f>'[2]Table 5C1G-JS Clark Academy'!AI55+'[14]Table 5C1G-JS Clark Academy'!AI55+(6*'[20]Table 5C1G-JS Clark Academy'!AI55)</f>
        <v>397809</v>
      </c>
      <c r="AH55" s="293">
        <f t="shared" si="52"/>
        <v>123943.53125</v>
      </c>
      <c r="AI55" s="324">
        <f t="shared" si="60"/>
        <v>30986</v>
      </c>
      <c r="AJ55" s="321">
        <f t="shared" si="53"/>
        <v>1732255.3515816133</v>
      </c>
      <c r="AK55" s="342">
        <f t="shared" si="54"/>
        <v>98438</v>
      </c>
      <c r="AM55" s="286">
        <v>-1147.0875000000001</v>
      </c>
      <c r="AN55" s="286">
        <f t="shared" si="55"/>
        <v>-1274.46875</v>
      </c>
      <c r="AO55" s="286">
        <f t="shared" si="56"/>
        <v>-127.38124999999991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2.1.14'!P52</f>
        <v>0</v>
      </c>
      <c r="D56" s="194">
        <f>+'Table 5C1A-Madison Prep'!D56</f>
        <v>5177.6892722701677</v>
      </c>
      <c r="E56" s="195">
        <f t="shared" si="36"/>
        <v>0</v>
      </c>
      <c r="F56" s="195">
        <f>+'Table 5C1A-Madison Prep'!F56</f>
        <v>634.46</v>
      </c>
      <c r="G56" s="195">
        <f t="shared" si="37"/>
        <v>0</v>
      </c>
      <c r="H56" s="346">
        <f t="shared" si="38"/>
        <v>0</v>
      </c>
      <c r="I56" s="992">
        <f>'[1]Oct midyear JS Clark'!K53</f>
        <v>0</v>
      </c>
      <c r="J56" s="196">
        <f>'[1]Feb midyear JS Clark'!K53</f>
        <v>0</v>
      </c>
      <c r="K56" s="197">
        <f t="shared" si="39"/>
        <v>0</v>
      </c>
      <c r="L56" s="346">
        <f t="shared" si="57"/>
        <v>0</v>
      </c>
      <c r="M56" s="296">
        <f t="shared" si="41"/>
        <v>0</v>
      </c>
      <c r="N56" s="346">
        <f t="shared" si="42"/>
        <v>0</v>
      </c>
      <c r="O56" s="194">
        <v>0</v>
      </c>
      <c r="P56" s="352">
        <f t="shared" si="43"/>
        <v>0</v>
      </c>
      <c r="Q56" s="622">
        <f>'[2]Table 5C1G-JS Clark Academy'!S56+'[14]Table 5C1G-JS Clark Academy'!S56+(6*'[20]Table 5C1G-JS Clark Academy'!S56)</f>
        <v>0</v>
      </c>
      <c r="R56" s="196">
        <f t="shared" si="44"/>
        <v>0</v>
      </c>
      <c r="S56" s="356">
        <f t="shared" si="58"/>
        <v>0</v>
      </c>
      <c r="T56" s="356">
        <f t="shared" si="45"/>
        <v>0</v>
      </c>
      <c r="U56" s="281">
        <f>'Table 5C1A-Madison Prep'!U56</f>
        <v>3413</v>
      </c>
      <c r="V56" s="329">
        <f t="shared" si="59"/>
        <v>0</v>
      </c>
      <c r="W56" s="996">
        <f>'[1]Oct midyear JS Clark'!E53</f>
        <v>0</v>
      </c>
      <c r="X56" s="282">
        <f t="shared" si="46"/>
        <v>0</v>
      </c>
      <c r="Y56" s="884">
        <f>'[1]Feb midyear JS Clark'!E53</f>
        <v>0</v>
      </c>
      <c r="Z56" s="282">
        <f t="shared" si="33"/>
        <v>0</v>
      </c>
      <c r="AA56" s="283">
        <f t="shared" si="47"/>
        <v>0</v>
      </c>
      <c r="AB56" s="325">
        <f t="shared" si="48"/>
        <v>0</v>
      </c>
      <c r="AC56" s="298">
        <f t="shared" si="49"/>
        <v>0</v>
      </c>
      <c r="AD56" s="325">
        <f t="shared" si="50"/>
        <v>0</v>
      </c>
      <c r="AE56" s="284">
        <v>0</v>
      </c>
      <c r="AF56" s="325">
        <f t="shared" si="51"/>
        <v>0</v>
      </c>
      <c r="AG56" s="284">
        <f>'[2]Table 5C1G-JS Clark Academy'!AI56+'[14]Table 5C1G-JS Clark Academy'!AI56+(6*'[20]Table 5C1G-JS Clark Academy'!AI56)</f>
        <v>0</v>
      </c>
      <c r="AH56" s="284">
        <f t="shared" si="52"/>
        <v>0</v>
      </c>
      <c r="AI56" s="325">
        <f t="shared" si="60"/>
        <v>0</v>
      </c>
      <c r="AJ56" s="338">
        <f t="shared" si="53"/>
        <v>0</v>
      </c>
      <c r="AK56" s="343">
        <f t="shared" si="54"/>
        <v>0</v>
      </c>
      <c r="AM56" s="296">
        <v>0</v>
      </c>
      <c r="AN56" s="296">
        <f t="shared" si="55"/>
        <v>0</v>
      </c>
      <c r="AO56" s="296">
        <f t="shared" si="56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2.1.14'!P53</f>
        <v>0</v>
      </c>
      <c r="D57" s="208">
        <f>+'Table 5C1A-Madison Prep'!D57</f>
        <v>4154.1928602178996</v>
      </c>
      <c r="E57" s="209">
        <f t="shared" si="36"/>
        <v>0</v>
      </c>
      <c r="F57" s="209">
        <f>+'Table 5C1A-Madison Prep'!F57</f>
        <v>706.66</v>
      </c>
      <c r="G57" s="209">
        <f t="shared" si="37"/>
        <v>0</v>
      </c>
      <c r="H57" s="344">
        <f t="shared" si="38"/>
        <v>0</v>
      </c>
      <c r="I57" s="990">
        <f>'[1]Oct midyear JS Clark'!K54</f>
        <v>0</v>
      </c>
      <c r="J57" s="210">
        <f>'[1]Feb midyear JS Clark'!K54</f>
        <v>0</v>
      </c>
      <c r="K57" s="211">
        <f t="shared" si="39"/>
        <v>0</v>
      </c>
      <c r="L57" s="344">
        <f t="shared" si="57"/>
        <v>0</v>
      </c>
      <c r="M57" s="273">
        <f t="shared" si="41"/>
        <v>0</v>
      </c>
      <c r="N57" s="344">
        <f t="shared" si="42"/>
        <v>0</v>
      </c>
      <c r="O57" s="208">
        <v>0</v>
      </c>
      <c r="P57" s="350">
        <f t="shared" si="43"/>
        <v>0</v>
      </c>
      <c r="Q57" s="210">
        <f>'[2]Table 5C1G-JS Clark Academy'!S57+'[14]Table 5C1G-JS Clark Academy'!S57+(6*'[20]Table 5C1G-JS Clark Academy'!S57)</f>
        <v>0</v>
      </c>
      <c r="R57" s="210">
        <f t="shared" si="44"/>
        <v>0</v>
      </c>
      <c r="S57" s="350">
        <f t="shared" si="58"/>
        <v>0</v>
      </c>
      <c r="T57" s="350">
        <f t="shared" si="45"/>
        <v>0</v>
      </c>
      <c r="U57" s="274">
        <f>'Table 5C1A-Madison Prep'!U57</f>
        <v>4512</v>
      </c>
      <c r="V57" s="327">
        <f t="shared" si="59"/>
        <v>0</v>
      </c>
      <c r="W57" s="994">
        <f>'[1]Oct midyear JS Clark'!E54</f>
        <v>0</v>
      </c>
      <c r="X57" s="276">
        <f t="shared" si="46"/>
        <v>0</v>
      </c>
      <c r="Y57" s="883">
        <f>'[1]Feb midyear JS Clark'!E54</f>
        <v>0</v>
      </c>
      <c r="Z57" s="276">
        <f t="shared" si="33"/>
        <v>0</v>
      </c>
      <c r="AA57" s="275">
        <f t="shared" si="47"/>
        <v>0</v>
      </c>
      <c r="AB57" s="323">
        <f t="shared" si="48"/>
        <v>0</v>
      </c>
      <c r="AC57" s="278">
        <f t="shared" si="49"/>
        <v>0</v>
      </c>
      <c r="AD57" s="323">
        <f t="shared" si="50"/>
        <v>0</v>
      </c>
      <c r="AE57" s="279">
        <v>0</v>
      </c>
      <c r="AF57" s="323">
        <f t="shared" si="51"/>
        <v>0</v>
      </c>
      <c r="AG57" s="279">
        <f>'[2]Table 5C1G-JS Clark Academy'!AI57+'[14]Table 5C1G-JS Clark Academy'!AI57+(6*'[20]Table 5C1G-JS Clark Academy'!AI57)</f>
        <v>0</v>
      </c>
      <c r="AH57" s="279">
        <f t="shared" si="52"/>
        <v>0</v>
      </c>
      <c r="AI57" s="323">
        <f t="shared" si="60"/>
        <v>0</v>
      </c>
      <c r="AJ57" s="337">
        <f t="shared" si="53"/>
        <v>0</v>
      </c>
      <c r="AK57" s="341">
        <f t="shared" si="54"/>
        <v>0</v>
      </c>
      <c r="AM57" s="273">
        <v>0</v>
      </c>
      <c r="AN57" s="273">
        <f t="shared" si="55"/>
        <v>0</v>
      </c>
      <c r="AO57" s="273">
        <f t="shared" si="56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2.1.14'!P54</f>
        <v>0</v>
      </c>
      <c r="D58" s="201">
        <f>+'Table 5C1A-Madison Prep'!D58</f>
        <v>5062.2745845228173</v>
      </c>
      <c r="E58" s="202">
        <f t="shared" si="36"/>
        <v>0</v>
      </c>
      <c r="F58" s="202">
        <f>+'Table 5C1A-Madison Prep'!F58</f>
        <v>658.37</v>
      </c>
      <c r="G58" s="202">
        <f t="shared" si="37"/>
        <v>0</v>
      </c>
      <c r="H58" s="345">
        <f t="shared" si="38"/>
        <v>0</v>
      </c>
      <c r="I58" s="991">
        <f>'[1]Oct midyear JS Clark'!K55</f>
        <v>0</v>
      </c>
      <c r="J58" s="203">
        <f>'[1]Feb midyear JS Clark'!K55</f>
        <v>0</v>
      </c>
      <c r="K58" s="204">
        <f t="shared" si="39"/>
        <v>0</v>
      </c>
      <c r="L58" s="345">
        <f t="shared" si="57"/>
        <v>0</v>
      </c>
      <c r="M58" s="286">
        <f t="shared" si="41"/>
        <v>0</v>
      </c>
      <c r="N58" s="345">
        <f t="shared" si="42"/>
        <v>0</v>
      </c>
      <c r="O58" s="201">
        <v>0</v>
      </c>
      <c r="P58" s="351">
        <f t="shared" si="43"/>
        <v>0</v>
      </c>
      <c r="Q58" s="203">
        <f>'[2]Table 5C1G-JS Clark Academy'!S58+'[14]Table 5C1G-JS Clark Academy'!S58+(6*'[20]Table 5C1G-JS Clark Academy'!S58)</f>
        <v>0</v>
      </c>
      <c r="R58" s="203">
        <f t="shared" si="44"/>
        <v>0</v>
      </c>
      <c r="S58" s="351">
        <f t="shared" si="58"/>
        <v>0</v>
      </c>
      <c r="T58" s="351">
        <f t="shared" si="45"/>
        <v>0</v>
      </c>
      <c r="U58" s="287">
        <f>'Table 5C1A-Madison Prep'!U58</f>
        <v>5289</v>
      </c>
      <c r="V58" s="328">
        <f t="shared" si="59"/>
        <v>0</v>
      </c>
      <c r="W58" s="995">
        <f>'[1]Oct midyear JS Clark'!E55</f>
        <v>0</v>
      </c>
      <c r="X58" s="290">
        <f t="shared" si="46"/>
        <v>0</v>
      </c>
      <c r="Y58" s="289">
        <f>'[1]Feb midyear JS Clark'!E55</f>
        <v>0</v>
      </c>
      <c r="Z58" s="290">
        <f t="shared" si="33"/>
        <v>0</v>
      </c>
      <c r="AA58" s="288">
        <f t="shared" si="47"/>
        <v>0</v>
      </c>
      <c r="AB58" s="324">
        <f t="shared" si="48"/>
        <v>0</v>
      </c>
      <c r="AC58" s="292">
        <f t="shared" si="49"/>
        <v>0</v>
      </c>
      <c r="AD58" s="324">
        <f t="shared" si="50"/>
        <v>0</v>
      </c>
      <c r="AE58" s="293">
        <v>0</v>
      </c>
      <c r="AF58" s="324">
        <f t="shared" si="51"/>
        <v>0</v>
      </c>
      <c r="AG58" s="293">
        <f>'[2]Table 5C1G-JS Clark Academy'!AI58+'[14]Table 5C1G-JS Clark Academy'!AI58+(6*'[20]Table 5C1G-JS Clark Academy'!AI58)</f>
        <v>0</v>
      </c>
      <c r="AH58" s="293">
        <f t="shared" si="52"/>
        <v>0</v>
      </c>
      <c r="AI58" s="324">
        <f t="shared" si="60"/>
        <v>0</v>
      </c>
      <c r="AJ58" s="321">
        <f t="shared" si="53"/>
        <v>0</v>
      </c>
      <c r="AK58" s="342">
        <f t="shared" si="54"/>
        <v>0</v>
      </c>
      <c r="AM58" s="286">
        <v>0</v>
      </c>
      <c r="AN58" s="286">
        <f t="shared" si="55"/>
        <v>0</v>
      </c>
      <c r="AO58" s="286">
        <f t="shared" si="56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2.1.14'!P55</f>
        <v>0</v>
      </c>
      <c r="D59" s="201">
        <f>+'Table 5C1A-Madison Prep'!D59</f>
        <v>5060.1508194045482</v>
      </c>
      <c r="E59" s="202">
        <f t="shared" si="36"/>
        <v>0</v>
      </c>
      <c r="F59" s="202">
        <f>+'Table 5C1A-Madison Prep'!F59</f>
        <v>689.74</v>
      </c>
      <c r="G59" s="202">
        <f t="shared" si="37"/>
        <v>0</v>
      </c>
      <c r="H59" s="345">
        <f t="shared" si="38"/>
        <v>0</v>
      </c>
      <c r="I59" s="991">
        <f>'[1]Oct midyear JS Clark'!K56</f>
        <v>0</v>
      </c>
      <c r="J59" s="203">
        <f>'[1]Feb midyear JS Clark'!K56</f>
        <v>0</v>
      </c>
      <c r="K59" s="204">
        <f t="shared" si="39"/>
        <v>0</v>
      </c>
      <c r="L59" s="345">
        <f t="shared" si="57"/>
        <v>0</v>
      </c>
      <c r="M59" s="286">
        <f t="shared" si="41"/>
        <v>0</v>
      </c>
      <c r="N59" s="345">
        <f t="shared" si="42"/>
        <v>0</v>
      </c>
      <c r="O59" s="201">
        <v>0</v>
      </c>
      <c r="P59" s="351">
        <f t="shared" si="43"/>
        <v>0</v>
      </c>
      <c r="Q59" s="203">
        <f>'[2]Table 5C1G-JS Clark Academy'!S59+'[14]Table 5C1G-JS Clark Academy'!S59+(6*'[20]Table 5C1G-JS Clark Academy'!S59)</f>
        <v>0</v>
      </c>
      <c r="R59" s="203">
        <f t="shared" si="44"/>
        <v>0</v>
      </c>
      <c r="S59" s="351">
        <f t="shared" si="58"/>
        <v>0</v>
      </c>
      <c r="T59" s="351">
        <f t="shared" si="45"/>
        <v>0</v>
      </c>
      <c r="U59" s="287">
        <f>'Table 5C1A-Madison Prep'!U59</f>
        <v>2101</v>
      </c>
      <c r="V59" s="328">
        <f t="shared" si="59"/>
        <v>0</v>
      </c>
      <c r="W59" s="995">
        <f>'[1]Oct midyear JS Clark'!E56</f>
        <v>0</v>
      </c>
      <c r="X59" s="290">
        <f t="shared" si="46"/>
        <v>0</v>
      </c>
      <c r="Y59" s="289">
        <f>'[1]Feb midyear JS Clark'!E56</f>
        <v>0</v>
      </c>
      <c r="Z59" s="290">
        <f t="shared" si="33"/>
        <v>0</v>
      </c>
      <c r="AA59" s="288">
        <f t="shared" si="47"/>
        <v>0</v>
      </c>
      <c r="AB59" s="324">
        <f t="shared" si="48"/>
        <v>0</v>
      </c>
      <c r="AC59" s="292">
        <f t="shared" si="49"/>
        <v>0</v>
      </c>
      <c r="AD59" s="324">
        <f t="shared" si="50"/>
        <v>0</v>
      </c>
      <c r="AE59" s="293">
        <v>0</v>
      </c>
      <c r="AF59" s="324">
        <f t="shared" si="51"/>
        <v>0</v>
      </c>
      <c r="AG59" s="293">
        <f>'[2]Table 5C1G-JS Clark Academy'!AI59+'[14]Table 5C1G-JS Clark Academy'!AI59+(6*'[20]Table 5C1G-JS Clark Academy'!AI59)</f>
        <v>0</v>
      </c>
      <c r="AH59" s="293">
        <f t="shared" si="52"/>
        <v>0</v>
      </c>
      <c r="AI59" s="324">
        <f t="shared" si="60"/>
        <v>0</v>
      </c>
      <c r="AJ59" s="321">
        <f t="shared" si="53"/>
        <v>0</v>
      </c>
      <c r="AK59" s="342">
        <f t="shared" si="54"/>
        <v>0</v>
      </c>
      <c r="AM59" s="286">
        <v>0</v>
      </c>
      <c r="AN59" s="286">
        <f t="shared" si="55"/>
        <v>0</v>
      </c>
      <c r="AO59" s="286">
        <f t="shared" si="56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2.1.14'!P56</f>
        <v>0</v>
      </c>
      <c r="D60" s="201">
        <f>+'Table 5C1A-Madison Prep'!D60</f>
        <v>5867.0798370516713</v>
      </c>
      <c r="E60" s="202">
        <f t="shared" si="36"/>
        <v>0</v>
      </c>
      <c r="F60" s="202">
        <f>+'Table 5C1A-Madison Prep'!F60</f>
        <v>951.45</v>
      </c>
      <c r="G60" s="202">
        <f t="shared" si="37"/>
        <v>0</v>
      </c>
      <c r="H60" s="345">
        <f t="shared" si="38"/>
        <v>0</v>
      </c>
      <c r="I60" s="991">
        <f>'[1]Oct midyear JS Clark'!K57</f>
        <v>0</v>
      </c>
      <c r="J60" s="203">
        <f>'[1]Feb midyear JS Clark'!K57</f>
        <v>0</v>
      </c>
      <c r="K60" s="204">
        <f t="shared" si="39"/>
        <v>0</v>
      </c>
      <c r="L60" s="345">
        <f t="shared" si="57"/>
        <v>0</v>
      </c>
      <c r="M60" s="286">
        <f t="shared" si="41"/>
        <v>0</v>
      </c>
      <c r="N60" s="345">
        <f t="shared" si="42"/>
        <v>0</v>
      </c>
      <c r="O60" s="201">
        <v>0</v>
      </c>
      <c r="P60" s="351">
        <f t="shared" si="43"/>
        <v>0</v>
      </c>
      <c r="Q60" s="203">
        <f>'[2]Table 5C1G-JS Clark Academy'!S60+'[14]Table 5C1G-JS Clark Academy'!S60+(6*'[20]Table 5C1G-JS Clark Academy'!S60)</f>
        <v>0</v>
      </c>
      <c r="R60" s="203">
        <f t="shared" si="44"/>
        <v>0</v>
      </c>
      <c r="S60" s="351">
        <f t="shared" si="58"/>
        <v>0</v>
      </c>
      <c r="T60" s="351">
        <f t="shared" si="45"/>
        <v>0</v>
      </c>
      <c r="U60" s="287">
        <f>'Table 5C1A-Madison Prep'!U60</f>
        <v>4150</v>
      </c>
      <c r="V60" s="328">
        <f t="shared" si="59"/>
        <v>0</v>
      </c>
      <c r="W60" s="995">
        <f>'[1]Oct midyear JS Clark'!E57</f>
        <v>0</v>
      </c>
      <c r="X60" s="290">
        <f t="shared" si="46"/>
        <v>0</v>
      </c>
      <c r="Y60" s="289">
        <f>'[1]Feb midyear JS Clark'!E57</f>
        <v>0</v>
      </c>
      <c r="Z60" s="290">
        <f t="shared" si="33"/>
        <v>0</v>
      </c>
      <c r="AA60" s="288">
        <f t="shared" si="47"/>
        <v>0</v>
      </c>
      <c r="AB60" s="324">
        <f t="shared" si="48"/>
        <v>0</v>
      </c>
      <c r="AC60" s="292">
        <f t="shared" si="49"/>
        <v>0</v>
      </c>
      <c r="AD60" s="324">
        <f t="shared" si="50"/>
        <v>0</v>
      </c>
      <c r="AE60" s="293">
        <v>0</v>
      </c>
      <c r="AF60" s="324">
        <f t="shared" si="51"/>
        <v>0</v>
      </c>
      <c r="AG60" s="293">
        <f>'[2]Table 5C1G-JS Clark Academy'!AI60+'[14]Table 5C1G-JS Clark Academy'!AI60+(6*'[20]Table 5C1G-JS Clark Academy'!AI60)</f>
        <v>0</v>
      </c>
      <c r="AH60" s="293">
        <f t="shared" si="52"/>
        <v>0</v>
      </c>
      <c r="AI60" s="324">
        <f t="shared" si="60"/>
        <v>0</v>
      </c>
      <c r="AJ60" s="321">
        <f t="shared" si="53"/>
        <v>0</v>
      </c>
      <c r="AK60" s="342">
        <f t="shared" si="54"/>
        <v>0</v>
      </c>
      <c r="AM60" s="286">
        <v>0</v>
      </c>
      <c r="AN60" s="286">
        <f t="shared" si="55"/>
        <v>0</v>
      </c>
      <c r="AO60" s="286">
        <f t="shared" si="56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2.1.14'!P57</f>
        <v>0</v>
      </c>
      <c r="D61" s="194">
        <f>+'Table 5C1A-Madison Prep'!D61</f>
        <v>4266.8225491298481</v>
      </c>
      <c r="E61" s="195">
        <f t="shared" si="36"/>
        <v>0</v>
      </c>
      <c r="F61" s="195">
        <f>+'Table 5C1A-Madison Prep'!F61</f>
        <v>795.14</v>
      </c>
      <c r="G61" s="195">
        <f t="shared" si="37"/>
        <v>0</v>
      </c>
      <c r="H61" s="346">
        <f t="shared" si="38"/>
        <v>0</v>
      </c>
      <c r="I61" s="992">
        <f>'[1]Oct midyear JS Clark'!K58</f>
        <v>0</v>
      </c>
      <c r="J61" s="196">
        <f>'[1]Feb midyear JS Clark'!K58</f>
        <v>0</v>
      </c>
      <c r="K61" s="197">
        <f t="shared" si="39"/>
        <v>0</v>
      </c>
      <c r="L61" s="346">
        <f t="shared" si="57"/>
        <v>0</v>
      </c>
      <c r="M61" s="296">
        <f t="shared" si="41"/>
        <v>0</v>
      </c>
      <c r="N61" s="346">
        <f t="shared" si="42"/>
        <v>0</v>
      </c>
      <c r="O61" s="194">
        <v>0</v>
      </c>
      <c r="P61" s="352">
        <f t="shared" si="43"/>
        <v>0</v>
      </c>
      <c r="Q61" s="622">
        <f>'[2]Table 5C1G-JS Clark Academy'!S61+'[14]Table 5C1G-JS Clark Academy'!S61+(6*'[20]Table 5C1G-JS Clark Academy'!S61)</f>
        <v>0</v>
      </c>
      <c r="R61" s="196">
        <f t="shared" si="44"/>
        <v>0</v>
      </c>
      <c r="S61" s="356">
        <f t="shared" si="58"/>
        <v>0</v>
      </c>
      <c r="T61" s="356">
        <f t="shared" si="45"/>
        <v>0</v>
      </c>
      <c r="U61" s="281">
        <f>'Table 5C1A-Madison Prep'!U61</f>
        <v>3637</v>
      </c>
      <c r="V61" s="329">
        <f t="shared" si="59"/>
        <v>0</v>
      </c>
      <c r="W61" s="996">
        <f>'[1]Oct midyear JS Clark'!E58</f>
        <v>0</v>
      </c>
      <c r="X61" s="282">
        <f t="shared" si="46"/>
        <v>0</v>
      </c>
      <c r="Y61" s="884">
        <f>'[1]Feb midyear JS Clark'!E58</f>
        <v>0</v>
      </c>
      <c r="Z61" s="282">
        <f t="shared" si="33"/>
        <v>0</v>
      </c>
      <c r="AA61" s="283">
        <f t="shared" si="47"/>
        <v>0</v>
      </c>
      <c r="AB61" s="325">
        <f t="shared" si="48"/>
        <v>0</v>
      </c>
      <c r="AC61" s="298">
        <f t="shared" si="49"/>
        <v>0</v>
      </c>
      <c r="AD61" s="325">
        <f t="shared" si="50"/>
        <v>0</v>
      </c>
      <c r="AE61" s="284">
        <v>0</v>
      </c>
      <c r="AF61" s="325">
        <f t="shared" si="51"/>
        <v>0</v>
      </c>
      <c r="AG61" s="284">
        <f>'[2]Table 5C1G-JS Clark Academy'!AI61+'[14]Table 5C1G-JS Clark Academy'!AI61+(6*'[20]Table 5C1G-JS Clark Academy'!AI61)</f>
        <v>0</v>
      </c>
      <c r="AH61" s="284">
        <f t="shared" si="52"/>
        <v>0</v>
      </c>
      <c r="AI61" s="325">
        <f t="shared" si="60"/>
        <v>0</v>
      </c>
      <c r="AJ61" s="338">
        <f t="shared" si="53"/>
        <v>0</v>
      </c>
      <c r="AK61" s="343">
        <f t="shared" si="54"/>
        <v>0</v>
      </c>
      <c r="AM61" s="296">
        <v>0</v>
      </c>
      <c r="AN61" s="296">
        <f t="shared" si="55"/>
        <v>0</v>
      </c>
      <c r="AO61" s="296">
        <f t="shared" si="56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2.1.14'!P58</f>
        <v>0</v>
      </c>
      <c r="D62" s="208">
        <f>+'Table 5C1A-Madison Prep'!D62</f>
        <v>5028.4909408288286</v>
      </c>
      <c r="E62" s="209">
        <f t="shared" si="36"/>
        <v>0</v>
      </c>
      <c r="F62" s="209">
        <f>+'Table 5C1A-Madison Prep'!F62</f>
        <v>614.66000000000008</v>
      </c>
      <c r="G62" s="209">
        <f t="shared" si="37"/>
        <v>0</v>
      </c>
      <c r="H62" s="344">
        <f t="shared" si="38"/>
        <v>0</v>
      </c>
      <c r="I62" s="990">
        <f>'[1]Oct midyear JS Clark'!K59</f>
        <v>0</v>
      </c>
      <c r="J62" s="210">
        <f>'[1]Feb midyear JS Clark'!K59</f>
        <v>0</v>
      </c>
      <c r="K62" s="211">
        <f t="shared" si="39"/>
        <v>0</v>
      </c>
      <c r="L62" s="344">
        <f t="shared" si="57"/>
        <v>0</v>
      </c>
      <c r="M62" s="273">
        <f t="shared" si="41"/>
        <v>0</v>
      </c>
      <c r="N62" s="344">
        <f t="shared" si="42"/>
        <v>0</v>
      </c>
      <c r="O62" s="208">
        <v>0</v>
      </c>
      <c r="P62" s="350">
        <f t="shared" si="43"/>
        <v>0</v>
      </c>
      <c r="Q62" s="210">
        <f>'[2]Table 5C1G-JS Clark Academy'!S62+'[14]Table 5C1G-JS Clark Academy'!S62+(6*'[20]Table 5C1G-JS Clark Academy'!S62)</f>
        <v>0</v>
      </c>
      <c r="R62" s="210">
        <f t="shared" si="44"/>
        <v>0</v>
      </c>
      <c r="S62" s="350">
        <f t="shared" si="58"/>
        <v>0</v>
      </c>
      <c r="T62" s="350">
        <f t="shared" si="45"/>
        <v>0</v>
      </c>
      <c r="U62" s="274">
        <f>'Table 5C1A-Madison Prep'!U62</f>
        <v>2857</v>
      </c>
      <c r="V62" s="327">
        <f t="shared" si="59"/>
        <v>0</v>
      </c>
      <c r="W62" s="994">
        <f>'[1]Oct midyear JS Clark'!E59</f>
        <v>0</v>
      </c>
      <c r="X62" s="276">
        <f t="shared" si="46"/>
        <v>0</v>
      </c>
      <c r="Y62" s="883">
        <f>'[1]Feb midyear JS Clark'!E59</f>
        <v>0</v>
      </c>
      <c r="Z62" s="276">
        <f t="shared" si="33"/>
        <v>0</v>
      </c>
      <c r="AA62" s="275">
        <f t="shared" si="47"/>
        <v>0</v>
      </c>
      <c r="AB62" s="323">
        <f t="shared" si="48"/>
        <v>0</v>
      </c>
      <c r="AC62" s="278">
        <f t="shared" si="49"/>
        <v>0</v>
      </c>
      <c r="AD62" s="323">
        <f t="shared" si="50"/>
        <v>0</v>
      </c>
      <c r="AE62" s="279">
        <v>0</v>
      </c>
      <c r="AF62" s="323">
        <f t="shared" si="51"/>
        <v>0</v>
      </c>
      <c r="AG62" s="279">
        <f>'[2]Table 5C1G-JS Clark Academy'!AI62+'[14]Table 5C1G-JS Clark Academy'!AI62+(6*'[20]Table 5C1G-JS Clark Academy'!AI62)</f>
        <v>0</v>
      </c>
      <c r="AH62" s="279">
        <f t="shared" si="52"/>
        <v>0</v>
      </c>
      <c r="AI62" s="323">
        <f t="shared" si="60"/>
        <v>0</v>
      </c>
      <c r="AJ62" s="337">
        <f t="shared" si="53"/>
        <v>0</v>
      </c>
      <c r="AK62" s="341">
        <f t="shared" si="54"/>
        <v>0</v>
      </c>
      <c r="AM62" s="273">
        <v>0</v>
      </c>
      <c r="AN62" s="273">
        <f t="shared" si="55"/>
        <v>0</v>
      </c>
      <c r="AO62" s="273">
        <f t="shared" si="56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2.1.14'!P59</f>
        <v>0</v>
      </c>
      <c r="D63" s="201">
        <f>+'Table 5C1A-Madison Prep'!D63</f>
        <v>4625.9922979230687</v>
      </c>
      <c r="E63" s="202">
        <f t="shared" si="36"/>
        <v>0</v>
      </c>
      <c r="F63" s="202">
        <f>+'Table 5C1A-Madison Prep'!F63</f>
        <v>764.51</v>
      </c>
      <c r="G63" s="202">
        <f t="shared" si="37"/>
        <v>0</v>
      </c>
      <c r="H63" s="345">
        <f t="shared" si="38"/>
        <v>0</v>
      </c>
      <c r="I63" s="991">
        <f>'[1]Oct midyear JS Clark'!K60</f>
        <v>0</v>
      </c>
      <c r="J63" s="203">
        <f>'[1]Feb midyear JS Clark'!K60</f>
        <v>0</v>
      </c>
      <c r="K63" s="204">
        <f t="shared" si="39"/>
        <v>0</v>
      </c>
      <c r="L63" s="345">
        <f t="shared" si="57"/>
        <v>0</v>
      </c>
      <c r="M63" s="286">
        <f t="shared" si="41"/>
        <v>0</v>
      </c>
      <c r="N63" s="345">
        <f t="shared" si="42"/>
        <v>0</v>
      </c>
      <c r="O63" s="201">
        <v>0</v>
      </c>
      <c r="P63" s="351">
        <f t="shared" si="43"/>
        <v>0</v>
      </c>
      <c r="Q63" s="203">
        <f>'[2]Table 5C1G-JS Clark Academy'!S63+'[14]Table 5C1G-JS Clark Academy'!S63+(6*'[20]Table 5C1G-JS Clark Academy'!S63)</f>
        <v>0</v>
      </c>
      <c r="R63" s="203">
        <f t="shared" si="44"/>
        <v>0</v>
      </c>
      <c r="S63" s="351">
        <f t="shared" si="58"/>
        <v>0</v>
      </c>
      <c r="T63" s="351">
        <f t="shared" si="45"/>
        <v>0</v>
      </c>
      <c r="U63" s="287">
        <f>'Table 5C1A-Madison Prep'!U63</f>
        <v>3465</v>
      </c>
      <c r="V63" s="328">
        <f t="shared" si="59"/>
        <v>0</v>
      </c>
      <c r="W63" s="995">
        <f>'[1]Oct midyear JS Clark'!E60</f>
        <v>0</v>
      </c>
      <c r="X63" s="290">
        <f t="shared" si="46"/>
        <v>0</v>
      </c>
      <c r="Y63" s="289">
        <f>'[1]Feb midyear JS Clark'!E60</f>
        <v>0</v>
      </c>
      <c r="Z63" s="290">
        <f t="shared" si="33"/>
        <v>0</v>
      </c>
      <c r="AA63" s="288">
        <f t="shared" si="47"/>
        <v>0</v>
      </c>
      <c r="AB63" s="324">
        <f t="shared" si="48"/>
        <v>0</v>
      </c>
      <c r="AC63" s="292">
        <f t="shared" si="49"/>
        <v>0</v>
      </c>
      <c r="AD63" s="324">
        <f t="shared" si="50"/>
        <v>0</v>
      </c>
      <c r="AE63" s="293">
        <v>0</v>
      </c>
      <c r="AF63" s="324">
        <f t="shared" si="51"/>
        <v>0</v>
      </c>
      <c r="AG63" s="293">
        <f>'[2]Table 5C1G-JS Clark Academy'!AI63+'[14]Table 5C1G-JS Clark Academy'!AI63+(6*'[20]Table 5C1G-JS Clark Academy'!AI63)</f>
        <v>0</v>
      </c>
      <c r="AH63" s="293">
        <f t="shared" si="52"/>
        <v>0</v>
      </c>
      <c r="AI63" s="324">
        <f t="shared" si="60"/>
        <v>0</v>
      </c>
      <c r="AJ63" s="321">
        <f t="shared" si="53"/>
        <v>0</v>
      </c>
      <c r="AK63" s="342">
        <f t="shared" si="54"/>
        <v>0</v>
      </c>
      <c r="AM63" s="286">
        <v>0</v>
      </c>
      <c r="AN63" s="286">
        <f t="shared" si="55"/>
        <v>0</v>
      </c>
      <c r="AO63" s="286">
        <f t="shared" si="56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2.1.14'!P60</f>
        <v>0</v>
      </c>
      <c r="D64" s="201">
        <f>+'Table 5C1A-Madison Prep'!D64</f>
        <v>5673.1129637882123</v>
      </c>
      <c r="E64" s="202">
        <f t="shared" si="36"/>
        <v>0</v>
      </c>
      <c r="F64" s="202">
        <f>+'Table 5C1A-Madison Prep'!F64</f>
        <v>697.04</v>
      </c>
      <c r="G64" s="202">
        <f t="shared" si="37"/>
        <v>0</v>
      </c>
      <c r="H64" s="345">
        <f t="shared" si="38"/>
        <v>0</v>
      </c>
      <c r="I64" s="991">
        <f>'[1]Oct midyear JS Clark'!K61</f>
        <v>0</v>
      </c>
      <c r="J64" s="203">
        <f>'[1]Feb midyear JS Clark'!K61</f>
        <v>0</v>
      </c>
      <c r="K64" s="204">
        <f t="shared" si="39"/>
        <v>0</v>
      </c>
      <c r="L64" s="345">
        <f t="shared" si="57"/>
        <v>0</v>
      </c>
      <c r="M64" s="286">
        <f t="shared" si="41"/>
        <v>0</v>
      </c>
      <c r="N64" s="345">
        <f t="shared" si="42"/>
        <v>0</v>
      </c>
      <c r="O64" s="201">
        <v>0</v>
      </c>
      <c r="P64" s="351">
        <f t="shared" si="43"/>
        <v>0</v>
      </c>
      <c r="Q64" s="203">
        <f>'[2]Table 5C1G-JS Clark Academy'!S64+'[14]Table 5C1G-JS Clark Academy'!S64+(6*'[20]Table 5C1G-JS Clark Academy'!S64)</f>
        <v>0</v>
      </c>
      <c r="R64" s="203">
        <f t="shared" si="44"/>
        <v>0</v>
      </c>
      <c r="S64" s="351">
        <f t="shared" si="58"/>
        <v>0</v>
      </c>
      <c r="T64" s="351">
        <f t="shared" si="45"/>
        <v>0</v>
      </c>
      <c r="U64" s="287">
        <f>'Table 5C1A-Madison Prep'!U64</f>
        <v>2167</v>
      </c>
      <c r="V64" s="328">
        <f t="shared" si="59"/>
        <v>0</v>
      </c>
      <c r="W64" s="995">
        <f>'[1]Oct midyear JS Clark'!E61</f>
        <v>0</v>
      </c>
      <c r="X64" s="290">
        <f t="shared" si="46"/>
        <v>0</v>
      </c>
      <c r="Y64" s="289">
        <f>'[1]Feb midyear JS Clark'!E61</f>
        <v>0</v>
      </c>
      <c r="Z64" s="290">
        <f t="shared" si="33"/>
        <v>0</v>
      </c>
      <c r="AA64" s="288">
        <f t="shared" si="47"/>
        <v>0</v>
      </c>
      <c r="AB64" s="324">
        <f t="shared" si="48"/>
        <v>0</v>
      </c>
      <c r="AC64" s="292">
        <f t="shared" si="49"/>
        <v>0</v>
      </c>
      <c r="AD64" s="324">
        <f t="shared" si="50"/>
        <v>0</v>
      </c>
      <c r="AE64" s="293">
        <v>0</v>
      </c>
      <c r="AF64" s="324">
        <f t="shared" si="51"/>
        <v>0</v>
      </c>
      <c r="AG64" s="293">
        <f>'[2]Table 5C1G-JS Clark Academy'!AI64+'[14]Table 5C1G-JS Clark Academy'!AI64+(6*'[20]Table 5C1G-JS Clark Academy'!AI64)</f>
        <v>0</v>
      </c>
      <c r="AH64" s="293">
        <f t="shared" si="52"/>
        <v>0</v>
      </c>
      <c r="AI64" s="324">
        <f t="shared" si="60"/>
        <v>0</v>
      </c>
      <c r="AJ64" s="321">
        <f t="shared" si="53"/>
        <v>0</v>
      </c>
      <c r="AK64" s="342">
        <f t="shared" si="54"/>
        <v>0</v>
      </c>
      <c r="AM64" s="286">
        <v>0</v>
      </c>
      <c r="AN64" s="286">
        <f t="shared" si="55"/>
        <v>0</v>
      </c>
      <c r="AO64" s="286">
        <f t="shared" si="56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2.1.14'!P61</f>
        <v>0</v>
      </c>
      <c r="D65" s="201">
        <f>+'Table 5C1A-Madison Prep'!D65</f>
        <v>6621.946293521848</v>
      </c>
      <c r="E65" s="202">
        <f t="shared" si="36"/>
        <v>0</v>
      </c>
      <c r="F65" s="202">
        <f>+'Table 5C1A-Madison Prep'!F65</f>
        <v>689.52</v>
      </c>
      <c r="G65" s="202">
        <f t="shared" si="37"/>
        <v>0</v>
      </c>
      <c r="H65" s="345">
        <f t="shared" si="38"/>
        <v>0</v>
      </c>
      <c r="I65" s="991">
        <f>'[1]Oct midyear JS Clark'!K62</f>
        <v>0</v>
      </c>
      <c r="J65" s="203">
        <f>'[1]Feb midyear JS Clark'!K62</f>
        <v>0</v>
      </c>
      <c r="K65" s="204">
        <f t="shared" si="39"/>
        <v>0</v>
      </c>
      <c r="L65" s="345">
        <f t="shared" si="57"/>
        <v>0</v>
      </c>
      <c r="M65" s="286">
        <f t="shared" si="41"/>
        <v>0</v>
      </c>
      <c r="N65" s="345">
        <f t="shared" si="42"/>
        <v>0</v>
      </c>
      <c r="O65" s="201">
        <v>0</v>
      </c>
      <c r="P65" s="351">
        <f t="shared" si="43"/>
        <v>0</v>
      </c>
      <c r="Q65" s="203">
        <f>'[2]Table 5C1G-JS Clark Academy'!S65+'[14]Table 5C1G-JS Clark Academy'!S65+(6*'[20]Table 5C1G-JS Clark Academy'!S65)</f>
        <v>0</v>
      </c>
      <c r="R65" s="203">
        <f t="shared" si="44"/>
        <v>0</v>
      </c>
      <c r="S65" s="351">
        <f t="shared" si="58"/>
        <v>0</v>
      </c>
      <c r="T65" s="351">
        <f t="shared" si="45"/>
        <v>0</v>
      </c>
      <c r="U65" s="287">
        <f>'Table 5C1A-Madison Prep'!U65</f>
        <v>1521</v>
      </c>
      <c r="V65" s="328">
        <f t="shared" si="59"/>
        <v>0</v>
      </c>
      <c r="W65" s="995">
        <f>'[1]Oct midyear JS Clark'!E62</f>
        <v>0</v>
      </c>
      <c r="X65" s="290">
        <f t="shared" si="46"/>
        <v>0</v>
      </c>
      <c r="Y65" s="289">
        <f>'[1]Feb midyear JS Clark'!E62</f>
        <v>0</v>
      </c>
      <c r="Z65" s="290">
        <f t="shared" si="33"/>
        <v>0</v>
      </c>
      <c r="AA65" s="288">
        <f t="shared" si="47"/>
        <v>0</v>
      </c>
      <c r="AB65" s="324">
        <f t="shared" si="48"/>
        <v>0</v>
      </c>
      <c r="AC65" s="292">
        <f t="shared" si="49"/>
        <v>0</v>
      </c>
      <c r="AD65" s="324">
        <f t="shared" si="50"/>
        <v>0</v>
      </c>
      <c r="AE65" s="293">
        <v>0</v>
      </c>
      <c r="AF65" s="324">
        <f t="shared" si="51"/>
        <v>0</v>
      </c>
      <c r="AG65" s="293">
        <f>'[2]Table 5C1G-JS Clark Academy'!AI65+'[14]Table 5C1G-JS Clark Academy'!AI65+(6*'[20]Table 5C1G-JS Clark Academy'!AI65)</f>
        <v>0</v>
      </c>
      <c r="AH65" s="293">
        <f t="shared" si="52"/>
        <v>0</v>
      </c>
      <c r="AI65" s="324">
        <f t="shared" si="60"/>
        <v>0</v>
      </c>
      <c r="AJ65" s="321">
        <f t="shared" si="53"/>
        <v>0</v>
      </c>
      <c r="AK65" s="342">
        <f t="shared" si="54"/>
        <v>0</v>
      </c>
      <c r="AM65" s="286">
        <v>0</v>
      </c>
      <c r="AN65" s="286">
        <f t="shared" si="55"/>
        <v>0</v>
      </c>
      <c r="AO65" s="286">
        <f t="shared" si="56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2.1.14'!P62</f>
        <v>0</v>
      </c>
      <c r="D66" s="194">
        <f>+'Table 5C1A-Madison Prep'!D66</f>
        <v>5301.224090063828</v>
      </c>
      <c r="E66" s="195">
        <f t="shared" si="36"/>
        <v>0</v>
      </c>
      <c r="F66" s="195">
        <f>+'Table 5C1A-Madison Prep'!F66</f>
        <v>594.04</v>
      </c>
      <c r="G66" s="195">
        <f t="shared" si="37"/>
        <v>0</v>
      </c>
      <c r="H66" s="346">
        <f t="shared" si="38"/>
        <v>0</v>
      </c>
      <c r="I66" s="992">
        <f>'[1]Oct midyear JS Clark'!K63</f>
        <v>0</v>
      </c>
      <c r="J66" s="196">
        <f>'[1]Feb midyear JS Clark'!K63</f>
        <v>0</v>
      </c>
      <c r="K66" s="197">
        <f t="shared" si="39"/>
        <v>0</v>
      </c>
      <c r="L66" s="346">
        <f t="shared" si="57"/>
        <v>0</v>
      </c>
      <c r="M66" s="296">
        <f t="shared" si="41"/>
        <v>0</v>
      </c>
      <c r="N66" s="346">
        <f t="shared" si="42"/>
        <v>0</v>
      </c>
      <c r="O66" s="194">
        <v>0</v>
      </c>
      <c r="P66" s="352">
        <f t="shared" si="43"/>
        <v>0</v>
      </c>
      <c r="Q66" s="622">
        <f>'[2]Table 5C1G-JS Clark Academy'!S66+'[14]Table 5C1G-JS Clark Academy'!S66+(6*'[20]Table 5C1G-JS Clark Academy'!S66)</f>
        <v>0</v>
      </c>
      <c r="R66" s="196">
        <f t="shared" si="44"/>
        <v>0</v>
      </c>
      <c r="S66" s="356">
        <f t="shared" si="58"/>
        <v>0</v>
      </c>
      <c r="T66" s="356">
        <f t="shared" si="45"/>
        <v>0</v>
      </c>
      <c r="U66" s="281">
        <f>'Table 5C1A-Madison Prep'!U66</f>
        <v>4024</v>
      </c>
      <c r="V66" s="329">
        <f t="shared" si="59"/>
        <v>0</v>
      </c>
      <c r="W66" s="996">
        <f>'[1]Oct midyear JS Clark'!E63</f>
        <v>0</v>
      </c>
      <c r="X66" s="282">
        <f t="shared" si="46"/>
        <v>0</v>
      </c>
      <c r="Y66" s="884">
        <f>'[1]Feb midyear JS Clark'!E63</f>
        <v>0</v>
      </c>
      <c r="Z66" s="282">
        <f t="shared" si="33"/>
        <v>0</v>
      </c>
      <c r="AA66" s="283">
        <f t="shared" si="47"/>
        <v>0</v>
      </c>
      <c r="AB66" s="325">
        <f t="shared" si="48"/>
        <v>0</v>
      </c>
      <c r="AC66" s="298">
        <f t="shared" si="49"/>
        <v>0</v>
      </c>
      <c r="AD66" s="325">
        <f t="shared" si="50"/>
        <v>0</v>
      </c>
      <c r="AE66" s="284">
        <v>0</v>
      </c>
      <c r="AF66" s="325">
        <f t="shared" si="51"/>
        <v>0</v>
      </c>
      <c r="AG66" s="284">
        <f>'[2]Table 5C1G-JS Clark Academy'!AI66+'[14]Table 5C1G-JS Clark Academy'!AI66+(6*'[20]Table 5C1G-JS Clark Academy'!AI66)</f>
        <v>0</v>
      </c>
      <c r="AH66" s="284">
        <f t="shared" si="52"/>
        <v>0</v>
      </c>
      <c r="AI66" s="325">
        <f t="shared" si="60"/>
        <v>0</v>
      </c>
      <c r="AJ66" s="338">
        <f t="shared" si="53"/>
        <v>0</v>
      </c>
      <c r="AK66" s="343">
        <f t="shared" si="54"/>
        <v>0</v>
      </c>
      <c r="AM66" s="296">
        <v>0</v>
      </c>
      <c r="AN66" s="296">
        <f t="shared" si="55"/>
        <v>0</v>
      </c>
      <c r="AO66" s="296">
        <f t="shared" si="56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2.1.14'!P63</f>
        <v>0</v>
      </c>
      <c r="D67" s="208">
        <f>+'Table 5C1A-Madison Prep'!D67</f>
        <v>2854.1575356369185</v>
      </c>
      <c r="E67" s="209">
        <f t="shared" si="36"/>
        <v>0</v>
      </c>
      <c r="F67" s="209">
        <f>+'Table 5C1A-Madison Prep'!F67</f>
        <v>833.70999999999992</v>
      </c>
      <c r="G67" s="209">
        <f t="shared" si="37"/>
        <v>0</v>
      </c>
      <c r="H67" s="344">
        <f t="shared" si="38"/>
        <v>0</v>
      </c>
      <c r="I67" s="990">
        <f>'[1]Oct midyear JS Clark'!K64</f>
        <v>0</v>
      </c>
      <c r="J67" s="210">
        <f>'[1]Feb midyear JS Clark'!K64</f>
        <v>0</v>
      </c>
      <c r="K67" s="211">
        <f t="shared" si="39"/>
        <v>0</v>
      </c>
      <c r="L67" s="344">
        <f t="shared" si="57"/>
        <v>0</v>
      </c>
      <c r="M67" s="273">
        <f t="shared" si="41"/>
        <v>0</v>
      </c>
      <c r="N67" s="344">
        <f t="shared" si="42"/>
        <v>0</v>
      </c>
      <c r="O67" s="208">
        <v>0</v>
      </c>
      <c r="P67" s="350">
        <f t="shared" si="43"/>
        <v>0</v>
      </c>
      <c r="Q67" s="210">
        <f>'[2]Table 5C1G-JS Clark Academy'!S67+'[14]Table 5C1G-JS Clark Academy'!S67+(6*'[20]Table 5C1G-JS Clark Academy'!S67)</f>
        <v>0</v>
      </c>
      <c r="R67" s="210">
        <f t="shared" si="44"/>
        <v>0</v>
      </c>
      <c r="S67" s="350">
        <f t="shared" si="58"/>
        <v>0</v>
      </c>
      <c r="T67" s="350">
        <f t="shared" si="45"/>
        <v>0</v>
      </c>
      <c r="U67" s="274">
        <f>'Table 5C1A-Madison Prep'!U67</f>
        <v>6739</v>
      </c>
      <c r="V67" s="327">
        <f t="shared" si="59"/>
        <v>0</v>
      </c>
      <c r="W67" s="994">
        <f>'[1]Oct midyear JS Clark'!E64</f>
        <v>0</v>
      </c>
      <c r="X67" s="276">
        <f t="shared" si="46"/>
        <v>0</v>
      </c>
      <c r="Y67" s="883">
        <f>'[1]Feb midyear JS Clark'!E64</f>
        <v>0</v>
      </c>
      <c r="Z67" s="276">
        <f t="shared" si="33"/>
        <v>0</v>
      </c>
      <c r="AA67" s="275">
        <f t="shared" si="47"/>
        <v>0</v>
      </c>
      <c r="AB67" s="323">
        <f t="shared" si="48"/>
        <v>0</v>
      </c>
      <c r="AC67" s="278">
        <f t="shared" si="49"/>
        <v>0</v>
      </c>
      <c r="AD67" s="323">
        <f t="shared" si="50"/>
        <v>0</v>
      </c>
      <c r="AE67" s="279">
        <v>0</v>
      </c>
      <c r="AF67" s="323">
        <f t="shared" si="51"/>
        <v>0</v>
      </c>
      <c r="AG67" s="279">
        <f>'[2]Table 5C1G-JS Clark Academy'!AI67+'[14]Table 5C1G-JS Clark Academy'!AI67+(6*'[20]Table 5C1G-JS Clark Academy'!AI67)</f>
        <v>0</v>
      </c>
      <c r="AH67" s="279">
        <f t="shared" si="52"/>
        <v>0</v>
      </c>
      <c r="AI67" s="323">
        <f t="shared" si="60"/>
        <v>0</v>
      </c>
      <c r="AJ67" s="337">
        <f t="shared" si="53"/>
        <v>0</v>
      </c>
      <c r="AK67" s="341">
        <f t="shared" si="54"/>
        <v>0</v>
      </c>
      <c r="AM67" s="273">
        <v>0</v>
      </c>
      <c r="AN67" s="273">
        <f t="shared" si="55"/>
        <v>0</v>
      </c>
      <c r="AO67" s="273">
        <f t="shared" si="56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2.1.14'!P64</f>
        <v>0</v>
      </c>
      <c r="D68" s="201">
        <f>+'Table 5C1A-Madison Prep'!D68</f>
        <v>5901.074538516008</v>
      </c>
      <c r="E68" s="202">
        <f t="shared" si="36"/>
        <v>0</v>
      </c>
      <c r="F68" s="202">
        <f>+'Table 5C1A-Madison Prep'!F68</f>
        <v>516.08000000000004</v>
      </c>
      <c r="G68" s="202">
        <f t="shared" si="37"/>
        <v>0</v>
      </c>
      <c r="H68" s="345">
        <f t="shared" si="38"/>
        <v>0</v>
      </c>
      <c r="I68" s="991">
        <f>'[1]Oct midyear JS Clark'!K65</f>
        <v>0</v>
      </c>
      <c r="J68" s="203">
        <f>'[1]Feb midyear JS Clark'!K65</f>
        <v>0</v>
      </c>
      <c r="K68" s="204">
        <f t="shared" si="39"/>
        <v>0</v>
      </c>
      <c r="L68" s="345">
        <f t="shared" si="57"/>
        <v>0</v>
      </c>
      <c r="M68" s="286">
        <f t="shared" si="41"/>
        <v>0</v>
      </c>
      <c r="N68" s="345">
        <f t="shared" si="42"/>
        <v>0</v>
      </c>
      <c r="O68" s="201">
        <v>0</v>
      </c>
      <c r="P68" s="351">
        <f t="shared" si="43"/>
        <v>0</v>
      </c>
      <c r="Q68" s="203">
        <f>'[2]Table 5C1G-JS Clark Academy'!S68+'[14]Table 5C1G-JS Clark Academy'!S68+(6*'[20]Table 5C1G-JS Clark Academy'!S68)</f>
        <v>0</v>
      </c>
      <c r="R68" s="203">
        <f t="shared" si="44"/>
        <v>0</v>
      </c>
      <c r="S68" s="351">
        <f t="shared" si="58"/>
        <v>0</v>
      </c>
      <c r="T68" s="351">
        <f t="shared" si="45"/>
        <v>0</v>
      </c>
      <c r="U68" s="287">
        <f>'Table 5C1A-Madison Prep'!U68</f>
        <v>2089</v>
      </c>
      <c r="V68" s="328">
        <f t="shared" si="59"/>
        <v>0</v>
      </c>
      <c r="W68" s="995">
        <f>'[1]Oct midyear JS Clark'!E65</f>
        <v>0</v>
      </c>
      <c r="X68" s="290">
        <f t="shared" si="46"/>
        <v>0</v>
      </c>
      <c r="Y68" s="289">
        <f>'[1]Feb midyear JS Clark'!E65</f>
        <v>0</v>
      </c>
      <c r="Z68" s="290">
        <f t="shared" si="33"/>
        <v>0</v>
      </c>
      <c r="AA68" s="288">
        <f t="shared" si="47"/>
        <v>0</v>
      </c>
      <c r="AB68" s="324">
        <f t="shared" si="48"/>
        <v>0</v>
      </c>
      <c r="AC68" s="292">
        <f t="shared" si="49"/>
        <v>0</v>
      </c>
      <c r="AD68" s="324">
        <f t="shared" si="50"/>
        <v>0</v>
      </c>
      <c r="AE68" s="293">
        <v>0</v>
      </c>
      <c r="AF68" s="324">
        <f t="shared" si="51"/>
        <v>0</v>
      </c>
      <c r="AG68" s="293">
        <f>'[2]Table 5C1G-JS Clark Academy'!AI68+'[14]Table 5C1G-JS Clark Academy'!AI68+(6*'[20]Table 5C1G-JS Clark Academy'!AI68)</f>
        <v>0</v>
      </c>
      <c r="AH68" s="293">
        <f t="shared" si="52"/>
        <v>0</v>
      </c>
      <c r="AI68" s="324">
        <f t="shared" si="60"/>
        <v>0</v>
      </c>
      <c r="AJ68" s="321">
        <f t="shared" si="53"/>
        <v>0</v>
      </c>
      <c r="AK68" s="342">
        <f t="shared" si="54"/>
        <v>0</v>
      </c>
      <c r="AM68" s="286">
        <v>0</v>
      </c>
      <c r="AN68" s="286">
        <f t="shared" si="55"/>
        <v>0</v>
      </c>
      <c r="AO68" s="286">
        <f t="shared" si="56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2.1.14'!P65</f>
        <v>0</v>
      </c>
      <c r="D69" s="201">
        <f>+'Table 5C1A-Madison Prep'!D69</f>
        <v>4124.3813481848092</v>
      </c>
      <c r="E69" s="202">
        <f t="shared" si="36"/>
        <v>0</v>
      </c>
      <c r="F69" s="202">
        <f>+'Table 5C1A-Madison Prep'!F69</f>
        <v>756.79</v>
      </c>
      <c r="G69" s="202">
        <f t="shared" si="37"/>
        <v>0</v>
      </c>
      <c r="H69" s="345">
        <f t="shared" si="38"/>
        <v>0</v>
      </c>
      <c r="I69" s="991">
        <f>'[1]Oct midyear JS Clark'!K66</f>
        <v>0</v>
      </c>
      <c r="J69" s="203">
        <f>'[1]Feb midyear JS Clark'!K66</f>
        <v>0</v>
      </c>
      <c r="K69" s="204">
        <f t="shared" si="39"/>
        <v>0</v>
      </c>
      <c r="L69" s="345">
        <f t="shared" si="57"/>
        <v>0</v>
      </c>
      <c r="M69" s="286">
        <f t="shared" si="41"/>
        <v>0</v>
      </c>
      <c r="N69" s="345">
        <f t="shared" si="42"/>
        <v>0</v>
      </c>
      <c r="O69" s="201">
        <v>0</v>
      </c>
      <c r="P69" s="351">
        <f t="shared" si="43"/>
        <v>0</v>
      </c>
      <c r="Q69" s="203">
        <f>'[2]Table 5C1G-JS Clark Academy'!S69+'[14]Table 5C1G-JS Clark Academy'!S69+(6*'[20]Table 5C1G-JS Clark Academy'!S69)</f>
        <v>0</v>
      </c>
      <c r="R69" s="203">
        <f t="shared" si="44"/>
        <v>0</v>
      </c>
      <c r="S69" s="351">
        <f t="shared" si="58"/>
        <v>0</v>
      </c>
      <c r="T69" s="351">
        <f t="shared" si="45"/>
        <v>0</v>
      </c>
      <c r="U69" s="287">
        <f>'Table 5C1A-Madison Prep'!U69</f>
        <v>7403</v>
      </c>
      <c r="V69" s="328">
        <f t="shared" si="59"/>
        <v>0</v>
      </c>
      <c r="W69" s="995">
        <f>'[1]Oct midyear JS Clark'!E66</f>
        <v>0</v>
      </c>
      <c r="X69" s="290">
        <f t="shared" si="46"/>
        <v>0</v>
      </c>
      <c r="Y69" s="289">
        <f>'[1]Feb midyear JS Clark'!E66</f>
        <v>0</v>
      </c>
      <c r="Z69" s="290">
        <f t="shared" si="33"/>
        <v>0</v>
      </c>
      <c r="AA69" s="288">
        <f t="shared" si="47"/>
        <v>0</v>
      </c>
      <c r="AB69" s="324">
        <f t="shared" si="48"/>
        <v>0</v>
      </c>
      <c r="AC69" s="292">
        <f t="shared" si="49"/>
        <v>0</v>
      </c>
      <c r="AD69" s="324">
        <f t="shared" si="50"/>
        <v>0</v>
      </c>
      <c r="AE69" s="293">
        <v>0</v>
      </c>
      <c r="AF69" s="324">
        <f t="shared" si="51"/>
        <v>0</v>
      </c>
      <c r="AG69" s="293">
        <f>'[2]Table 5C1G-JS Clark Academy'!AI69+'[14]Table 5C1G-JS Clark Academy'!AI69+(6*'[20]Table 5C1G-JS Clark Academy'!AI69)</f>
        <v>0</v>
      </c>
      <c r="AH69" s="293">
        <f t="shared" si="52"/>
        <v>0</v>
      </c>
      <c r="AI69" s="324">
        <f t="shared" si="60"/>
        <v>0</v>
      </c>
      <c r="AJ69" s="321">
        <f t="shared" si="53"/>
        <v>0</v>
      </c>
      <c r="AK69" s="342">
        <f t="shared" si="54"/>
        <v>0</v>
      </c>
      <c r="AM69" s="286">
        <v>0</v>
      </c>
      <c r="AN69" s="286">
        <f t="shared" si="55"/>
        <v>0</v>
      </c>
      <c r="AO69" s="286">
        <f t="shared" si="56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2.1.14'!P66</f>
        <v>0</v>
      </c>
      <c r="D70" s="201">
        <f>+'Table 5C1A-Madison Prep'!D70</f>
        <v>6277.8307532778254</v>
      </c>
      <c r="E70" s="202">
        <f t="shared" si="36"/>
        <v>0</v>
      </c>
      <c r="F70" s="202">
        <f>+'Table 5C1A-Madison Prep'!F70</f>
        <v>592.66</v>
      </c>
      <c r="G70" s="202">
        <f t="shared" si="37"/>
        <v>0</v>
      </c>
      <c r="H70" s="345">
        <f t="shared" si="38"/>
        <v>0</v>
      </c>
      <c r="I70" s="991">
        <f>'[1]Oct midyear JS Clark'!K67</f>
        <v>0</v>
      </c>
      <c r="J70" s="203">
        <f>'[1]Feb midyear JS Clark'!K67</f>
        <v>0</v>
      </c>
      <c r="K70" s="204">
        <f t="shared" si="39"/>
        <v>0</v>
      </c>
      <c r="L70" s="345">
        <f t="shared" si="57"/>
        <v>0</v>
      </c>
      <c r="M70" s="286">
        <f t="shared" si="41"/>
        <v>0</v>
      </c>
      <c r="N70" s="345">
        <f t="shared" si="42"/>
        <v>0</v>
      </c>
      <c r="O70" s="201">
        <v>0</v>
      </c>
      <c r="P70" s="351">
        <f t="shared" si="43"/>
        <v>0</v>
      </c>
      <c r="Q70" s="203">
        <f>'[2]Table 5C1G-JS Clark Academy'!S70+'[14]Table 5C1G-JS Clark Academy'!S70+(6*'[20]Table 5C1G-JS Clark Academy'!S70)</f>
        <v>0</v>
      </c>
      <c r="R70" s="203">
        <f t="shared" si="44"/>
        <v>0</v>
      </c>
      <c r="S70" s="351">
        <f t="shared" si="58"/>
        <v>0</v>
      </c>
      <c r="T70" s="351">
        <f t="shared" si="45"/>
        <v>0</v>
      </c>
      <c r="U70" s="287">
        <f>'Table 5C1A-Madison Prep'!U70</f>
        <v>2802</v>
      </c>
      <c r="V70" s="328">
        <f t="shared" si="59"/>
        <v>0</v>
      </c>
      <c r="W70" s="995">
        <f>'[1]Oct midyear JS Clark'!E67</f>
        <v>0</v>
      </c>
      <c r="X70" s="290">
        <f t="shared" si="46"/>
        <v>0</v>
      </c>
      <c r="Y70" s="289">
        <f>'[1]Feb midyear JS Clark'!E67</f>
        <v>0</v>
      </c>
      <c r="Z70" s="290">
        <f t="shared" si="33"/>
        <v>0</v>
      </c>
      <c r="AA70" s="288">
        <f t="shared" si="47"/>
        <v>0</v>
      </c>
      <c r="AB70" s="324">
        <f t="shared" si="48"/>
        <v>0</v>
      </c>
      <c r="AC70" s="292">
        <f t="shared" si="49"/>
        <v>0</v>
      </c>
      <c r="AD70" s="324">
        <f t="shared" si="50"/>
        <v>0</v>
      </c>
      <c r="AE70" s="293">
        <v>0</v>
      </c>
      <c r="AF70" s="324">
        <f t="shared" si="51"/>
        <v>0</v>
      </c>
      <c r="AG70" s="293">
        <f>'[2]Table 5C1G-JS Clark Academy'!AI70+'[14]Table 5C1G-JS Clark Academy'!AI70+(6*'[20]Table 5C1G-JS Clark Academy'!AI70)</f>
        <v>0</v>
      </c>
      <c r="AH70" s="293">
        <f t="shared" si="52"/>
        <v>0</v>
      </c>
      <c r="AI70" s="324">
        <f t="shared" si="60"/>
        <v>0</v>
      </c>
      <c r="AJ70" s="321">
        <f t="shared" si="53"/>
        <v>0</v>
      </c>
      <c r="AK70" s="342">
        <f t="shared" si="54"/>
        <v>0</v>
      </c>
      <c r="AM70" s="286">
        <v>0</v>
      </c>
      <c r="AN70" s="286">
        <f t="shared" si="55"/>
        <v>0</v>
      </c>
      <c r="AO70" s="286">
        <f t="shared" si="56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2.1.14'!P67</f>
        <v>0</v>
      </c>
      <c r="D71" s="194">
        <f>+'Table 5C1A-Madison Prep'!D71</f>
        <v>4775.1605543943642</v>
      </c>
      <c r="E71" s="195">
        <f t="shared" si="36"/>
        <v>0</v>
      </c>
      <c r="F71" s="195">
        <f>+'Table 5C1A-Madison Prep'!F71</f>
        <v>829.12</v>
      </c>
      <c r="G71" s="195">
        <f t="shared" si="37"/>
        <v>0</v>
      </c>
      <c r="H71" s="346">
        <f t="shared" si="38"/>
        <v>0</v>
      </c>
      <c r="I71" s="992">
        <f>'[1]Oct midyear JS Clark'!K68</f>
        <v>0</v>
      </c>
      <c r="J71" s="196">
        <f>'[1]Feb midyear JS Clark'!K68</f>
        <v>0</v>
      </c>
      <c r="K71" s="197">
        <f t="shared" si="39"/>
        <v>0</v>
      </c>
      <c r="L71" s="346">
        <f t="shared" ref="L71:L75" si="61">H71+K71</f>
        <v>0</v>
      </c>
      <c r="M71" s="296">
        <f t="shared" si="41"/>
        <v>0</v>
      </c>
      <c r="N71" s="346">
        <f t="shared" si="42"/>
        <v>0</v>
      </c>
      <c r="O71" s="194">
        <v>0</v>
      </c>
      <c r="P71" s="352">
        <f t="shared" si="43"/>
        <v>0</v>
      </c>
      <c r="Q71" s="622">
        <f>'[2]Table 5C1G-JS Clark Academy'!S71+'[14]Table 5C1G-JS Clark Academy'!S71+(6*'[20]Table 5C1G-JS Clark Academy'!S71)</f>
        <v>0</v>
      </c>
      <c r="R71" s="196">
        <f t="shared" si="44"/>
        <v>0</v>
      </c>
      <c r="S71" s="356">
        <f t="shared" ref="S71:S75" si="62">ROUND(R71/$S$88,0)</f>
        <v>0</v>
      </c>
      <c r="T71" s="356">
        <f t="shared" si="45"/>
        <v>0</v>
      </c>
      <c r="U71" s="281">
        <f>'Table 5C1A-Madison Prep'!U71</f>
        <v>5215</v>
      </c>
      <c r="V71" s="329">
        <f t="shared" ref="V71:V75" si="63">C71*U71</f>
        <v>0</v>
      </c>
      <c r="W71" s="996">
        <f>'[1]Oct midyear JS Clark'!E68</f>
        <v>0</v>
      </c>
      <c r="X71" s="282">
        <f t="shared" si="46"/>
        <v>0</v>
      </c>
      <c r="Y71" s="884">
        <f>'[1]Feb midyear JS Clark'!E68</f>
        <v>0</v>
      </c>
      <c r="Z71" s="282">
        <f t="shared" ref="Z71:Z74" si="64">+U71*Y71*0.5</f>
        <v>0</v>
      </c>
      <c r="AA71" s="283">
        <f t="shared" si="47"/>
        <v>0</v>
      </c>
      <c r="AB71" s="325">
        <f t="shared" si="48"/>
        <v>0</v>
      </c>
      <c r="AC71" s="298">
        <f t="shared" si="49"/>
        <v>0</v>
      </c>
      <c r="AD71" s="325">
        <f t="shared" si="50"/>
        <v>0</v>
      </c>
      <c r="AE71" s="284">
        <v>0</v>
      </c>
      <c r="AF71" s="325">
        <f t="shared" si="51"/>
        <v>0</v>
      </c>
      <c r="AG71" s="284">
        <f>'[2]Table 5C1G-JS Clark Academy'!AI71+'[14]Table 5C1G-JS Clark Academy'!AI71+(6*'[20]Table 5C1G-JS Clark Academy'!AI71)</f>
        <v>0</v>
      </c>
      <c r="AH71" s="284">
        <f t="shared" si="52"/>
        <v>0</v>
      </c>
      <c r="AI71" s="325">
        <f t="shared" ref="AI71:AI75" si="65">ROUND(AH71/$AI$88,0)</f>
        <v>0</v>
      </c>
      <c r="AJ71" s="338">
        <f t="shared" si="53"/>
        <v>0</v>
      </c>
      <c r="AK71" s="343">
        <f t="shared" si="54"/>
        <v>0</v>
      </c>
      <c r="AM71" s="296">
        <v>0</v>
      </c>
      <c r="AN71" s="296">
        <f t="shared" si="55"/>
        <v>0</v>
      </c>
      <c r="AO71" s="296">
        <f t="shared" si="56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2.1.14'!P68</f>
        <v>0</v>
      </c>
      <c r="D72" s="208">
        <f>+'Table 5C1A-Madison Prep'!D72</f>
        <v>6564.0085433910035</v>
      </c>
      <c r="E72" s="209">
        <f t="shared" ref="E72:E75" si="66">C72*D72</f>
        <v>0</v>
      </c>
      <c r="F72" s="209">
        <f>+'Table 5C1A-Madison Prep'!F72</f>
        <v>730.06</v>
      </c>
      <c r="G72" s="209">
        <f t="shared" ref="G72:G75" si="67">C72*F72</f>
        <v>0</v>
      </c>
      <c r="H72" s="344">
        <f t="shared" ref="H72:H75" si="68">E72+G72</f>
        <v>0</v>
      </c>
      <c r="I72" s="990">
        <f>'[1]Oct midyear JS Clark'!K69</f>
        <v>0</v>
      </c>
      <c r="J72" s="210">
        <f>'[1]Feb midyear JS Clark'!K69</f>
        <v>0</v>
      </c>
      <c r="K72" s="211">
        <f t="shared" ref="K72:K75" si="69">I72+J72</f>
        <v>0</v>
      </c>
      <c r="L72" s="344">
        <f t="shared" si="61"/>
        <v>0</v>
      </c>
      <c r="M72" s="273">
        <f t="shared" ref="M72:M75" si="70">-(0.25%*L72)</f>
        <v>0</v>
      </c>
      <c r="N72" s="344">
        <f t="shared" ref="N72:N75" si="71">SUM(L72:M72)</f>
        <v>0</v>
      </c>
      <c r="O72" s="208">
        <v>0</v>
      </c>
      <c r="P72" s="350">
        <f t="shared" ref="P72:P75" si="72">SUM(N72:O72)</f>
        <v>0</v>
      </c>
      <c r="Q72" s="210">
        <f>'[2]Table 5C1G-JS Clark Academy'!S72+'[14]Table 5C1G-JS Clark Academy'!S72+(6*'[20]Table 5C1G-JS Clark Academy'!S72)</f>
        <v>0</v>
      </c>
      <c r="R72" s="210">
        <f t="shared" ref="R72:R75" si="73">P72-Q72</f>
        <v>0</v>
      </c>
      <c r="S72" s="350">
        <f t="shared" si="62"/>
        <v>0</v>
      </c>
      <c r="T72" s="350">
        <f t="shared" ref="T72:T75" si="74">+P72</f>
        <v>0</v>
      </c>
      <c r="U72" s="274">
        <f>'Table 5C1A-Madison Prep'!U72</f>
        <v>3609</v>
      </c>
      <c r="V72" s="327">
        <f t="shared" si="63"/>
        <v>0</v>
      </c>
      <c r="W72" s="994">
        <f>'[1]Oct midyear JS Clark'!E69</f>
        <v>0</v>
      </c>
      <c r="X72" s="276">
        <f t="shared" ref="X72:X75" si="75">W72*U72</f>
        <v>0</v>
      </c>
      <c r="Y72" s="883">
        <f>'[1]Feb midyear JS Clark'!E69</f>
        <v>0</v>
      </c>
      <c r="Z72" s="276">
        <f t="shared" si="64"/>
        <v>0</v>
      </c>
      <c r="AA72" s="275">
        <f t="shared" ref="AA72:AA75" si="76">+Z72+X72</f>
        <v>0</v>
      </c>
      <c r="AB72" s="323">
        <f t="shared" ref="AB72:AB75" si="77">V72+AA72</f>
        <v>0</v>
      </c>
      <c r="AC72" s="278">
        <f t="shared" ref="AC72:AC75" si="78">-(0.25%*AB72)</f>
        <v>0</v>
      </c>
      <c r="AD72" s="323">
        <f t="shared" ref="AD72:AD75" si="79">SUM(AB72:AC72)</f>
        <v>0</v>
      </c>
      <c r="AE72" s="279">
        <v>0</v>
      </c>
      <c r="AF72" s="323">
        <f t="shared" ref="AF72:AF75" si="80">SUM(AD72:AE72)</f>
        <v>0</v>
      </c>
      <c r="AG72" s="279">
        <f>'[2]Table 5C1G-JS Clark Academy'!AI72+'[14]Table 5C1G-JS Clark Academy'!AI72+(6*'[20]Table 5C1G-JS Clark Academy'!AI72)</f>
        <v>0</v>
      </c>
      <c r="AH72" s="279">
        <f t="shared" ref="AH72:AH75" si="81">AF72-AG72</f>
        <v>0</v>
      </c>
      <c r="AI72" s="323">
        <f t="shared" si="65"/>
        <v>0</v>
      </c>
      <c r="AJ72" s="337">
        <f t="shared" ref="AJ72:AJ75" si="82">T72+AF72</f>
        <v>0</v>
      </c>
      <c r="AK72" s="341">
        <f t="shared" ref="AK72:AK75" si="83">S72+AI72</f>
        <v>0</v>
      </c>
      <c r="AM72" s="310">
        <v>0</v>
      </c>
      <c r="AN72" s="310">
        <f t="shared" ref="AN72:AN75" si="84">+AC72</f>
        <v>0</v>
      </c>
      <c r="AO72" s="310">
        <f t="shared" si="56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2.1.14'!P69</f>
        <v>0</v>
      </c>
      <c r="D73" s="201">
        <f>+'Table 5C1A-Madison Prep'!D73</f>
        <v>5029.1467736134118</v>
      </c>
      <c r="E73" s="202">
        <f t="shared" si="66"/>
        <v>0</v>
      </c>
      <c r="F73" s="202">
        <f>+'Table 5C1A-Madison Prep'!F73</f>
        <v>715.61</v>
      </c>
      <c r="G73" s="202">
        <f t="shared" si="67"/>
        <v>0</v>
      </c>
      <c r="H73" s="345">
        <f t="shared" si="68"/>
        <v>0</v>
      </c>
      <c r="I73" s="991">
        <f>'[1]Oct midyear JS Clark'!K70</f>
        <v>0</v>
      </c>
      <c r="J73" s="203">
        <f>'[1]Feb midyear JS Clark'!K70</f>
        <v>0</v>
      </c>
      <c r="K73" s="204">
        <f t="shared" si="69"/>
        <v>0</v>
      </c>
      <c r="L73" s="345">
        <f t="shared" si="61"/>
        <v>0</v>
      </c>
      <c r="M73" s="286">
        <f t="shared" si="70"/>
        <v>0</v>
      </c>
      <c r="N73" s="345">
        <f t="shared" si="71"/>
        <v>0</v>
      </c>
      <c r="O73" s="201">
        <v>0</v>
      </c>
      <c r="P73" s="351">
        <f t="shared" si="72"/>
        <v>0</v>
      </c>
      <c r="Q73" s="203">
        <f>'[2]Table 5C1G-JS Clark Academy'!S73+'[14]Table 5C1G-JS Clark Academy'!S73+(6*'[20]Table 5C1G-JS Clark Academy'!S73)</f>
        <v>0</v>
      </c>
      <c r="R73" s="203">
        <f t="shared" si="73"/>
        <v>0</v>
      </c>
      <c r="S73" s="351">
        <f t="shared" si="62"/>
        <v>0</v>
      </c>
      <c r="T73" s="351">
        <f t="shared" si="74"/>
        <v>0</v>
      </c>
      <c r="U73" s="287">
        <f>'Table 5C1A-Madison Prep'!U73</f>
        <v>5069</v>
      </c>
      <c r="V73" s="328">
        <f t="shared" si="63"/>
        <v>0</v>
      </c>
      <c r="W73" s="995">
        <f>'[1]Oct midyear JS Clark'!E70</f>
        <v>0</v>
      </c>
      <c r="X73" s="290">
        <f t="shared" si="75"/>
        <v>0</v>
      </c>
      <c r="Y73" s="289">
        <f>'[1]Feb midyear JS Clark'!E70</f>
        <v>0</v>
      </c>
      <c r="Z73" s="290">
        <f t="shared" si="64"/>
        <v>0</v>
      </c>
      <c r="AA73" s="288">
        <f t="shared" si="76"/>
        <v>0</v>
      </c>
      <c r="AB73" s="324">
        <f t="shared" si="77"/>
        <v>0</v>
      </c>
      <c r="AC73" s="292">
        <f t="shared" si="78"/>
        <v>0</v>
      </c>
      <c r="AD73" s="324">
        <f t="shared" si="79"/>
        <v>0</v>
      </c>
      <c r="AE73" s="293">
        <v>0</v>
      </c>
      <c r="AF73" s="324">
        <f t="shared" si="80"/>
        <v>0</v>
      </c>
      <c r="AG73" s="293">
        <f>'[2]Table 5C1G-JS Clark Academy'!AI73+'[14]Table 5C1G-JS Clark Academy'!AI73+(6*'[20]Table 5C1G-JS Clark Academy'!AI73)</f>
        <v>0</v>
      </c>
      <c r="AH73" s="293">
        <f t="shared" si="81"/>
        <v>0</v>
      </c>
      <c r="AI73" s="324">
        <f t="shared" si="65"/>
        <v>0</v>
      </c>
      <c r="AJ73" s="321">
        <f t="shared" si="82"/>
        <v>0</v>
      </c>
      <c r="AK73" s="342">
        <f t="shared" si="83"/>
        <v>0</v>
      </c>
      <c r="AM73" s="310">
        <v>0</v>
      </c>
      <c r="AN73" s="310">
        <f t="shared" si="84"/>
        <v>0</v>
      </c>
      <c r="AO73" s="310">
        <f t="shared" si="56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2.1.14'!P70</f>
        <v>0</v>
      </c>
      <c r="D74" s="201">
        <f>+'Table 5C1A-Madison Prep'!D74</f>
        <v>6390.1644202560601</v>
      </c>
      <c r="E74" s="202">
        <f t="shared" si="66"/>
        <v>0</v>
      </c>
      <c r="F74" s="202">
        <f>+'Table 5C1A-Madison Prep'!F74</f>
        <v>798.7</v>
      </c>
      <c r="G74" s="202">
        <f t="shared" si="67"/>
        <v>0</v>
      </c>
      <c r="H74" s="345">
        <f t="shared" si="68"/>
        <v>0</v>
      </c>
      <c r="I74" s="991">
        <f>'[1]Oct midyear JS Clark'!K71</f>
        <v>0</v>
      </c>
      <c r="J74" s="203">
        <f>'[1]Feb midyear JS Clark'!K71</f>
        <v>0</v>
      </c>
      <c r="K74" s="204">
        <f t="shared" si="69"/>
        <v>0</v>
      </c>
      <c r="L74" s="345">
        <f t="shared" si="61"/>
        <v>0</v>
      </c>
      <c r="M74" s="286">
        <f t="shared" si="70"/>
        <v>0</v>
      </c>
      <c r="N74" s="345">
        <f t="shared" si="71"/>
        <v>0</v>
      </c>
      <c r="O74" s="201">
        <v>0</v>
      </c>
      <c r="P74" s="351">
        <f t="shared" si="72"/>
        <v>0</v>
      </c>
      <c r="Q74" s="203">
        <f>'[2]Table 5C1G-JS Clark Academy'!S74+'[14]Table 5C1G-JS Clark Academy'!S74+(6*'[20]Table 5C1G-JS Clark Academy'!S74)</f>
        <v>0</v>
      </c>
      <c r="R74" s="203">
        <f t="shared" si="73"/>
        <v>0</v>
      </c>
      <c r="S74" s="351">
        <f t="shared" si="62"/>
        <v>0</v>
      </c>
      <c r="T74" s="351">
        <f t="shared" si="74"/>
        <v>0</v>
      </c>
      <c r="U74" s="287">
        <f>'Table 5C1A-Madison Prep'!U74</f>
        <v>2880</v>
      </c>
      <c r="V74" s="328">
        <f t="shared" si="63"/>
        <v>0</v>
      </c>
      <c r="W74" s="995">
        <f>'[1]Oct midyear JS Clark'!E71</f>
        <v>0</v>
      </c>
      <c r="X74" s="290">
        <f t="shared" si="75"/>
        <v>0</v>
      </c>
      <c r="Y74" s="289">
        <f>'[1]Feb midyear JS Clark'!E71</f>
        <v>0</v>
      </c>
      <c r="Z74" s="290">
        <f t="shared" si="64"/>
        <v>0</v>
      </c>
      <c r="AA74" s="288">
        <f t="shared" si="76"/>
        <v>0</v>
      </c>
      <c r="AB74" s="324">
        <f t="shared" si="77"/>
        <v>0</v>
      </c>
      <c r="AC74" s="292">
        <f t="shared" si="78"/>
        <v>0</v>
      </c>
      <c r="AD74" s="324">
        <f t="shared" si="79"/>
        <v>0</v>
      </c>
      <c r="AE74" s="293">
        <v>0</v>
      </c>
      <c r="AF74" s="324">
        <f t="shared" si="80"/>
        <v>0</v>
      </c>
      <c r="AG74" s="293">
        <f>'[2]Table 5C1G-JS Clark Academy'!AI74+'[14]Table 5C1G-JS Clark Academy'!AI74+(6*'[20]Table 5C1G-JS Clark Academy'!AI74)</f>
        <v>0</v>
      </c>
      <c r="AH74" s="293">
        <f t="shared" si="81"/>
        <v>0</v>
      </c>
      <c r="AI74" s="324">
        <f t="shared" si="65"/>
        <v>0</v>
      </c>
      <c r="AJ74" s="321">
        <f t="shared" si="82"/>
        <v>0</v>
      </c>
      <c r="AK74" s="342">
        <f t="shared" si="83"/>
        <v>0</v>
      </c>
      <c r="AM74" s="310">
        <v>0</v>
      </c>
      <c r="AN74" s="310">
        <f t="shared" si="84"/>
        <v>0</v>
      </c>
      <c r="AO74" s="310">
        <f t="shared" si="56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2.1.14'!P71</f>
        <v>0</v>
      </c>
      <c r="D75" s="201">
        <f>+'Table 5C1A-Madison Prep'!D75</f>
        <v>5722.4947921281337</v>
      </c>
      <c r="E75" s="202">
        <f t="shared" si="66"/>
        <v>0</v>
      </c>
      <c r="F75" s="202">
        <f>+'Table 5C1A-Madison Prep'!F75</f>
        <v>705.67</v>
      </c>
      <c r="G75" s="202">
        <f t="shared" si="67"/>
        <v>0</v>
      </c>
      <c r="H75" s="345">
        <f t="shared" si="68"/>
        <v>0</v>
      </c>
      <c r="I75" s="991">
        <f>'[1]Oct midyear JS Clark'!K72</f>
        <v>0</v>
      </c>
      <c r="J75" s="203">
        <f>'[1]Feb midyear JS Clark'!K72</f>
        <v>0</v>
      </c>
      <c r="K75" s="204">
        <f t="shared" si="69"/>
        <v>0</v>
      </c>
      <c r="L75" s="345">
        <f t="shared" si="61"/>
        <v>0</v>
      </c>
      <c r="M75" s="286">
        <f t="shared" si="70"/>
        <v>0</v>
      </c>
      <c r="N75" s="345">
        <f t="shared" si="71"/>
        <v>0</v>
      </c>
      <c r="O75" s="201">
        <v>0</v>
      </c>
      <c r="P75" s="351">
        <f t="shared" si="72"/>
        <v>0</v>
      </c>
      <c r="Q75" s="203">
        <f>'[2]Table 5C1G-JS Clark Academy'!S75+'[14]Table 5C1G-JS Clark Academy'!S75+(6*'[20]Table 5C1G-JS Clark Academy'!S75)</f>
        <v>0</v>
      </c>
      <c r="R75" s="203">
        <f t="shared" si="73"/>
        <v>0</v>
      </c>
      <c r="S75" s="351">
        <f t="shared" si="62"/>
        <v>0</v>
      </c>
      <c r="T75" s="351">
        <f t="shared" si="74"/>
        <v>0</v>
      </c>
      <c r="U75" s="287">
        <f>'Table 5C1A-Madison Prep'!U75</f>
        <v>3330</v>
      </c>
      <c r="V75" s="328">
        <f t="shared" si="63"/>
        <v>0</v>
      </c>
      <c r="W75" s="995">
        <f>'[1]Oct midyear JS Clark'!E72</f>
        <v>0</v>
      </c>
      <c r="X75" s="290">
        <f t="shared" si="75"/>
        <v>0</v>
      </c>
      <c r="Y75" s="289">
        <f>'[1]Feb midyear JS Clark'!E72</f>
        <v>0</v>
      </c>
      <c r="Z75" s="290">
        <f>+U75*Y75*0.5</f>
        <v>0</v>
      </c>
      <c r="AA75" s="288">
        <f t="shared" si="76"/>
        <v>0</v>
      </c>
      <c r="AB75" s="324">
        <f t="shared" si="77"/>
        <v>0</v>
      </c>
      <c r="AC75" s="292">
        <f t="shared" si="78"/>
        <v>0</v>
      </c>
      <c r="AD75" s="324">
        <f t="shared" si="79"/>
        <v>0</v>
      </c>
      <c r="AE75" s="293">
        <v>0</v>
      </c>
      <c r="AF75" s="324">
        <f t="shared" si="80"/>
        <v>0</v>
      </c>
      <c r="AG75" s="293">
        <f>'[2]Table 5C1G-JS Clark Academy'!AI75+'[14]Table 5C1G-JS Clark Academy'!AI75+(6*'[20]Table 5C1G-JS Clark Academy'!AI75)</f>
        <v>0</v>
      </c>
      <c r="AH75" s="293">
        <f t="shared" si="81"/>
        <v>0</v>
      </c>
      <c r="AI75" s="324">
        <f t="shared" si="65"/>
        <v>0</v>
      </c>
      <c r="AJ75" s="321">
        <f t="shared" si="82"/>
        <v>0</v>
      </c>
      <c r="AK75" s="342">
        <f t="shared" si="83"/>
        <v>0</v>
      </c>
      <c r="AM75" s="300">
        <v>0</v>
      </c>
      <c r="AN75" s="300">
        <f t="shared" si="84"/>
        <v>0</v>
      </c>
      <c r="AO75" s="300">
        <f t="shared" si="56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196</v>
      </c>
      <c r="D76" s="28">
        <f>+'Table 5C1A-Madison Prep'!D76</f>
        <v>4479.9292126977662</v>
      </c>
      <c r="E76" s="35">
        <f>SUM(E7:E75)</f>
        <v>977333.14454001107</v>
      </c>
      <c r="F76" s="35">
        <f>+'Table 5C1A-Madison Prep'!F76</f>
        <v>704.64781030742063</v>
      </c>
      <c r="G76" s="35">
        <f>SUM(G7:G75)</f>
        <v>112710.19999999998</v>
      </c>
      <c r="H76" s="348">
        <f>SUM(H7:H75)</f>
        <v>1090043.3445400111</v>
      </c>
      <c r="I76" s="37">
        <f>SUM(I7:I75)</f>
        <v>131949.07311067299</v>
      </c>
      <c r="J76" s="71">
        <f>SUM(J7:J75)</f>
        <v>-34468.551308269438</v>
      </c>
      <c r="K76" s="60">
        <f t="shared" ref="K76:T76" si="85">SUM(K7:K75)</f>
        <v>97480.521802403571</v>
      </c>
      <c r="L76" s="366">
        <f t="shared" si="85"/>
        <v>1187523.8663424146</v>
      </c>
      <c r="M76" s="36">
        <f t="shared" si="85"/>
        <v>-2968.8096658560362</v>
      </c>
      <c r="N76" s="348">
        <f t="shared" si="85"/>
        <v>1184555.0566765585</v>
      </c>
      <c r="O76" s="28">
        <f t="shared" si="85"/>
        <v>29770</v>
      </c>
      <c r="P76" s="354">
        <f t="shared" si="85"/>
        <v>1214325.0566765585</v>
      </c>
      <c r="Q76" s="66">
        <f t="shared" si="85"/>
        <v>940809</v>
      </c>
      <c r="R76" s="66">
        <f t="shared" si="85"/>
        <v>273516.05667655857</v>
      </c>
      <c r="S76" s="354">
        <f t="shared" si="85"/>
        <v>68379</v>
      </c>
      <c r="T76" s="354">
        <f t="shared" si="85"/>
        <v>1214325.0566765585</v>
      </c>
      <c r="U76" s="83">
        <f>'Table 5C1A-Madison Prep'!U76</f>
        <v>4703</v>
      </c>
      <c r="V76" s="330">
        <f t="shared" ref="V76:AK76" si="86">SUM(V7:V75)</f>
        <v>473621</v>
      </c>
      <c r="W76" s="1001">
        <f t="shared" si="86"/>
        <v>24</v>
      </c>
      <c r="X76" s="76">
        <f t="shared" si="86"/>
        <v>60993</v>
      </c>
      <c r="Y76" s="74">
        <f t="shared" si="86"/>
        <v>-13</v>
      </c>
      <c r="Z76" s="75">
        <f t="shared" si="86"/>
        <v>-19010.5</v>
      </c>
      <c r="AA76" s="63">
        <f t="shared" si="86"/>
        <v>41982.5</v>
      </c>
      <c r="AB76" s="333">
        <f t="shared" si="86"/>
        <v>515603.5</v>
      </c>
      <c r="AC76" s="37">
        <f t="shared" si="86"/>
        <v>-1289.00875</v>
      </c>
      <c r="AD76" s="330">
        <f t="shared" si="86"/>
        <v>514314.49125000002</v>
      </c>
      <c r="AE76" s="85">
        <f t="shared" si="86"/>
        <v>13239.5</v>
      </c>
      <c r="AF76" s="330">
        <f t="shared" si="86"/>
        <v>527553.99124999996</v>
      </c>
      <c r="AG76" s="85">
        <f t="shared" si="86"/>
        <v>397982</v>
      </c>
      <c r="AH76" s="85">
        <f t="shared" si="86"/>
        <v>129571.99125000001</v>
      </c>
      <c r="AI76" s="330">
        <f t="shared" si="86"/>
        <v>32393</v>
      </c>
      <c r="AJ76" s="339">
        <f t="shared" si="86"/>
        <v>1741879.0479265586</v>
      </c>
      <c r="AK76" s="339">
        <f t="shared" si="86"/>
        <v>100772</v>
      </c>
      <c r="AM76" s="36">
        <f>SUM(AM7:AM75)</f>
        <v>-1161.5625</v>
      </c>
      <c r="AN76" s="36">
        <f>SUM(AN7:AN75)</f>
        <v>-1289.00875</v>
      </c>
      <c r="AO76" s="36">
        <f>SUM(AO7:AO75)</f>
        <v>-127.44624999999991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4'!$E104</f>
        <v>0</v>
      </c>
      <c r="Q77" s="203">
        <f>'[2]Table 5C1G-JS Clark Academy'!S77+'[14]Table 5C1G-JS Clark Academy'!S77+(6*'[20]Table 5C1G-JS Clark Academy'!S77)</f>
        <v>0</v>
      </c>
      <c r="R77" s="222">
        <f t="shared" ref="R77" si="87">P77-Q77</f>
        <v>0</v>
      </c>
      <c r="S77" s="351">
        <f t="shared" ref="S77:S81" si="88">ROUND(R77/$S$88,0)</f>
        <v>0</v>
      </c>
      <c r="T77" s="351">
        <f>'Table 4 Level 4'!$E104</f>
        <v>0</v>
      </c>
      <c r="U77" s="287"/>
      <c r="V77" s="290"/>
      <c r="W77" s="412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89">T77+AF77</f>
        <v>0</v>
      </c>
      <c r="AK77" s="321">
        <f t="shared" ref="AK77:AK81" si="90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03"/>
      <c r="R78" s="222"/>
      <c r="S78" s="203"/>
      <c r="T78" s="351">
        <f>'Table 4 Level 4'!$J104</f>
        <v>0</v>
      </c>
      <c r="U78" s="287"/>
      <c r="V78" s="290"/>
      <c r="W78" s="412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89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03"/>
      <c r="R79" s="222"/>
      <c r="S79" s="203"/>
      <c r="T79" s="351">
        <f>'Table 4 Level 4'!$L104</f>
        <v>10000</v>
      </c>
      <c r="U79" s="287"/>
      <c r="V79" s="290"/>
      <c r="W79" s="412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89"/>
        <v>10000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03"/>
      <c r="R80" s="222"/>
      <c r="S80" s="203"/>
      <c r="T80" s="351">
        <f>'Table 4 Level 4'!$M104</f>
        <v>0</v>
      </c>
      <c r="U80" s="287"/>
      <c r="V80" s="290"/>
      <c r="W80" s="412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89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4'!O104</f>
        <v>3146</v>
      </c>
      <c r="Q81" s="885">
        <f>'[2]Table 5C1G-JS Clark Academy'!S81+'[14]Table 5C1G-JS Clark Academy'!S81+(6*'[20]Table 5C1G-JS Clark Academy'!S81)</f>
        <v>2096</v>
      </c>
      <c r="R81" s="217">
        <f t="shared" ref="R81" si="91">P81-Q81</f>
        <v>1050</v>
      </c>
      <c r="S81" s="358">
        <f t="shared" si="88"/>
        <v>263</v>
      </c>
      <c r="T81" s="358">
        <f>P81</f>
        <v>3146</v>
      </c>
      <c r="U81" s="308"/>
      <c r="V81" s="302"/>
      <c r="W81" s="413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89"/>
        <v>3146</v>
      </c>
      <c r="AK81" s="322">
        <f t="shared" si="90"/>
        <v>263</v>
      </c>
    </row>
    <row r="82" spans="1:37" ht="16.149999999999999" customHeight="1" thickBot="1">
      <c r="A82" s="1442" t="s">
        <v>710</v>
      </c>
      <c r="B82" s="1415"/>
      <c r="C82" s="136">
        <f>SUM(C76:C81)</f>
        <v>196</v>
      </c>
      <c r="D82" s="128">
        <f t="shared" ref="D82:AK82" si="92">SUM(D76:D81)</f>
        <v>4479.9292126977662</v>
      </c>
      <c r="E82" s="128">
        <f t="shared" si="92"/>
        <v>977333.14454001107</v>
      </c>
      <c r="F82" s="128">
        <f t="shared" si="92"/>
        <v>704.64781030742063</v>
      </c>
      <c r="G82" s="128">
        <f t="shared" si="92"/>
        <v>112710.19999999998</v>
      </c>
      <c r="H82" s="128">
        <f t="shared" si="92"/>
        <v>1090043.3445400111</v>
      </c>
      <c r="I82" s="134">
        <f t="shared" si="92"/>
        <v>131949.07311067299</v>
      </c>
      <c r="J82" s="133">
        <f t="shared" si="92"/>
        <v>-34468.551308269438</v>
      </c>
      <c r="K82" s="133">
        <f t="shared" si="92"/>
        <v>97480.521802403571</v>
      </c>
      <c r="L82" s="128">
        <f t="shared" si="92"/>
        <v>1187523.8663424146</v>
      </c>
      <c r="M82" s="133">
        <f t="shared" si="92"/>
        <v>-2968.8096658560362</v>
      </c>
      <c r="N82" s="128">
        <f t="shared" si="92"/>
        <v>1184555.0566765585</v>
      </c>
      <c r="O82" s="128">
        <f t="shared" si="92"/>
        <v>29770</v>
      </c>
      <c r="P82" s="355">
        <f t="shared" si="92"/>
        <v>1217471.0566765585</v>
      </c>
      <c r="Q82" s="133">
        <f t="shared" si="92"/>
        <v>942905</v>
      </c>
      <c r="R82" s="133">
        <f t="shared" si="92"/>
        <v>274566.05667655857</v>
      </c>
      <c r="S82" s="355">
        <f t="shared" si="92"/>
        <v>68642</v>
      </c>
      <c r="T82" s="355">
        <f t="shared" si="92"/>
        <v>1227471.0566765585</v>
      </c>
      <c r="U82" s="137">
        <f t="shared" si="92"/>
        <v>4703</v>
      </c>
      <c r="V82" s="134">
        <f t="shared" si="92"/>
        <v>473621</v>
      </c>
      <c r="W82" s="136">
        <f t="shared" si="92"/>
        <v>24</v>
      </c>
      <c r="X82" s="134">
        <f t="shared" si="92"/>
        <v>60993</v>
      </c>
      <c r="Y82" s="136">
        <f t="shared" si="92"/>
        <v>-13</v>
      </c>
      <c r="Z82" s="134">
        <f t="shared" si="92"/>
        <v>-19010.5</v>
      </c>
      <c r="AA82" s="134">
        <f t="shared" si="92"/>
        <v>41982.5</v>
      </c>
      <c r="AB82" s="134">
        <f t="shared" si="92"/>
        <v>515603.5</v>
      </c>
      <c r="AC82" s="134">
        <f t="shared" si="92"/>
        <v>-1289.00875</v>
      </c>
      <c r="AD82" s="134">
        <f t="shared" si="92"/>
        <v>514314.49125000002</v>
      </c>
      <c r="AE82" s="134">
        <f t="shared" si="92"/>
        <v>13239.5</v>
      </c>
      <c r="AF82" s="134">
        <f t="shared" si="92"/>
        <v>527553.99124999996</v>
      </c>
      <c r="AG82" s="134">
        <f t="shared" si="92"/>
        <v>397982</v>
      </c>
      <c r="AH82" s="134">
        <f t="shared" si="92"/>
        <v>129571.99125000001</v>
      </c>
      <c r="AI82" s="134">
        <f t="shared" si="92"/>
        <v>32393</v>
      </c>
      <c r="AJ82" s="320">
        <f t="shared" si="92"/>
        <v>1755025.0479265586</v>
      </c>
      <c r="AK82" s="320">
        <f t="shared" si="92"/>
        <v>101035</v>
      </c>
    </row>
    <row r="83" spans="1:37" ht="16.149999999999999" hidden="1" customHeight="1" thickTop="1">
      <c r="C83" s="727"/>
      <c r="I83" s="627"/>
      <c r="J83" s="627"/>
      <c r="K83" s="627"/>
      <c r="W83" s="727"/>
      <c r="Y83" s="727"/>
    </row>
    <row r="84" spans="1:37" ht="16.149999999999999" hidden="1" customHeight="1">
      <c r="C84" s="727"/>
      <c r="I84" s="627"/>
      <c r="J84" s="627"/>
      <c r="K84" s="627"/>
      <c r="M84" s="627">
        <v>-2725.1083613500277</v>
      </c>
      <c r="N84" s="427" t="s">
        <v>1044</v>
      </c>
      <c r="W84" s="727"/>
      <c r="Y84" s="727"/>
    </row>
    <row r="85" spans="1:37" ht="16.149999999999999" hidden="1" customHeight="1">
      <c r="C85" s="727"/>
      <c r="I85" s="627"/>
      <c r="J85" s="627"/>
      <c r="K85" s="627"/>
      <c r="M85" s="627">
        <f>M82-M84</f>
        <v>-243.70130450600846</v>
      </c>
      <c r="N85" s="427" t="s">
        <v>1045</v>
      </c>
      <c r="W85" s="727"/>
      <c r="Y85" s="727"/>
    </row>
    <row r="86" spans="1:37" ht="16.149999999999999" hidden="1" customHeight="1">
      <c r="C86" s="727"/>
      <c r="I86" s="627"/>
      <c r="J86" s="627"/>
      <c r="K86" s="627"/>
      <c r="M86" s="627"/>
      <c r="W86" s="727"/>
      <c r="Y86" s="727"/>
    </row>
    <row r="87" spans="1:37" ht="16.149999999999999" hidden="1" customHeight="1">
      <c r="C87" s="727"/>
      <c r="I87" s="627"/>
      <c r="J87" s="627"/>
      <c r="K87" s="627"/>
      <c r="M87" s="627"/>
      <c r="W87" s="727"/>
      <c r="Y87" s="727"/>
    </row>
    <row r="88" spans="1:37" ht="16.149999999999999" hidden="1" customHeight="1">
      <c r="C88" s="727"/>
      <c r="M88" s="627"/>
      <c r="R88" s="427" t="str">
        <f>'Table 2_State Distrib and Adjs'!$AK$77</f>
        <v>Monthly Pmts Remaining</v>
      </c>
      <c r="S88" s="427">
        <f>'Table 2_State Distrib and Adjs'!$AL$77</f>
        <v>4</v>
      </c>
      <c r="AH88" s="427" t="str">
        <f>'Table 2_State Distrib and Adjs'!$AK$77</f>
        <v>Monthly Pmts Remaining</v>
      </c>
      <c r="AI88" s="427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3">
    <mergeCell ref="AG3:AG4"/>
    <mergeCell ref="AH3:AH4"/>
    <mergeCell ref="AI3:AI4"/>
    <mergeCell ref="U1:AB1"/>
    <mergeCell ref="AC1:AI1"/>
    <mergeCell ref="W3:W4"/>
    <mergeCell ref="X3:X4"/>
    <mergeCell ref="Y3:Y4"/>
    <mergeCell ref="Z3:Z4"/>
    <mergeCell ref="W2:AA2"/>
    <mergeCell ref="A1:B4"/>
    <mergeCell ref="P3:P4"/>
    <mergeCell ref="S3:S4"/>
    <mergeCell ref="U3:U4"/>
    <mergeCell ref="I3:I4"/>
    <mergeCell ref="J3:J4"/>
    <mergeCell ref="I2:K2"/>
    <mergeCell ref="T3:T4"/>
    <mergeCell ref="M1:T1"/>
    <mergeCell ref="C1:L1"/>
    <mergeCell ref="AJ1:AJ4"/>
    <mergeCell ref="AK1:AK4"/>
    <mergeCell ref="C3:C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AB3:AB4"/>
    <mergeCell ref="K3:K4"/>
    <mergeCell ref="L3:L4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5C1-G: FY2014-15 MFP Budget Letter (March 2015)
J.S. Clark Leadership Academy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O98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427" customWidth="1"/>
    <col min="2" max="2" width="37.7109375" style="427" customWidth="1"/>
    <col min="3" max="3" width="12" style="427" bestFit="1" customWidth="1"/>
    <col min="4" max="4" width="14.28515625" style="427" bestFit="1" customWidth="1"/>
    <col min="5" max="5" width="10.140625" style="427" bestFit="1" customWidth="1"/>
    <col min="6" max="7" width="12.28515625" style="427" bestFit="1" customWidth="1"/>
    <col min="8" max="8" width="11.42578125" style="427" bestFit="1" customWidth="1"/>
    <col min="9" max="12" width="11.85546875" style="427" bestFit="1" customWidth="1"/>
    <col min="13" max="13" width="10.85546875" style="427" bestFit="1" customWidth="1"/>
    <col min="14" max="14" width="13.140625" style="427" customWidth="1"/>
    <col min="15" max="15" width="13.42578125" style="427" bestFit="1" customWidth="1"/>
    <col min="16" max="16" width="14.7109375" style="427" customWidth="1"/>
    <col min="17" max="18" width="14" style="427" customWidth="1"/>
    <col min="19" max="19" width="10.7109375" style="427" customWidth="1"/>
    <col min="20" max="20" width="14.85546875" style="427" customWidth="1"/>
    <col min="21" max="22" width="14.5703125" style="427" customWidth="1"/>
    <col min="23" max="23" width="11.7109375" style="427" customWidth="1"/>
    <col min="24" max="24" width="14.42578125" style="427" bestFit="1" customWidth="1"/>
    <col min="25" max="27" width="11.7109375" style="427" customWidth="1"/>
    <col min="28" max="28" width="14.42578125" style="427" bestFit="1" customWidth="1"/>
    <col min="29" max="29" width="10.5703125" style="427" customWidth="1"/>
    <col min="30" max="30" width="14.42578125" style="427" bestFit="1" customWidth="1"/>
    <col min="31" max="31" width="11.85546875" style="427" bestFit="1" customWidth="1"/>
    <col min="32" max="32" width="14.42578125" style="427" bestFit="1" customWidth="1"/>
    <col min="33" max="34" width="10.7109375" style="427" bestFit="1" customWidth="1"/>
    <col min="35" max="37" width="14.42578125" style="427" bestFit="1" customWidth="1"/>
    <col min="38" max="38" width="0" style="427" hidden="1" customWidth="1"/>
    <col min="39" max="40" width="12.28515625" style="427" hidden="1" customWidth="1"/>
    <col min="41" max="41" width="10" style="427" hidden="1" customWidth="1"/>
    <col min="42" max="16384" width="8.85546875" style="427"/>
  </cols>
  <sheetData>
    <row r="1" spans="1:41" ht="23.45" customHeight="1">
      <c r="A1" s="1535" t="s">
        <v>270</v>
      </c>
      <c r="B1" s="1536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454"/>
      <c r="B2" s="1455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37"/>
      <c r="B3" s="1455"/>
      <c r="C3" s="1525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38"/>
      <c r="B4" s="1457"/>
      <c r="C4" s="1520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P5" si="1">E5+1</f>
        <v>4</v>
      </c>
      <c r="G5" s="23">
        <f t="shared" si="1"/>
        <v>5</v>
      </c>
      <c r="H5" s="23">
        <f t="shared" si="1"/>
        <v>6</v>
      </c>
      <c r="I5" s="23">
        <f t="shared" ref="I5" si="2">H5+1</f>
        <v>7</v>
      </c>
      <c r="J5" s="23">
        <f t="shared" ref="J5" si="3">I5+1</f>
        <v>8</v>
      </c>
      <c r="K5" s="23">
        <f t="shared" ref="K5" si="4">J5+1</f>
        <v>9</v>
      </c>
      <c r="L5" s="23">
        <f t="shared" ref="L5" si="5">K5+1</f>
        <v>10</v>
      </c>
      <c r="M5" s="23">
        <f t="shared" ref="M5" si="6">L5+1</f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ref="Q5" si="7">P5+1</f>
        <v>15</v>
      </c>
      <c r="R5" s="23">
        <f t="shared" ref="R5" si="8">Q5+1</f>
        <v>16</v>
      </c>
      <c r="S5" s="23">
        <f t="shared" ref="S5" si="9">R5+1</f>
        <v>17</v>
      </c>
      <c r="T5" s="23">
        <f t="shared" ref="T5" si="10">S5+1</f>
        <v>18</v>
      </c>
      <c r="U5" s="23">
        <f t="shared" ref="U5" si="11">T5+1</f>
        <v>19</v>
      </c>
      <c r="V5" s="23">
        <f t="shared" ref="V5" si="12">U5+1</f>
        <v>20</v>
      </c>
      <c r="W5" s="23">
        <f t="shared" ref="W5" si="13">V5+1</f>
        <v>21</v>
      </c>
      <c r="X5" s="23">
        <f t="shared" ref="X5" si="14">W5+1</f>
        <v>22</v>
      </c>
      <c r="Y5" s="23">
        <f t="shared" ref="Y5" si="15">X5+1</f>
        <v>23</v>
      </c>
      <c r="Z5" s="23">
        <f t="shared" ref="Z5" si="16">Y5+1</f>
        <v>24</v>
      </c>
      <c r="AA5" s="23">
        <f t="shared" ref="AA5" si="17">Z5+1</f>
        <v>25</v>
      </c>
      <c r="AB5" s="23">
        <f t="shared" ref="AB5" si="18">AA5+1</f>
        <v>26</v>
      </c>
      <c r="AC5" s="23">
        <f t="shared" ref="AC5" si="19">AB5+1</f>
        <v>27</v>
      </c>
      <c r="AD5" s="23">
        <f t="shared" ref="AD5" si="20">AC5+1</f>
        <v>28</v>
      </c>
      <c r="AE5" s="23">
        <f t="shared" ref="AE5" si="21">AD5+1</f>
        <v>29</v>
      </c>
      <c r="AF5" s="23">
        <f t="shared" ref="AF5" si="22">AE5+1</f>
        <v>30</v>
      </c>
      <c r="AG5" s="23">
        <f t="shared" ref="AG5" si="23">AF5+1</f>
        <v>31</v>
      </c>
      <c r="AH5" s="23">
        <f t="shared" ref="AH5" si="24">AG5+1</f>
        <v>32</v>
      </c>
      <c r="AI5" s="23">
        <f t="shared" ref="AI5" si="25">AH5+1</f>
        <v>33</v>
      </c>
      <c r="AJ5" s="23">
        <f t="shared" ref="AJ5" si="26">AI5+1</f>
        <v>34</v>
      </c>
      <c r="AK5" s="23">
        <f t="shared" ref="AK5" si="27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2.1.14'!G3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990">
        <f>'[1]Oct midyear Southwest'!K4</f>
        <v>0</v>
      </c>
      <c r="J7" s="210">
        <f>'[1]Feb midyear Southwest'!K4</f>
        <v>0</v>
      </c>
      <c r="K7" s="211">
        <f>I7+J7</f>
        <v>0</v>
      </c>
      <c r="L7" s="344">
        <f>+H7+K7</f>
        <v>0</v>
      </c>
      <c r="M7" s="273">
        <f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'[2]Table 5C1H-Southwest LA Charter'!S7+'[14]Table 5C1H-Southwest LA Charter'!S7+(6*'[20]Table 5C1H-Southwest LA Charter'!S7)</f>
        <v>0</v>
      </c>
      <c r="R7" s="210">
        <f>+P7-Q7</f>
        <v>0</v>
      </c>
      <c r="S7" s="350">
        <f t="shared" ref="S7:S38" si="28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994">
        <f>'[1]Oct midyear Southwest'!E4</f>
        <v>0</v>
      </c>
      <c r="X7" s="276">
        <f>+U7*W7</f>
        <v>0</v>
      </c>
      <c r="Y7" s="883">
        <f>'[1]Feb midyear Southwest'!E4</f>
        <v>0</v>
      </c>
      <c r="Z7" s="276">
        <f t="shared" ref="Z7:Z70" si="29">+U7*Y7*0.5</f>
        <v>0</v>
      </c>
      <c r="AA7" s="275">
        <f t="shared" ref="AA7:AA70" si="30">+X7+Z7</f>
        <v>0</v>
      </c>
      <c r="AB7" s="323">
        <f t="shared" ref="AB7:AB70" si="31">+AA7+V7</f>
        <v>0</v>
      </c>
      <c r="AC7" s="278">
        <f t="shared" ref="AC7:AC70" si="32"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'[2]Table 5C1H-Southwest LA Charter'!AI7+'[14]Table 5C1H-Southwest LA Charter'!AI7+(6*'[20]Table 5C1H-Southwest LA Charter'!AI7)</f>
        <v>0</v>
      </c>
      <c r="AH7" s="279">
        <f>+AF7-AG7</f>
        <v>0</v>
      </c>
      <c r="AI7" s="323">
        <f t="shared" ref="AI7:AI38" si="33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34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2.1.14'!G4</f>
        <v>0</v>
      </c>
      <c r="D8" s="201">
        <f>+'Table 5C1A-Madison Prep'!D8</f>
        <v>6316.6266417386641</v>
      </c>
      <c r="E8" s="202">
        <f t="shared" ref="E8:E71" si="35">C8*D8</f>
        <v>0</v>
      </c>
      <c r="F8" s="202">
        <f>+'Table 5C1A-Madison Prep'!F8</f>
        <v>842.32</v>
      </c>
      <c r="G8" s="202">
        <f t="shared" ref="G8:G71" si="36">C8*F8</f>
        <v>0</v>
      </c>
      <c r="H8" s="345">
        <f t="shared" ref="H8:H71" si="37">E8+G8</f>
        <v>0</v>
      </c>
      <c r="I8" s="991">
        <f>'[1]Oct midyear Southwest'!K5</f>
        <v>0</v>
      </c>
      <c r="J8" s="203">
        <f>'[1]Feb midyear Southwest'!K5</f>
        <v>0</v>
      </c>
      <c r="K8" s="204">
        <f t="shared" ref="K8:K71" si="38">I8+J8</f>
        <v>0</v>
      </c>
      <c r="L8" s="345">
        <f t="shared" ref="L8:L71" si="39">+H8+K8</f>
        <v>0</v>
      </c>
      <c r="M8" s="286">
        <f t="shared" ref="M8:M71" si="40">-(0.25%*L8)</f>
        <v>0</v>
      </c>
      <c r="N8" s="345">
        <f t="shared" ref="N8:N71" si="41">SUM(L8:M8)</f>
        <v>0</v>
      </c>
      <c r="O8" s="201">
        <v>0</v>
      </c>
      <c r="P8" s="351">
        <f t="shared" ref="P8:P71" si="42">SUM(N8:O8)</f>
        <v>0</v>
      </c>
      <c r="Q8" s="203">
        <f>'[2]Table 5C1H-Southwest LA Charter'!S8+'[14]Table 5C1H-Southwest LA Charter'!S8+(6*'[20]Table 5C1H-Southwest LA Charter'!S8)</f>
        <v>0</v>
      </c>
      <c r="R8" s="203">
        <f t="shared" ref="R8:R71" si="43">+P8-Q8</f>
        <v>0</v>
      </c>
      <c r="S8" s="351">
        <f t="shared" si="28"/>
        <v>0</v>
      </c>
      <c r="T8" s="351">
        <f t="shared" ref="T8:T71" si="44">+P8</f>
        <v>0</v>
      </c>
      <c r="U8" s="287">
        <f>'Table 5C1A-Madison Prep'!U8</f>
        <v>2786</v>
      </c>
      <c r="V8" s="328">
        <f t="shared" ref="V8:V71" si="45">C8*U8</f>
        <v>0</v>
      </c>
      <c r="W8" s="995">
        <f>'[1]Oct midyear Southwest'!E5</f>
        <v>0</v>
      </c>
      <c r="X8" s="290">
        <f t="shared" ref="X8:X71" si="46">+U8*W8</f>
        <v>0</v>
      </c>
      <c r="Y8" s="289">
        <f>'[1]Feb midyear Southwest'!E5</f>
        <v>0</v>
      </c>
      <c r="Z8" s="290">
        <f t="shared" si="29"/>
        <v>0</v>
      </c>
      <c r="AA8" s="288">
        <f t="shared" si="30"/>
        <v>0</v>
      </c>
      <c r="AB8" s="324">
        <f t="shared" si="31"/>
        <v>0</v>
      </c>
      <c r="AC8" s="292">
        <f t="shared" si="32"/>
        <v>0</v>
      </c>
      <c r="AD8" s="324">
        <f t="shared" ref="AD8:AD71" si="47">SUM(AB8:AC8)</f>
        <v>0</v>
      </c>
      <c r="AE8" s="293">
        <v>0</v>
      </c>
      <c r="AF8" s="324">
        <f t="shared" ref="AF8:AF71" si="48">SUM(AD8:AE8)</f>
        <v>0</v>
      </c>
      <c r="AG8" s="293">
        <f>'[2]Table 5C1H-Southwest LA Charter'!AI8+'[14]Table 5C1H-Southwest LA Charter'!AI8+(6*'[20]Table 5C1H-Southwest LA Charter'!AI8)</f>
        <v>0</v>
      </c>
      <c r="AH8" s="293">
        <f t="shared" ref="AH8:AH71" si="49">+AF8-AG8</f>
        <v>0</v>
      </c>
      <c r="AI8" s="324">
        <f t="shared" si="33"/>
        <v>0</v>
      </c>
      <c r="AJ8" s="321">
        <f t="shared" ref="AJ8:AJ71" si="50">T8+AF8</f>
        <v>0</v>
      </c>
      <c r="AK8" s="342">
        <f t="shared" ref="AK8:AK71" si="51">S8+AI8</f>
        <v>0</v>
      </c>
      <c r="AM8" s="286">
        <v>0</v>
      </c>
      <c r="AN8" s="286">
        <f t="shared" ref="AN8:AN71" si="52">+AC8</f>
        <v>0</v>
      </c>
      <c r="AO8" s="286">
        <f t="shared" si="34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2.1.14'!G5</f>
        <v>0</v>
      </c>
      <c r="D9" s="201">
        <f>+'Table 5C1A-Madison Prep'!D9</f>
        <v>4155.1862027396819</v>
      </c>
      <c r="E9" s="202">
        <f t="shared" si="35"/>
        <v>0</v>
      </c>
      <c r="F9" s="202">
        <f>+'Table 5C1A-Madison Prep'!F9</f>
        <v>596.84</v>
      </c>
      <c r="G9" s="202">
        <f t="shared" si="36"/>
        <v>0</v>
      </c>
      <c r="H9" s="345">
        <f t="shared" si="37"/>
        <v>0</v>
      </c>
      <c r="I9" s="991">
        <f>'[1]Oct midyear Southwest'!K6</f>
        <v>0</v>
      </c>
      <c r="J9" s="203">
        <f>'[1]Feb midyear Southwest'!K6</f>
        <v>0</v>
      </c>
      <c r="K9" s="204">
        <f t="shared" si="38"/>
        <v>0</v>
      </c>
      <c r="L9" s="345">
        <f t="shared" si="39"/>
        <v>0</v>
      </c>
      <c r="M9" s="286">
        <f t="shared" si="40"/>
        <v>0</v>
      </c>
      <c r="N9" s="345">
        <f t="shared" si="41"/>
        <v>0</v>
      </c>
      <c r="O9" s="201">
        <v>0</v>
      </c>
      <c r="P9" s="351">
        <f t="shared" si="42"/>
        <v>0</v>
      </c>
      <c r="Q9" s="203">
        <f>'[2]Table 5C1H-Southwest LA Charter'!S9+'[14]Table 5C1H-Southwest LA Charter'!S9+(6*'[20]Table 5C1H-Southwest LA Charter'!S9)</f>
        <v>0</v>
      </c>
      <c r="R9" s="203">
        <f t="shared" si="43"/>
        <v>0</v>
      </c>
      <c r="S9" s="351">
        <f t="shared" si="28"/>
        <v>0</v>
      </c>
      <c r="T9" s="351">
        <f t="shared" si="44"/>
        <v>0</v>
      </c>
      <c r="U9" s="287">
        <f>'Table 5C1A-Madison Prep'!U9</f>
        <v>5927</v>
      </c>
      <c r="V9" s="328">
        <f t="shared" si="45"/>
        <v>0</v>
      </c>
      <c r="W9" s="995">
        <f>'[1]Oct midyear Southwest'!E6</f>
        <v>0</v>
      </c>
      <c r="X9" s="290">
        <f t="shared" si="46"/>
        <v>0</v>
      </c>
      <c r="Y9" s="289">
        <f>'[1]Feb midyear Southwest'!E6</f>
        <v>0</v>
      </c>
      <c r="Z9" s="290">
        <f t="shared" si="29"/>
        <v>0</v>
      </c>
      <c r="AA9" s="288">
        <f t="shared" si="30"/>
        <v>0</v>
      </c>
      <c r="AB9" s="324">
        <f t="shared" si="31"/>
        <v>0</v>
      </c>
      <c r="AC9" s="292">
        <f t="shared" si="32"/>
        <v>0</v>
      </c>
      <c r="AD9" s="324">
        <f t="shared" si="47"/>
        <v>0</v>
      </c>
      <c r="AE9" s="293">
        <v>0</v>
      </c>
      <c r="AF9" s="324">
        <f t="shared" si="48"/>
        <v>0</v>
      </c>
      <c r="AG9" s="293">
        <f>'[2]Table 5C1H-Southwest LA Charter'!AI9+'[14]Table 5C1H-Southwest LA Charter'!AI9+(6*'[20]Table 5C1H-Southwest LA Charter'!AI9)</f>
        <v>0</v>
      </c>
      <c r="AH9" s="293">
        <f t="shared" si="49"/>
        <v>0</v>
      </c>
      <c r="AI9" s="324">
        <f t="shared" si="33"/>
        <v>0</v>
      </c>
      <c r="AJ9" s="321">
        <f t="shared" si="50"/>
        <v>0</v>
      </c>
      <c r="AK9" s="342">
        <f t="shared" si="51"/>
        <v>0</v>
      </c>
      <c r="AM9" s="286">
        <v>0</v>
      </c>
      <c r="AN9" s="286">
        <f t="shared" si="52"/>
        <v>0</v>
      </c>
      <c r="AO9" s="286">
        <f t="shared" si="34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2.1.14'!G6</f>
        <v>0</v>
      </c>
      <c r="D10" s="201">
        <f>+'Table 5C1A-Madison Prep'!D10</f>
        <v>6119.0581446878568</v>
      </c>
      <c r="E10" s="202">
        <f t="shared" si="35"/>
        <v>0</v>
      </c>
      <c r="F10" s="202">
        <f>+'Table 5C1A-Madison Prep'!F10</f>
        <v>585.76</v>
      </c>
      <c r="G10" s="202">
        <f t="shared" si="36"/>
        <v>0</v>
      </c>
      <c r="H10" s="345">
        <f t="shared" si="37"/>
        <v>0</v>
      </c>
      <c r="I10" s="991">
        <f>'[1]Oct midyear Southwest'!K7</f>
        <v>0</v>
      </c>
      <c r="J10" s="203">
        <f>'[1]Feb midyear Southwest'!K7</f>
        <v>0</v>
      </c>
      <c r="K10" s="204">
        <f t="shared" si="38"/>
        <v>0</v>
      </c>
      <c r="L10" s="345">
        <f t="shared" si="39"/>
        <v>0</v>
      </c>
      <c r="M10" s="286">
        <f t="shared" si="40"/>
        <v>0</v>
      </c>
      <c r="N10" s="345">
        <f t="shared" si="41"/>
        <v>0</v>
      </c>
      <c r="O10" s="201">
        <v>0</v>
      </c>
      <c r="P10" s="351">
        <f t="shared" si="42"/>
        <v>0</v>
      </c>
      <c r="Q10" s="203">
        <f>'[2]Table 5C1H-Southwest LA Charter'!S10+'[14]Table 5C1H-Southwest LA Charter'!S10+(6*'[20]Table 5C1H-Southwest LA Charter'!S10)</f>
        <v>0</v>
      </c>
      <c r="R10" s="203">
        <f t="shared" si="43"/>
        <v>0</v>
      </c>
      <c r="S10" s="351">
        <f t="shared" si="28"/>
        <v>0</v>
      </c>
      <c r="T10" s="351">
        <f t="shared" si="44"/>
        <v>0</v>
      </c>
      <c r="U10" s="287">
        <f>'Table 5C1A-Madison Prep'!U10</f>
        <v>4203</v>
      </c>
      <c r="V10" s="328">
        <f t="shared" si="45"/>
        <v>0</v>
      </c>
      <c r="W10" s="995">
        <f>'[1]Oct midyear Southwest'!E7</f>
        <v>0</v>
      </c>
      <c r="X10" s="290">
        <f t="shared" si="46"/>
        <v>0</v>
      </c>
      <c r="Y10" s="289">
        <f>'[1]Feb midyear Southwest'!E7</f>
        <v>0</v>
      </c>
      <c r="Z10" s="290">
        <f t="shared" si="29"/>
        <v>0</v>
      </c>
      <c r="AA10" s="288">
        <f t="shared" si="30"/>
        <v>0</v>
      </c>
      <c r="AB10" s="324">
        <f t="shared" si="31"/>
        <v>0</v>
      </c>
      <c r="AC10" s="292">
        <f t="shared" si="32"/>
        <v>0</v>
      </c>
      <c r="AD10" s="324">
        <f t="shared" si="47"/>
        <v>0</v>
      </c>
      <c r="AE10" s="293">
        <v>0</v>
      </c>
      <c r="AF10" s="324">
        <f t="shared" si="48"/>
        <v>0</v>
      </c>
      <c r="AG10" s="293">
        <f>'[2]Table 5C1H-Southwest LA Charter'!AI10+'[14]Table 5C1H-Southwest LA Charter'!AI10+(6*'[20]Table 5C1H-Southwest LA Charter'!AI10)</f>
        <v>0</v>
      </c>
      <c r="AH10" s="293">
        <f t="shared" si="49"/>
        <v>0</v>
      </c>
      <c r="AI10" s="324">
        <f t="shared" si="33"/>
        <v>0</v>
      </c>
      <c r="AJ10" s="321">
        <f t="shared" si="50"/>
        <v>0</v>
      </c>
      <c r="AK10" s="342">
        <f t="shared" si="51"/>
        <v>0</v>
      </c>
      <c r="AM10" s="286">
        <v>0</v>
      </c>
      <c r="AN10" s="286">
        <f t="shared" si="52"/>
        <v>0</v>
      </c>
      <c r="AO10" s="286">
        <f t="shared" si="34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2.1.14'!G7</f>
        <v>0</v>
      </c>
      <c r="D11" s="194">
        <f>+'Table 5C1A-Madison Prep'!D11</f>
        <v>5268.940566009911</v>
      </c>
      <c r="E11" s="195">
        <f t="shared" si="35"/>
        <v>0</v>
      </c>
      <c r="F11" s="195">
        <f>+'Table 5C1A-Madison Prep'!F11</f>
        <v>555.91</v>
      </c>
      <c r="G11" s="195">
        <f t="shared" si="36"/>
        <v>0</v>
      </c>
      <c r="H11" s="346">
        <f t="shared" si="37"/>
        <v>0</v>
      </c>
      <c r="I11" s="992">
        <f>'[1]Oct midyear Southwest'!K8</f>
        <v>0</v>
      </c>
      <c r="J11" s="196">
        <f>'[1]Feb midyear Southwest'!K8</f>
        <v>0</v>
      </c>
      <c r="K11" s="197">
        <f t="shared" si="38"/>
        <v>0</v>
      </c>
      <c r="L11" s="346">
        <f t="shared" si="39"/>
        <v>0</v>
      </c>
      <c r="M11" s="296">
        <f t="shared" si="40"/>
        <v>0</v>
      </c>
      <c r="N11" s="346">
        <f t="shared" si="41"/>
        <v>0</v>
      </c>
      <c r="O11" s="194">
        <v>0</v>
      </c>
      <c r="P11" s="352">
        <f t="shared" si="42"/>
        <v>0</v>
      </c>
      <c r="Q11" s="196">
        <f>'[2]Table 5C1H-Southwest LA Charter'!S11+'[14]Table 5C1H-Southwest LA Charter'!S11+(6*'[20]Table 5C1H-Southwest LA Charter'!S11)</f>
        <v>0</v>
      </c>
      <c r="R11" s="196">
        <f t="shared" si="43"/>
        <v>0</v>
      </c>
      <c r="S11" s="352">
        <f t="shared" si="28"/>
        <v>0</v>
      </c>
      <c r="T11" s="352">
        <f t="shared" si="44"/>
        <v>0</v>
      </c>
      <c r="U11" s="281">
        <f>'Table 5C1A-Madison Prep'!U11</f>
        <v>1923</v>
      </c>
      <c r="V11" s="329">
        <f t="shared" si="45"/>
        <v>0</v>
      </c>
      <c r="W11" s="996">
        <f>'[1]Oct midyear Southwest'!E8</f>
        <v>0</v>
      </c>
      <c r="X11" s="282">
        <f t="shared" si="46"/>
        <v>0</v>
      </c>
      <c r="Y11" s="884">
        <f>'[1]Feb midyear Southwest'!E8</f>
        <v>0</v>
      </c>
      <c r="Z11" s="282">
        <f t="shared" si="29"/>
        <v>0</v>
      </c>
      <c r="AA11" s="283">
        <f t="shared" si="30"/>
        <v>0</v>
      </c>
      <c r="AB11" s="325">
        <f t="shared" si="31"/>
        <v>0</v>
      </c>
      <c r="AC11" s="298">
        <f t="shared" si="32"/>
        <v>0</v>
      </c>
      <c r="AD11" s="325">
        <f t="shared" si="47"/>
        <v>0</v>
      </c>
      <c r="AE11" s="284">
        <v>0</v>
      </c>
      <c r="AF11" s="325">
        <f t="shared" si="48"/>
        <v>0</v>
      </c>
      <c r="AG11" s="284">
        <f>'[2]Table 5C1H-Southwest LA Charter'!AI11+'[14]Table 5C1H-Southwest LA Charter'!AI11+(6*'[20]Table 5C1H-Southwest LA Charter'!AI11)</f>
        <v>0</v>
      </c>
      <c r="AH11" s="284">
        <f t="shared" si="49"/>
        <v>0</v>
      </c>
      <c r="AI11" s="325">
        <f t="shared" si="33"/>
        <v>0</v>
      </c>
      <c r="AJ11" s="338">
        <f t="shared" si="50"/>
        <v>0</v>
      </c>
      <c r="AK11" s="343">
        <f t="shared" si="51"/>
        <v>0</v>
      </c>
      <c r="AM11" s="296">
        <v>0</v>
      </c>
      <c r="AN11" s="296">
        <f t="shared" si="52"/>
        <v>0</v>
      </c>
      <c r="AO11" s="296">
        <f t="shared" si="34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2.1.14'!G8</f>
        <v>0</v>
      </c>
      <c r="D12" s="208">
        <f>+'Table 5C1A-Madison Prep'!D12</f>
        <v>5378.5086124955869</v>
      </c>
      <c r="E12" s="209">
        <f t="shared" si="35"/>
        <v>0</v>
      </c>
      <c r="F12" s="209">
        <f>+'Table 5C1A-Madison Prep'!F12</f>
        <v>545.4799999999999</v>
      </c>
      <c r="G12" s="209">
        <f t="shared" si="36"/>
        <v>0</v>
      </c>
      <c r="H12" s="344">
        <f t="shared" si="37"/>
        <v>0</v>
      </c>
      <c r="I12" s="990">
        <f>'[1]Oct midyear Southwest'!K9</f>
        <v>0</v>
      </c>
      <c r="J12" s="210">
        <f>'[1]Feb midyear Southwest'!K9</f>
        <v>0</v>
      </c>
      <c r="K12" s="211">
        <f t="shared" si="38"/>
        <v>0</v>
      </c>
      <c r="L12" s="344">
        <f t="shared" si="39"/>
        <v>0</v>
      </c>
      <c r="M12" s="273">
        <f t="shared" si="40"/>
        <v>0</v>
      </c>
      <c r="N12" s="344">
        <f t="shared" si="41"/>
        <v>0</v>
      </c>
      <c r="O12" s="208">
        <v>0</v>
      </c>
      <c r="P12" s="350">
        <f t="shared" si="42"/>
        <v>0</v>
      </c>
      <c r="Q12" s="210">
        <f>'[2]Table 5C1H-Southwest LA Charter'!S12+'[14]Table 5C1H-Southwest LA Charter'!S12+(6*'[20]Table 5C1H-Southwest LA Charter'!S12)</f>
        <v>0</v>
      </c>
      <c r="R12" s="210">
        <f t="shared" si="43"/>
        <v>0</v>
      </c>
      <c r="S12" s="350">
        <f t="shared" si="28"/>
        <v>0</v>
      </c>
      <c r="T12" s="350">
        <f t="shared" si="44"/>
        <v>0</v>
      </c>
      <c r="U12" s="274">
        <f>'Table 5C1A-Madison Prep'!U12</f>
        <v>4057</v>
      </c>
      <c r="V12" s="327">
        <f t="shared" si="45"/>
        <v>0</v>
      </c>
      <c r="W12" s="994">
        <f>'[1]Oct midyear Southwest'!E9</f>
        <v>0</v>
      </c>
      <c r="X12" s="276">
        <f t="shared" si="46"/>
        <v>0</v>
      </c>
      <c r="Y12" s="883">
        <f>'[1]Feb midyear Southwest'!E9</f>
        <v>0</v>
      </c>
      <c r="Z12" s="276">
        <f t="shared" si="29"/>
        <v>0</v>
      </c>
      <c r="AA12" s="275">
        <f t="shared" si="30"/>
        <v>0</v>
      </c>
      <c r="AB12" s="323">
        <f t="shared" si="31"/>
        <v>0</v>
      </c>
      <c r="AC12" s="278">
        <f t="shared" si="32"/>
        <v>0</v>
      </c>
      <c r="AD12" s="323">
        <f t="shared" si="47"/>
        <v>0</v>
      </c>
      <c r="AE12" s="279">
        <v>0</v>
      </c>
      <c r="AF12" s="323">
        <f t="shared" si="48"/>
        <v>0</v>
      </c>
      <c r="AG12" s="279">
        <f>'[2]Table 5C1H-Southwest LA Charter'!AI12+'[14]Table 5C1H-Southwest LA Charter'!AI12+(6*'[20]Table 5C1H-Southwest LA Charter'!AI12)</f>
        <v>0</v>
      </c>
      <c r="AH12" s="279">
        <f t="shared" si="49"/>
        <v>0</v>
      </c>
      <c r="AI12" s="323">
        <f t="shared" si="33"/>
        <v>0</v>
      </c>
      <c r="AJ12" s="337">
        <f t="shared" si="50"/>
        <v>0</v>
      </c>
      <c r="AK12" s="341">
        <f t="shared" si="51"/>
        <v>0</v>
      </c>
      <c r="AM12" s="273">
        <v>0</v>
      </c>
      <c r="AN12" s="273">
        <f t="shared" si="52"/>
        <v>0</v>
      </c>
      <c r="AO12" s="273">
        <f t="shared" si="34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2.1.14'!G9</f>
        <v>0</v>
      </c>
      <c r="D13" s="201">
        <f>+'Table 5C1A-Madison Prep'!D13</f>
        <v>2243.0031963470319</v>
      </c>
      <c r="E13" s="202">
        <f t="shared" si="35"/>
        <v>0</v>
      </c>
      <c r="F13" s="202">
        <f>+'Table 5C1A-Madison Prep'!F13</f>
        <v>756.91999999999985</v>
      </c>
      <c r="G13" s="202">
        <f t="shared" si="36"/>
        <v>0</v>
      </c>
      <c r="H13" s="345">
        <f t="shared" si="37"/>
        <v>0</v>
      </c>
      <c r="I13" s="991">
        <f>'[1]Oct midyear Southwest'!K10</f>
        <v>0</v>
      </c>
      <c r="J13" s="203">
        <f>'[1]Feb midyear Southwest'!K10</f>
        <v>0</v>
      </c>
      <c r="K13" s="204">
        <f t="shared" si="38"/>
        <v>0</v>
      </c>
      <c r="L13" s="345">
        <f t="shared" si="39"/>
        <v>0</v>
      </c>
      <c r="M13" s="286">
        <f t="shared" si="40"/>
        <v>0</v>
      </c>
      <c r="N13" s="345">
        <f t="shared" si="41"/>
        <v>0</v>
      </c>
      <c r="O13" s="201">
        <v>0</v>
      </c>
      <c r="P13" s="351">
        <f t="shared" si="42"/>
        <v>0</v>
      </c>
      <c r="Q13" s="203">
        <f>'[2]Table 5C1H-Southwest LA Charter'!S13+'[14]Table 5C1H-Southwest LA Charter'!S13+(6*'[20]Table 5C1H-Southwest LA Charter'!S13)</f>
        <v>0</v>
      </c>
      <c r="R13" s="203">
        <f t="shared" si="43"/>
        <v>0</v>
      </c>
      <c r="S13" s="351">
        <f t="shared" si="28"/>
        <v>0</v>
      </c>
      <c r="T13" s="351">
        <f t="shared" si="44"/>
        <v>0</v>
      </c>
      <c r="U13" s="287">
        <f>'Table 5C1A-Madison Prep'!U13</f>
        <v>12112</v>
      </c>
      <c r="V13" s="328">
        <f t="shared" si="45"/>
        <v>0</v>
      </c>
      <c r="W13" s="995">
        <f>'[1]Oct midyear Southwest'!E10</f>
        <v>0</v>
      </c>
      <c r="X13" s="290">
        <f t="shared" si="46"/>
        <v>0</v>
      </c>
      <c r="Y13" s="289">
        <f>'[1]Feb midyear Southwest'!E10</f>
        <v>0</v>
      </c>
      <c r="Z13" s="290">
        <f t="shared" si="29"/>
        <v>0</v>
      </c>
      <c r="AA13" s="288">
        <f t="shared" si="30"/>
        <v>0</v>
      </c>
      <c r="AB13" s="324">
        <f t="shared" si="31"/>
        <v>0</v>
      </c>
      <c r="AC13" s="292">
        <f t="shared" si="32"/>
        <v>0</v>
      </c>
      <c r="AD13" s="324">
        <f t="shared" si="47"/>
        <v>0</v>
      </c>
      <c r="AE13" s="293">
        <v>0</v>
      </c>
      <c r="AF13" s="324">
        <f t="shared" si="48"/>
        <v>0</v>
      </c>
      <c r="AG13" s="293">
        <f>'[2]Table 5C1H-Southwest LA Charter'!AI13+'[14]Table 5C1H-Southwest LA Charter'!AI13+(6*'[20]Table 5C1H-Southwest LA Charter'!AI13)</f>
        <v>0</v>
      </c>
      <c r="AH13" s="293">
        <f t="shared" si="49"/>
        <v>0</v>
      </c>
      <c r="AI13" s="324">
        <f t="shared" si="33"/>
        <v>0</v>
      </c>
      <c r="AJ13" s="321">
        <f t="shared" si="50"/>
        <v>0</v>
      </c>
      <c r="AK13" s="342">
        <f t="shared" si="51"/>
        <v>0</v>
      </c>
      <c r="AM13" s="286">
        <v>0</v>
      </c>
      <c r="AN13" s="286">
        <f t="shared" si="52"/>
        <v>0</v>
      </c>
      <c r="AO13" s="286">
        <f t="shared" si="34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2.1.14'!G10</f>
        <v>0</v>
      </c>
      <c r="D14" s="201">
        <f>+'Table 5C1A-Madison Prep'!D14</f>
        <v>4669.802459558854</v>
      </c>
      <c r="E14" s="202">
        <f t="shared" si="35"/>
        <v>0</v>
      </c>
      <c r="F14" s="202">
        <f>+'Table 5C1A-Madison Prep'!F14</f>
        <v>725.76</v>
      </c>
      <c r="G14" s="202">
        <f t="shared" si="36"/>
        <v>0</v>
      </c>
      <c r="H14" s="345">
        <f t="shared" si="37"/>
        <v>0</v>
      </c>
      <c r="I14" s="991">
        <f>'[1]Oct midyear Southwest'!K11</f>
        <v>0</v>
      </c>
      <c r="J14" s="203">
        <f>'[1]Feb midyear Southwest'!K11</f>
        <v>0</v>
      </c>
      <c r="K14" s="204">
        <f t="shared" si="38"/>
        <v>0</v>
      </c>
      <c r="L14" s="345">
        <f t="shared" si="39"/>
        <v>0</v>
      </c>
      <c r="M14" s="286">
        <f t="shared" si="40"/>
        <v>0</v>
      </c>
      <c r="N14" s="345">
        <f t="shared" si="41"/>
        <v>0</v>
      </c>
      <c r="O14" s="201">
        <v>0</v>
      </c>
      <c r="P14" s="351">
        <f t="shared" si="42"/>
        <v>0</v>
      </c>
      <c r="Q14" s="203">
        <f>'[2]Table 5C1H-Southwest LA Charter'!S14+'[14]Table 5C1H-Southwest LA Charter'!S14+(6*'[20]Table 5C1H-Southwest LA Charter'!S14)</f>
        <v>0</v>
      </c>
      <c r="R14" s="203">
        <f t="shared" si="43"/>
        <v>0</v>
      </c>
      <c r="S14" s="351">
        <f t="shared" si="28"/>
        <v>0</v>
      </c>
      <c r="T14" s="351">
        <f t="shared" si="44"/>
        <v>0</v>
      </c>
      <c r="U14" s="287">
        <f>'Table 5C1A-Madison Prep'!U14</f>
        <v>4124</v>
      </c>
      <c r="V14" s="328">
        <f t="shared" si="45"/>
        <v>0</v>
      </c>
      <c r="W14" s="995">
        <f>'[1]Oct midyear Southwest'!E11</f>
        <v>0</v>
      </c>
      <c r="X14" s="290">
        <f t="shared" si="46"/>
        <v>0</v>
      </c>
      <c r="Y14" s="289">
        <f>'[1]Feb midyear Southwest'!E11</f>
        <v>0</v>
      </c>
      <c r="Z14" s="290">
        <f t="shared" si="29"/>
        <v>0</v>
      </c>
      <c r="AA14" s="288">
        <f t="shared" si="30"/>
        <v>0</v>
      </c>
      <c r="AB14" s="324">
        <f t="shared" si="31"/>
        <v>0</v>
      </c>
      <c r="AC14" s="292">
        <f t="shared" si="32"/>
        <v>0</v>
      </c>
      <c r="AD14" s="324">
        <f t="shared" si="47"/>
        <v>0</v>
      </c>
      <c r="AE14" s="293">
        <v>0</v>
      </c>
      <c r="AF14" s="324">
        <f t="shared" si="48"/>
        <v>0</v>
      </c>
      <c r="AG14" s="293">
        <f>'[2]Table 5C1H-Southwest LA Charter'!AI14+'[14]Table 5C1H-Southwest LA Charter'!AI14+(6*'[20]Table 5C1H-Southwest LA Charter'!AI14)</f>
        <v>0</v>
      </c>
      <c r="AH14" s="293">
        <f t="shared" si="49"/>
        <v>0</v>
      </c>
      <c r="AI14" s="324">
        <f t="shared" si="33"/>
        <v>0</v>
      </c>
      <c r="AJ14" s="321">
        <f t="shared" si="50"/>
        <v>0</v>
      </c>
      <c r="AK14" s="342">
        <f t="shared" si="51"/>
        <v>0</v>
      </c>
      <c r="AM14" s="286">
        <v>0</v>
      </c>
      <c r="AN14" s="286">
        <f t="shared" si="52"/>
        <v>0</v>
      </c>
      <c r="AO14" s="286">
        <f t="shared" si="34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2.1.14'!G11</f>
        <v>0</v>
      </c>
      <c r="D15" s="201">
        <f>+'Table 5C1A-Madison Prep'!D15</f>
        <v>4632.4615072045008</v>
      </c>
      <c r="E15" s="202">
        <f t="shared" si="35"/>
        <v>0</v>
      </c>
      <c r="F15" s="202">
        <f>+'Table 5C1A-Madison Prep'!F15</f>
        <v>744.76</v>
      </c>
      <c r="G15" s="202">
        <f t="shared" si="36"/>
        <v>0</v>
      </c>
      <c r="H15" s="345">
        <f t="shared" si="37"/>
        <v>0</v>
      </c>
      <c r="I15" s="991">
        <f>'[1]Oct midyear Southwest'!K12</f>
        <v>0</v>
      </c>
      <c r="J15" s="203">
        <f>'[1]Feb midyear Southwest'!K12</f>
        <v>0</v>
      </c>
      <c r="K15" s="204">
        <f t="shared" si="38"/>
        <v>0</v>
      </c>
      <c r="L15" s="345">
        <f t="shared" si="39"/>
        <v>0</v>
      </c>
      <c r="M15" s="286">
        <f t="shared" si="40"/>
        <v>0</v>
      </c>
      <c r="N15" s="345">
        <f t="shared" si="41"/>
        <v>0</v>
      </c>
      <c r="O15" s="201">
        <v>0</v>
      </c>
      <c r="P15" s="351">
        <f t="shared" si="42"/>
        <v>0</v>
      </c>
      <c r="Q15" s="203">
        <f>'[2]Table 5C1H-Southwest LA Charter'!S15+'[14]Table 5C1H-Southwest LA Charter'!S15+(6*'[20]Table 5C1H-Southwest LA Charter'!S15)</f>
        <v>0</v>
      </c>
      <c r="R15" s="203">
        <f t="shared" si="43"/>
        <v>0</v>
      </c>
      <c r="S15" s="351">
        <f t="shared" si="28"/>
        <v>0</v>
      </c>
      <c r="T15" s="351">
        <f t="shared" si="44"/>
        <v>0</v>
      </c>
      <c r="U15" s="287">
        <f>'Table 5C1A-Madison Prep'!U15</f>
        <v>4901</v>
      </c>
      <c r="V15" s="328">
        <f t="shared" si="45"/>
        <v>0</v>
      </c>
      <c r="W15" s="995">
        <f>'[1]Oct midyear Southwest'!E12</f>
        <v>0</v>
      </c>
      <c r="X15" s="290">
        <f t="shared" si="46"/>
        <v>0</v>
      </c>
      <c r="Y15" s="289">
        <f>'[1]Feb midyear Southwest'!E12</f>
        <v>0</v>
      </c>
      <c r="Z15" s="290">
        <f t="shared" si="29"/>
        <v>0</v>
      </c>
      <c r="AA15" s="288">
        <f t="shared" si="30"/>
        <v>0</v>
      </c>
      <c r="AB15" s="324">
        <f t="shared" si="31"/>
        <v>0</v>
      </c>
      <c r="AC15" s="292">
        <f t="shared" si="32"/>
        <v>0</v>
      </c>
      <c r="AD15" s="324">
        <f t="shared" si="47"/>
        <v>0</v>
      </c>
      <c r="AE15" s="293">
        <v>0</v>
      </c>
      <c r="AF15" s="324">
        <f t="shared" si="48"/>
        <v>0</v>
      </c>
      <c r="AG15" s="293">
        <f>'[2]Table 5C1H-Southwest LA Charter'!AI15+'[14]Table 5C1H-Southwest LA Charter'!AI15+(6*'[20]Table 5C1H-Southwest LA Charter'!AI15)</f>
        <v>0</v>
      </c>
      <c r="AH15" s="293">
        <f t="shared" si="49"/>
        <v>0</v>
      </c>
      <c r="AI15" s="324">
        <f t="shared" si="33"/>
        <v>0</v>
      </c>
      <c r="AJ15" s="321">
        <f t="shared" si="50"/>
        <v>0</v>
      </c>
      <c r="AK15" s="342">
        <f t="shared" si="51"/>
        <v>0</v>
      </c>
      <c r="AM15" s="286">
        <v>0</v>
      </c>
      <c r="AN15" s="286">
        <f t="shared" si="52"/>
        <v>0</v>
      </c>
      <c r="AO15" s="286">
        <f t="shared" si="34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2.1.14'!G12</f>
        <v>671</v>
      </c>
      <c r="D16" s="194">
        <f>+'Table 5C1A-Madison Prep'!D16</f>
        <v>4384.374733918472</v>
      </c>
      <c r="E16" s="195">
        <f t="shared" si="35"/>
        <v>2941915.4464592948</v>
      </c>
      <c r="F16" s="195">
        <f>+'Table 5C1A-Madison Prep'!F16</f>
        <v>608.04000000000008</v>
      </c>
      <c r="G16" s="195">
        <f t="shared" si="36"/>
        <v>407994.84</v>
      </c>
      <c r="H16" s="346">
        <f t="shared" si="37"/>
        <v>3349910.2864592946</v>
      </c>
      <c r="I16" s="992">
        <f>'[1]Oct midyear Southwest'!K13</f>
        <v>963536.04364626505</v>
      </c>
      <c r="J16" s="196">
        <f>'[1]Feb midyear Southwest'!K13</f>
        <v>42435.525238307011</v>
      </c>
      <c r="K16" s="197">
        <f t="shared" si="38"/>
        <v>1005971.568884572</v>
      </c>
      <c r="L16" s="346">
        <f t="shared" si="39"/>
        <v>4355881.8553438671</v>
      </c>
      <c r="M16" s="296">
        <f t="shared" si="40"/>
        <v>-10889.704638359668</v>
      </c>
      <c r="N16" s="346">
        <f t="shared" si="41"/>
        <v>4344992.150705507</v>
      </c>
      <c r="O16" s="194">
        <v>0</v>
      </c>
      <c r="P16" s="352">
        <f t="shared" si="42"/>
        <v>4344992.150705507</v>
      </c>
      <c r="Q16" s="196">
        <f>'[2]Table 5C1H-Southwest LA Charter'!S16+'[14]Table 5C1H-Southwest LA Charter'!S16+(6*'[20]Table 5C1H-Southwest LA Charter'!S16)</f>
        <v>2813966</v>
      </c>
      <c r="R16" s="196">
        <f t="shared" si="43"/>
        <v>1531026.150705507</v>
      </c>
      <c r="S16" s="352">
        <f t="shared" si="28"/>
        <v>382757</v>
      </c>
      <c r="T16" s="352">
        <f t="shared" si="44"/>
        <v>4344992.150705507</v>
      </c>
      <c r="U16" s="281">
        <f>'Table 5C1A-Madison Prep'!U16</f>
        <v>4619</v>
      </c>
      <c r="V16" s="329">
        <f t="shared" si="45"/>
        <v>3099349</v>
      </c>
      <c r="W16" s="996">
        <f>'[1]Oct midyear Southwest'!E13</f>
        <v>193</v>
      </c>
      <c r="X16" s="282">
        <f t="shared" si="46"/>
        <v>891467</v>
      </c>
      <c r="Y16" s="884">
        <f>'[1]Feb midyear Southwest'!E13</f>
        <v>17</v>
      </c>
      <c r="Z16" s="282">
        <f t="shared" si="29"/>
        <v>39261.5</v>
      </c>
      <c r="AA16" s="283">
        <f t="shared" si="30"/>
        <v>930728.5</v>
      </c>
      <c r="AB16" s="325">
        <f t="shared" si="31"/>
        <v>4030077.5</v>
      </c>
      <c r="AC16" s="298">
        <f t="shared" si="32"/>
        <v>-10075.19375</v>
      </c>
      <c r="AD16" s="325">
        <f t="shared" si="47"/>
        <v>4020002.3062499999</v>
      </c>
      <c r="AE16" s="284">
        <v>0</v>
      </c>
      <c r="AF16" s="325">
        <f t="shared" si="48"/>
        <v>4020002.3062499999</v>
      </c>
      <c r="AG16" s="284">
        <f>'[2]Table 5C1H-Southwest LA Charter'!AI16+'[14]Table 5C1H-Southwest LA Charter'!AI16+(6*'[20]Table 5C1H-Southwest LA Charter'!AI16)</f>
        <v>2573050</v>
      </c>
      <c r="AH16" s="284">
        <f t="shared" si="49"/>
        <v>1446952.3062499999</v>
      </c>
      <c r="AI16" s="325">
        <f t="shared" si="33"/>
        <v>361738</v>
      </c>
      <c r="AJ16" s="338">
        <f t="shared" si="50"/>
        <v>8364994.4569555074</v>
      </c>
      <c r="AK16" s="343">
        <f t="shared" si="51"/>
        <v>744495</v>
      </c>
      <c r="AM16" s="296">
        <v>-7657.7875000000004</v>
      </c>
      <c r="AN16" s="296">
        <f t="shared" si="52"/>
        <v>-10075.19375</v>
      </c>
      <c r="AO16" s="296">
        <f t="shared" si="34"/>
        <v>-2417.40625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2.1.14'!G13</f>
        <v>0</v>
      </c>
      <c r="D17" s="208">
        <f>+'Table 5C1A-Madison Prep'!D17</f>
        <v>7098.5372236353351</v>
      </c>
      <c r="E17" s="209">
        <f t="shared" si="35"/>
        <v>0</v>
      </c>
      <c r="F17" s="209">
        <f>+'Table 5C1A-Madison Prep'!F17</f>
        <v>706.55</v>
      </c>
      <c r="G17" s="209">
        <f t="shared" si="36"/>
        <v>0</v>
      </c>
      <c r="H17" s="344">
        <f t="shared" si="37"/>
        <v>0</v>
      </c>
      <c r="I17" s="990">
        <f>'[1]Oct midyear Southwest'!K14</f>
        <v>0</v>
      </c>
      <c r="J17" s="210">
        <f>'[1]Feb midyear Southwest'!K14</f>
        <v>0</v>
      </c>
      <c r="K17" s="211">
        <f t="shared" si="38"/>
        <v>0</v>
      </c>
      <c r="L17" s="344">
        <f t="shared" si="39"/>
        <v>0</v>
      </c>
      <c r="M17" s="273">
        <f t="shared" si="40"/>
        <v>0</v>
      </c>
      <c r="N17" s="344">
        <f t="shared" si="41"/>
        <v>0</v>
      </c>
      <c r="O17" s="208">
        <v>0</v>
      </c>
      <c r="P17" s="350">
        <f t="shared" si="42"/>
        <v>0</v>
      </c>
      <c r="Q17" s="210">
        <f>'[2]Table 5C1H-Southwest LA Charter'!S17+'[14]Table 5C1H-Southwest LA Charter'!S17+(6*'[20]Table 5C1H-Southwest LA Charter'!S17)</f>
        <v>0</v>
      </c>
      <c r="R17" s="210">
        <f t="shared" si="43"/>
        <v>0</v>
      </c>
      <c r="S17" s="350">
        <f t="shared" si="28"/>
        <v>0</v>
      </c>
      <c r="T17" s="350">
        <f t="shared" si="44"/>
        <v>0</v>
      </c>
      <c r="U17" s="274">
        <f>'Table 5C1A-Madison Prep'!U17</f>
        <v>3580</v>
      </c>
      <c r="V17" s="327">
        <f t="shared" si="45"/>
        <v>0</v>
      </c>
      <c r="W17" s="994">
        <f>'[1]Oct midyear Southwest'!E14</f>
        <v>0</v>
      </c>
      <c r="X17" s="276">
        <f t="shared" si="46"/>
        <v>0</v>
      </c>
      <c r="Y17" s="883">
        <f>'[1]Feb midyear Southwest'!E14</f>
        <v>0</v>
      </c>
      <c r="Z17" s="276">
        <f t="shared" si="29"/>
        <v>0</v>
      </c>
      <c r="AA17" s="275">
        <f t="shared" si="30"/>
        <v>0</v>
      </c>
      <c r="AB17" s="323">
        <f t="shared" si="31"/>
        <v>0</v>
      </c>
      <c r="AC17" s="278">
        <f t="shared" si="32"/>
        <v>0</v>
      </c>
      <c r="AD17" s="323">
        <f t="shared" si="47"/>
        <v>0</v>
      </c>
      <c r="AE17" s="279">
        <v>0</v>
      </c>
      <c r="AF17" s="323">
        <f t="shared" si="48"/>
        <v>0</v>
      </c>
      <c r="AG17" s="279">
        <f>'[2]Table 5C1H-Southwest LA Charter'!AI17+'[14]Table 5C1H-Southwest LA Charter'!AI17+(6*'[20]Table 5C1H-Southwest LA Charter'!AI17)</f>
        <v>0</v>
      </c>
      <c r="AH17" s="279">
        <f t="shared" si="49"/>
        <v>0</v>
      </c>
      <c r="AI17" s="323">
        <f t="shared" si="33"/>
        <v>0</v>
      </c>
      <c r="AJ17" s="337">
        <f t="shared" si="50"/>
        <v>0</v>
      </c>
      <c r="AK17" s="341">
        <f t="shared" si="51"/>
        <v>0</v>
      </c>
      <c r="AM17" s="273">
        <v>0</v>
      </c>
      <c r="AN17" s="273">
        <f t="shared" si="52"/>
        <v>0</v>
      </c>
      <c r="AO17" s="273">
        <f t="shared" si="34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2.1.14'!G14</f>
        <v>0</v>
      </c>
      <c r="D18" s="201">
        <f>+'Table 5C1A-Madison Prep'!D18</f>
        <v>1666.6040983606558</v>
      </c>
      <c r="E18" s="202">
        <f t="shared" si="35"/>
        <v>0</v>
      </c>
      <c r="F18" s="202">
        <f>+'Table 5C1A-Madison Prep'!F18</f>
        <v>1063.31</v>
      </c>
      <c r="G18" s="202">
        <f t="shared" si="36"/>
        <v>0</v>
      </c>
      <c r="H18" s="345">
        <f t="shared" si="37"/>
        <v>0</v>
      </c>
      <c r="I18" s="991">
        <f>'[1]Oct midyear Southwest'!K15</f>
        <v>0</v>
      </c>
      <c r="J18" s="203">
        <f>'[1]Feb midyear Southwest'!K15</f>
        <v>0</v>
      </c>
      <c r="K18" s="204">
        <f t="shared" si="38"/>
        <v>0</v>
      </c>
      <c r="L18" s="345">
        <f t="shared" si="39"/>
        <v>0</v>
      </c>
      <c r="M18" s="286">
        <f t="shared" si="40"/>
        <v>0</v>
      </c>
      <c r="N18" s="345">
        <f t="shared" si="41"/>
        <v>0</v>
      </c>
      <c r="O18" s="201">
        <v>0</v>
      </c>
      <c r="P18" s="351">
        <f t="shared" si="42"/>
        <v>0</v>
      </c>
      <c r="Q18" s="203">
        <f>'[2]Table 5C1H-Southwest LA Charter'!S18+'[14]Table 5C1H-Southwest LA Charter'!S18+(6*'[20]Table 5C1H-Southwest LA Charter'!S18)</f>
        <v>0</v>
      </c>
      <c r="R18" s="203">
        <f t="shared" si="43"/>
        <v>0</v>
      </c>
      <c r="S18" s="351">
        <f t="shared" si="28"/>
        <v>0</v>
      </c>
      <c r="T18" s="351">
        <f t="shared" si="44"/>
        <v>0</v>
      </c>
      <c r="U18" s="287">
        <f>'Table 5C1A-Madison Prep'!U18</f>
        <v>8094</v>
      </c>
      <c r="V18" s="328">
        <f t="shared" si="45"/>
        <v>0</v>
      </c>
      <c r="W18" s="995">
        <f>'[1]Oct midyear Southwest'!E15</f>
        <v>0</v>
      </c>
      <c r="X18" s="290">
        <f t="shared" si="46"/>
        <v>0</v>
      </c>
      <c r="Y18" s="289">
        <f>'[1]Feb midyear Southwest'!E15</f>
        <v>0</v>
      </c>
      <c r="Z18" s="290">
        <f t="shared" si="29"/>
        <v>0</v>
      </c>
      <c r="AA18" s="288">
        <f t="shared" si="30"/>
        <v>0</v>
      </c>
      <c r="AB18" s="324">
        <f t="shared" si="31"/>
        <v>0</v>
      </c>
      <c r="AC18" s="292">
        <f t="shared" si="32"/>
        <v>0</v>
      </c>
      <c r="AD18" s="324">
        <f t="shared" si="47"/>
        <v>0</v>
      </c>
      <c r="AE18" s="293">
        <v>0</v>
      </c>
      <c r="AF18" s="324">
        <f t="shared" si="48"/>
        <v>0</v>
      </c>
      <c r="AG18" s="293">
        <f>'[2]Table 5C1H-Southwest LA Charter'!AI18+'[14]Table 5C1H-Southwest LA Charter'!AI18+(6*'[20]Table 5C1H-Southwest LA Charter'!AI18)</f>
        <v>0</v>
      </c>
      <c r="AH18" s="293">
        <f t="shared" si="49"/>
        <v>0</v>
      </c>
      <c r="AI18" s="324">
        <f t="shared" si="33"/>
        <v>0</v>
      </c>
      <c r="AJ18" s="321">
        <f t="shared" si="50"/>
        <v>0</v>
      </c>
      <c r="AK18" s="342">
        <f t="shared" si="51"/>
        <v>0</v>
      </c>
      <c r="AM18" s="286">
        <v>0</v>
      </c>
      <c r="AN18" s="286">
        <f t="shared" si="52"/>
        <v>0</v>
      </c>
      <c r="AO18" s="286">
        <f t="shared" si="34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2.1.14'!G15</f>
        <v>0</v>
      </c>
      <c r="D19" s="201">
        <f>+'Table 5C1A-Madison Prep'!D19</f>
        <v>6433.6297758332212</v>
      </c>
      <c r="E19" s="202">
        <f t="shared" si="35"/>
        <v>0</v>
      </c>
      <c r="F19" s="202">
        <f>+'Table 5C1A-Madison Prep'!F19</f>
        <v>749.43000000000006</v>
      </c>
      <c r="G19" s="202">
        <f t="shared" si="36"/>
        <v>0</v>
      </c>
      <c r="H19" s="345">
        <f t="shared" si="37"/>
        <v>0</v>
      </c>
      <c r="I19" s="991">
        <f>'[1]Oct midyear Southwest'!K16</f>
        <v>0</v>
      </c>
      <c r="J19" s="203">
        <f>'[1]Feb midyear Southwest'!K16</f>
        <v>0</v>
      </c>
      <c r="K19" s="204">
        <f t="shared" si="38"/>
        <v>0</v>
      </c>
      <c r="L19" s="345">
        <f t="shared" si="39"/>
        <v>0</v>
      </c>
      <c r="M19" s="286">
        <f t="shared" si="40"/>
        <v>0</v>
      </c>
      <c r="N19" s="345">
        <f t="shared" si="41"/>
        <v>0</v>
      </c>
      <c r="O19" s="201">
        <v>0</v>
      </c>
      <c r="P19" s="351">
        <f t="shared" si="42"/>
        <v>0</v>
      </c>
      <c r="Q19" s="203">
        <f>'[2]Table 5C1H-Southwest LA Charter'!S19+'[14]Table 5C1H-Southwest LA Charter'!S19+(6*'[20]Table 5C1H-Southwest LA Charter'!S19)</f>
        <v>0</v>
      </c>
      <c r="R19" s="203">
        <f t="shared" si="43"/>
        <v>0</v>
      </c>
      <c r="S19" s="351">
        <f t="shared" si="28"/>
        <v>0</v>
      </c>
      <c r="T19" s="351">
        <f t="shared" si="44"/>
        <v>0</v>
      </c>
      <c r="U19" s="287">
        <f>'Table 5C1A-Madison Prep'!U19</f>
        <v>2762</v>
      </c>
      <c r="V19" s="328">
        <f t="shared" si="45"/>
        <v>0</v>
      </c>
      <c r="W19" s="995">
        <f>'[1]Oct midyear Southwest'!E16</f>
        <v>0</v>
      </c>
      <c r="X19" s="290">
        <f t="shared" si="46"/>
        <v>0</v>
      </c>
      <c r="Y19" s="289">
        <f>'[1]Feb midyear Southwest'!E16</f>
        <v>0</v>
      </c>
      <c r="Z19" s="290">
        <f t="shared" si="29"/>
        <v>0</v>
      </c>
      <c r="AA19" s="288">
        <f t="shared" si="30"/>
        <v>0</v>
      </c>
      <c r="AB19" s="324">
        <f t="shared" si="31"/>
        <v>0</v>
      </c>
      <c r="AC19" s="292">
        <f t="shared" si="32"/>
        <v>0</v>
      </c>
      <c r="AD19" s="324">
        <f t="shared" si="47"/>
        <v>0</v>
      </c>
      <c r="AE19" s="293">
        <v>0</v>
      </c>
      <c r="AF19" s="324">
        <f t="shared" si="48"/>
        <v>0</v>
      </c>
      <c r="AG19" s="293">
        <f>'[2]Table 5C1H-Southwest LA Charter'!AI19+'[14]Table 5C1H-Southwest LA Charter'!AI19+(6*'[20]Table 5C1H-Southwest LA Charter'!AI19)</f>
        <v>0</v>
      </c>
      <c r="AH19" s="293">
        <f t="shared" si="49"/>
        <v>0</v>
      </c>
      <c r="AI19" s="324">
        <f t="shared" si="33"/>
        <v>0</v>
      </c>
      <c r="AJ19" s="321">
        <f t="shared" si="50"/>
        <v>0</v>
      </c>
      <c r="AK19" s="342">
        <f t="shared" si="51"/>
        <v>0</v>
      </c>
      <c r="AM19" s="286">
        <v>0</v>
      </c>
      <c r="AN19" s="286">
        <f t="shared" si="52"/>
        <v>0</v>
      </c>
      <c r="AO19" s="286">
        <f t="shared" si="34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2.1.14'!G16</f>
        <v>0</v>
      </c>
      <c r="D20" s="201">
        <f>+'Table 5C1A-Madison Prep'!D20</f>
        <v>5334.9509412500001</v>
      </c>
      <c r="E20" s="202">
        <f t="shared" si="35"/>
        <v>0</v>
      </c>
      <c r="F20" s="202">
        <f>+'Table 5C1A-Madison Prep'!F20</f>
        <v>809.9799999999999</v>
      </c>
      <c r="G20" s="202">
        <f t="shared" si="36"/>
        <v>0</v>
      </c>
      <c r="H20" s="345">
        <f t="shared" si="37"/>
        <v>0</v>
      </c>
      <c r="I20" s="991">
        <f>'[1]Oct midyear Southwest'!K17</f>
        <v>0</v>
      </c>
      <c r="J20" s="203">
        <f>'[1]Feb midyear Southwest'!K17</f>
        <v>0</v>
      </c>
      <c r="K20" s="204">
        <f t="shared" si="38"/>
        <v>0</v>
      </c>
      <c r="L20" s="345">
        <f t="shared" si="39"/>
        <v>0</v>
      </c>
      <c r="M20" s="286">
        <f t="shared" si="40"/>
        <v>0</v>
      </c>
      <c r="N20" s="345">
        <f t="shared" si="41"/>
        <v>0</v>
      </c>
      <c r="O20" s="201">
        <v>0</v>
      </c>
      <c r="P20" s="351">
        <f t="shared" si="42"/>
        <v>0</v>
      </c>
      <c r="Q20" s="203">
        <f>'[2]Table 5C1H-Southwest LA Charter'!S20+'[14]Table 5C1H-Southwest LA Charter'!S20+(6*'[20]Table 5C1H-Southwest LA Charter'!S20)</f>
        <v>0</v>
      </c>
      <c r="R20" s="203">
        <f t="shared" si="43"/>
        <v>0</v>
      </c>
      <c r="S20" s="351">
        <f t="shared" si="28"/>
        <v>0</v>
      </c>
      <c r="T20" s="351">
        <f t="shared" si="44"/>
        <v>0</v>
      </c>
      <c r="U20" s="287">
        <f>'Table 5C1A-Madison Prep'!U20</f>
        <v>4171</v>
      </c>
      <c r="V20" s="328">
        <f t="shared" si="45"/>
        <v>0</v>
      </c>
      <c r="W20" s="995">
        <f>'[1]Oct midyear Southwest'!E17</f>
        <v>0</v>
      </c>
      <c r="X20" s="290">
        <f t="shared" si="46"/>
        <v>0</v>
      </c>
      <c r="Y20" s="289">
        <f>'[1]Feb midyear Southwest'!E17</f>
        <v>0</v>
      </c>
      <c r="Z20" s="290">
        <f t="shared" si="29"/>
        <v>0</v>
      </c>
      <c r="AA20" s="288">
        <f t="shared" si="30"/>
        <v>0</v>
      </c>
      <c r="AB20" s="324">
        <f t="shared" si="31"/>
        <v>0</v>
      </c>
      <c r="AC20" s="292">
        <f t="shared" si="32"/>
        <v>0</v>
      </c>
      <c r="AD20" s="324">
        <f t="shared" si="47"/>
        <v>0</v>
      </c>
      <c r="AE20" s="293">
        <v>0</v>
      </c>
      <c r="AF20" s="324">
        <f t="shared" si="48"/>
        <v>0</v>
      </c>
      <c r="AG20" s="293">
        <f>'[2]Table 5C1H-Southwest LA Charter'!AI20+'[14]Table 5C1H-Southwest LA Charter'!AI20+(6*'[20]Table 5C1H-Southwest LA Charter'!AI20)</f>
        <v>0</v>
      </c>
      <c r="AH20" s="293">
        <f t="shared" si="49"/>
        <v>0</v>
      </c>
      <c r="AI20" s="324">
        <f t="shared" si="33"/>
        <v>0</v>
      </c>
      <c r="AJ20" s="321">
        <f t="shared" si="50"/>
        <v>0</v>
      </c>
      <c r="AK20" s="342">
        <f t="shared" si="51"/>
        <v>0</v>
      </c>
      <c r="AM20" s="286">
        <v>0</v>
      </c>
      <c r="AN20" s="286">
        <f t="shared" si="52"/>
        <v>0</v>
      </c>
      <c r="AO20" s="286">
        <f t="shared" si="34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2.1.14'!G17</f>
        <v>0</v>
      </c>
      <c r="D21" s="194">
        <f>+'Table 5C1A-Madison Prep'!D21</f>
        <v>5749.8285214059952</v>
      </c>
      <c r="E21" s="195">
        <f t="shared" si="35"/>
        <v>0</v>
      </c>
      <c r="F21" s="195">
        <f>+'Table 5C1A-Madison Prep'!F21</f>
        <v>553.79999999999995</v>
      </c>
      <c r="G21" s="195">
        <f t="shared" si="36"/>
        <v>0</v>
      </c>
      <c r="H21" s="346">
        <f t="shared" si="37"/>
        <v>0</v>
      </c>
      <c r="I21" s="992">
        <f>'[1]Oct midyear Southwest'!K18</f>
        <v>0</v>
      </c>
      <c r="J21" s="196">
        <f>'[1]Feb midyear Southwest'!K18</f>
        <v>0</v>
      </c>
      <c r="K21" s="197">
        <f t="shared" si="38"/>
        <v>0</v>
      </c>
      <c r="L21" s="346">
        <f t="shared" si="39"/>
        <v>0</v>
      </c>
      <c r="M21" s="296">
        <f t="shared" si="40"/>
        <v>0</v>
      </c>
      <c r="N21" s="346">
        <f t="shared" si="41"/>
        <v>0</v>
      </c>
      <c r="O21" s="194">
        <v>0</v>
      </c>
      <c r="P21" s="352">
        <f t="shared" si="42"/>
        <v>0</v>
      </c>
      <c r="Q21" s="196">
        <f>'[2]Table 5C1H-Southwest LA Charter'!S21+'[14]Table 5C1H-Southwest LA Charter'!S21+(6*'[20]Table 5C1H-Southwest LA Charter'!S21)</f>
        <v>0</v>
      </c>
      <c r="R21" s="196">
        <f t="shared" si="43"/>
        <v>0</v>
      </c>
      <c r="S21" s="352">
        <f t="shared" si="28"/>
        <v>0</v>
      </c>
      <c r="T21" s="352">
        <f t="shared" si="44"/>
        <v>0</v>
      </c>
      <c r="U21" s="281">
        <f>'Table 5C1A-Madison Prep'!U21</f>
        <v>2880</v>
      </c>
      <c r="V21" s="329">
        <f t="shared" si="45"/>
        <v>0</v>
      </c>
      <c r="W21" s="996">
        <f>'[1]Oct midyear Southwest'!E18</f>
        <v>0</v>
      </c>
      <c r="X21" s="282">
        <f t="shared" si="46"/>
        <v>0</v>
      </c>
      <c r="Y21" s="884">
        <f>'[1]Feb midyear Southwest'!E18</f>
        <v>0</v>
      </c>
      <c r="Z21" s="282">
        <f t="shared" si="29"/>
        <v>0</v>
      </c>
      <c r="AA21" s="283">
        <f t="shared" si="30"/>
        <v>0</v>
      </c>
      <c r="AB21" s="325">
        <f t="shared" si="31"/>
        <v>0</v>
      </c>
      <c r="AC21" s="298">
        <f t="shared" si="32"/>
        <v>0</v>
      </c>
      <c r="AD21" s="325">
        <f t="shared" si="47"/>
        <v>0</v>
      </c>
      <c r="AE21" s="284">
        <v>0</v>
      </c>
      <c r="AF21" s="325">
        <f t="shared" si="48"/>
        <v>0</v>
      </c>
      <c r="AG21" s="284">
        <f>'[2]Table 5C1H-Southwest LA Charter'!AI21+'[14]Table 5C1H-Southwest LA Charter'!AI21+(6*'[20]Table 5C1H-Southwest LA Charter'!AI21)</f>
        <v>0</v>
      </c>
      <c r="AH21" s="284">
        <f t="shared" si="49"/>
        <v>0</v>
      </c>
      <c r="AI21" s="325">
        <f t="shared" si="33"/>
        <v>0</v>
      </c>
      <c r="AJ21" s="338">
        <f t="shared" si="50"/>
        <v>0</v>
      </c>
      <c r="AK21" s="343">
        <f t="shared" si="51"/>
        <v>0</v>
      </c>
      <c r="AM21" s="296">
        <v>0</v>
      </c>
      <c r="AN21" s="296">
        <f t="shared" si="52"/>
        <v>0</v>
      </c>
      <c r="AO21" s="296">
        <f t="shared" si="34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2.1.14'!G18</f>
        <v>0</v>
      </c>
      <c r="D22" s="208">
        <f>+'Table 5C1A-Madison Prep'!D22</f>
        <v>1980.2494354342025</v>
      </c>
      <c r="E22" s="209">
        <f t="shared" si="35"/>
        <v>0</v>
      </c>
      <c r="F22" s="209">
        <f>+'Table 5C1A-Madison Prep'!F22</f>
        <v>686.73</v>
      </c>
      <c r="G22" s="209">
        <f t="shared" si="36"/>
        <v>0</v>
      </c>
      <c r="H22" s="344">
        <f t="shared" si="37"/>
        <v>0</v>
      </c>
      <c r="I22" s="990">
        <f>'[1]Oct midyear Southwest'!K19</f>
        <v>0</v>
      </c>
      <c r="J22" s="210">
        <f>'[1]Feb midyear Southwest'!K19</f>
        <v>0</v>
      </c>
      <c r="K22" s="211">
        <f t="shared" si="38"/>
        <v>0</v>
      </c>
      <c r="L22" s="344">
        <f t="shared" si="39"/>
        <v>0</v>
      </c>
      <c r="M22" s="273">
        <f t="shared" si="40"/>
        <v>0</v>
      </c>
      <c r="N22" s="344">
        <f t="shared" si="41"/>
        <v>0</v>
      </c>
      <c r="O22" s="208">
        <v>0</v>
      </c>
      <c r="P22" s="350">
        <f t="shared" si="42"/>
        <v>0</v>
      </c>
      <c r="Q22" s="210">
        <f>'[2]Table 5C1H-Southwest LA Charter'!S22+'[14]Table 5C1H-Southwest LA Charter'!S22+(6*'[20]Table 5C1H-Southwest LA Charter'!S22)</f>
        <v>0</v>
      </c>
      <c r="R22" s="210">
        <f t="shared" si="43"/>
        <v>0</v>
      </c>
      <c r="S22" s="350">
        <f t="shared" si="28"/>
        <v>0</v>
      </c>
      <c r="T22" s="350">
        <f t="shared" si="44"/>
        <v>0</v>
      </c>
      <c r="U22" s="274">
        <f>'Table 5C1A-Madison Prep'!U22</f>
        <v>13021</v>
      </c>
      <c r="V22" s="327">
        <f t="shared" si="45"/>
        <v>0</v>
      </c>
      <c r="W22" s="994">
        <f>'[1]Oct midyear Southwest'!E19</f>
        <v>0</v>
      </c>
      <c r="X22" s="276">
        <f t="shared" si="46"/>
        <v>0</v>
      </c>
      <c r="Y22" s="883">
        <f>'[1]Feb midyear Southwest'!E19</f>
        <v>0</v>
      </c>
      <c r="Z22" s="276">
        <f t="shared" si="29"/>
        <v>0</v>
      </c>
      <c r="AA22" s="275">
        <f t="shared" si="30"/>
        <v>0</v>
      </c>
      <c r="AB22" s="323">
        <f t="shared" si="31"/>
        <v>0</v>
      </c>
      <c r="AC22" s="278">
        <f t="shared" si="32"/>
        <v>0</v>
      </c>
      <c r="AD22" s="323">
        <f t="shared" si="47"/>
        <v>0</v>
      </c>
      <c r="AE22" s="279">
        <v>0</v>
      </c>
      <c r="AF22" s="323">
        <f t="shared" si="48"/>
        <v>0</v>
      </c>
      <c r="AG22" s="279">
        <f>'[2]Table 5C1H-Southwest LA Charter'!AI22+'[14]Table 5C1H-Southwest LA Charter'!AI22+(6*'[20]Table 5C1H-Southwest LA Charter'!AI22)</f>
        <v>0</v>
      </c>
      <c r="AH22" s="279">
        <f t="shared" si="49"/>
        <v>0</v>
      </c>
      <c r="AI22" s="323">
        <f t="shared" si="33"/>
        <v>0</v>
      </c>
      <c r="AJ22" s="337">
        <f t="shared" si="50"/>
        <v>0</v>
      </c>
      <c r="AK22" s="341">
        <f t="shared" si="51"/>
        <v>0</v>
      </c>
      <c r="AM22" s="273">
        <v>0</v>
      </c>
      <c r="AN22" s="273">
        <f t="shared" si="52"/>
        <v>0</v>
      </c>
      <c r="AO22" s="273">
        <f t="shared" si="34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2.1.14'!G19</f>
        <v>0</v>
      </c>
      <c r="D23" s="201">
        <f>+'Table 5C1A-Madison Prep'!D23</f>
        <v>3363.5980368254495</v>
      </c>
      <c r="E23" s="202">
        <f t="shared" si="35"/>
        <v>0</v>
      </c>
      <c r="F23" s="202">
        <f>+'Table 5C1A-Madison Prep'!F23</f>
        <v>801.47762416806802</v>
      </c>
      <c r="G23" s="202">
        <f t="shared" si="36"/>
        <v>0</v>
      </c>
      <c r="H23" s="345">
        <f t="shared" si="37"/>
        <v>0</v>
      </c>
      <c r="I23" s="991">
        <f>'[1]Oct midyear Southwest'!K20</f>
        <v>0</v>
      </c>
      <c r="J23" s="203">
        <f>'[1]Feb midyear Southwest'!K20</f>
        <v>0</v>
      </c>
      <c r="K23" s="204">
        <f t="shared" si="38"/>
        <v>0</v>
      </c>
      <c r="L23" s="345">
        <f t="shared" si="39"/>
        <v>0</v>
      </c>
      <c r="M23" s="286">
        <f t="shared" si="40"/>
        <v>0</v>
      </c>
      <c r="N23" s="345">
        <f t="shared" si="41"/>
        <v>0</v>
      </c>
      <c r="O23" s="201">
        <v>0</v>
      </c>
      <c r="P23" s="351">
        <f t="shared" si="42"/>
        <v>0</v>
      </c>
      <c r="Q23" s="203">
        <f>'[2]Table 5C1H-Southwest LA Charter'!S23+'[14]Table 5C1H-Southwest LA Charter'!S23+(6*'[20]Table 5C1H-Southwest LA Charter'!S23)</f>
        <v>0</v>
      </c>
      <c r="R23" s="203">
        <f t="shared" si="43"/>
        <v>0</v>
      </c>
      <c r="S23" s="351">
        <f t="shared" si="28"/>
        <v>0</v>
      </c>
      <c r="T23" s="351">
        <f t="shared" si="44"/>
        <v>0</v>
      </c>
      <c r="U23" s="287">
        <f>'Table 5C1A-Madison Prep'!U23</f>
        <v>6954</v>
      </c>
      <c r="V23" s="328">
        <f t="shared" si="45"/>
        <v>0</v>
      </c>
      <c r="W23" s="995">
        <f>'[1]Oct midyear Southwest'!E20</f>
        <v>0</v>
      </c>
      <c r="X23" s="290">
        <f t="shared" si="46"/>
        <v>0</v>
      </c>
      <c r="Y23" s="289">
        <f>'[1]Feb midyear Southwest'!E20</f>
        <v>0</v>
      </c>
      <c r="Z23" s="290">
        <f t="shared" si="29"/>
        <v>0</v>
      </c>
      <c r="AA23" s="288">
        <f t="shared" si="30"/>
        <v>0</v>
      </c>
      <c r="AB23" s="324">
        <f t="shared" si="31"/>
        <v>0</v>
      </c>
      <c r="AC23" s="292">
        <f t="shared" si="32"/>
        <v>0</v>
      </c>
      <c r="AD23" s="324">
        <f t="shared" si="47"/>
        <v>0</v>
      </c>
      <c r="AE23" s="293">
        <v>0</v>
      </c>
      <c r="AF23" s="324">
        <f t="shared" si="48"/>
        <v>0</v>
      </c>
      <c r="AG23" s="293">
        <f>'[2]Table 5C1H-Southwest LA Charter'!AI23+'[14]Table 5C1H-Southwest LA Charter'!AI23+(6*'[20]Table 5C1H-Southwest LA Charter'!AI23)</f>
        <v>0</v>
      </c>
      <c r="AH23" s="293">
        <f t="shared" si="49"/>
        <v>0</v>
      </c>
      <c r="AI23" s="324">
        <f t="shared" si="33"/>
        <v>0</v>
      </c>
      <c r="AJ23" s="321">
        <f t="shared" si="50"/>
        <v>0</v>
      </c>
      <c r="AK23" s="342">
        <f t="shared" si="51"/>
        <v>0</v>
      </c>
      <c r="AM23" s="286">
        <v>0</v>
      </c>
      <c r="AN23" s="286">
        <f t="shared" si="52"/>
        <v>0</v>
      </c>
      <c r="AO23" s="286">
        <f t="shared" si="34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2.1.14'!G20</f>
        <v>0</v>
      </c>
      <c r="D24" s="201">
        <f>+'Table 5C1A-Madison Prep'!D24</f>
        <v>6354.5533500475731</v>
      </c>
      <c r="E24" s="202">
        <f t="shared" si="35"/>
        <v>0</v>
      </c>
      <c r="F24" s="202">
        <f>+'Table 5C1A-Madison Prep'!F24</f>
        <v>845.94999999999993</v>
      </c>
      <c r="G24" s="202">
        <f t="shared" si="36"/>
        <v>0</v>
      </c>
      <c r="H24" s="345">
        <f t="shared" si="37"/>
        <v>0</v>
      </c>
      <c r="I24" s="991">
        <f>'[1]Oct midyear Southwest'!K21</f>
        <v>0</v>
      </c>
      <c r="J24" s="203">
        <f>'[1]Feb midyear Southwest'!K21</f>
        <v>0</v>
      </c>
      <c r="K24" s="204">
        <f t="shared" si="38"/>
        <v>0</v>
      </c>
      <c r="L24" s="345">
        <f t="shared" si="39"/>
        <v>0</v>
      </c>
      <c r="M24" s="286">
        <f t="shared" si="40"/>
        <v>0</v>
      </c>
      <c r="N24" s="345">
        <f t="shared" si="41"/>
        <v>0</v>
      </c>
      <c r="O24" s="201">
        <v>0</v>
      </c>
      <c r="P24" s="351">
        <f t="shared" si="42"/>
        <v>0</v>
      </c>
      <c r="Q24" s="203">
        <f>'[2]Table 5C1H-Southwest LA Charter'!S24+'[14]Table 5C1H-Southwest LA Charter'!S24+(6*'[20]Table 5C1H-Southwest LA Charter'!S24)</f>
        <v>0</v>
      </c>
      <c r="R24" s="203">
        <f t="shared" si="43"/>
        <v>0</v>
      </c>
      <c r="S24" s="351">
        <f t="shared" si="28"/>
        <v>0</v>
      </c>
      <c r="T24" s="351">
        <f t="shared" si="44"/>
        <v>0</v>
      </c>
      <c r="U24" s="287">
        <f>'Table 5C1A-Madison Prep'!U24</f>
        <v>2442</v>
      </c>
      <c r="V24" s="328">
        <f t="shared" si="45"/>
        <v>0</v>
      </c>
      <c r="W24" s="995">
        <f>'[1]Oct midyear Southwest'!E21</f>
        <v>0</v>
      </c>
      <c r="X24" s="290">
        <f t="shared" si="46"/>
        <v>0</v>
      </c>
      <c r="Y24" s="289">
        <f>'[1]Feb midyear Southwest'!E21</f>
        <v>0</v>
      </c>
      <c r="Z24" s="290">
        <f t="shared" si="29"/>
        <v>0</v>
      </c>
      <c r="AA24" s="288">
        <f t="shared" si="30"/>
        <v>0</v>
      </c>
      <c r="AB24" s="324">
        <f t="shared" si="31"/>
        <v>0</v>
      </c>
      <c r="AC24" s="292">
        <f t="shared" si="32"/>
        <v>0</v>
      </c>
      <c r="AD24" s="324">
        <f t="shared" si="47"/>
        <v>0</v>
      </c>
      <c r="AE24" s="293">
        <v>0</v>
      </c>
      <c r="AF24" s="324">
        <f t="shared" si="48"/>
        <v>0</v>
      </c>
      <c r="AG24" s="293">
        <f>'[2]Table 5C1H-Southwest LA Charter'!AI24+'[14]Table 5C1H-Southwest LA Charter'!AI24+(6*'[20]Table 5C1H-Southwest LA Charter'!AI24)</f>
        <v>0</v>
      </c>
      <c r="AH24" s="293">
        <f t="shared" si="49"/>
        <v>0</v>
      </c>
      <c r="AI24" s="324">
        <f t="shared" si="33"/>
        <v>0</v>
      </c>
      <c r="AJ24" s="321">
        <f t="shared" si="50"/>
        <v>0</v>
      </c>
      <c r="AK24" s="342">
        <f t="shared" si="51"/>
        <v>0</v>
      </c>
      <c r="AM24" s="286">
        <v>0</v>
      </c>
      <c r="AN24" s="286">
        <f t="shared" si="52"/>
        <v>0</v>
      </c>
      <c r="AO24" s="286">
        <f t="shared" si="34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2.1.14'!G21</f>
        <v>0</v>
      </c>
      <c r="D25" s="201">
        <f>+'Table 5C1A-Madison Prep'!D25</f>
        <v>5314.3921869460446</v>
      </c>
      <c r="E25" s="202">
        <f t="shared" si="35"/>
        <v>0</v>
      </c>
      <c r="F25" s="202">
        <f>+'Table 5C1A-Madison Prep'!F25</f>
        <v>905.43</v>
      </c>
      <c r="G25" s="202">
        <f t="shared" si="36"/>
        <v>0</v>
      </c>
      <c r="H25" s="345">
        <f t="shared" si="37"/>
        <v>0</v>
      </c>
      <c r="I25" s="991">
        <f>'[1]Oct midyear Southwest'!K22</f>
        <v>0</v>
      </c>
      <c r="J25" s="203">
        <f>'[1]Feb midyear Southwest'!K22</f>
        <v>0</v>
      </c>
      <c r="K25" s="204">
        <f t="shared" si="38"/>
        <v>0</v>
      </c>
      <c r="L25" s="345">
        <f t="shared" si="39"/>
        <v>0</v>
      </c>
      <c r="M25" s="286">
        <f t="shared" si="40"/>
        <v>0</v>
      </c>
      <c r="N25" s="345">
        <f t="shared" si="41"/>
        <v>0</v>
      </c>
      <c r="O25" s="201">
        <v>0</v>
      </c>
      <c r="P25" s="351">
        <f t="shared" si="42"/>
        <v>0</v>
      </c>
      <c r="Q25" s="203">
        <f>'[2]Table 5C1H-Southwest LA Charter'!S25+'[14]Table 5C1H-Southwest LA Charter'!S25+(6*'[20]Table 5C1H-Southwest LA Charter'!S25)</f>
        <v>0</v>
      </c>
      <c r="R25" s="203">
        <f t="shared" si="43"/>
        <v>0</v>
      </c>
      <c r="S25" s="351">
        <f t="shared" si="28"/>
        <v>0</v>
      </c>
      <c r="T25" s="351">
        <f t="shared" si="44"/>
        <v>0</v>
      </c>
      <c r="U25" s="287">
        <f>'Table 5C1A-Madison Prep'!U25</f>
        <v>3051</v>
      </c>
      <c r="V25" s="328">
        <f t="shared" si="45"/>
        <v>0</v>
      </c>
      <c r="W25" s="995">
        <f>'[1]Oct midyear Southwest'!E22</f>
        <v>0</v>
      </c>
      <c r="X25" s="290">
        <f t="shared" si="46"/>
        <v>0</v>
      </c>
      <c r="Y25" s="289">
        <f>'[1]Feb midyear Southwest'!E22</f>
        <v>0</v>
      </c>
      <c r="Z25" s="290">
        <f t="shared" si="29"/>
        <v>0</v>
      </c>
      <c r="AA25" s="288">
        <f t="shared" si="30"/>
        <v>0</v>
      </c>
      <c r="AB25" s="324">
        <f t="shared" si="31"/>
        <v>0</v>
      </c>
      <c r="AC25" s="292">
        <f t="shared" si="32"/>
        <v>0</v>
      </c>
      <c r="AD25" s="324">
        <f t="shared" si="47"/>
        <v>0</v>
      </c>
      <c r="AE25" s="293">
        <v>0</v>
      </c>
      <c r="AF25" s="324">
        <f t="shared" si="48"/>
        <v>0</v>
      </c>
      <c r="AG25" s="293">
        <f>'[2]Table 5C1H-Southwest LA Charter'!AI25+'[14]Table 5C1H-Southwest LA Charter'!AI25+(6*'[20]Table 5C1H-Southwest LA Charter'!AI25)</f>
        <v>0</v>
      </c>
      <c r="AH25" s="293">
        <f t="shared" si="49"/>
        <v>0</v>
      </c>
      <c r="AI25" s="324">
        <f t="shared" si="33"/>
        <v>0</v>
      </c>
      <c r="AJ25" s="321">
        <f t="shared" si="50"/>
        <v>0</v>
      </c>
      <c r="AK25" s="342">
        <f t="shared" si="51"/>
        <v>0</v>
      </c>
      <c r="AM25" s="286">
        <v>0</v>
      </c>
      <c r="AN25" s="286">
        <f t="shared" si="52"/>
        <v>0</v>
      </c>
      <c r="AO25" s="286">
        <f t="shared" si="34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2.1.14'!G22</f>
        <v>0</v>
      </c>
      <c r="D26" s="194">
        <f>+'Table 5C1A-Madison Prep'!D26</f>
        <v>5278.5201565562011</v>
      </c>
      <c r="E26" s="195">
        <f t="shared" si="35"/>
        <v>0</v>
      </c>
      <c r="F26" s="195">
        <f>+'Table 5C1A-Madison Prep'!F26</f>
        <v>586.16999999999996</v>
      </c>
      <c r="G26" s="195">
        <f t="shared" si="36"/>
        <v>0</v>
      </c>
      <c r="H26" s="346">
        <f t="shared" si="37"/>
        <v>0</v>
      </c>
      <c r="I26" s="992">
        <f>'[1]Oct midyear Southwest'!K23</f>
        <v>0</v>
      </c>
      <c r="J26" s="196">
        <f>'[1]Feb midyear Southwest'!K23</f>
        <v>0</v>
      </c>
      <c r="K26" s="197">
        <f t="shared" si="38"/>
        <v>0</v>
      </c>
      <c r="L26" s="346">
        <f t="shared" si="39"/>
        <v>0</v>
      </c>
      <c r="M26" s="296">
        <f t="shared" si="40"/>
        <v>0</v>
      </c>
      <c r="N26" s="346">
        <f t="shared" si="41"/>
        <v>0</v>
      </c>
      <c r="O26" s="194">
        <v>0</v>
      </c>
      <c r="P26" s="352">
        <f t="shared" si="42"/>
        <v>0</v>
      </c>
      <c r="Q26" s="196">
        <f>'[2]Table 5C1H-Southwest LA Charter'!S26+'[14]Table 5C1H-Southwest LA Charter'!S26+(6*'[20]Table 5C1H-Southwest LA Charter'!S26)</f>
        <v>0</v>
      </c>
      <c r="R26" s="196">
        <f t="shared" si="43"/>
        <v>0</v>
      </c>
      <c r="S26" s="352">
        <f t="shared" si="28"/>
        <v>0</v>
      </c>
      <c r="T26" s="352">
        <f t="shared" si="44"/>
        <v>0</v>
      </c>
      <c r="U26" s="281">
        <f>'Table 5C1A-Madison Prep'!U26</f>
        <v>2484</v>
      </c>
      <c r="V26" s="329">
        <f t="shared" si="45"/>
        <v>0</v>
      </c>
      <c r="W26" s="996">
        <f>'[1]Oct midyear Southwest'!E23</f>
        <v>0</v>
      </c>
      <c r="X26" s="282">
        <f t="shared" si="46"/>
        <v>0</v>
      </c>
      <c r="Y26" s="884">
        <f>'[1]Feb midyear Southwest'!E23</f>
        <v>0</v>
      </c>
      <c r="Z26" s="282">
        <f t="shared" si="29"/>
        <v>0</v>
      </c>
      <c r="AA26" s="283">
        <f t="shared" si="30"/>
        <v>0</v>
      </c>
      <c r="AB26" s="325">
        <f t="shared" si="31"/>
        <v>0</v>
      </c>
      <c r="AC26" s="298">
        <f t="shared" si="32"/>
        <v>0</v>
      </c>
      <c r="AD26" s="325">
        <f t="shared" si="47"/>
        <v>0</v>
      </c>
      <c r="AE26" s="284">
        <v>0</v>
      </c>
      <c r="AF26" s="325">
        <f t="shared" si="48"/>
        <v>0</v>
      </c>
      <c r="AG26" s="284">
        <f>'[2]Table 5C1H-Southwest LA Charter'!AI26+'[14]Table 5C1H-Southwest LA Charter'!AI26+(6*'[20]Table 5C1H-Southwest LA Charter'!AI26)</f>
        <v>0</v>
      </c>
      <c r="AH26" s="284">
        <f t="shared" si="49"/>
        <v>0</v>
      </c>
      <c r="AI26" s="325">
        <f t="shared" si="33"/>
        <v>0</v>
      </c>
      <c r="AJ26" s="338">
        <f t="shared" si="50"/>
        <v>0</v>
      </c>
      <c r="AK26" s="343">
        <f t="shared" si="51"/>
        <v>0</v>
      </c>
      <c r="AM26" s="296">
        <v>0</v>
      </c>
      <c r="AN26" s="296">
        <f t="shared" si="52"/>
        <v>0</v>
      </c>
      <c r="AO26" s="296">
        <f t="shared" si="34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2.1.14'!G23</f>
        <v>0</v>
      </c>
      <c r="D27" s="208">
        <f>+'Table 5C1A-Madison Prep'!D27</f>
        <v>6082.3042295867763</v>
      </c>
      <c r="E27" s="209">
        <f t="shared" si="35"/>
        <v>0</v>
      </c>
      <c r="F27" s="209">
        <f>+'Table 5C1A-Madison Prep'!F27</f>
        <v>610.35</v>
      </c>
      <c r="G27" s="209">
        <f t="shared" si="36"/>
        <v>0</v>
      </c>
      <c r="H27" s="344">
        <f t="shared" si="37"/>
        <v>0</v>
      </c>
      <c r="I27" s="990">
        <f>'[1]Oct midyear Southwest'!K24</f>
        <v>0</v>
      </c>
      <c r="J27" s="210">
        <f>'[1]Feb midyear Southwest'!K24</f>
        <v>0</v>
      </c>
      <c r="K27" s="211">
        <f t="shared" si="38"/>
        <v>0</v>
      </c>
      <c r="L27" s="344">
        <f t="shared" si="39"/>
        <v>0</v>
      </c>
      <c r="M27" s="273">
        <f t="shared" si="40"/>
        <v>0</v>
      </c>
      <c r="N27" s="344">
        <f t="shared" si="41"/>
        <v>0</v>
      </c>
      <c r="O27" s="208">
        <v>0</v>
      </c>
      <c r="P27" s="350">
        <f t="shared" si="42"/>
        <v>0</v>
      </c>
      <c r="Q27" s="210">
        <f>'[2]Table 5C1H-Southwest LA Charter'!S27+'[14]Table 5C1H-Southwest LA Charter'!S27+(6*'[20]Table 5C1H-Southwest LA Charter'!S27)</f>
        <v>0</v>
      </c>
      <c r="R27" s="210">
        <f t="shared" si="43"/>
        <v>0</v>
      </c>
      <c r="S27" s="350">
        <f t="shared" si="28"/>
        <v>0</v>
      </c>
      <c r="T27" s="350">
        <f t="shared" si="44"/>
        <v>0</v>
      </c>
      <c r="U27" s="274">
        <f>'Table 5C1A-Madison Prep'!U27</f>
        <v>2487</v>
      </c>
      <c r="V27" s="327">
        <f t="shared" si="45"/>
        <v>0</v>
      </c>
      <c r="W27" s="994">
        <f>'[1]Oct midyear Southwest'!E24</f>
        <v>0</v>
      </c>
      <c r="X27" s="276">
        <f t="shared" si="46"/>
        <v>0</v>
      </c>
      <c r="Y27" s="883">
        <f>'[1]Feb midyear Southwest'!E24</f>
        <v>0</v>
      </c>
      <c r="Z27" s="276">
        <f t="shared" si="29"/>
        <v>0</v>
      </c>
      <c r="AA27" s="275">
        <f t="shared" si="30"/>
        <v>0</v>
      </c>
      <c r="AB27" s="323">
        <f t="shared" si="31"/>
        <v>0</v>
      </c>
      <c r="AC27" s="278">
        <f t="shared" si="32"/>
        <v>0</v>
      </c>
      <c r="AD27" s="323">
        <f t="shared" si="47"/>
        <v>0</v>
      </c>
      <c r="AE27" s="279">
        <v>0</v>
      </c>
      <c r="AF27" s="323">
        <f t="shared" si="48"/>
        <v>0</v>
      </c>
      <c r="AG27" s="279">
        <f>'[2]Table 5C1H-Southwest LA Charter'!AI27+'[14]Table 5C1H-Southwest LA Charter'!AI27+(6*'[20]Table 5C1H-Southwest LA Charter'!AI27)</f>
        <v>0</v>
      </c>
      <c r="AH27" s="279">
        <f t="shared" si="49"/>
        <v>0</v>
      </c>
      <c r="AI27" s="323">
        <f t="shared" si="33"/>
        <v>0</v>
      </c>
      <c r="AJ27" s="337">
        <f t="shared" si="50"/>
        <v>0</v>
      </c>
      <c r="AK27" s="341">
        <f t="shared" si="51"/>
        <v>0</v>
      </c>
      <c r="AM27" s="273">
        <v>0</v>
      </c>
      <c r="AN27" s="273">
        <f t="shared" si="52"/>
        <v>0</v>
      </c>
      <c r="AO27" s="273">
        <f t="shared" si="34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2.1.14'!G24</f>
        <v>0</v>
      </c>
      <c r="D28" s="201">
        <f>+'Table 5C1A-Madison Prep'!D28</f>
        <v>6416.1099808195995</v>
      </c>
      <c r="E28" s="202">
        <f t="shared" si="35"/>
        <v>0</v>
      </c>
      <c r="F28" s="202">
        <f>+'Table 5C1A-Madison Prep'!F28</f>
        <v>496.36</v>
      </c>
      <c r="G28" s="202">
        <f t="shared" si="36"/>
        <v>0</v>
      </c>
      <c r="H28" s="345">
        <f t="shared" si="37"/>
        <v>0</v>
      </c>
      <c r="I28" s="991">
        <f>'[1]Oct midyear Southwest'!K25</f>
        <v>0</v>
      </c>
      <c r="J28" s="203">
        <f>'[1]Feb midyear Southwest'!K25</f>
        <v>0</v>
      </c>
      <c r="K28" s="204">
        <f t="shared" si="38"/>
        <v>0</v>
      </c>
      <c r="L28" s="345">
        <f t="shared" si="39"/>
        <v>0</v>
      </c>
      <c r="M28" s="286">
        <f t="shared" si="40"/>
        <v>0</v>
      </c>
      <c r="N28" s="345">
        <f t="shared" si="41"/>
        <v>0</v>
      </c>
      <c r="O28" s="201">
        <v>0</v>
      </c>
      <c r="P28" s="351">
        <f t="shared" si="42"/>
        <v>0</v>
      </c>
      <c r="Q28" s="203">
        <f>'[2]Table 5C1H-Southwest LA Charter'!S28+'[14]Table 5C1H-Southwest LA Charter'!S28+(6*'[20]Table 5C1H-Southwest LA Charter'!S28)</f>
        <v>0</v>
      </c>
      <c r="R28" s="203">
        <f t="shared" si="43"/>
        <v>0</v>
      </c>
      <c r="S28" s="351">
        <f t="shared" si="28"/>
        <v>0</v>
      </c>
      <c r="T28" s="351">
        <f t="shared" si="44"/>
        <v>0</v>
      </c>
      <c r="U28" s="287">
        <f>'Table 5C1A-Madison Prep'!U28</f>
        <v>1584</v>
      </c>
      <c r="V28" s="328">
        <f t="shared" si="45"/>
        <v>0</v>
      </c>
      <c r="W28" s="995">
        <f>'[1]Oct midyear Southwest'!E25</f>
        <v>0</v>
      </c>
      <c r="X28" s="290">
        <f t="shared" si="46"/>
        <v>0</v>
      </c>
      <c r="Y28" s="289">
        <f>'[1]Feb midyear Southwest'!E25</f>
        <v>0</v>
      </c>
      <c r="Z28" s="290">
        <f t="shared" si="29"/>
        <v>0</v>
      </c>
      <c r="AA28" s="288">
        <f t="shared" si="30"/>
        <v>0</v>
      </c>
      <c r="AB28" s="324">
        <f t="shared" si="31"/>
        <v>0</v>
      </c>
      <c r="AC28" s="292">
        <f t="shared" si="32"/>
        <v>0</v>
      </c>
      <c r="AD28" s="324">
        <f t="shared" si="47"/>
        <v>0</v>
      </c>
      <c r="AE28" s="293">
        <v>0</v>
      </c>
      <c r="AF28" s="324">
        <f t="shared" si="48"/>
        <v>0</v>
      </c>
      <c r="AG28" s="293">
        <f>'[2]Table 5C1H-Southwest LA Charter'!AI28+'[14]Table 5C1H-Southwest LA Charter'!AI28+(6*'[20]Table 5C1H-Southwest LA Charter'!AI28)</f>
        <v>0</v>
      </c>
      <c r="AH28" s="293">
        <f t="shared" si="49"/>
        <v>0</v>
      </c>
      <c r="AI28" s="324">
        <f t="shared" si="33"/>
        <v>0</v>
      </c>
      <c r="AJ28" s="321">
        <f t="shared" si="50"/>
        <v>0</v>
      </c>
      <c r="AK28" s="342">
        <f t="shared" si="51"/>
        <v>0</v>
      </c>
      <c r="AM28" s="286">
        <v>0</v>
      </c>
      <c r="AN28" s="286">
        <f t="shared" si="52"/>
        <v>0</v>
      </c>
      <c r="AO28" s="286">
        <f t="shared" si="34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2.1.14'!G25</f>
        <v>0</v>
      </c>
      <c r="D29" s="201">
        <f>+'Table 5C1A-Madison Prep'!D29</f>
        <v>5011.0215265979159</v>
      </c>
      <c r="E29" s="202">
        <f t="shared" si="35"/>
        <v>0</v>
      </c>
      <c r="F29" s="202">
        <f>+'Table 5C1A-Madison Prep'!F29</f>
        <v>688.58</v>
      </c>
      <c r="G29" s="202">
        <f t="shared" si="36"/>
        <v>0</v>
      </c>
      <c r="H29" s="345">
        <f t="shared" si="37"/>
        <v>0</v>
      </c>
      <c r="I29" s="991">
        <f>'[1]Oct midyear Southwest'!K26</f>
        <v>0</v>
      </c>
      <c r="J29" s="203">
        <f>'[1]Feb midyear Southwest'!K26</f>
        <v>0</v>
      </c>
      <c r="K29" s="204">
        <f t="shared" si="38"/>
        <v>0</v>
      </c>
      <c r="L29" s="345">
        <f t="shared" si="39"/>
        <v>0</v>
      </c>
      <c r="M29" s="286">
        <f t="shared" si="40"/>
        <v>0</v>
      </c>
      <c r="N29" s="345">
        <f t="shared" si="41"/>
        <v>0</v>
      </c>
      <c r="O29" s="201">
        <v>0</v>
      </c>
      <c r="P29" s="351">
        <f t="shared" si="42"/>
        <v>0</v>
      </c>
      <c r="Q29" s="203">
        <f>'[2]Table 5C1H-Southwest LA Charter'!S29+'[14]Table 5C1H-Southwest LA Charter'!S29+(6*'[20]Table 5C1H-Southwest LA Charter'!S29)</f>
        <v>0</v>
      </c>
      <c r="R29" s="203">
        <f t="shared" si="43"/>
        <v>0</v>
      </c>
      <c r="S29" s="351">
        <f t="shared" si="28"/>
        <v>0</v>
      </c>
      <c r="T29" s="351">
        <f t="shared" si="44"/>
        <v>0</v>
      </c>
      <c r="U29" s="287">
        <f>'Table 5C1A-Madison Prep'!U29</f>
        <v>3500</v>
      </c>
      <c r="V29" s="328">
        <f t="shared" si="45"/>
        <v>0</v>
      </c>
      <c r="W29" s="995">
        <f>'[1]Oct midyear Southwest'!E26</f>
        <v>0</v>
      </c>
      <c r="X29" s="290">
        <f t="shared" si="46"/>
        <v>0</v>
      </c>
      <c r="Y29" s="289">
        <f>'[1]Feb midyear Southwest'!E26</f>
        <v>0</v>
      </c>
      <c r="Z29" s="290">
        <f t="shared" si="29"/>
        <v>0</v>
      </c>
      <c r="AA29" s="288">
        <f t="shared" si="30"/>
        <v>0</v>
      </c>
      <c r="AB29" s="324">
        <f t="shared" si="31"/>
        <v>0</v>
      </c>
      <c r="AC29" s="292">
        <f t="shared" si="32"/>
        <v>0</v>
      </c>
      <c r="AD29" s="324">
        <f t="shared" si="47"/>
        <v>0</v>
      </c>
      <c r="AE29" s="293">
        <v>0</v>
      </c>
      <c r="AF29" s="324">
        <f t="shared" si="48"/>
        <v>0</v>
      </c>
      <c r="AG29" s="293">
        <f>'[2]Table 5C1H-Southwest LA Charter'!AI29+'[14]Table 5C1H-Southwest LA Charter'!AI29+(6*'[20]Table 5C1H-Southwest LA Charter'!AI29)</f>
        <v>0</v>
      </c>
      <c r="AH29" s="293">
        <f t="shared" si="49"/>
        <v>0</v>
      </c>
      <c r="AI29" s="324">
        <f t="shared" si="33"/>
        <v>0</v>
      </c>
      <c r="AJ29" s="321">
        <f t="shared" si="50"/>
        <v>0</v>
      </c>
      <c r="AK29" s="342">
        <f t="shared" si="51"/>
        <v>0</v>
      </c>
      <c r="AM29" s="286">
        <v>0</v>
      </c>
      <c r="AN29" s="286">
        <f t="shared" si="52"/>
        <v>0</v>
      </c>
      <c r="AO29" s="286">
        <f t="shared" si="34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2.1.14'!G26</f>
        <v>0</v>
      </c>
      <c r="D30" s="201">
        <f>+'Table 5C1A-Madison Prep'!D30</f>
        <v>2611.6740361576999</v>
      </c>
      <c r="E30" s="202">
        <f t="shared" si="35"/>
        <v>0</v>
      </c>
      <c r="F30" s="202">
        <f>+'Table 5C1A-Madison Prep'!F30</f>
        <v>854.24999999999989</v>
      </c>
      <c r="G30" s="202">
        <f t="shared" si="36"/>
        <v>0</v>
      </c>
      <c r="H30" s="345">
        <f t="shared" si="37"/>
        <v>0</v>
      </c>
      <c r="I30" s="991">
        <f>'[1]Oct midyear Southwest'!K27</f>
        <v>0</v>
      </c>
      <c r="J30" s="203">
        <f>'[1]Feb midyear Southwest'!K27</f>
        <v>0</v>
      </c>
      <c r="K30" s="204">
        <f t="shared" si="38"/>
        <v>0</v>
      </c>
      <c r="L30" s="345">
        <f t="shared" si="39"/>
        <v>0</v>
      </c>
      <c r="M30" s="286">
        <f t="shared" si="40"/>
        <v>0</v>
      </c>
      <c r="N30" s="345">
        <f t="shared" si="41"/>
        <v>0</v>
      </c>
      <c r="O30" s="201">
        <v>0</v>
      </c>
      <c r="P30" s="351">
        <f t="shared" si="42"/>
        <v>0</v>
      </c>
      <c r="Q30" s="203">
        <f>'[2]Table 5C1H-Southwest LA Charter'!S30+'[14]Table 5C1H-Southwest LA Charter'!S30+(6*'[20]Table 5C1H-Southwest LA Charter'!S30)</f>
        <v>0</v>
      </c>
      <c r="R30" s="203">
        <f t="shared" si="43"/>
        <v>0</v>
      </c>
      <c r="S30" s="351">
        <f t="shared" si="28"/>
        <v>0</v>
      </c>
      <c r="T30" s="351">
        <f t="shared" si="44"/>
        <v>0</v>
      </c>
      <c r="U30" s="287">
        <f>'Table 5C1A-Madison Prep'!U30</f>
        <v>11051</v>
      </c>
      <c r="V30" s="328">
        <f t="shared" si="45"/>
        <v>0</v>
      </c>
      <c r="W30" s="995">
        <f>'[1]Oct midyear Southwest'!E27</f>
        <v>0</v>
      </c>
      <c r="X30" s="290">
        <f t="shared" si="46"/>
        <v>0</v>
      </c>
      <c r="Y30" s="289">
        <f>'[1]Feb midyear Southwest'!E27</f>
        <v>0</v>
      </c>
      <c r="Z30" s="290">
        <f t="shared" si="29"/>
        <v>0</v>
      </c>
      <c r="AA30" s="288">
        <f t="shared" si="30"/>
        <v>0</v>
      </c>
      <c r="AB30" s="324">
        <f t="shared" si="31"/>
        <v>0</v>
      </c>
      <c r="AC30" s="292">
        <f t="shared" si="32"/>
        <v>0</v>
      </c>
      <c r="AD30" s="324">
        <f t="shared" si="47"/>
        <v>0</v>
      </c>
      <c r="AE30" s="293">
        <v>0</v>
      </c>
      <c r="AF30" s="324">
        <f t="shared" si="48"/>
        <v>0</v>
      </c>
      <c r="AG30" s="293">
        <f>'[2]Table 5C1H-Southwest LA Charter'!AI30+'[14]Table 5C1H-Southwest LA Charter'!AI30+(6*'[20]Table 5C1H-Southwest LA Charter'!AI30)</f>
        <v>0</v>
      </c>
      <c r="AH30" s="293">
        <f t="shared" si="49"/>
        <v>0</v>
      </c>
      <c r="AI30" s="324">
        <f t="shared" si="33"/>
        <v>0</v>
      </c>
      <c r="AJ30" s="321">
        <f t="shared" si="50"/>
        <v>0</v>
      </c>
      <c r="AK30" s="342">
        <f t="shared" si="51"/>
        <v>0</v>
      </c>
      <c r="AM30" s="286">
        <v>0</v>
      </c>
      <c r="AN30" s="286">
        <f t="shared" si="52"/>
        <v>0</v>
      </c>
      <c r="AO30" s="286">
        <f t="shared" si="34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2.1.14'!G27</f>
        <v>0</v>
      </c>
      <c r="D31" s="194">
        <f>+'Table 5C1A-Madison Prep'!D31</f>
        <v>4173.0720274945697</v>
      </c>
      <c r="E31" s="195">
        <f t="shared" si="35"/>
        <v>0</v>
      </c>
      <c r="F31" s="195">
        <f>+'Table 5C1A-Madison Prep'!F31</f>
        <v>653.73</v>
      </c>
      <c r="G31" s="195">
        <f t="shared" si="36"/>
        <v>0</v>
      </c>
      <c r="H31" s="346">
        <f t="shared" si="37"/>
        <v>0</v>
      </c>
      <c r="I31" s="992">
        <f>'[1]Oct midyear Southwest'!K28</f>
        <v>0</v>
      </c>
      <c r="J31" s="196">
        <f>'[1]Feb midyear Southwest'!K28</f>
        <v>0</v>
      </c>
      <c r="K31" s="197">
        <f t="shared" si="38"/>
        <v>0</v>
      </c>
      <c r="L31" s="346">
        <f t="shared" si="39"/>
        <v>0</v>
      </c>
      <c r="M31" s="296">
        <f t="shared" si="40"/>
        <v>0</v>
      </c>
      <c r="N31" s="346">
        <f t="shared" si="41"/>
        <v>0</v>
      </c>
      <c r="O31" s="194">
        <v>0</v>
      </c>
      <c r="P31" s="352">
        <f t="shared" si="42"/>
        <v>0</v>
      </c>
      <c r="Q31" s="196">
        <f>'[2]Table 5C1H-Southwest LA Charter'!S31+'[14]Table 5C1H-Southwest LA Charter'!S31+(6*'[20]Table 5C1H-Southwest LA Charter'!S31)</f>
        <v>0</v>
      </c>
      <c r="R31" s="196">
        <f t="shared" si="43"/>
        <v>0</v>
      </c>
      <c r="S31" s="352">
        <f t="shared" si="28"/>
        <v>0</v>
      </c>
      <c r="T31" s="352">
        <f t="shared" si="44"/>
        <v>0</v>
      </c>
      <c r="U31" s="281">
        <f>'Table 5C1A-Madison Prep'!U31</f>
        <v>5156</v>
      </c>
      <c r="V31" s="329">
        <f t="shared" si="45"/>
        <v>0</v>
      </c>
      <c r="W31" s="996">
        <f>'[1]Oct midyear Southwest'!E28</f>
        <v>0</v>
      </c>
      <c r="X31" s="282">
        <f t="shared" si="46"/>
        <v>0</v>
      </c>
      <c r="Y31" s="884">
        <f>'[1]Feb midyear Southwest'!E28</f>
        <v>0</v>
      </c>
      <c r="Z31" s="282">
        <f t="shared" si="29"/>
        <v>0</v>
      </c>
      <c r="AA31" s="283">
        <f t="shared" si="30"/>
        <v>0</v>
      </c>
      <c r="AB31" s="325">
        <f t="shared" si="31"/>
        <v>0</v>
      </c>
      <c r="AC31" s="298">
        <f t="shared" si="32"/>
        <v>0</v>
      </c>
      <c r="AD31" s="325">
        <f t="shared" si="47"/>
        <v>0</v>
      </c>
      <c r="AE31" s="284">
        <v>0</v>
      </c>
      <c r="AF31" s="325">
        <f t="shared" si="48"/>
        <v>0</v>
      </c>
      <c r="AG31" s="284">
        <f>'[2]Table 5C1H-Southwest LA Charter'!AI31+'[14]Table 5C1H-Southwest LA Charter'!AI31+(6*'[20]Table 5C1H-Southwest LA Charter'!AI31)</f>
        <v>0</v>
      </c>
      <c r="AH31" s="284">
        <f t="shared" si="49"/>
        <v>0</v>
      </c>
      <c r="AI31" s="325">
        <f t="shared" si="33"/>
        <v>0</v>
      </c>
      <c r="AJ31" s="338">
        <f t="shared" si="50"/>
        <v>0</v>
      </c>
      <c r="AK31" s="343">
        <f t="shared" si="51"/>
        <v>0</v>
      </c>
      <c r="AM31" s="296">
        <v>0</v>
      </c>
      <c r="AN31" s="296">
        <f t="shared" si="52"/>
        <v>0</v>
      </c>
      <c r="AO31" s="296">
        <f t="shared" si="34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2.1.14'!G28</f>
        <v>0</v>
      </c>
      <c r="D32" s="208">
        <f>+'Table 5C1A-Madison Prep'!D32</f>
        <v>3424.5649970570835</v>
      </c>
      <c r="E32" s="209">
        <f t="shared" si="35"/>
        <v>0</v>
      </c>
      <c r="F32" s="209">
        <f>+'Table 5C1A-Madison Prep'!F32</f>
        <v>836.83</v>
      </c>
      <c r="G32" s="209">
        <f t="shared" si="36"/>
        <v>0</v>
      </c>
      <c r="H32" s="344">
        <f t="shared" si="37"/>
        <v>0</v>
      </c>
      <c r="I32" s="990">
        <f>'[1]Oct midyear Southwest'!K29</f>
        <v>0</v>
      </c>
      <c r="J32" s="210">
        <f>'[1]Feb midyear Southwest'!K29</f>
        <v>0</v>
      </c>
      <c r="K32" s="211">
        <f t="shared" si="38"/>
        <v>0</v>
      </c>
      <c r="L32" s="344">
        <f t="shared" si="39"/>
        <v>0</v>
      </c>
      <c r="M32" s="273">
        <f t="shared" si="40"/>
        <v>0</v>
      </c>
      <c r="N32" s="344">
        <f t="shared" si="41"/>
        <v>0</v>
      </c>
      <c r="O32" s="208">
        <v>0</v>
      </c>
      <c r="P32" s="350">
        <f t="shared" si="42"/>
        <v>0</v>
      </c>
      <c r="Q32" s="210">
        <f>'[2]Table 5C1H-Southwest LA Charter'!S32+'[14]Table 5C1H-Southwest LA Charter'!S32+(6*'[20]Table 5C1H-Southwest LA Charter'!S32)</f>
        <v>0</v>
      </c>
      <c r="R32" s="210">
        <f t="shared" si="43"/>
        <v>0</v>
      </c>
      <c r="S32" s="350">
        <f t="shared" si="28"/>
        <v>0</v>
      </c>
      <c r="T32" s="350">
        <f t="shared" si="44"/>
        <v>0</v>
      </c>
      <c r="U32" s="274">
        <f>'Table 5C1A-Madison Prep'!U32</f>
        <v>5153</v>
      </c>
      <c r="V32" s="327">
        <f t="shared" si="45"/>
        <v>0</v>
      </c>
      <c r="W32" s="994">
        <f>'[1]Oct midyear Southwest'!E29</f>
        <v>0</v>
      </c>
      <c r="X32" s="276">
        <f t="shared" si="46"/>
        <v>0</v>
      </c>
      <c r="Y32" s="883">
        <f>'[1]Feb midyear Southwest'!E29</f>
        <v>0</v>
      </c>
      <c r="Z32" s="276">
        <f t="shared" si="29"/>
        <v>0</v>
      </c>
      <c r="AA32" s="275">
        <f t="shared" si="30"/>
        <v>0</v>
      </c>
      <c r="AB32" s="323">
        <f t="shared" si="31"/>
        <v>0</v>
      </c>
      <c r="AC32" s="278">
        <f t="shared" si="32"/>
        <v>0</v>
      </c>
      <c r="AD32" s="323">
        <f t="shared" si="47"/>
        <v>0</v>
      </c>
      <c r="AE32" s="279">
        <v>0</v>
      </c>
      <c r="AF32" s="323">
        <f t="shared" si="48"/>
        <v>0</v>
      </c>
      <c r="AG32" s="279">
        <f>'[2]Table 5C1H-Southwest LA Charter'!AI32+'[14]Table 5C1H-Southwest LA Charter'!AI32+(6*'[20]Table 5C1H-Southwest LA Charter'!AI32)</f>
        <v>0</v>
      </c>
      <c r="AH32" s="279">
        <f t="shared" si="49"/>
        <v>0</v>
      </c>
      <c r="AI32" s="323">
        <f t="shared" si="33"/>
        <v>0</v>
      </c>
      <c r="AJ32" s="337">
        <f t="shared" si="50"/>
        <v>0</v>
      </c>
      <c r="AK32" s="341">
        <f t="shared" si="51"/>
        <v>0</v>
      </c>
      <c r="AM32" s="273">
        <v>0</v>
      </c>
      <c r="AN32" s="273">
        <f t="shared" si="52"/>
        <v>0</v>
      </c>
      <c r="AO32" s="273">
        <f t="shared" si="34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2.1.14'!G29</f>
        <v>0</v>
      </c>
      <c r="D33" s="201">
        <f>+'Table 5C1A-Madison Prep'!D33</f>
        <v>5804.9013839977006</v>
      </c>
      <c r="E33" s="202">
        <f t="shared" si="35"/>
        <v>0</v>
      </c>
      <c r="F33" s="202">
        <f>+'Table 5C1A-Madison Prep'!F33</f>
        <v>693.06</v>
      </c>
      <c r="G33" s="202">
        <f t="shared" si="36"/>
        <v>0</v>
      </c>
      <c r="H33" s="345">
        <f t="shared" si="37"/>
        <v>0</v>
      </c>
      <c r="I33" s="991">
        <f>'[1]Oct midyear Southwest'!K30</f>
        <v>0</v>
      </c>
      <c r="J33" s="203">
        <f>'[1]Feb midyear Southwest'!K30</f>
        <v>0</v>
      </c>
      <c r="K33" s="204">
        <f t="shared" si="38"/>
        <v>0</v>
      </c>
      <c r="L33" s="345">
        <f t="shared" si="39"/>
        <v>0</v>
      </c>
      <c r="M33" s="286">
        <f t="shared" si="40"/>
        <v>0</v>
      </c>
      <c r="N33" s="345">
        <f t="shared" si="41"/>
        <v>0</v>
      </c>
      <c r="O33" s="201">
        <v>0</v>
      </c>
      <c r="P33" s="351">
        <f t="shared" si="42"/>
        <v>0</v>
      </c>
      <c r="Q33" s="203">
        <f>'[2]Table 5C1H-Southwest LA Charter'!S33+'[14]Table 5C1H-Southwest LA Charter'!S33+(6*'[20]Table 5C1H-Southwest LA Charter'!S33)</f>
        <v>12376</v>
      </c>
      <c r="R33" s="203">
        <f t="shared" si="43"/>
        <v>-12376</v>
      </c>
      <c r="S33" s="351">
        <f t="shared" si="28"/>
        <v>-3094</v>
      </c>
      <c r="T33" s="351">
        <f t="shared" si="44"/>
        <v>0</v>
      </c>
      <c r="U33" s="287">
        <f>'Table 5C1A-Madison Prep'!U33</f>
        <v>3225</v>
      </c>
      <c r="V33" s="328">
        <f t="shared" si="45"/>
        <v>0</v>
      </c>
      <c r="W33" s="995">
        <f>'[1]Oct midyear Southwest'!E30</f>
        <v>0</v>
      </c>
      <c r="X33" s="290">
        <f t="shared" si="46"/>
        <v>0</v>
      </c>
      <c r="Y33" s="289">
        <f>'[1]Feb midyear Southwest'!E30</f>
        <v>0</v>
      </c>
      <c r="Z33" s="290">
        <f t="shared" si="29"/>
        <v>0</v>
      </c>
      <c r="AA33" s="288">
        <f t="shared" si="30"/>
        <v>0</v>
      </c>
      <c r="AB33" s="324">
        <f t="shared" si="31"/>
        <v>0</v>
      </c>
      <c r="AC33" s="292">
        <f t="shared" si="32"/>
        <v>0</v>
      </c>
      <c r="AD33" s="324">
        <f t="shared" si="47"/>
        <v>0</v>
      </c>
      <c r="AE33" s="293">
        <v>0</v>
      </c>
      <c r="AF33" s="324">
        <f t="shared" si="48"/>
        <v>0</v>
      </c>
      <c r="AG33" s="293">
        <f>'[2]Table 5C1H-Southwest LA Charter'!AI33+'[14]Table 5C1H-Southwest LA Charter'!AI33+(6*'[20]Table 5C1H-Southwest LA Charter'!AI33)</f>
        <v>6034</v>
      </c>
      <c r="AH33" s="293">
        <f t="shared" si="49"/>
        <v>-6034</v>
      </c>
      <c r="AI33" s="324">
        <f t="shared" si="33"/>
        <v>-1509</v>
      </c>
      <c r="AJ33" s="321">
        <f t="shared" si="50"/>
        <v>0</v>
      </c>
      <c r="AK33" s="342">
        <f t="shared" si="51"/>
        <v>-4603</v>
      </c>
      <c r="AM33" s="286">
        <v>0</v>
      </c>
      <c r="AN33" s="286">
        <f t="shared" si="52"/>
        <v>0</v>
      </c>
      <c r="AO33" s="286">
        <f t="shared" si="34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2.1.14'!G30</f>
        <v>0</v>
      </c>
      <c r="D34" s="201">
        <f>+'Table 5C1A-Madison Prep'!D34</f>
        <v>3137.4158846568821</v>
      </c>
      <c r="E34" s="202">
        <f t="shared" si="35"/>
        <v>0</v>
      </c>
      <c r="F34" s="202">
        <f>+'Table 5C1A-Madison Prep'!F34</f>
        <v>694.4</v>
      </c>
      <c r="G34" s="202">
        <f t="shared" si="36"/>
        <v>0</v>
      </c>
      <c r="H34" s="345">
        <f t="shared" si="37"/>
        <v>0</v>
      </c>
      <c r="I34" s="991">
        <f>'[1]Oct midyear Southwest'!K31</f>
        <v>0</v>
      </c>
      <c r="J34" s="203">
        <f>'[1]Feb midyear Southwest'!K31</f>
        <v>1915.9079423284411</v>
      </c>
      <c r="K34" s="204">
        <f t="shared" si="38"/>
        <v>1915.9079423284411</v>
      </c>
      <c r="L34" s="345">
        <f t="shared" si="39"/>
        <v>1915.9079423284411</v>
      </c>
      <c r="M34" s="286">
        <f t="shared" si="40"/>
        <v>-4.7897698558211026</v>
      </c>
      <c r="N34" s="345">
        <f t="shared" si="41"/>
        <v>1911.11817247262</v>
      </c>
      <c r="O34" s="201">
        <v>0</v>
      </c>
      <c r="P34" s="351">
        <f t="shared" si="42"/>
        <v>1911.11817247262</v>
      </c>
      <c r="Q34" s="203">
        <f>'[2]Table 5C1H-Southwest LA Charter'!S34+'[14]Table 5C1H-Southwest LA Charter'!S34+(6*'[20]Table 5C1H-Southwest LA Charter'!S34)</f>
        <v>0</v>
      </c>
      <c r="R34" s="203">
        <f t="shared" si="43"/>
        <v>1911.11817247262</v>
      </c>
      <c r="S34" s="351">
        <f t="shared" si="28"/>
        <v>478</v>
      </c>
      <c r="T34" s="351">
        <f t="shared" si="44"/>
        <v>1911.11817247262</v>
      </c>
      <c r="U34" s="287">
        <f>'Table 5C1A-Madison Prep'!U34</f>
        <v>5816</v>
      </c>
      <c r="V34" s="328">
        <f t="shared" si="45"/>
        <v>0</v>
      </c>
      <c r="W34" s="995">
        <f>'[1]Oct midyear Southwest'!E31</f>
        <v>0</v>
      </c>
      <c r="X34" s="290">
        <f t="shared" si="46"/>
        <v>0</v>
      </c>
      <c r="Y34" s="289">
        <f>'[1]Feb midyear Southwest'!E31</f>
        <v>1</v>
      </c>
      <c r="Z34" s="290">
        <f t="shared" si="29"/>
        <v>2908</v>
      </c>
      <c r="AA34" s="288">
        <f t="shared" si="30"/>
        <v>2908</v>
      </c>
      <c r="AB34" s="324">
        <f t="shared" si="31"/>
        <v>2908</v>
      </c>
      <c r="AC34" s="292">
        <f t="shared" si="32"/>
        <v>-7.2700000000000005</v>
      </c>
      <c r="AD34" s="324">
        <f t="shared" si="47"/>
        <v>2900.73</v>
      </c>
      <c r="AE34" s="293">
        <v>0</v>
      </c>
      <c r="AF34" s="324">
        <f t="shared" si="48"/>
        <v>2900.73</v>
      </c>
      <c r="AG34" s="293">
        <f>'[2]Table 5C1H-Southwest LA Charter'!AI34+'[14]Table 5C1H-Southwest LA Charter'!AI34+(6*'[20]Table 5C1H-Southwest LA Charter'!AI34)</f>
        <v>0</v>
      </c>
      <c r="AH34" s="293">
        <f t="shared" si="49"/>
        <v>2900.73</v>
      </c>
      <c r="AI34" s="324">
        <f t="shared" si="33"/>
        <v>725</v>
      </c>
      <c r="AJ34" s="321">
        <f t="shared" si="50"/>
        <v>4811.8481724726198</v>
      </c>
      <c r="AK34" s="342">
        <f t="shared" si="51"/>
        <v>1203</v>
      </c>
      <c r="AM34" s="286">
        <v>0</v>
      </c>
      <c r="AN34" s="286">
        <f t="shared" si="52"/>
        <v>-7.2700000000000005</v>
      </c>
      <c r="AO34" s="286">
        <f>+AN34-AM34</f>
        <v>-7.2700000000000005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2.1.14'!G31</f>
        <v>0</v>
      </c>
      <c r="D35" s="201">
        <f>+'Table 5C1A-Madison Prep'!D35</f>
        <v>3839.0123210173724</v>
      </c>
      <c r="E35" s="202">
        <f t="shared" si="35"/>
        <v>0</v>
      </c>
      <c r="F35" s="202">
        <f>+'Table 5C1A-Madison Prep'!F35</f>
        <v>754.94999999999993</v>
      </c>
      <c r="G35" s="202">
        <f t="shared" si="36"/>
        <v>0</v>
      </c>
      <c r="H35" s="345">
        <f t="shared" si="37"/>
        <v>0</v>
      </c>
      <c r="I35" s="991">
        <f>'[1]Oct midyear Southwest'!K32</f>
        <v>0</v>
      </c>
      <c r="J35" s="203">
        <f>'[1]Feb midyear Southwest'!K32</f>
        <v>0</v>
      </c>
      <c r="K35" s="204">
        <f t="shared" si="38"/>
        <v>0</v>
      </c>
      <c r="L35" s="345">
        <f t="shared" si="39"/>
        <v>0</v>
      </c>
      <c r="M35" s="286">
        <f t="shared" si="40"/>
        <v>0</v>
      </c>
      <c r="N35" s="345">
        <f t="shared" si="41"/>
        <v>0</v>
      </c>
      <c r="O35" s="201">
        <v>0</v>
      </c>
      <c r="P35" s="351">
        <f t="shared" si="42"/>
        <v>0</v>
      </c>
      <c r="Q35" s="203">
        <f>'[2]Table 5C1H-Southwest LA Charter'!S35+'[14]Table 5C1H-Southwest LA Charter'!S35+(6*'[20]Table 5C1H-Southwest LA Charter'!S35)</f>
        <v>0</v>
      </c>
      <c r="R35" s="203">
        <f t="shared" si="43"/>
        <v>0</v>
      </c>
      <c r="S35" s="351">
        <f t="shared" si="28"/>
        <v>0</v>
      </c>
      <c r="T35" s="351">
        <f t="shared" si="44"/>
        <v>0</v>
      </c>
      <c r="U35" s="287">
        <f>'Table 5C1A-Madison Prep'!U35</f>
        <v>5046</v>
      </c>
      <c r="V35" s="328">
        <f t="shared" si="45"/>
        <v>0</v>
      </c>
      <c r="W35" s="995">
        <f>'[1]Oct midyear Southwest'!E32</f>
        <v>0</v>
      </c>
      <c r="X35" s="290">
        <f t="shared" si="46"/>
        <v>0</v>
      </c>
      <c r="Y35" s="289">
        <f>'[1]Feb midyear Southwest'!E32</f>
        <v>0</v>
      </c>
      <c r="Z35" s="290">
        <f t="shared" si="29"/>
        <v>0</v>
      </c>
      <c r="AA35" s="288">
        <f t="shared" si="30"/>
        <v>0</v>
      </c>
      <c r="AB35" s="324">
        <f t="shared" si="31"/>
        <v>0</v>
      </c>
      <c r="AC35" s="292">
        <f t="shared" si="32"/>
        <v>0</v>
      </c>
      <c r="AD35" s="324">
        <f t="shared" si="47"/>
        <v>0</v>
      </c>
      <c r="AE35" s="293">
        <v>0</v>
      </c>
      <c r="AF35" s="324">
        <f t="shared" si="48"/>
        <v>0</v>
      </c>
      <c r="AG35" s="293">
        <f>'[2]Table 5C1H-Southwest LA Charter'!AI35+'[14]Table 5C1H-Southwest LA Charter'!AI35+(6*'[20]Table 5C1H-Southwest LA Charter'!AI35)</f>
        <v>0</v>
      </c>
      <c r="AH35" s="293">
        <f t="shared" si="49"/>
        <v>0</v>
      </c>
      <c r="AI35" s="324">
        <f t="shared" si="33"/>
        <v>0</v>
      </c>
      <c r="AJ35" s="321">
        <f t="shared" si="50"/>
        <v>0</v>
      </c>
      <c r="AK35" s="342">
        <f t="shared" si="51"/>
        <v>0</v>
      </c>
      <c r="AM35" s="286">
        <v>0</v>
      </c>
      <c r="AN35" s="286">
        <f t="shared" si="52"/>
        <v>0</v>
      </c>
      <c r="AO35" s="286">
        <f t="shared" ref="AO35:AO75" si="53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2.1.14'!G32</f>
        <v>0</v>
      </c>
      <c r="D36" s="194">
        <f>+'Table 5C1A-Madison Prep'!D36</f>
        <v>5804.5327273996763</v>
      </c>
      <c r="E36" s="195">
        <f t="shared" si="35"/>
        <v>0</v>
      </c>
      <c r="F36" s="195">
        <f>+'Table 5C1A-Madison Prep'!F36</f>
        <v>727.17</v>
      </c>
      <c r="G36" s="195">
        <f t="shared" si="36"/>
        <v>0</v>
      </c>
      <c r="H36" s="346">
        <f t="shared" si="37"/>
        <v>0</v>
      </c>
      <c r="I36" s="992">
        <f>'[1]Oct midyear Southwest'!K33</f>
        <v>0</v>
      </c>
      <c r="J36" s="196">
        <f>'[1]Feb midyear Southwest'!K33</f>
        <v>0</v>
      </c>
      <c r="K36" s="197">
        <f t="shared" si="38"/>
        <v>0</v>
      </c>
      <c r="L36" s="346">
        <f t="shared" si="39"/>
        <v>0</v>
      </c>
      <c r="M36" s="296">
        <f t="shared" si="40"/>
        <v>0</v>
      </c>
      <c r="N36" s="346">
        <f t="shared" si="41"/>
        <v>0</v>
      </c>
      <c r="O36" s="194">
        <v>0</v>
      </c>
      <c r="P36" s="352">
        <f t="shared" si="42"/>
        <v>0</v>
      </c>
      <c r="Q36" s="196">
        <f>'[2]Table 5C1H-Southwest LA Charter'!S36+'[14]Table 5C1H-Southwest LA Charter'!S36+(6*'[20]Table 5C1H-Southwest LA Charter'!S36)</f>
        <v>0</v>
      </c>
      <c r="R36" s="196">
        <f t="shared" si="43"/>
        <v>0</v>
      </c>
      <c r="S36" s="352">
        <f t="shared" si="28"/>
        <v>0</v>
      </c>
      <c r="T36" s="352">
        <f t="shared" si="44"/>
        <v>0</v>
      </c>
      <c r="U36" s="281">
        <f>'Table 5C1A-Madison Prep'!U36</f>
        <v>3999</v>
      </c>
      <c r="V36" s="329">
        <f t="shared" si="45"/>
        <v>0</v>
      </c>
      <c r="W36" s="996">
        <f>'[1]Oct midyear Southwest'!E33</f>
        <v>0</v>
      </c>
      <c r="X36" s="282">
        <f t="shared" si="46"/>
        <v>0</v>
      </c>
      <c r="Y36" s="884">
        <f>'[1]Feb midyear Southwest'!E33</f>
        <v>0</v>
      </c>
      <c r="Z36" s="282">
        <f t="shared" si="29"/>
        <v>0</v>
      </c>
      <c r="AA36" s="283">
        <f t="shared" si="30"/>
        <v>0</v>
      </c>
      <c r="AB36" s="325">
        <f t="shared" si="31"/>
        <v>0</v>
      </c>
      <c r="AC36" s="298">
        <f t="shared" si="32"/>
        <v>0</v>
      </c>
      <c r="AD36" s="325">
        <f t="shared" si="47"/>
        <v>0</v>
      </c>
      <c r="AE36" s="284">
        <v>0</v>
      </c>
      <c r="AF36" s="325">
        <f t="shared" si="48"/>
        <v>0</v>
      </c>
      <c r="AG36" s="284">
        <f>'[2]Table 5C1H-Southwest LA Charter'!AI36+'[14]Table 5C1H-Southwest LA Charter'!AI36+(6*'[20]Table 5C1H-Southwest LA Charter'!AI36)</f>
        <v>0</v>
      </c>
      <c r="AH36" s="284">
        <f t="shared" si="49"/>
        <v>0</v>
      </c>
      <c r="AI36" s="325">
        <f t="shared" si="33"/>
        <v>0</v>
      </c>
      <c r="AJ36" s="338">
        <f t="shared" si="50"/>
        <v>0</v>
      </c>
      <c r="AK36" s="343">
        <f t="shared" si="51"/>
        <v>0</v>
      </c>
      <c r="AM36" s="296">
        <v>0</v>
      </c>
      <c r="AN36" s="296">
        <f t="shared" si="52"/>
        <v>0</v>
      </c>
      <c r="AO36" s="296">
        <f t="shared" si="53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2.1.14'!G33</f>
        <v>0</v>
      </c>
      <c r="D37" s="208">
        <f>+'Table 5C1A-Madison Prep'!D37</f>
        <v>4520.6176716868531</v>
      </c>
      <c r="E37" s="209">
        <f t="shared" si="35"/>
        <v>0</v>
      </c>
      <c r="F37" s="209">
        <f>+'Table 5C1A-Madison Prep'!F37</f>
        <v>620.83000000000004</v>
      </c>
      <c r="G37" s="209">
        <f t="shared" si="36"/>
        <v>0</v>
      </c>
      <c r="H37" s="344">
        <f t="shared" si="37"/>
        <v>0</v>
      </c>
      <c r="I37" s="990">
        <f>'[1]Oct midyear Southwest'!K34</f>
        <v>0</v>
      </c>
      <c r="J37" s="210">
        <f>'[1]Feb midyear Southwest'!K34</f>
        <v>0</v>
      </c>
      <c r="K37" s="211">
        <f t="shared" si="38"/>
        <v>0</v>
      </c>
      <c r="L37" s="344">
        <f t="shared" si="39"/>
        <v>0</v>
      </c>
      <c r="M37" s="273">
        <f t="shared" si="40"/>
        <v>0</v>
      </c>
      <c r="N37" s="344">
        <f t="shared" si="41"/>
        <v>0</v>
      </c>
      <c r="O37" s="208">
        <v>0</v>
      </c>
      <c r="P37" s="350">
        <f t="shared" si="42"/>
        <v>0</v>
      </c>
      <c r="Q37" s="210">
        <f>'[2]Table 5C1H-Southwest LA Charter'!S37+'[14]Table 5C1H-Southwest LA Charter'!S37+(6*'[20]Table 5C1H-Southwest LA Charter'!S37)</f>
        <v>0</v>
      </c>
      <c r="R37" s="210">
        <f t="shared" si="43"/>
        <v>0</v>
      </c>
      <c r="S37" s="350">
        <f t="shared" si="28"/>
        <v>0</v>
      </c>
      <c r="T37" s="350">
        <f t="shared" si="44"/>
        <v>0</v>
      </c>
      <c r="U37" s="274">
        <f>'Table 5C1A-Madison Prep'!U37</f>
        <v>5028</v>
      </c>
      <c r="V37" s="327">
        <f t="shared" si="45"/>
        <v>0</v>
      </c>
      <c r="W37" s="994">
        <f>'[1]Oct midyear Southwest'!E34</f>
        <v>0</v>
      </c>
      <c r="X37" s="276">
        <f t="shared" si="46"/>
        <v>0</v>
      </c>
      <c r="Y37" s="883">
        <f>'[1]Feb midyear Southwest'!E34</f>
        <v>0</v>
      </c>
      <c r="Z37" s="276">
        <f t="shared" si="29"/>
        <v>0</v>
      </c>
      <c r="AA37" s="275">
        <f t="shared" si="30"/>
        <v>0</v>
      </c>
      <c r="AB37" s="323">
        <f t="shared" si="31"/>
        <v>0</v>
      </c>
      <c r="AC37" s="278">
        <f t="shared" si="32"/>
        <v>0</v>
      </c>
      <c r="AD37" s="323">
        <f t="shared" si="47"/>
        <v>0</v>
      </c>
      <c r="AE37" s="279">
        <v>0</v>
      </c>
      <c r="AF37" s="323">
        <f t="shared" si="48"/>
        <v>0</v>
      </c>
      <c r="AG37" s="279">
        <f>'[2]Table 5C1H-Southwest LA Charter'!AI37+'[14]Table 5C1H-Southwest LA Charter'!AI37+(6*'[20]Table 5C1H-Southwest LA Charter'!AI37)</f>
        <v>0</v>
      </c>
      <c r="AH37" s="279">
        <f t="shared" si="49"/>
        <v>0</v>
      </c>
      <c r="AI37" s="323">
        <f t="shared" si="33"/>
        <v>0</v>
      </c>
      <c r="AJ37" s="337">
        <f t="shared" si="50"/>
        <v>0</v>
      </c>
      <c r="AK37" s="341">
        <f t="shared" si="51"/>
        <v>0</v>
      </c>
      <c r="AM37" s="273">
        <v>0</v>
      </c>
      <c r="AN37" s="273">
        <f t="shared" si="52"/>
        <v>0</v>
      </c>
      <c r="AO37" s="273">
        <f t="shared" si="53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2.1.14'!G34</f>
        <v>0</v>
      </c>
      <c r="D38" s="201">
        <f>+'Table 5C1A-Madison Prep'!D38</f>
        <v>5652.819189061127</v>
      </c>
      <c r="E38" s="202">
        <f t="shared" si="35"/>
        <v>0</v>
      </c>
      <c r="F38" s="202">
        <f>+'Table 5C1A-Madison Prep'!F38</f>
        <v>559.77</v>
      </c>
      <c r="G38" s="202">
        <f t="shared" si="36"/>
        <v>0</v>
      </c>
      <c r="H38" s="345">
        <f t="shared" si="37"/>
        <v>0</v>
      </c>
      <c r="I38" s="991">
        <f>'[1]Oct midyear Southwest'!K35</f>
        <v>0</v>
      </c>
      <c r="J38" s="203">
        <f>'[1]Feb midyear Southwest'!K35</f>
        <v>0</v>
      </c>
      <c r="K38" s="204">
        <f t="shared" si="38"/>
        <v>0</v>
      </c>
      <c r="L38" s="345">
        <f t="shared" si="39"/>
        <v>0</v>
      </c>
      <c r="M38" s="286">
        <f t="shared" si="40"/>
        <v>0</v>
      </c>
      <c r="N38" s="345">
        <f t="shared" si="41"/>
        <v>0</v>
      </c>
      <c r="O38" s="201">
        <v>0</v>
      </c>
      <c r="P38" s="351">
        <f t="shared" si="42"/>
        <v>0</v>
      </c>
      <c r="Q38" s="203">
        <f>'[2]Table 5C1H-Southwest LA Charter'!S38+'[14]Table 5C1H-Southwest LA Charter'!S38+(6*'[20]Table 5C1H-Southwest LA Charter'!S38)</f>
        <v>0</v>
      </c>
      <c r="R38" s="203">
        <f t="shared" si="43"/>
        <v>0</v>
      </c>
      <c r="S38" s="351">
        <f t="shared" si="28"/>
        <v>0</v>
      </c>
      <c r="T38" s="351">
        <f t="shared" si="44"/>
        <v>0</v>
      </c>
      <c r="U38" s="287">
        <f>'Table 5C1A-Madison Prep'!U38</f>
        <v>2139</v>
      </c>
      <c r="V38" s="328">
        <f t="shared" si="45"/>
        <v>0</v>
      </c>
      <c r="W38" s="995">
        <f>'[1]Oct midyear Southwest'!E35</f>
        <v>0</v>
      </c>
      <c r="X38" s="290">
        <f t="shared" si="46"/>
        <v>0</v>
      </c>
      <c r="Y38" s="289">
        <f>'[1]Feb midyear Southwest'!E35</f>
        <v>0</v>
      </c>
      <c r="Z38" s="290">
        <f t="shared" si="29"/>
        <v>0</v>
      </c>
      <c r="AA38" s="288">
        <f t="shared" si="30"/>
        <v>0</v>
      </c>
      <c r="AB38" s="324">
        <f t="shared" si="31"/>
        <v>0</v>
      </c>
      <c r="AC38" s="292">
        <f t="shared" si="32"/>
        <v>0</v>
      </c>
      <c r="AD38" s="324">
        <f t="shared" si="47"/>
        <v>0</v>
      </c>
      <c r="AE38" s="293">
        <v>0</v>
      </c>
      <c r="AF38" s="324">
        <f t="shared" si="48"/>
        <v>0</v>
      </c>
      <c r="AG38" s="293">
        <f>'[2]Table 5C1H-Southwest LA Charter'!AI38+'[14]Table 5C1H-Southwest LA Charter'!AI38+(6*'[20]Table 5C1H-Southwest LA Charter'!AI38)</f>
        <v>0</v>
      </c>
      <c r="AH38" s="293">
        <f t="shared" si="49"/>
        <v>0</v>
      </c>
      <c r="AI38" s="324">
        <f t="shared" si="33"/>
        <v>0</v>
      </c>
      <c r="AJ38" s="321">
        <f t="shared" si="50"/>
        <v>0</v>
      </c>
      <c r="AK38" s="342">
        <f t="shared" si="51"/>
        <v>0</v>
      </c>
      <c r="AM38" s="286">
        <v>0</v>
      </c>
      <c r="AN38" s="286">
        <f t="shared" si="52"/>
        <v>0</v>
      </c>
      <c r="AO38" s="286">
        <f t="shared" si="53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2.1.14'!G35</f>
        <v>0</v>
      </c>
      <c r="D39" s="201">
        <f>+'Table 5C1A-Madison Prep'!D39</f>
        <v>5456.2254558085233</v>
      </c>
      <c r="E39" s="202">
        <f t="shared" si="35"/>
        <v>0</v>
      </c>
      <c r="F39" s="202">
        <f>+'Table 5C1A-Madison Prep'!F39</f>
        <v>655.31000000000006</v>
      </c>
      <c r="G39" s="202">
        <f t="shared" si="36"/>
        <v>0</v>
      </c>
      <c r="H39" s="345">
        <f t="shared" si="37"/>
        <v>0</v>
      </c>
      <c r="I39" s="991">
        <f>'[1]Oct midyear Southwest'!K36</f>
        <v>0</v>
      </c>
      <c r="J39" s="203">
        <f>'[1]Feb midyear Southwest'!K36</f>
        <v>0</v>
      </c>
      <c r="K39" s="204">
        <f t="shared" si="38"/>
        <v>0</v>
      </c>
      <c r="L39" s="345">
        <f t="shared" si="39"/>
        <v>0</v>
      </c>
      <c r="M39" s="286">
        <f t="shared" si="40"/>
        <v>0</v>
      </c>
      <c r="N39" s="345">
        <f t="shared" si="41"/>
        <v>0</v>
      </c>
      <c r="O39" s="201">
        <v>0</v>
      </c>
      <c r="P39" s="351">
        <f t="shared" si="42"/>
        <v>0</v>
      </c>
      <c r="Q39" s="203">
        <f>'[2]Table 5C1H-Southwest LA Charter'!S39+'[14]Table 5C1H-Southwest LA Charter'!S39+(6*'[20]Table 5C1H-Southwest LA Charter'!S39)</f>
        <v>0</v>
      </c>
      <c r="R39" s="203">
        <f t="shared" si="43"/>
        <v>0</v>
      </c>
      <c r="S39" s="351">
        <f t="shared" ref="S39:S70" si="54">ROUND(R39/$S$88,0)</f>
        <v>0</v>
      </c>
      <c r="T39" s="351">
        <f t="shared" si="44"/>
        <v>0</v>
      </c>
      <c r="U39" s="287">
        <f>'Table 5C1A-Madison Prep'!U39</f>
        <v>3784</v>
      </c>
      <c r="V39" s="328">
        <f t="shared" si="45"/>
        <v>0</v>
      </c>
      <c r="W39" s="995">
        <f>'[1]Oct midyear Southwest'!E36</f>
        <v>0</v>
      </c>
      <c r="X39" s="290">
        <f t="shared" si="46"/>
        <v>0</v>
      </c>
      <c r="Y39" s="289">
        <f>'[1]Feb midyear Southwest'!E36</f>
        <v>0</v>
      </c>
      <c r="Z39" s="290">
        <f t="shared" si="29"/>
        <v>0</v>
      </c>
      <c r="AA39" s="288">
        <f t="shared" si="30"/>
        <v>0</v>
      </c>
      <c r="AB39" s="324">
        <f t="shared" si="31"/>
        <v>0</v>
      </c>
      <c r="AC39" s="292">
        <f t="shared" si="32"/>
        <v>0</v>
      </c>
      <c r="AD39" s="324">
        <f t="shared" si="47"/>
        <v>0</v>
      </c>
      <c r="AE39" s="293">
        <v>0</v>
      </c>
      <c r="AF39" s="324">
        <f t="shared" si="48"/>
        <v>0</v>
      </c>
      <c r="AG39" s="293">
        <f>'[2]Table 5C1H-Southwest LA Charter'!AI39+'[14]Table 5C1H-Southwest LA Charter'!AI39+(6*'[20]Table 5C1H-Southwest LA Charter'!AI39)</f>
        <v>0</v>
      </c>
      <c r="AH39" s="293">
        <f t="shared" si="49"/>
        <v>0</v>
      </c>
      <c r="AI39" s="324">
        <f t="shared" ref="AI39:AI70" si="55">ROUND(AH39/$AI$88,0)</f>
        <v>0</v>
      </c>
      <c r="AJ39" s="321">
        <f t="shared" si="50"/>
        <v>0</v>
      </c>
      <c r="AK39" s="342">
        <f t="shared" si="51"/>
        <v>0</v>
      </c>
      <c r="AM39" s="286">
        <v>0</v>
      </c>
      <c r="AN39" s="286">
        <f t="shared" si="52"/>
        <v>0</v>
      </c>
      <c r="AO39" s="286">
        <f t="shared" si="53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2.1.14'!G36</f>
        <v>0</v>
      </c>
      <c r="D40" s="201">
        <f>+'Table 5C1A-Madison Prep'!D40</f>
        <v>6292.0976842789005</v>
      </c>
      <c r="E40" s="202">
        <f t="shared" si="35"/>
        <v>0</v>
      </c>
      <c r="F40" s="202">
        <f>+'Table 5C1A-Madison Prep'!F40</f>
        <v>644.11000000000013</v>
      </c>
      <c r="G40" s="202">
        <f t="shared" si="36"/>
        <v>0</v>
      </c>
      <c r="H40" s="345">
        <f t="shared" si="37"/>
        <v>0</v>
      </c>
      <c r="I40" s="991">
        <f>'[1]Oct midyear Southwest'!K37</f>
        <v>0</v>
      </c>
      <c r="J40" s="203">
        <f>'[1]Feb midyear Southwest'!K37</f>
        <v>0</v>
      </c>
      <c r="K40" s="204">
        <f t="shared" si="38"/>
        <v>0</v>
      </c>
      <c r="L40" s="345">
        <f t="shared" si="39"/>
        <v>0</v>
      </c>
      <c r="M40" s="286">
        <f t="shared" si="40"/>
        <v>0</v>
      </c>
      <c r="N40" s="345">
        <f t="shared" si="41"/>
        <v>0</v>
      </c>
      <c r="O40" s="201">
        <v>0</v>
      </c>
      <c r="P40" s="351">
        <f t="shared" si="42"/>
        <v>0</v>
      </c>
      <c r="Q40" s="203">
        <f>'[2]Table 5C1H-Southwest LA Charter'!S40+'[14]Table 5C1H-Southwest LA Charter'!S40+(6*'[20]Table 5C1H-Southwest LA Charter'!S40)</f>
        <v>0</v>
      </c>
      <c r="R40" s="203">
        <f t="shared" si="43"/>
        <v>0</v>
      </c>
      <c r="S40" s="351">
        <f t="shared" si="54"/>
        <v>0</v>
      </c>
      <c r="T40" s="351">
        <f t="shared" si="44"/>
        <v>0</v>
      </c>
      <c r="U40" s="287">
        <f>'Table 5C1A-Madison Prep'!U40</f>
        <v>2911</v>
      </c>
      <c r="V40" s="328">
        <f t="shared" si="45"/>
        <v>0</v>
      </c>
      <c r="W40" s="995">
        <f>'[1]Oct midyear Southwest'!E37</f>
        <v>0</v>
      </c>
      <c r="X40" s="290">
        <f t="shared" si="46"/>
        <v>0</v>
      </c>
      <c r="Y40" s="289">
        <f>'[1]Feb midyear Southwest'!E37</f>
        <v>0</v>
      </c>
      <c r="Z40" s="290">
        <f t="shared" si="29"/>
        <v>0</v>
      </c>
      <c r="AA40" s="288">
        <f t="shared" si="30"/>
        <v>0</v>
      </c>
      <c r="AB40" s="324">
        <f t="shared" si="31"/>
        <v>0</v>
      </c>
      <c r="AC40" s="292">
        <f t="shared" si="32"/>
        <v>0</v>
      </c>
      <c r="AD40" s="324">
        <f t="shared" si="47"/>
        <v>0</v>
      </c>
      <c r="AE40" s="293">
        <v>0</v>
      </c>
      <c r="AF40" s="324">
        <f t="shared" si="48"/>
        <v>0</v>
      </c>
      <c r="AG40" s="293">
        <f>'[2]Table 5C1H-Southwest LA Charter'!AI40+'[14]Table 5C1H-Southwest LA Charter'!AI40+(6*'[20]Table 5C1H-Southwest LA Charter'!AI40)</f>
        <v>0</v>
      </c>
      <c r="AH40" s="293">
        <f t="shared" si="49"/>
        <v>0</v>
      </c>
      <c r="AI40" s="324">
        <f t="shared" si="55"/>
        <v>0</v>
      </c>
      <c r="AJ40" s="321">
        <f t="shared" si="50"/>
        <v>0</v>
      </c>
      <c r="AK40" s="342">
        <f t="shared" si="51"/>
        <v>0</v>
      </c>
      <c r="AM40" s="286">
        <v>0</v>
      </c>
      <c r="AN40" s="286">
        <f t="shared" si="52"/>
        <v>0</v>
      </c>
      <c r="AO40" s="286">
        <f t="shared" si="53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2.1.14'!G37</f>
        <v>0</v>
      </c>
      <c r="D41" s="194">
        <f>+'Table 5C1A-Madison Prep'!D41</f>
        <v>5166.2482060477605</v>
      </c>
      <c r="E41" s="195">
        <f t="shared" si="35"/>
        <v>0</v>
      </c>
      <c r="F41" s="195">
        <f>+'Table 5C1A-Madison Prep'!F41</f>
        <v>537.96</v>
      </c>
      <c r="G41" s="195">
        <f t="shared" si="36"/>
        <v>0</v>
      </c>
      <c r="H41" s="346">
        <f t="shared" si="37"/>
        <v>0</v>
      </c>
      <c r="I41" s="992">
        <f>'[1]Oct midyear Southwest'!K38</f>
        <v>0</v>
      </c>
      <c r="J41" s="196">
        <f>'[1]Feb midyear Southwest'!K38</f>
        <v>0</v>
      </c>
      <c r="K41" s="197">
        <f t="shared" si="38"/>
        <v>0</v>
      </c>
      <c r="L41" s="346">
        <f t="shared" si="39"/>
        <v>0</v>
      </c>
      <c r="M41" s="296">
        <f t="shared" si="40"/>
        <v>0</v>
      </c>
      <c r="N41" s="346">
        <f t="shared" si="41"/>
        <v>0</v>
      </c>
      <c r="O41" s="194">
        <v>0</v>
      </c>
      <c r="P41" s="352">
        <f t="shared" si="42"/>
        <v>0</v>
      </c>
      <c r="Q41" s="196">
        <f>'[2]Table 5C1H-Southwest LA Charter'!S41+'[14]Table 5C1H-Southwest LA Charter'!S41+(6*'[20]Table 5C1H-Southwest LA Charter'!S41)</f>
        <v>0</v>
      </c>
      <c r="R41" s="196">
        <f t="shared" si="43"/>
        <v>0</v>
      </c>
      <c r="S41" s="352">
        <f t="shared" si="54"/>
        <v>0</v>
      </c>
      <c r="T41" s="352">
        <f t="shared" si="44"/>
        <v>0</v>
      </c>
      <c r="U41" s="281">
        <f>'Table 5C1A-Madison Prep'!U41</f>
        <v>3337</v>
      </c>
      <c r="V41" s="329">
        <f t="shared" si="45"/>
        <v>0</v>
      </c>
      <c r="W41" s="996">
        <f>'[1]Oct midyear Southwest'!E38</f>
        <v>0</v>
      </c>
      <c r="X41" s="282">
        <f t="shared" si="46"/>
        <v>0</v>
      </c>
      <c r="Y41" s="884">
        <f>'[1]Feb midyear Southwest'!E38</f>
        <v>0</v>
      </c>
      <c r="Z41" s="282">
        <f t="shared" si="29"/>
        <v>0</v>
      </c>
      <c r="AA41" s="283">
        <f t="shared" si="30"/>
        <v>0</v>
      </c>
      <c r="AB41" s="325">
        <f t="shared" si="31"/>
        <v>0</v>
      </c>
      <c r="AC41" s="298">
        <f t="shared" si="32"/>
        <v>0</v>
      </c>
      <c r="AD41" s="325">
        <f t="shared" si="47"/>
        <v>0</v>
      </c>
      <c r="AE41" s="284">
        <v>0</v>
      </c>
      <c r="AF41" s="325">
        <f t="shared" si="48"/>
        <v>0</v>
      </c>
      <c r="AG41" s="284">
        <f>'[2]Table 5C1H-Southwest LA Charter'!AI41+'[14]Table 5C1H-Southwest LA Charter'!AI41+(6*'[20]Table 5C1H-Southwest LA Charter'!AI41)</f>
        <v>0</v>
      </c>
      <c r="AH41" s="284">
        <f t="shared" si="49"/>
        <v>0</v>
      </c>
      <c r="AI41" s="325">
        <f t="shared" si="55"/>
        <v>0</v>
      </c>
      <c r="AJ41" s="338">
        <f t="shared" si="50"/>
        <v>0</v>
      </c>
      <c r="AK41" s="343">
        <f t="shared" si="51"/>
        <v>0</v>
      </c>
      <c r="AM41" s="296">
        <v>0</v>
      </c>
      <c r="AN41" s="296">
        <f t="shared" si="52"/>
        <v>0</v>
      </c>
      <c r="AO41" s="296">
        <f t="shared" si="53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2.1.14'!G38</f>
        <v>0</v>
      </c>
      <c r="D42" s="208">
        <f>+'Table 5C1A-Madison Prep'!D42</f>
        <v>3602.7009974327857</v>
      </c>
      <c r="E42" s="209">
        <f t="shared" si="35"/>
        <v>0</v>
      </c>
      <c r="F42" s="209">
        <f>+'Table 5C1A-Madison Prep'!F42</f>
        <v>746.0335616438357</v>
      </c>
      <c r="G42" s="209">
        <f t="shared" si="36"/>
        <v>0</v>
      </c>
      <c r="H42" s="344">
        <f t="shared" si="37"/>
        <v>0</v>
      </c>
      <c r="I42" s="990">
        <f>'[1]Oct midyear Southwest'!K39</f>
        <v>0</v>
      </c>
      <c r="J42" s="210">
        <f>'[1]Feb midyear Southwest'!K39</f>
        <v>0</v>
      </c>
      <c r="K42" s="211">
        <f t="shared" si="38"/>
        <v>0</v>
      </c>
      <c r="L42" s="344">
        <f t="shared" si="39"/>
        <v>0</v>
      </c>
      <c r="M42" s="273">
        <f t="shared" si="40"/>
        <v>0</v>
      </c>
      <c r="N42" s="344">
        <f t="shared" si="41"/>
        <v>0</v>
      </c>
      <c r="O42" s="208">
        <v>0</v>
      </c>
      <c r="P42" s="350">
        <f t="shared" si="42"/>
        <v>0</v>
      </c>
      <c r="Q42" s="210">
        <f>'[2]Table 5C1H-Southwest LA Charter'!S42+'[14]Table 5C1H-Southwest LA Charter'!S42+(6*'[20]Table 5C1H-Southwest LA Charter'!S42)</f>
        <v>0</v>
      </c>
      <c r="R42" s="210">
        <f t="shared" si="43"/>
        <v>0</v>
      </c>
      <c r="S42" s="350">
        <f t="shared" si="54"/>
        <v>0</v>
      </c>
      <c r="T42" s="350">
        <f t="shared" si="44"/>
        <v>0</v>
      </c>
      <c r="U42" s="274">
        <f>'Table 5C1A-Madison Prep'!U42</f>
        <v>5469</v>
      </c>
      <c r="V42" s="327">
        <f t="shared" si="45"/>
        <v>0</v>
      </c>
      <c r="W42" s="994">
        <f>'[1]Oct midyear Southwest'!E39</f>
        <v>0</v>
      </c>
      <c r="X42" s="276">
        <f t="shared" si="46"/>
        <v>0</v>
      </c>
      <c r="Y42" s="883">
        <f>'[1]Feb midyear Southwest'!E39</f>
        <v>0</v>
      </c>
      <c r="Z42" s="276">
        <f t="shared" si="29"/>
        <v>0</v>
      </c>
      <c r="AA42" s="275">
        <f t="shared" si="30"/>
        <v>0</v>
      </c>
      <c r="AB42" s="323">
        <f t="shared" si="31"/>
        <v>0</v>
      </c>
      <c r="AC42" s="278">
        <f t="shared" si="32"/>
        <v>0</v>
      </c>
      <c r="AD42" s="323">
        <f t="shared" si="47"/>
        <v>0</v>
      </c>
      <c r="AE42" s="279">
        <v>0</v>
      </c>
      <c r="AF42" s="323">
        <f t="shared" si="48"/>
        <v>0</v>
      </c>
      <c r="AG42" s="279">
        <f>'[2]Table 5C1H-Southwest LA Charter'!AI42+'[14]Table 5C1H-Southwest LA Charter'!AI42+(6*'[20]Table 5C1H-Southwest LA Charter'!AI42)</f>
        <v>0</v>
      </c>
      <c r="AH42" s="279">
        <f t="shared" si="49"/>
        <v>0</v>
      </c>
      <c r="AI42" s="323">
        <f t="shared" si="55"/>
        <v>0</v>
      </c>
      <c r="AJ42" s="337">
        <f t="shared" si="50"/>
        <v>0</v>
      </c>
      <c r="AK42" s="341">
        <f t="shared" si="51"/>
        <v>0</v>
      </c>
      <c r="AM42" s="273">
        <v>0</v>
      </c>
      <c r="AN42" s="273">
        <f t="shared" si="52"/>
        <v>0</v>
      </c>
      <c r="AO42" s="273">
        <f t="shared" si="53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2.1.14'!G39</f>
        <v>0</v>
      </c>
      <c r="D43" s="201">
        <f>+'Table 5C1A-Madison Prep'!D43</f>
        <v>5665.3839260317691</v>
      </c>
      <c r="E43" s="202">
        <f t="shared" si="35"/>
        <v>0</v>
      </c>
      <c r="F43" s="202">
        <f>+'Table 5C1A-Madison Prep'!F43</f>
        <v>653.61</v>
      </c>
      <c r="G43" s="202">
        <f t="shared" si="36"/>
        <v>0</v>
      </c>
      <c r="H43" s="345">
        <f t="shared" si="37"/>
        <v>0</v>
      </c>
      <c r="I43" s="991">
        <f>'[1]Oct midyear Southwest'!K40</f>
        <v>0</v>
      </c>
      <c r="J43" s="203">
        <f>'[1]Feb midyear Southwest'!K40</f>
        <v>0</v>
      </c>
      <c r="K43" s="204">
        <f t="shared" si="38"/>
        <v>0</v>
      </c>
      <c r="L43" s="345">
        <f t="shared" si="39"/>
        <v>0</v>
      </c>
      <c r="M43" s="286">
        <f t="shared" si="40"/>
        <v>0</v>
      </c>
      <c r="N43" s="345">
        <f t="shared" si="41"/>
        <v>0</v>
      </c>
      <c r="O43" s="201">
        <v>0</v>
      </c>
      <c r="P43" s="351">
        <f t="shared" si="42"/>
        <v>0</v>
      </c>
      <c r="Q43" s="203">
        <f>'[2]Table 5C1H-Southwest LA Charter'!S43+'[14]Table 5C1H-Southwest LA Charter'!S43+(6*'[20]Table 5C1H-Southwest LA Charter'!S43)</f>
        <v>3780</v>
      </c>
      <c r="R43" s="203">
        <f t="shared" si="43"/>
        <v>-3780</v>
      </c>
      <c r="S43" s="351">
        <f t="shared" si="54"/>
        <v>-945</v>
      </c>
      <c r="T43" s="351">
        <f t="shared" si="44"/>
        <v>0</v>
      </c>
      <c r="U43" s="287">
        <f>'Table 5C1A-Madison Prep'!U43</f>
        <v>3424</v>
      </c>
      <c r="V43" s="328">
        <f t="shared" si="45"/>
        <v>0</v>
      </c>
      <c r="W43" s="995">
        <f>'[1]Oct midyear Southwest'!E40</f>
        <v>0</v>
      </c>
      <c r="X43" s="290">
        <f t="shared" si="46"/>
        <v>0</v>
      </c>
      <c r="Y43" s="289">
        <f>'[1]Feb midyear Southwest'!E40</f>
        <v>0</v>
      </c>
      <c r="Z43" s="290">
        <f t="shared" si="29"/>
        <v>0</v>
      </c>
      <c r="AA43" s="288">
        <f t="shared" si="30"/>
        <v>0</v>
      </c>
      <c r="AB43" s="324">
        <f t="shared" si="31"/>
        <v>0</v>
      </c>
      <c r="AC43" s="292">
        <f t="shared" si="32"/>
        <v>0</v>
      </c>
      <c r="AD43" s="324">
        <f t="shared" si="47"/>
        <v>0</v>
      </c>
      <c r="AE43" s="293">
        <v>0</v>
      </c>
      <c r="AF43" s="324">
        <f t="shared" si="48"/>
        <v>0</v>
      </c>
      <c r="AG43" s="293">
        <f>'[2]Table 5C1H-Southwest LA Charter'!AI43+'[14]Table 5C1H-Southwest LA Charter'!AI43+(6*'[20]Table 5C1H-Southwest LA Charter'!AI43)</f>
        <v>2106</v>
      </c>
      <c r="AH43" s="293">
        <f t="shared" si="49"/>
        <v>-2106</v>
      </c>
      <c r="AI43" s="324">
        <f t="shared" si="55"/>
        <v>-527</v>
      </c>
      <c r="AJ43" s="321">
        <f t="shared" si="50"/>
        <v>0</v>
      </c>
      <c r="AK43" s="342">
        <f t="shared" si="51"/>
        <v>-1472</v>
      </c>
      <c r="AM43" s="286">
        <v>0</v>
      </c>
      <c r="AN43" s="286">
        <f t="shared" si="52"/>
        <v>0</v>
      </c>
      <c r="AO43" s="286">
        <f t="shared" si="53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2.1.14'!G40</f>
        <v>0</v>
      </c>
      <c r="D44" s="201">
        <f>+'Table 5C1A-Madison Prep'!D44</f>
        <v>2088.8017552916881</v>
      </c>
      <c r="E44" s="202">
        <f t="shared" si="35"/>
        <v>0</v>
      </c>
      <c r="F44" s="202">
        <f>+'Table 5C1A-Madison Prep'!F44</f>
        <v>829.92000000000007</v>
      </c>
      <c r="G44" s="202">
        <f t="shared" si="36"/>
        <v>0</v>
      </c>
      <c r="H44" s="345">
        <f t="shared" si="37"/>
        <v>0</v>
      </c>
      <c r="I44" s="991">
        <f>'[1]Oct midyear Southwest'!K41</f>
        <v>0</v>
      </c>
      <c r="J44" s="203">
        <f>'[1]Feb midyear Southwest'!K41</f>
        <v>0</v>
      </c>
      <c r="K44" s="204">
        <f t="shared" si="38"/>
        <v>0</v>
      </c>
      <c r="L44" s="345">
        <f t="shared" si="39"/>
        <v>0</v>
      </c>
      <c r="M44" s="286">
        <f t="shared" si="40"/>
        <v>0</v>
      </c>
      <c r="N44" s="345">
        <f t="shared" si="41"/>
        <v>0</v>
      </c>
      <c r="O44" s="201">
        <v>0</v>
      </c>
      <c r="P44" s="351">
        <f t="shared" si="42"/>
        <v>0</v>
      </c>
      <c r="Q44" s="203">
        <f>'[2]Table 5C1H-Southwest LA Charter'!S44+'[14]Table 5C1H-Southwest LA Charter'!S44+(6*'[20]Table 5C1H-Southwest LA Charter'!S44)</f>
        <v>0</v>
      </c>
      <c r="R44" s="203">
        <f t="shared" si="43"/>
        <v>0</v>
      </c>
      <c r="S44" s="351">
        <f t="shared" si="54"/>
        <v>0</v>
      </c>
      <c r="T44" s="351">
        <f t="shared" si="44"/>
        <v>0</v>
      </c>
      <c r="U44" s="287">
        <f>'Table 5C1A-Madison Prep'!U44</f>
        <v>11060</v>
      </c>
      <c r="V44" s="328">
        <f t="shared" si="45"/>
        <v>0</v>
      </c>
      <c r="W44" s="995">
        <f>'[1]Oct midyear Southwest'!E41</f>
        <v>0</v>
      </c>
      <c r="X44" s="290">
        <f t="shared" si="46"/>
        <v>0</v>
      </c>
      <c r="Y44" s="289">
        <f>'[1]Feb midyear Southwest'!E41</f>
        <v>0</v>
      </c>
      <c r="Z44" s="290">
        <f t="shared" si="29"/>
        <v>0</v>
      </c>
      <c r="AA44" s="288">
        <f t="shared" si="30"/>
        <v>0</v>
      </c>
      <c r="AB44" s="324">
        <f t="shared" si="31"/>
        <v>0</v>
      </c>
      <c r="AC44" s="292">
        <f t="shared" si="32"/>
        <v>0</v>
      </c>
      <c r="AD44" s="324">
        <f t="shared" si="47"/>
        <v>0</v>
      </c>
      <c r="AE44" s="293">
        <v>0</v>
      </c>
      <c r="AF44" s="324">
        <f t="shared" si="48"/>
        <v>0</v>
      </c>
      <c r="AG44" s="293">
        <f>'[2]Table 5C1H-Southwest LA Charter'!AI44+'[14]Table 5C1H-Southwest LA Charter'!AI44+(6*'[20]Table 5C1H-Southwest LA Charter'!AI44)</f>
        <v>0</v>
      </c>
      <c r="AH44" s="293">
        <f t="shared" si="49"/>
        <v>0</v>
      </c>
      <c r="AI44" s="324">
        <f t="shared" si="55"/>
        <v>0</v>
      </c>
      <c r="AJ44" s="321">
        <f t="shared" si="50"/>
        <v>0</v>
      </c>
      <c r="AK44" s="342">
        <f t="shared" si="51"/>
        <v>0</v>
      </c>
      <c r="AM44" s="286">
        <v>0</v>
      </c>
      <c r="AN44" s="286">
        <f t="shared" si="52"/>
        <v>0</v>
      </c>
      <c r="AO44" s="286">
        <f t="shared" si="53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2.1.14'!G41</f>
        <v>0</v>
      </c>
      <c r="D45" s="201">
        <f>+'Table 5C1A-Madison Prep'!D45</f>
        <v>3656.9056809295676</v>
      </c>
      <c r="E45" s="202">
        <f t="shared" si="35"/>
        <v>0</v>
      </c>
      <c r="F45" s="202">
        <f>+'Table 5C1A-Madison Prep'!F45</f>
        <v>779.65573042776396</v>
      </c>
      <c r="G45" s="202">
        <f t="shared" si="36"/>
        <v>0</v>
      </c>
      <c r="H45" s="345">
        <f t="shared" si="37"/>
        <v>0</v>
      </c>
      <c r="I45" s="991">
        <f>'[1]Oct midyear Southwest'!K42</f>
        <v>0</v>
      </c>
      <c r="J45" s="203">
        <f>'[1]Feb midyear Southwest'!K42</f>
        <v>0</v>
      </c>
      <c r="K45" s="204">
        <f t="shared" si="38"/>
        <v>0</v>
      </c>
      <c r="L45" s="345">
        <f t="shared" si="39"/>
        <v>0</v>
      </c>
      <c r="M45" s="286">
        <f t="shared" si="40"/>
        <v>0</v>
      </c>
      <c r="N45" s="345">
        <f t="shared" si="41"/>
        <v>0</v>
      </c>
      <c r="O45" s="201">
        <v>0</v>
      </c>
      <c r="P45" s="351">
        <f t="shared" si="42"/>
        <v>0</v>
      </c>
      <c r="Q45" s="203">
        <f>'[2]Table 5C1H-Southwest LA Charter'!S45+'[14]Table 5C1H-Southwest LA Charter'!S45+(6*'[20]Table 5C1H-Southwest LA Charter'!S45)</f>
        <v>0</v>
      </c>
      <c r="R45" s="203">
        <f t="shared" si="43"/>
        <v>0</v>
      </c>
      <c r="S45" s="351">
        <f t="shared" si="54"/>
        <v>0</v>
      </c>
      <c r="T45" s="351">
        <f t="shared" si="44"/>
        <v>0</v>
      </c>
      <c r="U45" s="287">
        <f>'Table 5C1A-Madison Prep'!U45</f>
        <v>4922</v>
      </c>
      <c r="V45" s="328">
        <f t="shared" si="45"/>
        <v>0</v>
      </c>
      <c r="W45" s="995">
        <f>'[1]Oct midyear Southwest'!E42</f>
        <v>0</v>
      </c>
      <c r="X45" s="290">
        <f t="shared" si="46"/>
        <v>0</v>
      </c>
      <c r="Y45" s="289">
        <f>'[1]Feb midyear Southwest'!E42</f>
        <v>0</v>
      </c>
      <c r="Z45" s="290">
        <f t="shared" si="29"/>
        <v>0</v>
      </c>
      <c r="AA45" s="288">
        <f t="shared" si="30"/>
        <v>0</v>
      </c>
      <c r="AB45" s="324">
        <f t="shared" si="31"/>
        <v>0</v>
      </c>
      <c r="AC45" s="292">
        <f t="shared" si="32"/>
        <v>0</v>
      </c>
      <c r="AD45" s="324">
        <f t="shared" si="47"/>
        <v>0</v>
      </c>
      <c r="AE45" s="293">
        <v>0</v>
      </c>
      <c r="AF45" s="324">
        <f t="shared" si="48"/>
        <v>0</v>
      </c>
      <c r="AG45" s="293">
        <f>'[2]Table 5C1H-Southwest LA Charter'!AI45+'[14]Table 5C1H-Southwest LA Charter'!AI45+(6*'[20]Table 5C1H-Southwest LA Charter'!AI45)</f>
        <v>0</v>
      </c>
      <c r="AH45" s="293">
        <f t="shared" si="49"/>
        <v>0</v>
      </c>
      <c r="AI45" s="324">
        <f t="shared" si="55"/>
        <v>0</v>
      </c>
      <c r="AJ45" s="321">
        <f t="shared" si="50"/>
        <v>0</v>
      </c>
      <c r="AK45" s="342">
        <f t="shared" si="51"/>
        <v>0</v>
      </c>
      <c r="AM45" s="286">
        <v>0</v>
      </c>
      <c r="AN45" s="286">
        <f t="shared" si="52"/>
        <v>0</v>
      </c>
      <c r="AO45" s="286">
        <f t="shared" si="53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2.1.14'!G42</f>
        <v>0</v>
      </c>
      <c r="D46" s="194">
        <f>+'Table 5C1A-Madison Prep'!D46</f>
        <v>5121.8110285698403</v>
      </c>
      <c r="E46" s="195">
        <f t="shared" si="35"/>
        <v>0</v>
      </c>
      <c r="F46" s="195">
        <f>+'Table 5C1A-Madison Prep'!F46</f>
        <v>700.2700000000001</v>
      </c>
      <c r="G46" s="195">
        <f t="shared" si="36"/>
        <v>0</v>
      </c>
      <c r="H46" s="346">
        <f t="shared" si="37"/>
        <v>0</v>
      </c>
      <c r="I46" s="992">
        <f>'[1]Oct midyear Southwest'!K43</f>
        <v>0</v>
      </c>
      <c r="J46" s="196">
        <f>'[1]Feb midyear Southwest'!K43</f>
        <v>0</v>
      </c>
      <c r="K46" s="197">
        <f t="shared" si="38"/>
        <v>0</v>
      </c>
      <c r="L46" s="346">
        <f t="shared" si="39"/>
        <v>0</v>
      </c>
      <c r="M46" s="296">
        <f t="shared" si="40"/>
        <v>0</v>
      </c>
      <c r="N46" s="346">
        <f t="shared" si="41"/>
        <v>0</v>
      </c>
      <c r="O46" s="194">
        <v>0</v>
      </c>
      <c r="P46" s="352">
        <f t="shared" si="42"/>
        <v>0</v>
      </c>
      <c r="Q46" s="196">
        <f>'[2]Table 5C1H-Southwest LA Charter'!S46+'[14]Table 5C1H-Southwest LA Charter'!S46+(6*'[20]Table 5C1H-Southwest LA Charter'!S46)</f>
        <v>0</v>
      </c>
      <c r="R46" s="196">
        <f t="shared" si="43"/>
        <v>0</v>
      </c>
      <c r="S46" s="352">
        <f t="shared" si="54"/>
        <v>0</v>
      </c>
      <c r="T46" s="352">
        <f t="shared" si="44"/>
        <v>0</v>
      </c>
      <c r="U46" s="281">
        <f>'Table 5C1A-Madison Prep'!U46</f>
        <v>3152</v>
      </c>
      <c r="V46" s="329">
        <f t="shared" si="45"/>
        <v>0</v>
      </c>
      <c r="W46" s="996">
        <f>'[1]Oct midyear Southwest'!E43</f>
        <v>0</v>
      </c>
      <c r="X46" s="282">
        <f t="shared" si="46"/>
        <v>0</v>
      </c>
      <c r="Y46" s="884">
        <f>'[1]Feb midyear Southwest'!E43</f>
        <v>0</v>
      </c>
      <c r="Z46" s="282">
        <f t="shared" si="29"/>
        <v>0</v>
      </c>
      <c r="AA46" s="283">
        <f t="shared" si="30"/>
        <v>0</v>
      </c>
      <c r="AB46" s="325">
        <f t="shared" si="31"/>
        <v>0</v>
      </c>
      <c r="AC46" s="298">
        <f t="shared" si="32"/>
        <v>0</v>
      </c>
      <c r="AD46" s="325">
        <f t="shared" si="47"/>
        <v>0</v>
      </c>
      <c r="AE46" s="284">
        <v>0</v>
      </c>
      <c r="AF46" s="325">
        <f t="shared" si="48"/>
        <v>0</v>
      </c>
      <c r="AG46" s="284">
        <f>'[2]Table 5C1H-Southwest LA Charter'!AI46+'[14]Table 5C1H-Southwest LA Charter'!AI46+(6*'[20]Table 5C1H-Southwest LA Charter'!AI46)</f>
        <v>0</v>
      </c>
      <c r="AH46" s="284">
        <f t="shared" si="49"/>
        <v>0</v>
      </c>
      <c r="AI46" s="325">
        <f t="shared" si="55"/>
        <v>0</v>
      </c>
      <c r="AJ46" s="338">
        <f t="shared" si="50"/>
        <v>0</v>
      </c>
      <c r="AK46" s="343">
        <f t="shared" si="51"/>
        <v>0</v>
      </c>
      <c r="AM46" s="296">
        <v>0</v>
      </c>
      <c r="AN46" s="296">
        <f t="shared" si="52"/>
        <v>0</v>
      </c>
      <c r="AO46" s="296">
        <f t="shared" si="53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2.1.14'!G43</f>
        <v>0</v>
      </c>
      <c r="D47" s="208">
        <f>+'Table 5C1A-Madison Prep'!D47</f>
        <v>3291.1948574716475</v>
      </c>
      <c r="E47" s="209">
        <f t="shared" si="35"/>
        <v>0</v>
      </c>
      <c r="F47" s="209">
        <f>+'Table 5C1A-Madison Prep'!F47</f>
        <v>886.22</v>
      </c>
      <c r="G47" s="209">
        <f t="shared" si="36"/>
        <v>0</v>
      </c>
      <c r="H47" s="344">
        <f t="shared" si="37"/>
        <v>0</v>
      </c>
      <c r="I47" s="990">
        <f>'[1]Oct midyear Southwest'!K44</f>
        <v>0</v>
      </c>
      <c r="J47" s="210">
        <f>'[1]Feb midyear Southwest'!K44</f>
        <v>0</v>
      </c>
      <c r="K47" s="211">
        <f t="shared" si="38"/>
        <v>0</v>
      </c>
      <c r="L47" s="344">
        <f t="shared" si="39"/>
        <v>0</v>
      </c>
      <c r="M47" s="273">
        <f t="shared" si="40"/>
        <v>0</v>
      </c>
      <c r="N47" s="344">
        <f t="shared" si="41"/>
        <v>0</v>
      </c>
      <c r="O47" s="208">
        <v>0</v>
      </c>
      <c r="P47" s="350">
        <f t="shared" si="42"/>
        <v>0</v>
      </c>
      <c r="Q47" s="210">
        <f>'[2]Table 5C1H-Southwest LA Charter'!S47+'[14]Table 5C1H-Southwest LA Charter'!S47+(6*'[20]Table 5C1H-Southwest LA Charter'!S47)</f>
        <v>0</v>
      </c>
      <c r="R47" s="210">
        <f t="shared" si="43"/>
        <v>0</v>
      </c>
      <c r="S47" s="350">
        <f t="shared" si="54"/>
        <v>0</v>
      </c>
      <c r="T47" s="350">
        <f t="shared" si="44"/>
        <v>0</v>
      </c>
      <c r="U47" s="274">
        <f>'Table 5C1A-Madison Prep'!U47</f>
        <v>9422</v>
      </c>
      <c r="V47" s="327">
        <f t="shared" si="45"/>
        <v>0</v>
      </c>
      <c r="W47" s="994">
        <f>'[1]Oct midyear Southwest'!E44</f>
        <v>0</v>
      </c>
      <c r="X47" s="276">
        <f t="shared" si="46"/>
        <v>0</v>
      </c>
      <c r="Y47" s="883">
        <f>'[1]Feb midyear Southwest'!E44</f>
        <v>0</v>
      </c>
      <c r="Z47" s="276">
        <f t="shared" si="29"/>
        <v>0</v>
      </c>
      <c r="AA47" s="275">
        <f t="shared" si="30"/>
        <v>0</v>
      </c>
      <c r="AB47" s="323">
        <f t="shared" si="31"/>
        <v>0</v>
      </c>
      <c r="AC47" s="278">
        <f t="shared" si="32"/>
        <v>0</v>
      </c>
      <c r="AD47" s="323">
        <f t="shared" si="47"/>
        <v>0</v>
      </c>
      <c r="AE47" s="279">
        <v>0</v>
      </c>
      <c r="AF47" s="323">
        <f t="shared" si="48"/>
        <v>0</v>
      </c>
      <c r="AG47" s="279">
        <f>'[2]Table 5C1H-Southwest LA Charter'!AI47+'[14]Table 5C1H-Southwest LA Charter'!AI47+(6*'[20]Table 5C1H-Southwest LA Charter'!AI47)</f>
        <v>0</v>
      </c>
      <c r="AH47" s="279">
        <f t="shared" si="49"/>
        <v>0</v>
      </c>
      <c r="AI47" s="323">
        <f t="shared" si="55"/>
        <v>0</v>
      </c>
      <c r="AJ47" s="337">
        <f t="shared" si="50"/>
        <v>0</v>
      </c>
      <c r="AK47" s="341">
        <f t="shared" si="51"/>
        <v>0</v>
      </c>
      <c r="AM47" s="273">
        <v>0</v>
      </c>
      <c r="AN47" s="273">
        <f t="shared" si="52"/>
        <v>0</v>
      </c>
      <c r="AO47" s="273">
        <f t="shared" si="53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2.1.14'!G44</f>
        <v>0</v>
      </c>
      <c r="D48" s="201">
        <f>+'Table 5C1A-Madison Prep'!D48</f>
        <v>5113.6077751368684</v>
      </c>
      <c r="E48" s="202">
        <f t="shared" si="35"/>
        <v>0</v>
      </c>
      <c r="F48" s="202">
        <f>+'Table 5C1A-Madison Prep'!F48</f>
        <v>534.28</v>
      </c>
      <c r="G48" s="202">
        <f t="shared" si="36"/>
        <v>0</v>
      </c>
      <c r="H48" s="345">
        <f t="shared" si="37"/>
        <v>0</v>
      </c>
      <c r="I48" s="991">
        <f>'[1]Oct midyear Southwest'!K45</f>
        <v>0</v>
      </c>
      <c r="J48" s="203">
        <f>'[1]Feb midyear Southwest'!K45</f>
        <v>0</v>
      </c>
      <c r="K48" s="204">
        <f t="shared" si="38"/>
        <v>0</v>
      </c>
      <c r="L48" s="345">
        <f t="shared" si="39"/>
        <v>0</v>
      </c>
      <c r="M48" s="286">
        <f t="shared" si="40"/>
        <v>0</v>
      </c>
      <c r="N48" s="345">
        <f t="shared" si="41"/>
        <v>0</v>
      </c>
      <c r="O48" s="201">
        <v>0</v>
      </c>
      <c r="P48" s="351">
        <f t="shared" si="42"/>
        <v>0</v>
      </c>
      <c r="Q48" s="203">
        <f>'[2]Table 5C1H-Southwest LA Charter'!S48+'[14]Table 5C1H-Southwest LA Charter'!S48+(6*'[20]Table 5C1H-Southwest LA Charter'!S48)</f>
        <v>0</v>
      </c>
      <c r="R48" s="203">
        <f t="shared" si="43"/>
        <v>0</v>
      </c>
      <c r="S48" s="351">
        <f t="shared" si="54"/>
        <v>0</v>
      </c>
      <c r="T48" s="351">
        <f t="shared" si="44"/>
        <v>0</v>
      </c>
      <c r="U48" s="287">
        <f>'Table 5C1A-Madison Prep'!U48</f>
        <v>3415</v>
      </c>
      <c r="V48" s="328">
        <f t="shared" si="45"/>
        <v>0</v>
      </c>
      <c r="W48" s="995">
        <f>'[1]Oct midyear Southwest'!E45</f>
        <v>0</v>
      </c>
      <c r="X48" s="290">
        <f t="shared" si="46"/>
        <v>0</v>
      </c>
      <c r="Y48" s="289">
        <f>'[1]Feb midyear Southwest'!E45</f>
        <v>0</v>
      </c>
      <c r="Z48" s="290">
        <f t="shared" si="29"/>
        <v>0</v>
      </c>
      <c r="AA48" s="288">
        <f t="shared" si="30"/>
        <v>0</v>
      </c>
      <c r="AB48" s="324">
        <f t="shared" si="31"/>
        <v>0</v>
      </c>
      <c r="AC48" s="292">
        <f t="shared" si="32"/>
        <v>0</v>
      </c>
      <c r="AD48" s="324">
        <f t="shared" si="47"/>
        <v>0</v>
      </c>
      <c r="AE48" s="293">
        <v>0</v>
      </c>
      <c r="AF48" s="324">
        <f t="shared" si="48"/>
        <v>0</v>
      </c>
      <c r="AG48" s="293">
        <f>'[2]Table 5C1H-Southwest LA Charter'!AI48+'[14]Table 5C1H-Southwest LA Charter'!AI48+(6*'[20]Table 5C1H-Southwest LA Charter'!AI48)</f>
        <v>0</v>
      </c>
      <c r="AH48" s="293">
        <f t="shared" si="49"/>
        <v>0</v>
      </c>
      <c r="AI48" s="324">
        <f t="shared" si="55"/>
        <v>0</v>
      </c>
      <c r="AJ48" s="321">
        <f t="shared" si="50"/>
        <v>0</v>
      </c>
      <c r="AK48" s="342">
        <f t="shared" si="51"/>
        <v>0</v>
      </c>
      <c r="AM48" s="286">
        <v>0</v>
      </c>
      <c r="AN48" s="286">
        <f t="shared" si="52"/>
        <v>0</v>
      </c>
      <c r="AO48" s="286">
        <f t="shared" si="53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2.1.14'!G45</f>
        <v>0</v>
      </c>
      <c r="D49" s="201">
        <f>+'Table 5C1A-Madison Prep'!D49</f>
        <v>5788.74387205947</v>
      </c>
      <c r="E49" s="202">
        <f t="shared" si="35"/>
        <v>0</v>
      </c>
      <c r="F49" s="202">
        <f>+'Table 5C1A-Madison Prep'!F49</f>
        <v>574.6099999999999</v>
      </c>
      <c r="G49" s="202">
        <f t="shared" si="36"/>
        <v>0</v>
      </c>
      <c r="H49" s="345">
        <f t="shared" si="37"/>
        <v>0</v>
      </c>
      <c r="I49" s="991">
        <f>'[1]Oct midyear Southwest'!K46</f>
        <v>0</v>
      </c>
      <c r="J49" s="203">
        <f>'[1]Feb midyear Southwest'!K46</f>
        <v>0</v>
      </c>
      <c r="K49" s="204">
        <f t="shared" si="38"/>
        <v>0</v>
      </c>
      <c r="L49" s="345">
        <f t="shared" si="39"/>
        <v>0</v>
      </c>
      <c r="M49" s="286">
        <f t="shared" si="40"/>
        <v>0</v>
      </c>
      <c r="N49" s="345">
        <f t="shared" si="41"/>
        <v>0</v>
      </c>
      <c r="O49" s="201">
        <v>0</v>
      </c>
      <c r="P49" s="351">
        <f t="shared" si="42"/>
        <v>0</v>
      </c>
      <c r="Q49" s="203">
        <f>'[2]Table 5C1H-Southwest LA Charter'!S49+'[14]Table 5C1H-Southwest LA Charter'!S49+(6*'[20]Table 5C1H-Southwest LA Charter'!S49)</f>
        <v>0</v>
      </c>
      <c r="R49" s="203">
        <f t="shared" si="43"/>
        <v>0</v>
      </c>
      <c r="S49" s="351">
        <f t="shared" si="54"/>
        <v>0</v>
      </c>
      <c r="T49" s="351">
        <f t="shared" si="44"/>
        <v>0</v>
      </c>
      <c r="U49" s="287">
        <f>'Table 5C1A-Madison Prep'!U49</f>
        <v>3334</v>
      </c>
      <c r="V49" s="328">
        <f t="shared" si="45"/>
        <v>0</v>
      </c>
      <c r="W49" s="995">
        <f>'[1]Oct midyear Southwest'!E46</f>
        <v>0</v>
      </c>
      <c r="X49" s="290">
        <f t="shared" si="46"/>
        <v>0</v>
      </c>
      <c r="Y49" s="289">
        <f>'[1]Feb midyear Southwest'!E46</f>
        <v>0</v>
      </c>
      <c r="Z49" s="290">
        <f t="shared" si="29"/>
        <v>0</v>
      </c>
      <c r="AA49" s="288">
        <f t="shared" si="30"/>
        <v>0</v>
      </c>
      <c r="AB49" s="324">
        <f t="shared" si="31"/>
        <v>0</v>
      </c>
      <c r="AC49" s="292">
        <f t="shared" si="32"/>
        <v>0</v>
      </c>
      <c r="AD49" s="324">
        <f t="shared" si="47"/>
        <v>0</v>
      </c>
      <c r="AE49" s="293">
        <v>0</v>
      </c>
      <c r="AF49" s="324">
        <f t="shared" si="48"/>
        <v>0</v>
      </c>
      <c r="AG49" s="293">
        <f>'[2]Table 5C1H-Southwest LA Charter'!AI49+'[14]Table 5C1H-Southwest LA Charter'!AI49+(6*'[20]Table 5C1H-Southwest LA Charter'!AI49)</f>
        <v>0</v>
      </c>
      <c r="AH49" s="293">
        <f t="shared" si="49"/>
        <v>0</v>
      </c>
      <c r="AI49" s="324">
        <f t="shared" si="55"/>
        <v>0</v>
      </c>
      <c r="AJ49" s="321">
        <f t="shared" si="50"/>
        <v>0</v>
      </c>
      <c r="AK49" s="342">
        <f t="shared" si="51"/>
        <v>0</v>
      </c>
      <c r="AM49" s="286">
        <v>0</v>
      </c>
      <c r="AN49" s="286">
        <f t="shared" si="52"/>
        <v>0</v>
      </c>
      <c r="AO49" s="286">
        <f t="shared" si="53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2.1.14'!G46</f>
        <v>0</v>
      </c>
      <c r="D50" s="201">
        <f>+'Table 5C1A-Madison Prep'!D50</f>
        <v>4897.5958151820359</v>
      </c>
      <c r="E50" s="202">
        <f t="shared" si="35"/>
        <v>0</v>
      </c>
      <c r="F50" s="202">
        <f>+'Table 5C1A-Madison Prep'!F50</f>
        <v>663.16000000000008</v>
      </c>
      <c r="G50" s="202">
        <f t="shared" si="36"/>
        <v>0</v>
      </c>
      <c r="H50" s="345">
        <f t="shared" si="37"/>
        <v>0</v>
      </c>
      <c r="I50" s="991">
        <f>'[1]Oct midyear Southwest'!K47</f>
        <v>0</v>
      </c>
      <c r="J50" s="203">
        <f>'[1]Feb midyear Southwest'!K47</f>
        <v>0</v>
      </c>
      <c r="K50" s="204">
        <f t="shared" si="38"/>
        <v>0</v>
      </c>
      <c r="L50" s="345">
        <f t="shared" si="39"/>
        <v>0</v>
      </c>
      <c r="M50" s="286">
        <f t="shared" si="40"/>
        <v>0</v>
      </c>
      <c r="N50" s="345">
        <f t="shared" si="41"/>
        <v>0</v>
      </c>
      <c r="O50" s="201">
        <v>0</v>
      </c>
      <c r="P50" s="351">
        <f t="shared" si="42"/>
        <v>0</v>
      </c>
      <c r="Q50" s="203">
        <f>'[2]Table 5C1H-Southwest LA Charter'!S50+'[14]Table 5C1H-Southwest LA Charter'!S50+(6*'[20]Table 5C1H-Southwest LA Charter'!S50)</f>
        <v>0</v>
      </c>
      <c r="R50" s="203">
        <f t="shared" si="43"/>
        <v>0</v>
      </c>
      <c r="S50" s="351">
        <f t="shared" si="54"/>
        <v>0</v>
      </c>
      <c r="T50" s="351">
        <f t="shared" si="44"/>
        <v>0</v>
      </c>
      <c r="U50" s="287">
        <f>'Table 5C1A-Madison Prep'!U50</f>
        <v>3587</v>
      </c>
      <c r="V50" s="328">
        <f t="shared" si="45"/>
        <v>0</v>
      </c>
      <c r="W50" s="995">
        <f>'[1]Oct midyear Southwest'!E47</f>
        <v>0</v>
      </c>
      <c r="X50" s="290">
        <f t="shared" si="46"/>
        <v>0</v>
      </c>
      <c r="Y50" s="289">
        <f>'[1]Feb midyear Southwest'!E47</f>
        <v>0</v>
      </c>
      <c r="Z50" s="290">
        <f t="shared" si="29"/>
        <v>0</v>
      </c>
      <c r="AA50" s="288">
        <f t="shared" si="30"/>
        <v>0</v>
      </c>
      <c r="AB50" s="324">
        <f t="shared" si="31"/>
        <v>0</v>
      </c>
      <c r="AC50" s="292">
        <f t="shared" si="32"/>
        <v>0</v>
      </c>
      <c r="AD50" s="324">
        <f t="shared" si="47"/>
        <v>0</v>
      </c>
      <c r="AE50" s="293">
        <v>0</v>
      </c>
      <c r="AF50" s="324">
        <f t="shared" si="48"/>
        <v>0</v>
      </c>
      <c r="AG50" s="293">
        <f>'[2]Table 5C1H-Southwest LA Charter'!AI50+'[14]Table 5C1H-Southwest LA Charter'!AI50+(6*'[20]Table 5C1H-Southwest LA Charter'!AI50)</f>
        <v>0</v>
      </c>
      <c r="AH50" s="293">
        <f t="shared" si="49"/>
        <v>0</v>
      </c>
      <c r="AI50" s="324">
        <f t="shared" si="55"/>
        <v>0</v>
      </c>
      <c r="AJ50" s="321">
        <f t="shared" si="50"/>
        <v>0</v>
      </c>
      <c r="AK50" s="342">
        <f t="shared" si="51"/>
        <v>0</v>
      </c>
      <c r="AM50" s="286">
        <v>0</v>
      </c>
      <c r="AN50" s="286">
        <f t="shared" si="52"/>
        <v>0</v>
      </c>
      <c r="AO50" s="286">
        <f t="shared" si="53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2.1.14'!G47</f>
        <v>0</v>
      </c>
      <c r="D51" s="194">
        <f>+'Table 5C1A-Madison Prep'!D51</f>
        <v>2054.0472499469101</v>
      </c>
      <c r="E51" s="195">
        <f t="shared" si="35"/>
        <v>0</v>
      </c>
      <c r="F51" s="195">
        <f>+'Table 5C1A-Madison Prep'!F51</f>
        <v>753.96000000000015</v>
      </c>
      <c r="G51" s="195">
        <f t="shared" si="36"/>
        <v>0</v>
      </c>
      <c r="H51" s="346">
        <f t="shared" si="37"/>
        <v>0</v>
      </c>
      <c r="I51" s="992">
        <f>'[1]Oct midyear Southwest'!K48</f>
        <v>0</v>
      </c>
      <c r="J51" s="196">
        <f>'[1]Feb midyear Southwest'!K48</f>
        <v>0</v>
      </c>
      <c r="K51" s="197">
        <f t="shared" si="38"/>
        <v>0</v>
      </c>
      <c r="L51" s="346">
        <f t="shared" si="39"/>
        <v>0</v>
      </c>
      <c r="M51" s="296">
        <f t="shared" si="40"/>
        <v>0</v>
      </c>
      <c r="N51" s="346">
        <f t="shared" si="41"/>
        <v>0</v>
      </c>
      <c r="O51" s="194">
        <v>0</v>
      </c>
      <c r="P51" s="352">
        <f t="shared" si="42"/>
        <v>0</v>
      </c>
      <c r="Q51" s="196">
        <f>'[2]Table 5C1H-Southwest LA Charter'!S51+'[14]Table 5C1H-Southwest LA Charter'!S51+(6*'[20]Table 5C1H-Southwest LA Charter'!S51)</f>
        <v>0</v>
      </c>
      <c r="R51" s="196">
        <f t="shared" si="43"/>
        <v>0</v>
      </c>
      <c r="S51" s="352">
        <f t="shared" si="54"/>
        <v>0</v>
      </c>
      <c r="T51" s="352">
        <f t="shared" si="44"/>
        <v>0</v>
      </c>
      <c r="U51" s="281">
        <f>'Table 5C1A-Madison Prep'!U51</f>
        <v>12134</v>
      </c>
      <c r="V51" s="329">
        <f t="shared" si="45"/>
        <v>0</v>
      </c>
      <c r="W51" s="996">
        <f>'[1]Oct midyear Southwest'!E48</f>
        <v>0</v>
      </c>
      <c r="X51" s="282">
        <f t="shared" si="46"/>
        <v>0</v>
      </c>
      <c r="Y51" s="884">
        <f>'[1]Feb midyear Southwest'!E48</f>
        <v>0</v>
      </c>
      <c r="Z51" s="282">
        <f t="shared" si="29"/>
        <v>0</v>
      </c>
      <c r="AA51" s="283">
        <f t="shared" si="30"/>
        <v>0</v>
      </c>
      <c r="AB51" s="325">
        <f t="shared" si="31"/>
        <v>0</v>
      </c>
      <c r="AC51" s="298">
        <f t="shared" si="32"/>
        <v>0</v>
      </c>
      <c r="AD51" s="325">
        <f t="shared" si="47"/>
        <v>0</v>
      </c>
      <c r="AE51" s="284">
        <v>0</v>
      </c>
      <c r="AF51" s="325">
        <f t="shared" si="48"/>
        <v>0</v>
      </c>
      <c r="AG51" s="284">
        <f>'[2]Table 5C1H-Southwest LA Charter'!AI51+'[14]Table 5C1H-Southwest LA Charter'!AI51+(6*'[20]Table 5C1H-Southwest LA Charter'!AI51)</f>
        <v>0</v>
      </c>
      <c r="AH51" s="284">
        <f t="shared" si="49"/>
        <v>0</v>
      </c>
      <c r="AI51" s="325">
        <f t="shared" si="55"/>
        <v>0</v>
      </c>
      <c r="AJ51" s="338">
        <f t="shared" si="50"/>
        <v>0</v>
      </c>
      <c r="AK51" s="343">
        <f t="shared" si="51"/>
        <v>0</v>
      </c>
      <c r="AM51" s="296">
        <v>0</v>
      </c>
      <c r="AN51" s="296">
        <f t="shared" si="52"/>
        <v>0</v>
      </c>
      <c r="AO51" s="296">
        <f t="shared" si="53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2.1.14'!G48</f>
        <v>0</v>
      </c>
      <c r="D52" s="208">
        <f>+'Table 5C1A-Madison Prep'!D52</f>
        <v>6051.2144468088381</v>
      </c>
      <c r="E52" s="209">
        <f t="shared" si="35"/>
        <v>0</v>
      </c>
      <c r="F52" s="209">
        <f>+'Table 5C1A-Madison Prep'!F52</f>
        <v>728.06</v>
      </c>
      <c r="G52" s="209">
        <f t="shared" si="36"/>
        <v>0</v>
      </c>
      <c r="H52" s="344">
        <f t="shared" si="37"/>
        <v>0</v>
      </c>
      <c r="I52" s="990">
        <f>'[1]Oct midyear Southwest'!K49</f>
        <v>0</v>
      </c>
      <c r="J52" s="210">
        <f>'[1]Feb midyear Southwest'!K49</f>
        <v>0</v>
      </c>
      <c r="K52" s="211">
        <f t="shared" si="38"/>
        <v>0</v>
      </c>
      <c r="L52" s="344">
        <f t="shared" si="39"/>
        <v>0</v>
      </c>
      <c r="M52" s="273">
        <f t="shared" si="40"/>
        <v>0</v>
      </c>
      <c r="N52" s="344">
        <f t="shared" si="41"/>
        <v>0</v>
      </c>
      <c r="O52" s="208">
        <v>0</v>
      </c>
      <c r="P52" s="350">
        <f t="shared" si="42"/>
        <v>0</v>
      </c>
      <c r="Q52" s="210">
        <f>'[2]Table 5C1H-Southwest LA Charter'!S52+'[14]Table 5C1H-Southwest LA Charter'!S52+(6*'[20]Table 5C1H-Southwest LA Charter'!S52)</f>
        <v>0</v>
      </c>
      <c r="R52" s="210">
        <f t="shared" si="43"/>
        <v>0</v>
      </c>
      <c r="S52" s="350">
        <f t="shared" si="54"/>
        <v>0</v>
      </c>
      <c r="T52" s="350">
        <f t="shared" si="44"/>
        <v>0</v>
      </c>
      <c r="U52" s="274">
        <f>'Table 5C1A-Madison Prep'!U52</f>
        <v>2554</v>
      </c>
      <c r="V52" s="327">
        <f t="shared" si="45"/>
        <v>0</v>
      </c>
      <c r="W52" s="994">
        <f>'[1]Oct midyear Southwest'!E49</f>
        <v>0</v>
      </c>
      <c r="X52" s="276">
        <f t="shared" si="46"/>
        <v>0</v>
      </c>
      <c r="Y52" s="883">
        <f>'[1]Feb midyear Southwest'!E49</f>
        <v>0</v>
      </c>
      <c r="Z52" s="276">
        <f t="shared" si="29"/>
        <v>0</v>
      </c>
      <c r="AA52" s="275">
        <f t="shared" si="30"/>
        <v>0</v>
      </c>
      <c r="AB52" s="323">
        <f t="shared" si="31"/>
        <v>0</v>
      </c>
      <c r="AC52" s="278">
        <f t="shared" si="32"/>
        <v>0</v>
      </c>
      <c r="AD52" s="323">
        <f t="shared" si="47"/>
        <v>0</v>
      </c>
      <c r="AE52" s="279">
        <v>0</v>
      </c>
      <c r="AF52" s="323">
        <f t="shared" si="48"/>
        <v>0</v>
      </c>
      <c r="AG52" s="279">
        <f>'[2]Table 5C1H-Southwest LA Charter'!AI52+'[14]Table 5C1H-Southwest LA Charter'!AI52+(6*'[20]Table 5C1H-Southwest LA Charter'!AI52)</f>
        <v>0</v>
      </c>
      <c r="AH52" s="279">
        <f t="shared" si="49"/>
        <v>0</v>
      </c>
      <c r="AI52" s="323">
        <f t="shared" si="55"/>
        <v>0</v>
      </c>
      <c r="AJ52" s="337">
        <f t="shared" si="50"/>
        <v>0</v>
      </c>
      <c r="AK52" s="341">
        <f t="shared" si="51"/>
        <v>0</v>
      </c>
      <c r="AM52" s="273">
        <v>0</v>
      </c>
      <c r="AN52" s="273">
        <f t="shared" si="52"/>
        <v>0</v>
      </c>
      <c r="AO52" s="273">
        <f t="shared" si="53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2.1.14'!G49</f>
        <v>0</v>
      </c>
      <c r="D53" s="201">
        <f>+'Table 5C1A-Madison Prep'!D53</f>
        <v>2524.1485257646736</v>
      </c>
      <c r="E53" s="202">
        <f t="shared" si="35"/>
        <v>0</v>
      </c>
      <c r="F53" s="202">
        <f>+'Table 5C1A-Madison Prep'!F53</f>
        <v>910.76</v>
      </c>
      <c r="G53" s="202">
        <f t="shared" si="36"/>
        <v>0</v>
      </c>
      <c r="H53" s="345">
        <f t="shared" si="37"/>
        <v>0</v>
      </c>
      <c r="I53" s="991">
        <f>'[1]Oct midyear Southwest'!K50</f>
        <v>0</v>
      </c>
      <c r="J53" s="203">
        <f>'[1]Feb midyear Southwest'!K50</f>
        <v>0</v>
      </c>
      <c r="K53" s="204">
        <f t="shared" si="38"/>
        <v>0</v>
      </c>
      <c r="L53" s="345">
        <f t="shared" si="39"/>
        <v>0</v>
      </c>
      <c r="M53" s="286">
        <f t="shared" si="40"/>
        <v>0</v>
      </c>
      <c r="N53" s="345">
        <f t="shared" si="41"/>
        <v>0</v>
      </c>
      <c r="O53" s="201">
        <v>0</v>
      </c>
      <c r="P53" s="351">
        <f t="shared" si="42"/>
        <v>0</v>
      </c>
      <c r="Q53" s="203">
        <f>'[2]Table 5C1H-Southwest LA Charter'!S53+'[14]Table 5C1H-Southwest LA Charter'!S53+(6*'[20]Table 5C1H-Southwest LA Charter'!S53)</f>
        <v>0</v>
      </c>
      <c r="R53" s="203">
        <f t="shared" si="43"/>
        <v>0</v>
      </c>
      <c r="S53" s="351">
        <f t="shared" si="54"/>
        <v>0</v>
      </c>
      <c r="T53" s="351">
        <f t="shared" si="44"/>
        <v>0</v>
      </c>
      <c r="U53" s="287">
        <f>'Table 5C1A-Madison Prep'!U53</f>
        <v>11506</v>
      </c>
      <c r="V53" s="328">
        <f t="shared" si="45"/>
        <v>0</v>
      </c>
      <c r="W53" s="995">
        <f>'[1]Oct midyear Southwest'!E50</f>
        <v>0</v>
      </c>
      <c r="X53" s="290">
        <f t="shared" si="46"/>
        <v>0</v>
      </c>
      <c r="Y53" s="289">
        <f>'[1]Feb midyear Southwest'!E50</f>
        <v>0</v>
      </c>
      <c r="Z53" s="290">
        <f t="shared" si="29"/>
        <v>0</v>
      </c>
      <c r="AA53" s="288">
        <f t="shared" si="30"/>
        <v>0</v>
      </c>
      <c r="AB53" s="324">
        <f t="shared" si="31"/>
        <v>0</v>
      </c>
      <c r="AC53" s="292">
        <f t="shared" si="32"/>
        <v>0</v>
      </c>
      <c r="AD53" s="324">
        <f t="shared" si="47"/>
        <v>0</v>
      </c>
      <c r="AE53" s="293">
        <v>0</v>
      </c>
      <c r="AF53" s="324">
        <f t="shared" si="48"/>
        <v>0</v>
      </c>
      <c r="AG53" s="293">
        <f>'[2]Table 5C1H-Southwest LA Charter'!AI53+'[14]Table 5C1H-Southwest LA Charter'!AI53+(6*'[20]Table 5C1H-Southwest LA Charter'!AI53)</f>
        <v>0</v>
      </c>
      <c r="AH53" s="293">
        <f t="shared" si="49"/>
        <v>0</v>
      </c>
      <c r="AI53" s="324">
        <f t="shared" si="55"/>
        <v>0</v>
      </c>
      <c r="AJ53" s="321">
        <f t="shared" si="50"/>
        <v>0</v>
      </c>
      <c r="AK53" s="342">
        <f t="shared" si="51"/>
        <v>0</v>
      </c>
      <c r="AM53" s="286">
        <v>0</v>
      </c>
      <c r="AN53" s="286">
        <f t="shared" si="52"/>
        <v>0</v>
      </c>
      <c r="AO53" s="286">
        <f t="shared" si="53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2.1.14'!G50</f>
        <v>0</v>
      </c>
      <c r="D54" s="201">
        <f>+'Table 5C1A-Madison Prep'!D54</f>
        <v>3983.3582529800719</v>
      </c>
      <c r="E54" s="202">
        <f t="shared" si="35"/>
        <v>0</v>
      </c>
      <c r="F54" s="202">
        <f>+'Table 5C1A-Madison Prep'!F54</f>
        <v>871.07</v>
      </c>
      <c r="G54" s="202">
        <f t="shared" si="36"/>
        <v>0</v>
      </c>
      <c r="H54" s="345">
        <f t="shared" si="37"/>
        <v>0</v>
      </c>
      <c r="I54" s="991">
        <f>'[1]Oct midyear Southwest'!K51</f>
        <v>0</v>
      </c>
      <c r="J54" s="203">
        <f>'[1]Feb midyear Southwest'!K51</f>
        <v>0</v>
      </c>
      <c r="K54" s="204">
        <f t="shared" si="38"/>
        <v>0</v>
      </c>
      <c r="L54" s="345">
        <f t="shared" si="39"/>
        <v>0</v>
      </c>
      <c r="M54" s="286">
        <f t="shared" si="40"/>
        <v>0</v>
      </c>
      <c r="N54" s="345">
        <f t="shared" si="41"/>
        <v>0</v>
      </c>
      <c r="O54" s="201">
        <v>0</v>
      </c>
      <c r="P54" s="351">
        <f t="shared" si="42"/>
        <v>0</v>
      </c>
      <c r="Q54" s="203">
        <f>'[2]Table 5C1H-Southwest LA Charter'!S54+'[14]Table 5C1H-Southwest LA Charter'!S54+(6*'[20]Table 5C1H-Southwest LA Charter'!S54)</f>
        <v>0</v>
      </c>
      <c r="R54" s="203">
        <f t="shared" si="43"/>
        <v>0</v>
      </c>
      <c r="S54" s="351">
        <f t="shared" si="54"/>
        <v>0</v>
      </c>
      <c r="T54" s="351">
        <f t="shared" si="44"/>
        <v>0</v>
      </c>
      <c r="U54" s="287">
        <f>'Table 5C1A-Madison Prep'!U54</f>
        <v>6827</v>
      </c>
      <c r="V54" s="328">
        <f t="shared" si="45"/>
        <v>0</v>
      </c>
      <c r="W54" s="995">
        <f>'[1]Oct midyear Southwest'!E51</f>
        <v>0</v>
      </c>
      <c r="X54" s="290">
        <f t="shared" si="46"/>
        <v>0</v>
      </c>
      <c r="Y54" s="289">
        <f>'[1]Feb midyear Southwest'!E51</f>
        <v>0</v>
      </c>
      <c r="Z54" s="290">
        <f t="shared" si="29"/>
        <v>0</v>
      </c>
      <c r="AA54" s="288">
        <f t="shared" si="30"/>
        <v>0</v>
      </c>
      <c r="AB54" s="324">
        <f t="shared" si="31"/>
        <v>0</v>
      </c>
      <c r="AC54" s="292">
        <f t="shared" si="32"/>
        <v>0</v>
      </c>
      <c r="AD54" s="324">
        <f t="shared" si="47"/>
        <v>0</v>
      </c>
      <c r="AE54" s="293">
        <v>0</v>
      </c>
      <c r="AF54" s="324">
        <f t="shared" si="48"/>
        <v>0</v>
      </c>
      <c r="AG54" s="293">
        <f>'[2]Table 5C1H-Southwest LA Charter'!AI54+'[14]Table 5C1H-Southwest LA Charter'!AI54+(6*'[20]Table 5C1H-Southwest LA Charter'!AI54)</f>
        <v>0</v>
      </c>
      <c r="AH54" s="293">
        <f t="shared" si="49"/>
        <v>0</v>
      </c>
      <c r="AI54" s="324">
        <f t="shared" si="55"/>
        <v>0</v>
      </c>
      <c r="AJ54" s="321">
        <f t="shared" si="50"/>
        <v>0</v>
      </c>
      <c r="AK54" s="342">
        <f t="shared" si="51"/>
        <v>0</v>
      </c>
      <c r="AM54" s="286">
        <v>0</v>
      </c>
      <c r="AN54" s="286">
        <f t="shared" si="52"/>
        <v>0</v>
      </c>
      <c r="AO54" s="286">
        <f t="shared" si="53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2.1.14'!G51</f>
        <v>0</v>
      </c>
      <c r="D55" s="201">
        <f>+'Table 5C1A-Madison Prep'!D55</f>
        <v>4995.8755315659191</v>
      </c>
      <c r="E55" s="202">
        <f t="shared" si="35"/>
        <v>0</v>
      </c>
      <c r="F55" s="202">
        <f>+'Table 5C1A-Madison Prep'!F55</f>
        <v>574.43999999999994</v>
      </c>
      <c r="G55" s="202">
        <f t="shared" si="36"/>
        <v>0</v>
      </c>
      <c r="H55" s="345">
        <f t="shared" si="37"/>
        <v>0</v>
      </c>
      <c r="I55" s="991">
        <f>'[1]Oct midyear Southwest'!K52</f>
        <v>0</v>
      </c>
      <c r="J55" s="203">
        <f>'[1]Feb midyear Southwest'!K52</f>
        <v>0</v>
      </c>
      <c r="K55" s="204">
        <f t="shared" si="38"/>
        <v>0</v>
      </c>
      <c r="L55" s="345">
        <f t="shared" si="39"/>
        <v>0</v>
      </c>
      <c r="M55" s="286">
        <f t="shared" si="40"/>
        <v>0</v>
      </c>
      <c r="N55" s="345">
        <f t="shared" si="41"/>
        <v>0</v>
      </c>
      <c r="O55" s="201">
        <v>0</v>
      </c>
      <c r="P55" s="351">
        <f t="shared" si="42"/>
        <v>0</v>
      </c>
      <c r="Q55" s="203">
        <f>'[2]Table 5C1H-Southwest LA Charter'!S55+'[14]Table 5C1H-Southwest LA Charter'!S55+(6*'[20]Table 5C1H-Southwest LA Charter'!S55)</f>
        <v>0</v>
      </c>
      <c r="R55" s="203">
        <f t="shared" si="43"/>
        <v>0</v>
      </c>
      <c r="S55" s="351">
        <f t="shared" si="54"/>
        <v>0</v>
      </c>
      <c r="T55" s="351">
        <f t="shared" si="44"/>
        <v>0</v>
      </c>
      <c r="U55" s="287">
        <f>'Table 5C1A-Madison Prep'!U55</f>
        <v>2399</v>
      </c>
      <c r="V55" s="328">
        <f t="shared" si="45"/>
        <v>0</v>
      </c>
      <c r="W55" s="995">
        <f>'[1]Oct midyear Southwest'!E52</f>
        <v>0</v>
      </c>
      <c r="X55" s="290">
        <f t="shared" si="46"/>
        <v>0</v>
      </c>
      <c r="Y55" s="289">
        <f>'[1]Feb midyear Southwest'!E52</f>
        <v>0</v>
      </c>
      <c r="Z55" s="290">
        <f t="shared" si="29"/>
        <v>0</v>
      </c>
      <c r="AA55" s="288">
        <f t="shared" si="30"/>
        <v>0</v>
      </c>
      <c r="AB55" s="324">
        <f t="shared" si="31"/>
        <v>0</v>
      </c>
      <c r="AC55" s="292">
        <f t="shared" si="32"/>
        <v>0</v>
      </c>
      <c r="AD55" s="324">
        <f t="shared" si="47"/>
        <v>0</v>
      </c>
      <c r="AE55" s="293">
        <v>0</v>
      </c>
      <c r="AF55" s="324">
        <f t="shared" si="48"/>
        <v>0</v>
      </c>
      <c r="AG55" s="293">
        <f>'[2]Table 5C1H-Southwest LA Charter'!AI55+'[14]Table 5C1H-Southwest LA Charter'!AI55+(6*'[20]Table 5C1H-Southwest LA Charter'!AI55)</f>
        <v>0</v>
      </c>
      <c r="AH55" s="293">
        <f t="shared" si="49"/>
        <v>0</v>
      </c>
      <c r="AI55" s="324">
        <f t="shared" si="55"/>
        <v>0</v>
      </c>
      <c r="AJ55" s="321">
        <f t="shared" si="50"/>
        <v>0</v>
      </c>
      <c r="AK55" s="342">
        <f t="shared" si="51"/>
        <v>0</v>
      </c>
      <c r="AM55" s="286">
        <v>0</v>
      </c>
      <c r="AN55" s="286">
        <f t="shared" si="52"/>
        <v>0</v>
      </c>
      <c r="AO55" s="286">
        <f t="shared" si="53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2.1.14'!G52</f>
        <v>0</v>
      </c>
      <c r="D56" s="194">
        <f>+'Table 5C1A-Madison Prep'!D56</f>
        <v>5177.6892722701677</v>
      </c>
      <c r="E56" s="195">
        <f t="shared" si="35"/>
        <v>0</v>
      </c>
      <c r="F56" s="195">
        <f>+'Table 5C1A-Madison Prep'!F56</f>
        <v>634.46</v>
      </c>
      <c r="G56" s="195">
        <f t="shared" si="36"/>
        <v>0</v>
      </c>
      <c r="H56" s="346">
        <f t="shared" si="37"/>
        <v>0</v>
      </c>
      <c r="I56" s="992">
        <f>'[1]Oct midyear Southwest'!K53</f>
        <v>0</v>
      </c>
      <c r="J56" s="196">
        <f>'[1]Feb midyear Southwest'!K53</f>
        <v>0</v>
      </c>
      <c r="K56" s="197">
        <f t="shared" si="38"/>
        <v>0</v>
      </c>
      <c r="L56" s="346">
        <f t="shared" si="39"/>
        <v>0</v>
      </c>
      <c r="M56" s="296">
        <f t="shared" si="40"/>
        <v>0</v>
      </c>
      <c r="N56" s="346">
        <f t="shared" si="41"/>
        <v>0</v>
      </c>
      <c r="O56" s="194">
        <v>0</v>
      </c>
      <c r="P56" s="352">
        <f t="shared" si="42"/>
        <v>0</v>
      </c>
      <c r="Q56" s="196">
        <f>'[2]Table 5C1H-Southwest LA Charter'!S56+'[14]Table 5C1H-Southwest LA Charter'!S56+(6*'[20]Table 5C1H-Southwest LA Charter'!S56)</f>
        <v>0</v>
      </c>
      <c r="R56" s="196">
        <f t="shared" si="43"/>
        <v>0</v>
      </c>
      <c r="S56" s="352">
        <f t="shared" si="54"/>
        <v>0</v>
      </c>
      <c r="T56" s="352">
        <f t="shared" si="44"/>
        <v>0</v>
      </c>
      <c r="U56" s="281">
        <f>'Table 5C1A-Madison Prep'!U56</f>
        <v>3413</v>
      </c>
      <c r="V56" s="329">
        <f t="shared" si="45"/>
        <v>0</v>
      </c>
      <c r="W56" s="996">
        <f>'[1]Oct midyear Southwest'!E53</f>
        <v>0</v>
      </c>
      <c r="X56" s="282">
        <f t="shared" si="46"/>
        <v>0</v>
      </c>
      <c r="Y56" s="884">
        <f>'[1]Feb midyear Southwest'!E53</f>
        <v>0</v>
      </c>
      <c r="Z56" s="282">
        <f t="shared" si="29"/>
        <v>0</v>
      </c>
      <c r="AA56" s="283">
        <f t="shared" si="30"/>
        <v>0</v>
      </c>
      <c r="AB56" s="325">
        <f t="shared" si="31"/>
        <v>0</v>
      </c>
      <c r="AC56" s="298">
        <f t="shared" si="32"/>
        <v>0</v>
      </c>
      <c r="AD56" s="325">
        <f t="shared" si="47"/>
        <v>0</v>
      </c>
      <c r="AE56" s="284">
        <v>0</v>
      </c>
      <c r="AF56" s="325">
        <f t="shared" si="48"/>
        <v>0</v>
      </c>
      <c r="AG56" s="284">
        <f>'[2]Table 5C1H-Southwest LA Charter'!AI56+'[14]Table 5C1H-Southwest LA Charter'!AI56+(6*'[20]Table 5C1H-Southwest LA Charter'!AI56)</f>
        <v>0</v>
      </c>
      <c r="AH56" s="284">
        <f t="shared" si="49"/>
        <v>0</v>
      </c>
      <c r="AI56" s="325">
        <f t="shared" si="55"/>
        <v>0</v>
      </c>
      <c r="AJ56" s="338">
        <f t="shared" si="50"/>
        <v>0</v>
      </c>
      <c r="AK56" s="343">
        <f t="shared" si="51"/>
        <v>0</v>
      </c>
      <c r="AM56" s="296">
        <v>0</v>
      </c>
      <c r="AN56" s="296">
        <f t="shared" si="52"/>
        <v>0</v>
      </c>
      <c r="AO56" s="296">
        <f t="shared" si="53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2.1.14'!G53</f>
        <v>0</v>
      </c>
      <c r="D57" s="208">
        <f>+'Table 5C1A-Madison Prep'!D57</f>
        <v>4154.1928602178996</v>
      </c>
      <c r="E57" s="209">
        <f t="shared" si="35"/>
        <v>0</v>
      </c>
      <c r="F57" s="209">
        <f>+'Table 5C1A-Madison Prep'!F57</f>
        <v>706.66</v>
      </c>
      <c r="G57" s="209">
        <f t="shared" si="36"/>
        <v>0</v>
      </c>
      <c r="H57" s="344">
        <f t="shared" si="37"/>
        <v>0</v>
      </c>
      <c r="I57" s="990">
        <f>'[1]Oct midyear Southwest'!K54</f>
        <v>0</v>
      </c>
      <c r="J57" s="210">
        <f>'[1]Feb midyear Southwest'!K54</f>
        <v>0</v>
      </c>
      <c r="K57" s="211">
        <f t="shared" si="38"/>
        <v>0</v>
      </c>
      <c r="L57" s="344">
        <f t="shared" si="39"/>
        <v>0</v>
      </c>
      <c r="M57" s="273">
        <f t="shared" si="40"/>
        <v>0</v>
      </c>
      <c r="N57" s="344">
        <f t="shared" si="41"/>
        <v>0</v>
      </c>
      <c r="O57" s="208">
        <v>0</v>
      </c>
      <c r="P57" s="350">
        <f t="shared" si="42"/>
        <v>0</v>
      </c>
      <c r="Q57" s="210">
        <f>'[2]Table 5C1H-Southwest LA Charter'!S57+'[14]Table 5C1H-Southwest LA Charter'!S57+(6*'[20]Table 5C1H-Southwest LA Charter'!S57)</f>
        <v>0</v>
      </c>
      <c r="R57" s="210">
        <f t="shared" si="43"/>
        <v>0</v>
      </c>
      <c r="S57" s="350">
        <f t="shared" si="54"/>
        <v>0</v>
      </c>
      <c r="T57" s="350">
        <f t="shared" si="44"/>
        <v>0</v>
      </c>
      <c r="U57" s="274">
        <f>'Table 5C1A-Madison Prep'!U57</f>
        <v>4512</v>
      </c>
      <c r="V57" s="327">
        <f t="shared" si="45"/>
        <v>0</v>
      </c>
      <c r="W57" s="994">
        <f>'[1]Oct midyear Southwest'!E54</f>
        <v>0</v>
      </c>
      <c r="X57" s="276">
        <f t="shared" si="46"/>
        <v>0</v>
      </c>
      <c r="Y57" s="883">
        <f>'[1]Feb midyear Southwest'!E54</f>
        <v>0</v>
      </c>
      <c r="Z57" s="276">
        <f t="shared" si="29"/>
        <v>0</v>
      </c>
      <c r="AA57" s="275">
        <f t="shared" si="30"/>
        <v>0</v>
      </c>
      <c r="AB57" s="323">
        <f t="shared" si="31"/>
        <v>0</v>
      </c>
      <c r="AC57" s="278">
        <f t="shared" si="32"/>
        <v>0</v>
      </c>
      <c r="AD57" s="323">
        <f t="shared" si="47"/>
        <v>0</v>
      </c>
      <c r="AE57" s="279">
        <v>0</v>
      </c>
      <c r="AF57" s="323">
        <f t="shared" si="48"/>
        <v>0</v>
      </c>
      <c r="AG57" s="279">
        <f>'[2]Table 5C1H-Southwest LA Charter'!AI57+'[14]Table 5C1H-Southwest LA Charter'!AI57+(6*'[20]Table 5C1H-Southwest LA Charter'!AI57)</f>
        <v>0</v>
      </c>
      <c r="AH57" s="279">
        <f t="shared" si="49"/>
        <v>0</v>
      </c>
      <c r="AI57" s="323">
        <f t="shared" si="55"/>
        <v>0</v>
      </c>
      <c r="AJ57" s="337">
        <f t="shared" si="50"/>
        <v>0</v>
      </c>
      <c r="AK57" s="341">
        <f t="shared" si="51"/>
        <v>0</v>
      </c>
      <c r="AM57" s="273">
        <v>0</v>
      </c>
      <c r="AN57" s="273">
        <f t="shared" si="52"/>
        <v>0</v>
      </c>
      <c r="AO57" s="273">
        <f t="shared" si="53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2.1.14'!G54</f>
        <v>0</v>
      </c>
      <c r="D58" s="201">
        <f>+'Table 5C1A-Madison Prep'!D58</f>
        <v>5062.2745845228173</v>
      </c>
      <c r="E58" s="202">
        <f t="shared" si="35"/>
        <v>0</v>
      </c>
      <c r="F58" s="202">
        <f>+'Table 5C1A-Madison Prep'!F58</f>
        <v>658.37</v>
      </c>
      <c r="G58" s="202">
        <f t="shared" si="36"/>
        <v>0</v>
      </c>
      <c r="H58" s="345">
        <f t="shared" si="37"/>
        <v>0</v>
      </c>
      <c r="I58" s="991">
        <f>'[1]Oct midyear Southwest'!K55</f>
        <v>0</v>
      </c>
      <c r="J58" s="203">
        <f>'[1]Feb midyear Southwest'!K55</f>
        <v>0</v>
      </c>
      <c r="K58" s="204">
        <f t="shared" si="38"/>
        <v>0</v>
      </c>
      <c r="L58" s="345">
        <f t="shared" si="39"/>
        <v>0</v>
      </c>
      <c r="M58" s="286">
        <f t="shared" si="40"/>
        <v>0</v>
      </c>
      <c r="N58" s="345">
        <f t="shared" si="41"/>
        <v>0</v>
      </c>
      <c r="O58" s="201">
        <v>0</v>
      </c>
      <c r="P58" s="351">
        <f t="shared" si="42"/>
        <v>0</v>
      </c>
      <c r="Q58" s="203">
        <f>'[2]Table 5C1H-Southwest LA Charter'!S58+'[14]Table 5C1H-Southwest LA Charter'!S58+(6*'[20]Table 5C1H-Southwest LA Charter'!S58)</f>
        <v>0</v>
      </c>
      <c r="R58" s="203">
        <f t="shared" si="43"/>
        <v>0</v>
      </c>
      <c r="S58" s="351">
        <f t="shared" si="54"/>
        <v>0</v>
      </c>
      <c r="T58" s="351">
        <f t="shared" si="44"/>
        <v>0</v>
      </c>
      <c r="U58" s="287">
        <f>'Table 5C1A-Madison Prep'!U58</f>
        <v>5289</v>
      </c>
      <c r="V58" s="328">
        <f t="shared" si="45"/>
        <v>0</v>
      </c>
      <c r="W58" s="995">
        <f>'[1]Oct midyear Southwest'!E55</f>
        <v>0</v>
      </c>
      <c r="X58" s="290">
        <f t="shared" si="46"/>
        <v>0</v>
      </c>
      <c r="Y58" s="289">
        <f>'[1]Feb midyear Southwest'!E55</f>
        <v>0</v>
      </c>
      <c r="Z58" s="290">
        <f t="shared" si="29"/>
        <v>0</v>
      </c>
      <c r="AA58" s="288">
        <f t="shared" si="30"/>
        <v>0</v>
      </c>
      <c r="AB58" s="324">
        <f t="shared" si="31"/>
        <v>0</v>
      </c>
      <c r="AC58" s="292">
        <f t="shared" si="32"/>
        <v>0</v>
      </c>
      <c r="AD58" s="324">
        <f t="shared" si="47"/>
        <v>0</v>
      </c>
      <c r="AE58" s="293">
        <v>0</v>
      </c>
      <c r="AF58" s="324">
        <f t="shared" si="48"/>
        <v>0</v>
      </c>
      <c r="AG58" s="293">
        <f>'[2]Table 5C1H-Southwest LA Charter'!AI58+'[14]Table 5C1H-Southwest LA Charter'!AI58+(6*'[20]Table 5C1H-Southwest LA Charter'!AI58)</f>
        <v>0</v>
      </c>
      <c r="AH58" s="293">
        <f t="shared" si="49"/>
        <v>0</v>
      </c>
      <c r="AI58" s="324">
        <f t="shared" si="55"/>
        <v>0</v>
      </c>
      <c r="AJ58" s="321">
        <f t="shared" si="50"/>
        <v>0</v>
      </c>
      <c r="AK58" s="342">
        <f t="shared" si="51"/>
        <v>0</v>
      </c>
      <c r="AM58" s="286">
        <v>0</v>
      </c>
      <c r="AN58" s="286">
        <f t="shared" si="52"/>
        <v>0</v>
      </c>
      <c r="AO58" s="286">
        <f t="shared" si="53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2.1.14'!G55</f>
        <v>0</v>
      </c>
      <c r="D59" s="201">
        <f>+'Table 5C1A-Madison Prep'!D59</f>
        <v>5060.1508194045482</v>
      </c>
      <c r="E59" s="202">
        <f t="shared" si="35"/>
        <v>0</v>
      </c>
      <c r="F59" s="202">
        <f>+'Table 5C1A-Madison Prep'!F59</f>
        <v>689.74</v>
      </c>
      <c r="G59" s="202">
        <f t="shared" si="36"/>
        <v>0</v>
      </c>
      <c r="H59" s="345">
        <f t="shared" si="37"/>
        <v>0</v>
      </c>
      <c r="I59" s="991">
        <f>'[1]Oct midyear Southwest'!K56</f>
        <v>0</v>
      </c>
      <c r="J59" s="203">
        <f>'[1]Feb midyear Southwest'!K56</f>
        <v>0</v>
      </c>
      <c r="K59" s="204">
        <f t="shared" si="38"/>
        <v>0</v>
      </c>
      <c r="L59" s="345">
        <f t="shared" si="39"/>
        <v>0</v>
      </c>
      <c r="M59" s="286">
        <f t="shared" si="40"/>
        <v>0</v>
      </c>
      <c r="N59" s="345">
        <f t="shared" si="41"/>
        <v>0</v>
      </c>
      <c r="O59" s="201">
        <v>0</v>
      </c>
      <c r="P59" s="351">
        <f t="shared" si="42"/>
        <v>0</v>
      </c>
      <c r="Q59" s="203">
        <f>'[2]Table 5C1H-Southwest LA Charter'!S59+'[14]Table 5C1H-Southwest LA Charter'!S59+(6*'[20]Table 5C1H-Southwest LA Charter'!S59)</f>
        <v>0</v>
      </c>
      <c r="R59" s="203">
        <f t="shared" si="43"/>
        <v>0</v>
      </c>
      <c r="S59" s="351">
        <f t="shared" si="54"/>
        <v>0</v>
      </c>
      <c r="T59" s="351">
        <f t="shared" si="44"/>
        <v>0</v>
      </c>
      <c r="U59" s="287">
        <f>'Table 5C1A-Madison Prep'!U59</f>
        <v>2101</v>
      </c>
      <c r="V59" s="328">
        <f t="shared" si="45"/>
        <v>0</v>
      </c>
      <c r="W59" s="995">
        <f>'[1]Oct midyear Southwest'!E56</f>
        <v>0</v>
      </c>
      <c r="X59" s="290">
        <f t="shared" si="46"/>
        <v>0</v>
      </c>
      <c r="Y59" s="289">
        <f>'[1]Feb midyear Southwest'!E56</f>
        <v>0</v>
      </c>
      <c r="Z59" s="290">
        <f t="shared" si="29"/>
        <v>0</v>
      </c>
      <c r="AA59" s="288">
        <f t="shared" si="30"/>
        <v>0</v>
      </c>
      <c r="AB59" s="324">
        <f t="shared" si="31"/>
        <v>0</v>
      </c>
      <c r="AC59" s="292">
        <f t="shared" si="32"/>
        <v>0</v>
      </c>
      <c r="AD59" s="324">
        <f t="shared" si="47"/>
        <v>0</v>
      </c>
      <c r="AE59" s="293">
        <v>0</v>
      </c>
      <c r="AF59" s="324">
        <f t="shared" si="48"/>
        <v>0</v>
      </c>
      <c r="AG59" s="293">
        <f>'[2]Table 5C1H-Southwest LA Charter'!AI59+'[14]Table 5C1H-Southwest LA Charter'!AI59+(6*'[20]Table 5C1H-Southwest LA Charter'!AI59)</f>
        <v>0</v>
      </c>
      <c r="AH59" s="293">
        <f t="shared" si="49"/>
        <v>0</v>
      </c>
      <c r="AI59" s="324">
        <f t="shared" si="55"/>
        <v>0</v>
      </c>
      <c r="AJ59" s="321">
        <f t="shared" si="50"/>
        <v>0</v>
      </c>
      <c r="AK59" s="342">
        <f t="shared" si="51"/>
        <v>0</v>
      </c>
      <c r="AM59" s="286">
        <v>0</v>
      </c>
      <c r="AN59" s="286">
        <f t="shared" si="52"/>
        <v>0</v>
      </c>
      <c r="AO59" s="286">
        <f t="shared" si="53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2.1.14'!G56</f>
        <v>0</v>
      </c>
      <c r="D60" s="201">
        <f>+'Table 5C1A-Madison Prep'!D60</f>
        <v>5867.0798370516713</v>
      </c>
      <c r="E60" s="202">
        <f t="shared" si="35"/>
        <v>0</v>
      </c>
      <c r="F60" s="202">
        <f>+'Table 5C1A-Madison Prep'!F60</f>
        <v>951.45</v>
      </c>
      <c r="G60" s="202">
        <f t="shared" si="36"/>
        <v>0</v>
      </c>
      <c r="H60" s="345">
        <f t="shared" si="37"/>
        <v>0</v>
      </c>
      <c r="I60" s="991">
        <f>'[1]Oct midyear Southwest'!K57</f>
        <v>0</v>
      </c>
      <c r="J60" s="203">
        <f>'[1]Feb midyear Southwest'!K57</f>
        <v>0</v>
      </c>
      <c r="K60" s="204">
        <f t="shared" si="38"/>
        <v>0</v>
      </c>
      <c r="L60" s="345">
        <f t="shared" si="39"/>
        <v>0</v>
      </c>
      <c r="M60" s="286">
        <f t="shared" si="40"/>
        <v>0</v>
      </c>
      <c r="N60" s="345">
        <f t="shared" si="41"/>
        <v>0</v>
      </c>
      <c r="O60" s="201">
        <v>0</v>
      </c>
      <c r="P60" s="351">
        <f t="shared" si="42"/>
        <v>0</v>
      </c>
      <c r="Q60" s="203">
        <f>'[2]Table 5C1H-Southwest LA Charter'!S60+'[14]Table 5C1H-Southwest LA Charter'!S60+(6*'[20]Table 5C1H-Southwest LA Charter'!S60)</f>
        <v>0</v>
      </c>
      <c r="R60" s="203">
        <f t="shared" si="43"/>
        <v>0</v>
      </c>
      <c r="S60" s="351">
        <f t="shared" si="54"/>
        <v>0</v>
      </c>
      <c r="T60" s="351">
        <f t="shared" si="44"/>
        <v>0</v>
      </c>
      <c r="U60" s="287">
        <f>'Table 5C1A-Madison Prep'!U60</f>
        <v>4150</v>
      </c>
      <c r="V60" s="328">
        <f t="shared" si="45"/>
        <v>0</v>
      </c>
      <c r="W60" s="995">
        <f>'[1]Oct midyear Southwest'!E57</f>
        <v>0</v>
      </c>
      <c r="X60" s="290">
        <f t="shared" si="46"/>
        <v>0</v>
      </c>
      <c r="Y60" s="289">
        <f>'[1]Feb midyear Southwest'!E57</f>
        <v>0</v>
      </c>
      <c r="Z60" s="290">
        <f t="shared" si="29"/>
        <v>0</v>
      </c>
      <c r="AA60" s="288">
        <f t="shared" si="30"/>
        <v>0</v>
      </c>
      <c r="AB60" s="324">
        <f t="shared" si="31"/>
        <v>0</v>
      </c>
      <c r="AC60" s="292">
        <f t="shared" si="32"/>
        <v>0</v>
      </c>
      <c r="AD60" s="324">
        <f t="shared" si="47"/>
        <v>0</v>
      </c>
      <c r="AE60" s="293">
        <v>0</v>
      </c>
      <c r="AF60" s="324">
        <f t="shared" si="48"/>
        <v>0</v>
      </c>
      <c r="AG60" s="293">
        <f>'[2]Table 5C1H-Southwest LA Charter'!AI60+'[14]Table 5C1H-Southwest LA Charter'!AI60+(6*'[20]Table 5C1H-Southwest LA Charter'!AI60)</f>
        <v>0</v>
      </c>
      <c r="AH60" s="293">
        <f t="shared" si="49"/>
        <v>0</v>
      </c>
      <c r="AI60" s="324">
        <f t="shared" si="55"/>
        <v>0</v>
      </c>
      <c r="AJ60" s="321">
        <f t="shared" si="50"/>
        <v>0</v>
      </c>
      <c r="AK60" s="342">
        <f t="shared" si="51"/>
        <v>0</v>
      </c>
      <c r="AM60" s="286">
        <v>0</v>
      </c>
      <c r="AN60" s="286">
        <f t="shared" si="52"/>
        <v>0</v>
      </c>
      <c r="AO60" s="286">
        <f t="shared" si="53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2.1.14'!G57</f>
        <v>0</v>
      </c>
      <c r="D61" s="194">
        <f>+'Table 5C1A-Madison Prep'!D61</f>
        <v>4266.8225491298481</v>
      </c>
      <c r="E61" s="195">
        <f t="shared" si="35"/>
        <v>0</v>
      </c>
      <c r="F61" s="195">
        <f>+'Table 5C1A-Madison Prep'!F61</f>
        <v>795.14</v>
      </c>
      <c r="G61" s="195">
        <f t="shared" si="36"/>
        <v>0</v>
      </c>
      <c r="H61" s="346">
        <f t="shared" si="37"/>
        <v>0</v>
      </c>
      <c r="I61" s="992">
        <f>'[1]Oct midyear Southwest'!K58</f>
        <v>0</v>
      </c>
      <c r="J61" s="196">
        <f>'[1]Feb midyear Southwest'!K58</f>
        <v>0</v>
      </c>
      <c r="K61" s="197">
        <f t="shared" si="38"/>
        <v>0</v>
      </c>
      <c r="L61" s="346">
        <f t="shared" si="39"/>
        <v>0</v>
      </c>
      <c r="M61" s="296">
        <f t="shared" si="40"/>
        <v>0</v>
      </c>
      <c r="N61" s="346">
        <f t="shared" si="41"/>
        <v>0</v>
      </c>
      <c r="O61" s="194">
        <v>0</v>
      </c>
      <c r="P61" s="352">
        <f t="shared" si="42"/>
        <v>0</v>
      </c>
      <c r="Q61" s="196">
        <f>'[2]Table 5C1H-Southwest LA Charter'!S61+'[14]Table 5C1H-Southwest LA Charter'!S61+(6*'[20]Table 5C1H-Southwest LA Charter'!S61)</f>
        <v>0</v>
      </c>
      <c r="R61" s="196">
        <f t="shared" si="43"/>
        <v>0</v>
      </c>
      <c r="S61" s="352">
        <f t="shared" si="54"/>
        <v>0</v>
      </c>
      <c r="T61" s="352">
        <f t="shared" si="44"/>
        <v>0</v>
      </c>
      <c r="U61" s="281">
        <f>'Table 5C1A-Madison Prep'!U61</f>
        <v>3637</v>
      </c>
      <c r="V61" s="329">
        <f t="shared" si="45"/>
        <v>0</v>
      </c>
      <c r="W61" s="996">
        <f>'[1]Oct midyear Southwest'!E58</f>
        <v>0</v>
      </c>
      <c r="X61" s="282">
        <f t="shared" si="46"/>
        <v>0</v>
      </c>
      <c r="Y61" s="884">
        <f>'[1]Feb midyear Southwest'!E58</f>
        <v>0</v>
      </c>
      <c r="Z61" s="282">
        <f t="shared" si="29"/>
        <v>0</v>
      </c>
      <c r="AA61" s="283">
        <f t="shared" si="30"/>
        <v>0</v>
      </c>
      <c r="AB61" s="325">
        <f t="shared" si="31"/>
        <v>0</v>
      </c>
      <c r="AC61" s="298">
        <f t="shared" si="32"/>
        <v>0</v>
      </c>
      <c r="AD61" s="325">
        <f t="shared" si="47"/>
        <v>0</v>
      </c>
      <c r="AE61" s="284">
        <v>0</v>
      </c>
      <c r="AF61" s="325">
        <f t="shared" si="48"/>
        <v>0</v>
      </c>
      <c r="AG61" s="284">
        <f>'[2]Table 5C1H-Southwest LA Charter'!AI61+'[14]Table 5C1H-Southwest LA Charter'!AI61+(6*'[20]Table 5C1H-Southwest LA Charter'!AI61)</f>
        <v>0</v>
      </c>
      <c r="AH61" s="284">
        <f t="shared" si="49"/>
        <v>0</v>
      </c>
      <c r="AI61" s="325">
        <f t="shared" si="55"/>
        <v>0</v>
      </c>
      <c r="AJ61" s="338">
        <f t="shared" si="50"/>
        <v>0</v>
      </c>
      <c r="AK61" s="343">
        <f t="shared" si="51"/>
        <v>0</v>
      </c>
      <c r="AM61" s="296">
        <v>0</v>
      </c>
      <c r="AN61" s="296">
        <f t="shared" si="52"/>
        <v>0</v>
      </c>
      <c r="AO61" s="296">
        <f t="shared" si="53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2.1.14'!G58</f>
        <v>0</v>
      </c>
      <c r="D62" s="208">
        <f>+'Table 5C1A-Madison Prep'!D62</f>
        <v>5028.4909408288286</v>
      </c>
      <c r="E62" s="209">
        <f t="shared" si="35"/>
        <v>0</v>
      </c>
      <c r="F62" s="209">
        <f>+'Table 5C1A-Madison Prep'!F62</f>
        <v>614.66000000000008</v>
      </c>
      <c r="G62" s="209">
        <f t="shared" si="36"/>
        <v>0</v>
      </c>
      <c r="H62" s="344">
        <f t="shared" si="37"/>
        <v>0</v>
      </c>
      <c r="I62" s="990">
        <f>'[1]Oct midyear Southwest'!K59</f>
        <v>0</v>
      </c>
      <c r="J62" s="210">
        <f>'[1]Feb midyear Southwest'!K59</f>
        <v>0</v>
      </c>
      <c r="K62" s="211">
        <f t="shared" si="38"/>
        <v>0</v>
      </c>
      <c r="L62" s="344">
        <f t="shared" si="39"/>
        <v>0</v>
      </c>
      <c r="M62" s="273">
        <f t="shared" si="40"/>
        <v>0</v>
      </c>
      <c r="N62" s="344">
        <f t="shared" si="41"/>
        <v>0</v>
      </c>
      <c r="O62" s="208">
        <v>0</v>
      </c>
      <c r="P62" s="350">
        <f t="shared" si="42"/>
        <v>0</v>
      </c>
      <c r="Q62" s="210">
        <f>'[2]Table 5C1H-Southwest LA Charter'!S62+'[14]Table 5C1H-Southwest LA Charter'!S62+(6*'[20]Table 5C1H-Southwest LA Charter'!S62)</f>
        <v>0</v>
      </c>
      <c r="R62" s="210">
        <f t="shared" si="43"/>
        <v>0</v>
      </c>
      <c r="S62" s="350">
        <f t="shared" si="54"/>
        <v>0</v>
      </c>
      <c r="T62" s="350">
        <f t="shared" si="44"/>
        <v>0</v>
      </c>
      <c r="U62" s="274">
        <f>'Table 5C1A-Madison Prep'!U62</f>
        <v>2857</v>
      </c>
      <c r="V62" s="327">
        <f t="shared" si="45"/>
        <v>0</v>
      </c>
      <c r="W62" s="994">
        <f>'[1]Oct midyear Southwest'!E59</f>
        <v>0</v>
      </c>
      <c r="X62" s="276">
        <f t="shared" si="46"/>
        <v>0</v>
      </c>
      <c r="Y62" s="883">
        <f>'[1]Feb midyear Southwest'!E59</f>
        <v>0</v>
      </c>
      <c r="Z62" s="276">
        <f t="shared" si="29"/>
        <v>0</v>
      </c>
      <c r="AA62" s="275">
        <f t="shared" si="30"/>
        <v>0</v>
      </c>
      <c r="AB62" s="323">
        <f t="shared" si="31"/>
        <v>0</v>
      </c>
      <c r="AC62" s="278">
        <f t="shared" si="32"/>
        <v>0</v>
      </c>
      <c r="AD62" s="323">
        <f t="shared" si="47"/>
        <v>0</v>
      </c>
      <c r="AE62" s="279">
        <v>0</v>
      </c>
      <c r="AF62" s="323">
        <f t="shared" si="48"/>
        <v>0</v>
      </c>
      <c r="AG62" s="279">
        <f>'[2]Table 5C1H-Southwest LA Charter'!AI62+'[14]Table 5C1H-Southwest LA Charter'!AI62+(6*'[20]Table 5C1H-Southwest LA Charter'!AI62)</f>
        <v>0</v>
      </c>
      <c r="AH62" s="279">
        <f t="shared" si="49"/>
        <v>0</v>
      </c>
      <c r="AI62" s="323">
        <f t="shared" si="55"/>
        <v>0</v>
      </c>
      <c r="AJ62" s="337">
        <f t="shared" si="50"/>
        <v>0</v>
      </c>
      <c r="AK62" s="341">
        <f t="shared" si="51"/>
        <v>0</v>
      </c>
      <c r="AM62" s="273">
        <v>0</v>
      </c>
      <c r="AN62" s="273">
        <f t="shared" si="52"/>
        <v>0</v>
      </c>
      <c r="AO62" s="273">
        <f t="shared" si="53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2.1.14'!G59</f>
        <v>0</v>
      </c>
      <c r="D63" s="201">
        <f>+'Table 5C1A-Madison Prep'!D63</f>
        <v>4625.9922979230687</v>
      </c>
      <c r="E63" s="202">
        <f t="shared" si="35"/>
        <v>0</v>
      </c>
      <c r="F63" s="202">
        <f>+'Table 5C1A-Madison Prep'!F63</f>
        <v>764.51</v>
      </c>
      <c r="G63" s="202">
        <f t="shared" si="36"/>
        <v>0</v>
      </c>
      <c r="H63" s="345">
        <f t="shared" si="37"/>
        <v>0</v>
      </c>
      <c r="I63" s="991">
        <f>'[1]Oct midyear Southwest'!K60</f>
        <v>0</v>
      </c>
      <c r="J63" s="203">
        <f>'[1]Feb midyear Southwest'!K60</f>
        <v>0</v>
      </c>
      <c r="K63" s="204">
        <f t="shared" si="38"/>
        <v>0</v>
      </c>
      <c r="L63" s="345">
        <f t="shared" si="39"/>
        <v>0</v>
      </c>
      <c r="M63" s="286">
        <f t="shared" si="40"/>
        <v>0</v>
      </c>
      <c r="N63" s="345">
        <f t="shared" si="41"/>
        <v>0</v>
      </c>
      <c r="O63" s="201">
        <v>0</v>
      </c>
      <c r="P63" s="351">
        <f t="shared" si="42"/>
        <v>0</v>
      </c>
      <c r="Q63" s="203">
        <f>'[2]Table 5C1H-Southwest LA Charter'!S63+'[14]Table 5C1H-Southwest LA Charter'!S63+(6*'[20]Table 5C1H-Southwest LA Charter'!S63)</f>
        <v>0</v>
      </c>
      <c r="R63" s="203">
        <f t="shared" si="43"/>
        <v>0</v>
      </c>
      <c r="S63" s="351">
        <f t="shared" si="54"/>
        <v>0</v>
      </c>
      <c r="T63" s="351">
        <f t="shared" si="44"/>
        <v>0</v>
      </c>
      <c r="U63" s="287">
        <f>'Table 5C1A-Madison Prep'!U63</f>
        <v>3465</v>
      </c>
      <c r="V63" s="328">
        <f t="shared" si="45"/>
        <v>0</v>
      </c>
      <c r="W63" s="995">
        <f>'[1]Oct midyear Southwest'!E60</f>
        <v>0</v>
      </c>
      <c r="X63" s="290">
        <f t="shared" si="46"/>
        <v>0</v>
      </c>
      <c r="Y63" s="289">
        <f>'[1]Feb midyear Southwest'!E60</f>
        <v>0</v>
      </c>
      <c r="Z63" s="290">
        <f t="shared" si="29"/>
        <v>0</v>
      </c>
      <c r="AA63" s="288">
        <f t="shared" si="30"/>
        <v>0</v>
      </c>
      <c r="AB63" s="324">
        <f t="shared" si="31"/>
        <v>0</v>
      </c>
      <c r="AC63" s="292">
        <f t="shared" si="32"/>
        <v>0</v>
      </c>
      <c r="AD63" s="324">
        <f t="shared" si="47"/>
        <v>0</v>
      </c>
      <c r="AE63" s="293">
        <v>0</v>
      </c>
      <c r="AF63" s="324">
        <f t="shared" si="48"/>
        <v>0</v>
      </c>
      <c r="AG63" s="293">
        <f>'[2]Table 5C1H-Southwest LA Charter'!AI63+'[14]Table 5C1H-Southwest LA Charter'!AI63+(6*'[20]Table 5C1H-Southwest LA Charter'!AI63)</f>
        <v>0</v>
      </c>
      <c r="AH63" s="293">
        <f t="shared" si="49"/>
        <v>0</v>
      </c>
      <c r="AI63" s="324">
        <f t="shared" si="55"/>
        <v>0</v>
      </c>
      <c r="AJ63" s="321">
        <f t="shared" si="50"/>
        <v>0</v>
      </c>
      <c r="AK63" s="342">
        <f t="shared" si="51"/>
        <v>0</v>
      </c>
      <c r="AM63" s="286">
        <v>0</v>
      </c>
      <c r="AN63" s="286">
        <f t="shared" si="52"/>
        <v>0</v>
      </c>
      <c r="AO63" s="286">
        <f t="shared" si="53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2.1.14'!G60</f>
        <v>0</v>
      </c>
      <c r="D64" s="201">
        <f>+'Table 5C1A-Madison Prep'!D64</f>
        <v>5673.1129637882123</v>
      </c>
      <c r="E64" s="202">
        <f t="shared" si="35"/>
        <v>0</v>
      </c>
      <c r="F64" s="202">
        <f>+'Table 5C1A-Madison Prep'!F64</f>
        <v>697.04</v>
      </c>
      <c r="G64" s="202">
        <f t="shared" si="36"/>
        <v>0</v>
      </c>
      <c r="H64" s="345">
        <f t="shared" si="37"/>
        <v>0</v>
      </c>
      <c r="I64" s="991">
        <f>'[1]Oct midyear Southwest'!K61</f>
        <v>0</v>
      </c>
      <c r="J64" s="203">
        <f>'[1]Feb midyear Southwest'!K61</f>
        <v>0</v>
      </c>
      <c r="K64" s="204">
        <f t="shared" si="38"/>
        <v>0</v>
      </c>
      <c r="L64" s="345">
        <f t="shared" si="39"/>
        <v>0</v>
      </c>
      <c r="M64" s="286">
        <f t="shared" si="40"/>
        <v>0</v>
      </c>
      <c r="N64" s="345">
        <f t="shared" si="41"/>
        <v>0</v>
      </c>
      <c r="O64" s="201">
        <v>0</v>
      </c>
      <c r="P64" s="351">
        <f t="shared" si="42"/>
        <v>0</v>
      </c>
      <c r="Q64" s="203">
        <f>'[2]Table 5C1H-Southwest LA Charter'!S64+'[14]Table 5C1H-Southwest LA Charter'!S64+(6*'[20]Table 5C1H-Southwest LA Charter'!S64)</f>
        <v>0</v>
      </c>
      <c r="R64" s="203">
        <f t="shared" si="43"/>
        <v>0</v>
      </c>
      <c r="S64" s="351">
        <f t="shared" si="54"/>
        <v>0</v>
      </c>
      <c r="T64" s="351">
        <f t="shared" si="44"/>
        <v>0</v>
      </c>
      <c r="U64" s="287">
        <f>'Table 5C1A-Madison Prep'!U64</f>
        <v>2167</v>
      </c>
      <c r="V64" s="328">
        <f t="shared" si="45"/>
        <v>0</v>
      </c>
      <c r="W64" s="995">
        <f>'[1]Oct midyear Southwest'!E61</f>
        <v>0</v>
      </c>
      <c r="X64" s="290">
        <f t="shared" si="46"/>
        <v>0</v>
      </c>
      <c r="Y64" s="289">
        <f>'[1]Feb midyear Southwest'!E61</f>
        <v>0</v>
      </c>
      <c r="Z64" s="290">
        <f t="shared" si="29"/>
        <v>0</v>
      </c>
      <c r="AA64" s="288">
        <f t="shared" si="30"/>
        <v>0</v>
      </c>
      <c r="AB64" s="324">
        <f t="shared" si="31"/>
        <v>0</v>
      </c>
      <c r="AC64" s="292">
        <f t="shared" si="32"/>
        <v>0</v>
      </c>
      <c r="AD64" s="324">
        <f t="shared" si="47"/>
        <v>0</v>
      </c>
      <c r="AE64" s="293">
        <v>0</v>
      </c>
      <c r="AF64" s="324">
        <f t="shared" si="48"/>
        <v>0</v>
      </c>
      <c r="AG64" s="293">
        <f>'[2]Table 5C1H-Southwest LA Charter'!AI64+'[14]Table 5C1H-Southwest LA Charter'!AI64+(6*'[20]Table 5C1H-Southwest LA Charter'!AI64)</f>
        <v>0</v>
      </c>
      <c r="AH64" s="293">
        <f t="shared" si="49"/>
        <v>0</v>
      </c>
      <c r="AI64" s="324">
        <f t="shared" si="55"/>
        <v>0</v>
      </c>
      <c r="AJ64" s="321">
        <f t="shared" si="50"/>
        <v>0</v>
      </c>
      <c r="AK64" s="342">
        <f t="shared" si="51"/>
        <v>0</v>
      </c>
      <c r="AM64" s="286">
        <v>0</v>
      </c>
      <c r="AN64" s="286">
        <f t="shared" si="52"/>
        <v>0</v>
      </c>
      <c r="AO64" s="286">
        <f t="shared" si="53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2.1.14'!G61</f>
        <v>0</v>
      </c>
      <c r="D65" s="201">
        <f>+'Table 5C1A-Madison Prep'!D65</f>
        <v>6621.946293521848</v>
      </c>
      <c r="E65" s="202">
        <f t="shared" si="35"/>
        <v>0</v>
      </c>
      <c r="F65" s="202">
        <f>+'Table 5C1A-Madison Prep'!F65</f>
        <v>689.52</v>
      </c>
      <c r="G65" s="202">
        <f t="shared" si="36"/>
        <v>0</v>
      </c>
      <c r="H65" s="345">
        <f t="shared" si="37"/>
        <v>0</v>
      </c>
      <c r="I65" s="991">
        <f>'[1]Oct midyear Southwest'!K62</f>
        <v>0</v>
      </c>
      <c r="J65" s="203">
        <f>'[1]Feb midyear Southwest'!K62</f>
        <v>0</v>
      </c>
      <c r="K65" s="204">
        <f t="shared" si="38"/>
        <v>0</v>
      </c>
      <c r="L65" s="345">
        <f t="shared" si="39"/>
        <v>0</v>
      </c>
      <c r="M65" s="286">
        <f t="shared" si="40"/>
        <v>0</v>
      </c>
      <c r="N65" s="345">
        <f t="shared" si="41"/>
        <v>0</v>
      </c>
      <c r="O65" s="201">
        <v>0</v>
      </c>
      <c r="P65" s="351">
        <f t="shared" si="42"/>
        <v>0</v>
      </c>
      <c r="Q65" s="203">
        <f>'[2]Table 5C1H-Southwest LA Charter'!S65+'[14]Table 5C1H-Southwest LA Charter'!S65+(6*'[20]Table 5C1H-Southwest LA Charter'!S65)</f>
        <v>0</v>
      </c>
      <c r="R65" s="203">
        <f t="shared" si="43"/>
        <v>0</v>
      </c>
      <c r="S65" s="351">
        <f t="shared" si="54"/>
        <v>0</v>
      </c>
      <c r="T65" s="351">
        <f t="shared" si="44"/>
        <v>0</v>
      </c>
      <c r="U65" s="287">
        <f>'Table 5C1A-Madison Prep'!U65</f>
        <v>1521</v>
      </c>
      <c r="V65" s="328">
        <f t="shared" si="45"/>
        <v>0</v>
      </c>
      <c r="W65" s="995">
        <f>'[1]Oct midyear Southwest'!E62</f>
        <v>0</v>
      </c>
      <c r="X65" s="290">
        <f t="shared" si="46"/>
        <v>0</v>
      </c>
      <c r="Y65" s="289">
        <f>'[1]Feb midyear Southwest'!E62</f>
        <v>0</v>
      </c>
      <c r="Z65" s="290">
        <f t="shared" si="29"/>
        <v>0</v>
      </c>
      <c r="AA65" s="288">
        <f t="shared" si="30"/>
        <v>0</v>
      </c>
      <c r="AB65" s="324">
        <f t="shared" si="31"/>
        <v>0</v>
      </c>
      <c r="AC65" s="292">
        <f t="shared" si="32"/>
        <v>0</v>
      </c>
      <c r="AD65" s="324">
        <f t="shared" si="47"/>
        <v>0</v>
      </c>
      <c r="AE65" s="293">
        <v>0</v>
      </c>
      <c r="AF65" s="324">
        <f t="shared" si="48"/>
        <v>0</v>
      </c>
      <c r="AG65" s="293">
        <f>'[2]Table 5C1H-Southwest LA Charter'!AI65+'[14]Table 5C1H-Southwest LA Charter'!AI65+(6*'[20]Table 5C1H-Southwest LA Charter'!AI65)</f>
        <v>0</v>
      </c>
      <c r="AH65" s="293">
        <f t="shared" si="49"/>
        <v>0</v>
      </c>
      <c r="AI65" s="324">
        <f t="shared" si="55"/>
        <v>0</v>
      </c>
      <c r="AJ65" s="321">
        <f t="shared" si="50"/>
        <v>0</v>
      </c>
      <c r="AK65" s="342">
        <f t="shared" si="51"/>
        <v>0</v>
      </c>
      <c r="AM65" s="286">
        <v>0</v>
      </c>
      <c r="AN65" s="286">
        <f t="shared" si="52"/>
        <v>0</v>
      </c>
      <c r="AO65" s="286">
        <f t="shared" si="53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2.1.14'!G62</f>
        <v>0</v>
      </c>
      <c r="D66" s="194">
        <f>+'Table 5C1A-Madison Prep'!D66</f>
        <v>5301.224090063828</v>
      </c>
      <c r="E66" s="195">
        <f t="shared" si="35"/>
        <v>0</v>
      </c>
      <c r="F66" s="195">
        <f>+'Table 5C1A-Madison Prep'!F66</f>
        <v>594.04</v>
      </c>
      <c r="G66" s="195">
        <f t="shared" si="36"/>
        <v>0</v>
      </c>
      <c r="H66" s="346">
        <f t="shared" si="37"/>
        <v>0</v>
      </c>
      <c r="I66" s="992">
        <f>'[1]Oct midyear Southwest'!K63</f>
        <v>0</v>
      </c>
      <c r="J66" s="196">
        <f>'[1]Feb midyear Southwest'!K63</f>
        <v>0</v>
      </c>
      <c r="K66" s="197">
        <f t="shared" si="38"/>
        <v>0</v>
      </c>
      <c r="L66" s="346">
        <f t="shared" si="39"/>
        <v>0</v>
      </c>
      <c r="M66" s="296">
        <f t="shared" si="40"/>
        <v>0</v>
      </c>
      <c r="N66" s="346">
        <f t="shared" si="41"/>
        <v>0</v>
      </c>
      <c r="O66" s="194">
        <v>0</v>
      </c>
      <c r="P66" s="352">
        <f t="shared" si="42"/>
        <v>0</v>
      </c>
      <c r="Q66" s="196">
        <f>'[2]Table 5C1H-Southwest LA Charter'!S66+'[14]Table 5C1H-Southwest LA Charter'!S66+(6*'[20]Table 5C1H-Southwest LA Charter'!S66)</f>
        <v>0</v>
      </c>
      <c r="R66" s="196">
        <f t="shared" si="43"/>
        <v>0</v>
      </c>
      <c r="S66" s="352">
        <f t="shared" si="54"/>
        <v>0</v>
      </c>
      <c r="T66" s="352">
        <f t="shared" si="44"/>
        <v>0</v>
      </c>
      <c r="U66" s="281">
        <f>'Table 5C1A-Madison Prep'!U66</f>
        <v>4024</v>
      </c>
      <c r="V66" s="329">
        <f t="shared" si="45"/>
        <v>0</v>
      </c>
      <c r="W66" s="996">
        <f>'[1]Oct midyear Southwest'!E63</f>
        <v>0</v>
      </c>
      <c r="X66" s="282">
        <f t="shared" si="46"/>
        <v>0</v>
      </c>
      <c r="Y66" s="884">
        <f>'[1]Feb midyear Southwest'!E63</f>
        <v>0</v>
      </c>
      <c r="Z66" s="282">
        <f t="shared" si="29"/>
        <v>0</v>
      </c>
      <c r="AA66" s="283">
        <f t="shared" si="30"/>
        <v>0</v>
      </c>
      <c r="AB66" s="325">
        <f t="shared" si="31"/>
        <v>0</v>
      </c>
      <c r="AC66" s="298">
        <f t="shared" si="32"/>
        <v>0</v>
      </c>
      <c r="AD66" s="325">
        <f t="shared" si="47"/>
        <v>0</v>
      </c>
      <c r="AE66" s="284">
        <v>0</v>
      </c>
      <c r="AF66" s="325">
        <f t="shared" si="48"/>
        <v>0</v>
      </c>
      <c r="AG66" s="284">
        <f>'[2]Table 5C1H-Southwest LA Charter'!AI66+'[14]Table 5C1H-Southwest LA Charter'!AI66+(6*'[20]Table 5C1H-Southwest LA Charter'!AI66)</f>
        <v>0</v>
      </c>
      <c r="AH66" s="284">
        <f t="shared" si="49"/>
        <v>0</v>
      </c>
      <c r="AI66" s="325">
        <f t="shared" si="55"/>
        <v>0</v>
      </c>
      <c r="AJ66" s="338">
        <f t="shared" si="50"/>
        <v>0</v>
      </c>
      <c r="AK66" s="343">
        <f t="shared" si="51"/>
        <v>0</v>
      </c>
      <c r="AM66" s="296">
        <v>0</v>
      </c>
      <c r="AN66" s="296">
        <f t="shared" si="52"/>
        <v>0</v>
      </c>
      <c r="AO66" s="296">
        <f t="shared" si="53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2.1.14'!G63</f>
        <v>0</v>
      </c>
      <c r="D67" s="208">
        <f>+'Table 5C1A-Madison Prep'!D67</f>
        <v>2854.1575356369185</v>
      </c>
      <c r="E67" s="209">
        <f t="shared" si="35"/>
        <v>0</v>
      </c>
      <c r="F67" s="209">
        <f>+'Table 5C1A-Madison Prep'!F67</f>
        <v>833.70999999999992</v>
      </c>
      <c r="G67" s="209">
        <f t="shared" si="36"/>
        <v>0</v>
      </c>
      <c r="H67" s="344">
        <f t="shared" si="37"/>
        <v>0</v>
      </c>
      <c r="I67" s="990">
        <f>'[1]Oct midyear Southwest'!K64</f>
        <v>0</v>
      </c>
      <c r="J67" s="210">
        <f>'[1]Feb midyear Southwest'!K64</f>
        <v>0</v>
      </c>
      <c r="K67" s="211">
        <f t="shared" si="38"/>
        <v>0</v>
      </c>
      <c r="L67" s="344">
        <f t="shared" si="39"/>
        <v>0</v>
      </c>
      <c r="M67" s="273">
        <f t="shared" si="40"/>
        <v>0</v>
      </c>
      <c r="N67" s="344">
        <f t="shared" si="41"/>
        <v>0</v>
      </c>
      <c r="O67" s="208">
        <v>0</v>
      </c>
      <c r="P67" s="350">
        <f t="shared" si="42"/>
        <v>0</v>
      </c>
      <c r="Q67" s="210">
        <f>'[2]Table 5C1H-Southwest LA Charter'!S67+'[14]Table 5C1H-Southwest LA Charter'!S67+(6*'[20]Table 5C1H-Southwest LA Charter'!S67)</f>
        <v>0</v>
      </c>
      <c r="R67" s="210">
        <f t="shared" si="43"/>
        <v>0</v>
      </c>
      <c r="S67" s="350">
        <f t="shared" si="54"/>
        <v>0</v>
      </c>
      <c r="T67" s="350">
        <f t="shared" si="44"/>
        <v>0</v>
      </c>
      <c r="U67" s="274">
        <f>'Table 5C1A-Madison Prep'!U67</f>
        <v>6739</v>
      </c>
      <c r="V67" s="327">
        <f t="shared" si="45"/>
        <v>0</v>
      </c>
      <c r="W67" s="994">
        <f>'[1]Oct midyear Southwest'!E64</f>
        <v>0</v>
      </c>
      <c r="X67" s="276">
        <f t="shared" si="46"/>
        <v>0</v>
      </c>
      <c r="Y67" s="883">
        <f>'[1]Feb midyear Southwest'!E64</f>
        <v>0</v>
      </c>
      <c r="Z67" s="276">
        <f t="shared" si="29"/>
        <v>0</v>
      </c>
      <c r="AA67" s="275">
        <f t="shared" si="30"/>
        <v>0</v>
      </c>
      <c r="AB67" s="323">
        <f t="shared" si="31"/>
        <v>0</v>
      </c>
      <c r="AC67" s="278">
        <f t="shared" si="32"/>
        <v>0</v>
      </c>
      <c r="AD67" s="323">
        <f t="shared" si="47"/>
        <v>0</v>
      </c>
      <c r="AE67" s="279">
        <v>0</v>
      </c>
      <c r="AF67" s="323">
        <f t="shared" si="48"/>
        <v>0</v>
      </c>
      <c r="AG67" s="279">
        <f>'[2]Table 5C1H-Southwest LA Charter'!AI67+'[14]Table 5C1H-Southwest LA Charter'!AI67+(6*'[20]Table 5C1H-Southwest LA Charter'!AI67)</f>
        <v>0</v>
      </c>
      <c r="AH67" s="279">
        <f t="shared" si="49"/>
        <v>0</v>
      </c>
      <c r="AI67" s="323">
        <f t="shared" si="55"/>
        <v>0</v>
      </c>
      <c r="AJ67" s="337">
        <f t="shared" si="50"/>
        <v>0</v>
      </c>
      <c r="AK67" s="341">
        <f t="shared" si="51"/>
        <v>0</v>
      </c>
      <c r="AM67" s="273">
        <v>0</v>
      </c>
      <c r="AN67" s="273">
        <f t="shared" si="52"/>
        <v>0</v>
      </c>
      <c r="AO67" s="273">
        <f t="shared" si="53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2.1.14'!G64</f>
        <v>0</v>
      </c>
      <c r="D68" s="201">
        <f>+'Table 5C1A-Madison Prep'!D68</f>
        <v>5901.074538516008</v>
      </c>
      <c r="E68" s="202">
        <f t="shared" si="35"/>
        <v>0</v>
      </c>
      <c r="F68" s="202">
        <f>+'Table 5C1A-Madison Prep'!F68</f>
        <v>516.08000000000004</v>
      </c>
      <c r="G68" s="202">
        <f t="shared" si="36"/>
        <v>0</v>
      </c>
      <c r="H68" s="345">
        <f t="shared" si="37"/>
        <v>0</v>
      </c>
      <c r="I68" s="991">
        <f>'[1]Oct midyear Southwest'!K65</f>
        <v>0</v>
      </c>
      <c r="J68" s="203">
        <f>'[1]Feb midyear Southwest'!K65</f>
        <v>0</v>
      </c>
      <c r="K68" s="204">
        <f t="shared" si="38"/>
        <v>0</v>
      </c>
      <c r="L68" s="345">
        <f t="shared" si="39"/>
        <v>0</v>
      </c>
      <c r="M68" s="286">
        <f t="shared" si="40"/>
        <v>0</v>
      </c>
      <c r="N68" s="345">
        <f t="shared" si="41"/>
        <v>0</v>
      </c>
      <c r="O68" s="201">
        <v>0</v>
      </c>
      <c r="P68" s="351">
        <f t="shared" si="42"/>
        <v>0</v>
      </c>
      <c r="Q68" s="203">
        <f>'[2]Table 5C1H-Southwest LA Charter'!S68+'[14]Table 5C1H-Southwest LA Charter'!S68+(6*'[20]Table 5C1H-Southwest LA Charter'!S68)</f>
        <v>0</v>
      </c>
      <c r="R68" s="203">
        <f t="shared" si="43"/>
        <v>0</v>
      </c>
      <c r="S68" s="351">
        <f t="shared" si="54"/>
        <v>0</v>
      </c>
      <c r="T68" s="351">
        <f t="shared" si="44"/>
        <v>0</v>
      </c>
      <c r="U68" s="287">
        <f>'Table 5C1A-Madison Prep'!U68</f>
        <v>2089</v>
      </c>
      <c r="V68" s="328">
        <f t="shared" si="45"/>
        <v>0</v>
      </c>
      <c r="W68" s="995">
        <f>'[1]Oct midyear Southwest'!E65</f>
        <v>0</v>
      </c>
      <c r="X68" s="290">
        <f t="shared" si="46"/>
        <v>0</v>
      </c>
      <c r="Y68" s="289">
        <f>'[1]Feb midyear Southwest'!E65</f>
        <v>0</v>
      </c>
      <c r="Z68" s="290">
        <f t="shared" si="29"/>
        <v>0</v>
      </c>
      <c r="AA68" s="288">
        <f t="shared" si="30"/>
        <v>0</v>
      </c>
      <c r="AB68" s="324">
        <f t="shared" si="31"/>
        <v>0</v>
      </c>
      <c r="AC68" s="292">
        <f t="shared" si="32"/>
        <v>0</v>
      </c>
      <c r="AD68" s="324">
        <f t="shared" si="47"/>
        <v>0</v>
      </c>
      <c r="AE68" s="293">
        <v>0</v>
      </c>
      <c r="AF68" s="324">
        <f t="shared" si="48"/>
        <v>0</v>
      </c>
      <c r="AG68" s="293">
        <f>'[2]Table 5C1H-Southwest LA Charter'!AI68+'[14]Table 5C1H-Southwest LA Charter'!AI68+(6*'[20]Table 5C1H-Southwest LA Charter'!AI68)</f>
        <v>0</v>
      </c>
      <c r="AH68" s="293">
        <f t="shared" si="49"/>
        <v>0</v>
      </c>
      <c r="AI68" s="324">
        <f t="shared" si="55"/>
        <v>0</v>
      </c>
      <c r="AJ68" s="321">
        <f t="shared" si="50"/>
        <v>0</v>
      </c>
      <c r="AK68" s="342">
        <f t="shared" si="51"/>
        <v>0</v>
      </c>
      <c r="AM68" s="286">
        <v>0</v>
      </c>
      <c r="AN68" s="286">
        <f t="shared" si="52"/>
        <v>0</v>
      </c>
      <c r="AO68" s="286">
        <f t="shared" si="53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2.1.14'!G65</f>
        <v>0</v>
      </c>
      <c r="D69" s="201">
        <f>+'Table 5C1A-Madison Prep'!D69</f>
        <v>4124.3813481848092</v>
      </c>
      <c r="E69" s="202">
        <f t="shared" si="35"/>
        <v>0</v>
      </c>
      <c r="F69" s="202">
        <f>+'Table 5C1A-Madison Prep'!F69</f>
        <v>756.79</v>
      </c>
      <c r="G69" s="202">
        <f t="shared" si="36"/>
        <v>0</v>
      </c>
      <c r="H69" s="345">
        <f t="shared" si="37"/>
        <v>0</v>
      </c>
      <c r="I69" s="991">
        <f>'[1]Oct midyear Southwest'!K66</f>
        <v>0</v>
      </c>
      <c r="J69" s="203">
        <f>'[1]Feb midyear Southwest'!K66</f>
        <v>0</v>
      </c>
      <c r="K69" s="204">
        <f t="shared" si="38"/>
        <v>0</v>
      </c>
      <c r="L69" s="345">
        <f t="shared" si="39"/>
        <v>0</v>
      </c>
      <c r="M69" s="286">
        <f t="shared" si="40"/>
        <v>0</v>
      </c>
      <c r="N69" s="345">
        <f t="shared" si="41"/>
        <v>0</v>
      </c>
      <c r="O69" s="201">
        <v>0</v>
      </c>
      <c r="P69" s="351">
        <f t="shared" si="42"/>
        <v>0</v>
      </c>
      <c r="Q69" s="203">
        <f>'[2]Table 5C1H-Southwest LA Charter'!S69+'[14]Table 5C1H-Southwest LA Charter'!S69+(6*'[20]Table 5C1H-Southwest LA Charter'!S69)</f>
        <v>0</v>
      </c>
      <c r="R69" s="203">
        <f t="shared" si="43"/>
        <v>0</v>
      </c>
      <c r="S69" s="351">
        <f t="shared" si="54"/>
        <v>0</v>
      </c>
      <c r="T69" s="351">
        <f t="shared" si="44"/>
        <v>0</v>
      </c>
      <c r="U69" s="287">
        <f>'Table 5C1A-Madison Prep'!U69</f>
        <v>7403</v>
      </c>
      <c r="V69" s="328">
        <f t="shared" si="45"/>
        <v>0</v>
      </c>
      <c r="W69" s="995">
        <f>'[1]Oct midyear Southwest'!E66</f>
        <v>0</v>
      </c>
      <c r="X69" s="290">
        <f t="shared" si="46"/>
        <v>0</v>
      </c>
      <c r="Y69" s="289">
        <f>'[1]Feb midyear Southwest'!E66</f>
        <v>0</v>
      </c>
      <c r="Z69" s="290">
        <f t="shared" si="29"/>
        <v>0</v>
      </c>
      <c r="AA69" s="288">
        <f t="shared" si="30"/>
        <v>0</v>
      </c>
      <c r="AB69" s="324">
        <f t="shared" si="31"/>
        <v>0</v>
      </c>
      <c r="AC69" s="292">
        <f t="shared" si="32"/>
        <v>0</v>
      </c>
      <c r="AD69" s="324">
        <f t="shared" si="47"/>
        <v>0</v>
      </c>
      <c r="AE69" s="293">
        <v>0</v>
      </c>
      <c r="AF69" s="324">
        <f t="shared" si="48"/>
        <v>0</v>
      </c>
      <c r="AG69" s="293">
        <f>'[2]Table 5C1H-Southwest LA Charter'!AI69+'[14]Table 5C1H-Southwest LA Charter'!AI69+(6*'[20]Table 5C1H-Southwest LA Charter'!AI69)</f>
        <v>0</v>
      </c>
      <c r="AH69" s="293">
        <f t="shared" si="49"/>
        <v>0</v>
      </c>
      <c r="AI69" s="324">
        <f t="shared" si="55"/>
        <v>0</v>
      </c>
      <c r="AJ69" s="321">
        <f t="shared" si="50"/>
        <v>0</v>
      </c>
      <c r="AK69" s="342">
        <f t="shared" si="51"/>
        <v>0</v>
      </c>
      <c r="AM69" s="286">
        <v>0</v>
      </c>
      <c r="AN69" s="286">
        <f t="shared" si="52"/>
        <v>0</v>
      </c>
      <c r="AO69" s="286">
        <f t="shared" si="53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2.1.14'!G66</f>
        <v>0</v>
      </c>
      <c r="D70" s="201">
        <f>+'Table 5C1A-Madison Prep'!D70</f>
        <v>6277.8307532778254</v>
      </c>
      <c r="E70" s="202">
        <f t="shared" si="35"/>
        <v>0</v>
      </c>
      <c r="F70" s="202">
        <f>+'Table 5C1A-Madison Prep'!F70</f>
        <v>592.66</v>
      </c>
      <c r="G70" s="202">
        <f t="shared" si="36"/>
        <v>0</v>
      </c>
      <c r="H70" s="345">
        <f t="shared" si="37"/>
        <v>0</v>
      </c>
      <c r="I70" s="991">
        <f>'[1]Oct midyear Southwest'!K67</f>
        <v>0</v>
      </c>
      <c r="J70" s="203">
        <f>'[1]Feb midyear Southwest'!K67</f>
        <v>0</v>
      </c>
      <c r="K70" s="204">
        <f t="shared" si="38"/>
        <v>0</v>
      </c>
      <c r="L70" s="345">
        <f t="shared" si="39"/>
        <v>0</v>
      </c>
      <c r="M70" s="286">
        <f t="shared" si="40"/>
        <v>0</v>
      </c>
      <c r="N70" s="345">
        <f t="shared" si="41"/>
        <v>0</v>
      </c>
      <c r="O70" s="201">
        <v>0</v>
      </c>
      <c r="P70" s="351">
        <f t="shared" si="42"/>
        <v>0</v>
      </c>
      <c r="Q70" s="203">
        <f>'[2]Table 5C1H-Southwest LA Charter'!S70+'[14]Table 5C1H-Southwest LA Charter'!S70+(6*'[20]Table 5C1H-Southwest LA Charter'!S70)</f>
        <v>0</v>
      </c>
      <c r="R70" s="203">
        <f t="shared" si="43"/>
        <v>0</v>
      </c>
      <c r="S70" s="351">
        <f t="shared" si="54"/>
        <v>0</v>
      </c>
      <c r="T70" s="351">
        <f t="shared" si="44"/>
        <v>0</v>
      </c>
      <c r="U70" s="287">
        <f>'Table 5C1A-Madison Prep'!U70</f>
        <v>2802</v>
      </c>
      <c r="V70" s="328">
        <f t="shared" si="45"/>
        <v>0</v>
      </c>
      <c r="W70" s="995">
        <f>'[1]Oct midyear Southwest'!E67</f>
        <v>0</v>
      </c>
      <c r="X70" s="290">
        <f t="shared" si="46"/>
        <v>0</v>
      </c>
      <c r="Y70" s="289">
        <f>'[1]Feb midyear Southwest'!E67</f>
        <v>0</v>
      </c>
      <c r="Z70" s="290">
        <f t="shared" si="29"/>
        <v>0</v>
      </c>
      <c r="AA70" s="288">
        <f t="shared" si="30"/>
        <v>0</v>
      </c>
      <c r="AB70" s="324">
        <f t="shared" si="31"/>
        <v>0</v>
      </c>
      <c r="AC70" s="292">
        <f t="shared" si="32"/>
        <v>0</v>
      </c>
      <c r="AD70" s="324">
        <f t="shared" si="47"/>
        <v>0</v>
      </c>
      <c r="AE70" s="293">
        <v>0</v>
      </c>
      <c r="AF70" s="324">
        <f t="shared" si="48"/>
        <v>0</v>
      </c>
      <c r="AG70" s="293">
        <f>'[2]Table 5C1H-Southwest LA Charter'!AI70+'[14]Table 5C1H-Southwest LA Charter'!AI70+(6*'[20]Table 5C1H-Southwest LA Charter'!AI70)</f>
        <v>0</v>
      </c>
      <c r="AH70" s="293">
        <f t="shared" si="49"/>
        <v>0</v>
      </c>
      <c r="AI70" s="324">
        <f t="shared" si="55"/>
        <v>0</v>
      </c>
      <c r="AJ70" s="321">
        <f t="shared" si="50"/>
        <v>0</v>
      </c>
      <c r="AK70" s="342">
        <f t="shared" si="51"/>
        <v>0</v>
      </c>
      <c r="AM70" s="286">
        <v>0</v>
      </c>
      <c r="AN70" s="286">
        <f t="shared" si="52"/>
        <v>0</v>
      </c>
      <c r="AO70" s="286">
        <f t="shared" si="53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2.1.14'!G67</f>
        <v>0</v>
      </c>
      <c r="D71" s="194">
        <f>+'Table 5C1A-Madison Prep'!D71</f>
        <v>4775.1605543943642</v>
      </c>
      <c r="E71" s="195">
        <f t="shared" si="35"/>
        <v>0</v>
      </c>
      <c r="F71" s="195">
        <f>+'Table 5C1A-Madison Prep'!F71</f>
        <v>829.12</v>
      </c>
      <c r="G71" s="195">
        <f t="shared" si="36"/>
        <v>0</v>
      </c>
      <c r="H71" s="346">
        <f t="shared" si="37"/>
        <v>0</v>
      </c>
      <c r="I71" s="992">
        <f>'[1]Oct midyear Southwest'!K68</f>
        <v>0</v>
      </c>
      <c r="J71" s="196">
        <f>'[1]Feb midyear Southwest'!K68</f>
        <v>0</v>
      </c>
      <c r="K71" s="197">
        <f t="shared" si="38"/>
        <v>0</v>
      </c>
      <c r="L71" s="346">
        <f t="shared" si="39"/>
        <v>0</v>
      </c>
      <c r="M71" s="296">
        <f t="shared" si="40"/>
        <v>0</v>
      </c>
      <c r="N71" s="346">
        <f t="shared" si="41"/>
        <v>0</v>
      </c>
      <c r="O71" s="194">
        <v>0</v>
      </c>
      <c r="P71" s="352">
        <f t="shared" si="42"/>
        <v>0</v>
      </c>
      <c r="Q71" s="196">
        <f>'[2]Table 5C1H-Southwest LA Charter'!S71+'[14]Table 5C1H-Southwest LA Charter'!S71+(6*'[20]Table 5C1H-Southwest LA Charter'!S71)</f>
        <v>202</v>
      </c>
      <c r="R71" s="196">
        <f t="shared" si="43"/>
        <v>-202</v>
      </c>
      <c r="S71" s="352">
        <f t="shared" ref="S71:S75" si="56">ROUND(R71/$S$88,0)</f>
        <v>-51</v>
      </c>
      <c r="T71" s="352">
        <f t="shared" si="44"/>
        <v>0</v>
      </c>
      <c r="U71" s="281">
        <f>'Table 5C1A-Madison Prep'!U71</f>
        <v>5215</v>
      </c>
      <c r="V71" s="329">
        <f t="shared" si="45"/>
        <v>0</v>
      </c>
      <c r="W71" s="996">
        <f>'[1]Oct midyear Southwest'!E68</f>
        <v>0</v>
      </c>
      <c r="X71" s="282">
        <f t="shared" si="46"/>
        <v>0</v>
      </c>
      <c r="Y71" s="884">
        <f>'[1]Feb midyear Southwest'!E68</f>
        <v>0</v>
      </c>
      <c r="Z71" s="282">
        <f t="shared" ref="Z71:Z74" si="57">+U71*Y71*0.5</f>
        <v>0</v>
      </c>
      <c r="AA71" s="283">
        <f t="shared" ref="AA71:AA74" si="58">+X71+Z71</f>
        <v>0</v>
      </c>
      <c r="AB71" s="325">
        <f t="shared" ref="AB71:AB74" si="59">+AA71+V71</f>
        <v>0</v>
      </c>
      <c r="AC71" s="298">
        <f t="shared" ref="AC71:AC74" si="60">-(0.25%*AB71)</f>
        <v>0</v>
      </c>
      <c r="AD71" s="325">
        <f t="shared" si="47"/>
        <v>0</v>
      </c>
      <c r="AE71" s="284">
        <v>0</v>
      </c>
      <c r="AF71" s="325">
        <f t="shared" si="48"/>
        <v>0</v>
      </c>
      <c r="AG71" s="284">
        <f>'[2]Table 5C1H-Southwest LA Charter'!AI71+'[14]Table 5C1H-Southwest LA Charter'!AI71+(6*'[20]Table 5C1H-Southwest LA Charter'!AI71)</f>
        <v>187</v>
      </c>
      <c r="AH71" s="284">
        <f t="shared" si="49"/>
        <v>-187</v>
      </c>
      <c r="AI71" s="325">
        <f t="shared" ref="AI71:AI75" si="61">ROUND(AH71/$AI$88,0)</f>
        <v>-47</v>
      </c>
      <c r="AJ71" s="338">
        <f t="shared" si="50"/>
        <v>0</v>
      </c>
      <c r="AK71" s="343">
        <f t="shared" si="51"/>
        <v>-98</v>
      </c>
      <c r="AM71" s="296">
        <v>0</v>
      </c>
      <c r="AN71" s="296">
        <f t="shared" si="52"/>
        <v>0</v>
      </c>
      <c r="AO71" s="296">
        <f t="shared" si="53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2.1.14'!G68</f>
        <v>0</v>
      </c>
      <c r="D72" s="208">
        <f>+'Table 5C1A-Madison Prep'!D72</f>
        <v>6564.0085433910035</v>
      </c>
      <c r="E72" s="209">
        <f t="shared" ref="E72:E75" si="62">C72*D72</f>
        <v>0</v>
      </c>
      <c r="F72" s="209">
        <f>+'Table 5C1A-Madison Prep'!F72</f>
        <v>730.06</v>
      </c>
      <c r="G72" s="209">
        <f t="shared" ref="G72:G75" si="63">C72*F72</f>
        <v>0</v>
      </c>
      <c r="H72" s="344">
        <f t="shared" ref="H72:H75" si="64">E72+G72</f>
        <v>0</v>
      </c>
      <c r="I72" s="990">
        <f>'[1]Oct midyear Southwest'!K69</f>
        <v>0</v>
      </c>
      <c r="J72" s="210">
        <f>'[1]Feb midyear Southwest'!K69</f>
        <v>0</v>
      </c>
      <c r="K72" s="211">
        <f t="shared" ref="K72:K75" si="65">I72+J72</f>
        <v>0</v>
      </c>
      <c r="L72" s="344">
        <f t="shared" ref="L72:L75" si="66">+H72+K72</f>
        <v>0</v>
      </c>
      <c r="M72" s="273">
        <f t="shared" ref="M72:M75" si="67">-(0.25%*L72)</f>
        <v>0</v>
      </c>
      <c r="N72" s="344">
        <f t="shared" ref="N72:N75" si="68">SUM(L72:M72)</f>
        <v>0</v>
      </c>
      <c r="O72" s="208">
        <v>0</v>
      </c>
      <c r="P72" s="350">
        <f t="shared" ref="P72:P75" si="69">SUM(N72:O72)</f>
        <v>0</v>
      </c>
      <c r="Q72" s="210">
        <f>'[2]Table 5C1H-Southwest LA Charter'!S72+'[14]Table 5C1H-Southwest LA Charter'!S72+(6*'[20]Table 5C1H-Southwest LA Charter'!S72)</f>
        <v>0</v>
      </c>
      <c r="R72" s="210">
        <f t="shared" ref="R72:R75" si="70">+P72-Q72</f>
        <v>0</v>
      </c>
      <c r="S72" s="350">
        <f t="shared" si="56"/>
        <v>0</v>
      </c>
      <c r="T72" s="350">
        <f t="shared" ref="T72:T75" si="71">+P72</f>
        <v>0</v>
      </c>
      <c r="U72" s="274">
        <f>'Table 5C1A-Madison Prep'!U72</f>
        <v>3609</v>
      </c>
      <c r="V72" s="327">
        <f t="shared" ref="V72:V75" si="72">C72*U72</f>
        <v>0</v>
      </c>
      <c r="W72" s="994">
        <f>'[1]Oct midyear Southwest'!E69</f>
        <v>0</v>
      </c>
      <c r="X72" s="276">
        <f t="shared" ref="X72:X75" si="73">+U72*W72</f>
        <v>0</v>
      </c>
      <c r="Y72" s="883">
        <f>'[1]Feb midyear Southwest'!E69</f>
        <v>0</v>
      </c>
      <c r="Z72" s="276">
        <f t="shared" si="57"/>
        <v>0</v>
      </c>
      <c r="AA72" s="275">
        <f t="shared" si="58"/>
        <v>0</v>
      </c>
      <c r="AB72" s="323">
        <f t="shared" si="59"/>
        <v>0</v>
      </c>
      <c r="AC72" s="278">
        <f t="shared" si="60"/>
        <v>0</v>
      </c>
      <c r="AD72" s="323">
        <f t="shared" ref="AD72:AD75" si="74">SUM(AB72:AC72)</f>
        <v>0</v>
      </c>
      <c r="AE72" s="279">
        <v>0</v>
      </c>
      <c r="AF72" s="323">
        <f t="shared" ref="AF72:AF75" si="75">SUM(AD72:AE72)</f>
        <v>0</v>
      </c>
      <c r="AG72" s="279">
        <f>'[2]Table 5C1H-Southwest LA Charter'!AI72+'[14]Table 5C1H-Southwest LA Charter'!AI72+(6*'[20]Table 5C1H-Southwest LA Charter'!AI72)</f>
        <v>0</v>
      </c>
      <c r="AH72" s="279">
        <f t="shared" ref="AH72:AH75" si="76">+AF72-AG72</f>
        <v>0</v>
      </c>
      <c r="AI72" s="323">
        <f t="shared" si="61"/>
        <v>0</v>
      </c>
      <c r="AJ72" s="337">
        <f t="shared" ref="AJ72:AJ75" si="77">T72+AF72</f>
        <v>0</v>
      </c>
      <c r="AK72" s="341">
        <f t="shared" ref="AK72:AK75" si="78">S72+AI72</f>
        <v>0</v>
      </c>
      <c r="AM72" s="310">
        <v>0</v>
      </c>
      <c r="AN72" s="310">
        <f t="shared" ref="AN72:AN75" si="79">+AC72</f>
        <v>0</v>
      </c>
      <c r="AO72" s="310">
        <f t="shared" si="53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2.1.14'!G69</f>
        <v>0</v>
      </c>
      <c r="D73" s="201">
        <f>+'Table 5C1A-Madison Prep'!D73</f>
        <v>5029.1467736134118</v>
      </c>
      <c r="E73" s="202">
        <f t="shared" si="62"/>
        <v>0</v>
      </c>
      <c r="F73" s="202">
        <f>+'Table 5C1A-Madison Prep'!F73</f>
        <v>715.61</v>
      </c>
      <c r="G73" s="202">
        <f t="shared" si="63"/>
        <v>0</v>
      </c>
      <c r="H73" s="345">
        <f t="shared" si="64"/>
        <v>0</v>
      </c>
      <c r="I73" s="991">
        <f>'[1]Oct midyear Southwest'!K70</f>
        <v>0</v>
      </c>
      <c r="J73" s="203">
        <f>'[1]Feb midyear Southwest'!K70</f>
        <v>0</v>
      </c>
      <c r="K73" s="204">
        <f t="shared" si="65"/>
        <v>0</v>
      </c>
      <c r="L73" s="345">
        <f t="shared" si="66"/>
        <v>0</v>
      </c>
      <c r="M73" s="286">
        <f t="shared" si="67"/>
        <v>0</v>
      </c>
      <c r="N73" s="345">
        <f t="shared" si="68"/>
        <v>0</v>
      </c>
      <c r="O73" s="201">
        <v>0</v>
      </c>
      <c r="P73" s="351">
        <f t="shared" si="69"/>
        <v>0</v>
      </c>
      <c r="Q73" s="203">
        <f>'[2]Table 5C1H-Southwest LA Charter'!S73+'[14]Table 5C1H-Southwest LA Charter'!S73+(6*'[20]Table 5C1H-Southwest LA Charter'!S73)</f>
        <v>0</v>
      </c>
      <c r="R73" s="203">
        <f t="shared" si="70"/>
        <v>0</v>
      </c>
      <c r="S73" s="351">
        <f t="shared" si="56"/>
        <v>0</v>
      </c>
      <c r="T73" s="351">
        <f t="shared" si="71"/>
        <v>0</v>
      </c>
      <c r="U73" s="287">
        <f>'Table 5C1A-Madison Prep'!U73</f>
        <v>5069</v>
      </c>
      <c r="V73" s="328">
        <f t="shared" si="72"/>
        <v>0</v>
      </c>
      <c r="W73" s="995">
        <f>'[1]Oct midyear Southwest'!E70</f>
        <v>0</v>
      </c>
      <c r="X73" s="290">
        <f t="shared" si="73"/>
        <v>0</v>
      </c>
      <c r="Y73" s="289">
        <f>'[1]Feb midyear Southwest'!E70</f>
        <v>0</v>
      </c>
      <c r="Z73" s="290">
        <f t="shared" si="57"/>
        <v>0</v>
      </c>
      <c r="AA73" s="288">
        <f t="shared" si="58"/>
        <v>0</v>
      </c>
      <c r="AB73" s="324">
        <f t="shared" si="59"/>
        <v>0</v>
      </c>
      <c r="AC73" s="292">
        <f t="shared" si="60"/>
        <v>0</v>
      </c>
      <c r="AD73" s="324">
        <f t="shared" si="74"/>
        <v>0</v>
      </c>
      <c r="AE73" s="293">
        <v>0</v>
      </c>
      <c r="AF73" s="324">
        <f t="shared" si="75"/>
        <v>0</v>
      </c>
      <c r="AG73" s="293">
        <f>'[2]Table 5C1H-Southwest LA Charter'!AI73+'[14]Table 5C1H-Southwest LA Charter'!AI73+(6*'[20]Table 5C1H-Southwest LA Charter'!AI73)</f>
        <v>0</v>
      </c>
      <c r="AH73" s="293">
        <f t="shared" si="76"/>
        <v>0</v>
      </c>
      <c r="AI73" s="324">
        <f t="shared" si="61"/>
        <v>0</v>
      </c>
      <c r="AJ73" s="321">
        <f t="shared" si="77"/>
        <v>0</v>
      </c>
      <c r="AK73" s="342">
        <f t="shared" si="78"/>
        <v>0</v>
      </c>
      <c r="AM73" s="310">
        <v>0</v>
      </c>
      <c r="AN73" s="310">
        <f t="shared" si="79"/>
        <v>0</v>
      </c>
      <c r="AO73" s="310">
        <f t="shared" si="53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2.1.14'!G70</f>
        <v>0</v>
      </c>
      <c r="D74" s="201">
        <f>+'Table 5C1A-Madison Prep'!D74</f>
        <v>6390.1644202560601</v>
      </c>
      <c r="E74" s="202">
        <f t="shared" si="62"/>
        <v>0</v>
      </c>
      <c r="F74" s="202">
        <f>+'Table 5C1A-Madison Prep'!F74</f>
        <v>798.7</v>
      </c>
      <c r="G74" s="202">
        <f t="shared" si="63"/>
        <v>0</v>
      </c>
      <c r="H74" s="345">
        <f t="shared" si="64"/>
        <v>0</v>
      </c>
      <c r="I74" s="991">
        <f>'[1]Oct midyear Southwest'!K71</f>
        <v>0</v>
      </c>
      <c r="J74" s="203">
        <f>'[1]Feb midyear Southwest'!K71</f>
        <v>0</v>
      </c>
      <c r="K74" s="204">
        <f t="shared" si="65"/>
        <v>0</v>
      </c>
      <c r="L74" s="345">
        <f t="shared" si="66"/>
        <v>0</v>
      </c>
      <c r="M74" s="286">
        <f t="shared" si="67"/>
        <v>0</v>
      </c>
      <c r="N74" s="345">
        <f t="shared" si="68"/>
        <v>0</v>
      </c>
      <c r="O74" s="201">
        <v>0</v>
      </c>
      <c r="P74" s="351">
        <f t="shared" si="69"/>
        <v>0</v>
      </c>
      <c r="Q74" s="203">
        <f>'[2]Table 5C1H-Southwest LA Charter'!S74+'[14]Table 5C1H-Southwest LA Charter'!S74+(6*'[20]Table 5C1H-Southwest LA Charter'!S74)</f>
        <v>0</v>
      </c>
      <c r="R74" s="203">
        <f t="shared" si="70"/>
        <v>0</v>
      </c>
      <c r="S74" s="351">
        <f t="shared" si="56"/>
        <v>0</v>
      </c>
      <c r="T74" s="351">
        <f t="shared" si="71"/>
        <v>0</v>
      </c>
      <c r="U74" s="287">
        <f>'Table 5C1A-Madison Prep'!U74</f>
        <v>2880</v>
      </c>
      <c r="V74" s="328">
        <f t="shared" si="72"/>
        <v>0</v>
      </c>
      <c r="W74" s="995">
        <f>'[1]Oct midyear Southwest'!E71</f>
        <v>0</v>
      </c>
      <c r="X74" s="290">
        <f t="shared" si="73"/>
        <v>0</v>
      </c>
      <c r="Y74" s="289">
        <f>'[1]Feb midyear Southwest'!E71</f>
        <v>0</v>
      </c>
      <c r="Z74" s="290">
        <f t="shared" si="57"/>
        <v>0</v>
      </c>
      <c r="AA74" s="288">
        <f t="shared" si="58"/>
        <v>0</v>
      </c>
      <c r="AB74" s="324">
        <f t="shared" si="59"/>
        <v>0</v>
      </c>
      <c r="AC74" s="292">
        <f t="shared" si="60"/>
        <v>0</v>
      </c>
      <c r="AD74" s="324">
        <f t="shared" si="74"/>
        <v>0</v>
      </c>
      <c r="AE74" s="293">
        <v>0</v>
      </c>
      <c r="AF74" s="324">
        <f t="shared" si="75"/>
        <v>0</v>
      </c>
      <c r="AG74" s="293">
        <f>'[2]Table 5C1H-Southwest LA Charter'!AI74+'[14]Table 5C1H-Southwest LA Charter'!AI74+(6*'[20]Table 5C1H-Southwest LA Charter'!AI74)</f>
        <v>0</v>
      </c>
      <c r="AH74" s="293">
        <f t="shared" si="76"/>
        <v>0</v>
      </c>
      <c r="AI74" s="324">
        <f t="shared" si="61"/>
        <v>0</v>
      </c>
      <c r="AJ74" s="321">
        <f t="shared" si="77"/>
        <v>0</v>
      </c>
      <c r="AK74" s="342">
        <f t="shared" si="78"/>
        <v>0</v>
      </c>
      <c r="AM74" s="310">
        <v>0</v>
      </c>
      <c r="AN74" s="310">
        <f t="shared" si="79"/>
        <v>0</v>
      </c>
      <c r="AO74" s="310">
        <f t="shared" si="53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2.1.14'!G71</f>
        <v>0</v>
      </c>
      <c r="D75" s="201">
        <f>+'Table 5C1A-Madison Prep'!D75</f>
        <v>5722.4947921281337</v>
      </c>
      <c r="E75" s="202">
        <f t="shared" si="62"/>
        <v>0</v>
      </c>
      <c r="F75" s="202">
        <f>+'Table 5C1A-Madison Prep'!F75</f>
        <v>705.67</v>
      </c>
      <c r="G75" s="202">
        <f t="shared" si="63"/>
        <v>0</v>
      </c>
      <c r="H75" s="345">
        <f t="shared" si="64"/>
        <v>0</v>
      </c>
      <c r="I75" s="991">
        <f>'[1]Oct midyear Southwest'!K72</f>
        <v>0</v>
      </c>
      <c r="J75" s="203">
        <f>'[1]Feb midyear Southwest'!K72</f>
        <v>0</v>
      </c>
      <c r="K75" s="204">
        <f t="shared" si="65"/>
        <v>0</v>
      </c>
      <c r="L75" s="345">
        <f t="shared" si="66"/>
        <v>0</v>
      </c>
      <c r="M75" s="286">
        <f t="shared" si="67"/>
        <v>0</v>
      </c>
      <c r="N75" s="345">
        <f t="shared" si="68"/>
        <v>0</v>
      </c>
      <c r="O75" s="201">
        <v>0</v>
      </c>
      <c r="P75" s="351">
        <f t="shared" si="69"/>
        <v>0</v>
      </c>
      <c r="Q75" s="203">
        <f>'[2]Table 5C1H-Southwest LA Charter'!S75+'[14]Table 5C1H-Southwest LA Charter'!S75+(6*'[20]Table 5C1H-Southwest LA Charter'!S75)</f>
        <v>0</v>
      </c>
      <c r="R75" s="203">
        <f t="shared" si="70"/>
        <v>0</v>
      </c>
      <c r="S75" s="351">
        <f t="shared" si="56"/>
        <v>0</v>
      </c>
      <c r="T75" s="351">
        <f t="shared" si="71"/>
        <v>0</v>
      </c>
      <c r="U75" s="287">
        <f>'Table 5C1A-Madison Prep'!U75</f>
        <v>3330</v>
      </c>
      <c r="V75" s="328">
        <f t="shared" si="72"/>
        <v>0</v>
      </c>
      <c r="W75" s="995">
        <f>'[1]Oct midyear Southwest'!E72</f>
        <v>0</v>
      </c>
      <c r="X75" s="290">
        <f t="shared" si="73"/>
        <v>0</v>
      </c>
      <c r="Y75" s="289">
        <f>'[1]Feb midyear Southwest'!E72</f>
        <v>0</v>
      </c>
      <c r="Z75" s="290">
        <f>+U75*Y75*0.5</f>
        <v>0</v>
      </c>
      <c r="AA75" s="288">
        <f t="shared" ref="AA75" si="80">+X75+Z75</f>
        <v>0</v>
      </c>
      <c r="AB75" s="324">
        <f t="shared" ref="AB75" si="81">+AA75+V75</f>
        <v>0</v>
      </c>
      <c r="AC75" s="292">
        <f>-(0.25%*AB75)</f>
        <v>0</v>
      </c>
      <c r="AD75" s="324">
        <f t="shared" si="74"/>
        <v>0</v>
      </c>
      <c r="AE75" s="293">
        <v>0</v>
      </c>
      <c r="AF75" s="324">
        <f t="shared" si="75"/>
        <v>0</v>
      </c>
      <c r="AG75" s="293">
        <f>'[2]Table 5C1H-Southwest LA Charter'!AI75+'[14]Table 5C1H-Southwest LA Charter'!AI75+(6*'[20]Table 5C1H-Southwest LA Charter'!AI75)</f>
        <v>0</v>
      </c>
      <c r="AH75" s="293">
        <f t="shared" si="76"/>
        <v>0</v>
      </c>
      <c r="AI75" s="324">
        <f t="shared" si="61"/>
        <v>0</v>
      </c>
      <c r="AJ75" s="321">
        <f t="shared" si="77"/>
        <v>0</v>
      </c>
      <c r="AK75" s="342">
        <f t="shared" si="78"/>
        <v>0</v>
      </c>
      <c r="AM75" s="300">
        <v>0</v>
      </c>
      <c r="AN75" s="300">
        <f t="shared" si="79"/>
        <v>0</v>
      </c>
      <c r="AO75" s="300">
        <f t="shared" si="53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671</v>
      </c>
      <c r="D76" s="28">
        <f>+'Table 5C1A-Madison Prep'!D76</f>
        <v>4479.9292126977662</v>
      </c>
      <c r="E76" s="35">
        <f>SUM(E7:E75)</f>
        <v>2941915.4464592948</v>
      </c>
      <c r="F76" s="35">
        <f>+'Table 5C1A-Madison Prep'!F76</f>
        <v>704.64781030742063</v>
      </c>
      <c r="G76" s="35">
        <f>SUM(G7:G75)</f>
        <v>407994.84</v>
      </c>
      <c r="H76" s="348">
        <f>SUM(H7:H75)</f>
        <v>3349910.2864592946</v>
      </c>
      <c r="I76" s="37">
        <f>SUM(I7:I75)</f>
        <v>963536.04364626505</v>
      </c>
      <c r="J76" s="70">
        <f>SUM(J7:J75)</f>
        <v>44351.433180635453</v>
      </c>
      <c r="K76" s="56">
        <f t="shared" ref="K76:T76" si="82">SUM(K7:K75)</f>
        <v>1007887.4768269005</v>
      </c>
      <c r="L76" s="364">
        <f t="shared" si="82"/>
        <v>4357797.7632861957</v>
      </c>
      <c r="M76" s="36">
        <f t="shared" si="82"/>
        <v>-10894.494408215489</v>
      </c>
      <c r="N76" s="348">
        <f t="shared" si="82"/>
        <v>4346903.2688779794</v>
      </c>
      <c r="O76" s="36">
        <f t="shared" si="82"/>
        <v>0</v>
      </c>
      <c r="P76" s="354">
        <f t="shared" si="82"/>
        <v>4346903.2688779794</v>
      </c>
      <c r="Q76" s="70">
        <f t="shared" si="82"/>
        <v>2830324</v>
      </c>
      <c r="R76" s="70">
        <f t="shared" si="82"/>
        <v>1516579.2688779796</v>
      </c>
      <c r="S76" s="354">
        <f t="shared" si="82"/>
        <v>379145</v>
      </c>
      <c r="T76" s="354">
        <f t="shared" si="82"/>
        <v>4346903.2688779794</v>
      </c>
      <c r="U76" s="83">
        <f>'Table 5C1A-Madison Prep'!U76</f>
        <v>4703</v>
      </c>
      <c r="V76" s="330">
        <f t="shared" ref="V76:AK76" si="83">SUM(V7:V75)</f>
        <v>3099349</v>
      </c>
      <c r="W76" s="1001">
        <f t="shared" si="83"/>
        <v>193</v>
      </c>
      <c r="X76" s="75">
        <f t="shared" si="83"/>
        <v>891467</v>
      </c>
      <c r="Y76" s="74">
        <f t="shared" si="83"/>
        <v>18</v>
      </c>
      <c r="Z76" s="75">
        <f t="shared" si="83"/>
        <v>42169.5</v>
      </c>
      <c r="AA76" s="63">
        <f t="shared" si="83"/>
        <v>933636.5</v>
      </c>
      <c r="AB76" s="332">
        <f t="shared" si="83"/>
        <v>4032985.5</v>
      </c>
      <c r="AC76" s="37">
        <f t="shared" si="83"/>
        <v>-10082.463750000001</v>
      </c>
      <c r="AD76" s="330">
        <f t="shared" si="83"/>
        <v>4022903.0362499999</v>
      </c>
      <c r="AE76" s="85">
        <f t="shared" si="83"/>
        <v>0</v>
      </c>
      <c r="AF76" s="330">
        <f t="shared" si="83"/>
        <v>4022903.0362499999</v>
      </c>
      <c r="AG76" s="75">
        <f t="shared" si="83"/>
        <v>2581377</v>
      </c>
      <c r="AH76" s="75">
        <f t="shared" si="83"/>
        <v>1441526.0362499999</v>
      </c>
      <c r="AI76" s="330">
        <f t="shared" si="83"/>
        <v>360380</v>
      </c>
      <c r="AJ76" s="339">
        <f t="shared" si="83"/>
        <v>8369806.3051279802</v>
      </c>
      <c r="AK76" s="339">
        <f t="shared" si="83"/>
        <v>739525</v>
      </c>
      <c r="AM76" s="36">
        <f>SUM(AM7:AM75)</f>
        <v>-7657.7875000000004</v>
      </c>
      <c r="AN76" s="36">
        <f>SUM(AN7:AN75)</f>
        <v>-10082.463750000001</v>
      </c>
      <c r="AO76" s="36">
        <f>SUM(AO7:AO75)</f>
        <v>-2424.67625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90"/>
      <c r="J77" s="222"/>
      <c r="K77" s="222"/>
      <c r="L77" s="220"/>
      <c r="M77" s="222"/>
      <c r="N77" s="220"/>
      <c r="O77" s="220"/>
      <c r="P77" s="295">
        <f>'Table 4 Level 4'!$E94</f>
        <v>0</v>
      </c>
      <c r="Q77" s="222">
        <f>'[2]Table 5C1H-Southwest LA Charter'!S77+'[14]Table 5C1H-Southwest LA Charter'!S77+(6*'[20]Table 5C1H-Southwest LA Charter'!S77)</f>
        <v>0</v>
      </c>
      <c r="R77" s="222">
        <f t="shared" ref="R77" si="84">+P77-Q77</f>
        <v>0</v>
      </c>
      <c r="S77" s="295">
        <f t="shared" ref="S77:S81" si="85">ROUND(R77/$S$88,0)</f>
        <v>0</v>
      </c>
      <c r="T77" s="295">
        <f>'Table 4 Level 4'!$E94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86">T77+AF77</f>
        <v>0</v>
      </c>
      <c r="AK77" s="321">
        <f t="shared" ref="AK77:AK81" si="87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90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4'!$J94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86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90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4'!$L94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86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90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4'!$M94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86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302"/>
      <c r="J81" s="217"/>
      <c r="K81" s="217"/>
      <c r="L81" s="215"/>
      <c r="M81" s="217"/>
      <c r="N81" s="215"/>
      <c r="O81" s="215"/>
      <c r="P81" s="353">
        <f>'Table 4 Level 4'!O94</f>
        <v>1924</v>
      </c>
      <c r="Q81" s="217">
        <f>'[2]Table 5C1H-Southwest LA Charter'!S81+'[14]Table 5C1H-Southwest LA Charter'!S81+(6*'[20]Table 5C1H-Southwest LA Charter'!S81)</f>
        <v>1280</v>
      </c>
      <c r="R81" s="217">
        <f t="shared" ref="R81" si="88">+P81-Q81</f>
        <v>644</v>
      </c>
      <c r="S81" s="353">
        <f t="shared" si="85"/>
        <v>161</v>
      </c>
      <c r="T81" s="353">
        <f>P81</f>
        <v>1924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86"/>
        <v>1924</v>
      </c>
      <c r="AK81" s="322">
        <f t="shared" si="87"/>
        <v>161</v>
      </c>
    </row>
    <row r="82" spans="1:37" ht="16.149999999999999" customHeight="1" thickBot="1">
      <c r="A82" s="1442" t="s">
        <v>710</v>
      </c>
      <c r="B82" s="1415"/>
      <c r="C82" s="136">
        <f>SUM(C76:C81)</f>
        <v>671</v>
      </c>
      <c r="D82" s="128">
        <f t="shared" ref="D82:AK82" si="89">SUM(D76:D81)</f>
        <v>4479.9292126977662</v>
      </c>
      <c r="E82" s="128">
        <f t="shared" si="89"/>
        <v>2941915.4464592948</v>
      </c>
      <c r="F82" s="128">
        <f t="shared" si="89"/>
        <v>704.64781030742063</v>
      </c>
      <c r="G82" s="128">
        <f t="shared" si="89"/>
        <v>407994.84</v>
      </c>
      <c r="H82" s="128">
        <f t="shared" si="89"/>
        <v>3349910.2864592946</v>
      </c>
      <c r="I82" s="134">
        <f t="shared" si="89"/>
        <v>963536.04364626505</v>
      </c>
      <c r="J82" s="133">
        <f t="shared" si="89"/>
        <v>44351.433180635453</v>
      </c>
      <c r="K82" s="133">
        <f t="shared" si="89"/>
        <v>1007887.4768269005</v>
      </c>
      <c r="L82" s="128">
        <f t="shared" si="89"/>
        <v>4357797.7632861957</v>
      </c>
      <c r="M82" s="133">
        <f t="shared" si="89"/>
        <v>-10894.494408215489</v>
      </c>
      <c r="N82" s="128">
        <f t="shared" si="89"/>
        <v>4346903.2688779794</v>
      </c>
      <c r="O82" s="130">
        <f t="shared" si="89"/>
        <v>0</v>
      </c>
      <c r="P82" s="355">
        <f t="shared" si="89"/>
        <v>4348827.2688779794</v>
      </c>
      <c r="Q82" s="133">
        <f t="shared" si="89"/>
        <v>2831604</v>
      </c>
      <c r="R82" s="133">
        <f t="shared" si="89"/>
        <v>1517223.2688779796</v>
      </c>
      <c r="S82" s="355">
        <f t="shared" si="89"/>
        <v>379306</v>
      </c>
      <c r="T82" s="355">
        <f t="shared" si="89"/>
        <v>4348827.2688779794</v>
      </c>
      <c r="U82" s="137">
        <f t="shared" si="89"/>
        <v>4703</v>
      </c>
      <c r="V82" s="134">
        <f t="shared" si="89"/>
        <v>3099349</v>
      </c>
      <c r="W82" s="136">
        <f t="shared" si="89"/>
        <v>193</v>
      </c>
      <c r="X82" s="134">
        <f t="shared" si="89"/>
        <v>891467</v>
      </c>
      <c r="Y82" s="136">
        <f t="shared" si="89"/>
        <v>18</v>
      </c>
      <c r="Z82" s="134">
        <f t="shared" si="89"/>
        <v>42169.5</v>
      </c>
      <c r="AA82" s="134">
        <f t="shared" si="89"/>
        <v>933636.5</v>
      </c>
      <c r="AB82" s="134">
        <f t="shared" si="89"/>
        <v>4032985.5</v>
      </c>
      <c r="AC82" s="134">
        <f t="shared" si="89"/>
        <v>-10082.463750000001</v>
      </c>
      <c r="AD82" s="134">
        <f t="shared" si="89"/>
        <v>4022903.0362499999</v>
      </c>
      <c r="AE82" s="134">
        <f t="shared" si="89"/>
        <v>0</v>
      </c>
      <c r="AF82" s="134">
        <f t="shared" si="89"/>
        <v>4022903.0362499999</v>
      </c>
      <c r="AG82" s="134">
        <f t="shared" si="89"/>
        <v>2581377</v>
      </c>
      <c r="AH82" s="134">
        <f t="shared" si="89"/>
        <v>1441526.0362499999</v>
      </c>
      <c r="AI82" s="134">
        <f t="shared" si="89"/>
        <v>360380</v>
      </c>
      <c r="AJ82" s="320">
        <f t="shared" si="89"/>
        <v>8371730.3051279802</v>
      </c>
      <c r="AK82" s="320">
        <f t="shared" si="89"/>
        <v>739686</v>
      </c>
    </row>
    <row r="83" spans="1:37" ht="16.149999999999999" hidden="1" customHeight="1" thickTop="1">
      <c r="C83" s="727"/>
      <c r="I83" s="627"/>
      <c r="J83" s="627"/>
      <c r="K83" s="627"/>
      <c r="W83" s="727"/>
      <c r="Y83" s="727"/>
    </row>
    <row r="84" spans="1:37" ht="16.149999999999999" hidden="1" customHeight="1">
      <c r="C84" s="727"/>
      <c r="I84" s="627"/>
      <c r="J84" s="627"/>
      <c r="K84" s="627"/>
      <c r="M84" s="627">
        <v>-8374.7757161482368</v>
      </c>
      <c r="N84" s="427" t="s">
        <v>1044</v>
      </c>
      <c r="W84" s="727"/>
      <c r="Y84" s="727"/>
    </row>
    <row r="85" spans="1:37" ht="16.149999999999999" hidden="1" customHeight="1">
      <c r="C85" s="727"/>
      <c r="I85" s="627"/>
      <c r="J85" s="627"/>
      <c r="K85" s="627"/>
      <c r="M85" s="627">
        <f>M82-M84</f>
        <v>-2519.7186920672521</v>
      </c>
      <c r="N85" s="427" t="s">
        <v>1045</v>
      </c>
      <c r="W85" s="727"/>
      <c r="Y85" s="727"/>
    </row>
    <row r="86" spans="1:37" ht="16.149999999999999" hidden="1" customHeight="1">
      <c r="C86" s="727"/>
      <c r="I86" s="627"/>
      <c r="J86" s="627"/>
      <c r="K86" s="627"/>
      <c r="M86" s="627"/>
      <c r="W86" s="727"/>
      <c r="Y86" s="727"/>
    </row>
    <row r="87" spans="1:37" ht="16.149999999999999" hidden="1" customHeight="1">
      <c r="C87" s="727"/>
      <c r="I87" s="627"/>
      <c r="J87" s="627"/>
      <c r="K87" s="627"/>
      <c r="M87" s="627"/>
      <c r="W87" s="727"/>
      <c r="Y87" s="727"/>
    </row>
    <row r="88" spans="1:37" ht="16.149999999999999" hidden="1" customHeight="1">
      <c r="C88" s="727"/>
      <c r="M88" s="627"/>
      <c r="R88" s="427" t="str">
        <f>'Table 2_State Distrib and Adjs'!$AK$77</f>
        <v>Monthly Pmts Remaining</v>
      </c>
      <c r="S88" s="427">
        <f>'Table 2_State Distrib and Adjs'!$AL$77</f>
        <v>4</v>
      </c>
      <c r="AH88" s="427" t="str">
        <f>'Table 2_State Distrib and Adjs'!$AK$77</f>
        <v>Monthly Pmts Remaining</v>
      </c>
      <c r="AI88" s="427">
        <f>'Table 2_State Distrib and Adjs'!$AL$77</f>
        <v>4</v>
      </c>
    </row>
    <row r="89" spans="1:37" ht="16.149999999999999" customHeight="1" thickTop="1"/>
    <row r="90" spans="1:37" ht="16.149999999999999" customHeight="1"/>
    <row r="98" ht="13.9" customHeight="1"/>
  </sheetData>
  <mergeCells count="43">
    <mergeCell ref="W2:AA2"/>
    <mergeCell ref="X3:X4"/>
    <mergeCell ref="Y3:Y4"/>
    <mergeCell ref="Z3:Z4"/>
    <mergeCell ref="AI3:AI4"/>
    <mergeCell ref="AG3:AG4"/>
    <mergeCell ref="AH3:AH4"/>
    <mergeCell ref="AC1:AI1"/>
    <mergeCell ref="AJ1:AJ4"/>
    <mergeCell ref="AK1:AK4"/>
    <mergeCell ref="AD3:AD4"/>
    <mergeCell ref="AE3:AE4"/>
    <mergeCell ref="AF3:AF4"/>
    <mergeCell ref="P3:P4"/>
    <mergeCell ref="S3:S4"/>
    <mergeCell ref="C3:C4"/>
    <mergeCell ref="D3:D4"/>
    <mergeCell ref="E3:E4"/>
    <mergeCell ref="F3:F4"/>
    <mergeCell ref="G3:G4"/>
    <mergeCell ref="U3:U4"/>
    <mergeCell ref="A1:B4"/>
    <mergeCell ref="I2:K2"/>
    <mergeCell ref="I3:I4"/>
    <mergeCell ref="J3:J4"/>
    <mergeCell ref="K3:K4"/>
    <mergeCell ref="L3:L4"/>
    <mergeCell ref="C1:L1"/>
    <mergeCell ref="U1:AB1"/>
    <mergeCell ref="AB3:AB4"/>
    <mergeCell ref="T3:T4"/>
    <mergeCell ref="M1:T1"/>
    <mergeCell ref="W3:W4"/>
    <mergeCell ref="H3:H4"/>
    <mergeCell ref="N3:N4"/>
    <mergeCell ref="O3:O4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5C1-H: FY2014-15 MFP Budget Letter (March 2015)
Southwest LA Charter Academy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bestFit="1" customWidth="1"/>
    <col min="4" max="4" width="13.7109375" style="784" bestFit="1" customWidth="1"/>
    <col min="5" max="5" width="9.85546875" style="784" bestFit="1" customWidth="1"/>
    <col min="6" max="7" width="12.28515625" style="784" bestFit="1" customWidth="1"/>
    <col min="8" max="8" width="11.5703125" style="784" bestFit="1" customWidth="1"/>
    <col min="9" max="12" width="11.85546875" style="784" bestFit="1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4.5703125" style="784" customWidth="1"/>
    <col min="23" max="24" width="15.28515625" style="784" customWidth="1"/>
    <col min="25" max="27" width="11.7109375" style="784" customWidth="1"/>
    <col min="28" max="28" width="14.42578125" style="784" bestFit="1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3" width="9.5703125" style="784" bestFit="1" customWidth="1"/>
    <col min="34" max="34" width="9.28515625" style="784" bestFit="1" customWidth="1"/>
    <col min="35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405</v>
      </c>
      <c r="B1" s="1577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578"/>
      <c r="B2" s="1579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P5" si="1">E5+1</f>
        <v>4</v>
      </c>
      <c r="G5" s="23">
        <f t="shared" si="1"/>
        <v>5</v>
      </c>
      <c r="H5" s="23">
        <f t="shared" si="1"/>
        <v>6</v>
      </c>
      <c r="I5" s="23">
        <f t="shared" ref="I5" si="2">H5+1</f>
        <v>7</v>
      </c>
      <c r="J5" s="23">
        <f t="shared" ref="J5" si="3">I5+1</f>
        <v>8</v>
      </c>
      <c r="K5" s="23">
        <f t="shared" ref="K5" si="4">J5+1</f>
        <v>9</v>
      </c>
      <c r="L5" s="23">
        <f t="shared" ref="L5" si="5">K5+1</f>
        <v>10</v>
      </c>
      <c r="M5" s="23">
        <f t="shared" ref="M5" si="6">L5+1</f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ref="Q5" si="7">P5+1</f>
        <v>15</v>
      </c>
      <c r="R5" s="23">
        <f t="shared" ref="R5" si="8">Q5+1</f>
        <v>16</v>
      </c>
      <c r="S5" s="23">
        <f t="shared" ref="S5" si="9">R5+1</f>
        <v>17</v>
      </c>
      <c r="T5" s="23">
        <f t="shared" ref="T5" si="10">S5+1</f>
        <v>18</v>
      </c>
      <c r="U5" s="23">
        <f t="shared" ref="U5" si="11">T5+1</f>
        <v>19</v>
      </c>
      <c r="V5" s="23">
        <f t="shared" ref="V5" si="12">U5+1</f>
        <v>20</v>
      </c>
      <c r="W5" s="23">
        <f t="shared" ref="W5" si="13">V5+1</f>
        <v>21</v>
      </c>
      <c r="X5" s="23">
        <f t="shared" ref="X5" si="14">W5+1</f>
        <v>22</v>
      </c>
      <c r="Y5" s="23">
        <f t="shared" ref="Y5" si="15">X5+1</f>
        <v>23</v>
      </c>
      <c r="Z5" s="23">
        <f t="shared" ref="Z5" si="16">Y5+1</f>
        <v>24</v>
      </c>
      <c r="AA5" s="23">
        <f t="shared" ref="AA5" si="17">Z5+1</f>
        <v>25</v>
      </c>
      <c r="AB5" s="23">
        <f t="shared" ref="AB5" si="18">AA5+1</f>
        <v>26</v>
      </c>
      <c r="AC5" s="23">
        <f t="shared" ref="AC5" si="19">AB5+1</f>
        <v>27</v>
      </c>
      <c r="AD5" s="23">
        <f t="shared" ref="AD5" si="20">AC5+1</f>
        <v>28</v>
      </c>
      <c r="AE5" s="23">
        <f t="shared" ref="AE5" si="21">AD5+1</f>
        <v>29</v>
      </c>
      <c r="AF5" s="23">
        <f t="shared" ref="AF5" si="22">AE5+1</f>
        <v>30</v>
      </c>
      <c r="AG5" s="23">
        <f t="shared" ref="AG5" si="23">AF5+1</f>
        <v>31</v>
      </c>
      <c r="AH5" s="23">
        <f t="shared" ref="AH5" si="24">AG5+1</f>
        <v>32</v>
      </c>
      <c r="AI5" s="23">
        <f t="shared" ref="AI5" si="25">AH5+1</f>
        <v>33</v>
      </c>
      <c r="AJ5" s="23">
        <f t="shared" ref="AJ5" si="26">AI5+1</f>
        <v>34</v>
      </c>
      <c r="AK5" s="23">
        <f t="shared" ref="AK5" si="27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2.1.14'!V3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LA Key'!K4</f>
        <v>0</v>
      </c>
      <c r="J7" s="210">
        <f>'[1]Feb midyear LA Key'!K4</f>
        <v>0</v>
      </c>
      <c r="K7" s="211">
        <f>I7+J7</f>
        <v>0</v>
      </c>
      <c r="L7" s="344">
        <f>+H7+K7</f>
        <v>0</v>
      </c>
      <c r="M7" s="273">
        <f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'[2]Table 5C1I-LA Key Academy'!S7+'[14]Table 5C1I-LA Key Academy'!S7+(6*'[20]Table 5C1I-LA Key Academy'!S7)</f>
        <v>0</v>
      </c>
      <c r="R7" s="210">
        <f>+P7-Q7</f>
        <v>0</v>
      </c>
      <c r="S7" s="350">
        <f t="shared" ref="S7:S38" si="28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LA Key'!E4</f>
        <v>0</v>
      </c>
      <c r="X7" s="276">
        <f>+U7*W7</f>
        <v>0</v>
      </c>
      <c r="Y7" s="883">
        <f>'[1]Feb midyear LA Key'!E4</f>
        <v>0</v>
      </c>
      <c r="Z7" s="276">
        <f t="shared" ref="Z7:Z70" si="29">+U7*Y7*0.5</f>
        <v>0</v>
      </c>
      <c r="AA7" s="275">
        <f t="shared" ref="AA7:AA70" si="30">+X7+Z7</f>
        <v>0</v>
      </c>
      <c r="AB7" s="323">
        <f t="shared" ref="AB7:AB70" si="31">+V7+AA7</f>
        <v>0</v>
      </c>
      <c r="AC7" s="278">
        <f t="shared" ref="AC7:AC70" si="32"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'[2]Table 5C1I-LA Key Academy'!AI7+'[14]Table 5C1I-LA Key Academy'!AI7+(6*'[20]Table 5C1I-LA Key Academy'!AI7)</f>
        <v>0</v>
      </c>
      <c r="AH7" s="279">
        <f>+AF7-AG7</f>
        <v>0</v>
      </c>
      <c r="AI7" s="323">
        <f t="shared" ref="AI7:AI38" si="33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34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2.1.14'!V4</f>
        <v>0</v>
      </c>
      <c r="D8" s="201">
        <f>+'Table 5C1A-Madison Prep'!D8</f>
        <v>6316.6266417386641</v>
      </c>
      <c r="E8" s="202">
        <f t="shared" ref="E8:E71" si="35">C8*D8</f>
        <v>0</v>
      </c>
      <c r="F8" s="202">
        <f>+'Table 5C1A-Madison Prep'!F8</f>
        <v>842.32</v>
      </c>
      <c r="G8" s="202">
        <f t="shared" ref="G8:G71" si="36">C8*F8</f>
        <v>0</v>
      </c>
      <c r="H8" s="345">
        <f t="shared" ref="H8:H71" si="37">E8+G8</f>
        <v>0</v>
      </c>
      <c r="I8" s="203">
        <f>'[1]Oct midyear LA Key'!K5</f>
        <v>0</v>
      </c>
      <c r="J8" s="203">
        <f>'[1]Feb midyear LA Key'!K5</f>
        <v>0</v>
      </c>
      <c r="K8" s="204">
        <f t="shared" ref="K8:K71" si="38">I8+J8</f>
        <v>0</v>
      </c>
      <c r="L8" s="345">
        <f t="shared" ref="L8:L71" si="39">+H8+K8</f>
        <v>0</v>
      </c>
      <c r="M8" s="286">
        <f t="shared" ref="M8:M71" si="40">-(0.25%*L8)</f>
        <v>0</v>
      </c>
      <c r="N8" s="345">
        <f t="shared" ref="N8:N71" si="41">SUM(L8:M8)</f>
        <v>0</v>
      </c>
      <c r="O8" s="201">
        <v>0</v>
      </c>
      <c r="P8" s="351">
        <f t="shared" ref="P8:P71" si="42">SUM(N8:O8)</f>
        <v>0</v>
      </c>
      <c r="Q8" s="203">
        <f>'[2]Table 5C1I-LA Key Academy'!S8+'[14]Table 5C1I-LA Key Academy'!S8+(6*'[20]Table 5C1I-LA Key Academy'!S8)</f>
        <v>0</v>
      </c>
      <c r="R8" s="203">
        <f t="shared" ref="R8:R71" si="43">+P8-Q8</f>
        <v>0</v>
      </c>
      <c r="S8" s="351">
        <f t="shared" si="28"/>
        <v>0</v>
      </c>
      <c r="T8" s="351">
        <f t="shared" ref="T8:T71" si="44">+P8</f>
        <v>0</v>
      </c>
      <c r="U8" s="287">
        <f>'Table 5C1A-Madison Prep'!U8</f>
        <v>2786</v>
      </c>
      <c r="V8" s="328">
        <f t="shared" ref="V8:V71" si="45">C8*U8</f>
        <v>0</v>
      </c>
      <c r="W8" s="289">
        <f>'[1]Oct midyear LA Key'!E5</f>
        <v>0</v>
      </c>
      <c r="X8" s="290">
        <f t="shared" ref="X8:X71" si="46">+U8*W8</f>
        <v>0</v>
      </c>
      <c r="Y8" s="289">
        <f>'[1]Feb midyear LA Key'!E5</f>
        <v>0</v>
      </c>
      <c r="Z8" s="290">
        <f t="shared" si="29"/>
        <v>0</v>
      </c>
      <c r="AA8" s="288">
        <f t="shared" si="30"/>
        <v>0</v>
      </c>
      <c r="AB8" s="324">
        <f t="shared" si="31"/>
        <v>0</v>
      </c>
      <c r="AC8" s="292">
        <f t="shared" si="32"/>
        <v>0</v>
      </c>
      <c r="AD8" s="324">
        <f t="shared" ref="AD8:AD71" si="47">SUM(AB8:AC8)</f>
        <v>0</v>
      </c>
      <c r="AE8" s="293">
        <v>0</v>
      </c>
      <c r="AF8" s="324">
        <f t="shared" ref="AF8:AF71" si="48">SUM(AD8:AE8)</f>
        <v>0</v>
      </c>
      <c r="AG8" s="293">
        <f>'[2]Table 5C1I-LA Key Academy'!AI8+'[14]Table 5C1I-LA Key Academy'!AI8+(6*'[20]Table 5C1I-LA Key Academy'!AI8)</f>
        <v>0</v>
      </c>
      <c r="AH8" s="293">
        <f t="shared" ref="AH8:AH71" si="49">+AF8-AG8</f>
        <v>0</v>
      </c>
      <c r="AI8" s="324">
        <f t="shared" si="33"/>
        <v>0</v>
      </c>
      <c r="AJ8" s="321">
        <f t="shared" ref="AJ8:AJ71" si="50">T8+AF8</f>
        <v>0</v>
      </c>
      <c r="AK8" s="342">
        <f t="shared" ref="AK8:AK71" si="51">S8+AI8</f>
        <v>0</v>
      </c>
      <c r="AM8" s="286">
        <v>0</v>
      </c>
      <c r="AN8" s="286">
        <f t="shared" ref="AN8:AN71" si="52">+AC8</f>
        <v>0</v>
      </c>
      <c r="AO8" s="286">
        <f t="shared" si="34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2.1.14'!V5</f>
        <v>8</v>
      </c>
      <c r="D9" s="201">
        <f>+'Table 5C1A-Madison Prep'!D9</f>
        <v>4155.1862027396819</v>
      </c>
      <c r="E9" s="202">
        <f t="shared" si="35"/>
        <v>33241.489621917455</v>
      </c>
      <c r="F9" s="202">
        <f>+'Table 5C1A-Madison Prep'!F9</f>
        <v>596.84</v>
      </c>
      <c r="G9" s="202">
        <f t="shared" si="36"/>
        <v>4774.72</v>
      </c>
      <c r="H9" s="345">
        <f t="shared" si="37"/>
        <v>38016.209621917456</v>
      </c>
      <c r="I9" s="203">
        <f>'[1]Oct midyear LA Key'!K6</f>
        <v>19008.104810958728</v>
      </c>
      <c r="J9" s="203">
        <f>'[1]Feb midyear LA Key'!K6</f>
        <v>0</v>
      </c>
      <c r="K9" s="204">
        <f t="shared" si="38"/>
        <v>19008.104810958728</v>
      </c>
      <c r="L9" s="345">
        <f t="shared" si="39"/>
        <v>57024.314432876185</v>
      </c>
      <c r="M9" s="286">
        <f t="shared" si="40"/>
        <v>-142.56078608219048</v>
      </c>
      <c r="N9" s="345">
        <f t="shared" si="41"/>
        <v>56881.753646793994</v>
      </c>
      <c r="O9" s="201">
        <v>0</v>
      </c>
      <c r="P9" s="351">
        <f t="shared" si="42"/>
        <v>56881.753646793994</v>
      </c>
      <c r="Q9" s="203">
        <f>'[2]Table 5C1I-LA Key Academy'!S9+'[14]Table 5C1I-LA Key Academy'!S9+(6*'[20]Table 5C1I-LA Key Academy'!S9)</f>
        <v>36656</v>
      </c>
      <c r="R9" s="203">
        <f t="shared" si="43"/>
        <v>20225.753646793994</v>
      </c>
      <c r="S9" s="351">
        <f t="shared" si="28"/>
        <v>5056</v>
      </c>
      <c r="T9" s="351">
        <f t="shared" si="44"/>
        <v>56881.753646793994</v>
      </c>
      <c r="U9" s="287">
        <f>'Table 5C1A-Madison Prep'!U9</f>
        <v>5927</v>
      </c>
      <c r="V9" s="328">
        <f t="shared" si="45"/>
        <v>47416</v>
      </c>
      <c r="W9" s="289">
        <f>'[1]Oct midyear LA Key'!E6</f>
        <v>4</v>
      </c>
      <c r="X9" s="290">
        <f t="shared" si="46"/>
        <v>23708</v>
      </c>
      <c r="Y9" s="289">
        <f>'[1]Feb midyear LA Key'!E6</f>
        <v>0</v>
      </c>
      <c r="Z9" s="290">
        <f t="shared" si="29"/>
        <v>0</v>
      </c>
      <c r="AA9" s="288">
        <f t="shared" si="30"/>
        <v>23708</v>
      </c>
      <c r="AB9" s="324">
        <f t="shared" si="31"/>
        <v>71124</v>
      </c>
      <c r="AC9" s="292">
        <f t="shared" si="32"/>
        <v>-177.81</v>
      </c>
      <c r="AD9" s="324">
        <f t="shared" si="47"/>
        <v>70946.19</v>
      </c>
      <c r="AE9" s="293">
        <v>0</v>
      </c>
      <c r="AF9" s="324">
        <f t="shared" si="48"/>
        <v>70946.19</v>
      </c>
      <c r="AG9" s="293">
        <f>'[2]Table 5C1I-LA Key Academy'!AI9+'[14]Table 5C1I-LA Key Academy'!AI9+(6*'[20]Table 5C1I-LA Key Academy'!AI9)</f>
        <v>44508</v>
      </c>
      <c r="AH9" s="293">
        <f t="shared" si="49"/>
        <v>26438.190000000002</v>
      </c>
      <c r="AI9" s="324">
        <f t="shared" si="33"/>
        <v>6610</v>
      </c>
      <c r="AJ9" s="321">
        <f t="shared" si="50"/>
        <v>127827.943646794</v>
      </c>
      <c r="AK9" s="342">
        <f t="shared" si="51"/>
        <v>11666</v>
      </c>
      <c r="AM9" s="286">
        <v>-115.4</v>
      </c>
      <c r="AN9" s="286">
        <f t="shared" si="52"/>
        <v>-177.81</v>
      </c>
      <c r="AO9" s="286">
        <f t="shared" si="34"/>
        <v>-62.41</v>
      </c>
    </row>
    <row r="10" spans="1:41" ht="16.149999999999999" customHeight="1">
      <c r="A10" s="198">
        <v>4</v>
      </c>
      <c r="B10" s="199" t="s">
        <v>76</v>
      </c>
      <c r="C10" s="995">
        <f>+'Table 8 Membership 2.1.14'!V6</f>
        <v>0</v>
      </c>
      <c r="D10" s="201">
        <f>+'Table 5C1A-Madison Prep'!D10</f>
        <v>6119.0581446878568</v>
      </c>
      <c r="E10" s="202">
        <f t="shared" si="35"/>
        <v>0</v>
      </c>
      <c r="F10" s="202">
        <f>+'Table 5C1A-Madison Prep'!F10</f>
        <v>585.76</v>
      </c>
      <c r="G10" s="202">
        <f t="shared" si="36"/>
        <v>0</v>
      </c>
      <c r="H10" s="345">
        <f t="shared" si="37"/>
        <v>0</v>
      </c>
      <c r="I10" s="203">
        <f>'[1]Oct midyear LA Key'!K7</f>
        <v>0</v>
      </c>
      <c r="J10" s="203">
        <f>'[1]Feb midyear LA Key'!K7</f>
        <v>0</v>
      </c>
      <c r="K10" s="204">
        <f t="shared" si="38"/>
        <v>0</v>
      </c>
      <c r="L10" s="345">
        <f t="shared" si="39"/>
        <v>0</v>
      </c>
      <c r="M10" s="286">
        <f t="shared" si="40"/>
        <v>0</v>
      </c>
      <c r="N10" s="345">
        <f t="shared" si="41"/>
        <v>0</v>
      </c>
      <c r="O10" s="201">
        <v>0</v>
      </c>
      <c r="P10" s="351">
        <f t="shared" si="42"/>
        <v>0</v>
      </c>
      <c r="Q10" s="203">
        <f>'[2]Table 5C1I-LA Key Academy'!S10+'[14]Table 5C1I-LA Key Academy'!S10+(6*'[20]Table 5C1I-LA Key Academy'!S10)</f>
        <v>0</v>
      </c>
      <c r="R10" s="203">
        <f t="shared" si="43"/>
        <v>0</v>
      </c>
      <c r="S10" s="351">
        <f t="shared" si="28"/>
        <v>0</v>
      </c>
      <c r="T10" s="351">
        <f t="shared" si="44"/>
        <v>0</v>
      </c>
      <c r="U10" s="287">
        <f>'Table 5C1A-Madison Prep'!U10</f>
        <v>4203</v>
      </c>
      <c r="V10" s="328">
        <f t="shared" si="45"/>
        <v>0</v>
      </c>
      <c r="W10" s="289">
        <f>'[1]Oct midyear LA Key'!E7</f>
        <v>0</v>
      </c>
      <c r="X10" s="290">
        <f t="shared" si="46"/>
        <v>0</v>
      </c>
      <c r="Y10" s="289">
        <f>'[1]Feb midyear LA Key'!E7</f>
        <v>0</v>
      </c>
      <c r="Z10" s="290">
        <f t="shared" si="29"/>
        <v>0</v>
      </c>
      <c r="AA10" s="288">
        <f t="shared" si="30"/>
        <v>0</v>
      </c>
      <c r="AB10" s="324">
        <f t="shared" si="31"/>
        <v>0</v>
      </c>
      <c r="AC10" s="292">
        <f t="shared" si="32"/>
        <v>0</v>
      </c>
      <c r="AD10" s="324">
        <f t="shared" si="47"/>
        <v>0</v>
      </c>
      <c r="AE10" s="293">
        <v>0</v>
      </c>
      <c r="AF10" s="324">
        <f t="shared" si="48"/>
        <v>0</v>
      </c>
      <c r="AG10" s="293">
        <f>'[2]Table 5C1I-LA Key Academy'!AI10+'[14]Table 5C1I-LA Key Academy'!AI10+(6*'[20]Table 5C1I-LA Key Academy'!AI10)</f>
        <v>0</v>
      </c>
      <c r="AH10" s="293">
        <f t="shared" si="49"/>
        <v>0</v>
      </c>
      <c r="AI10" s="324">
        <f t="shared" si="33"/>
        <v>0</v>
      </c>
      <c r="AJ10" s="321">
        <f t="shared" si="50"/>
        <v>0</v>
      </c>
      <c r="AK10" s="342">
        <f t="shared" si="51"/>
        <v>0</v>
      </c>
      <c r="AM10" s="286">
        <v>0</v>
      </c>
      <c r="AN10" s="286">
        <f t="shared" si="52"/>
        <v>0</v>
      </c>
      <c r="AO10" s="286">
        <f t="shared" si="34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2.1.14'!V7</f>
        <v>0</v>
      </c>
      <c r="D11" s="194">
        <f>+'Table 5C1A-Madison Prep'!D11</f>
        <v>5268.940566009911</v>
      </c>
      <c r="E11" s="195">
        <f t="shared" si="35"/>
        <v>0</v>
      </c>
      <c r="F11" s="195">
        <f>+'Table 5C1A-Madison Prep'!F11</f>
        <v>555.91</v>
      </c>
      <c r="G11" s="195">
        <f t="shared" si="36"/>
        <v>0</v>
      </c>
      <c r="H11" s="346">
        <f t="shared" si="37"/>
        <v>0</v>
      </c>
      <c r="I11" s="196">
        <f>'[1]Oct midyear LA Key'!K8</f>
        <v>0</v>
      </c>
      <c r="J11" s="196">
        <f>'[1]Feb midyear LA Key'!K8</f>
        <v>0</v>
      </c>
      <c r="K11" s="197">
        <f t="shared" si="38"/>
        <v>0</v>
      </c>
      <c r="L11" s="346">
        <f t="shared" si="39"/>
        <v>0</v>
      </c>
      <c r="M11" s="296">
        <f t="shared" si="40"/>
        <v>0</v>
      </c>
      <c r="N11" s="346">
        <f t="shared" si="41"/>
        <v>0</v>
      </c>
      <c r="O11" s="194">
        <v>0</v>
      </c>
      <c r="P11" s="352">
        <f t="shared" si="42"/>
        <v>0</v>
      </c>
      <c r="Q11" s="196">
        <f>'[2]Table 5C1I-LA Key Academy'!S11+'[14]Table 5C1I-LA Key Academy'!S11+(6*'[20]Table 5C1I-LA Key Academy'!S11)</f>
        <v>0</v>
      </c>
      <c r="R11" s="196">
        <f t="shared" si="43"/>
        <v>0</v>
      </c>
      <c r="S11" s="352">
        <f t="shared" si="28"/>
        <v>0</v>
      </c>
      <c r="T11" s="352">
        <f t="shared" si="44"/>
        <v>0</v>
      </c>
      <c r="U11" s="281">
        <f>'Table 5C1A-Madison Prep'!U11</f>
        <v>1923</v>
      </c>
      <c r="V11" s="329">
        <f t="shared" si="45"/>
        <v>0</v>
      </c>
      <c r="W11" s="884">
        <f>'[1]Oct midyear LA Key'!E8</f>
        <v>0</v>
      </c>
      <c r="X11" s="282">
        <f t="shared" si="46"/>
        <v>0</v>
      </c>
      <c r="Y11" s="884">
        <f>'[1]Feb midyear LA Key'!E8</f>
        <v>0</v>
      </c>
      <c r="Z11" s="282">
        <f t="shared" si="29"/>
        <v>0</v>
      </c>
      <c r="AA11" s="283">
        <f t="shared" si="30"/>
        <v>0</v>
      </c>
      <c r="AB11" s="325">
        <f t="shared" si="31"/>
        <v>0</v>
      </c>
      <c r="AC11" s="298">
        <f t="shared" si="32"/>
        <v>0</v>
      </c>
      <c r="AD11" s="325">
        <f t="shared" si="47"/>
        <v>0</v>
      </c>
      <c r="AE11" s="284">
        <v>0</v>
      </c>
      <c r="AF11" s="325">
        <f t="shared" si="48"/>
        <v>0</v>
      </c>
      <c r="AG11" s="284">
        <f>'[2]Table 5C1I-LA Key Academy'!AI11+'[14]Table 5C1I-LA Key Academy'!AI11+(6*'[20]Table 5C1I-LA Key Academy'!AI11)</f>
        <v>0</v>
      </c>
      <c r="AH11" s="284">
        <f t="shared" si="49"/>
        <v>0</v>
      </c>
      <c r="AI11" s="325">
        <f t="shared" si="33"/>
        <v>0</v>
      </c>
      <c r="AJ11" s="338">
        <f t="shared" si="50"/>
        <v>0</v>
      </c>
      <c r="AK11" s="343">
        <f t="shared" si="51"/>
        <v>0</v>
      </c>
      <c r="AM11" s="296">
        <v>0</v>
      </c>
      <c r="AN11" s="296">
        <f t="shared" si="52"/>
        <v>0</v>
      </c>
      <c r="AO11" s="296">
        <f t="shared" si="34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2.1.14'!V8</f>
        <v>0</v>
      </c>
      <c r="D12" s="208">
        <f>+'Table 5C1A-Madison Prep'!D12</f>
        <v>5378.5086124955869</v>
      </c>
      <c r="E12" s="209">
        <f t="shared" si="35"/>
        <v>0</v>
      </c>
      <c r="F12" s="209">
        <f>+'Table 5C1A-Madison Prep'!F12</f>
        <v>545.4799999999999</v>
      </c>
      <c r="G12" s="209">
        <f t="shared" si="36"/>
        <v>0</v>
      </c>
      <c r="H12" s="344">
        <f t="shared" si="37"/>
        <v>0</v>
      </c>
      <c r="I12" s="210">
        <f>'[1]Oct midyear LA Key'!K9</f>
        <v>0</v>
      </c>
      <c r="J12" s="210">
        <f>'[1]Feb midyear LA Key'!K9</f>
        <v>0</v>
      </c>
      <c r="K12" s="211">
        <f t="shared" si="38"/>
        <v>0</v>
      </c>
      <c r="L12" s="344">
        <f t="shared" si="39"/>
        <v>0</v>
      </c>
      <c r="M12" s="273">
        <f t="shared" si="40"/>
        <v>0</v>
      </c>
      <c r="N12" s="344">
        <f t="shared" si="41"/>
        <v>0</v>
      </c>
      <c r="O12" s="208">
        <v>0</v>
      </c>
      <c r="P12" s="350">
        <f t="shared" si="42"/>
        <v>0</v>
      </c>
      <c r="Q12" s="210">
        <f>'[2]Table 5C1I-LA Key Academy'!S12+'[14]Table 5C1I-LA Key Academy'!S12+(6*'[20]Table 5C1I-LA Key Academy'!S12)</f>
        <v>0</v>
      </c>
      <c r="R12" s="210">
        <f t="shared" si="43"/>
        <v>0</v>
      </c>
      <c r="S12" s="350">
        <f t="shared" si="28"/>
        <v>0</v>
      </c>
      <c r="T12" s="350">
        <f t="shared" si="44"/>
        <v>0</v>
      </c>
      <c r="U12" s="274">
        <f>'Table 5C1A-Madison Prep'!U12</f>
        <v>4057</v>
      </c>
      <c r="V12" s="327">
        <f t="shared" si="45"/>
        <v>0</v>
      </c>
      <c r="W12" s="883">
        <f>'[1]Oct midyear LA Key'!E9</f>
        <v>0</v>
      </c>
      <c r="X12" s="276">
        <f t="shared" si="46"/>
        <v>0</v>
      </c>
      <c r="Y12" s="883">
        <f>'[1]Feb midyear LA Key'!E9</f>
        <v>0</v>
      </c>
      <c r="Z12" s="276">
        <f t="shared" si="29"/>
        <v>0</v>
      </c>
      <c r="AA12" s="275">
        <f t="shared" si="30"/>
        <v>0</v>
      </c>
      <c r="AB12" s="323">
        <f t="shared" si="31"/>
        <v>0</v>
      </c>
      <c r="AC12" s="278">
        <f t="shared" si="32"/>
        <v>0</v>
      </c>
      <c r="AD12" s="323">
        <f t="shared" si="47"/>
        <v>0</v>
      </c>
      <c r="AE12" s="279">
        <v>0</v>
      </c>
      <c r="AF12" s="323">
        <f t="shared" si="48"/>
        <v>0</v>
      </c>
      <c r="AG12" s="279">
        <f>'[2]Table 5C1I-LA Key Academy'!AI12+'[14]Table 5C1I-LA Key Academy'!AI12+(6*'[20]Table 5C1I-LA Key Academy'!AI12)</f>
        <v>0</v>
      </c>
      <c r="AH12" s="279">
        <f t="shared" si="49"/>
        <v>0</v>
      </c>
      <c r="AI12" s="323">
        <f t="shared" si="33"/>
        <v>0</v>
      </c>
      <c r="AJ12" s="337">
        <f t="shared" si="50"/>
        <v>0</v>
      </c>
      <c r="AK12" s="341">
        <f t="shared" si="51"/>
        <v>0</v>
      </c>
      <c r="AM12" s="273">
        <v>0</v>
      </c>
      <c r="AN12" s="273">
        <f t="shared" si="52"/>
        <v>0</v>
      </c>
      <c r="AO12" s="273">
        <f t="shared" si="34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2.1.14'!V9</f>
        <v>0</v>
      </c>
      <c r="D13" s="201">
        <f>+'Table 5C1A-Madison Prep'!D13</f>
        <v>2243.0031963470319</v>
      </c>
      <c r="E13" s="202">
        <f t="shared" si="35"/>
        <v>0</v>
      </c>
      <c r="F13" s="202">
        <f>+'Table 5C1A-Madison Prep'!F13</f>
        <v>756.91999999999985</v>
      </c>
      <c r="G13" s="202">
        <f t="shared" si="36"/>
        <v>0</v>
      </c>
      <c r="H13" s="345">
        <f t="shared" si="37"/>
        <v>0</v>
      </c>
      <c r="I13" s="203">
        <f>'[1]Oct midyear LA Key'!K10</f>
        <v>0</v>
      </c>
      <c r="J13" s="203">
        <f>'[1]Feb midyear LA Key'!K10</f>
        <v>0</v>
      </c>
      <c r="K13" s="204">
        <f t="shared" si="38"/>
        <v>0</v>
      </c>
      <c r="L13" s="345">
        <f t="shared" si="39"/>
        <v>0</v>
      </c>
      <c r="M13" s="286">
        <f t="shared" si="40"/>
        <v>0</v>
      </c>
      <c r="N13" s="345">
        <f t="shared" si="41"/>
        <v>0</v>
      </c>
      <c r="O13" s="201">
        <v>0</v>
      </c>
      <c r="P13" s="351">
        <f t="shared" si="42"/>
        <v>0</v>
      </c>
      <c r="Q13" s="203">
        <f>'[2]Table 5C1I-LA Key Academy'!S13+'[14]Table 5C1I-LA Key Academy'!S13+(6*'[20]Table 5C1I-LA Key Academy'!S13)</f>
        <v>0</v>
      </c>
      <c r="R13" s="203">
        <f t="shared" si="43"/>
        <v>0</v>
      </c>
      <c r="S13" s="351">
        <f t="shared" si="28"/>
        <v>0</v>
      </c>
      <c r="T13" s="351">
        <f t="shared" si="44"/>
        <v>0</v>
      </c>
      <c r="U13" s="287">
        <f>'Table 5C1A-Madison Prep'!U13</f>
        <v>12112</v>
      </c>
      <c r="V13" s="328">
        <f t="shared" si="45"/>
        <v>0</v>
      </c>
      <c r="W13" s="289">
        <f>'[1]Oct midyear LA Key'!E10</f>
        <v>0</v>
      </c>
      <c r="X13" s="290">
        <f t="shared" si="46"/>
        <v>0</v>
      </c>
      <c r="Y13" s="289">
        <f>'[1]Feb midyear LA Key'!E10</f>
        <v>0</v>
      </c>
      <c r="Z13" s="290">
        <f t="shared" si="29"/>
        <v>0</v>
      </c>
      <c r="AA13" s="288">
        <f t="shared" si="30"/>
        <v>0</v>
      </c>
      <c r="AB13" s="324">
        <f t="shared" si="31"/>
        <v>0</v>
      </c>
      <c r="AC13" s="292">
        <f t="shared" si="32"/>
        <v>0</v>
      </c>
      <c r="AD13" s="324">
        <f t="shared" si="47"/>
        <v>0</v>
      </c>
      <c r="AE13" s="293">
        <v>0</v>
      </c>
      <c r="AF13" s="324">
        <f t="shared" si="48"/>
        <v>0</v>
      </c>
      <c r="AG13" s="293">
        <f>'[2]Table 5C1I-LA Key Academy'!AI13+'[14]Table 5C1I-LA Key Academy'!AI13+(6*'[20]Table 5C1I-LA Key Academy'!AI13)</f>
        <v>0</v>
      </c>
      <c r="AH13" s="293">
        <f t="shared" si="49"/>
        <v>0</v>
      </c>
      <c r="AI13" s="324">
        <f t="shared" si="33"/>
        <v>0</v>
      </c>
      <c r="AJ13" s="321">
        <f t="shared" si="50"/>
        <v>0</v>
      </c>
      <c r="AK13" s="342">
        <f t="shared" si="51"/>
        <v>0</v>
      </c>
      <c r="AM13" s="286">
        <v>0</v>
      </c>
      <c r="AN13" s="286">
        <f t="shared" si="52"/>
        <v>0</v>
      </c>
      <c r="AO13" s="286">
        <f t="shared" si="34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2.1.14'!V10</f>
        <v>0</v>
      </c>
      <c r="D14" s="201">
        <f>+'Table 5C1A-Madison Prep'!D14</f>
        <v>4669.802459558854</v>
      </c>
      <c r="E14" s="202">
        <f t="shared" si="35"/>
        <v>0</v>
      </c>
      <c r="F14" s="202">
        <f>+'Table 5C1A-Madison Prep'!F14</f>
        <v>725.76</v>
      </c>
      <c r="G14" s="202">
        <f t="shared" si="36"/>
        <v>0</v>
      </c>
      <c r="H14" s="345">
        <f t="shared" si="37"/>
        <v>0</v>
      </c>
      <c r="I14" s="203">
        <f>'[1]Oct midyear LA Key'!K11</f>
        <v>0</v>
      </c>
      <c r="J14" s="203">
        <f>'[1]Feb midyear LA Key'!K11</f>
        <v>0</v>
      </c>
      <c r="K14" s="204">
        <f t="shared" si="38"/>
        <v>0</v>
      </c>
      <c r="L14" s="345">
        <f t="shared" si="39"/>
        <v>0</v>
      </c>
      <c r="M14" s="286">
        <f t="shared" si="40"/>
        <v>0</v>
      </c>
      <c r="N14" s="345">
        <f t="shared" si="41"/>
        <v>0</v>
      </c>
      <c r="O14" s="201">
        <v>0</v>
      </c>
      <c r="P14" s="351">
        <f t="shared" si="42"/>
        <v>0</v>
      </c>
      <c r="Q14" s="203">
        <f>'[2]Table 5C1I-LA Key Academy'!S14+'[14]Table 5C1I-LA Key Academy'!S14+(6*'[20]Table 5C1I-LA Key Academy'!S14)</f>
        <v>0</v>
      </c>
      <c r="R14" s="203">
        <f t="shared" si="43"/>
        <v>0</v>
      </c>
      <c r="S14" s="351">
        <f t="shared" si="28"/>
        <v>0</v>
      </c>
      <c r="T14" s="351">
        <f t="shared" si="44"/>
        <v>0</v>
      </c>
      <c r="U14" s="287">
        <f>'Table 5C1A-Madison Prep'!U14</f>
        <v>4124</v>
      </c>
      <c r="V14" s="328">
        <f t="shared" si="45"/>
        <v>0</v>
      </c>
      <c r="W14" s="289">
        <f>'[1]Oct midyear LA Key'!E11</f>
        <v>0</v>
      </c>
      <c r="X14" s="290">
        <f t="shared" si="46"/>
        <v>0</v>
      </c>
      <c r="Y14" s="289">
        <f>'[1]Feb midyear LA Key'!E11</f>
        <v>0</v>
      </c>
      <c r="Z14" s="290">
        <f t="shared" si="29"/>
        <v>0</v>
      </c>
      <c r="AA14" s="288">
        <f t="shared" si="30"/>
        <v>0</v>
      </c>
      <c r="AB14" s="324">
        <f t="shared" si="31"/>
        <v>0</v>
      </c>
      <c r="AC14" s="292">
        <f t="shared" si="32"/>
        <v>0</v>
      </c>
      <c r="AD14" s="324">
        <f t="shared" si="47"/>
        <v>0</v>
      </c>
      <c r="AE14" s="293">
        <v>0</v>
      </c>
      <c r="AF14" s="324">
        <f t="shared" si="48"/>
        <v>0</v>
      </c>
      <c r="AG14" s="293">
        <f>'[2]Table 5C1I-LA Key Academy'!AI14+'[14]Table 5C1I-LA Key Academy'!AI14+(6*'[20]Table 5C1I-LA Key Academy'!AI14)</f>
        <v>0</v>
      </c>
      <c r="AH14" s="293">
        <f t="shared" si="49"/>
        <v>0</v>
      </c>
      <c r="AI14" s="324">
        <f t="shared" si="33"/>
        <v>0</v>
      </c>
      <c r="AJ14" s="321">
        <f t="shared" si="50"/>
        <v>0</v>
      </c>
      <c r="AK14" s="342">
        <f t="shared" si="51"/>
        <v>0</v>
      </c>
      <c r="AM14" s="286">
        <v>0</v>
      </c>
      <c r="AN14" s="286">
        <f t="shared" si="52"/>
        <v>0</v>
      </c>
      <c r="AO14" s="286">
        <f t="shared" si="34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2.1.14'!V11</f>
        <v>0</v>
      </c>
      <c r="D15" s="201">
        <f>+'Table 5C1A-Madison Prep'!D15</f>
        <v>4632.4615072045008</v>
      </c>
      <c r="E15" s="202">
        <f t="shared" si="35"/>
        <v>0</v>
      </c>
      <c r="F15" s="202">
        <f>+'Table 5C1A-Madison Prep'!F15</f>
        <v>744.76</v>
      </c>
      <c r="G15" s="202">
        <f t="shared" si="36"/>
        <v>0</v>
      </c>
      <c r="H15" s="345">
        <f t="shared" si="37"/>
        <v>0</v>
      </c>
      <c r="I15" s="203">
        <f>'[1]Oct midyear LA Key'!K12</f>
        <v>0</v>
      </c>
      <c r="J15" s="203">
        <f>'[1]Feb midyear LA Key'!K12</f>
        <v>0</v>
      </c>
      <c r="K15" s="204">
        <f t="shared" si="38"/>
        <v>0</v>
      </c>
      <c r="L15" s="345">
        <f t="shared" si="39"/>
        <v>0</v>
      </c>
      <c r="M15" s="286">
        <f t="shared" si="40"/>
        <v>0</v>
      </c>
      <c r="N15" s="345">
        <f t="shared" si="41"/>
        <v>0</v>
      </c>
      <c r="O15" s="201">
        <v>0</v>
      </c>
      <c r="P15" s="351">
        <f t="shared" si="42"/>
        <v>0</v>
      </c>
      <c r="Q15" s="203">
        <f>'[2]Table 5C1I-LA Key Academy'!S15+'[14]Table 5C1I-LA Key Academy'!S15+(6*'[20]Table 5C1I-LA Key Academy'!S15)</f>
        <v>0</v>
      </c>
      <c r="R15" s="203">
        <f t="shared" si="43"/>
        <v>0</v>
      </c>
      <c r="S15" s="351">
        <f t="shared" si="28"/>
        <v>0</v>
      </c>
      <c r="T15" s="351">
        <f t="shared" si="44"/>
        <v>0</v>
      </c>
      <c r="U15" s="287">
        <f>'Table 5C1A-Madison Prep'!U15</f>
        <v>4901</v>
      </c>
      <c r="V15" s="328">
        <f t="shared" si="45"/>
        <v>0</v>
      </c>
      <c r="W15" s="289">
        <f>'[1]Oct midyear LA Key'!E12</f>
        <v>0</v>
      </c>
      <c r="X15" s="290">
        <f t="shared" si="46"/>
        <v>0</v>
      </c>
      <c r="Y15" s="289">
        <f>'[1]Feb midyear LA Key'!E12</f>
        <v>0</v>
      </c>
      <c r="Z15" s="290">
        <f t="shared" si="29"/>
        <v>0</v>
      </c>
      <c r="AA15" s="288">
        <f t="shared" si="30"/>
        <v>0</v>
      </c>
      <c r="AB15" s="324">
        <f t="shared" si="31"/>
        <v>0</v>
      </c>
      <c r="AC15" s="292">
        <f t="shared" si="32"/>
        <v>0</v>
      </c>
      <c r="AD15" s="324">
        <f t="shared" si="47"/>
        <v>0</v>
      </c>
      <c r="AE15" s="293">
        <v>0</v>
      </c>
      <c r="AF15" s="324">
        <f t="shared" si="48"/>
        <v>0</v>
      </c>
      <c r="AG15" s="293">
        <f>'[2]Table 5C1I-LA Key Academy'!AI15+'[14]Table 5C1I-LA Key Academy'!AI15+(6*'[20]Table 5C1I-LA Key Academy'!AI15)</f>
        <v>0</v>
      </c>
      <c r="AH15" s="293">
        <f t="shared" si="49"/>
        <v>0</v>
      </c>
      <c r="AI15" s="324">
        <f t="shared" si="33"/>
        <v>0</v>
      </c>
      <c r="AJ15" s="321">
        <f t="shared" si="50"/>
        <v>0</v>
      </c>
      <c r="AK15" s="342">
        <f t="shared" si="51"/>
        <v>0</v>
      </c>
      <c r="AM15" s="286">
        <v>0</v>
      </c>
      <c r="AN15" s="286">
        <f t="shared" si="52"/>
        <v>0</v>
      </c>
      <c r="AO15" s="286">
        <f t="shared" si="34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2.1.14'!V12</f>
        <v>0</v>
      </c>
      <c r="D16" s="194">
        <f>+'Table 5C1A-Madison Prep'!D16</f>
        <v>4384.374733918472</v>
      </c>
      <c r="E16" s="195">
        <f t="shared" si="35"/>
        <v>0</v>
      </c>
      <c r="F16" s="195">
        <f>+'Table 5C1A-Madison Prep'!F16</f>
        <v>608.04000000000008</v>
      </c>
      <c r="G16" s="195">
        <f t="shared" si="36"/>
        <v>0</v>
      </c>
      <c r="H16" s="346">
        <f t="shared" si="37"/>
        <v>0</v>
      </c>
      <c r="I16" s="196">
        <f>'[1]Oct midyear LA Key'!K13</f>
        <v>0</v>
      </c>
      <c r="J16" s="196">
        <f>'[1]Feb midyear LA Key'!K13</f>
        <v>0</v>
      </c>
      <c r="K16" s="197">
        <f t="shared" si="38"/>
        <v>0</v>
      </c>
      <c r="L16" s="346">
        <f t="shared" si="39"/>
        <v>0</v>
      </c>
      <c r="M16" s="296">
        <f t="shared" si="40"/>
        <v>0</v>
      </c>
      <c r="N16" s="346">
        <f t="shared" si="41"/>
        <v>0</v>
      </c>
      <c r="O16" s="194">
        <v>0</v>
      </c>
      <c r="P16" s="352">
        <f t="shared" si="42"/>
        <v>0</v>
      </c>
      <c r="Q16" s="196">
        <f>'[2]Table 5C1I-LA Key Academy'!S16+'[14]Table 5C1I-LA Key Academy'!S16+(6*'[20]Table 5C1I-LA Key Academy'!S16)</f>
        <v>0</v>
      </c>
      <c r="R16" s="196">
        <f t="shared" si="43"/>
        <v>0</v>
      </c>
      <c r="S16" s="352">
        <f t="shared" si="28"/>
        <v>0</v>
      </c>
      <c r="T16" s="352">
        <f t="shared" si="44"/>
        <v>0</v>
      </c>
      <c r="U16" s="281">
        <f>'Table 5C1A-Madison Prep'!U16</f>
        <v>4619</v>
      </c>
      <c r="V16" s="329">
        <f t="shared" si="45"/>
        <v>0</v>
      </c>
      <c r="W16" s="884">
        <f>'[1]Oct midyear LA Key'!E13</f>
        <v>0</v>
      </c>
      <c r="X16" s="282">
        <f t="shared" si="46"/>
        <v>0</v>
      </c>
      <c r="Y16" s="884">
        <f>'[1]Feb midyear LA Key'!E13</f>
        <v>0</v>
      </c>
      <c r="Z16" s="282">
        <f t="shared" si="29"/>
        <v>0</v>
      </c>
      <c r="AA16" s="283">
        <f t="shared" si="30"/>
        <v>0</v>
      </c>
      <c r="AB16" s="325">
        <f t="shared" si="31"/>
        <v>0</v>
      </c>
      <c r="AC16" s="298">
        <f t="shared" si="32"/>
        <v>0</v>
      </c>
      <c r="AD16" s="325">
        <f t="shared" si="47"/>
        <v>0</v>
      </c>
      <c r="AE16" s="284">
        <v>0</v>
      </c>
      <c r="AF16" s="325">
        <f t="shared" si="48"/>
        <v>0</v>
      </c>
      <c r="AG16" s="284">
        <f>'[2]Table 5C1I-LA Key Academy'!AI16+'[14]Table 5C1I-LA Key Academy'!AI16+(6*'[20]Table 5C1I-LA Key Academy'!AI16)</f>
        <v>0</v>
      </c>
      <c r="AH16" s="284">
        <f t="shared" si="49"/>
        <v>0</v>
      </c>
      <c r="AI16" s="325">
        <f t="shared" si="33"/>
        <v>0</v>
      </c>
      <c r="AJ16" s="338">
        <f t="shared" si="50"/>
        <v>0</v>
      </c>
      <c r="AK16" s="343">
        <f t="shared" si="51"/>
        <v>0</v>
      </c>
      <c r="AM16" s="296">
        <v>0</v>
      </c>
      <c r="AN16" s="296">
        <f t="shared" si="52"/>
        <v>0</v>
      </c>
      <c r="AO16" s="296">
        <f t="shared" si="34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2.1.14'!V13</f>
        <v>0</v>
      </c>
      <c r="D17" s="208">
        <f>+'Table 5C1A-Madison Prep'!D17</f>
        <v>7098.5372236353351</v>
      </c>
      <c r="E17" s="209">
        <f t="shared" si="35"/>
        <v>0</v>
      </c>
      <c r="F17" s="209">
        <f>+'Table 5C1A-Madison Prep'!F17</f>
        <v>706.55</v>
      </c>
      <c r="G17" s="209">
        <f t="shared" si="36"/>
        <v>0</v>
      </c>
      <c r="H17" s="344">
        <f t="shared" si="37"/>
        <v>0</v>
      </c>
      <c r="I17" s="210">
        <f>'[1]Oct midyear LA Key'!K14</f>
        <v>0</v>
      </c>
      <c r="J17" s="210">
        <f>'[1]Feb midyear LA Key'!K14</f>
        <v>0</v>
      </c>
      <c r="K17" s="211">
        <f t="shared" si="38"/>
        <v>0</v>
      </c>
      <c r="L17" s="344">
        <f t="shared" si="39"/>
        <v>0</v>
      </c>
      <c r="M17" s="273">
        <f t="shared" si="40"/>
        <v>0</v>
      </c>
      <c r="N17" s="344">
        <f t="shared" si="41"/>
        <v>0</v>
      </c>
      <c r="O17" s="208">
        <v>0</v>
      </c>
      <c r="P17" s="350">
        <f t="shared" si="42"/>
        <v>0</v>
      </c>
      <c r="Q17" s="210">
        <f>'[2]Table 5C1I-LA Key Academy'!S17+'[14]Table 5C1I-LA Key Academy'!S17+(6*'[20]Table 5C1I-LA Key Academy'!S17)</f>
        <v>0</v>
      </c>
      <c r="R17" s="210">
        <f t="shared" si="43"/>
        <v>0</v>
      </c>
      <c r="S17" s="350">
        <f t="shared" si="28"/>
        <v>0</v>
      </c>
      <c r="T17" s="350">
        <f t="shared" si="44"/>
        <v>0</v>
      </c>
      <c r="U17" s="274">
        <f>'Table 5C1A-Madison Prep'!U17</f>
        <v>3580</v>
      </c>
      <c r="V17" s="327">
        <f t="shared" si="45"/>
        <v>0</v>
      </c>
      <c r="W17" s="883">
        <f>'[1]Oct midyear LA Key'!E14</f>
        <v>0</v>
      </c>
      <c r="X17" s="276">
        <f t="shared" si="46"/>
        <v>0</v>
      </c>
      <c r="Y17" s="883">
        <f>'[1]Feb midyear LA Key'!E14</f>
        <v>0</v>
      </c>
      <c r="Z17" s="276">
        <f t="shared" si="29"/>
        <v>0</v>
      </c>
      <c r="AA17" s="275">
        <f t="shared" si="30"/>
        <v>0</v>
      </c>
      <c r="AB17" s="323">
        <f t="shared" si="31"/>
        <v>0</v>
      </c>
      <c r="AC17" s="278">
        <f t="shared" si="32"/>
        <v>0</v>
      </c>
      <c r="AD17" s="323">
        <f t="shared" si="47"/>
        <v>0</v>
      </c>
      <c r="AE17" s="279">
        <v>0</v>
      </c>
      <c r="AF17" s="323">
        <f t="shared" si="48"/>
        <v>0</v>
      </c>
      <c r="AG17" s="279">
        <f>'[2]Table 5C1I-LA Key Academy'!AI17+'[14]Table 5C1I-LA Key Academy'!AI17+(6*'[20]Table 5C1I-LA Key Academy'!AI17)</f>
        <v>0</v>
      </c>
      <c r="AH17" s="279">
        <f t="shared" si="49"/>
        <v>0</v>
      </c>
      <c r="AI17" s="323">
        <f t="shared" si="33"/>
        <v>0</v>
      </c>
      <c r="AJ17" s="337">
        <f t="shared" si="50"/>
        <v>0</v>
      </c>
      <c r="AK17" s="341">
        <f t="shared" si="51"/>
        <v>0</v>
      </c>
      <c r="AM17" s="273">
        <v>0</v>
      </c>
      <c r="AN17" s="273">
        <f t="shared" si="52"/>
        <v>0</v>
      </c>
      <c r="AO17" s="273">
        <f t="shared" si="34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2.1.14'!V14</f>
        <v>0</v>
      </c>
      <c r="D18" s="201">
        <f>+'Table 5C1A-Madison Prep'!D18</f>
        <v>1666.6040983606558</v>
      </c>
      <c r="E18" s="202">
        <f t="shared" si="35"/>
        <v>0</v>
      </c>
      <c r="F18" s="202">
        <f>+'Table 5C1A-Madison Prep'!F18</f>
        <v>1063.31</v>
      </c>
      <c r="G18" s="202">
        <f t="shared" si="36"/>
        <v>0</v>
      </c>
      <c r="H18" s="345">
        <f t="shared" si="37"/>
        <v>0</v>
      </c>
      <c r="I18" s="203">
        <f>'[1]Oct midyear LA Key'!K15</f>
        <v>0</v>
      </c>
      <c r="J18" s="203">
        <f>'[1]Feb midyear LA Key'!K15</f>
        <v>0</v>
      </c>
      <c r="K18" s="204">
        <f t="shared" si="38"/>
        <v>0</v>
      </c>
      <c r="L18" s="345">
        <f t="shared" si="39"/>
        <v>0</v>
      </c>
      <c r="M18" s="286">
        <f t="shared" si="40"/>
        <v>0</v>
      </c>
      <c r="N18" s="345">
        <f t="shared" si="41"/>
        <v>0</v>
      </c>
      <c r="O18" s="201">
        <v>0</v>
      </c>
      <c r="P18" s="351">
        <f t="shared" si="42"/>
        <v>0</v>
      </c>
      <c r="Q18" s="203">
        <f>'[2]Table 5C1I-LA Key Academy'!S18+'[14]Table 5C1I-LA Key Academy'!S18+(6*'[20]Table 5C1I-LA Key Academy'!S18)</f>
        <v>0</v>
      </c>
      <c r="R18" s="203">
        <f t="shared" si="43"/>
        <v>0</v>
      </c>
      <c r="S18" s="351">
        <f t="shared" si="28"/>
        <v>0</v>
      </c>
      <c r="T18" s="351">
        <f t="shared" si="44"/>
        <v>0</v>
      </c>
      <c r="U18" s="287">
        <f>'Table 5C1A-Madison Prep'!U18</f>
        <v>8094</v>
      </c>
      <c r="V18" s="328">
        <f t="shared" si="45"/>
        <v>0</v>
      </c>
      <c r="W18" s="289">
        <f>'[1]Oct midyear LA Key'!E15</f>
        <v>0</v>
      </c>
      <c r="X18" s="290">
        <f t="shared" si="46"/>
        <v>0</v>
      </c>
      <c r="Y18" s="289">
        <f>'[1]Feb midyear LA Key'!E15</f>
        <v>0</v>
      </c>
      <c r="Z18" s="290">
        <f t="shared" si="29"/>
        <v>0</v>
      </c>
      <c r="AA18" s="288">
        <f t="shared" si="30"/>
        <v>0</v>
      </c>
      <c r="AB18" s="324">
        <f t="shared" si="31"/>
        <v>0</v>
      </c>
      <c r="AC18" s="292">
        <f t="shared" si="32"/>
        <v>0</v>
      </c>
      <c r="AD18" s="324">
        <f t="shared" si="47"/>
        <v>0</v>
      </c>
      <c r="AE18" s="293">
        <v>0</v>
      </c>
      <c r="AF18" s="324">
        <f t="shared" si="48"/>
        <v>0</v>
      </c>
      <c r="AG18" s="293">
        <f>'[2]Table 5C1I-LA Key Academy'!AI18+'[14]Table 5C1I-LA Key Academy'!AI18+(6*'[20]Table 5C1I-LA Key Academy'!AI18)</f>
        <v>0</v>
      </c>
      <c r="AH18" s="293">
        <f t="shared" si="49"/>
        <v>0</v>
      </c>
      <c r="AI18" s="324">
        <f t="shared" si="33"/>
        <v>0</v>
      </c>
      <c r="AJ18" s="321">
        <f t="shared" si="50"/>
        <v>0</v>
      </c>
      <c r="AK18" s="342">
        <f t="shared" si="51"/>
        <v>0</v>
      </c>
      <c r="AM18" s="286">
        <v>0</v>
      </c>
      <c r="AN18" s="286">
        <f t="shared" si="52"/>
        <v>0</v>
      </c>
      <c r="AO18" s="286">
        <f t="shared" si="34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2.1.14'!V15</f>
        <v>0</v>
      </c>
      <c r="D19" s="201">
        <f>+'Table 5C1A-Madison Prep'!D19</f>
        <v>6433.6297758332212</v>
      </c>
      <c r="E19" s="202">
        <f t="shared" si="35"/>
        <v>0</v>
      </c>
      <c r="F19" s="202">
        <f>+'Table 5C1A-Madison Prep'!F19</f>
        <v>749.43000000000006</v>
      </c>
      <c r="G19" s="202">
        <f t="shared" si="36"/>
        <v>0</v>
      </c>
      <c r="H19" s="345">
        <f t="shared" si="37"/>
        <v>0</v>
      </c>
      <c r="I19" s="203">
        <f>'[1]Oct midyear LA Key'!K16</f>
        <v>0</v>
      </c>
      <c r="J19" s="203">
        <f>'[1]Feb midyear LA Key'!K16</f>
        <v>0</v>
      </c>
      <c r="K19" s="204">
        <f t="shared" si="38"/>
        <v>0</v>
      </c>
      <c r="L19" s="345">
        <f t="shared" si="39"/>
        <v>0</v>
      </c>
      <c r="M19" s="286">
        <f t="shared" si="40"/>
        <v>0</v>
      </c>
      <c r="N19" s="345">
        <f t="shared" si="41"/>
        <v>0</v>
      </c>
      <c r="O19" s="201">
        <v>0</v>
      </c>
      <c r="P19" s="351">
        <f t="shared" si="42"/>
        <v>0</v>
      </c>
      <c r="Q19" s="203">
        <f>'[2]Table 5C1I-LA Key Academy'!S19+'[14]Table 5C1I-LA Key Academy'!S19+(6*'[20]Table 5C1I-LA Key Academy'!S19)</f>
        <v>0</v>
      </c>
      <c r="R19" s="203">
        <f t="shared" si="43"/>
        <v>0</v>
      </c>
      <c r="S19" s="351">
        <f t="shared" si="28"/>
        <v>0</v>
      </c>
      <c r="T19" s="351">
        <f t="shared" si="44"/>
        <v>0</v>
      </c>
      <c r="U19" s="287">
        <f>'Table 5C1A-Madison Prep'!U19</f>
        <v>2762</v>
      </c>
      <c r="V19" s="328">
        <f t="shared" si="45"/>
        <v>0</v>
      </c>
      <c r="W19" s="289">
        <f>'[1]Oct midyear LA Key'!E16</f>
        <v>0</v>
      </c>
      <c r="X19" s="290">
        <f t="shared" si="46"/>
        <v>0</v>
      </c>
      <c r="Y19" s="289">
        <f>'[1]Feb midyear LA Key'!E16</f>
        <v>0</v>
      </c>
      <c r="Z19" s="290">
        <f t="shared" si="29"/>
        <v>0</v>
      </c>
      <c r="AA19" s="288">
        <f t="shared" si="30"/>
        <v>0</v>
      </c>
      <c r="AB19" s="324">
        <f t="shared" si="31"/>
        <v>0</v>
      </c>
      <c r="AC19" s="292">
        <f t="shared" si="32"/>
        <v>0</v>
      </c>
      <c r="AD19" s="324">
        <f t="shared" si="47"/>
        <v>0</v>
      </c>
      <c r="AE19" s="293">
        <v>0</v>
      </c>
      <c r="AF19" s="324">
        <f t="shared" si="48"/>
        <v>0</v>
      </c>
      <c r="AG19" s="293">
        <f>'[2]Table 5C1I-LA Key Academy'!AI19+'[14]Table 5C1I-LA Key Academy'!AI19+(6*'[20]Table 5C1I-LA Key Academy'!AI19)</f>
        <v>0</v>
      </c>
      <c r="AH19" s="293">
        <f t="shared" si="49"/>
        <v>0</v>
      </c>
      <c r="AI19" s="324">
        <f t="shared" si="33"/>
        <v>0</v>
      </c>
      <c r="AJ19" s="321">
        <f t="shared" si="50"/>
        <v>0</v>
      </c>
      <c r="AK19" s="342">
        <f t="shared" si="51"/>
        <v>0</v>
      </c>
      <c r="AM19" s="286">
        <v>0</v>
      </c>
      <c r="AN19" s="286">
        <f t="shared" si="52"/>
        <v>0</v>
      </c>
      <c r="AO19" s="286">
        <f t="shared" si="34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2.1.14'!V16</f>
        <v>0</v>
      </c>
      <c r="D20" s="201">
        <f>+'Table 5C1A-Madison Prep'!D20</f>
        <v>5334.9509412500001</v>
      </c>
      <c r="E20" s="202">
        <f t="shared" si="35"/>
        <v>0</v>
      </c>
      <c r="F20" s="202">
        <f>+'Table 5C1A-Madison Prep'!F20</f>
        <v>809.9799999999999</v>
      </c>
      <c r="G20" s="202">
        <f t="shared" si="36"/>
        <v>0</v>
      </c>
      <c r="H20" s="345">
        <f t="shared" si="37"/>
        <v>0</v>
      </c>
      <c r="I20" s="203">
        <f>'[1]Oct midyear LA Key'!K17</f>
        <v>0</v>
      </c>
      <c r="J20" s="203">
        <f>'[1]Feb midyear LA Key'!K17</f>
        <v>0</v>
      </c>
      <c r="K20" s="204">
        <f t="shared" si="38"/>
        <v>0</v>
      </c>
      <c r="L20" s="345">
        <f t="shared" si="39"/>
        <v>0</v>
      </c>
      <c r="M20" s="286">
        <f t="shared" si="40"/>
        <v>0</v>
      </c>
      <c r="N20" s="345">
        <f t="shared" si="41"/>
        <v>0</v>
      </c>
      <c r="O20" s="201">
        <v>0</v>
      </c>
      <c r="P20" s="351">
        <f t="shared" si="42"/>
        <v>0</v>
      </c>
      <c r="Q20" s="203">
        <f>'[2]Table 5C1I-LA Key Academy'!S20+'[14]Table 5C1I-LA Key Academy'!S20+(6*'[20]Table 5C1I-LA Key Academy'!S20)</f>
        <v>0</v>
      </c>
      <c r="R20" s="203">
        <f t="shared" si="43"/>
        <v>0</v>
      </c>
      <c r="S20" s="351">
        <f t="shared" si="28"/>
        <v>0</v>
      </c>
      <c r="T20" s="351">
        <f t="shared" si="44"/>
        <v>0</v>
      </c>
      <c r="U20" s="287">
        <f>'Table 5C1A-Madison Prep'!U20</f>
        <v>4171</v>
      </c>
      <c r="V20" s="328">
        <f t="shared" si="45"/>
        <v>0</v>
      </c>
      <c r="W20" s="289">
        <f>'[1]Oct midyear LA Key'!E17</f>
        <v>0</v>
      </c>
      <c r="X20" s="290">
        <f t="shared" si="46"/>
        <v>0</v>
      </c>
      <c r="Y20" s="289">
        <f>'[1]Feb midyear LA Key'!E17</f>
        <v>0</v>
      </c>
      <c r="Z20" s="290">
        <f t="shared" si="29"/>
        <v>0</v>
      </c>
      <c r="AA20" s="288">
        <f t="shared" si="30"/>
        <v>0</v>
      </c>
      <c r="AB20" s="324">
        <f t="shared" si="31"/>
        <v>0</v>
      </c>
      <c r="AC20" s="292">
        <f t="shared" si="32"/>
        <v>0</v>
      </c>
      <c r="AD20" s="324">
        <f t="shared" si="47"/>
        <v>0</v>
      </c>
      <c r="AE20" s="293">
        <v>0</v>
      </c>
      <c r="AF20" s="324">
        <f t="shared" si="48"/>
        <v>0</v>
      </c>
      <c r="AG20" s="293">
        <f>'[2]Table 5C1I-LA Key Academy'!AI20+'[14]Table 5C1I-LA Key Academy'!AI20+(6*'[20]Table 5C1I-LA Key Academy'!AI20)</f>
        <v>0</v>
      </c>
      <c r="AH20" s="293">
        <f t="shared" si="49"/>
        <v>0</v>
      </c>
      <c r="AI20" s="324">
        <f t="shared" si="33"/>
        <v>0</v>
      </c>
      <c r="AJ20" s="321">
        <f t="shared" si="50"/>
        <v>0</v>
      </c>
      <c r="AK20" s="342">
        <f t="shared" si="51"/>
        <v>0</v>
      </c>
      <c r="AM20" s="286">
        <v>0</v>
      </c>
      <c r="AN20" s="286">
        <f t="shared" si="52"/>
        <v>0</v>
      </c>
      <c r="AO20" s="286">
        <f t="shared" si="34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2.1.14'!V17</f>
        <v>0</v>
      </c>
      <c r="D21" s="194">
        <f>+'Table 5C1A-Madison Prep'!D21</f>
        <v>5749.8285214059952</v>
      </c>
      <c r="E21" s="195">
        <f t="shared" si="35"/>
        <v>0</v>
      </c>
      <c r="F21" s="195">
        <f>+'Table 5C1A-Madison Prep'!F21</f>
        <v>553.79999999999995</v>
      </c>
      <c r="G21" s="195">
        <f t="shared" si="36"/>
        <v>0</v>
      </c>
      <c r="H21" s="346">
        <f t="shared" si="37"/>
        <v>0</v>
      </c>
      <c r="I21" s="196">
        <f>'[1]Oct midyear LA Key'!K18</f>
        <v>0</v>
      </c>
      <c r="J21" s="196">
        <f>'[1]Feb midyear LA Key'!K18</f>
        <v>0</v>
      </c>
      <c r="K21" s="197">
        <f t="shared" si="38"/>
        <v>0</v>
      </c>
      <c r="L21" s="346">
        <f t="shared" si="39"/>
        <v>0</v>
      </c>
      <c r="M21" s="296">
        <f t="shared" si="40"/>
        <v>0</v>
      </c>
      <c r="N21" s="346">
        <f t="shared" si="41"/>
        <v>0</v>
      </c>
      <c r="O21" s="194">
        <v>0</v>
      </c>
      <c r="P21" s="352">
        <f t="shared" si="42"/>
        <v>0</v>
      </c>
      <c r="Q21" s="196">
        <f>'[2]Table 5C1I-LA Key Academy'!S21+'[14]Table 5C1I-LA Key Academy'!S21+(6*'[20]Table 5C1I-LA Key Academy'!S21)</f>
        <v>0</v>
      </c>
      <c r="R21" s="196">
        <f t="shared" si="43"/>
        <v>0</v>
      </c>
      <c r="S21" s="352">
        <f t="shared" si="28"/>
        <v>0</v>
      </c>
      <c r="T21" s="352">
        <f t="shared" si="44"/>
        <v>0</v>
      </c>
      <c r="U21" s="281">
        <f>'Table 5C1A-Madison Prep'!U21</f>
        <v>2880</v>
      </c>
      <c r="V21" s="329">
        <f t="shared" si="45"/>
        <v>0</v>
      </c>
      <c r="W21" s="884">
        <f>'[1]Oct midyear LA Key'!E18</f>
        <v>0</v>
      </c>
      <c r="X21" s="282">
        <f t="shared" si="46"/>
        <v>0</v>
      </c>
      <c r="Y21" s="884">
        <f>'[1]Feb midyear LA Key'!E18</f>
        <v>0</v>
      </c>
      <c r="Z21" s="282">
        <f t="shared" si="29"/>
        <v>0</v>
      </c>
      <c r="AA21" s="283">
        <f t="shared" si="30"/>
        <v>0</v>
      </c>
      <c r="AB21" s="325">
        <f t="shared" si="31"/>
        <v>0</v>
      </c>
      <c r="AC21" s="298">
        <f t="shared" si="32"/>
        <v>0</v>
      </c>
      <c r="AD21" s="325">
        <f t="shared" si="47"/>
        <v>0</v>
      </c>
      <c r="AE21" s="284">
        <v>0</v>
      </c>
      <c r="AF21" s="325">
        <f t="shared" si="48"/>
        <v>0</v>
      </c>
      <c r="AG21" s="284">
        <f>'[2]Table 5C1I-LA Key Academy'!AI21+'[14]Table 5C1I-LA Key Academy'!AI21+(6*'[20]Table 5C1I-LA Key Academy'!AI21)</f>
        <v>0</v>
      </c>
      <c r="AH21" s="284">
        <f t="shared" si="49"/>
        <v>0</v>
      </c>
      <c r="AI21" s="325">
        <f t="shared" si="33"/>
        <v>0</v>
      </c>
      <c r="AJ21" s="338">
        <f t="shared" si="50"/>
        <v>0</v>
      </c>
      <c r="AK21" s="343">
        <f t="shared" si="51"/>
        <v>0</v>
      </c>
      <c r="AM21" s="296">
        <v>0</v>
      </c>
      <c r="AN21" s="296">
        <f t="shared" si="52"/>
        <v>0</v>
      </c>
      <c r="AO21" s="296">
        <f t="shared" si="34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2.1.14'!V18</f>
        <v>0</v>
      </c>
      <c r="D22" s="208">
        <f>+'Table 5C1A-Madison Prep'!D22</f>
        <v>1980.2494354342025</v>
      </c>
      <c r="E22" s="209">
        <f t="shared" si="35"/>
        <v>0</v>
      </c>
      <c r="F22" s="209">
        <f>+'Table 5C1A-Madison Prep'!F22</f>
        <v>686.73</v>
      </c>
      <c r="G22" s="209">
        <f t="shared" si="36"/>
        <v>0</v>
      </c>
      <c r="H22" s="344">
        <f t="shared" si="37"/>
        <v>0</v>
      </c>
      <c r="I22" s="210">
        <f>'[1]Oct midyear LA Key'!K19</f>
        <v>0</v>
      </c>
      <c r="J22" s="210">
        <f>'[1]Feb midyear LA Key'!K19</f>
        <v>0</v>
      </c>
      <c r="K22" s="211">
        <f t="shared" si="38"/>
        <v>0</v>
      </c>
      <c r="L22" s="344">
        <f t="shared" si="39"/>
        <v>0</v>
      </c>
      <c r="M22" s="273">
        <f t="shared" si="40"/>
        <v>0</v>
      </c>
      <c r="N22" s="344">
        <f t="shared" si="41"/>
        <v>0</v>
      </c>
      <c r="O22" s="208">
        <v>0</v>
      </c>
      <c r="P22" s="350">
        <f t="shared" si="42"/>
        <v>0</v>
      </c>
      <c r="Q22" s="210">
        <f>'[2]Table 5C1I-LA Key Academy'!S22+'[14]Table 5C1I-LA Key Academy'!S22+(6*'[20]Table 5C1I-LA Key Academy'!S22)</f>
        <v>0</v>
      </c>
      <c r="R22" s="210">
        <f t="shared" si="43"/>
        <v>0</v>
      </c>
      <c r="S22" s="350">
        <f t="shared" si="28"/>
        <v>0</v>
      </c>
      <c r="T22" s="350">
        <f t="shared" si="44"/>
        <v>0</v>
      </c>
      <c r="U22" s="274">
        <f>'Table 5C1A-Madison Prep'!U22</f>
        <v>13021</v>
      </c>
      <c r="V22" s="327">
        <f t="shared" si="45"/>
        <v>0</v>
      </c>
      <c r="W22" s="883">
        <f>'[1]Oct midyear LA Key'!E19</f>
        <v>0</v>
      </c>
      <c r="X22" s="276">
        <f t="shared" si="46"/>
        <v>0</v>
      </c>
      <c r="Y22" s="883">
        <f>'[1]Feb midyear LA Key'!E19</f>
        <v>0</v>
      </c>
      <c r="Z22" s="276">
        <f t="shared" si="29"/>
        <v>0</v>
      </c>
      <c r="AA22" s="275">
        <f t="shared" si="30"/>
        <v>0</v>
      </c>
      <c r="AB22" s="323">
        <f t="shared" si="31"/>
        <v>0</v>
      </c>
      <c r="AC22" s="278">
        <f t="shared" si="32"/>
        <v>0</v>
      </c>
      <c r="AD22" s="323">
        <f t="shared" si="47"/>
        <v>0</v>
      </c>
      <c r="AE22" s="279">
        <v>0</v>
      </c>
      <c r="AF22" s="323">
        <f t="shared" si="48"/>
        <v>0</v>
      </c>
      <c r="AG22" s="279">
        <f>'[2]Table 5C1I-LA Key Academy'!AI22+'[14]Table 5C1I-LA Key Academy'!AI22+(6*'[20]Table 5C1I-LA Key Academy'!AI22)</f>
        <v>0</v>
      </c>
      <c r="AH22" s="279">
        <f t="shared" si="49"/>
        <v>0</v>
      </c>
      <c r="AI22" s="323">
        <f t="shared" si="33"/>
        <v>0</v>
      </c>
      <c r="AJ22" s="337">
        <f t="shared" si="50"/>
        <v>0</v>
      </c>
      <c r="AK22" s="341">
        <f t="shared" si="51"/>
        <v>0</v>
      </c>
      <c r="AM22" s="273">
        <v>0</v>
      </c>
      <c r="AN22" s="273">
        <f t="shared" si="52"/>
        <v>0</v>
      </c>
      <c r="AO22" s="273">
        <f t="shared" si="34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2.1.14'!V19</f>
        <v>108</v>
      </c>
      <c r="D23" s="201">
        <f>+'Table 5C1A-Madison Prep'!D23</f>
        <v>3363.5980368254495</v>
      </c>
      <c r="E23" s="202">
        <f t="shared" si="35"/>
        <v>363268.58797714853</v>
      </c>
      <c r="F23" s="202">
        <f>+'Table 5C1A-Madison Prep'!F23</f>
        <v>801.47762416806802</v>
      </c>
      <c r="G23" s="202">
        <f t="shared" si="36"/>
        <v>86559.583410151346</v>
      </c>
      <c r="H23" s="345">
        <f t="shared" si="37"/>
        <v>449828.1713872999</v>
      </c>
      <c r="I23" s="203">
        <f>'[1]Oct midyear LA Key'!K20</f>
        <v>141612.57247377961</v>
      </c>
      <c r="J23" s="203">
        <f>'[1]Feb midyear LA Key'!K20</f>
        <v>-2082.5378304967589</v>
      </c>
      <c r="K23" s="204">
        <f t="shared" si="38"/>
        <v>139530.03464328285</v>
      </c>
      <c r="L23" s="345">
        <f t="shared" si="39"/>
        <v>589358.20603058278</v>
      </c>
      <c r="M23" s="286">
        <f t="shared" si="40"/>
        <v>-1473.3955150764571</v>
      </c>
      <c r="N23" s="345">
        <f t="shared" si="41"/>
        <v>587884.81051550631</v>
      </c>
      <c r="O23" s="201">
        <v>0</v>
      </c>
      <c r="P23" s="351">
        <f t="shared" si="42"/>
        <v>587884.81051550631</v>
      </c>
      <c r="Q23" s="203">
        <f>'[2]Table 5C1I-LA Key Academy'!S23+'[14]Table 5C1I-LA Key Academy'!S23+(6*'[20]Table 5C1I-LA Key Academy'!S23)</f>
        <v>378906</v>
      </c>
      <c r="R23" s="203">
        <f t="shared" si="43"/>
        <v>208978.81051550631</v>
      </c>
      <c r="S23" s="351">
        <f t="shared" si="28"/>
        <v>52245</v>
      </c>
      <c r="T23" s="351">
        <f t="shared" si="44"/>
        <v>587884.81051550631</v>
      </c>
      <c r="U23" s="287">
        <f>'Table 5C1A-Madison Prep'!U23</f>
        <v>6954</v>
      </c>
      <c r="V23" s="328">
        <f t="shared" si="45"/>
        <v>751032</v>
      </c>
      <c r="W23" s="289">
        <f>'[1]Oct midyear LA Key'!E20</f>
        <v>34</v>
      </c>
      <c r="X23" s="290">
        <f t="shared" si="46"/>
        <v>236436</v>
      </c>
      <c r="Y23" s="289">
        <f>'[1]Feb midyear LA Key'!E20</f>
        <v>-1</v>
      </c>
      <c r="Z23" s="290">
        <f t="shared" si="29"/>
        <v>-3477</v>
      </c>
      <c r="AA23" s="288">
        <f t="shared" si="30"/>
        <v>232959</v>
      </c>
      <c r="AB23" s="324">
        <f t="shared" si="31"/>
        <v>983991</v>
      </c>
      <c r="AC23" s="292">
        <f t="shared" si="32"/>
        <v>-2459.9775</v>
      </c>
      <c r="AD23" s="324">
        <f t="shared" si="47"/>
        <v>981531.02249999996</v>
      </c>
      <c r="AE23" s="293">
        <v>0</v>
      </c>
      <c r="AF23" s="324">
        <f t="shared" si="48"/>
        <v>981531.02249999996</v>
      </c>
      <c r="AG23" s="293">
        <f>'[2]Table 5C1I-LA Key Academy'!AI23+'[14]Table 5C1I-LA Key Academy'!AI23+(6*'[20]Table 5C1I-LA Key Academy'!AI23)</f>
        <v>641352</v>
      </c>
      <c r="AH23" s="293">
        <f t="shared" si="49"/>
        <v>340179.02249999996</v>
      </c>
      <c r="AI23" s="324">
        <f t="shared" si="33"/>
        <v>85045</v>
      </c>
      <c r="AJ23" s="321">
        <f t="shared" si="50"/>
        <v>1569415.8330155062</v>
      </c>
      <c r="AK23" s="342">
        <f t="shared" si="51"/>
        <v>137290</v>
      </c>
      <c r="AM23" s="286">
        <v>-1903.5</v>
      </c>
      <c r="AN23" s="286">
        <f t="shared" si="52"/>
        <v>-2459.9775</v>
      </c>
      <c r="AO23" s="286">
        <f t="shared" si="34"/>
        <v>-556.47749999999996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2.1.14'!V20</f>
        <v>0</v>
      </c>
      <c r="D24" s="201">
        <f>+'Table 5C1A-Madison Prep'!D24</f>
        <v>6354.5533500475731</v>
      </c>
      <c r="E24" s="202">
        <f t="shared" si="35"/>
        <v>0</v>
      </c>
      <c r="F24" s="202">
        <f>+'Table 5C1A-Madison Prep'!F24</f>
        <v>845.94999999999993</v>
      </c>
      <c r="G24" s="202">
        <f t="shared" si="36"/>
        <v>0</v>
      </c>
      <c r="H24" s="345">
        <f t="shared" si="37"/>
        <v>0</v>
      </c>
      <c r="I24" s="203">
        <f>'[1]Oct midyear LA Key'!K21</f>
        <v>0</v>
      </c>
      <c r="J24" s="203">
        <f>'[1]Feb midyear LA Key'!K21</f>
        <v>0</v>
      </c>
      <c r="K24" s="204">
        <f t="shared" si="38"/>
        <v>0</v>
      </c>
      <c r="L24" s="345">
        <f t="shared" si="39"/>
        <v>0</v>
      </c>
      <c r="M24" s="286">
        <f t="shared" si="40"/>
        <v>0</v>
      </c>
      <c r="N24" s="345">
        <f t="shared" si="41"/>
        <v>0</v>
      </c>
      <c r="O24" s="201">
        <v>0</v>
      </c>
      <c r="P24" s="351">
        <f t="shared" si="42"/>
        <v>0</v>
      </c>
      <c r="Q24" s="203">
        <f>'[2]Table 5C1I-LA Key Academy'!S24+'[14]Table 5C1I-LA Key Academy'!S24+(6*'[20]Table 5C1I-LA Key Academy'!S24)</f>
        <v>0</v>
      </c>
      <c r="R24" s="203">
        <f t="shared" si="43"/>
        <v>0</v>
      </c>
      <c r="S24" s="351">
        <f t="shared" si="28"/>
        <v>0</v>
      </c>
      <c r="T24" s="351">
        <f t="shared" si="44"/>
        <v>0</v>
      </c>
      <c r="U24" s="287">
        <f>'Table 5C1A-Madison Prep'!U24</f>
        <v>2442</v>
      </c>
      <c r="V24" s="328">
        <f t="shared" si="45"/>
        <v>0</v>
      </c>
      <c r="W24" s="289">
        <f>'[1]Oct midyear LA Key'!E21</f>
        <v>0</v>
      </c>
      <c r="X24" s="290">
        <f t="shared" si="46"/>
        <v>0</v>
      </c>
      <c r="Y24" s="289">
        <f>'[1]Feb midyear LA Key'!E21</f>
        <v>0</v>
      </c>
      <c r="Z24" s="290">
        <f t="shared" si="29"/>
        <v>0</v>
      </c>
      <c r="AA24" s="288">
        <f t="shared" si="30"/>
        <v>0</v>
      </c>
      <c r="AB24" s="324">
        <f t="shared" si="31"/>
        <v>0</v>
      </c>
      <c r="AC24" s="292">
        <f t="shared" si="32"/>
        <v>0</v>
      </c>
      <c r="AD24" s="324">
        <f t="shared" si="47"/>
        <v>0</v>
      </c>
      <c r="AE24" s="293">
        <v>0</v>
      </c>
      <c r="AF24" s="324">
        <f t="shared" si="48"/>
        <v>0</v>
      </c>
      <c r="AG24" s="293">
        <f>'[2]Table 5C1I-LA Key Academy'!AI24+'[14]Table 5C1I-LA Key Academy'!AI24+(6*'[20]Table 5C1I-LA Key Academy'!AI24)</f>
        <v>0</v>
      </c>
      <c r="AH24" s="293">
        <f t="shared" si="49"/>
        <v>0</v>
      </c>
      <c r="AI24" s="324">
        <f t="shared" si="33"/>
        <v>0</v>
      </c>
      <c r="AJ24" s="321">
        <f t="shared" si="50"/>
        <v>0</v>
      </c>
      <c r="AK24" s="342">
        <f t="shared" si="51"/>
        <v>0</v>
      </c>
      <c r="AM24" s="286">
        <v>0</v>
      </c>
      <c r="AN24" s="286">
        <f t="shared" si="52"/>
        <v>0</v>
      </c>
      <c r="AO24" s="286">
        <f t="shared" si="34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2.1.14'!V21</f>
        <v>2</v>
      </c>
      <c r="D25" s="201">
        <f>+'Table 5C1A-Madison Prep'!D25</f>
        <v>5314.3921869460446</v>
      </c>
      <c r="E25" s="202">
        <f t="shared" si="35"/>
        <v>10628.784373892089</v>
      </c>
      <c r="F25" s="202">
        <f>+'Table 5C1A-Madison Prep'!F25</f>
        <v>905.43</v>
      </c>
      <c r="G25" s="202">
        <f t="shared" si="36"/>
        <v>1810.86</v>
      </c>
      <c r="H25" s="345">
        <f t="shared" si="37"/>
        <v>12439.64437389209</v>
      </c>
      <c r="I25" s="203">
        <f>'[1]Oct midyear LA Key'!K22</f>
        <v>0</v>
      </c>
      <c r="J25" s="203">
        <f>'[1]Feb midyear LA Key'!K22</f>
        <v>0</v>
      </c>
      <c r="K25" s="204">
        <f t="shared" si="38"/>
        <v>0</v>
      </c>
      <c r="L25" s="345">
        <f t="shared" si="39"/>
        <v>12439.64437389209</v>
      </c>
      <c r="M25" s="286">
        <f t="shared" si="40"/>
        <v>-31.099110934730223</v>
      </c>
      <c r="N25" s="345">
        <f t="shared" si="41"/>
        <v>12408.545262957359</v>
      </c>
      <c r="O25" s="201">
        <v>0</v>
      </c>
      <c r="P25" s="351">
        <f t="shared" si="42"/>
        <v>12408.545262957359</v>
      </c>
      <c r="Q25" s="203">
        <f>'[2]Table 5C1I-LA Key Academy'!S25+'[14]Table 5C1I-LA Key Academy'!S25+(6*'[20]Table 5C1I-LA Key Academy'!S25)</f>
        <v>8272</v>
      </c>
      <c r="R25" s="203">
        <f t="shared" si="43"/>
        <v>4136.5452629573592</v>
      </c>
      <c r="S25" s="351">
        <f t="shared" si="28"/>
        <v>1034</v>
      </c>
      <c r="T25" s="351">
        <f t="shared" si="44"/>
        <v>12408.545262957359</v>
      </c>
      <c r="U25" s="287">
        <f>'Table 5C1A-Madison Prep'!U25</f>
        <v>3051</v>
      </c>
      <c r="V25" s="328">
        <f t="shared" si="45"/>
        <v>6102</v>
      </c>
      <c r="W25" s="289">
        <f>'[1]Oct midyear LA Key'!E22</f>
        <v>0</v>
      </c>
      <c r="X25" s="290">
        <f t="shared" si="46"/>
        <v>0</v>
      </c>
      <c r="Y25" s="289">
        <f>'[1]Feb midyear LA Key'!E22</f>
        <v>0</v>
      </c>
      <c r="Z25" s="290">
        <f t="shared" si="29"/>
        <v>0</v>
      </c>
      <c r="AA25" s="288">
        <f t="shared" si="30"/>
        <v>0</v>
      </c>
      <c r="AB25" s="324">
        <f t="shared" si="31"/>
        <v>6102</v>
      </c>
      <c r="AC25" s="292">
        <f t="shared" si="32"/>
        <v>-15.255000000000001</v>
      </c>
      <c r="AD25" s="324">
        <f t="shared" si="47"/>
        <v>6086.7449999999999</v>
      </c>
      <c r="AE25" s="293">
        <v>0</v>
      </c>
      <c r="AF25" s="324">
        <f t="shared" si="48"/>
        <v>6086.7449999999999</v>
      </c>
      <c r="AG25" s="293">
        <f>'[2]Table 5C1I-LA Key Academy'!AI25+'[14]Table 5C1I-LA Key Academy'!AI25+(6*'[20]Table 5C1I-LA Key Academy'!AI25)</f>
        <v>3870</v>
      </c>
      <c r="AH25" s="293">
        <f t="shared" si="49"/>
        <v>2216.7449999999999</v>
      </c>
      <c r="AI25" s="324">
        <f t="shared" si="33"/>
        <v>554</v>
      </c>
      <c r="AJ25" s="321">
        <f t="shared" si="50"/>
        <v>18495.290262957358</v>
      </c>
      <c r="AK25" s="342">
        <f t="shared" si="51"/>
        <v>1588</v>
      </c>
      <c r="AM25" s="286">
        <v>-14.540000000000001</v>
      </c>
      <c r="AN25" s="286">
        <f t="shared" si="52"/>
        <v>-15.255000000000001</v>
      </c>
      <c r="AO25" s="286">
        <f t="shared" si="34"/>
        <v>-0.71499999999999986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2.1.14'!V22</f>
        <v>0</v>
      </c>
      <c r="D26" s="194">
        <f>+'Table 5C1A-Madison Prep'!D26</f>
        <v>5278.5201565562011</v>
      </c>
      <c r="E26" s="195">
        <f t="shared" si="35"/>
        <v>0</v>
      </c>
      <c r="F26" s="195">
        <f>+'Table 5C1A-Madison Prep'!F26</f>
        <v>586.16999999999996</v>
      </c>
      <c r="G26" s="195">
        <f t="shared" si="36"/>
        <v>0</v>
      </c>
      <c r="H26" s="346">
        <f t="shared" si="37"/>
        <v>0</v>
      </c>
      <c r="I26" s="196">
        <f>'[1]Oct midyear LA Key'!K23</f>
        <v>0</v>
      </c>
      <c r="J26" s="196">
        <f>'[1]Feb midyear LA Key'!K23</f>
        <v>0</v>
      </c>
      <c r="K26" s="197">
        <f t="shared" si="38"/>
        <v>0</v>
      </c>
      <c r="L26" s="346">
        <f t="shared" si="39"/>
        <v>0</v>
      </c>
      <c r="M26" s="296">
        <f t="shared" si="40"/>
        <v>0</v>
      </c>
      <c r="N26" s="346">
        <f t="shared" si="41"/>
        <v>0</v>
      </c>
      <c r="O26" s="194">
        <v>0</v>
      </c>
      <c r="P26" s="352">
        <f t="shared" si="42"/>
        <v>0</v>
      </c>
      <c r="Q26" s="196">
        <f>'[2]Table 5C1I-LA Key Academy'!S26+'[14]Table 5C1I-LA Key Academy'!S26+(6*'[20]Table 5C1I-LA Key Academy'!S26)</f>
        <v>0</v>
      </c>
      <c r="R26" s="196">
        <f t="shared" si="43"/>
        <v>0</v>
      </c>
      <c r="S26" s="352">
        <f t="shared" si="28"/>
        <v>0</v>
      </c>
      <c r="T26" s="352">
        <f t="shared" si="44"/>
        <v>0</v>
      </c>
      <c r="U26" s="281">
        <f>'Table 5C1A-Madison Prep'!U26</f>
        <v>2484</v>
      </c>
      <c r="V26" s="329">
        <f t="shared" si="45"/>
        <v>0</v>
      </c>
      <c r="W26" s="884">
        <f>'[1]Oct midyear LA Key'!E23</f>
        <v>0</v>
      </c>
      <c r="X26" s="282">
        <f t="shared" si="46"/>
        <v>0</v>
      </c>
      <c r="Y26" s="884">
        <f>'[1]Feb midyear LA Key'!E23</f>
        <v>0</v>
      </c>
      <c r="Z26" s="282">
        <f t="shared" si="29"/>
        <v>0</v>
      </c>
      <c r="AA26" s="283">
        <f t="shared" si="30"/>
        <v>0</v>
      </c>
      <c r="AB26" s="325">
        <f t="shared" si="31"/>
        <v>0</v>
      </c>
      <c r="AC26" s="298">
        <f t="shared" si="32"/>
        <v>0</v>
      </c>
      <c r="AD26" s="325">
        <f t="shared" si="47"/>
        <v>0</v>
      </c>
      <c r="AE26" s="284">
        <v>0</v>
      </c>
      <c r="AF26" s="325">
        <f t="shared" si="48"/>
        <v>0</v>
      </c>
      <c r="AG26" s="284">
        <f>'[2]Table 5C1I-LA Key Academy'!AI26+'[14]Table 5C1I-LA Key Academy'!AI26+(6*'[20]Table 5C1I-LA Key Academy'!AI26)</f>
        <v>0</v>
      </c>
      <c r="AH26" s="284">
        <f t="shared" si="49"/>
        <v>0</v>
      </c>
      <c r="AI26" s="325">
        <f t="shared" si="33"/>
        <v>0</v>
      </c>
      <c r="AJ26" s="338">
        <f t="shared" si="50"/>
        <v>0</v>
      </c>
      <c r="AK26" s="343">
        <f t="shared" si="51"/>
        <v>0</v>
      </c>
      <c r="AM26" s="296">
        <v>0</v>
      </c>
      <c r="AN26" s="296">
        <f t="shared" si="52"/>
        <v>0</v>
      </c>
      <c r="AO26" s="296">
        <f t="shared" si="34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2.1.14'!V23</f>
        <v>0</v>
      </c>
      <c r="D27" s="208">
        <f>+'Table 5C1A-Madison Prep'!D27</f>
        <v>6082.3042295867763</v>
      </c>
      <c r="E27" s="209">
        <f t="shared" si="35"/>
        <v>0</v>
      </c>
      <c r="F27" s="209">
        <f>+'Table 5C1A-Madison Prep'!F27</f>
        <v>610.35</v>
      </c>
      <c r="G27" s="209">
        <f t="shared" si="36"/>
        <v>0</v>
      </c>
      <c r="H27" s="344">
        <f t="shared" si="37"/>
        <v>0</v>
      </c>
      <c r="I27" s="210">
        <f>'[1]Oct midyear LA Key'!K24</f>
        <v>0</v>
      </c>
      <c r="J27" s="210">
        <f>'[1]Feb midyear LA Key'!K24</f>
        <v>0</v>
      </c>
      <c r="K27" s="211">
        <f t="shared" si="38"/>
        <v>0</v>
      </c>
      <c r="L27" s="344">
        <f t="shared" si="39"/>
        <v>0</v>
      </c>
      <c r="M27" s="273">
        <f t="shared" si="40"/>
        <v>0</v>
      </c>
      <c r="N27" s="344">
        <f t="shared" si="41"/>
        <v>0</v>
      </c>
      <c r="O27" s="208">
        <v>0</v>
      </c>
      <c r="P27" s="350">
        <f t="shared" si="42"/>
        <v>0</v>
      </c>
      <c r="Q27" s="210">
        <f>'[2]Table 5C1I-LA Key Academy'!S27+'[14]Table 5C1I-LA Key Academy'!S27+(6*'[20]Table 5C1I-LA Key Academy'!S27)</f>
        <v>0</v>
      </c>
      <c r="R27" s="210">
        <f t="shared" si="43"/>
        <v>0</v>
      </c>
      <c r="S27" s="350">
        <f t="shared" si="28"/>
        <v>0</v>
      </c>
      <c r="T27" s="350">
        <f t="shared" si="44"/>
        <v>0</v>
      </c>
      <c r="U27" s="274">
        <f>'Table 5C1A-Madison Prep'!U27</f>
        <v>2487</v>
      </c>
      <c r="V27" s="327">
        <f t="shared" si="45"/>
        <v>0</v>
      </c>
      <c r="W27" s="883">
        <f>'[1]Oct midyear LA Key'!E24</f>
        <v>0</v>
      </c>
      <c r="X27" s="276">
        <f t="shared" si="46"/>
        <v>0</v>
      </c>
      <c r="Y27" s="883">
        <f>'[1]Feb midyear LA Key'!E24</f>
        <v>0</v>
      </c>
      <c r="Z27" s="276">
        <f t="shared" si="29"/>
        <v>0</v>
      </c>
      <c r="AA27" s="275">
        <f t="shared" si="30"/>
        <v>0</v>
      </c>
      <c r="AB27" s="323">
        <f t="shared" si="31"/>
        <v>0</v>
      </c>
      <c r="AC27" s="278">
        <f t="shared" si="32"/>
        <v>0</v>
      </c>
      <c r="AD27" s="323">
        <f t="shared" si="47"/>
        <v>0</v>
      </c>
      <c r="AE27" s="279">
        <v>0</v>
      </c>
      <c r="AF27" s="323">
        <f t="shared" si="48"/>
        <v>0</v>
      </c>
      <c r="AG27" s="279">
        <f>'[2]Table 5C1I-LA Key Academy'!AI27+'[14]Table 5C1I-LA Key Academy'!AI27+(6*'[20]Table 5C1I-LA Key Academy'!AI27)</f>
        <v>0</v>
      </c>
      <c r="AH27" s="279">
        <f t="shared" si="49"/>
        <v>0</v>
      </c>
      <c r="AI27" s="323">
        <f t="shared" si="33"/>
        <v>0</v>
      </c>
      <c r="AJ27" s="337">
        <f t="shared" si="50"/>
        <v>0</v>
      </c>
      <c r="AK27" s="341">
        <f t="shared" si="51"/>
        <v>0</v>
      </c>
      <c r="AM27" s="273">
        <v>0</v>
      </c>
      <c r="AN27" s="273">
        <f t="shared" si="52"/>
        <v>0</v>
      </c>
      <c r="AO27" s="273">
        <f t="shared" si="34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2.1.14'!V24</f>
        <v>0</v>
      </c>
      <c r="D28" s="201">
        <f>+'Table 5C1A-Madison Prep'!D28</f>
        <v>6416.1099808195995</v>
      </c>
      <c r="E28" s="202">
        <f t="shared" si="35"/>
        <v>0</v>
      </c>
      <c r="F28" s="202">
        <f>+'Table 5C1A-Madison Prep'!F28</f>
        <v>496.36</v>
      </c>
      <c r="G28" s="202">
        <f t="shared" si="36"/>
        <v>0</v>
      </c>
      <c r="H28" s="345">
        <f t="shared" si="37"/>
        <v>0</v>
      </c>
      <c r="I28" s="203">
        <f>'[1]Oct midyear LA Key'!K25</f>
        <v>0</v>
      </c>
      <c r="J28" s="203">
        <f>'[1]Feb midyear LA Key'!K25</f>
        <v>0</v>
      </c>
      <c r="K28" s="204">
        <f t="shared" si="38"/>
        <v>0</v>
      </c>
      <c r="L28" s="345">
        <f t="shared" si="39"/>
        <v>0</v>
      </c>
      <c r="M28" s="286">
        <f t="shared" si="40"/>
        <v>0</v>
      </c>
      <c r="N28" s="345">
        <f t="shared" si="41"/>
        <v>0</v>
      </c>
      <c r="O28" s="201">
        <v>0</v>
      </c>
      <c r="P28" s="351">
        <f t="shared" si="42"/>
        <v>0</v>
      </c>
      <c r="Q28" s="203">
        <f>'[2]Table 5C1I-LA Key Academy'!S28+'[14]Table 5C1I-LA Key Academy'!S28+(6*'[20]Table 5C1I-LA Key Academy'!S28)</f>
        <v>0</v>
      </c>
      <c r="R28" s="203">
        <f t="shared" si="43"/>
        <v>0</v>
      </c>
      <c r="S28" s="351">
        <f t="shared" si="28"/>
        <v>0</v>
      </c>
      <c r="T28" s="351">
        <f t="shared" si="44"/>
        <v>0</v>
      </c>
      <c r="U28" s="287">
        <f>'Table 5C1A-Madison Prep'!U28</f>
        <v>1584</v>
      </c>
      <c r="V28" s="328">
        <f t="shared" si="45"/>
        <v>0</v>
      </c>
      <c r="W28" s="289">
        <f>'[1]Oct midyear LA Key'!E25</f>
        <v>0</v>
      </c>
      <c r="X28" s="290">
        <f t="shared" si="46"/>
        <v>0</v>
      </c>
      <c r="Y28" s="289">
        <f>'[1]Feb midyear LA Key'!E25</f>
        <v>0</v>
      </c>
      <c r="Z28" s="290">
        <f t="shared" si="29"/>
        <v>0</v>
      </c>
      <c r="AA28" s="288">
        <f t="shared" si="30"/>
        <v>0</v>
      </c>
      <c r="AB28" s="324">
        <f t="shared" si="31"/>
        <v>0</v>
      </c>
      <c r="AC28" s="292">
        <f t="shared" si="32"/>
        <v>0</v>
      </c>
      <c r="AD28" s="324">
        <f t="shared" si="47"/>
        <v>0</v>
      </c>
      <c r="AE28" s="293">
        <v>0</v>
      </c>
      <c r="AF28" s="324">
        <f t="shared" si="48"/>
        <v>0</v>
      </c>
      <c r="AG28" s="293">
        <f>'[2]Table 5C1I-LA Key Academy'!AI28+'[14]Table 5C1I-LA Key Academy'!AI28+(6*'[20]Table 5C1I-LA Key Academy'!AI28)</f>
        <v>0</v>
      </c>
      <c r="AH28" s="293">
        <f t="shared" si="49"/>
        <v>0</v>
      </c>
      <c r="AI28" s="324">
        <f t="shared" si="33"/>
        <v>0</v>
      </c>
      <c r="AJ28" s="321">
        <f t="shared" si="50"/>
        <v>0</v>
      </c>
      <c r="AK28" s="342">
        <f t="shared" si="51"/>
        <v>0</v>
      </c>
      <c r="AM28" s="286">
        <v>0</v>
      </c>
      <c r="AN28" s="286">
        <f t="shared" si="52"/>
        <v>0</v>
      </c>
      <c r="AO28" s="286">
        <f t="shared" si="34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2.1.14'!V25</f>
        <v>0</v>
      </c>
      <c r="D29" s="201">
        <f>+'Table 5C1A-Madison Prep'!D29</f>
        <v>5011.0215265979159</v>
      </c>
      <c r="E29" s="202">
        <f t="shared" si="35"/>
        <v>0</v>
      </c>
      <c r="F29" s="202">
        <f>+'Table 5C1A-Madison Prep'!F29</f>
        <v>688.58</v>
      </c>
      <c r="G29" s="202">
        <f t="shared" si="36"/>
        <v>0</v>
      </c>
      <c r="H29" s="345">
        <f t="shared" si="37"/>
        <v>0</v>
      </c>
      <c r="I29" s="203">
        <f>'[1]Oct midyear LA Key'!K26</f>
        <v>0</v>
      </c>
      <c r="J29" s="203">
        <f>'[1]Feb midyear LA Key'!K26</f>
        <v>0</v>
      </c>
      <c r="K29" s="204">
        <f t="shared" si="38"/>
        <v>0</v>
      </c>
      <c r="L29" s="345">
        <f t="shared" si="39"/>
        <v>0</v>
      </c>
      <c r="M29" s="286">
        <f t="shared" si="40"/>
        <v>0</v>
      </c>
      <c r="N29" s="345">
        <f t="shared" si="41"/>
        <v>0</v>
      </c>
      <c r="O29" s="201">
        <v>0</v>
      </c>
      <c r="P29" s="351">
        <f t="shared" si="42"/>
        <v>0</v>
      </c>
      <c r="Q29" s="203">
        <f>'[2]Table 5C1I-LA Key Academy'!S29+'[14]Table 5C1I-LA Key Academy'!S29+(6*'[20]Table 5C1I-LA Key Academy'!S29)</f>
        <v>0</v>
      </c>
      <c r="R29" s="203">
        <f t="shared" si="43"/>
        <v>0</v>
      </c>
      <c r="S29" s="351">
        <f t="shared" si="28"/>
        <v>0</v>
      </c>
      <c r="T29" s="351">
        <f t="shared" si="44"/>
        <v>0</v>
      </c>
      <c r="U29" s="287">
        <f>'Table 5C1A-Madison Prep'!U29</f>
        <v>3500</v>
      </c>
      <c r="V29" s="328">
        <f t="shared" si="45"/>
        <v>0</v>
      </c>
      <c r="W29" s="289">
        <f>'[1]Oct midyear LA Key'!E26</f>
        <v>0</v>
      </c>
      <c r="X29" s="290">
        <f t="shared" si="46"/>
        <v>0</v>
      </c>
      <c r="Y29" s="289">
        <f>'[1]Feb midyear LA Key'!E26</f>
        <v>0</v>
      </c>
      <c r="Z29" s="290">
        <f t="shared" si="29"/>
        <v>0</v>
      </c>
      <c r="AA29" s="288">
        <f t="shared" si="30"/>
        <v>0</v>
      </c>
      <c r="AB29" s="324">
        <f t="shared" si="31"/>
        <v>0</v>
      </c>
      <c r="AC29" s="292">
        <f t="shared" si="32"/>
        <v>0</v>
      </c>
      <c r="AD29" s="324">
        <f t="shared" si="47"/>
        <v>0</v>
      </c>
      <c r="AE29" s="293">
        <v>0</v>
      </c>
      <c r="AF29" s="324">
        <f t="shared" si="48"/>
        <v>0</v>
      </c>
      <c r="AG29" s="293">
        <f>'[2]Table 5C1I-LA Key Academy'!AI29+'[14]Table 5C1I-LA Key Academy'!AI29+(6*'[20]Table 5C1I-LA Key Academy'!AI29)</f>
        <v>0</v>
      </c>
      <c r="AH29" s="293">
        <f t="shared" si="49"/>
        <v>0</v>
      </c>
      <c r="AI29" s="324">
        <f t="shared" si="33"/>
        <v>0</v>
      </c>
      <c r="AJ29" s="321">
        <f t="shared" si="50"/>
        <v>0</v>
      </c>
      <c r="AK29" s="342">
        <f t="shared" si="51"/>
        <v>0</v>
      </c>
      <c r="AM29" s="286">
        <v>0</v>
      </c>
      <c r="AN29" s="286">
        <f t="shared" si="52"/>
        <v>0</v>
      </c>
      <c r="AO29" s="286">
        <f t="shared" si="34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2.1.14'!V26</f>
        <v>4</v>
      </c>
      <c r="D30" s="201">
        <f>+'Table 5C1A-Madison Prep'!D30</f>
        <v>2611.6740361576999</v>
      </c>
      <c r="E30" s="202">
        <f t="shared" si="35"/>
        <v>10446.6961446308</v>
      </c>
      <c r="F30" s="202">
        <f>+'Table 5C1A-Madison Prep'!F30</f>
        <v>854.24999999999989</v>
      </c>
      <c r="G30" s="202">
        <f t="shared" si="36"/>
        <v>3416.9999999999995</v>
      </c>
      <c r="H30" s="345">
        <f t="shared" si="37"/>
        <v>13863.6961446308</v>
      </c>
      <c r="I30" s="203">
        <f>'[1]Oct midyear LA Key'!K27</f>
        <v>10397.7721084731</v>
      </c>
      <c r="J30" s="203">
        <f>'[1]Feb midyear LA Key'!K27</f>
        <v>1732.96201807885</v>
      </c>
      <c r="K30" s="204">
        <f t="shared" si="38"/>
        <v>12130.73412655195</v>
      </c>
      <c r="L30" s="345">
        <f t="shared" si="39"/>
        <v>25994.430271182748</v>
      </c>
      <c r="M30" s="286">
        <f t="shared" si="40"/>
        <v>-64.986075677956876</v>
      </c>
      <c r="N30" s="345">
        <f t="shared" si="41"/>
        <v>25929.444195504791</v>
      </c>
      <c r="O30" s="201">
        <v>0</v>
      </c>
      <c r="P30" s="351">
        <f t="shared" si="42"/>
        <v>25929.444195504791</v>
      </c>
      <c r="Q30" s="203">
        <f>'[2]Table 5C1I-LA Key Academy'!S30+'[14]Table 5C1I-LA Key Academy'!S30+(6*'[20]Table 5C1I-LA Key Academy'!S30)</f>
        <v>13368</v>
      </c>
      <c r="R30" s="203">
        <f t="shared" si="43"/>
        <v>12561.444195504791</v>
      </c>
      <c r="S30" s="351">
        <f t="shared" si="28"/>
        <v>3140</v>
      </c>
      <c r="T30" s="351">
        <f t="shared" si="44"/>
        <v>25929.444195504791</v>
      </c>
      <c r="U30" s="287">
        <f>'Table 5C1A-Madison Prep'!U30</f>
        <v>11051</v>
      </c>
      <c r="V30" s="328">
        <f t="shared" si="45"/>
        <v>44204</v>
      </c>
      <c r="W30" s="289">
        <f>'[1]Oct midyear LA Key'!E27</f>
        <v>3</v>
      </c>
      <c r="X30" s="290">
        <f t="shared" si="46"/>
        <v>33153</v>
      </c>
      <c r="Y30" s="289">
        <f>'[1]Feb midyear LA Key'!E27</f>
        <v>1</v>
      </c>
      <c r="Z30" s="290">
        <f t="shared" si="29"/>
        <v>5525.5</v>
      </c>
      <c r="AA30" s="288">
        <f t="shared" si="30"/>
        <v>38678.5</v>
      </c>
      <c r="AB30" s="324">
        <f t="shared" si="31"/>
        <v>82882.5</v>
      </c>
      <c r="AC30" s="292">
        <f t="shared" si="32"/>
        <v>-207.20625000000001</v>
      </c>
      <c r="AD30" s="324">
        <f t="shared" si="47"/>
        <v>82675.293749999997</v>
      </c>
      <c r="AE30" s="293">
        <v>0</v>
      </c>
      <c r="AF30" s="324">
        <f t="shared" si="48"/>
        <v>82675.293749999997</v>
      </c>
      <c r="AG30" s="293">
        <f>'[2]Table 5C1I-LA Key Academy'!AI30+'[14]Table 5C1I-LA Key Academy'!AI30+(6*'[20]Table 5C1I-LA Key Academy'!AI30)</f>
        <v>38774</v>
      </c>
      <c r="AH30" s="293">
        <f t="shared" si="49"/>
        <v>43901.293749999997</v>
      </c>
      <c r="AI30" s="324">
        <f t="shared" si="33"/>
        <v>10975</v>
      </c>
      <c r="AJ30" s="321">
        <f t="shared" si="50"/>
        <v>108604.73794550479</v>
      </c>
      <c r="AK30" s="342">
        <f t="shared" si="51"/>
        <v>14115</v>
      </c>
      <c r="AM30" s="286">
        <v>-100.53</v>
      </c>
      <c r="AN30" s="286">
        <f t="shared" si="52"/>
        <v>-207.20625000000001</v>
      </c>
      <c r="AO30" s="286">
        <f t="shared" si="34"/>
        <v>-106.67625000000001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2.1.14'!V27</f>
        <v>0</v>
      </c>
      <c r="D31" s="194">
        <f>+'Table 5C1A-Madison Prep'!D31</f>
        <v>4173.0720274945697</v>
      </c>
      <c r="E31" s="195">
        <f t="shared" si="35"/>
        <v>0</v>
      </c>
      <c r="F31" s="195">
        <f>+'Table 5C1A-Madison Prep'!F31</f>
        <v>653.73</v>
      </c>
      <c r="G31" s="195">
        <f t="shared" si="36"/>
        <v>0</v>
      </c>
      <c r="H31" s="346">
        <f t="shared" si="37"/>
        <v>0</v>
      </c>
      <c r="I31" s="196">
        <f>'[1]Oct midyear LA Key'!K28</f>
        <v>0</v>
      </c>
      <c r="J31" s="196">
        <f>'[1]Feb midyear LA Key'!K28</f>
        <v>0</v>
      </c>
      <c r="K31" s="197">
        <f t="shared" si="38"/>
        <v>0</v>
      </c>
      <c r="L31" s="346">
        <f t="shared" si="39"/>
        <v>0</v>
      </c>
      <c r="M31" s="296">
        <f t="shared" si="40"/>
        <v>0</v>
      </c>
      <c r="N31" s="346">
        <f t="shared" si="41"/>
        <v>0</v>
      </c>
      <c r="O31" s="194">
        <v>0</v>
      </c>
      <c r="P31" s="352">
        <f t="shared" si="42"/>
        <v>0</v>
      </c>
      <c r="Q31" s="196">
        <f>'[2]Table 5C1I-LA Key Academy'!S31+'[14]Table 5C1I-LA Key Academy'!S31+(6*'[20]Table 5C1I-LA Key Academy'!S31)</f>
        <v>0</v>
      </c>
      <c r="R31" s="196">
        <f t="shared" si="43"/>
        <v>0</v>
      </c>
      <c r="S31" s="352">
        <f t="shared" si="28"/>
        <v>0</v>
      </c>
      <c r="T31" s="352">
        <f t="shared" si="44"/>
        <v>0</v>
      </c>
      <c r="U31" s="281">
        <f>'Table 5C1A-Madison Prep'!U31</f>
        <v>5156</v>
      </c>
      <c r="V31" s="329">
        <f t="shared" si="45"/>
        <v>0</v>
      </c>
      <c r="W31" s="884">
        <f>'[1]Oct midyear LA Key'!E28</f>
        <v>0</v>
      </c>
      <c r="X31" s="282">
        <f t="shared" si="46"/>
        <v>0</v>
      </c>
      <c r="Y31" s="884">
        <f>'[1]Feb midyear LA Key'!E28</f>
        <v>0</v>
      </c>
      <c r="Z31" s="282">
        <f t="shared" si="29"/>
        <v>0</v>
      </c>
      <c r="AA31" s="283">
        <f t="shared" si="30"/>
        <v>0</v>
      </c>
      <c r="AB31" s="325">
        <f t="shared" si="31"/>
        <v>0</v>
      </c>
      <c r="AC31" s="298">
        <f t="shared" si="32"/>
        <v>0</v>
      </c>
      <c r="AD31" s="325">
        <f t="shared" si="47"/>
        <v>0</v>
      </c>
      <c r="AE31" s="284">
        <v>0</v>
      </c>
      <c r="AF31" s="325">
        <f t="shared" si="48"/>
        <v>0</v>
      </c>
      <c r="AG31" s="284">
        <f>'[2]Table 5C1I-LA Key Academy'!AI31+'[14]Table 5C1I-LA Key Academy'!AI31+(6*'[20]Table 5C1I-LA Key Academy'!AI31)</f>
        <v>0</v>
      </c>
      <c r="AH31" s="284">
        <f t="shared" si="49"/>
        <v>0</v>
      </c>
      <c r="AI31" s="325">
        <f t="shared" si="33"/>
        <v>0</v>
      </c>
      <c r="AJ31" s="338">
        <f t="shared" si="50"/>
        <v>0</v>
      </c>
      <c r="AK31" s="343">
        <f t="shared" si="51"/>
        <v>0</v>
      </c>
      <c r="AM31" s="296">
        <v>0</v>
      </c>
      <c r="AN31" s="296">
        <f t="shared" si="52"/>
        <v>0</v>
      </c>
      <c r="AO31" s="296">
        <f t="shared" si="34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2.1.14'!V28</f>
        <v>0</v>
      </c>
      <c r="D32" s="208">
        <f>+'Table 5C1A-Madison Prep'!D32</f>
        <v>3424.5649970570835</v>
      </c>
      <c r="E32" s="209">
        <f t="shared" si="35"/>
        <v>0</v>
      </c>
      <c r="F32" s="209">
        <f>+'Table 5C1A-Madison Prep'!F32</f>
        <v>836.83</v>
      </c>
      <c r="G32" s="209">
        <f t="shared" si="36"/>
        <v>0</v>
      </c>
      <c r="H32" s="344">
        <f t="shared" si="37"/>
        <v>0</v>
      </c>
      <c r="I32" s="210">
        <f>'[1]Oct midyear LA Key'!K29</f>
        <v>0</v>
      </c>
      <c r="J32" s="210">
        <f>'[1]Feb midyear LA Key'!K29</f>
        <v>0</v>
      </c>
      <c r="K32" s="211">
        <f t="shared" si="38"/>
        <v>0</v>
      </c>
      <c r="L32" s="344">
        <f t="shared" si="39"/>
        <v>0</v>
      </c>
      <c r="M32" s="273">
        <f t="shared" si="40"/>
        <v>0</v>
      </c>
      <c r="N32" s="344">
        <f t="shared" si="41"/>
        <v>0</v>
      </c>
      <c r="O32" s="208">
        <v>0</v>
      </c>
      <c r="P32" s="350">
        <f t="shared" si="42"/>
        <v>0</v>
      </c>
      <c r="Q32" s="210">
        <f>'[2]Table 5C1I-LA Key Academy'!S32+'[14]Table 5C1I-LA Key Academy'!S32+(6*'[20]Table 5C1I-LA Key Academy'!S32)</f>
        <v>0</v>
      </c>
      <c r="R32" s="210">
        <f t="shared" si="43"/>
        <v>0</v>
      </c>
      <c r="S32" s="350">
        <f t="shared" si="28"/>
        <v>0</v>
      </c>
      <c r="T32" s="350">
        <f t="shared" si="44"/>
        <v>0</v>
      </c>
      <c r="U32" s="274">
        <f>'Table 5C1A-Madison Prep'!U32</f>
        <v>5153</v>
      </c>
      <c r="V32" s="327">
        <f t="shared" si="45"/>
        <v>0</v>
      </c>
      <c r="W32" s="883">
        <f>'[1]Oct midyear LA Key'!E29</f>
        <v>0</v>
      </c>
      <c r="X32" s="276">
        <f t="shared" si="46"/>
        <v>0</v>
      </c>
      <c r="Y32" s="883">
        <f>'[1]Feb midyear LA Key'!E29</f>
        <v>0</v>
      </c>
      <c r="Z32" s="276">
        <f t="shared" si="29"/>
        <v>0</v>
      </c>
      <c r="AA32" s="275">
        <f t="shared" si="30"/>
        <v>0</v>
      </c>
      <c r="AB32" s="323">
        <f t="shared" si="31"/>
        <v>0</v>
      </c>
      <c r="AC32" s="278">
        <f t="shared" si="32"/>
        <v>0</v>
      </c>
      <c r="AD32" s="323">
        <f t="shared" si="47"/>
        <v>0</v>
      </c>
      <c r="AE32" s="279">
        <v>0</v>
      </c>
      <c r="AF32" s="323">
        <f t="shared" si="48"/>
        <v>0</v>
      </c>
      <c r="AG32" s="279">
        <f>'[2]Table 5C1I-LA Key Academy'!AI32+'[14]Table 5C1I-LA Key Academy'!AI32+(6*'[20]Table 5C1I-LA Key Academy'!AI32)</f>
        <v>0</v>
      </c>
      <c r="AH32" s="279">
        <f t="shared" si="49"/>
        <v>0</v>
      </c>
      <c r="AI32" s="323">
        <f t="shared" si="33"/>
        <v>0</v>
      </c>
      <c r="AJ32" s="337">
        <f t="shared" si="50"/>
        <v>0</v>
      </c>
      <c r="AK32" s="341">
        <f t="shared" si="51"/>
        <v>0</v>
      </c>
      <c r="AM32" s="273">
        <v>0</v>
      </c>
      <c r="AN32" s="273">
        <f t="shared" si="52"/>
        <v>0</v>
      </c>
      <c r="AO32" s="273">
        <f t="shared" si="34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2.1.14'!V29</f>
        <v>0</v>
      </c>
      <c r="D33" s="201">
        <f>+'Table 5C1A-Madison Prep'!D33</f>
        <v>5804.9013839977006</v>
      </c>
      <c r="E33" s="202">
        <f t="shared" si="35"/>
        <v>0</v>
      </c>
      <c r="F33" s="202">
        <f>+'Table 5C1A-Madison Prep'!F33</f>
        <v>693.06</v>
      </c>
      <c r="G33" s="202">
        <f t="shared" si="36"/>
        <v>0</v>
      </c>
      <c r="H33" s="345">
        <f t="shared" si="37"/>
        <v>0</v>
      </c>
      <c r="I33" s="203">
        <f>'[1]Oct midyear LA Key'!K30</f>
        <v>0</v>
      </c>
      <c r="J33" s="203">
        <f>'[1]Feb midyear LA Key'!K30</f>
        <v>0</v>
      </c>
      <c r="K33" s="204">
        <f t="shared" si="38"/>
        <v>0</v>
      </c>
      <c r="L33" s="345">
        <f t="shared" si="39"/>
        <v>0</v>
      </c>
      <c r="M33" s="286">
        <f t="shared" si="40"/>
        <v>0</v>
      </c>
      <c r="N33" s="345">
        <f t="shared" si="41"/>
        <v>0</v>
      </c>
      <c r="O33" s="201">
        <v>0</v>
      </c>
      <c r="P33" s="351">
        <f t="shared" si="42"/>
        <v>0</v>
      </c>
      <c r="Q33" s="203">
        <f>'[2]Table 5C1I-LA Key Academy'!S33+'[14]Table 5C1I-LA Key Academy'!S33+(6*'[20]Table 5C1I-LA Key Academy'!S33)</f>
        <v>0</v>
      </c>
      <c r="R33" s="203">
        <f t="shared" si="43"/>
        <v>0</v>
      </c>
      <c r="S33" s="351">
        <f t="shared" si="28"/>
        <v>0</v>
      </c>
      <c r="T33" s="351">
        <f t="shared" si="44"/>
        <v>0</v>
      </c>
      <c r="U33" s="287">
        <f>'Table 5C1A-Madison Prep'!U33</f>
        <v>3225</v>
      </c>
      <c r="V33" s="328">
        <f t="shared" si="45"/>
        <v>0</v>
      </c>
      <c r="W33" s="289">
        <f>'[1]Oct midyear LA Key'!E30</f>
        <v>0</v>
      </c>
      <c r="X33" s="290">
        <f t="shared" si="46"/>
        <v>0</v>
      </c>
      <c r="Y33" s="289">
        <f>'[1]Feb midyear LA Key'!E30</f>
        <v>0</v>
      </c>
      <c r="Z33" s="290">
        <f t="shared" si="29"/>
        <v>0</v>
      </c>
      <c r="AA33" s="288">
        <f t="shared" si="30"/>
        <v>0</v>
      </c>
      <c r="AB33" s="324">
        <f t="shared" si="31"/>
        <v>0</v>
      </c>
      <c r="AC33" s="292">
        <f t="shared" si="32"/>
        <v>0</v>
      </c>
      <c r="AD33" s="324">
        <f t="shared" si="47"/>
        <v>0</v>
      </c>
      <c r="AE33" s="293">
        <v>0</v>
      </c>
      <c r="AF33" s="324">
        <f t="shared" si="48"/>
        <v>0</v>
      </c>
      <c r="AG33" s="293">
        <f>'[2]Table 5C1I-LA Key Academy'!AI33+'[14]Table 5C1I-LA Key Academy'!AI33+(6*'[20]Table 5C1I-LA Key Academy'!AI33)</f>
        <v>0</v>
      </c>
      <c r="AH33" s="293">
        <f t="shared" si="49"/>
        <v>0</v>
      </c>
      <c r="AI33" s="324">
        <f t="shared" si="33"/>
        <v>0</v>
      </c>
      <c r="AJ33" s="321">
        <f t="shared" si="50"/>
        <v>0</v>
      </c>
      <c r="AK33" s="342">
        <f t="shared" si="51"/>
        <v>0</v>
      </c>
      <c r="AM33" s="286">
        <v>0</v>
      </c>
      <c r="AN33" s="286">
        <f t="shared" si="52"/>
        <v>0</v>
      </c>
      <c r="AO33" s="286">
        <f t="shared" si="34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2.1.14'!V30</f>
        <v>0</v>
      </c>
      <c r="D34" s="201">
        <f>+'Table 5C1A-Madison Prep'!D34</f>
        <v>3137.4158846568821</v>
      </c>
      <c r="E34" s="202">
        <f t="shared" si="35"/>
        <v>0</v>
      </c>
      <c r="F34" s="202">
        <f>+'Table 5C1A-Madison Prep'!F34</f>
        <v>694.4</v>
      </c>
      <c r="G34" s="202">
        <f t="shared" si="36"/>
        <v>0</v>
      </c>
      <c r="H34" s="345">
        <f t="shared" si="37"/>
        <v>0</v>
      </c>
      <c r="I34" s="203">
        <f>'[1]Oct midyear LA Key'!K31</f>
        <v>0</v>
      </c>
      <c r="J34" s="203">
        <f>'[1]Feb midyear LA Key'!K31</f>
        <v>0</v>
      </c>
      <c r="K34" s="204">
        <f t="shared" si="38"/>
        <v>0</v>
      </c>
      <c r="L34" s="345">
        <f t="shared" si="39"/>
        <v>0</v>
      </c>
      <c r="M34" s="286">
        <f t="shared" si="40"/>
        <v>0</v>
      </c>
      <c r="N34" s="345">
        <f t="shared" si="41"/>
        <v>0</v>
      </c>
      <c r="O34" s="201">
        <v>0</v>
      </c>
      <c r="P34" s="351">
        <f t="shared" si="42"/>
        <v>0</v>
      </c>
      <c r="Q34" s="203">
        <f>'[2]Table 5C1I-LA Key Academy'!S34+'[14]Table 5C1I-LA Key Academy'!S34+(6*'[20]Table 5C1I-LA Key Academy'!S34)</f>
        <v>0</v>
      </c>
      <c r="R34" s="203">
        <f t="shared" si="43"/>
        <v>0</v>
      </c>
      <c r="S34" s="351">
        <f t="shared" si="28"/>
        <v>0</v>
      </c>
      <c r="T34" s="351">
        <f t="shared" si="44"/>
        <v>0</v>
      </c>
      <c r="U34" s="287">
        <f>'Table 5C1A-Madison Prep'!U34</f>
        <v>5816</v>
      </c>
      <c r="V34" s="328">
        <f t="shared" si="45"/>
        <v>0</v>
      </c>
      <c r="W34" s="289">
        <f>'[1]Oct midyear LA Key'!E31</f>
        <v>0</v>
      </c>
      <c r="X34" s="290">
        <f t="shared" si="46"/>
        <v>0</v>
      </c>
      <c r="Y34" s="289">
        <f>'[1]Feb midyear LA Key'!E31</f>
        <v>0</v>
      </c>
      <c r="Z34" s="290">
        <f t="shared" si="29"/>
        <v>0</v>
      </c>
      <c r="AA34" s="288">
        <f t="shared" si="30"/>
        <v>0</v>
      </c>
      <c r="AB34" s="324">
        <f t="shared" si="31"/>
        <v>0</v>
      </c>
      <c r="AC34" s="292">
        <f t="shared" si="32"/>
        <v>0</v>
      </c>
      <c r="AD34" s="324">
        <f t="shared" si="47"/>
        <v>0</v>
      </c>
      <c r="AE34" s="293">
        <v>0</v>
      </c>
      <c r="AF34" s="324">
        <f t="shared" si="48"/>
        <v>0</v>
      </c>
      <c r="AG34" s="293">
        <f>'[2]Table 5C1I-LA Key Academy'!AI34+'[14]Table 5C1I-LA Key Academy'!AI34+(6*'[20]Table 5C1I-LA Key Academy'!AI34)</f>
        <v>0</v>
      </c>
      <c r="AH34" s="293">
        <f t="shared" si="49"/>
        <v>0</v>
      </c>
      <c r="AI34" s="324">
        <f t="shared" si="33"/>
        <v>0</v>
      </c>
      <c r="AJ34" s="321">
        <f t="shared" si="50"/>
        <v>0</v>
      </c>
      <c r="AK34" s="342">
        <f t="shared" si="51"/>
        <v>0</v>
      </c>
      <c r="AM34" s="286">
        <v>0</v>
      </c>
      <c r="AN34" s="286">
        <f t="shared" si="52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2.1.14'!V31</f>
        <v>0</v>
      </c>
      <c r="D35" s="201">
        <f>+'Table 5C1A-Madison Prep'!D35</f>
        <v>3839.0123210173724</v>
      </c>
      <c r="E35" s="202">
        <f t="shared" si="35"/>
        <v>0</v>
      </c>
      <c r="F35" s="202">
        <f>+'Table 5C1A-Madison Prep'!F35</f>
        <v>754.94999999999993</v>
      </c>
      <c r="G35" s="202">
        <f t="shared" si="36"/>
        <v>0</v>
      </c>
      <c r="H35" s="345">
        <f t="shared" si="37"/>
        <v>0</v>
      </c>
      <c r="I35" s="203">
        <f>'[1]Oct midyear LA Key'!K32</f>
        <v>0</v>
      </c>
      <c r="J35" s="203">
        <f>'[1]Feb midyear LA Key'!K32</f>
        <v>0</v>
      </c>
      <c r="K35" s="204">
        <f t="shared" si="38"/>
        <v>0</v>
      </c>
      <c r="L35" s="345">
        <f t="shared" si="39"/>
        <v>0</v>
      </c>
      <c r="M35" s="286">
        <f t="shared" si="40"/>
        <v>0</v>
      </c>
      <c r="N35" s="345">
        <f t="shared" si="41"/>
        <v>0</v>
      </c>
      <c r="O35" s="201">
        <v>0</v>
      </c>
      <c r="P35" s="351">
        <f t="shared" si="42"/>
        <v>0</v>
      </c>
      <c r="Q35" s="203">
        <f>'[2]Table 5C1I-LA Key Academy'!S35+'[14]Table 5C1I-LA Key Academy'!S35+(6*'[20]Table 5C1I-LA Key Academy'!S35)</f>
        <v>0</v>
      </c>
      <c r="R35" s="203">
        <f t="shared" si="43"/>
        <v>0</v>
      </c>
      <c r="S35" s="351">
        <f t="shared" si="28"/>
        <v>0</v>
      </c>
      <c r="T35" s="351">
        <f t="shared" si="44"/>
        <v>0</v>
      </c>
      <c r="U35" s="287">
        <f>'Table 5C1A-Madison Prep'!U35</f>
        <v>5046</v>
      </c>
      <c r="V35" s="328">
        <f t="shared" si="45"/>
        <v>0</v>
      </c>
      <c r="W35" s="289">
        <f>'[1]Oct midyear LA Key'!E32</f>
        <v>0</v>
      </c>
      <c r="X35" s="290">
        <f t="shared" si="46"/>
        <v>0</v>
      </c>
      <c r="Y35" s="289">
        <f>'[1]Feb midyear LA Key'!E32</f>
        <v>0</v>
      </c>
      <c r="Z35" s="290">
        <f t="shared" si="29"/>
        <v>0</v>
      </c>
      <c r="AA35" s="288">
        <f t="shared" si="30"/>
        <v>0</v>
      </c>
      <c r="AB35" s="324">
        <f t="shared" si="31"/>
        <v>0</v>
      </c>
      <c r="AC35" s="292">
        <f t="shared" si="32"/>
        <v>0</v>
      </c>
      <c r="AD35" s="324">
        <f t="shared" si="47"/>
        <v>0</v>
      </c>
      <c r="AE35" s="293">
        <v>0</v>
      </c>
      <c r="AF35" s="324">
        <f t="shared" si="48"/>
        <v>0</v>
      </c>
      <c r="AG35" s="293">
        <f>'[2]Table 5C1I-LA Key Academy'!AI35+'[14]Table 5C1I-LA Key Academy'!AI35+(6*'[20]Table 5C1I-LA Key Academy'!AI35)</f>
        <v>0</v>
      </c>
      <c r="AH35" s="293">
        <f t="shared" si="49"/>
        <v>0</v>
      </c>
      <c r="AI35" s="324">
        <f t="shared" si="33"/>
        <v>0</v>
      </c>
      <c r="AJ35" s="321">
        <f t="shared" si="50"/>
        <v>0</v>
      </c>
      <c r="AK35" s="342">
        <f t="shared" si="51"/>
        <v>0</v>
      </c>
      <c r="AM35" s="286">
        <v>0</v>
      </c>
      <c r="AN35" s="286">
        <f t="shared" si="52"/>
        <v>0</v>
      </c>
      <c r="AO35" s="286">
        <f t="shared" ref="AO35:AO75" si="53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2.1.14'!V32</f>
        <v>0</v>
      </c>
      <c r="D36" s="194">
        <f>+'Table 5C1A-Madison Prep'!D36</f>
        <v>5804.5327273996763</v>
      </c>
      <c r="E36" s="195">
        <f t="shared" si="35"/>
        <v>0</v>
      </c>
      <c r="F36" s="195">
        <f>+'Table 5C1A-Madison Prep'!F36</f>
        <v>727.17</v>
      </c>
      <c r="G36" s="195">
        <f t="shared" si="36"/>
        <v>0</v>
      </c>
      <c r="H36" s="346">
        <f t="shared" si="37"/>
        <v>0</v>
      </c>
      <c r="I36" s="196">
        <f>'[1]Oct midyear LA Key'!K33</f>
        <v>0</v>
      </c>
      <c r="J36" s="196">
        <f>'[1]Feb midyear LA Key'!K33</f>
        <v>0</v>
      </c>
      <c r="K36" s="197">
        <f t="shared" si="38"/>
        <v>0</v>
      </c>
      <c r="L36" s="346">
        <f t="shared" si="39"/>
        <v>0</v>
      </c>
      <c r="M36" s="296">
        <f t="shared" si="40"/>
        <v>0</v>
      </c>
      <c r="N36" s="346">
        <f t="shared" si="41"/>
        <v>0</v>
      </c>
      <c r="O36" s="194">
        <v>0</v>
      </c>
      <c r="P36" s="352">
        <f t="shared" si="42"/>
        <v>0</v>
      </c>
      <c r="Q36" s="196">
        <f>'[2]Table 5C1I-LA Key Academy'!S36+'[14]Table 5C1I-LA Key Academy'!S36+(6*'[20]Table 5C1I-LA Key Academy'!S36)</f>
        <v>0</v>
      </c>
      <c r="R36" s="196">
        <f t="shared" si="43"/>
        <v>0</v>
      </c>
      <c r="S36" s="352">
        <f t="shared" si="28"/>
        <v>0</v>
      </c>
      <c r="T36" s="352">
        <f t="shared" si="44"/>
        <v>0</v>
      </c>
      <c r="U36" s="281">
        <f>'Table 5C1A-Madison Prep'!U36</f>
        <v>3999</v>
      </c>
      <c r="V36" s="329">
        <f t="shared" si="45"/>
        <v>0</v>
      </c>
      <c r="W36" s="884">
        <f>'[1]Oct midyear LA Key'!E33</f>
        <v>0</v>
      </c>
      <c r="X36" s="282">
        <f t="shared" si="46"/>
        <v>0</v>
      </c>
      <c r="Y36" s="884">
        <f>'[1]Feb midyear LA Key'!E33</f>
        <v>0</v>
      </c>
      <c r="Z36" s="282">
        <f t="shared" si="29"/>
        <v>0</v>
      </c>
      <c r="AA36" s="283">
        <f t="shared" si="30"/>
        <v>0</v>
      </c>
      <c r="AB36" s="325">
        <f t="shared" si="31"/>
        <v>0</v>
      </c>
      <c r="AC36" s="298">
        <f t="shared" si="32"/>
        <v>0</v>
      </c>
      <c r="AD36" s="325">
        <f t="shared" si="47"/>
        <v>0</v>
      </c>
      <c r="AE36" s="284">
        <v>0</v>
      </c>
      <c r="AF36" s="325">
        <f t="shared" si="48"/>
        <v>0</v>
      </c>
      <c r="AG36" s="284">
        <f>'[2]Table 5C1I-LA Key Academy'!AI36+'[14]Table 5C1I-LA Key Academy'!AI36+(6*'[20]Table 5C1I-LA Key Academy'!AI36)</f>
        <v>0</v>
      </c>
      <c r="AH36" s="284">
        <f t="shared" si="49"/>
        <v>0</v>
      </c>
      <c r="AI36" s="325">
        <f t="shared" si="33"/>
        <v>0</v>
      </c>
      <c r="AJ36" s="338">
        <f t="shared" si="50"/>
        <v>0</v>
      </c>
      <c r="AK36" s="343">
        <f t="shared" si="51"/>
        <v>0</v>
      </c>
      <c r="AM36" s="296">
        <v>0</v>
      </c>
      <c r="AN36" s="296">
        <f t="shared" si="52"/>
        <v>0</v>
      </c>
      <c r="AO36" s="296">
        <f t="shared" si="53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2.1.14'!V33</f>
        <v>0</v>
      </c>
      <c r="D37" s="208">
        <f>+'Table 5C1A-Madison Prep'!D37</f>
        <v>4520.6176716868531</v>
      </c>
      <c r="E37" s="209">
        <f t="shared" si="35"/>
        <v>0</v>
      </c>
      <c r="F37" s="209">
        <f>+'Table 5C1A-Madison Prep'!F37</f>
        <v>620.83000000000004</v>
      </c>
      <c r="G37" s="209">
        <f t="shared" si="36"/>
        <v>0</v>
      </c>
      <c r="H37" s="344">
        <f t="shared" si="37"/>
        <v>0</v>
      </c>
      <c r="I37" s="210">
        <f>'[1]Oct midyear LA Key'!K34</f>
        <v>0</v>
      </c>
      <c r="J37" s="210">
        <f>'[1]Feb midyear LA Key'!K34</f>
        <v>0</v>
      </c>
      <c r="K37" s="211">
        <f t="shared" si="38"/>
        <v>0</v>
      </c>
      <c r="L37" s="344">
        <f t="shared" si="39"/>
        <v>0</v>
      </c>
      <c r="M37" s="273">
        <f t="shared" si="40"/>
        <v>0</v>
      </c>
      <c r="N37" s="344">
        <f t="shared" si="41"/>
        <v>0</v>
      </c>
      <c r="O37" s="208">
        <v>0</v>
      </c>
      <c r="P37" s="350">
        <f t="shared" si="42"/>
        <v>0</v>
      </c>
      <c r="Q37" s="210">
        <f>'[2]Table 5C1I-LA Key Academy'!S37+'[14]Table 5C1I-LA Key Academy'!S37+(6*'[20]Table 5C1I-LA Key Academy'!S37)</f>
        <v>0</v>
      </c>
      <c r="R37" s="210">
        <f t="shared" si="43"/>
        <v>0</v>
      </c>
      <c r="S37" s="350">
        <f t="shared" si="28"/>
        <v>0</v>
      </c>
      <c r="T37" s="350">
        <f t="shared" si="44"/>
        <v>0</v>
      </c>
      <c r="U37" s="274">
        <f>'Table 5C1A-Madison Prep'!U37</f>
        <v>5028</v>
      </c>
      <c r="V37" s="327">
        <f t="shared" si="45"/>
        <v>0</v>
      </c>
      <c r="W37" s="883">
        <f>'[1]Oct midyear LA Key'!E34</f>
        <v>0</v>
      </c>
      <c r="X37" s="276">
        <f t="shared" si="46"/>
        <v>0</v>
      </c>
      <c r="Y37" s="883">
        <f>'[1]Feb midyear LA Key'!E34</f>
        <v>0</v>
      </c>
      <c r="Z37" s="276">
        <f t="shared" si="29"/>
        <v>0</v>
      </c>
      <c r="AA37" s="275">
        <f t="shared" si="30"/>
        <v>0</v>
      </c>
      <c r="AB37" s="323">
        <f t="shared" si="31"/>
        <v>0</v>
      </c>
      <c r="AC37" s="278">
        <f t="shared" si="32"/>
        <v>0</v>
      </c>
      <c r="AD37" s="323">
        <f t="shared" si="47"/>
        <v>0</v>
      </c>
      <c r="AE37" s="279">
        <v>0</v>
      </c>
      <c r="AF37" s="323">
        <f t="shared" si="48"/>
        <v>0</v>
      </c>
      <c r="AG37" s="279">
        <f>'[2]Table 5C1I-LA Key Academy'!AI37+'[14]Table 5C1I-LA Key Academy'!AI37+(6*'[20]Table 5C1I-LA Key Academy'!AI37)</f>
        <v>0</v>
      </c>
      <c r="AH37" s="279">
        <f t="shared" si="49"/>
        <v>0</v>
      </c>
      <c r="AI37" s="323">
        <f t="shared" si="33"/>
        <v>0</v>
      </c>
      <c r="AJ37" s="337">
        <f t="shared" si="50"/>
        <v>0</v>
      </c>
      <c r="AK37" s="341">
        <f t="shared" si="51"/>
        <v>0</v>
      </c>
      <c r="AM37" s="273">
        <v>0</v>
      </c>
      <c r="AN37" s="273">
        <f t="shared" si="52"/>
        <v>0</v>
      </c>
      <c r="AO37" s="273">
        <f t="shared" si="53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2.1.14'!V34</f>
        <v>5</v>
      </c>
      <c r="D38" s="201">
        <f>+'Table 5C1A-Madison Prep'!D38</f>
        <v>5652.819189061127</v>
      </c>
      <c r="E38" s="202">
        <f t="shared" si="35"/>
        <v>28264.095945305635</v>
      </c>
      <c r="F38" s="202">
        <f>+'Table 5C1A-Madison Prep'!F38</f>
        <v>559.77</v>
      </c>
      <c r="G38" s="202">
        <f t="shared" si="36"/>
        <v>2798.85</v>
      </c>
      <c r="H38" s="345">
        <f t="shared" si="37"/>
        <v>31062.945945305633</v>
      </c>
      <c r="I38" s="203">
        <f>'[1]Oct midyear LA Key'!K35</f>
        <v>24850.35675624451</v>
      </c>
      <c r="J38" s="203">
        <f>'[1]Feb midyear LA Key'!K35</f>
        <v>0</v>
      </c>
      <c r="K38" s="204">
        <f t="shared" si="38"/>
        <v>24850.35675624451</v>
      </c>
      <c r="L38" s="345">
        <f t="shared" si="39"/>
        <v>55913.302701550143</v>
      </c>
      <c r="M38" s="286">
        <f t="shared" si="40"/>
        <v>-139.78325675387535</v>
      </c>
      <c r="N38" s="345">
        <f t="shared" si="41"/>
        <v>55773.519444796264</v>
      </c>
      <c r="O38" s="201">
        <v>0</v>
      </c>
      <c r="P38" s="351">
        <f t="shared" si="42"/>
        <v>55773.519444796264</v>
      </c>
      <c r="Q38" s="203">
        <f>'[2]Table 5C1I-LA Key Academy'!S38+'[14]Table 5C1I-LA Key Academy'!S38+(6*'[20]Table 5C1I-LA Key Academy'!S38)</f>
        <v>35530</v>
      </c>
      <c r="R38" s="203">
        <f t="shared" si="43"/>
        <v>20243.519444796264</v>
      </c>
      <c r="S38" s="351">
        <f t="shared" si="28"/>
        <v>5061</v>
      </c>
      <c r="T38" s="351">
        <f t="shared" si="44"/>
        <v>55773.519444796264</v>
      </c>
      <c r="U38" s="287">
        <f>'Table 5C1A-Madison Prep'!U38</f>
        <v>2139</v>
      </c>
      <c r="V38" s="328">
        <f t="shared" si="45"/>
        <v>10695</v>
      </c>
      <c r="W38" s="289">
        <f>'[1]Oct midyear LA Key'!E35</f>
        <v>4</v>
      </c>
      <c r="X38" s="290">
        <f t="shared" si="46"/>
        <v>8556</v>
      </c>
      <c r="Y38" s="289">
        <f>'[1]Feb midyear LA Key'!E35</f>
        <v>0</v>
      </c>
      <c r="Z38" s="290">
        <f t="shared" si="29"/>
        <v>0</v>
      </c>
      <c r="AA38" s="288">
        <f t="shared" si="30"/>
        <v>8556</v>
      </c>
      <c r="AB38" s="324">
        <f t="shared" si="31"/>
        <v>19251</v>
      </c>
      <c r="AC38" s="292">
        <f t="shared" si="32"/>
        <v>-48.127499999999998</v>
      </c>
      <c r="AD38" s="324">
        <f t="shared" si="47"/>
        <v>19202.872500000001</v>
      </c>
      <c r="AE38" s="293">
        <v>0</v>
      </c>
      <c r="AF38" s="324">
        <f t="shared" si="48"/>
        <v>19202.872500000001</v>
      </c>
      <c r="AG38" s="293">
        <f>'[2]Table 5C1I-LA Key Academy'!AI38+'[14]Table 5C1I-LA Key Academy'!AI38+(6*'[20]Table 5C1I-LA Key Academy'!AI38)</f>
        <v>12131</v>
      </c>
      <c r="AH38" s="293">
        <f t="shared" si="49"/>
        <v>7071.8725000000013</v>
      </c>
      <c r="AI38" s="324">
        <f t="shared" si="33"/>
        <v>1768</v>
      </c>
      <c r="AJ38" s="321">
        <f t="shared" si="50"/>
        <v>74976.391944796269</v>
      </c>
      <c r="AK38" s="342">
        <f t="shared" si="51"/>
        <v>6829</v>
      </c>
      <c r="AM38" s="286">
        <v>-26.512499999999999</v>
      </c>
      <c r="AN38" s="286">
        <f t="shared" si="52"/>
        <v>-48.127499999999998</v>
      </c>
      <c r="AO38" s="286">
        <f t="shared" si="53"/>
        <v>-21.614999999999998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2.1.14'!V35</f>
        <v>0</v>
      </c>
      <c r="D39" s="201">
        <f>+'Table 5C1A-Madison Prep'!D39</f>
        <v>5456.2254558085233</v>
      </c>
      <c r="E39" s="202">
        <f t="shared" si="35"/>
        <v>0</v>
      </c>
      <c r="F39" s="202">
        <f>+'Table 5C1A-Madison Prep'!F39</f>
        <v>655.31000000000006</v>
      </c>
      <c r="G39" s="202">
        <f t="shared" si="36"/>
        <v>0</v>
      </c>
      <c r="H39" s="345">
        <f t="shared" si="37"/>
        <v>0</v>
      </c>
      <c r="I39" s="203">
        <f>'[1]Oct midyear LA Key'!K36</f>
        <v>0</v>
      </c>
      <c r="J39" s="203">
        <f>'[1]Feb midyear LA Key'!K36</f>
        <v>0</v>
      </c>
      <c r="K39" s="204">
        <f t="shared" si="38"/>
        <v>0</v>
      </c>
      <c r="L39" s="345">
        <f t="shared" si="39"/>
        <v>0</v>
      </c>
      <c r="M39" s="286">
        <f t="shared" si="40"/>
        <v>0</v>
      </c>
      <c r="N39" s="345">
        <f t="shared" si="41"/>
        <v>0</v>
      </c>
      <c r="O39" s="201">
        <v>0</v>
      </c>
      <c r="P39" s="351">
        <f t="shared" si="42"/>
        <v>0</v>
      </c>
      <c r="Q39" s="203">
        <f>'[2]Table 5C1I-LA Key Academy'!S39+'[14]Table 5C1I-LA Key Academy'!S39+(6*'[20]Table 5C1I-LA Key Academy'!S39)</f>
        <v>0</v>
      </c>
      <c r="R39" s="203">
        <f t="shared" si="43"/>
        <v>0</v>
      </c>
      <c r="S39" s="351">
        <f t="shared" ref="S39:S70" si="54">ROUND(R39/$S$88,0)</f>
        <v>0</v>
      </c>
      <c r="T39" s="351">
        <f t="shared" si="44"/>
        <v>0</v>
      </c>
      <c r="U39" s="287">
        <f>'Table 5C1A-Madison Prep'!U39</f>
        <v>3784</v>
      </c>
      <c r="V39" s="328">
        <f t="shared" si="45"/>
        <v>0</v>
      </c>
      <c r="W39" s="289">
        <f>'[1]Oct midyear LA Key'!E36</f>
        <v>0</v>
      </c>
      <c r="X39" s="290">
        <f t="shared" si="46"/>
        <v>0</v>
      </c>
      <c r="Y39" s="289">
        <f>'[1]Feb midyear LA Key'!E36</f>
        <v>0</v>
      </c>
      <c r="Z39" s="290">
        <f t="shared" si="29"/>
        <v>0</v>
      </c>
      <c r="AA39" s="288">
        <f t="shared" si="30"/>
        <v>0</v>
      </c>
      <c r="AB39" s="324">
        <f t="shared" si="31"/>
        <v>0</v>
      </c>
      <c r="AC39" s="292">
        <f t="shared" si="32"/>
        <v>0</v>
      </c>
      <c r="AD39" s="324">
        <f t="shared" si="47"/>
        <v>0</v>
      </c>
      <c r="AE39" s="293">
        <v>0</v>
      </c>
      <c r="AF39" s="324">
        <f t="shared" si="48"/>
        <v>0</v>
      </c>
      <c r="AG39" s="293">
        <f>'[2]Table 5C1I-LA Key Academy'!AI39+'[14]Table 5C1I-LA Key Academy'!AI39+(6*'[20]Table 5C1I-LA Key Academy'!AI39)</f>
        <v>0</v>
      </c>
      <c r="AH39" s="293">
        <f t="shared" si="49"/>
        <v>0</v>
      </c>
      <c r="AI39" s="324">
        <f t="shared" ref="AI39:AI70" si="55">ROUND(AH39/$AI$88,0)</f>
        <v>0</v>
      </c>
      <c r="AJ39" s="321">
        <f t="shared" si="50"/>
        <v>0</v>
      </c>
      <c r="AK39" s="342">
        <f t="shared" si="51"/>
        <v>0</v>
      </c>
      <c r="AM39" s="286">
        <v>0</v>
      </c>
      <c r="AN39" s="286">
        <f t="shared" si="52"/>
        <v>0</v>
      </c>
      <c r="AO39" s="286">
        <f t="shared" si="53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2.1.14'!V36</f>
        <v>0</v>
      </c>
      <c r="D40" s="201">
        <f>+'Table 5C1A-Madison Prep'!D40</f>
        <v>6292.0976842789005</v>
      </c>
      <c r="E40" s="202">
        <f t="shared" si="35"/>
        <v>0</v>
      </c>
      <c r="F40" s="202">
        <f>+'Table 5C1A-Madison Prep'!F40</f>
        <v>644.11000000000013</v>
      </c>
      <c r="G40" s="202">
        <f t="shared" si="36"/>
        <v>0</v>
      </c>
      <c r="H40" s="345">
        <f t="shared" si="37"/>
        <v>0</v>
      </c>
      <c r="I40" s="203">
        <f>'[1]Oct midyear LA Key'!K37</f>
        <v>0</v>
      </c>
      <c r="J40" s="203">
        <f>'[1]Feb midyear LA Key'!K37</f>
        <v>0</v>
      </c>
      <c r="K40" s="204">
        <f t="shared" si="38"/>
        <v>0</v>
      </c>
      <c r="L40" s="345">
        <f t="shared" si="39"/>
        <v>0</v>
      </c>
      <c r="M40" s="286">
        <f t="shared" si="40"/>
        <v>0</v>
      </c>
      <c r="N40" s="345">
        <f t="shared" si="41"/>
        <v>0</v>
      </c>
      <c r="O40" s="201">
        <v>0</v>
      </c>
      <c r="P40" s="351">
        <f t="shared" si="42"/>
        <v>0</v>
      </c>
      <c r="Q40" s="203">
        <f>'[2]Table 5C1I-LA Key Academy'!S40+'[14]Table 5C1I-LA Key Academy'!S40+(6*'[20]Table 5C1I-LA Key Academy'!S40)</f>
        <v>0</v>
      </c>
      <c r="R40" s="203">
        <f t="shared" si="43"/>
        <v>0</v>
      </c>
      <c r="S40" s="351">
        <f t="shared" si="54"/>
        <v>0</v>
      </c>
      <c r="T40" s="351">
        <f t="shared" si="44"/>
        <v>0</v>
      </c>
      <c r="U40" s="287">
        <f>'Table 5C1A-Madison Prep'!U40</f>
        <v>2911</v>
      </c>
      <c r="V40" s="328">
        <f t="shared" si="45"/>
        <v>0</v>
      </c>
      <c r="W40" s="289">
        <f>'[1]Oct midyear LA Key'!E37</f>
        <v>0</v>
      </c>
      <c r="X40" s="290">
        <f t="shared" si="46"/>
        <v>0</v>
      </c>
      <c r="Y40" s="289">
        <f>'[1]Feb midyear LA Key'!E37</f>
        <v>0</v>
      </c>
      <c r="Z40" s="290">
        <f t="shared" si="29"/>
        <v>0</v>
      </c>
      <c r="AA40" s="288">
        <f t="shared" si="30"/>
        <v>0</v>
      </c>
      <c r="AB40" s="324">
        <f t="shared" si="31"/>
        <v>0</v>
      </c>
      <c r="AC40" s="292">
        <f t="shared" si="32"/>
        <v>0</v>
      </c>
      <c r="AD40" s="324">
        <f t="shared" si="47"/>
        <v>0</v>
      </c>
      <c r="AE40" s="293">
        <v>0</v>
      </c>
      <c r="AF40" s="324">
        <f t="shared" si="48"/>
        <v>0</v>
      </c>
      <c r="AG40" s="293">
        <f>'[2]Table 5C1I-LA Key Academy'!AI40+'[14]Table 5C1I-LA Key Academy'!AI40+(6*'[20]Table 5C1I-LA Key Academy'!AI40)</f>
        <v>0</v>
      </c>
      <c r="AH40" s="293">
        <f t="shared" si="49"/>
        <v>0</v>
      </c>
      <c r="AI40" s="324">
        <f t="shared" si="55"/>
        <v>0</v>
      </c>
      <c r="AJ40" s="321">
        <f t="shared" si="50"/>
        <v>0</v>
      </c>
      <c r="AK40" s="342">
        <f t="shared" si="51"/>
        <v>0</v>
      </c>
      <c r="AM40" s="286">
        <v>0</v>
      </c>
      <c r="AN40" s="286">
        <f t="shared" si="52"/>
        <v>0</v>
      </c>
      <c r="AO40" s="286">
        <f t="shared" si="53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2.1.14'!V37</f>
        <v>0</v>
      </c>
      <c r="D41" s="194">
        <f>+'Table 5C1A-Madison Prep'!D41</f>
        <v>5166.2482060477605</v>
      </c>
      <c r="E41" s="195">
        <f t="shared" si="35"/>
        <v>0</v>
      </c>
      <c r="F41" s="195">
        <f>+'Table 5C1A-Madison Prep'!F41</f>
        <v>537.96</v>
      </c>
      <c r="G41" s="195">
        <f t="shared" si="36"/>
        <v>0</v>
      </c>
      <c r="H41" s="346">
        <f t="shared" si="37"/>
        <v>0</v>
      </c>
      <c r="I41" s="196">
        <f>'[1]Oct midyear LA Key'!K38</f>
        <v>0</v>
      </c>
      <c r="J41" s="196">
        <f>'[1]Feb midyear LA Key'!K38</f>
        <v>0</v>
      </c>
      <c r="K41" s="197">
        <f t="shared" si="38"/>
        <v>0</v>
      </c>
      <c r="L41" s="346">
        <f t="shared" si="39"/>
        <v>0</v>
      </c>
      <c r="M41" s="296">
        <f t="shared" si="40"/>
        <v>0</v>
      </c>
      <c r="N41" s="346">
        <f t="shared" si="41"/>
        <v>0</v>
      </c>
      <c r="O41" s="194">
        <v>0</v>
      </c>
      <c r="P41" s="352">
        <f t="shared" si="42"/>
        <v>0</v>
      </c>
      <c r="Q41" s="196">
        <f>'[2]Table 5C1I-LA Key Academy'!S41+'[14]Table 5C1I-LA Key Academy'!S41+(6*'[20]Table 5C1I-LA Key Academy'!S41)</f>
        <v>0</v>
      </c>
      <c r="R41" s="196">
        <f t="shared" si="43"/>
        <v>0</v>
      </c>
      <c r="S41" s="352">
        <f t="shared" si="54"/>
        <v>0</v>
      </c>
      <c r="T41" s="352">
        <f t="shared" si="44"/>
        <v>0</v>
      </c>
      <c r="U41" s="281">
        <f>'Table 5C1A-Madison Prep'!U41</f>
        <v>3337</v>
      </c>
      <c r="V41" s="329">
        <f t="shared" si="45"/>
        <v>0</v>
      </c>
      <c r="W41" s="884">
        <f>'[1]Oct midyear LA Key'!E38</f>
        <v>0</v>
      </c>
      <c r="X41" s="282">
        <f t="shared" si="46"/>
        <v>0</v>
      </c>
      <c r="Y41" s="884">
        <f>'[1]Feb midyear LA Key'!E38</f>
        <v>0</v>
      </c>
      <c r="Z41" s="282">
        <f t="shared" si="29"/>
        <v>0</v>
      </c>
      <c r="AA41" s="283">
        <f t="shared" si="30"/>
        <v>0</v>
      </c>
      <c r="AB41" s="325">
        <f t="shared" si="31"/>
        <v>0</v>
      </c>
      <c r="AC41" s="298">
        <f t="shared" si="32"/>
        <v>0</v>
      </c>
      <c r="AD41" s="325">
        <f t="shared" si="47"/>
        <v>0</v>
      </c>
      <c r="AE41" s="284">
        <v>0</v>
      </c>
      <c r="AF41" s="325">
        <f t="shared" si="48"/>
        <v>0</v>
      </c>
      <c r="AG41" s="284">
        <f>'[2]Table 5C1I-LA Key Academy'!AI41+'[14]Table 5C1I-LA Key Academy'!AI41+(6*'[20]Table 5C1I-LA Key Academy'!AI41)</f>
        <v>0</v>
      </c>
      <c r="AH41" s="284">
        <f t="shared" si="49"/>
        <v>0</v>
      </c>
      <c r="AI41" s="325">
        <f t="shared" si="55"/>
        <v>0</v>
      </c>
      <c r="AJ41" s="338">
        <f t="shared" si="50"/>
        <v>0</v>
      </c>
      <c r="AK41" s="343">
        <f t="shared" si="51"/>
        <v>0</v>
      </c>
      <c r="AM41" s="296">
        <v>0</v>
      </c>
      <c r="AN41" s="296">
        <f t="shared" si="52"/>
        <v>0</v>
      </c>
      <c r="AO41" s="296">
        <f t="shared" si="53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2.1.14'!V38</f>
        <v>0</v>
      </c>
      <c r="D42" s="208">
        <f>+'Table 5C1A-Madison Prep'!D42</f>
        <v>3602.7009974327857</v>
      </c>
      <c r="E42" s="209">
        <f t="shared" si="35"/>
        <v>0</v>
      </c>
      <c r="F42" s="209">
        <f>+'Table 5C1A-Madison Prep'!F42</f>
        <v>746.0335616438357</v>
      </c>
      <c r="G42" s="209">
        <f t="shared" si="36"/>
        <v>0</v>
      </c>
      <c r="H42" s="344">
        <f t="shared" si="37"/>
        <v>0</v>
      </c>
      <c r="I42" s="210">
        <f>'[1]Oct midyear LA Key'!K39</f>
        <v>0</v>
      </c>
      <c r="J42" s="210">
        <f>'[1]Feb midyear LA Key'!K39</f>
        <v>0</v>
      </c>
      <c r="K42" s="211">
        <f t="shared" si="38"/>
        <v>0</v>
      </c>
      <c r="L42" s="344">
        <f t="shared" si="39"/>
        <v>0</v>
      </c>
      <c r="M42" s="273">
        <f t="shared" si="40"/>
        <v>0</v>
      </c>
      <c r="N42" s="344">
        <f t="shared" si="41"/>
        <v>0</v>
      </c>
      <c r="O42" s="208">
        <v>0</v>
      </c>
      <c r="P42" s="350">
        <f t="shared" si="42"/>
        <v>0</v>
      </c>
      <c r="Q42" s="210">
        <f>'[2]Table 5C1I-LA Key Academy'!S42+'[14]Table 5C1I-LA Key Academy'!S42+(6*'[20]Table 5C1I-LA Key Academy'!S42)</f>
        <v>0</v>
      </c>
      <c r="R42" s="210">
        <f t="shared" si="43"/>
        <v>0</v>
      </c>
      <c r="S42" s="350">
        <f t="shared" si="54"/>
        <v>0</v>
      </c>
      <c r="T42" s="350">
        <f t="shared" si="44"/>
        <v>0</v>
      </c>
      <c r="U42" s="274">
        <f>'Table 5C1A-Madison Prep'!U42</f>
        <v>5469</v>
      </c>
      <c r="V42" s="327">
        <f t="shared" si="45"/>
        <v>0</v>
      </c>
      <c r="W42" s="883">
        <f>'[1]Oct midyear LA Key'!E39</f>
        <v>0</v>
      </c>
      <c r="X42" s="276">
        <f t="shared" si="46"/>
        <v>0</v>
      </c>
      <c r="Y42" s="883">
        <f>'[1]Feb midyear LA Key'!E39</f>
        <v>0</v>
      </c>
      <c r="Z42" s="276">
        <f t="shared" si="29"/>
        <v>0</v>
      </c>
      <c r="AA42" s="275">
        <f t="shared" si="30"/>
        <v>0</v>
      </c>
      <c r="AB42" s="323">
        <f t="shared" si="31"/>
        <v>0</v>
      </c>
      <c r="AC42" s="278">
        <f t="shared" si="32"/>
        <v>0</v>
      </c>
      <c r="AD42" s="323">
        <f t="shared" si="47"/>
        <v>0</v>
      </c>
      <c r="AE42" s="279">
        <v>0</v>
      </c>
      <c r="AF42" s="323">
        <f t="shared" si="48"/>
        <v>0</v>
      </c>
      <c r="AG42" s="279">
        <f>'[2]Table 5C1I-LA Key Academy'!AI42+'[14]Table 5C1I-LA Key Academy'!AI42+(6*'[20]Table 5C1I-LA Key Academy'!AI42)</f>
        <v>0</v>
      </c>
      <c r="AH42" s="279">
        <f t="shared" si="49"/>
        <v>0</v>
      </c>
      <c r="AI42" s="323">
        <f t="shared" si="55"/>
        <v>0</v>
      </c>
      <c r="AJ42" s="337">
        <f t="shared" si="50"/>
        <v>0</v>
      </c>
      <c r="AK42" s="341">
        <f t="shared" si="51"/>
        <v>0</v>
      </c>
      <c r="AM42" s="273">
        <v>0</v>
      </c>
      <c r="AN42" s="273">
        <f t="shared" si="52"/>
        <v>0</v>
      </c>
      <c r="AO42" s="273">
        <f t="shared" si="53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2.1.14'!V39</f>
        <v>0</v>
      </c>
      <c r="D43" s="201">
        <f>+'Table 5C1A-Madison Prep'!D43</f>
        <v>5665.3839260317691</v>
      </c>
      <c r="E43" s="202">
        <f t="shared" si="35"/>
        <v>0</v>
      </c>
      <c r="F43" s="202">
        <f>+'Table 5C1A-Madison Prep'!F43</f>
        <v>653.61</v>
      </c>
      <c r="G43" s="202">
        <f t="shared" si="36"/>
        <v>0</v>
      </c>
      <c r="H43" s="345">
        <f t="shared" si="37"/>
        <v>0</v>
      </c>
      <c r="I43" s="203">
        <f>'[1]Oct midyear LA Key'!K40</f>
        <v>0</v>
      </c>
      <c r="J43" s="203">
        <f>'[1]Feb midyear LA Key'!K40</f>
        <v>0</v>
      </c>
      <c r="K43" s="204">
        <f t="shared" si="38"/>
        <v>0</v>
      </c>
      <c r="L43" s="345">
        <f t="shared" si="39"/>
        <v>0</v>
      </c>
      <c r="M43" s="286">
        <f t="shared" si="40"/>
        <v>0</v>
      </c>
      <c r="N43" s="345">
        <f t="shared" si="41"/>
        <v>0</v>
      </c>
      <c r="O43" s="201">
        <v>0</v>
      </c>
      <c r="P43" s="351">
        <f t="shared" si="42"/>
        <v>0</v>
      </c>
      <c r="Q43" s="203">
        <f>'[2]Table 5C1I-LA Key Academy'!S43+'[14]Table 5C1I-LA Key Academy'!S43+(6*'[20]Table 5C1I-LA Key Academy'!S43)</f>
        <v>0</v>
      </c>
      <c r="R43" s="203">
        <f t="shared" si="43"/>
        <v>0</v>
      </c>
      <c r="S43" s="351">
        <f t="shared" si="54"/>
        <v>0</v>
      </c>
      <c r="T43" s="351">
        <f t="shared" si="44"/>
        <v>0</v>
      </c>
      <c r="U43" s="287">
        <f>'Table 5C1A-Madison Prep'!U43</f>
        <v>3424</v>
      </c>
      <c r="V43" s="328">
        <f t="shared" si="45"/>
        <v>0</v>
      </c>
      <c r="W43" s="289">
        <f>'[1]Oct midyear LA Key'!E40</f>
        <v>0</v>
      </c>
      <c r="X43" s="290">
        <f t="shared" si="46"/>
        <v>0</v>
      </c>
      <c r="Y43" s="289">
        <f>'[1]Feb midyear LA Key'!E40</f>
        <v>0</v>
      </c>
      <c r="Z43" s="290">
        <f t="shared" si="29"/>
        <v>0</v>
      </c>
      <c r="AA43" s="288">
        <f t="shared" si="30"/>
        <v>0</v>
      </c>
      <c r="AB43" s="324">
        <f t="shared" si="31"/>
        <v>0</v>
      </c>
      <c r="AC43" s="292">
        <f t="shared" si="32"/>
        <v>0</v>
      </c>
      <c r="AD43" s="324">
        <f t="shared" si="47"/>
        <v>0</v>
      </c>
      <c r="AE43" s="293">
        <v>0</v>
      </c>
      <c r="AF43" s="324">
        <f t="shared" si="48"/>
        <v>0</v>
      </c>
      <c r="AG43" s="293">
        <f>'[2]Table 5C1I-LA Key Academy'!AI43+'[14]Table 5C1I-LA Key Academy'!AI43+(6*'[20]Table 5C1I-LA Key Academy'!AI43)</f>
        <v>0</v>
      </c>
      <c r="AH43" s="293">
        <f t="shared" si="49"/>
        <v>0</v>
      </c>
      <c r="AI43" s="324">
        <f t="shared" si="55"/>
        <v>0</v>
      </c>
      <c r="AJ43" s="321">
        <f t="shared" si="50"/>
        <v>0</v>
      </c>
      <c r="AK43" s="342">
        <f t="shared" si="51"/>
        <v>0</v>
      </c>
      <c r="AM43" s="286">
        <v>0</v>
      </c>
      <c r="AN43" s="286">
        <f t="shared" si="52"/>
        <v>0</v>
      </c>
      <c r="AO43" s="286">
        <f t="shared" si="53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2.1.14'!V40</f>
        <v>0</v>
      </c>
      <c r="D44" s="201">
        <f>+'Table 5C1A-Madison Prep'!D44</f>
        <v>2088.8017552916881</v>
      </c>
      <c r="E44" s="202">
        <f t="shared" si="35"/>
        <v>0</v>
      </c>
      <c r="F44" s="202">
        <f>+'Table 5C1A-Madison Prep'!F44</f>
        <v>829.92000000000007</v>
      </c>
      <c r="G44" s="202">
        <f t="shared" si="36"/>
        <v>0</v>
      </c>
      <c r="H44" s="345">
        <f t="shared" si="37"/>
        <v>0</v>
      </c>
      <c r="I44" s="203">
        <f>'[1]Oct midyear LA Key'!K41</f>
        <v>0</v>
      </c>
      <c r="J44" s="203">
        <f>'[1]Feb midyear LA Key'!K41</f>
        <v>0</v>
      </c>
      <c r="K44" s="204">
        <f t="shared" si="38"/>
        <v>0</v>
      </c>
      <c r="L44" s="345">
        <f t="shared" si="39"/>
        <v>0</v>
      </c>
      <c r="M44" s="286">
        <f t="shared" si="40"/>
        <v>0</v>
      </c>
      <c r="N44" s="345">
        <f t="shared" si="41"/>
        <v>0</v>
      </c>
      <c r="O44" s="201">
        <v>0</v>
      </c>
      <c r="P44" s="351">
        <f t="shared" si="42"/>
        <v>0</v>
      </c>
      <c r="Q44" s="203">
        <f>'[2]Table 5C1I-LA Key Academy'!S44+'[14]Table 5C1I-LA Key Academy'!S44+(6*'[20]Table 5C1I-LA Key Academy'!S44)</f>
        <v>0</v>
      </c>
      <c r="R44" s="203">
        <f t="shared" si="43"/>
        <v>0</v>
      </c>
      <c r="S44" s="351">
        <f t="shared" si="54"/>
        <v>0</v>
      </c>
      <c r="T44" s="351">
        <f t="shared" si="44"/>
        <v>0</v>
      </c>
      <c r="U44" s="287">
        <f>'Table 5C1A-Madison Prep'!U44</f>
        <v>11060</v>
      </c>
      <c r="V44" s="328">
        <f t="shared" si="45"/>
        <v>0</v>
      </c>
      <c r="W44" s="289">
        <f>'[1]Oct midyear LA Key'!E41</f>
        <v>0</v>
      </c>
      <c r="X44" s="290">
        <f t="shared" si="46"/>
        <v>0</v>
      </c>
      <c r="Y44" s="289">
        <f>'[1]Feb midyear LA Key'!E41</f>
        <v>0</v>
      </c>
      <c r="Z44" s="290">
        <f t="shared" si="29"/>
        <v>0</v>
      </c>
      <c r="AA44" s="288">
        <f t="shared" si="30"/>
        <v>0</v>
      </c>
      <c r="AB44" s="324">
        <f t="shared" si="31"/>
        <v>0</v>
      </c>
      <c r="AC44" s="292">
        <f t="shared" si="32"/>
        <v>0</v>
      </c>
      <c r="AD44" s="324">
        <f t="shared" si="47"/>
        <v>0</v>
      </c>
      <c r="AE44" s="293">
        <v>0</v>
      </c>
      <c r="AF44" s="324">
        <f t="shared" si="48"/>
        <v>0</v>
      </c>
      <c r="AG44" s="293">
        <f>'[2]Table 5C1I-LA Key Academy'!AI44+'[14]Table 5C1I-LA Key Academy'!AI44+(6*'[20]Table 5C1I-LA Key Academy'!AI44)</f>
        <v>0</v>
      </c>
      <c r="AH44" s="293">
        <f t="shared" si="49"/>
        <v>0</v>
      </c>
      <c r="AI44" s="324">
        <f t="shared" si="55"/>
        <v>0</v>
      </c>
      <c r="AJ44" s="321">
        <f t="shared" si="50"/>
        <v>0</v>
      </c>
      <c r="AK44" s="342">
        <f t="shared" si="51"/>
        <v>0</v>
      </c>
      <c r="AM44" s="286">
        <v>0</v>
      </c>
      <c r="AN44" s="286">
        <f t="shared" si="52"/>
        <v>0</v>
      </c>
      <c r="AO44" s="286">
        <f t="shared" si="53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2.1.14'!V41</f>
        <v>1</v>
      </c>
      <c r="D45" s="201">
        <f>+'Table 5C1A-Madison Prep'!D45</f>
        <v>3656.9056809295676</v>
      </c>
      <c r="E45" s="202">
        <f t="shared" si="35"/>
        <v>3656.9056809295676</v>
      </c>
      <c r="F45" s="202">
        <f>+'Table 5C1A-Madison Prep'!F45</f>
        <v>779.65573042776396</v>
      </c>
      <c r="G45" s="202">
        <f t="shared" si="36"/>
        <v>779.65573042776396</v>
      </c>
      <c r="H45" s="345">
        <f t="shared" si="37"/>
        <v>4436.561411357332</v>
      </c>
      <c r="I45" s="203">
        <f>'[1]Oct midyear LA Key'!K42</f>
        <v>4436.561411357332</v>
      </c>
      <c r="J45" s="203">
        <f>'[1]Feb midyear LA Key'!K42</f>
        <v>0</v>
      </c>
      <c r="K45" s="204">
        <f t="shared" si="38"/>
        <v>4436.561411357332</v>
      </c>
      <c r="L45" s="345">
        <f t="shared" si="39"/>
        <v>8873.1228227146639</v>
      </c>
      <c r="M45" s="286">
        <f t="shared" si="40"/>
        <v>-22.182807056786661</v>
      </c>
      <c r="N45" s="345">
        <f t="shared" si="41"/>
        <v>8850.9400156578777</v>
      </c>
      <c r="O45" s="201">
        <v>0</v>
      </c>
      <c r="P45" s="351">
        <f t="shared" si="42"/>
        <v>8850.9400156578777</v>
      </c>
      <c r="Q45" s="203">
        <f>'[2]Table 5C1I-LA Key Academy'!S45+'[14]Table 5C1I-LA Key Academy'!S45+(6*'[20]Table 5C1I-LA Key Academy'!S45)</f>
        <v>5604</v>
      </c>
      <c r="R45" s="203">
        <f t="shared" si="43"/>
        <v>3246.9400156578777</v>
      </c>
      <c r="S45" s="351">
        <f t="shared" si="54"/>
        <v>812</v>
      </c>
      <c r="T45" s="351">
        <f t="shared" si="44"/>
        <v>8850.9400156578777</v>
      </c>
      <c r="U45" s="287">
        <f>'Table 5C1A-Madison Prep'!U45</f>
        <v>4922</v>
      </c>
      <c r="V45" s="328">
        <f t="shared" si="45"/>
        <v>4922</v>
      </c>
      <c r="W45" s="289">
        <f>'[1]Oct midyear LA Key'!E42</f>
        <v>1</v>
      </c>
      <c r="X45" s="290">
        <f t="shared" si="46"/>
        <v>4922</v>
      </c>
      <c r="Y45" s="289">
        <f>'[1]Feb midyear LA Key'!E42</f>
        <v>0</v>
      </c>
      <c r="Z45" s="290">
        <f t="shared" si="29"/>
        <v>0</v>
      </c>
      <c r="AA45" s="288">
        <f t="shared" si="30"/>
        <v>4922</v>
      </c>
      <c r="AB45" s="324">
        <f t="shared" si="31"/>
        <v>9844</v>
      </c>
      <c r="AC45" s="292">
        <f t="shared" si="32"/>
        <v>-24.61</v>
      </c>
      <c r="AD45" s="324">
        <f t="shared" si="47"/>
        <v>9819.39</v>
      </c>
      <c r="AE45" s="293">
        <v>0</v>
      </c>
      <c r="AF45" s="324">
        <f t="shared" si="48"/>
        <v>9819.39</v>
      </c>
      <c r="AG45" s="293">
        <f>'[2]Table 5C1I-LA Key Academy'!AI45+'[14]Table 5C1I-LA Key Academy'!AI45+(6*'[20]Table 5C1I-LA Key Academy'!AI45)</f>
        <v>6260</v>
      </c>
      <c r="AH45" s="293">
        <f t="shared" si="49"/>
        <v>3559.3899999999994</v>
      </c>
      <c r="AI45" s="324">
        <f t="shared" si="55"/>
        <v>890</v>
      </c>
      <c r="AJ45" s="321">
        <f t="shared" si="50"/>
        <v>18670.330015657877</v>
      </c>
      <c r="AK45" s="342">
        <f t="shared" si="51"/>
        <v>1702</v>
      </c>
      <c r="AM45" s="286">
        <v>-12.387500000000001</v>
      </c>
      <c r="AN45" s="286">
        <f t="shared" si="52"/>
        <v>-24.61</v>
      </c>
      <c r="AO45" s="286">
        <f t="shared" si="53"/>
        <v>-12.222499999999998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2.1.14'!V42</f>
        <v>0</v>
      </c>
      <c r="D46" s="194">
        <f>+'Table 5C1A-Madison Prep'!D46</f>
        <v>5121.8110285698403</v>
      </c>
      <c r="E46" s="195">
        <f t="shared" si="35"/>
        <v>0</v>
      </c>
      <c r="F46" s="195">
        <f>+'Table 5C1A-Madison Prep'!F46</f>
        <v>700.2700000000001</v>
      </c>
      <c r="G46" s="195">
        <f t="shared" si="36"/>
        <v>0</v>
      </c>
      <c r="H46" s="346">
        <f t="shared" si="37"/>
        <v>0</v>
      </c>
      <c r="I46" s="196">
        <f>'[1]Oct midyear LA Key'!K43</f>
        <v>0</v>
      </c>
      <c r="J46" s="196">
        <f>'[1]Feb midyear LA Key'!K43</f>
        <v>0</v>
      </c>
      <c r="K46" s="197">
        <f t="shared" si="38"/>
        <v>0</v>
      </c>
      <c r="L46" s="346">
        <f t="shared" si="39"/>
        <v>0</v>
      </c>
      <c r="M46" s="296">
        <f t="shared" si="40"/>
        <v>0</v>
      </c>
      <c r="N46" s="346">
        <f t="shared" si="41"/>
        <v>0</v>
      </c>
      <c r="O46" s="194">
        <v>0</v>
      </c>
      <c r="P46" s="352">
        <f t="shared" si="42"/>
        <v>0</v>
      </c>
      <c r="Q46" s="196">
        <f>'[2]Table 5C1I-LA Key Academy'!S46+'[14]Table 5C1I-LA Key Academy'!S46+(6*'[20]Table 5C1I-LA Key Academy'!S46)</f>
        <v>0</v>
      </c>
      <c r="R46" s="196">
        <f t="shared" si="43"/>
        <v>0</v>
      </c>
      <c r="S46" s="352">
        <f t="shared" si="54"/>
        <v>0</v>
      </c>
      <c r="T46" s="352">
        <f t="shared" si="44"/>
        <v>0</v>
      </c>
      <c r="U46" s="281">
        <f>'Table 5C1A-Madison Prep'!U46</f>
        <v>3152</v>
      </c>
      <c r="V46" s="329">
        <f t="shared" si="45"/>
        <v>0</v>
      </c>
      <c r="W46" s="884">
        <f>'[1]Oct midyear LA Key'!E43</f>
        <v>0</v>
      </c>
      <c r="X46" s="282">
        <f t="shared" si="46"/>
        <v>0</v>
      </c>
      <c r="Y46" s="884">
        <f>'[1]Feb midyear LA Key'!E43</f>
        <v>0</v>
      </c>
      <c r="Z46" s="282">
        <f t="shared" si="29"/>
        <v>0</v>
      </c>
      <c r="AA46" s="283">
        <f t="shared" si="30"/>
        <v>0</v>
      </c>
      <c r="AB46" s="325">
        <f t="shared" si="31"/>
        <v>0</v>
      </c>
      <c r="AC46" s="298">
        <f t="shared" si="32"/>
        <v>0</v>
      </c>
      <c r="AD46" s="325">
        <f t="shared" si="47"/>
        <v>0</v>
      </c>
      <c r="AE46" s="284">
        <v>0</v>
      </c>
      <c r="AF46" s="325">
        <f t="shared" si="48"/>
        <v>0</v>
      </c>
      <c r="AG46" s="284">
        <f>'[2]Table 5C1I-LA Key Academy'!AI46+'[14]Table 5C1I-LA Key Academy'!AI46+(6*'[20]Table 5C1I-LA Key Academy'!AI46)</f>
        <v>0</v>
      </c>
      <c r="AH46" s="284">
        <f t="shared" si="49"/>
        <v>0</v>
      </c>
      <c r="AI46" s="325">
        <f t="shared" si="55"/>
        <v>0</v>
      </c>
      <c r="AJ46" s="338">
        <f t="shared" si="50"/>
        <v>0</v>
      </c>
      <c r="AK46" s="343">
        <f t="shared" si="51"/>
        <v>0</v>
      </c>
      <c r="AM46" s="296">
        <v>0</v>
      </c>
      <c r="AN46" s="296">
        <f t="shared" si="52"/>
        <v>0</v>
      </c>
      <c r="AO46" s="296">
        <f t="shared" si="53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2.1.14'!V43</f>
        <v>0</v>
      </c>
      <c r="D47" s="208">
        <f>+'Table 5C1A-Madison Prep'!D47</f>
        <v>3291.1948574716475</v>
      </c>
      <c r="E47" s="209">
        <f t="shared" si="35"/>
        <v>0</v>
      </c>
      <c r="F47" s="209">
        <f>+'Table 5C1A-Madison Prep'!F47</f>
        <v>886.22</v>
      </c>
      <c r="G47" s="209">
        <f t="shared" si="36"/>
        <v>0</v>
      </c>
      <c r="H47" s="344">
        <f t="shared" si="37"/>
        <v>0</v>
      </c>
      <c r="I47" s="210">
        <f>'[1]Oct midyear LA Key'!K44</f>
        <v>0</v>
      </c>
      <c r="J47" s="210">
        <f>'[1]Feb midyear LA Key'!K44</f>
        <v>0</v>
      </c>
      <c r="K47" s="211">
        <f t="shared" si="38"/>
        <v>0</v>
      </c>
      <c r="L47" s="344">
        <f t="shared" si="39"/>
        <v>0</v>
      </c>
      <c r="M47" s="273">
        <f t="shared" si="40"/>
        <v>0</v>
      </c>
      <c r="N47" s="344">
        <f t="shared" si="41"/>
        <v>0</v>
      </c>
      <c r="O47" s="208">
        <v>0</v>
      </c>
      <c r="P47" s="350">
        <f t="shared" si="42"/>
        <v>0</v>
      </c>
      <c r="Q47" s="210">
        <f>'[2]Table 5C1I-LA Key Academy'!S47+'[14]Table 5C1I-LA Key Academy'!S47+(6*'[20]Table 5C1I-LA Key Academy'!S47)</f>
        <v>0</v>
      </c>
      <c r="R47" s="210">
        <f t="shared" si="43"/>
        <v>0</v>
      </c>
      <c r="S47" s="350">
        <f t="shared" si="54"/>
        <v>0</v>
      </c>
      <c r="T47" s="350">
        <f t="shared" si="44"/>
        <v>0</v>
      </c>
      <c r="U47" s="274">
        <f>'Table 5C1A-Madison Prep'!U47</f>
        <v>9422</v>
      </c>
      <c r="V47" s="327">
        <f t="shared" si="45"/>
        <v>0</v>
      </c>
      <c r="W47" s="883">
        <f>'[1]Oct midyear LA Key'!E44</f>
        <v>0</v>
      </c>
      <c r="X47" s="276">
        <f t="shared" si="46"/>
        <v>0</v>
      </c>
      <c r="Y47" s="883">
        <f>'[1]Feb midyear LA Key'!E44</f>
        <v>0</v>
      </c>
      <c r="Z47" s="276">
        <f t="shared" si="29"/>
        <v>0</v>
      </c>
      <c r="AA47" s="275">
        <f t="shared" si="30"/>
        <v>0</v>
      </c>
      <c r="AB47" s="323">
        <f t="shared" si="31"/>
        <v>0</v>
      </c>
      <c r="AC47" s="278">
        <f t="shared" si="32"/>
        <v>0</v>
      </c>
      <c r="AD47" s="323">
        <f t="shared" si="47"/>
        <v>0</v>
      </c>
      <c r="AE47" s="279">
        <v>0</v>
      </c>
      <c r="AF47" s="323">
        <f t="shared" si="48"/>
        <v>0</v>
      </c>
      <c r="AG47" s="279">
        <f>'[2]Table 5C1I-LA Key Academy'!AI47+'[14]Table 5C1I-LA Key Academy'!AI47+(6*'[20]Table 5C1I-LA Key Academy'!AI47)</f>
        <v>0</v>
      </c>
      <c r="AH47" s="279">
        <f t="shared" si="49"/>
        <v>0</v>
      </c>
      <c r="AI47" s="323">
        <f t="shared" si="55"/>
        <v>0</v>
      </c>
      <c r="AJ47" s="337">
        <f t="shared" si="50"/>
        <v>0</v>
      </c>
      <c r="AK47" s="341">
        <f t="shared" si="51"/>
        <v>0</v>
      </c>
      <c r="AM47" s="273">
        <v>0</v>
      </c>
      <c r="AN47" s="273">
        <f t="shared" si="52"/>
        <v>0</v>
      </c>
      <c r="AO47" s="273">
        <f t="shared" si="53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2.1.14'!V44</f>
        <v>0</v>
      </c>
      <c r="D48" s="201">
        <f>+'Table 5C1A-Madison Prep'!D48</f>
        <v>5113.6077751368684</v>
      </c>
      <c r="E48" s="202">
        <f t="shared" si="35"/>
        <v>0</v>
      </c>
      <c r="F48" s="202">
        <f>+'Table 5C1A-Madison Prep'!F48</f>
        <v>534.28</v>
      </c>
      <c r="G48" s="202">
        <f t="shared" si="36"/>
        <v>0</v>
      </c>
      <c r="H48" s="345">
        <f t="shared" si="37"/>
        <v>0</v>
      </c>
      <c r="I48" s="203">
        <f>'[1]Oct midyear LA Key'!K45</f>
        <v>0</v>
      </c>
      <c r="J48" s="203">
        <f>'[1]Feb midyear LA Key'!K45</f>
        <v>0</v>
      </c>
      <c r="K48" s="204">
        <f t="shared" si="38"/>
        <v>0</v>
      </c>
      <c r="L48" s="345">
        <f t="shared" si="39"/>
        <v>0</v>
      </c>
      <c r="M48" s="286">
        <f t="shared" si="40"/>
        <v>0</v>
      </c>
      <c r="N48" s="345">
        <f t="shared" si="41"/>
        <v>0</v>
      </c>
      <c r="O48" s="201">
        <v>0</v>
      </c>
      <c r="P48" s="351">
        <f t="shared" si="42"/>
        <v>0</v>
      </c>
      <c r="Q48" s="203">
        <f>'[2]Table 5C1I-LA Key Academy'!S48+'[14]Table 5C1I-LA Key Academy'!S48+(6*'[20]Table 5C1I-LA Key Academy'!S48)</f>
        <v>0</v>
      </c>
      <c r="R48" s="203">
        <f t="shared" si="43"/>
        <v>0</v>
      </c>
      <c r="S48" s="351">
        <f t="shared" si="54"/>
        <v>0</v>
      </c>
      <c r="T48" s="351">
        <f t="shared" si="44"/>
        <v>0</v>
      </c>
      <c r="U48" s="287">
        <f>'Table 5C1A-Madison Prep'!U48</f>
        <v>3415</v>
      </c>
      <c r="V48" s="328">
        <f t="shared" si="45"/>
        <v>0</v>
      </c>
      <c r="W48" s="289">
        <f>'[1]Oct midyear LA Key'!E45</f>
        <v>0</v>
      </c>
      <c r="X48" s="290">
        <f t="shared" si="46"/>
        <v>0</v>
      </c>
      <c r="Y48" s="289">
        <f>'[1]Feb midyear LA Key'!E45</f>
        <v>0</v>
      </c>
      <c r="Z48" s="290">
        <f t="shared" si="29"/>
        <v>0</v>
      </c>
      <c r="AA48" s="288">
        <f t="shared" si="30"/>
        <v>0</v>
      </c>
      <c r="AB48" s="324">
        <f t="shared" si="31"/>
        <v>0</v>
      </c>
      <c r="AC48" s="292">
        <f t="shared" si="32"/>
        <v>0</v>
      </c>
      <c r="AD48" s="324">
        <f t="shared" si="47"/>
        <v>0</v>
      </c>
      <c r="AE48" s="293">
        <v>0</v>
      </c>
      <c r="AF48" s="324">
        <f t="shared" si="48"/>
        <v>0</v>
      </c>
      <c r="AG48" s="293">
        <f>'[2]Table 5C1I-LA Key Academy'!AI48+'[14]Table 5C1I-LA Key Academy'!AI48+(6*'[20]Table 5C1I-LA Key Academy'!AI48)</f>
        <v>0</v>
      </c>
      <c r="AH48" s="293">
        <f t="shared" si="49"/>
        <v>0</v>
      </c>
      <c r="AI48" s="324">
        <f t="shared" si="55"/>
        <v>0</v>
      </c>
      <c r="AJ48" s="321">
        <f t="shared" si="50"/>
        <v>0</v>
      </c>
      <c r="AK48" s="342">
        <f t="shared" si="51"/>
        <v>0</v>
      </c>
      <c r="AM48" s="286">
        <v>0</v>
      </c>
      <c r="AN48" s="286">
        <f t="shared" si="52"/>
        <v>0</v>
      </c>
      <c r="AO48" s="286">
        <f t="shared" si="53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2.1.14'!V45</f>
        <v>0</v>
      </c>
      <c r="D49" s="201">
        <f>+'Table 5C1A-Madison Prep'!D49</f>
        <v>5788.74387205947</v>
      </c>
      <c r="E49" s="202">
        <f t="shared" si="35"/>
        <v>0</v>
      </c>
      <c r="F49" s="202">
        <f>+'Table 5C1A-Madison Prep'!F49</f>
        <v>574.6099999999999</v>
      </c>
      <c r="G49" s="202">
        <f t="shared" si="36"/>
        <v>0</v>
      </c>
      <c r="H49" s="345">
        <f t="shared" si="37"/>
        <v>0</v>
      </c>
      <c r="I49" s="203">
        <f>'[1]Oct midyear LA Key'!K46</f>
        <v>0</v>
      </c>
      <c r="J49" s="203">
        <f>'[1]Feb midyear LA Key'!K46</f>
        <v>0</v>
      </c>
      <c r="K49" s="204">
        <f t="shared" si="38"/>
        <v>0</v>
      </c>
      <c r="L49" s="345">
        <f t="shared" si="39"/>
        <v>0</v>
      </c>
      <c r="M49" s="286">
        <f t="shared" si="40"/>
        <v>0</v>
      </c>
      <c r="N49" s="345">
        <f t="shared" si="41"/>
        <v>0</v>
      </c>
      <c r="O49" s="201">
        <v>0</v>
      </c>
      <c r="P49" s="351">
        <f t="shared" si="42"/>
        <v>0</v>
      </c>
      <c r="Q49" s="203">
        <f>'[2]Table 5C1I-LA Key Academy'!S49+'[14]Table 5C1I-LA Key Academy'!S49+(6*'[20]Table 5C1I-LA Key Academy'!S49)</f>
        <v>0</v>
      </c>
      <c r="R49" s="203">
        <f t="shared" si="43"/>
        <v>0</v>
      </c>
      <c r="S49" s="351">
        <f t="shared" si="54"/>
        <v>0</v>
      </c>
      <c r="T49" s="351">
        <f t="shared" si="44"/>
        <v>0</v>
      </c>
      <c r="U49" s="287">
        <f>'Table 5C1A-Madison Prep'!U49</f>
        <v>3334</v>
      </c>
      <c r="V49" s="328">
        <f t="shared" si="45"/>
        <v>0</v>
      </c>
      <c r="W49" s="289">
        <f>'[1]Oct midyear LA Key'!E46</f>
        <v>0</v>
      </c>
      <c r="X49" s="290">
        <f t="shared" si="46"/>
        <v>0</v>
      </c>
      <c r="Y49" s="289">
        <f>'[1]Feb midyear LA Key'!E46</f>
        <v>0</v>
      </c>
      <c r="Z49" s="290">
        <f t="shared" si="29"/>
        <v>0</v>
      </c>
      <c r="AA49" s="288">
        <f t="shared" si="30"/>
        <v>0</v>
      </c>
      <c r="AB49" s="324">
        <f t="shared" si="31"/>
        <v>0</v>
      </c>
      <c r="AC49" s="292">
        <f t="shared" si="32"/>
        <v>0</v>
      </c>
      <c r="AD49" s="324">
        <f t="shared" si="47"/>
        <v>0</v>
      </c>
      <c r="AE49" s="293">
        <v>0</v>
      </c>
      <c r="AF49" s="324">
        <f t="shared" si="48"/>
        <v>0</v>
      </c>
      <c r="AG49" s="293">
        <f>'[2]Table 5C1I-LA Key Academy'!AI49+'[14]Table 5C1I-LA Key Academy'!AI49+(6*'[20]Table 5C1I-LA Key Academy'!AI49)</f>
        <v>0</v>
      </c>
      <c r="AH49" s="293">
        <f t="shared" si="49"/>
        <v>0</v>
      </c>
      <c r="AI49" s="324">
        <f t="shared" si="55"/>
        <v>0</v>
      </c>
      <c r="AJ49" s="321">
        <f t="shared" si="50"/>
        <v>0</v>
      </c>
      <c r="AK49" s="342">
        <f t="shared" si="51"/>
        <v>0</v>
      </c>
      <c r="AM49" s="286">
        <v>0</v>
      </c>
      <c r="AN49" s="286">
        <f t="shared" si="52"/>
        <v>0</v>
      </c>
      <c r="AO49" s="286">
        <f t="shared" si="53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2.1.14'!V46</f>
        <v>0</v>
      </c>
      <c r="D50" s="201">
        <f>+'Table 5C1A-Madison Prep'!D50</f>
        <v>4897.5958151820359</v>
      </c>
      <c r="E50" s="202">
        <f t="shared" si="35"/>
        <v>0</v>
      </c>
      <c r="F50" s="202">
        <f>+'Table 5C1A-Madison Prep'!F50</f>
        <v>663.16000000000008</v>
      </c>
      <c r="G50" s="202">
        <f t="shared" si="36"/>
        <v>0</v>
      </c>
      <c r="H50" s="345">
        <f t="shared" si="37"/>
        <v>0</v>
      </c>
      <c r="I50" s="203">
        <f>'[1]Oct midyear LA Key'!K47</f>
        <v>0</v>
      </c>
      <c r="J50" s="203">
        <f>'[1]Feb midyear LA Key'!K47</f>
        <v>0</v>
      </c>
      <c r="K50" s="204">
        <f t="shared" si="38"/>
        <v>0</v>
      </c>
      <c r="L50" s="345">
        <f t="shared" si="39"/>
        <v>0</v>
      </c>
      <c r="M50" s="286">
        <f t="shared" si="40"/>
        <v>0</v>
      </c>
      <c r="N50" s="345">
        <f t="shared" si="41"/>
        <v>0</v>
      </c>
      <c r="O50" s="201">
        <v>0</v>
      </c>
      <c r="P50" s="351">
        <f t="shared" si="42"/>
        <v>0</v>
      </c>
      <c r="Q50" s="203">
        <f>'[2]Table 5C1I-LA Key Academy'!S50+'[14]Table 5C1I-LA Key Academy'!S50+(6*'[20]Table 5C1I-LA Key Academy'!S50)</f>
        <v>0</v>
      </c>
      <c r="R50" s="203">
        <f t="shared" si="43"/>
        <v>0</v>
      </c>
      <c r="S50" s="351">
        <f t="shared" si="54"/>
        <v>0</v>
      </c>
      <c r="T50" s="351">
        <f t="shared" si="44"/>
        <v>0</v>
      </c>
      <c r="U50" s="287">
        <f>'Table 5C1A-Madison Prep'!U50</f>
        <v>3587</v>
      </c>
      <c r="V50" s="328">
        <f t="shared" si="45"/>
        <v>0</v>
      </c>
      <c r="W50" s="289">
        <f>'[1]Oct midyear LA Key'!E47</f>
        <v>0</v>
      </c>
      <c r="X50" s="290">
        <f t="shared" si="46"/>
        <v>0</v>
      </c>
      <c r="Y50" s="289">
        <f>'[1]Feb midyear LA Key'!E47</f>
        <v>0</v>
      </c>
      <c r="Z50" s="290">
        <f t="shared" si="29"/>
        <v>0</v>
      </c>
      <c r="AA50" s="288">
        <f t="shared" si="30"/>
        <v>0</v>
      </c>
      <c r="AB50" s="324">
        <f t="shared" si="31"/>
        <v>0</v>
      </c>
      <c r="AC50" s="292">
        <f t="shared" si="32"/>
        <v>0</v>
      </c>
      <c r="AD50" s="324">
        <f t="shared" si="47"/>
        <v>0</v>
      </c>
      <c r="AE50" s="293">
        <v>0</v>
      </c>
      <c r="AF50" s="324">
        <f t="shared" si="48"/>
        <v>0</v>
      </c>
      <c r="AG50" s="293">
        <f>'[2]Table 5C1I-LA Key Academy'!AI50+'[14]Table 5C1I-LA Key Academy'!AI50+(6*'[20]Table 5C1I-LA Key Academy'!AI50)</f>
        <v>0</v>
      </c>
      <c r="AH50" s="293">
        <f t="shared" si="49"/>
        <v>0</v>
      </c>
      <c r="AI50" s="324">
        <f t="shared" si="55"/>
        <v>0</v>
      </c>
      <c r="AJ50" s="321">
        <f t="shared" si="50"/>
        <v>0</v>
      </c>
      <c r="AK50" s="342">
        <f t="shared" si="51"/>
        <v>0</v>
      </c>
      <c r="AM50" s="286">
        <v>0</v>
      </c>
      <c r="AN50" s="286">
        <f t="shared" si="52"/>
        <v>0</v>
      </c>
      <c r="AO50" s="286">
        <f t="shared" si="53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2.1.14'!V47</f>
        <v>0</v>
      </c>
      <c r="D51" s="194">
        <f>+'Table 5C1A-Madison Prep'!D51</f>
        <v>2054.0472499469101</v>
      </c>
      <c r="E51" s="195">
        <f t="shared" si="35"/>
        <v>0</v>
      </c>
      <c r="F51" s="195">
        <f>+'Table 5C1A-Madison Prep'!F51</f>
        <v>753.96000000000015</v>
      </c>
      <c r="G51" s="195">
        <f t="shared" si="36"/>
        <v>0</v>
      </c>
      <c r="H51" s="346">
        <f t="shared" si="37"/>
        <v>0</v>
      </c>
      <c r="I51" s="196">
        <f>'[1]Oct midyear LA Key'!K48</f>
        <v>0</v>
      </c>
      <c r="J51" s="196">
        <f>'[1]Feb midyear LA Key'!K48</f>
        <v>0</v>
      </c>
      <c r="K51" s="197">
        <f t="shared" si="38"/>
        <v>0</v>
      </c>
      <c r="L51" s="346">
        <f t="shared" si="39"/>
        <v>0</v>
      </c>
      <c r="M51" s="296">
        <f t="shared" si="40"/>
        <v>0</v>
      </c>
      <c r="N51" s="346">
        <f t="shared" si="41"/>
        <v>0</v>
      </c>
      <c r="O51" s="194">
        <v>0</v>
      </c>
      <c r="P51" s="352">
        <f t="shared" si="42"/>
        <v>0</v>
      </c>
      <c r="Q51" s="196">
        <f>'[2]Table 5C1I-LA Key Academy'!S51+'[14]Table 5C1I-LA Key Academy'!S51+(6*'[20]Table 5C1I-LA Key Academy'!S51)</f>
        <v>0</v>
      </c>
      <c r="R51" s="196">
        <f t="shared" si="43"/>
        <v>0</v>
      </c>
      <c r="S51" s="352">
        <f t="shared" si="54"/>
        <v>0</v>
      </c>
      <c r="T51" s="352">
        <f t="shared" si="44"/>
        <v>0</v>
      </c>
      <c r="U51" s="281">
        <f>'Table 5C1A-Madison Prep'!U51</f>
        <v>12134</v>
      </c>
      <c r="V51" s="329">
        <f t="shared" si="45"/>
        <v>0</v>
      </c>
      <c r="W51" s="884">
        <f>'[1]Oct midyear LA Key'!E48</f>
        <v>0</v>
      </c>
      <c r="X51" s="282">
        <f t="shared" si="46"/>
        <v>0</v>
      </c>
      <c r="Y51" s="884">
        <f>'[1]Feb midyear LA Key'!E48</f>
        <v>0</v>
      </c>
      <c r="Z51" s="282">
        <f t="shared" si="29"/>
        <v>0</v>
      </c>
      <c r="AA51" s="283">
        <f t="shared" si="30"/>
        <v>0</v>
      </c>
      <c r="AB51" s="325">
        <f t="shared" si="31"/>
        <v>0</v>
      </c>
      <c r="AC51" s="298">
        <f t="shared" si="32"/>
        <v>0</v>
      </c>
      <c r="AD51" s="325">
        <f t="shared" si="47"/>
        <v>0</v>
      </c>
      <c r="AE51" s="284">
        <v>0</v>
      </c>
      <c r="AF51" s="325">
        <f t="shared" si="48"/>
        <v>0</v>
      </c>
      <c r="AG51" s="284">
        <f>'[2]Table 5C1I-LA Key Academy'!AI51+'[14]Table 5C1I-LA Key Academy'!AI51+(6*'[20]Table 5C1I-LA Key Academy'!AI51)</f>
        <v>0</v>
      </c>
      <c r="AH51" s="284">
        <f t="shared" si="49"/>
        <v>0</v>
      </c>
      <c r="AI51" s="325">
        <f t="shared" si="55"/>
        <v>0</v>
      </c>
      <c r="AJ51" s="338">
        <f t="shared" si="50"/>
        <v>0</v>
      </c>
      <c r="AK51" s="343">
        <f t="shared" si="51"/>
        <v>0</v>
      </c>
      <c r="AM51" s="296">
        <v>0</v>
      </c>
      <c r="AN51" s="296">
        <f t="shared" si="52"/>
        <v>0</v>
      </c>
      <c r="AO51" s="296">
        <f t="shared" si="53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2.1.14'!V48</f>
        <v>0</v>
      </c>
      <c r="D52" s="208">
        <f>+'Table 5C1A-Madison Prep'!D52</f>
        <v>6051.2144468088381</v>
      </c>
      <c r="E52" s="209">
        <f t="shared" si="35"/>
        <v>0</v>
      </c>
      <c r="F52" s="209">
        <f>+'Table 5C1A-Madison Prep'!F52</f>
        <v>728.06</v>
      </c>
      <c r="G52" s="209">
        <f t="shared" si="36"/>
        <v>0</v>
      </c>
      <c r="H52" s="344">
        <f t="shared" si="37"/>
        <v>0</v>
      </c>
      <c r="I52" s="210">
        <f>'[1]Oct midyear LA Key'!K49</f>
        <v>0</v>
      </c>
      <c r="J52" s="210">
        <f>'[1]Feb midyear LA Key'!K49</f>
        <v>0</v>
      </c>
      <c r="K52" s="211">
        <f t="shared" si="38"/>
        <v>0</v>
      </c>
      <c r="L52" s="344">
        <f t="shared" si="39"/>
        <v>0</v>
      </c>
      <c r="M52" s="273">
        <f t="shared" si="40"/>
        <v>0</v>
      </c>
      <c r="N52" s="344">
        <f t="shared" si="41"/>
        <v>0</v>
      </c>
      <c r="O52" s="208">
        <v>0</v>
      </c>
      <c r="P52" s="350">
        <f t="shared" si="42"/>
        <v>0</v>
      </c>
      <c r="Q52" s="210">
        <f>'[2]Table 5C1I-LA Key Academy'!S52+'[14]Table 5C1I-LA Key Academy'!S52+(6*'[20]Table 5C1I-LA Key Academy'!S52)</f>
        <v>0</v>
      </c>
      <c r="R52" s="210">
        <f t="shared" si="43"/>
        <v>0</v>
      </c>
      <c r="S52" s="350">
        <f t="shared" si="54"/>
        <v>0</v>
      </c>
      <c r="T52" s="350">
        <f t="shared" si="44"/>
        <v>0</v>
      </c>
      <c r="U52" s="274">
        <f>'Table 5C1A-Madison Prep'!U52</f>
        <v>2554</v>
      </c>
      <c r="V52" s="327">
        <f t="shared" si="45"/>
        <v>0</v>
      </c>
      <c r="W52" s="883">
        <f>'[1]Oct midyear LA Key'!E49</f>
        <v>0</v>
      </c>
      <c r="X52" s="276">
        <f t="shared" si="46"/>
        <v>0</v>
      </c>
      <c r="Y52" s="883">
        <f>'[1]Feb midyear LA Key'!E49</f>
        <v>0</v>
      </c>
      <c r="Z52" s="276">
        <f t="shared" si="29"/>
        <v>0</v>
      </c>
      <c r="AA52" s="275">
        <f t="shared" si="30"/>
        <v>0</v>
      </c>
      <c r="AB52" s="323">
        <f t="shared" si="31"/>
        <v>0</v>
      </c>
      <c r="AC52" s="278">
        <f t="shared" si="32"/>
        <v>0</v>
      </c>
      <c r="AD52" s="323">
        <f t="shared" si="47"/>
        <v>0</v>
      </c>
      <c r="AE52" s="279">
        <v>0</v>
      </c>
      <c r="AF52" s="323">
        <f t="shared" si="48"/>
        <v>0</v>
      </c>
      <c r="AG52" s="279">
        <f>'[2]Table 5C1I-LA Key Academy'!AI52+'[14]Table 5C1I-LA Key Academy'!AI52+(6*'[20]Table 5C1I-LA Key Academy'!AI52)</f>
        <v>0</v>
      </c>
      <c r="AH52" s="279">
        <f t="shared" si="49"/>
        <v>0</v>
      </c>
      <c r="AI52" s="323">
        <f t="shared" si="55"/>
        <v>0</v>
      </c>
      <c r="AJ52" s="337">
        <f t="shared" si="50"/>
        <v>0</v>
      </c>
      <c r="AK52" s="341">
        <f t="shared" si="51"/>
        <v>0</v>
      </c>
      <c r="AM52" s="273">
        <v>0</v>
      </c>
      <c r="AN52" s="273">
        <f t="shared" si="52"/>
        <v>0</v>
      </c>
      <c r="AO52" s="273">
        <f t="shared" si="53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2.1.14'!V49</f>
        <v>0</v>
      </c>
      <c r="D53" s="201">
        <f>+'Table 5C1A-Madison Prep'!D53</f>
        <v>2524.1485257646736</v>
      </c>
      <c r="E53" s="202">
        <f t="shared" si="35"/>
        <v>0</v>
      </c>
      <c r="F53" s="202">
        <f>+'Table 5C1A-Madison Prep'!F53</f>
        <v>910.76</v>
      </c>
      <c r="G53" s="202">
        <f t="shared" si="36"/>
        <v>0</v>
      </c>
      <c r="H53" s="345">
        <f t="shared" si="37"/>
        <v>0</v>
      </c>
      <c r="I53" s="203">
        <f>'[1]Oct midyear LA Key'!K50</f>
        <v>0</v>
      </c>
      <c r="J53" s="203">
        <f>'[1]Feb midyear LA Key'!K50</f>
        <v>0</v>
      </c>
      <c r="K53" s="204">
        <f t="shared" si="38"/>
        <v>0</v>
      </c>
      <c r="L53" s="345">
        <f t="shared" si="39"/>
        <v>0</v>
      </c>
      <c r="M53" s="286">
        <f t="shared" si="40"/>
        <v>0</v>
      </c>
      <c r="N53" s="345">
        <f t="shared" si="41"/>
        <v>0</v>
      </c>
      <c r="O53" s="201">
        <v>0</v>
      </c>
      <c r="P53" s="351">
        <f t="shared" si="42"/>
        <v>0</v>
      </c>
      <c r="Q53" s="203">
        <f>'[2]Table 5C1I-LA Key Academy'!S53+'[14]Table 5C1I-LA Key Academy'!S53+(6*'[20]Table 5C1I-LA Key Academy'!S53)</f>
        <v>0</v>
      </c>
      <c r="R53" s="203">
        <f t="shared" si="43"/>
        <v>0</v>
      </c>
      <c r="S53" s="351">
        <f t="shared" si="54"/>
        <v>0</v>
      </c>
      <c r="T53" s="351">
        <f t="shared" si="44"/>
        <v>0</v>
      </c>
      <c r="U53" s="287">
        <f>'Table 5C1A-Madison Prep'!U53</f>
        <v>11506</v>
      </c>
      <c r="V53" s="328">
        <f t="shared" si="45"/>
        <v>0</v>
      </c>
      <c r="W53" s="289">
        <f>'[1]Oct midyear LA Key'!E50</f>
        <v>0</v>
      </c>
      <c r="X53" s="290">
        <f t="shared" si="46"/>
        <v>0</v>
      </c>
      <c r="Y53" s="289">
        <f>'[1]Feb midyear LA Key'!E50</f>
        <v>0</v>
      </c>
      <c r="Z53" s="290">
        <f t="shared" si="29"/>
        <v>0</v>
      </c>
      <c r="AA53" s="288">
        <f t="shared" si="30"/>
        <v>0</v>
      </c>
      <c r="AB53" s="324">
        <f t="shared" si="31"/>
        <v>0</v>
      </c>
      <c r="AC53" s="292">
        <f t="shared" si="32"/>
        <v>0</v>
      </c>
      <c r="AD53" s="324">
        <f t="shared" si="47"/>
        <v>0</v>
      </c>
      <c r="AE53" s="293">
        <v>0</v>
      </c>
      <c r="AF53" s="324">
        <f t="shared" si="48"/>
        <v>0</v>
      </c>
      <c r="AG53" s="293">
        <f>'[2]Table 5C1I-LA Key Academy'!AI53+'[14]Table 5C1I-LA Key Academy'!AI53+(6*'[20]Table 5C1I-LA Key Academy'!AI53)</f>
        <v>0</v>
      </c>
      <c r="AH53" s="293">
        <f t="shared" si="49"/>
        <v>0</v>
      </c>
      <c r="AI53" s="324">
        <f t="shared" si="55"/>
        <v>0</v>
      </c>
      <c r="AJ53" s="321">
        <f t="shared" si="50"/>
        <v>0</v>
      </c>
      <c r="AK53" s="342">
        <f t="shared" si="51"/>
        <v>0</v>
      </c>
      <c r="AM53" s="286">
        <v>0</v>
      </c>
      <c r="AN53" s="286">
        <f t="shared" si="52"/>
        <v>0</v>
      </c>
      <c r="AO53" s="286">
        <f t="shared" si="53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2.1.14'!V50</f>
        <v>0</v>
      </c>
      <c r="D54" s="201">
        <f>+'Table 5C1A-Madison Prep'!D54</f>
        <v>3983.3582529800719</v>
      </c>
      <c r="E54" s="202">
        <f t="shared" si="35"/>
        <v>0</v>
      </c>
      <c r="F54" s="202">
        <f>+'Table 5C1A-Madison Prep'!F54</f>
        <v>871.07</v>
      </c>
      <c r="G54" s="202">
        <f t="shared" si="36"/>
        <v>0</v>
      </c>
      <c r="H54" s="345">
        <f t="shared" si="37"/>
        <v>0</v>
      </c>
      <c r="I54" s="203">
        <f>'[1]Oct midyear LA Key'!K51</f>
        <v>0</v>
      </c>
      <c r="J54" s="203">
        <f>'[1]Feb midyear LA Key'!K51</f>
        <v>0</v>
      </c>
      <c r="K54" s="204">
        <f t="shared" si="38"/>
        <v>0</v>
      </c>
      <c r="L54" s="345">
        <f t="shared" si="39"/>
        <v>0</v>
      </c>
      <c r="M54" s="286">
        <f t="shared" si="40"/>
        <v>0</v>
      </c>
      <c r="N54" s="345">
        <f t="shared" si="41"/>
        <v>0</v>
      </c>
      <c r="O54" s="201">
        <v>0</v>
      </c>
      <c r="P54" s="351">
        <f t="shared" si="42"/>
        <v>0</v>
      </c>
      <c r="Q54" s="203">
        <f>'[2]Table 5C1I-LA Key Academy'!S54+'[14]Table 5C1I-LA Key Academy'!S54+(6*'[20]Table 5C1I-LA Key Academy'!S54)</f>
        <v>0</v>
      </c>
      <c r="R54" s="203">
        <f t="shared" si="43"/>
        <v>0</v>
      </c>
      <c r="S54" s="351">
        <f t="shared" si="54"/>
        <v>0</v>
      </c>
      <c r="T54" s="351">
        <f t="shared" si="44"/>
        <v>0</v>
      </c>
      <c r="U54" s="287">
        <f>'Table 5C1A-Madison Prep'!U54</f>
        <v>6827</v>
      </c>
      <c r="V54" s="328">
        <f t="shared" si="45"/>
        <v>0</v>
      </c>
      <c r="W54" s="289">
        <f>'[1]Oct midyear LA Key'!E51</f>
        <v>0</v>
      </c>
      <c r="X54" s="290">
        <f t="shared" si="46"/>
        <v>0</v>
      </c>
      <c r="Y54" s="289">
        <f>'[1]Feb midyear LA Key'!E51</f>
        <v>0</v>
      </c>
      <c r="Z54" s="290">
        <f t="shared" si="29"/>
        <v>0</v>
      </c>
      <c r="AA54" s="288">
        <f t="shared" si="30"/>
        <v>0</v>
      </c>
      <c r="AB54" s="324">
        <f t="shared" si="31"/>
        <v>0</v>
      </c>
      <c r="AC54" s="292">
        <f t="shared" si="32"/>
        <v>0</v>
      </c>
      <c r="AD54" s="324">
        <f t="shared" si="47"/>
        <v>0</v>
      </c>
      <c r="AE54" s="293">
        <v>0</v>
      </c>
      <c r="AF54" s="324">
        <f t="shared" si="48"/>
        <v>0</v>
      </c>
      <c r="AG54" s="293">
        <f>'[2]Table 5C1I-LA Key Academy'!AI54+'[14]Table 5C1I-LA Key Academy'!AI54+(6*'[20]Table 5C1I-LA Key Academy'!AI54)</f>
        <v>0</v>
      </c>
      <c r="AH54" s="293">
        <f t="shared" si="49"/>
        <v>0</v>
      </c>
      <c r="AI54" s="324">
        <f t="shared" si="55"/>
        <v>0</v>
      </c>
      <c r="AJ54" s="321">
        <f t="shared" si="50"/>
        <v>0</v>
      </c>
      <c r="AK54" s="342">
        <f t="shared" si="51"/>
        <v>0</v>
      </c>
      <c r="AM54" s="286">
        <v>0</v>
      </c>
      <c r="AN54" s="286">
        <f t="shared" si="52"/>
        <v>0</v>
      </c>
      <c r="AO54" s="286">
        <f t="shared" si="53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2.1.14'!V51</f>
        <v>0</v>
      </c>
      <c r="D55" s="201">
        <f>+'Table 5C1A-Madison Prep'!D55</f>
        <v>4995.8755315659191</v>
      </c>
      <c r="E55" s="202">
        <f t="shared" si="35"/>
        <v>0</v>
      </c>
      <c r="F55" s="202">
        <f>+'Table 5C1A-Madison Prep'!F55</f>
        <v>574.43999999999994</v>
      </c>
      <c r="G55" s="202">
        <f t="shared" si="36"/>
        <v>0</v>
      </c>
      <c r="H55" s="345">
        <f t="shared" si="37"/>
        <v>0</v>
      </c>
      <c r="I55" s="203">
        <f>'[1]Oct midyear LA Key'!K52</f>
        <v>0</v>
      </c>
      <c r="J55" s="203">
        <f>'[1]Feb midyear LA Key'!K52</f>
        <v>0</v>
      </c>
      <c r="K55" s="204">
        <f t="shared" si="38"/>
        <v>0</v>
      </c>
      <c r="L55" s="345">
        <f t="shared" si="39"/>
        <v>0</v>
      </c>
      <c r="M55" s="286">
        <f t="shared" si="40"/>
        <v>0</v>
      </c>
      <c r="N55" s="345">
        <f t="shared" si="41"/>
        <v>0</v>
      </c>
      <c r="O55" s="201">
        <v>0</v>
      </c>
      <c r="P55" s="351">
        <f t="shared" si="42"/>
        <v>0</v>
      </c>
      <c r="Q55" s="203">
        <f>'[2]Table 5C1I-LA Key Academy'!S55+'[14]Table 5C1I-LA Key Academy'!S55+(6*'[20]Table 5C1I-LA Key Academy'!S55)</f>
        <v>0</v>
      </c>
      <c r="R55" s="203">
        <f t="shared" si="43"/>
        <v>0</v>
      </c>
      <c r="S55" s="351">
        <f t="shared" si="54"/>
        <v>0</v>
      </c>
      <c r="T55" s="351">
        <f t="shared" si="44"/>
        <v>0</v>
      </c>
      <c r="U55" s="287">
        <f>'Table 5C1A-Madison Prep'!U55</f>
        <v>2399</v>
      </c>
      <c r="V55" s="328">
        <f t="shared" si="45"/>
        <v>0</v>
      </c>
      <c r="W55" s="289">
        <f>'[1]Oct midyear LA Key'!E52</f>
        <v>0</v>
      </c>
      <c r="X55" s="290">
        <f t="shared" si="46"/>
        <v>0</v>
      </c>
      <c r="Y55" s="289">
        <f>'[1]Feb midyear LA Key'!E52</f>
        <v>0</v>
      </c>
      <c r="Z55" s="290">
        <f t="shared" si="29"/>
        <v>0</v>
      </c>
      <c r="AA55" s="288">
        <f t="shared" si="30"/>
        <v>0</v>
      </c>
      <c r="AB55" s="324">
        <f t="shared" si="31"/>
        <v>0</v>
      </c>
      <c r="AC55" s="292">
        <f t="shared" si="32"/>
        <v>0</v>
      </c>
      <c r="AD55" s="324">
        <f t="shared" si="47"/>
        <v>0</v>
      </c>
      <c r="AE55" s="293">
        <v>0</v>
      </c>
      <c r="AF55" s="324">
        <f t="shared" si="48"/>
        <v>0</v>
      </c>
      <c r="AG55" s="293">
        <f>'[2]Table 5C1I-LA Key Academy'!AI55+'[14]Table 5C1I-LA Key Academy'!AI55+(6*'[20]Table 5C1I-LA Key Academy'!AI55)</f>
        <v>0</v>
      </c>
      <c r="AH55" s="293">
        <f t="shared" si="49"/>
        <v>0</v>
      </c>
      <c r="AI55" s="324">
        <f t="shared" si="55"/>
        <v>0</v>
      </c>
      <c r="AJ55" s="321">
        <f t="shared" si="50"/>
        <v>0</v>
      </c>
      <c r="AK55" s="342">
        <f t="shared" si="51"/>
        <v>0</v>
      </c>
      <c r="AM55" s="286">
        <v>0</v>
      </c>
      <c r="AN55" s="286">
        <f t="shared" si="52"/>
        <v>0</v>
      </c>
      <c r="AO55" s="286">
        <f t="shared" si="53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2.1.14'!V52</f>
        <v>0</v>
      </c>
      <c r="D56" s="194">
        <f>+'Table 5C1A-Madison Prep'!D56</f>
        <v>5177.6892722701677</v>
      </c>
      <c r="E56" s="195">
        <f t="shared" si="35"/>
        <v>0</v>
      </c>
      <c r="F56" s="195">
        <f>+'Table 5C1A-Madison Prep'!F56</f>
        <v>634.46</v>
      </c>
      <c r="G56" s="195">
        <f t="shared" si="36"/>
        <v>0</v>
      </c>
      <c r="H56" s="346">
        <f t="shared" si="37"/>
        <v>0</v>
      </c>
      <c r="I56" s="196">
        <f>'[1]Oct midyear LA Key'!K53</f>
        <v>0</v>
      </c>
      <c r="J56" s="196">
        <f>'[1]Feb midyear LA Key'!K53</f>
        <v>0</v>
      </c>
      <c r="K56" s="197">
        <f t="shared" si="38"/>
        <v>0</v>
      </c>
      <c r="L56" s="346">
        <f t="shared" si="39"/>
        <v>0</v>
      </c>
      <c r="M56" s="296">
        <f t="shared" si="40"/>
        <v>0</v>
      </c>
      <c r="N56" s="346">
        <f t="shared" si="41"/>
        <v>0</v>
      </c>
      <c r="O56" s="194">
        <v>0</v>
      </c>
      <c r="P56" s="352">
        <f t="shared" si="42"/>
        <v>0</v>
      </c>
      <c r="Q56" s="196">
        <f>'[2]Table 5C1I-LA Key Academy'!S56+'[14]Table 5C1I-LA Key Academy'!S56+(6*'[20]Table 5C1I-LA Key Academy'!S56)</f>
        <v>0</v>
      </c>
      <c r="R56" s="196">
        <f t="shared" si="43"/>
        <v>0</v>
      </c>
      <c r="S56" s="352">
        <f t="shared" si="54"/>
        <v>0</v>
      </c>
      <c r="T56" s="352">
        <f t="shared" si="44"/>
        <v>0</v>
      </c>
      <c r="U56" s="281">
        <f>'Table 5C1A-Madison Prep'!U56</f>
        <v>3413</v>
      </c>
      <c r="V56" s="329">
        <f t="shared" si="45"/>
        <v>0</v>
      </c>
      <c r="W56" s="884">
        <f>'[1]Oct midyear LA Key'!E53</f>
        <v>0</v>
      </c>
      <c r="X56" s="282">
        <f t="shared" si="46"/>
        <v>0</v>
      </c>
      <c r="Y56" s="884">
        <f>'[1]Feb midyear LA Key'!E53</f>
        <v>0</v>
      </c>
      <c r="Z56" s="282">
        <f t="shared" si="29"/>
        <v>0</v>
      </c>
      <c r="AA56" s="283">
        <f t="shared" si="30"/>
        <v>0</v>
      </c>
      <c r="AB56" s="325">
        <f t="shared" si="31"/>
        <v>0</v>
      </c>
      <c r="AC56" s="298">
        <f t="shared" si="32"/>
        <v>0</v>
      </c>
      <c r="AD56" s="325">
        <f t="shared" si="47"/>
        <v>0</v>
      </c>
      <c r="AE56" s="284">
        <v>0</v>
      </c>
      <c r="AF56" s="325">
        <f t="shared" si="48"/>
        <v>0</v>
      </c>
      <c r="AG56" s="284">
        <f>'[2]Table 5C1I-LA Key Academy'!AI56+'[14]Table 5C1I-LA Key Academy'!AI56+(6*'[20]Table 5C1I-LA Key Academy'!AI56)</f>
        <v>0</v>
      </c>
      <c r="AH56" s="284">
        <f t="shared" si="49"/>
        <v>0</v>
      </c>
      <c r="AI56" s="325">
        <f t="shared" si="55"/>
        <v>0</v>
      </c>
      <c r="AJ56" s="338">
        <f t="shared" si="50"/>
        <v>0</v>
      </c>
      <c r="AK56" s="343">
        <f t="shared" si="51"/>
        <v>0</v>
      </c>
      <c r="AM56" s="296">
        <v>0</v>
      </c>
      <c r="AN56" s="296">
        <f t="shared" si="52"/>
        <v>0</v>
      </c>
      <c r="AO56" s="296">
        <f t="shared" si="53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2.1.14'!V53</f>
        <v>0</v>
      </c>
      <c r="D57" s="208">
        <f>+'Table 5C1A-Madison Prep'!D57</f>
        <v>4154.1928602178996</v>
      </c>
      <c r="E57" s="209">
        <f t="shared" si="35"/>
        <v>0</v>
      </c>
      <c r="F57" s="209">
        <f>+'Table 5C1A-Madison Prep'!F57</f>
        <v>706.66</v>
      </c>
      <c r="G57" s="209">
        <f t="shared" si="36"/>
        <v>0</v>
      </c>
      <c r="H57" s="344">
        <f t="shared" si="37"/>
        <v>0</v>
      </c>
      <c r="I57" s="210">
        <f>'[1]Oct midyear LA Key'!K54</f>
        <v>0</v>
      </c>
      <c r="J57" s="210">
        <f>'[1]Feb midyear LA Key'!K54</f>
        <v>0</v>
      </c>
      <c r="K57" s="211">
        <f t="shared" si="38"/>
        <v>0</v>
      </c>
      <c r="L57" s="344">
        <f t="shared" si="39"/>
        <v>0</v>
      </c>
      <c r="M57" s="273">
        <f t="shared" si="40"/>
        <v>0</v>
      </c>
      <c r="N57" s="344">
        <f t="shared" si="41"/>
        <v>0</v>
      </c>
      <c r="O57" s="208">
        <v>0</v>
      </c>
      <c r="P57" s="350">
        <f t="shared" si="42"/>
        <v>0</v>
      </c>
      <c r="Q57" s="210">
        <f>'[2]Table 5C1I-LA Key Academy'!S57+'[14]Table 5C1I-LA Key Academy'!S57+(6*'[20]Table 5C1I-LA Key Academy'!S57)</f>
        <v>0</v>
      </c>
      <c r="R57" s="210">
        <f t="shared" si="43"/>
        <v>0</v>
      </c>
      <c r="S57" s="350">
        <f t="shared" si="54"/>
        <v>0</v>
      </c>
      <c r="T57" s="350">
        <f t="shared" si="44"/>
        <v>0</v>
      </c>
      <c r="U57" s="274">
        <f>'Table 5C1A-Madison Prep'!U57</f>
        <v>4512</v>
      </c>
      <c r="V57" s="327">
        <f t="shared" si="45"/>
        <v>0</v>
      </c>
      <c r="W57" s="883">
        <f>'[1]Oct midyear LA Key'!E54</f>
        <v>0</v>
      </c>
      <c r="X57" s="276">
        <f t="shared" si="46"/>
        <v>0</v>
      </c>
      <c r="Y57" s="883">
        <f>'[1]Feb midyear LA Key'!E54</f>
        <v>0</v>
      </c>
      <c r="Z57" s="276">
        <f t="shared" si="29"/>
        <v>0</v>
      </c>
      <c r="AA57" s="275">
        <f t="shared" si="30"/>
        <v>0</v>
      </c>
      <c r="AB57" s="323">
        <f t="shared" si="31"/>
        <v>0</v>
      </c>
      <c r="AC57" s="278">
        <f t="shared" si="32"/>
        <v>0</v>
      </c>
      <c r="AD57" s="323">
        <f t="shared" si="47"/>
        <v>0</v>
      </c>
      <c r="AE57" s="279">
        <v>0</v>
      </c>
      <c r="AF57" s="323">
        <f t="shared" si="48"/>
        <v>0</v>
      </c>
      <c r="AG57" s="279">
        <f>'[2]Table 5C1I-LA Key Academy'!AI57+'[14]Table 5C1I-LA Key Academy'!AI57+(6*'[20]Table 5C1I-LA Key Academy'!AI57)</f>
        <v>0</v>
      </c>
      <c r="AH57" s="279">
        <f t="shared" si="49"/>
        <v>0</v>
      </c>
      <c r="AI57" s="323">
        <f t="shared" si="55"/>
        <v>0</v>
      </c>
      <c r="AJ57" s="337">
        <f t="shared" si="50"/>
        <v>0</v>
      </c>
      <c r="AK57" s="341">
        <f t="shared" si="51"/>
        <v>0</v>
      </c>
      <c r="AM57" s="273">
        <v>0</v>
      </c>
      <c r="AN57" s="273">
        <f t="shared" si="52"/>
        <v>0</v>
      </c>
      <c r="AO57" s="273">
        <f t="shared" si="53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2.1.14'!V54</f>
        <v>0</v>
      </c>
      <c r="D58" s="201">
        <f>+'Table 5C1A-Madison Prep'!D58</f>
        <v>5062.2745845228173</v>
      </c>
      <c r="E58" s="202">
        <f t="shared" si="35"/>
        <v>0</v>
      </c>
      <c r="F58" s="202">
        <f>+'Table 5C1A-Madison Prep'!F58</f>
        <v>658.37</v>
      </c>
      <c r="G58" s="202">
        <f t="shared" si="36"/>
        <v>0</v>
      </c>
      <c r="H58" s="345">
        <f t="shared" si="37"/>
        <v>0</v>
      </c>
      <c r="I58" s="203">
        <f>'[1]Oct midyear LA Key'!K55</f>
        <v>0</v>
      </c>
      <c r="J58" s="203">
        <f>'[1]Feb midyear LA Key'!K55</f>
        <v>0</v>
      </c>
      <c r="K58" s="204">
        <f t="shared" si="38"/>
        <v>0</v>
      </c>
      <c r="L58" s="345">
        <f t="shared" si="39"/>
        <v>0</v>
      </c>
      <c r="M58" s="286">
        <f t="shared" si="40"/>
        <v>0</v>
      </c>
      <c r="N58" s="345">
        <f t="shared" si="41"/>
        <v>0</v>
      </c>
      <c r="O58" s="201">
        <v>0</v>
      </c>
      <c r="P58" s="351">
        <f t="shared" si="42"/>
        <v>0</v>
      </c>
      <c r="Q58" s="203">
        <f>'[2]Table 5C1I-LA Key Academy'!S58+'[14]Table 5C1I-LA Key Academy'!S58+(6*'[20]Table 5C1I-LA Key Academy'!S58)</f>
        <v>0</v>
      </c>
      <c r="R58" s="203">
        <f t="shared" si="43"/>
        <v>0</v>
      </c>
      <c r="S58" s="351">
        <f t="shared" si="54"/>
        <v>0</v>
      </c>
      <c r="T58" s="351">
        <f t="shared" si="44"/>
        <v>0</v>
      </c>
      <c r="U58" s="287">
        <f>'Table 5C1A-Madison Prep'!U58</f>
        <v>5289</v>
      </c>
      <c r="V58" s="328">
        <f t="shared" si="45"/>
        <v>0</v>
      </c>
      <c r="W58" s="289">
        <f>'[1]Oct midyear LA Key'!E55</f>
        <v>0</v>
      </c>
      <c r="X58" s="290">
        <f t="shared" si="46"/>
        <v>0</v>
      </c>
      <c r="Y58" s="289">
        <f>'[1]Feb midyear LA Key'!E55</f>
        <v>0</v>
      </c>
      <c r="Z58" s="290">
        <f t="shared" si="29"/>
        <v>0</v>
      </c>
      <c r="AA58" s="288">
        <f t="shared" si="30"/>
        <v>0</v>
      </c>
      <c r="AB58" s="324">
        <f t="shared" si="31"/>
        <v>0</v>
      </c>
      <c r="AC58" s="292">
        <f t="shared" si="32"/>
        <v>0</v>
      </c>
      <c r="AD58" s="324">
        <f t="shared" si="47"/>
        <v>0</v>
      </c>
      <c r="AE58" s="293">
        <v>0</v>
      </c>
      <c r="AF58" s="324">
        <f t="shared" si="48"/>
        <v>0</v>
      </c>
      <c r="AG58" s="293">
        <f>'[2]Table 5C1I-LA Key Academy'!AI58+'[14]Table 5C1I-LA Key Academy'!AI58+(6*'[20]Table 5C1I-LA Key Academy'!AI58)</f>
        <v>0</v>
      </c>
      <c r="AH58" s="293">
        <f t="shared" si="49"/>
        <v>0</v>
      </c>
      <c r="AI58" s="324">
        <f t="shared" si="55"/>
        <v>0</v>
      </c>
      <c r="AJ58" s="321">
        <f t="shared" si="50"/>
        <v>0</v>
      </c>
      <c r="AK58" s="342">
        <f t="shared" si="51"/>
        <v>0</v>
      </c>
      <c r="AM58" s="286">
        <v>0</v>
      </c>
      <c r="AN58" s="286">
        <f t="shared" si="52"/>
        <v>0</v>
      </c>
      <c r="AO58" s="286">
        <f t="shared" si="53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2.1.14'!V55</f>
        <v>0</v>
      </c>
      <c r="D59" s="201">
        <f>+'Table 5C1A-Madison Prep'!D59</f>
        <v>5060.1508194045482</v>
      </c>
      <c r="E59" s="202">
        <f t="shared" si="35"/>
        <v>0</v>
      </c>
      <c r="F59" s="202">
        <f>+'Table 5C1A-Madison Prep'!F59</f>
        <v>689.74</v>
      </c>
      <c r="G59" s="202">
        <f t="shared" si="36"/>
        <v>0</v>
      </c>
      <c r="H59" s="345">
        <f t="shared" si="37"/>
        <v>0</v>
      </c>
      <c r="I59" s="203">
        <f>'[1]Oct midyear LA Key'!K56</f>
        <v>0</v>
      </c>
      <c r="J59" s="203">
        <f>'[1]Feb midyear LA Key'!K56</f>
        <v>0</v>
      </c>
      <c r="K59" s="204">
        <f t="shared" si="38"/>
        <v>0</v>
      </c>
      <c r="L59" s="345">
        <f t="shared" si="39"/>
        <v>0</v>
      </c>
      <c r="M59" s="286">
        <f t="shared" si="40"/>
        <v>0</v>
      </c>
      <c r="N59" s="345">
        <f t="shared" si="41"/>
        <v>0</v>
      </c>
      <c r="O59" s="201">
        <v>0</v>
      </c>
      <c r="P59" s="351">
        <f t="shared" si="42"/>
        <v>0</v>
      </c>
      <c r="Q59" s="203">
        <f>'[2]Table 5C1I-LA Key Academy'!S59+'[14]Table 5C1I-LA Key Academy'!S59+(6*'[20]Table 5C1I-LA Key Academy'!S59)</f>
        <v>0</v>
      </c>
      <c r="R59" s="203">
        <f t="shared" si="43"/>
        <v>0</v>
      </c>
      <c r="S59" s="351">
        <f t="shared" si="54"/>
        <v>0</v>
      </c>
      <c r="T59" s="351">
        <f t="shared" si="44"/>
        <v>0</v>
      </c>
      <c r="U59" s="287">
        <f>'Table 5C1A-Madison Prep'!U59</f>
        <v>2101</v>
      </c>
      <c r="V59" s="328">
        <f t="shared" si="45"/>
        <v>0</v>
      </c>
      <c r="W59" s="289">
        <f>'[1]Oct midyear LA Key'!E56</f>
        <v>0</v>
      </c>
      <c r="X59" s="290">
        <f t="shared" si="46"/>
        <v>0</v>
      </c>
      <c r="Y59" s="289">
        <f>'[1]Feb midyear LA Key'!E56</f>
        <v>0</v>
      </c>
      <c r="Z59" s="290">
        <f t="shared" si="29"/>
        <v>0</v>
      </c>
      <c r="AA59" s="288">
        <f t="shared" si="30"/>
        <v>0</v>
      </c>
      <c r="AB59" s="324">
        <f t="shared" si="31"/>
        <v>0</v>
      </c>
      <c r="AC59" s="292">
        <f t="shared" si="32"/>
        <v>0</v>
      </c>
      <c r="AD59" s="324">
        <f t="shared" si="47"/>
        <v>0</v>
      </c>
      <c r="AE59" s="293">
        <v>0</v>
      </c>
      <c r="AF59" s="324">
        <f t="shared" si="48"/>
        <v>0</v>
      </c>
      <c r="AG59" s="293">
        <f>'[2]Table 5C1I-LA Key Academy'!AI59+'[14]Table 5C1I-LA Key Academy'!AI59+(6*'[20]Table 5C1I-LA Key Academy'!AI59)</f>
        <v>0</v>
      </c>
      <c r="AH59" s="293">
        <f t="shared" si="49"/>
        <v>0</v>
      </c>
      <c r="AI59" s="324">
        <f t="shared" si="55"/>
        <v>0</v>
      </c>
      <c r="AJ59" s="321">
        <f t="shared" si="50"/>
        <v>0</v>
      </c>
      <c r="AK59" s="342">
        <f t="shared" si="51"/>
        <v>0</v>
      </c>
      <c r="AM59" s="286">
        <v>0</v>
      </c>
      <c r="AN59" s="286">
        <f t="shared" si="52"/>
        <v>0</v>
      </c>
      <c r="AO59" s="286">
        <f t="shared" si="53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2.1.14'!V56</f>
        <v>0</v>
      </c>
      <c r="D60" s="201">
        <f>+'Table 5C1A-Madison Prep'!D60</f>
        <v>5867.0798370516713</v>
      </c>
      <c r="E60" s="202">
        <f t="shared" si="35"/>
        <v>0</v>
      </c>
      <c r="F60" s="202">
        <f>+'Table 5C1A-Madison Prep'!F60</f>
        <v>951.45</v>
      </c>
      <c r="G60" s="202">
        <f t="shared" si="36"/>
        <v>0</v>
      </c>
      <c r="H60" s="345">
        <f t="shared" si="37"/>
        <v>0</v>
      </c>
      <c r="I60" s="203">
        <f>'[1]Oct midyear LA Key'!K57</f>
        <v>0</v>
      </c>
      <c r="J60" s="203">
        <f>'[1]Feb midyear LA Key'!K57</f>
        <v>0</v>
      </c>
      <c r="K60" s="204">
        <f t="shared" si="38"/>
        <v>0</v>
      </c>
      <c r="L60" s="345">
        <f t="shared" si="39"/>
        <v>0</v>
      </c>
      <c r="M60" s="286">
        <f t="shared" si="40"/>
        <v>0</v>
      </c>
      <c r="N60" s="345">
        <f t="shared" si="41"/>
        <v>0</v>
      </c>
      <c r="O60" s="201">
        <v>0</v>
      </c>
      <c r="P60" s="351">
        <f t="shared" si="42"/>
        <v>0</v>
      </c>
      <c r="Q60" s="203">
        <f>'[2]Table 5C1I-LA Key Academy'!S60+'[14]Table 5C1I-LA Key Academy'!S60+(6*'[20]Table 5C1I-LA Key Academy'!S60)</f>
        <v>0</v>
      </c>
      <c r="R60" s="203">
        <f t="shared" si="43"/>
        <v>0</v>
      </c>
      <c r="S60" s="351">
        <f t="shared" si="54"/>
        <v>0</v>
      </c>
      <c r="T60" s="351">
        <f t="shared" si="44"/>
        <v>0</v>
      </c>
      <c r="U60" s="287">
        <f>'Table 5C1A-Madison Prep'!U60</f>
        <v>4150</v>
      </c>
      <c r="V60" s="328">
        <f t="shared" si="45"/>
        <v>0</v>
      </c>
      <c r="W60" s="289">
        <f>'[1]Oct midyear LA Key'!E57</f>
        <v>0</v>
      </c>
      <c r="X60" s="290">
        <f t="shared" si="46"/>
        <v>0</v>
      </c>
      <c r="Y60" s="289">
        <f>'[1]Feb midyear LA Key'!E57</f>
        <v>0</v>
      </c>
      <c r="Z60" s="290">
        <f t="shared" si="29"/>
        <v>0</v>
      </c>
      <c r="AA60" s="288">
        <f t="shared" si="30"/>
        <v>0</v>
      </c>
      <c r="AB60" s="324">
        <f t="shared" si="31"/>
        <v>0</v>
      </c>
      <c r="AC60" s="292">
        <f t="shared" si="32"/>
        <v>0</v>
      </c>
      <c r="AD60" s="324">
        <f t="shared" si="47"/>
        <v>0</v>
      </c>
      <c r="AE60" s="293">
        <v>0</v>
      </c>
      <c r="AF60" s="324">
        <f t="shared" si="48"/>
        <v>0</v>
      </c>
      <c r="AG60" s="293">
        <f>'[2]Table 5C1I-LA Key Academy'!AI60+'[14]Table 5C1I-LA Key Academy'!AI60+(6*'[20]Table 5C1I-LA Key Academy'!AI60)</f>
        <v>0</v>
      </c>
      <c r="AH60" s="293">
        <f t="shared" si="49"/>
        <v>0</v>
      </c>
      <c r="AI60" s="324">
        <f t="shared" si="55"/>
        <v>0</v>
      </c>
      <c r="AJ60" s="321">
        <f t="shared" si="50"/>
        <v>0</v>
      </c>
      <c r="AK60" s="342">
        <f t="shared" si="51"/>
        <v>0</v>
      </c>
      <c r="AM60" s="286">
        <v>0</v>
      </c>
      <c r="AN60" s="286">
        <f t="shared" si="52"/>
        <v>0</v>
      </c>
      <c r="AO60" s="286">
        <f t="shared" si="53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2.1.14'!V57</f>
        <v>0</v>
      </c>
      <c r="D61" s="194">
        <f>+'Table 5C1A-Madison Prep'!D61</f>
        <v>4266.8225491298481</v>
      </c>
      <c r="E61" s="195">
        <f t="shared" si="35"/>
        <v>0</v>
      </c>
      <c r="F61" s="195">
        <f>+'Table 5C1A-Madison Prep'!F61</f>
        <v>795.14</v>
      </c>
      <c r="G61" s="195">
        <f t="shared" si="36"/>
        <v>0</v>
      </c>
      <c r="H61" s="346">
        <f t="shared" si="37"/>
        <v>0</v>
      </c>
      <c r="I61" s="196">
        <f>'[1]Oct midyear LA Key'!K58</f>
        <v>0</v>
      </c>
      <c r="J61" s="196">
        <f>'[1]Feb midyear LA Key'!K58</f>
        <v>0</v>
      </c>
      <c r="K61" s="197">
        <f t="shared" si="38"/>
        <v>0</v>
      </c>
      <c r="L61" s="346">
        <f t="shared" si="39"/>
        <v>0</v>
      </c>
      <c r="M61" s="296">
        <f t="shared" si="40"/>
        <v>0</v>
      </c>
      <c r="N61" s="346">
        <f t="shared" si="41"/>
        <v>0</v>
      </c>
      <c r="O61" s="194">
        <v>0</v>
      </c>
      <c r="P61" s="352">
        <f t="shared" si="42"/>
        <v>0</v>
      </c>
      <c r="Q61" s="196">
        <f>'[2]Table 5C1I-LA Key Academy'!S61+'[14]Table 5C1I-LA Key Academy'!S61+(6*'[20]Table 5C1I-LA Key Academy'!S61)</f>
        <v>0</v>
      </c>
      <c r="R61" s="196">
        <f t="shared" si="43"/>
        <v>0</v>
      </c>
      <c r="S61" s="352">
        <f t="shared" si="54"/>
        <v>0</v>
      </c>
      <c r="T61" s="352">
        <f t="shared" si="44"/>
        <v>0</v>
      </c>
      <c r="U61" s="281">
        <f>'Table 5C1A-Madison Prep'!U61</f>
        <v>3637</v>
      </c>
      <c r="V61" s="329">
        <f t="shared" si="45"/>
        <v>0</v>
      </c>
      <c r="W61" s="884">
        <f>'[1]Oct midyear LA Key'!E58</f>
        <v>0</v>
      </c>
      <c r="X61" s="282">
        <f t="shared" si="46"/>
        <v>0</v>
      </c>
      <c r="Y61" s="884">
        <f>'[1]Feb midyear LA Key'!E58</f>
        <v>0</v>
      </c>
      <c r="Z61" s="282">
        <f t="shared" si="29"/>
        <v>0</v>
      </c>
      <c r="AA61" s="283">
        <f t="shared" si="30"/>
        <v>0</v>
      </c>
      <c r="AB61" s="325">
        <f t="shared" si="31"/>
        <v>0</v>
      </c>
      <c r="AC61" s="298">
        <f t="shared" si="32"/>
        <v>0</v>
      </c>
      <c r="AD61" s="325">
        <f t="shared" si="47"/>
        <v>0</v>
      </c>
      <c r="AE61" s="284">
        <v>0</v>
      </c>
      <c r="AF61" s="325">
        <f t="shared" si="48"/>
        <v>0</v>
      </c>
      <c r="AG61" s="284">
        <f>'[2]Table 5C1I-LA Key Academy'!AI61+'[14]Table 5C1I-LA Key Academy'!AI61+(6*'[20]Table 5C1I-LA Key Academy'!AI61)</f>
        <v>0</v>
      </c>
      <c r="AH61" s="284">
        <f t="shared" si="49"/>
        <v>0</v>
      </c>
      <c r="AI61" s="325">
        <f t="shared" si="55"/>
        <v>0</v>
      </c>
      <c r="AJ61" s="338">
        <f t="shared" si="50"/>
        <v>0</v>
      </c>
      <c r="AK61" s="343">
        <f t="shared" si="51"/>
        <v>0</v>
      </c>
      <c r="AM61" s="296">
        <v>0</v>
      </c>
      <c r="AN61" s="296">
        <f t="shared" si="52"/>
        <v>0</v>
      </c>
      <c r="AO61" s="296">
        <f t="shared" si="53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2.1.14'!V58</f>
        <v>0</v>
      </c>
      <c r="D62" s="208">
        <f>+'Table 5C1A-Madison Prep'!D62</f>
        <v>5028.4909408288286</v>
      </c>
      <c r="E62" s="209">
        <f t="shared" si="35"/>
        <v>0</v>
      </c>
      <c r="F62" s="209">
        <f>+'Table 5C1A-Madison Prep'!F62</f>
        <v>614.66000000000008</v>
      </c>
      <c r="G62" s="209">
        <f t="shared" si="36"/>
        <v>0</v>
      </c>
      <c r="H62" s="344">
        <f t="shared" si="37"/>
        <v>0</v>
      </c>
      <c r="I62" s="210">
        <f>'[1]Oct midyear LA Key'!K59</f>
        <v>0</v>
      </c>
      <c r="J62" s="210">
        <f>'[1]Feb midyear LA Key'!K59</f>
        <v>0</v>
      </c>
      <c r="K62" s="211">
        <f t="shared" si="38"/>
        <v>0</v>
      </c>
      <c r="L62" s="344">
        <f t="shared" si="39"/>
        <v>0</v>
      </c>
      <c r="M62" s="273">
        <f t="shared" si="40"/>
        <v>0</v>
      </c>
      <c r="N62" s="344">
        <f t="shared" si="41"/>
        <v>0</v>
      </c>
      <c r="O62" s="208">
        <v>0</v>
      </c>
      <c r="P62" s="350">
        <f t="shared" si="42"/>
        <v>0</v>
      </c>
      <c r="Q62" s="210">
        <f>'[2]Table 5C1I-LA Key Academy'!S62+'[14]Table 5C1I-LA Key Academy'!S62+(6*'[20]Table 5C1I-LA Key Academy'!S62)</f>
        <v>0</v>
      </c>
      <c r="R62" s="210">
        <f t="shared" si="43"/>
        <v>0</v>
      </c>
      <c r="S62" s="350">
        <f t="shared" si="54"/>
        <v>0</v>
      </c>
      <c r="T62" s="350">
        <f t="shared" si="44"/>
        <v>0</v>
      </c>
      <c r="U62" s="274">
        <f>'Table 5C1A-Madison Prep'!U62</f>
        <v>2857</v>
      </c>
      <c r="V62" s="327">
        <f t="shared" si="45"/>
        <v>0</v>
      </c>
      <c r="W62" s="883">
        <f>'[1]Oct midyear LA Key'!E59</f>
        <v>0</v>
      </c>
      <c r="X62" s="276">
        <f t="shared" si="46"/>
        <v>0</v>
      </c>
      <c r="Y62" s="883">
        <f>'[1]Feb midyear LA Key'!E59</f>
        <v>0</v>
      </c>
      <c r="Z62" s="276">
        <f t="shared" si="29"/>
        <v>0</v>
      </c>
      <c r="AA62" s="275">
        <f t="shared" si="30"/>
        <v>0</v>
      </c>
      <c r="AB62" s="323">
        <f t="shared" si="31"/>
        <v>0</v>
      </c>
      <c r="AC62" s="278">
        <f t="shared" si="32"/>
        <v>0</v>
      </c>
      <c r="AD62" s="323">
        <f t="shared" si="47"/>
        <v>0</v>
      </c>
      <c r="AE62" s="279">
        <v>0</v>
      </c>
      <c r="AF62" s="323">
        <f t="shared" si="48"/>
        <v>0</v>
      </c>
      <c r="AG62" s="279">
        <f>'[2]Table 5C1I-LA Key Academy'!AI62+'[14]Table 5C1I-LA Key Academy'!AI62+(6*'[20]Table 5C1I-LA Key Academy'!AI62)</f>
        <v>0</v>
      </c>
      <c r="AH62" s="279">
        <f t="shared" si="49"/>
        <v>0</v>
      </c>
      <c r="AI62" s="323">
        <f t="shared" si="55"/>
        <v>0</v>
      </c>
      <c r="AJ62" s="337">
        <f t="shared" si="50"/>
        <v>0</v>
      </c>
      <c r="AK62" s="341">
        <f t="shared" si="51"/>
        <v>0</v>
      </c>
      <c r="AM62" s="273">
        <v>0</v>
      </c>
      <c r="AN62" s="273">
        <f t="shared" si="52"/>
        <v>0</v>
      </c>
      <c r="AO62" s="273">
        <f t="shared" si="53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2.1.14'!V59</f>
        <v>0</v>
      </c>
      <c r="D63" s="201">
        <f>+'Table 5C1A-Madison Prep'!D63</f>
        <v>4625.9922979230687</v>
      </c>
      <c r="E63" s="202">
        <f t="shared" si="35"/>
        <v>0</v>
      </c>
      <c r="F63" s="202">
        <f>+'Table 5C1A-Madison Prep'!F63</f>
        <v>764.51</v>
      </c>
      <c r="G63" s="202">
        <f t="shared" si="36"/>
        <v>0</v>
      </c>
      <c r="H63" s="345">
        <f t="shared" si="37"/>
        <v>0</v>
      </c>
      <c r="I63" s="203">
        <f>'[1]Oct midyear LA Key'!K60</f>
        <v>0</v>
      </c>
      <c r="J63" s="203">
        <f>'[1]Feb midyear LA Key'!K60</f>
        <v>0</v>
      </c>
      <c r="K63" s="204">
        <f t="shared" si="38"/>
        <v>0</v>
      </c>
      <c r="L63" s="345">
        <f t="shared" si="39"/>
        <v>0</v>
      </c>
      <c r="M63" s="286">
        <f t="shared" si="40"/>
        <v>0</v>
      </c>
      <c r="N63" s="345">
        <f t="shared" si="41"/>
        <v>0</v>
      </c>
      <c r="O63" s="201">
        <v>0</v>
      </c>
      <c r="P63" s="351">
        <f t="shared" si="42"/>
        <v>0</v>
      </c>
      <c r="Q63" s="203">
        <f>'[2]Table 5C1I-LA Key Academy'!S63+'[14]Table 5C1I-LA Key Academy'!S63+(6*'[20]Table 5C1I-LA Key Academy'!S63)</f>
        <v>0</v>
      </c>
      <c r="R63" s="203">
        <f t="shared" si="43"/>
        <v>0</v>
      </c>
      <c r="S63" s="351">
        <f t="shared" si="54"/>
        <v>0</v>
      </c>
      <c r="T63" s="351">
        <f t="shared" si="44"/>
        <v>0</v>
      </c>
      <c r="U63" s="287">
        <f>'Table 5C1A-Madison Prep'!U63</f>
        <v>3465</v>
      </c>
      <c r="V63" s="328">
        <f t="shared" si="45"/>
        <v>0</v>
      </c>
      <c r="W63" s="289">
        <f>'[1]Oct midyear LA Key'!E60</f>
        <v>0</v>
      </c>
      <c r="X63" s="290">
        <f t="shared" si="46"/>
        <v>0</v>
      </c>
      <c r="Y63" s="289">
        <f>'[1]Feb midyear LA Key'!E60</f>
        <v>0</v>
      </c>
      <c r="Z63" s="290">
        <f t="shared" si="29"/>
        <v>0</v>
      </c>
      <c r="AA63" s="288">
        <f t="shared" si="30"/>
        <v>0</v>
      </c>
      <c r="AB63" s="324">
        <f t="shared" si="31"/>
        <v>0</v>
      </c>
      <c r="AC63" s="292">
        <f t="shared" si="32"/>
        <v>0</v>
      </c>
      <c r="AD63" s="324">
        <f t="shared" si="47"/>
        <v>0</v>
      </c>
      <c r="AE63" s="293">
        <v>0</v>
      </c>
      <c r="AF63" s="324">
        <f t="shared" si="48"/>
        <v>0</v>
      </c>
      <c r="AG63" s="293">
        <f>'[2]Table 5C1I-LA Key Academy'!AI63+'[14]Table 5C1I-LA Key Academy'!AI63+(6*'[20]Table 5C1I-LA Key Academy'!AI63)</f>
        <v>0</v>
      </c>
      <c r="AH63" s="293">
        <f t="shared" si="49"/>
        <v>0</v>
      </c>
      <c r="AI63" s="324">
        <f t="shared" si="55"/>
        <v>0</v>
      </c>
      <c r="AJ63" s="321">
        <f t="shared" si="50"/>
        <v>0</v>
      </c>
      <c r="AK63" s="342">
        <f t="shared" si="51"/>
        <v>0</v>
      </c>
      <c r="AM63" s="286">
        <v>0</v>
      </c>
      <c r="AN63" s="286">
        <f t="shared" si="52"/>
        <v>0</v>
      </c>
      <c r="AO63" s="286">
        <f t="shared" si="53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2.1.14'!V60</f>
        <v>0</v>
      </c>
      <c r="D64" s="201">
        <f>+'Table 5C1A-Madison Prep'!D64</f>
        <v>5673.1129637882123</v>
      </c>
      <c r="E64" s="202">
        <f t="shared" si="35"/>
        <v>0</v>
      </c>
      <c r="F64" s="202">
        <f>+'Table 5C1A-Madison Prep'!F64</f>
        <v>697.04</v>
      </c>
      <c r="G64" s="202">
        <f t="shared" si="36"/>
        <v>0</v>
      </c>
      <c r="H64" s="345">
        <f t="shared" si="37"/>
        <v>0</v>
      </c>
      <c r="I64" s="203">
        <f>'[1]Oct midyear LA Key'!K61</f>
        <v>0</v>
      </c>
      <c r="J64" s="203">
        <f>'[1]Feb midyear LA Key'!K61</f>
        <v>0</v>
      </c>
      <c r="K64" s="204">
        <f t="shared" si="38"/>
        <v>0</v>
      </c>
      <c r="L64" s="345">
        <f t="shared" si="39"/>
        <v>0</v>
      </c>
      <c r="M64" s="286">
        <f t="shared" si="40"/>
        <v>0</v>
      </c>
      <c r="N64" s="345">
        <f t="shared" si="41"/>
        <v>0</v>
      </c>
      <c r="O64" s="201">
        <v>0</v>
      </c>
      <c r="P64" s="351">
        <f t="shared" si="42"/>
        <v>0</v>
      </c>
      <c r="Q64" s="203">
        <f>'[2]Table 5C1I-LA Key Academy'!S64+'[14]Table 5C1I-LA Key Academy'!S64+(6*'[20]Table 5C1I-LA Key Academy'!S64)</f>
        <v>0</v>
      </c>
      <c r="R64" s="203">
        <f t="shared" si="43"/>
        <v>0</v>
      </c>
      <c r="S64" s="351">
        <f t="shared" si="54"/>
        <v>0</v>
      </c>
      <c r="T64" s="351">
        <f t="shared" si="44"/>
        <v>0</v>
      </c>
      <c r="U64" s="287">
        <f>'Table 5C1A-Madison Prep'!U64</f>
        <v>2167</v>
      </c>
      <c r="V64" s="328">
        <f t="shared" si="45"/>
        <v>0</v>
      </c>
      <c r="W64" s="289">
        <f>'[1]Oct midyear LA Key'!E61</f>
        <v>0</v>
      </c>
      <c r="X64" s="290">
        <f t="shared" si="46"/>
        <v>0</v>
      </c>
      <c r="Y64" s="289">
        <f>'[1]Feb midyear LA Key'!E61</f>
        <v>0</v>
      </c>
      <c r="Z64" s="290">
        <f t="shared" si="29"/>
        <v>0</v>
      </c>
      <c r="AA64" s="288">
        <f t="shared" si="30"/>
        <v>0</v>
      </c>
      <c r="AB64" s="324">
        <f t="shared" si="31"/>
        <v>0</v>
      </c>
      <c r="AC64" s="292">
        <f t="shared" si="32"/>
        <v>0</v>
      </c>
      <c r="AD64" s="324">
        <f t="shared" si="47"/>
        <v>0</v>
      </c>
      <c r="AE64" s="293">
        <v>0</v>
      </c>
      <c r="AF64" s="324">
        <f t="shared" si="48"/>
        <v>0</v>
      </c>
      <c r="AG64" s="293">
        <f>'[2]Table 5C1I-LA Key Academy'!AI64+'[14]Table 5C1I-LA Key Academy'!AI64+(6*'[20]Table 5C1I-LA Key Academy'!AI64)</f>
        <v>0</v>
      </c>
      <c r="AH64" s="293">
        <f t="shared" si="49"/>
        <v>0</v>
      </c>
      <c r="AI64" s="324">
        <f t="shared" si="55"/>
        <v>0</v>
      </c>
      <c r="AJ64" s="321">
        <f t="shared" si="50"/>
        <v>0</v>
      </c>
      <c r="AK64" s="342">
        <f t="shared" si="51"/>
        <v>0</v>
      </c>
      <c r="AM64" s="286">
        <v>0</v>
      </c>
      <c r="AN64" s="286">
        <f t="shared" si="52"/>
        <v>0</v>
      </c>
      <c r="AO64" s="286">
        <f t="shared" si="53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2.1.14'!V61</f>
        <v>0</v>
      </c>
      <c r="D65" s="201">
        <f>+'Table 5C1A-Madison Prep'!D65</f>
        <v>6621.946293521848</v>
      </c>
      <c r="E65" s="202">
        <f t="shared" si="35"/>
        <v>0</v>
      </c>
      <c r="F65" s="202">
        <f>+'Table 5C1A-Madison Prep'!F65</f>
        <v>689.52</v>
      </c>
      <c r="G65" s="202">
        <f t="shared" si="36"/>
        <v>0</v>
      </c>
      <c r="H65" s="345">
        <f t="shared" si="37"/>
        <v>0</v>
      </c>
      <c r="I65" s="203">
        <f>'[1]Oct midyear LA Key'!K62</f>
        <v>0</v>
      </c>
      <c r="J65" s="203">
        <f>'[1]Feb midyear LA Key'!K62</f>
        <v>0</v>
      </c>
      <c r="K65" s="204">
        <f t="shared" si="38"/>
        <v>0</v>
      </c>
      <c r="L65" s="345">
        <f t="shared" si="39"/>
        <v>0</v>
      </c>
      <c r="M65" s="286">
        <f t="shared" si="40"/>
        <v>0</v>
      </c>
      <c r="N65" s="345">
        <f t="shared" si="41"/>
        <v>0</v>
      </c>
      <c r="O65" s="201">
        <v>0</v>
      </c>
      <c r="P65" s="351">
        <f t="shared" si="42"/>
        <v>0</v>
      </c>
      <c r="Q65" s="203">
        <f>'[2]Table 5C1I-LA Key Academy'!S65+'[14]Table 5C1I-LA Key Academy'!S65+(6*'[20]Table 5C1I-LA Key Academy'!S65)</f>
        <v>0</v>
      </c>
      <c r="R65" s="203">
        <f t="shared" si="43"/>
        <v>0</v>
      </c>
      <c r="S65" s="351">
        <f t="shared" si="54"/>
        <v>0</v>
      </c>
      <c r="T65" s="351">
        <f t="shared" si="44"/>
        <v>0</v>
      </c>
      <c r="U65" s="287">
        <f>'Table 5C1A-Madison Prep'!U65</f>
        <v>1521</v>
      </c>
      <c r="V65" s="328">
        <f t="shared" si="45"/>
        <v>0</v>
      </c>
      <c r="W65" s="289">
        <f>'[1]Oct midyear LA Key'!E62</f>
        <v>0</v>
      </c>
      <c r="X65" s="290">
        <f t="shared" si="46"/>
        <v>0</v>
      </c>
      <c r="Y65" s="289">
        <f>'[1]Feb midyear LA Key'!E62</f>
        <v>0</v>
      </c>
      <c r="Z65" s="290">
        <f t="shared" si="29"/>
        <v>0</v>
      </c>
      <c r="AA65" s="288">
        <f t="shared" si="30"/>
        <v>0</v>
      </c>
      <c r="AB65" s="324">
        <f t="shared" si="31"/>
        <v>0</v>
      </c>
      <c r="AC65" s="292">
        <f t="shared" si="32"/>
        <v>0</v>
      </c>
      <c r="AD65" s="324">
        <f t="shared" si="47"/>
        <v>0</v>
      </c>
      <c r="AE65" s="293">
        <v>0</v>
      </c>
      <c r="AF65" s="324">
        <f t="shared" si="48"/>
        <v>0</v>
      </c>
      <c r="AG65" s="293">
        <f>'[2]Table 5C1I-LA Key Academy'!AI65+'[14]Table 5C1I-LA Key Academy'!AI65+(6*'[20]Table 5C1I-LA Key Academy'!AI65)</f>
        <v>0</v>
      </c>
      <c r="AH65" s="293">
        <f t="shared" si="49"/>
        <v>0</v>
      </c>
      <c r="AI65" s="324">
        <f t="shared" si="55"/>
        <v>0</v>
      </c>
      <c r="AJ65" s="321">
        <f t="shared" si="50"/>
        <v>0</v>
      </c>
      <c r="AK65" s="342">
        <f t="shared" si="51"/>
        <v>0</v>
      </c>
      <c r="AM65" s="286">
        <v>0</v>
      </c>
      <c r="AN65" s="286">
        <f t="shared" si="52"/>
        <v>0</v>
      </c>
      <c r="AO65" s="286">
        <f t="shared" si="53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2.1.14'!V62</f>
        <v>0</v>
      </c>
      <c r="D66" s="194">
        <f>+'Table 5C1A-Madison Prep'!D66</f>
        <v>5301.224090063828</v>
      </c>
      <c r="E66" s="195">
        <f t="shared" si="35"/>
        <v>0</v>
      </c>
      <c r="F66" s="195">
        <f>+'Table 5C1A-Madison Prep'!F66</f>
        <v>594.04</v>
      </c>
      <c r="G66" s="195">
        <f t="shared" si="36"/>
        <v>0</v>
      </c>
      <c r="H66" s="346">
        <f t="shared" si="37"/>
        <v>0</v>
      </c>
      <c r="I66" s="196">
        <f>'[1]Oct midyear LA Key'!K63</f>
        <v>0</v>
      </c>
      <c r="J66" s="196">
        <f>'[1]Feb midyear LA Key'!K63</f>
        <v>0</v>
      </c>
      <c r="K66" s="197">
        <f t="shared" si="38"/>
        <v>0</v>
      </c>
      <c r="L66" s="346">
        <f t="shared" si="39"/>
        <v>0</v>
      </c>
      <c r="M66" s="296">
        <f t="shared" si="40"/>
        <v>0</v>
      </c>
      <c r="N66" s="346">
        <f t="shared" si="41"/>
        <v>0</v>
      </c>
      <c r="O66" s="194">
        <v>0</v>
      </c>
      <c r="P66" s="352">
        <f t="shared" si="42"/>
        <v>0</v>
      </c>
      <c r="Q66" s="196">
        <f>'[2]Table 5C1I-LA Key Academy'!S66+'[14]Table 5C1I-LA Key Academy'!S66+(6*'[20]Table 5C1I-LA Key Academy'!S66)</f>
        <v>0</v>
      </c>
      <c r="R66" s="196">
        <f t="shared" si="43"/>
        <v>0</v>
      </c>
      <c r="S66" s="352">
        <f t="shared" si="54"/>
        <v>0</v>
      </c>
      <c r="T66" s="352">
        <f t="shared" si="44"/>
        <v>0</v>
      </c>
      <c r="U66" s="281">
        <f>'Table 5C1A-Madison Prep'!U66</f>
        <v>4024</v>
      </c>
      <c r="V66" s="329">
        <f t="shared" si="45"/>
        <v>0</v>
      </c>
      <c r="W66" s="884">
        <f>'[1]Oct midyear LA Key'!E63</f>
        <v>0</v>
      </c>
      <c r="X66" s="282">
        <f t="shared" si="46"/>
        <v>0</v>
      </c>
      <c r="Y66" s="884">
        <f>'[1]Feb midyear LA Key'!E63</f>
        <v>0</v>
      </c>
      <c r="Z66" s="282">
        <f t="shared" si="29"/>
        <v>0</v>
      </c>
      <c r="AA66" s="283">
        <f t="shared" si="30"/>
        <v>0</v>
      </c>
      <c r="AB66" s="325">
        <f t="shared" si="31"/>
        <v>0</v>
      </c>
      <c r="AC66" s="298">
        <f t="shared" si="32"/>
        <v>0</v>
      </c>
      <c r="AD66" s="325">
        <f t="shared" si="47"/>
        <v>0</v>
      </c>
      <c r="AE66" s="284">
        <v>0</v>
      </c>
      <c r="AF66" s="325">
        <f t="shared" si="48"/>
        <v>0</v>
      </c>
      <c r="AG66" s="284">
        <f>'[2]Table 5C1I-LA Key Academy'!AI66+'[14]Table 5C1I-LA Key Academy'!AI66+(6*'[20]Table 5C1I-LA Key Academy'!AI66)</f>
        <v>0</v>
      </c>
      <c r="AH66" s="284">
        <f t="shared" si="49"/>
        <v>0</v>
      </c>
      <c r="AI66" s="325">
        <f t="shared" si="55"/>
        <v>0</v>
      </c>
      <c r="AJ66" s="338">
        <f t="shared" si="50"/>
        <v>0</v>
      </c>
      <c r="AK66" s="343">
        <f t="shared" si="51"/>
        <v>0</v>
      </c>
      <c r="AM66" s="296">
        <v>0</v>
      </c>
      <c r="AN66" s="296">
        <f t="shared" si="52"/>
        <v>0</v>
      </c>
      <c r="AO66" s="296">
        <f t="shared" si="53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2.1.14'!V63</f>
        <v>1</v>
      </c>
      <c r="D67" s="208">
        <f>+'Table 5C1A-Madison Prep'!D67</f>
        <v>2854.1575356369185</v>
      </c>
      <c r="E67" s="209">
        <f t="shared" si="35"/>
        <v>2854.1575356369185</v>
      </c>
      <c r="F67" s="209">
        <f>+'Table 5C1A-Madison Prep'!F67</f>
        <v>833.70999999999992</v>
      </c>
      <c r="G67" s="209">
        <f t="shared" si="36"/>
        <v>833.70999999999992</v>
      </c>
      <c r="H67" s="344">
        <f t="shared" si="37"/>
        <v>3687.8675356369185</v>
      </c>
      <c r="I67" s="210">
        <f>'[1]Oct midyear LA Key'!K64</f>
        <v>14751.470142547674</v>
      </c>
      <c r="J67" s="210">
        <f>'[1]Feb midyear LA Key'!K64</f>
        <v>0</v>
      </c>
      <c r="K67" s="211">
        <f t="shared" si="38"/>
        <v>14751.470142547674</v>
      </c>
      <c r="L67" s="344">
        <f t="shared" si="39"/>
        <v>18439.337678184595</v>
      </c>
      <c r="M67" s="273">
        <f t="shared" si="40"/>
        <v>-46.098344195461486</v>
      </c>
      <c r="N67" s="344">
        <f t="shared" si="41"/>
        <v>18393.239333989131</v>
      </c>
      <c r="O67" s="208">
        <v>0</v>
      </c>
      <c r="P67" s="350">
        <f t="shared" si="42"/>
        <v>18393.239333989131</v>
      </c>
      <c r="Q67" s="210">
        <f>'[2]Table 5C1I-LA Key Academy'!S67+'[14]Table 5C1I-LA Key Academy'!S67+(6*'[20]Table 5C1I-LA Key Academy'!S67)</f>
        <v>13490</v>
      </c>
      <c r="R67" s="210">
        <f t="shared" si="43"/>
        <v>4903.2393339891314</v>
      </c>
      <c r="S67" s="350">
        <f t="shared" si="54"/>
        <v>1226</v>
      </c>
      <c r="T67" s="350">
        <f t="shared" si="44"/>
        <v>18393.239333989131</v>
      </c>
      <c r="U67" s="274">
        <f>'Table 5C1A-Madison Prep'!U67</f>
        <v>6739</v>
      </c>
      <c r="V67" s="327">
        <f t="shared" si="45"/>
        <v>6739</v>
      </c>
      <c r="W67" s="883">
        <f>'[1]Oct midyear LA Key'!E64</f>
        <v>4</v>
      </c>
      <c r="X67" s="276">
        <f t="shared" si="46"/>
        <v>26956</v>
      </c>
      <c r="Y67" s="883">
        <f>'[1]Feb midyear LA Key'!E64</f>
        <v>0</v>
      </c>
      <c r="Z67" s="276">
        <f t="shared" si="29"/>
        <v>0</v>
      </c>
      <c r="AA67" s="275">
        <f t="shared" si="30"/>
        <v>26956</v>
      </c>
      <c r="AB67" s="323">
        <f t="shared" si="31"/>
        <v>33695</v>
      </c>
      <c r="AC67" s="278">
        <f t="shared" si="32"/>
        <v>-84.237499999999997</v>
      </c>
      <c r="AD67" s="323">
        <f t="shared" si="47"/>
        <v>33610.762499999997</v>
      </c>
      <c r="AE67" s="279">
        <v>0</v>
      </c>
      <c r="AF67" s="323">
        <f t="shared" si="48"/>
        <v>33610.762499999997</v>
      </c>
      <c r="AG67" s="279">
        <f>'[2]Table 5C1I-LA Key Academy'!AI67+'[14]Table 5C1I-LA Key Academy'!AI67+(6*'[20]Table 5C1I-LA Key Academy'!AI67)</f>
        <v>24672</v>
      </c>
      <c r="AH67" s="279">
        <f t="shared" si="49"/>
        <v>8938.7624999999971</v>
      </c>
      <c r="AI67" s="323">
        <f t="shared" si="55"/>
        <v>2235</v>
      </c>
      <c r="AJ67" s="337">
        <f t="shared" si="50"/>
        <v>52004.001833989125</v>
      </c>
      <c r="AK67" s="341">
        <f t="shared" si="51"/>
        <v>3461</v>
      </c>
      <c r="AM67" s="273">
        <v>-16.862500000000001</v>
      </c>
      <c r="AN67" s="273">
        <f t="shared" si="52"/>
        <v>-84.237499999999997</v>
      </c>
      <c r="AO67" s="273">
        <f t="shared" si="53"/>
        <v>-67.375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2.1.14'!V64</f>
        <v>0</v>
      </c>
      <c r="D68" s="201">
        <f>+'Table 5C1A-Madison Prep'!D68</f>
        <v>5901.074538516008</v>
      </c>
      <c r="E68" s="202">
        <f t="shared" si="35"/>
        <v>0</v>
      </c>
      <c r="F68" s="202">
        <f>+'Table 5C1A-Madison Prep'!F68</f>
        <v>516.08000000000004</v>
      </c>
      <c r="G68" s="202">
        <f t="shared" si="36"/>
        <v>0</v>
      </c>
      <c r="H68" s="345">
        <f t="shared" si="37"/>
        <v>0</v>
      </c>
      <c r="I68" s="203">
        <f>'[1]Oct midyear LA Key'!K65</f>
        <v>0</v>
      </c>
      <c r="J68" s="203">
        <f>'[1]Feb midyear LA Key'!K65</f>
        <v>0</v>
      </c>
      <c r="K68" s="204">
        <f t="shared" si="38"/>
        <v>0</v>
      </c>
      <c r="L68" s="345">
        <f t="shared" si="39"/>
        <v>0</v>
      </c>
      <c r="M68" s="286">
        <f t="shared" si="40"/>
        <v>0</v>
      </c>
      <c r="N68" s="345">
        <f t="shared" si="41"/>
        <v>0</v>
      </c>
      <c r="O68" s="201">
        <v>0</v>
      </c>
      <c r="P68" s="351">
        <f t="shared" si="42"/>
        <v>0</v>
      </c>
      <c r="Q68" s="203">
        <f>'[2]Table 5C1I-LA Key Academy'!S68+'[14]Table 5C1I-LA Key Academy'!S68+(6*'[20]Table 5C1I-LA Key Academy'!S68)</f>
        <v>0</v>
      </c>
      <c r="R68" s="203">
        <f t="shared" si="43"/>
        <v>0</v>
      </c>
      <c r="S68" s="351">
        <f t="shared" si="54"/>
        <v>0</v>
      </c>
      <c r="T68" s="351">
        <f t="shared" si="44"/>
        <v>0</v>
      </c>
      <c r="U68" s="287">
        <f>'Table 5C1A-Madison Prep'!U68</f>
        <v>2089</v>
      </c>
      <c r="V68" s="328">
        <f t="shared" si="45"/>
        <v>0</v>
      </c>
      <c r="W68" s="289">
        <f>'[1]Oct midyear LA Key'!E65</f>
        <v>0</v>
      </c>
      <c r="X68" s="290">
        <f t="shared" si="46"/>
        <v>0</v>
      </c>
      <c r="Y68" s="289">
        <f>'[1]Feb midyear LA Key'!E65</f>
        <v>0</v>
      </c>
      <c r="Z68" s="290">
        <f t="shared" si="29"/>
        <v>0</v>
      </c>
      <c r="AA68" s="288">
        <f t="shared" si="30"/>
        <v>0</v>
      </c>
      <c r="AB68" s="324">
        <f t="shared" si="31"/>
        <v>0</v>
      </c>
      <c r="AC68" s="292">
        <f t="shared" si="32"/>
        <v>0</v>
      </c>
      <c r="AD68" s="324">
        <f t="shared" si="47"/>
        <v>0</v>
      </c>
      <c r="AE68" s="293">
        <v>0</v>
      </c>
      <c r="AF68" s="324">
        <f t="shared" si="48"/>
        <v>0</v>
      </c>
      <c r="AG68" s="293">
        <f>'[2]Table 5C1I-LA Key Academy'!AI68+'[14]Table 5C1I-LA Key Academy'!AI68+(6*'[20]Table 5C1I-LA Key Academy'!AI68)</f>
        <v>0</v>
      </c>
      <c r="AH68" s="293">
        <f t="shared" si="49"/>
        <v>0</v>
      </c>
      <c r="AI68" s="324">
        <f t="shared" si="55"/>
        <v>0</v>
      </c>
      <c r="AJ68" s="321">
        <f t="shared" si="50"/>
        <v>0</v>
      </c>
      <c r="AK68" s="342">
        <f t="shared" si="51"/>
        <v>0</v>
      </c>
      <c r="AM68" s="286">
        <v>0</v>
      </c>
      <c r="AN68" s="286">
        <f t="shared" si="52"/>
        <v>0</v>
      </c>
      <c r="AO68" s="286">
        <f t="shared" si="53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2.1.14'!V65</f>
        <v>0</v>
      </c>
      <c r="D69" s="201">
        <f>+'Table 5C1A-Madison Prep'!D69</f>
        <v>4124.3813481848092</v>
      </c>
      <c r="E69" s="202">
        <f t="shared" si="35"/>
        <v>0</v>
      </c>
      <c r="F69" s="202">
        <f>+'Table 5C1A-Madison Prep'!F69</f>
        <v>756.79</v>
      </c>
      <c r="G69" s="202">
        <f t="shared" si="36"/>
        <v>0</v>
      </c>
      <c r="H69" s="345">
        <f t="shared" si="37"/>
        <v>0</v>
      </c>
      <c r="I69" s="203">
        <f>'[1]Oct midyear LA Key'!K66</f>
        <v>0</v>
      </c>
      <c r="J69" s="203">
        <f>'[1]Feb midyear LA Key'!K66</f>
        <v>0</v>
      </c>
      <c r="K69" s="204">
        <f t="shared" si="38"/>
        <v>0</v>
      </c>
      <c r="L69" s="345">
        <f t="shared" si="39"/>
        <v>0</v>
      </c>
      <c r="M69" s="286">
        <f t="shared" si="40"/>
        <v>0</v>
      </c>
      <c r="N69" s="345">
        <f t="shared" si="41"/>
        <v>0</v>
      </c>
      <c r="O69" s="201">
        <v>0</v>
      </c>
      <c r="P69" s="351">
        <f t="shared" si="42"/>
        <v>0</v>
      </c>
      <c r="Q69" s="203">
        <f>'[2]Table 5C1I-LA Key Academy'!S69+'[14]Table 5C1I-LA Key Academy'!S69+(6*'[20]Table 5C1I-LA Key Academy'!S69)</f>
        <v>0</v>
      </c>
      <c r="R69" s="203">
        <f t="shared" si="43"/>
        <v>0</v>
      </c>
      <c r="S69" s="351">
        <f t="shared" si="54"/>
        <v>0</v>
      </c>
      <c r="T69" s="351">
        <f t="shared" si="44"/>
        <v>0</v>
      </c>
      <c r="U69" s="287">
        <f>'Table 5C1A-Madison Prep'!U69</f>
        <v>7403</v>
      </c>
      <c r="V69" s="328">
        <f t="shared" si="45"/>
        <v>0</v>
      </c>
      <c r="W69" s="289">
        <f>'[1]Oct midyear LA Key'!E66</f>
        <v>0</v>
      </c>
      <c r="X69" s="290">
        <f t="shared" si="46"/>
        <v>0</v>
      </c>
      <c r="Y69" s="289">
        <f>'[1]Feb midyear LA Key'!E66</f>
        <v>0</v>
      </c>
      <c r="Z69" s="290">
        <f t="shared" si="29"/>
        <v>0</v>
      </c>
      <c r="AA69" s="288">
        <f t="shared" si="30"/>
        <v>0</v>
      </c>
      <c r="AB69" s="324">
        <f t="shared" si="31"/>
        <v>0</v>
      </c>
      <c r="AC69" s="292">
        <f t="shared" si="32"/>
        <v>0</v>
      </c>
      <c r="AD69" s="324">
        <f t="shared" si="47"/>
        <v>0</v>
      </c>
      <c r="AE69" s="293">
        <v>0</v>
      </c>
      <c r="AF69" s="324">
        <f t="shared" si="48"/>
        <v>0</v>
      </c>
      <c r="AG69" s="293">
        <f>'[2]Table 5C1I-LA Key Academy'!AI69+'[14]Table 5C1I-LA Key Academy'!AI69+(6*'[20]Table 5C1I-LA Key Academy'!AI69)</f>
        <v>0</v>
      </c>
      <c r="AH69" s="293">
        <f t="shared" si="49"/>
        <v>0</v>
      </c>
      <c r="AI69" s="324">
        <f t="shared" si="55"/>
        <v>0</v>
      </c>
      <c r="AJ69" s="321">
        <f t="shared" si="50"/>
        <v>0</v>
      </c>
      <c r="AK69" s="342">
        <f t="shared" si="51"/>
        <v>0</v>
      </c>
      <c r="AM69" s="286">
        <v>0</v>
      </c>
      <c r="AN69" s="286">
        <f t="shared" si="52"/>
        <v>0</v>
      </c>
      <c r="AO69" s="286">
        <f t="shared" si="53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2.1.14'!V66</f>
        <v>0</v>
      </c>
      <c r="D70" s="201">
        <f>+'Table 5C1A-Madison Prep'!D70</f>
        <v>6277.8307532778254</v>
      </c>
      <c r="E70" s="202">
        <f t="shared" si="35"/>
        <v>0</v>
      </c>
      <c r="F70" s="202">
        <f>+'Table 5C1A-Madison Prep'!F70</f>
        <v>592.66</v>
      </c>
      <c r="G70" s="202">
        <f t="shared" si="36"/>
        <v>0</v>
      </c>
      <c r="H70" s="345">
        <f t="shared" si="37"/>
        <v>0</v>
      </c>
      <c r="I70" s="203">
        <f>'[1]Oct midyear LA Key'!K67</f>
        <v>0</v>
      </c>
      <c r="J70" s="203">
        <f>'[1]Feb midyear LA Key'!K67</f>
        <v>0</v>
      </c>
      <c r="K70" s="204">
        <f t="shared" si="38"/>
        <v>0</v>
      </c>
      <c r="L70" s="345">
        <f t="shared" si="39"/>
        <v>0</v>
      </c>
      <c r="M70" s="286">
        <f t="shared" si="40"/>
        <v>0</v>
      </c>
      <c r="N70" s="345">
        <f t="shared" si="41"/>
        <v>0</v>
      </c>
      <c r="O70" s="201">
        <v>0</v>
      </c>
      <c r="P70" s="351">
        <f t="shared" si="42"/>
        <v>0</v>
      </c>
      <c r="Q70" s="203">
        <f>'[2]Table 5C1I-LA Key Academy'!S70+'[14]Table 5C1I-LA Key Academy'!S70+(6*'[20]Table 5C1I-LA Key Academy'!S70)</f>
        <v>0</v>
      </c>
      <c r="R70" s="203">
        <f t="shared" si="43"/>
        <v>0</v>
      </c>
      <c r="S70" s="351">
        <f t="shared" si="54"/>
        <v>0</v>
      </c>
      <c r="T70" s="351">
        <f t="shared" si="44"/>
        <v>0</v>
      </c>
      <c r="U70" s="287">
        <f>'Table 5C1A-Madison Prep'!U70</f>
        <v>2802</v>
      </c>
      <c r="V70" s="328">
        <f t="shared" si="45"/>
        <v>0</v>
      </c>
      <c r="W70" s="289">
        <f>'[1]Oct midyear LA Key'!E67</f>
        <v>0</v>
      </c>
      <c r="X70" s="290">
        <f t="shared" si="46"/>
        <v>0</v>
      </c>
      <c r="Y70" s="289">
        <f>'[1]Feb midyear LA Key'!E67</f>
        <v>0</v>
      </c>
      <c r="Z70" s="290">
        <f t="shared" si="29"/>
        <v>0</v>
      </c>
      <c r="AA70" s="288">
        <f t="shared" si="30"/>
        <v>0</v>
      </c>
      <c r="AB70" s="324">
        <f t="shared" si="31"/>
        <v>0</v>
      </c>
      <c r="AC70" s="292">
        <f t="shared" si="32"/>
        <v>0</v>
      </c>
      <c r="AD70" s="324">
        <f t="shared" si="47"/>
        <v>0</v>
      </c>
      <c r="AE70" s="293">
        <v>0</v>
      </c>
      <c r="AF70" s="324">
        <f t="shared" si="48"/>
        <v>0</v>
      </c>
      <c r="AG70" s="293">
        <f>'[2]Table 5C1I-LA Key Academy'!AI70+'[14]Table 5C1I-LA Key Academy'!AI70+(6*'[20]Table 5C1I-LA Key Academy'!AI70)</f>
        <v>0</v>
      </c>
      <c r="AH70" s="293">
        <f t="shared" si="49"/>
        <v>0</v>
      </c>
      <c r="AI70" s="324">
        <f t="shared" si="55"/>
        <v>0</v>
      </c>
      <c r="AJ70" s="321">
        <f t="shared" si="50"/>
        <v>0</v>
      </c>
      <c r="AK70" s="342">
        <f t="shared" si="51"/>
        <v>0</v>
      </c>
      <c r="AM70" s="286">
        <v>0</v>
      </c>
      <c r="AN70" s="286">
        <f t="shared" si="52"/>
        <v>0</v>
      </c>
      <c r="AO70" s="286">
        <f t="shared" si="53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2.1.14'!V67</f>
        <v>0</v>
      </c>
      <c r="D71" s="194">
        <f>+'Table 5C1A-Madison Prep'!D71</f>
        <v>4775.1605543943642</v>
      </c>
      <c r="E71" s="195">
        <f t="shared" si="35"/>
        <v>0</v>
      </c>
      <c r="F71" s="195">
        <f>+'Table 5C1A-Madison Prep'!F71</f>
        <v>829.12</v>
      </c>
      <c r="G71" s="195">
        <f t="shared" si="36"/>
        <v>0</v>
      </c>
      <c r="H71" s="346">
        <f t="shared" si="37"/>
        <v>0</v>
      </c>
      <c r="I71" s="196">
        <f>'[1]Oct midyear LA Key'!K68</f>
        <v>0</v>
      </c>
      <c r="J71" s="196">
        <f>'[1]Feb midyear LA Key'!K68</f>
        <v>0</v>
      </c>
      <c r="K71" s="197">
        <f t="shared" si="38"/>
        <v>0</v>
      </c>
      <c r="L71" s="346">
        <f t="shared" si="39"/>
        <v>0</v>
      </c>
      <c r="M71" s="296">
        <f t="shared" si="40"/>
        <v>0</v>
      </c>
      <c r="N71" s="346">
        <f t="shared" si="41"/>
        <v>0</v>
      </c>
      <c r="O71" s="194">
        <v>0</v>
      </c>
      <c r="P71" s="352">
        <f t="shared" si="42"/>
        <v>0</v>
      </c>
      <c r="Q71" s="196">
        <f>'[2]Table 5C1I-LA Key Academy'!S71+'[14]Table 5C1I-LA Key Academy'!S71+(6*'[20]Table 5C1I-LA Key Academy'!S71)</f>
        <v>0</v>
      </c>
      <c r="R71" s="196">
        <f t="shared" si="43"/>
        <v>0</v>
      </c>
      <c r="S71" s="352">
        <f t="shared" ref="S71:S75" si="56">ROUND(R71/$S$88,0)</f>
        <v>0</v>
      </c>
      <c r="T71" s="352">
        <f t="shared" si="44"/>
        <v>0</v>
      </c>
      <c r="U71" s="281">
        <f>'Table 5C1A-Madison Prep'!U71</f>
        <v>5215</v>
      </c>
      <c r="V71" s="329">
        <f t="shared" si="45"/>
        <v>0</v>
      </c>
      <c r="W71" s="884">
        <f>'[1]Oct midyear LA Key'!E68</f>
        <v>0</v>
      </c>
      <c r="X71" s="282">
        <f t="shared" si="46"/>
        <v>0</v>
      </c>
      <c r="Y71" s="884">
        <f>'[1]Feb midyear LA Key'!E68</f>
        <v>0</v>
      </c>
      <c r="Z71" s="282">
        <f t="shared" ref="Z71:Z74" si="57">+U71*Y71*0.5</f>
        <v>0</v>
      </c>
      <c r="AA71" s="283">
        <f t="shared" ref="AA71:AA74" si="58">+X71+Z71</f>
        <v>0</v>
      </c>
      <c r="AB71" s="325">
        <f t="shared" ref="AB71:AB74" si="59">+V71+AA71</f>
        <v>0</v>
      </c>
      <c r="AC71" s="298">
        <f t="shared" ref="AC71:AC74" si="60">-(0.25%*AB71)</f>
        <v>0</v>
      </c>
      <c r="AD71" s="325">
        <f t="shared" si="47"/>
        <v>0</v>
      </c>
      <c r="AE71" s="284">
        <v>0</v>
      </c>
      <c r="AF71" s="325">
        <f t="shared" si="48"/>
        <v>0</v>
      </c>
      <c r="AG71" s="284">
        <f>'[2]Table 5C1I-LA Key Academy'!AI71+'[14]Table 5C1I-LA Key Academy'!AI71+(6*'[20]Table 5C1I-LA Key Academy'!AI71)</f>
        <v>0</v>
      </c>
      <c r="AH71" s="284">
        <f t="shared" si="49"/>
        <v>0</v>
      </c>
      <c r="AI71" s="325">
        <f t="shared" ref="AI71:AI75" si="61">ROUND(AH71/$AI$88,0)</f>
        <v>0</v>
      </c>
      <c r="AJ71" s="338">
        <f t="shared" si="50"/>
        <v>0</v>
      </c>
      <c r="AK71" s="343">
        <f t="shared" si="51"/>
        <v>0</v>
      </c>
      <c r="AM71" s="296">
        <v>0</v>
      </c>
      <c r="AN71" s="296">
        <f t="shared" si="52"/>
        <v>0</v>
      </c>
      <c r="AO71" s="296">
        <f t="shared" si="53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2.1.14'!V68</f>
        <v>0</v>
      </c>
      <c r="D72" s="208">
        <f>+'Table 5C1A-Madison Prep'!D72</f>
        <v>6564.0085433910035</v>
      </c>
      <c r="E72" s="209">
        <f t="shared" ref="E72:E75" si="62">C72*D72</f>
        <v>0</v>
      </c>
      <c r="F72" s="209">
        <f>+'Table 5C1A-Madison Prep'!F72</f>
        <v>730.06</v>
      </c>
      <c r="G72" s="209">
        <f t="shared" ref="G72:G75" si="63">C72*F72</f>
        <v>0</v>
      </c>
      <c r="H72" s="344">
        <f t="shared" ref="H72:H75" si="64">E72+G72</f>
        <v>0</v>
      </c>
      <c r="I72" s="210">
        <f>'[1]Oct midyear LA Key'!K69</f>
        <v>0</v>
      </c>
      <c r="J72" s="210">
        <f>'[1]Feb midyear LA Key'!K69</f>
        <v>0</v>
      </c>
      <c r="K72" s="211">
        <f t="shared" ref="K72:K75" si="65">I72+J72</f>
        <v>0</v>
      </c>
      <c r="L72" s="344">
        <f t="shared" ref="L72:L75" si="66">+H72+K72</f>
        <v>0</v>
      </c>
      <c r="M72" s="273">
        <f t="shared" ref="M72:M75" si="67">-(0.25%*L72)</f>
        <v>0</v>
      </c>
      <c r="N72" s="344">
        <f t="shared" ref="N72:N75" si="68">SUM(L72:M72)</f>
        <v>0</v>
      </c>
      <c r="O72" s="208">
        <v>0</v>
      </c>
      <c r="P72" s="350">
        <f t="shared" ref="P72:P75" si="69">SUM(N72:O72)</f>
        <v>0</v>
      </c>
      <c r="Q72" s="210">
        <f>'[2]Table 5C1I-LA Key Academy'!S72+'[14]Table 5C1I-LA Key Academy'!S72+(6*'[20]Table 5C1I-LA Key Academy'!S72)</f>
        <v>0</v>
      </c>
      <c r="R72" s="210">
        <f t="shared" ref="R72:R75" si="70">+P72-Q72</f>
        <v>0</v>
      </c>
      <c r="S72" s="350">
        <f t="shared" si="56"/>
        <v>0</v>
      </c>
      <c r="T72" s="350">
        <f t="shared" ref="T72:T75" si="71">+P72</f>
        <v>0</v>
      </c>
      <c r="U72" s="274">
        <f>'Table 5C1A-Madison Prep'!U72</f>
        <v>3609</v>
      </c>
      <c r="V72" s="327">
        <f t="shared" ref="V72:V75" si="72">C72*U72</f>
        <v>0</v>
      </c>
      <c r="W72" s="883">
        <f>'[1]Oct midyear LA Key'!E69</f>
        <v>0</v>
      </c>
      <c r="X72" s="276">
        <f t="shared" ref="X72:X75" si="73">+U72*W72</f>
        <v>0</v>
      </c>
      <c r="Y72" s="883">
        <f>'[1]Feb midyear LA Key'!E69</f>
        <v>0</v>
      </c>
      <c r="Z72" s="276">
        <f t="shared" si="57"/>
        <v>0</v>
      </c>
      <c r="AA72" s="275">
        <f t="shared" si="58"/>
        <v>0</v>
      </c>
      <c r="AB72" s="323">
        <f t="shared" si="59"/>
        <v>0</v>
      </c>
      <c r="AC72" s="278">
        <f t="shared" si="60"/>
        <v>0</v>
      </c>
      <c r="AD72" s="323">
        <f t="shared" ref="AD72:AD75" si="74">SUM(AB72:AC72)</f>
        <v>0</v>
      </c>
      <c r="AE72" s="279">
        <v>0</v>
      </c>
      <c r="AF72" s="323">
        <f t="shared" ref="AF72:AF75" si="75">SUM(AD72:AE72)</f>
        <v>0</v>
      </c>
      <c r="AG72" s="279">
        <f>'[2]Table 5C1I-LA Key Academy'!AI72+'[14]Table 5C1I-LA Key Academy'!AI72+(6*'[20]Table 5C1I-LA Key Academy'!AI72)</f>
        <v>0</v>
      </c>
      <c r="AH72" s="279">
        <f t="shared" ref="AH72:AH75" si="76">+AF72-AG72</f>
        <v>0</v>
      </c>
      <c r="AI72" s="323">
        <f t="shared" si="61"/>
        <v>0</v>
      </c>
      <c r="AJ72" s="337">
        <f t="shared" ref="AJ72:AJ75" si="77">T72+AF72</f>
        <v>0</v>
      </c>
      <c r="AK72" s="341">
        <f t="shared" ref="AK72:AK75" si="78">S72+AI72</f>
        <v>0</v>
      </c>
      <c r="AM72" s="310">
        <v>0</v>
      </c>
      <c r="AN72" s="310">
        <f t="shared" ref="AN72:AN75" si="79">+AC72</f>
        <v>0</v>
      </c>
      <c r="AO72" s="310">
        <f t="shared" si="53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2.1.14'!V69</f>
        <v>0</v>
      </c>
      <c r="D73" s="201">
        <f>+'Table 5C1A-Madison Prep'!D73</f>
        <v>5029.1467736134118</v>
      </c>
      <c r="E73" s="202">
        <f t="shared" si="62"/>
        <v>0</v>
      </c>
      <c r="F73" s="202">
        <f>+'Table 5C1A-Madison Prep'!F73</f>
        <v>715.61</v>
      </c>
      <c r="G73" s="202">
        <f t="shared" si="63"/>
        <v>0</v>
      </c>
      <c r="H73" s="345">
        <f t="shared" si="64"/>
        <v>0</v>
      </c>
      <c r="I73" s="203">
        <f>'[1]Oct midyear LA Key'!K70</f>
        <v>0</v>
      </c>
      <c r="J73" s="203">
        <f>'[1]Feb midyear LA Key'!K70</f>
        <v>0</v>
      </c>
      <c r="K73" s="204">
        <f t="shared" si="65"/>
        <v>0</v>
      </c>
      <c r="L73" s="345">
        <f t="shared" si="66"/>
        <v>0</v>
      </c>
      <c r="M73" s="286">
        <f t="shared" si="67"/>
        <v>0</v>
      </c>
      <c r="N73" s="345">
        <f t="shared" si="68"/>
        <v>0</v>
      </c>
      <c r="O73" s="201">
        <v>0</v>
      </c>
      <c r="P73" s="351">
        <f t="shared" si="69"/>
        <v>0</v>
      </c>
      <c r="Q73" s="203">
        <f>'[2]Table 5C1I-LA Key Academy'!S73+'[14]Table 5C1I-LA Key Academy'!S73+(6*'[20]Table 5C1I-LA Key Academy'!S73)</f>
        <v>0</v>
      </c>
      <c r="R73" s="203">
        <f t="shared" si="70"/>
        <v>0</v>
      </c>
      <c r="S73" s="351">
        <f t="shared" si="56"/>
        <v>0</v>
      </c>
      <c r="T73" s="351">
        <f t="shared" si="71"/>
        <v>0</v>
      </c>
      <c r="U73" s="287">
        <f>'Table 5C1A-Madison Prep'!U73</f>
        <v>5069</v>
      </c>
      <c r="V73" s="328">
        <f t="shared" si="72"/>
        <v>0</v>
      </c>
      <c r="W73" s="289">
        <f>'[1]Oct midyear LA Key'!E70</f>
        <v>0</v>
      </c>
      <c r="X73" s="290">
        <f t="shared" si="73"/>
        <v>0</v>
      </c>
      <c r="Y73" s="289">
        <f>'[1]Feb midyear LA Key'!E70</f>
        <v>0</v>
      </c>
      <c r="Z73" s="290">
        <f t="shared" si="57"/>
        <v>0</v>
      </c>
      <c r="AA73" s="288">
        <f t="shared" si="58"/>
        <v>0</v>
      </c>
      <c r="AB73" s="324">
        <f t="shared" si="59"/>
        <v>0</v>
      </c>
      <c r="AC73" s="292">
        <f t="shared" si="60"/>
        <v>0</v>
      </c>
      <c r="AD73" s="324">
        <f t="shared" si="74"/>
        <v>0</v>
      </c>
      <c r="AE73" s="293">
        <v>0</v>
      </c>
      <c r="AF73" s="324">
        <f t="shared" si="75"/>
        <v>0</v>
      </c>
      <c r="AG73" s="293">
        <f>'[2]Table 5C1I-LA Key Academy'!AI73+'[14]Table 5C1I-LA Key Academy'!AI73+(6*'[20]Table 5C1I-LA Key Academy'!AI73)</f>
        <v>0</v>
      </c>
      <c r="AH73" s="293">
        <f t="shared" si="76"/>
        <v>0</v>
      </c>
      <c r="AI73" s="324">
        <f t="shared" si="61"/>
        <v>0</v>
      </c>
      <c r="AJ73" s="321">
        <f t="shared" si="77"/>
        <v>0</v>
      </c>
      <c r="AK73" s="342">
        <f t="shared" si="78"/>
        <v>0</v>
      </c>
      <c r="AM73" s="310">
        <v>0</v>
      </c>
      <c r="AN73" s="310">
        <f t="shared" si="79"/>
        <v>0</v>
      </c>
      <c r="AO73" s="310">
        <f t="shared" si="53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2.1.14'!V70</f>
        <v>0</v>
      </c>
      <c r="D74" s="201">
        <f>+'Table 5C1A-Madison Prep'!D74</f>
        <v>6390.1644202560601</v>
      </c>
      <c r="E74" s="202">
        <f t="shared" si="62"/>
        <v>0</v>
      </c>
      <c r="F74" s="202">
        <f>+'Table 5C1A-Madison Prep'!F74</f>
        <v>798.7</v>
      </c>
      <c r="G74" s="202">
        <f t="shared" si="63"/>
        <v>0</v>
      </c>
      <c r="H74" s="345">
        <f t="shared" si="64"/>
        <v>0</v>
      </c>
      <c r="I74" s="203">
        <f>'[1]Oct midyear LA Key'!K71</f>
        <v>0</v>
      </c>
      <c r="J74" s="203">
        <f>'[1]Feb midyear LA Key'!K71</f>
        <v>0</v>
      </c>
      <c r="K74" s="204">
        <f t="shared" si="65"/>
        <v>0</v>
      </c>
      <c r="L74" s="345">
        <f t="shared" si="66"/>
        <v>0</v>
      </c>
      <c r="M74" s="286">
        <f t="shared" si="67"/>
        <v>0</v>
      </c>
      <c r="N74" s="345">
        <f t="shared" si="68"/>
        <v>0</v>
      </c>
      <c r="O74" s="201">
        <v>0</v>
      </c>
      <c r="P74" s="351">
        <f t="shared" si="69"/>
        <v>0</v>
      </c>
      <c r="Q74" s="203">
        <f>'[2]Table 5C1I-LA Key Academy'!S74+'[14]Table 5C1I-LA Key Academy'!S74+(6*'[20]Table 5C1I-LA Key Academy'!S74)</f>
        <v>0</v>
      </c>
      <c r="R74" s="203">
        <f t="shared" si="70"/>
        <v>0</v>
      </c>
      <c r="S74" s="351">
        <f t="shared" si="56"/>
        <v>0</v>
      </c>
      <c r="T74" s="351">
        <f t="shared" si="71"/>
        <v>0</v>
      </c>
      <c r="U74" s="287">
        <f>'Table 5C1A-Madison Prep'!U74</f>
        <v>2880</v>
      </c>
      <c r="V74" s="328">
        <f t="shared" si="72"/>
        <v>0</v>
      </c>
      <c r="W74" s="289">
        <f>'[1]Oct midyear LA Key'!E71</f>
        <v>0</v>
      </c>
      <c r="X74" s="290">
        <f t="shared" si="73"/>
        <v>0</v>
      </c>
      <c r="Y74" s="289">
        <f>'[1]Feb midyear LA Key'!E71</f>
        <v>0</v>
      </c>
      <c r="Z74" s="290">
        <f t="shared" si="57"/>
        <v>0</v>
      </c>
      <c r="AA74" s="288">
        <f t="shared" si="58"/>
        <v>0</v>
      </c>
      <c r="AB74" s="324">
        <f t="shared" si="59"/>
        <v>0</v>
      </c>
      <c r="AC74" s="292">
        <f t="shared" si="60"/>
        <v>0</v>
      </c>
      <c r="AD74" s="324">
        <f t="shared" si="74"/>
        <v>0</v>
      </c>
      <c r="AE74" s="293">
        <v>0</v>
      </c>
      <c r="AF74" s="324">
        <f t="shared" si="75"/>
        <v>0</v>
      </c>
      <c r="AG74" s="293">
        <f>'[2]Table 5C1I-LA Key Academy'!AI74+'[14]Table 5C1I-LA Key Academy'!AI74+(6*'[20]Table 5C1I-LA Key Academy'!AI74)</f>
        <v>0</v>
      </c>
      <c r="AH74" s="293">
        <f t="shared" si="76"/>
        <v>0</v>
      </c>
      <c r="AI74" s="324">
        <f t="shared" si="61"/>
        <v>0</v>
      </c>
      <c r="AJ74" s="321">
        <f t="shared" si="77"/>
        <v>0</v>
      </c>
      <c r="AK74" s="342">
        <f t="shared" si="78"/>
        <v>0</v>
      </c>
      <c r="AM74" s="310">
        <v>0</v>
      </c>
      <c r="AN74" s="310">
        <f t="shared" si="79"/>
        <v>0</v>
      </c>
      <c r="AO74" s="310">
        <f t="shared" si="53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2.1.14'!V71</f>
        <v>1</v>
      </c>
      <c r="D75" s="201">
        <f>+'Table 5C1A-Madison Prep'!D75</f>
        <v>5722.4947921281337</v>
      </c>
      <c r="E75" s="202">
        <f t="shared" si="62"/>
        <v>5722.4947921281337</v>
      </c>
      <c r="F75" s="202">
        <f>+'Table 5C1A-Madison Prep'!F75</f>
        <v>705.67</v>
      </c>
      <c r="G75" s="202">
        <f t="shared" si="63"/>
        <v>705.67</v>
      </c>
      <c r="H75" s="345">
        <f t="shared" si="64"/>
        <v>6428.1647921281337</v>
      </c>
      <c r="I75" s="203">
        <f>'[1]Oct midyear LA Key'!K72</f>
        <v>6428.1647921281337</v>
      </c>
      <c r="J75" s="203">
        <f>'[1]Feb midyear LA Key'!K72</f>
        <v>0</v>
      </c>
      <c r="K75" s="204">
        <f t="shared" si="65"/>
        <v>6428.1647921281337</v>
      </c>
      <c r="L75" s="345">
        <f t="shared" si="66"/>
        <v>12856.329584256267</v>
      </c>
      <c r="M75" s="286">
        <f t="shared" si="67"/>
        <v>-32.140823960640667</v>
      </c>
      <c r="N75" s="345">
        <f t="shared" si="68"/>
        <v>12824.188760295627</v>
      </c>
      <c r="O75" s="201">
        <v>0</v>
      </c>
      <c r="P75" s="351">
        <f t="shared" si="69"/>
        <v>12824.188760295627</v>
      </c>
      <c r="Q75" s="203">
        <f>'[2]Table 5C1I-LA Key Academy'!S75+'[14]Table 5C1I-LA Key Academy'!S75+(6*'[20]Table 5C1I-LA Key Academy'!S75)</f>
        <v>426</v>
      </c>
      <c r="R75" s="203">
        <f t="shared" si="70"/>
        <v>12398.188760295627</v>
      </c>
      <c r="S75" s="351">
        <f t="shared" si="56"/>
        <v>3100</v>
      </c>
      <c r="T75" s="351">
        <f t="shared" si="71"/>
        <v>12824.188760295627</v>
      </c>
      <c r="U75" s="287">
        <f>'Table 5C1A-Madison Prep'!U75</f>
        <v>3330</v>
      </c>
      <c r="V75" s="328">
        <f t="shared" si="72"/>
        <v>3330</v>
      </c>
      <c r="W75" s="289">
        <f>'[1]Oct midyear LA Key'!E72</f>
        <v>1</v>
      </c>
      <c r="X75" s="290">
        <f t="shared" si="73"/>
        <v>3330</v>
      </c>
      <c r="Y75" s="289">
        <f>'[1]Feb midyear LA Key'!E72</f>
        <v>0</v>
      </c>
      <c r="Z75" s="290">
        <f>+U75*Y75*0.5</f>
        <v>0</v>
      </c>
      <c r="AA75" s="288">
        <f t="shared" ref="AA75" si="80">+X75+Z75</f>
        <v>3330</v>
      </c>
      <c r="AB75" s="324">
        <f t="shared" ref="AB75" si="81">+V75+AA75</f>
        <v>6660</v>
      </c>
      <c r="AC75" s="292">
        <f>-(0.25%*AB75)</f>
        <v>-16.649999999999999</v>
      </c>
      <c r="AD75" s="324">
        <f t="shared" si="74"/>
        <v>6643.35</v>
      </c>
      <c r="AE75" s="293">
        <v>0</v>
      </c>
      <c r="AF75" s="324">
        <f t="shared" si="75"/>
        <v>6643.35</v>
      </c>
      <c r="AG75" s="293">
        <f>'[2]Table 5C1I-LA Key Academy'!AI75+'[14]Table 5C1I-LA Key Academy'!AI75+(6*'[20]Table 5C1I-LA Key Academy'!AI75)</f>
        <v>228</v>
      </c>
      <c r="AH75" s="293">
        <f t="shared" si="76"/>
        <v>6415.35</v>
      </c>
      <c r="AI75" s="324">
        <f t="shared" si="61"/>
        <v>1604</v>
      </c>
      <c r="AJ75" s="321">
        <f t="shared" si="77"/>
        <v>19467.538760295625</v>
      </c>
      <c r="AK75" s="342">
        <f t="shared" si="78"/>
        <v>4704</v>
      </c>
      <c r="AM75" s="300">
        <v>-8.4849999999999994</v>
      </c>
      <c r="AN75" s="300">
        <f t="shared" si="79"/>
        <v>-16.649999999999999</v>
      </c>
      <c r="AO75" s="300">
        <f t="shared" si="53"/>
        <v>-8.1649999999999991</v>
      </c>
    </row>
    <row r="76" spans="1:41" ht="16.149999999999999" customHeight="1" thickBot="1">
      <c r="A76" s="1442" t="s">
        <v>711</v>
      </c>
      <c r="B76" s="1415"/>
      <c r="C76" s="1001">
        <f>SUM(C7:C75)</f>
        <v>130</v>
      </c>
      <c r="D76" s="28">
        <f>+'Table 5C1A-Madison Prep'!D76</f>
        <v>4479.9292126977662</v>
      </c>
      <c r="E76" s="35">
        <f>SUM(E7:E75)</f>
        <v>458083.21207158908</v>
      </c>
      <c r="F76" s="35">
        <f>+'Table 5C1A-Madison Prep'!F76</f>
        <v>704.64781030742063</v>
      </c>
      <c r="G76" s="35">
        <f>SUM(G7:G75)</f>
        <v>101680.04914057913</v>
      </c>
      <c r="H76" s="348">
        <f>SUM(H7:H75)</f>
        <v>559763.26121216826</v>
      </c>
      <c r="I76" s="70">
        <f>SUM(I7:I75)</f>
        <v>221485.00249548911</v>
      </c>
      <c r="J76" s="70">
        <f>SUM(J7:J75)</f>
        <v>-349.57581241790899</v>
      </c>
      <c r="K76" s="56">
        <f t="shared" ref="K76:T76" si="82">SUM(K7:K75)</f>
        <v>221135.42668307121</v>
      </c>
      <c r="L76" s="364">
        <f t="shared" si="82"/>
        <v>780898.68789523956</v>
      </c>
      <c r="M76" s="36">
        <f t="shared" si="82"/>
        <v>-1952.246719738099</v>
      </c>
      <c r="N76" s="348">
        <f t="shared" si="82"/>
        <v>778946.44117550133</v>
      </c>
      <c r="O76" s="28">
        <f t="shared" si="82"/>
        <v>0</v>
      </c>
      <c r="P76" s="354">
        <f t="shared" si="82"/>
        <v>778946.44117550133</v>
      </c>
      <c r="Q76" s="70">
        <f t="shared" si="82"/>
        <v>492252</v>
      </c>
      <c r="R76" s="70">
        <f t="shared" si="82"/>
        <v>286694.44117550139</v>
      </c>
      <c r="S76" s="354">
        <f t="shared" si="82"/>
        <v>71674</v>
      </c>
      <c r="T76" s="354">
        <f t="shared" si="82"/>
        <v>778946.44117550133</v>
      </c>
      <c r="U76" s="83">
        <f>'Table 5C1A-Madison Prep'!U76</f>
        <v>4703</v>
      </c>
      <c r="V76" s="330">
        <f t="shared" ref="V76:AK76" si="83">SUM(V7:V75)</f>
        <v>874440</v>
      </c>
      <c r="W76" s="74">
        <f t="shared" si="83"/>
        <v>51</v>
      </c>
      <c r="X76" s="75">
        <f t="shared" si="83"/>
        <v>337061</v>
      </c>
      <c r="Y76" s="74">
        <f t="shared" si="83"/>
        <v>0</v>
      </c>
      <c r="Z76" s="75">
        <f t="shared" si="83"/>
        <v>2048.5</v>
      </c>
      <c r="AA76" s="63">
        <f t="shared" si="83"/>
        <v>339109.5</v>
      </c>
      <c r="AB76" s="332">
        <f t="shared" si="83"/>
        <v>1213549.5</v>
      </c>
      <c r="AC76" s="37">
        <f t="shared" si="83"/>
        <v>-3033.8737500000007</v>
      </c>
      <c r="AD76" s="330">
        <f t="shared" si="83"/>
        <v>1210515.62625</v>
      </c>
      <c r="AE76" s="85">
        <f t="shared" si="83"/>
        <v>0</v>
      </c>
      <c r="AF76" s="330">
        <f t="shared" si="83"/>
        <v>1210515.62625</v>
      </c>
      <c r="AG76" s="75">
        <f t="shared" si="83"/>
        <v>771795</v>
      </c>
      <c r="AH76" s="75">
        <f t="shared" si="83"/>
        <v>438720.62624999997</v>
      </c>
      <c r="AI76" s="330">
        <f t="shared" si="83"/>
        <v>109681</v>
      </c>
      <c r="AJ76" s="339">
        <f t="shared" si="83"/>
        <v>1989462.0674255011</v>
      </c>
      <c r="AK76" s="339">
        <f t="shared" si="83"/>
        <v>181355</v>
      </c>
      <c r="AM76" s="36">
        <f>SUM(AM7:AM75)</f>
        <v>-2198.2175000000002</v>
      </c>
      <c r="AN76" s="36">
        <f>SUM(AN7:AN75)</f>
        <v>-3033.8737500000007</v>
      </c>
      <c r="AO76" s="36">
        <f>SUM(AO7:AO75)</f>
        <v>-835.65624999999989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4'!$E111</f>
        <v>0</v>
      </c>
      <c r="Q77" s="222">
        <f>'[2]Table 5C1I-LA Key Academy'!S77+'[14]Table 5C1I-LA Key Academy'!S77+(6*'[20]Table 5C1I-LA Key Academy'!S77)</f>
        <v>0</v>
      </c>
      <c r="R77" s="222">
        <f t="shared" ref="R77" si="84">+P77-Q77</f>
        <v>0</v>
      </c>
      <c r="S77" s="295">
        <f t="shared" ref="S77:S81" si="85">ROUND(R77/$S$88,0)</f>
        <v>0</v>
      </c>
      <c r="T77" s="295">
        <f>'Table 4 Level 4'!$E111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86">T77+AF77</f>
        <v>0</v>
      </c>
      <c r="AK77" s="321">
        <f t="shared" ref="AK77:AK81" si="87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4'!$J111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86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4'!$L111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86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4'!$M111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86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4'!O111</f>
        <v>0</v>
      </c>
      <c r="Q81" s="217">
        <f>'[2]Table 5C1I-LA Key Academy'!S81+'[14]Table 5C1I-LA Key Academy'!S81+(6*'[20]Table 5C1I-LA Key Academy'!S81)</f>
        <v>0</v>
      </c>
      <c r="R81" s="217">
        <f t="shared" ref="R81" si="88">+P81-Q81</f>
        <v>0</v>
      </c>
      <c r="S81" s="353">
        <f t="shared" si="85"/>
        <v>0</v>
      </c>
      <c r="T81" s="353">
        <f>P81</f>
        <v>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86"/>
        <v>0</v>
      </c>
      <c r="AK81" s="322">
        <f t="shared" si="87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130</v>
      </c>
      <c r="D82" s="128">
        <f t="shared" ref="D82:AK82" si="89">SUM(D76:D81)</f>
        <v>4479.9292126977662</v>
      </c>
      <c r="E82" s="128">
        <f t="shared" si="89"/>
        <v>458083.21207158908</v>
      </c>
      <c r="F82" s="128">
        <f t="shared" si="89"/>
        <v>704.64781030742063</v>
      </c>
      <c r="G82" s="128">
        <f t="shared" si="89"/>
        <v>101680.04914057913</v>
      </c>
      <c r="H82" s="128">
        <f t="shared" si="89"/>
        <v>559763.26121216826</v>
      </c>
      <c r="I82" s="133">
        <f t="shared" si="89"/>
        <v>221485.00249548911</v>
      </c>
      <c r="J82" s="133">
        <f t="shared" si="89"/>
        <v>-349.57581241790899</v>
      </c>
      <c r="K82" s="133">
        <f t="shared" si="89"/>
        <v>221135.42668307121</v>
      </c>
      <c r="L82" s="128">
        <f t="shared" si="89"/>
        <v>780898.68789523956</v>
      </c>
      <c r="M82" s="133">
        <f t="shared" si="89"/>
        <v>-1952.246719738099</v>
      </c>
      <c r="N82" s="128">
        <f t="shared" si="89"/>
        <v>778946.44117550133</v>
      </c>
      <c r="O82" s="128">
        <f t="shared" si="89"/>
        <v>0</v>
      </c>
      <c r="P82" s="355">
        <f t="shared" si="89"/>
        <v>778946.44117550133</v>
      </c>
      <c r="Q82" s="133">
        <f t="shared" si="89"/>
        <v>492252</v>
      </c>
      <c r="R82" s="133">
        <f t="shared" si="89"/>
        <v>286694.44117550139</v>
      </c>
      <c r="S82" s="355">
        <f t="shared" si="89"/>
        <v>71674</v>
      </c>
      <c r="T82" s="355">
        <f t="shared" si="89"/>
        <v>778946.44117550133</v>
      </c>
      <c r="U82" s="137">
        <f t="shared" si="89"/>
        <v>4703</v>
      </c>
      <c r="V82" s="134">
        <f t="shared" si="89"/>
        <v>874440</v>
      </c>
      <c r="W82" s="136">
        <f t="shared" si="89"/>
        <v>51</v>
      </c>
      <c r="X82" s="134">
        <f t="shared" si="89"/>
        <v>337061</v>
      </c>
      <c r="Y82" s="136">
        <f t="shared" si="89"/>
        <v>0</v>
      </c>
      <c r="Z82" s="134">
        <f t="shared" si="89"/>
        <v>2048.5</v>
      </c>
      <c r="AA82" s="134">
        <f t="shared" si="89"/>
        <v>339109.5</v>
      </c>
      <c r="AB82" s="134">
        <f t="shared" si="89"/>
        <v>1213549.5</v>
      </c>
      <c r="AC82" s="134">
        <f t="shared" si="89"/>
        <v>-3033.8737500000007</v>
      </c>
      <c r="AD82" s="134">
        <f t="shared" si="89"/>
        <v>1210515.62625</v>
      </c>
      <c r="AE82" s="134">
        <f t="shared" si="89"/>
        <v>0</v>
      </c>
      <c r="AF82" s="134">
        <f t="shared" si="89"/>
        <v>1210515.62625</v>
      </c>
      <c r="AG82" s="134">
        <f t="shared" si="89"/>
        <v>771795</v>
      </c>
      <c r="AH82" s="134">
        <f t="shared" si="89"/>
        <v>438720.62624999997</v>
      </c>
      <c r="AI82" s="134">
        <f t="shared" si="89"/>
        <v>109681</v>
      </c>
      <c r="AJ82" s="320">
        <f t="shared" si="89"/>
        <v>1989462.0674255011</v>
      </c>
      <c r="AK82" s="320">
        <f t="shared" si="89"/>
        <v>181355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-1399.4081530304209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-552.83856670767818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3">
    <mergeCell ref="A1:B4"/>
    <mergeCell ref="K3:K4"/>
    <mergeCell ref="L3:L4"/>
    <mergeCell ref="C3:C4"/>
    <mergeCell ref="C1:L1"/>
    <mergeCell ref="S3:S4"/>
    <mergeCell ref="U3:U4"/>
    <mergeCell ref="T3:T4"/>
    <mergeCell ref="M1:T1"/>
    <mergeCell ref="AG3:AG4"/>
    <mergeCell ref="AI3:AI4"/>
    <mergeCell ref="U1:AB1"/>
    <mergeCell ref="AC1:AI1"/>
    <mergeCell ref="AJ1:AJ4"/>
    <mergeCell ref="W3:W4"/>
    <mergeCell ref="X3:X4"/>
    <mergeCell ref="Y3:Y4"/>
    <mergeCell ref="Z3:Z4"/>
    <mergeCell ref="AB3:AB4"/>
    <mergeCell ref="W2:AA2"/>
    <mergeCell ref="AK1:AK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I2:K2"/>
    <mergeCell ref="I3:I4"/>
    <mergeCell ref="J3:J4"/>
    <mergeCell ref="P3:P4"/>
    <mergeCell ref="AH3:AH4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5C1-I: FY2014-15 MFP Budget Letter (March 2015)
Louisiana Key Academy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" style="784" customWidth="1"/>
    <col min="4" max="4" width="13.7109375" style="784" customWidth="1"/>
    <col min="5" max="5" width="9.85546875" style="784" customWidth="1"/>
    <col min="6" max="7" width="12.28515625" style="784" customWidth="1"/>
    <col min="8" max="8" width="11.5703125" style="784" customWidth="1"/>
    <col min="9" max="12" width="11.85546875" style="784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4.5703125" style="784" customWidth="1"/>
    <col min="23" max="27" width="11.7109375" style="784" customWidth="1"/>
    <col min="28" max="28" width="14.42578125" style="784" bestFit="1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3" width="9.5703125" style="784" bestFit="1" customWidth="1"/>
    <col min="34" max="34" width="9.28515625" style="784" bestFit="1" customWidth="1"/>
    <col min="35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406</v>
      </c>
      <c r="B1" s="1577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578"/>
      <c r="B2" s="1579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83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20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P5" si="1">E5+1</f>
        <v>4</v>
      </c>
      <c r="G5" s="23">
        <f t="shared" si="1"/>
        <v>5</v>
      </c>
      <c r="H5" s="23">
        <f t="shared" si="1"/>
        <v>6</v>
      </c>
      <c r="I5" s="23">
        <f t="shared" ref="I5" si="2">H5+1</f>
        <v>7</v>
      </c>
      <c r="J5" s="23">
        <f t="shared" ref="J5" si="3">I5+1</f>
        <v>8</v>
      </c>
      <c r="K5" s="23">
        <f t="shared" ref="K5" si="4">J5+1</f>
        <v>9</v>
      </c>
      <c r="L5" s="23">
        <f t="shared" ref="L5" si="5">K5+1</f>
        <v>10</v>
      </c>
      <c r="M5" s="23">
        <f t="shared" ref="M5" si="6">L5+1</f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ref="Q5" si="7">P5+1</f>
        <v>15</v>
      </c>
      <c r="R5" s="23">
        <f t="shared" ref="R5" si="8">Q5+1</f>
        <v>16</v>
      </c>
      <c r="S5" s="23">
        <f t="shared" ref="S5" si="9">R5+1</f>
        <v>17</v>
      </c>
      <c r="T5" s="23">
        <f t="shared" ref="T5" si="10">S5+1</f>
        <v>18</v>
      </c>
      <c r="U5" s="23">
        <f t="shared" ref="U5" si="11">T5+1</f>
        <v>19</v>
      </c>
      <c r="V5" s="23">
        <f t="shared" ref="V5" si="12">U5+1</f>
        <v>20</v>
      </c>
      <c r="W5" s="23">
        <f t="shared" ref="W5" si="13">V5+1</f>
        <v>21</v>
      </c>
      <c r="X5" s="23">
        <f t="shared" ref="X5" si="14">W5+1</f>
        <v>22</v>
      </c>
      <c r="Y5" s="23">
        <f t="shared" ref="Y5" si="15">X5+1</f>
        <v>23</v>
      </c>
      <c r="Z5" s="23">
        <f t="shared" ref="Z5" si="16">Y5+1</f>
        <v>24</v>
      </c>
      <c r="AA5" s="23">
        <f t="shared" ref="AA5" si="17">Z5+1</f>
        <v>25</v>
      </c>
      <c r="AB5" s="23">
        <f t="shared" ref="AB5" si="18">AA5+1</f>
        <v>26</v>
      </c>
      <c r="AC5" s="23">
        <f t="shared" ref="AC5" si="19">AB5+1</f>
        <v>27</v>
      </c>
      <c r="AD5" s="23">
        <f t="shared" ref="AD5" si="20">AC5+1</f>
        <v>28</v>
      </c>
      <c r="AE5" s="23">
        <f t="shared" ref="AE5" si="21">AD5+1</f>
        <v>29</v>
      </c>
      <c r="AF5" s="23">
        <f t="shared" ref="AF5" si="22">AE5+1</f>
        <v>30</v>
      </c>
      <c r="AG5" s="23">
        <f t="shared" ref="AG5" si="23">AF5+1</f>
        <v>31</v>
      </c>
      <c r="AH5" s="23">
        <f t="shared" ref="AH5" si="24">AG5+1</f>
        <v>32</v>
      </c>
      <c r="AI5" s="23">
        <f t="shared" ref="AI5" si="25">AH5+1</f>
        <v>33</v>
      </c>
      <c r="AJ5" s="23">
        <f t="shared" ref="AJ5" si="26">AI5+1</f>
        <v>34</v>
      </c>
      <c r="AK5" s="23">
        <f t="shared" ref="AK5" si="27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2.1.14'!Q3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Jefferson Cham'!K4</f>
        <v>0</v>
      </c>
      <c r="J7" s="210">
        <f>'[1]Feb midyear Jefferson Cham'!K4</f>
        <v>0</v>
      </c>
      <c r="K7" s="211">
        <f>I7+J7</f>
        <v>0</v>
      </c>
      <c r="L7" s="344">
        <f>+H7+K7</f>
        <v>0</v>
      </c>
      <c r="M7" s="273">
        <f t="shared" ref="M7:M70" si="28"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8*'[2]Table 5C1J-Jefferson Chamber'!S7</f>
        <v>0</v>
      </c>
      <c r="R7" s="210">
        <f>+P7-Q7</f>
        <v>0</v>
      </c>
      <c r="S7" s="350">
        <f t="shared" ref="S7:S38" si="29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Jefferson Cham'!E4</f>
        <v>0</v>
      </c>
      <c r="X7" s="276">
        <f>+U7*W7</f>
        <v>0</v>
      </c>
      <c r="Y7" s="883">
        <f>'[1]Feb midyear Jefferson Cham'!E4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8*'[2]Table 5C1J-Jefferson Chamber'!AI7</f>
        <v>0</v>
      </c>
      <c r="AH7" s="279">
        <f>+AF7-AG7</f>
        <v>0</v>
      </c>
      <c r="AI7" s="323">
        <f t="shared" ref="AI7:AI38" si="30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31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2.1.14'!Q4</f>
        <v>0</v>
      </c>
      <c r="D8" s="201">
        <f>+'Table 5C1A-Madison Prep'!D8</f>
        <v>6316.6266417386641</v>
      </c>
      <c r="E8" s="202">
        <f t="shared" ref="E8:E71" si="32">C8*D8</f>
        <v>0</v>
      </c>
      <c r="F8" s="202">
        <f>+'Table 5C1A-Madison Prep'!F8</f>
        <v>842.32</v>
      </c>
      <c r="G8" s="202">
        <f t="shared" ref="G8:G71" si="33">C8*F8</f>
        <v>0</v>
      </c>
      <c r="H8" s="345">
        <f t="shared" ref="H8:H71" si="34">E8+G8</f>
        <v>0</v>
      </c>
      <c r="I8" s="203">
        <f>'[1]Oct midyear Jefferson Cham'!K5</f>
        <v>0</v>
      </c>
      <c r="J8" s="203">
        <f>'[1]Feb midyear Jefferson Cham'!K5</f>
        <v>0</v>
      </c>
      <c r="K8" s="204">
        <f t="shared" ref="K8:K71" si="35">I8+J8</f>
        <v>0</v>
      </c>
      <c r="L8" s="345">
        <f t="shared" ref="L8:L71" si="36">+H8+K8</f>
        <v>0</v>
      </c>
      <c r="M8" s="286">
        <f t="shared" si="28"/>
        <v>0</v>
      </c>
      <c r="N8" s="345">
        <f t="shared" ref="N8:N71" si="37">SUM(L8:M8)</f>
        <v>0</v>
      </c>
      <c r="O8" s="201">
        <v>0</v>
      </c>
      <c r="P8" s="351">
        <f t="shared" ref="P8:P71" si="38">SUM(N8:O8)</f>
        <v>0</v>
      </c>
      <c r="Q8" s="203">
        <f>8*'[2]Table 5C1J-Jefferson Chamber'!S8</f>
        <v>0</v>
      </c>
      <c r="R8" s="203">
        <f t="shared" ref="R8:R71" si="39">+P8-Q8</f>
        <v>0</v>
      </c>
      <c r="S8" s="351">
        <f t="shared" si="29"/>
        <v>0</v>
      </c>
      <c r="T8" s="351">
        <f t="shared" ref="T8:T71" si="40">+P8</f>
        <v>0</v>
      </c>
      <c r="U8" s="287">
        <f>'Table 5C1A-Madison Prep'!U8</f>
        <v>2786</v>
      </c>
      <c r="V8" s="328">
        <f t="shared" ref="V8:V71" si="41">C8*U8</f>
        <v>0</v>
      </c>
      <c r="W8" s="289">
        <f>'[1]Oct midyear Jefferson Cham'!E5</f>
        <v>0</v>
      </c>
      <c r="X8" s="290">
        <f t="shared" ref="X8:X71" si="42">+U8*W8</f>
        <v>0</v>
      </c>
      <c r="Y8" s="289">
        <f>'[1]Feb midyear Jefferson Cham'!E5</f>
        <v>0</v>
      </c>
      <c r="Z8" s="290">
        <f t="shared" ref="Z8:Z71" si="43">+U8*Y8*0.5</f>
        <v>0</v>
      </c>
      <c r="AA8" s="288">
        <f t="shared" ref="AA8:AA71" si="44">+X8+Z8</f>
        <v>0</v>
      </c>
      <c r="AB8" s="324">
        <f t="shared" ref="AB8:AB71" si="45">+V8+AA8</f>
        <v>0</v>
      </c>
      <c r="AC8" s="292">
        <f t="shared" ref="AC8:AC71" si="46">-(0.25%*AB8)</f>
        <v>0</v>
      </c>
      <c r="AD8" s="324">
        <f t="shared" ref="AD8:AD71" si="47">SUM(AB8:AC8)</f>
        <v>0</v>
      </c>
      <c r="AE8" s="293">
        <v>0</v>
      </c>
      <c r="AF8" s="324">
        <f t="shared" ref="AF8:AF71" si="48">SUM(AD8:AE8)</f>
        <v>0</v>
      </c>
      <c r="AG8" s="293">
        <f>8*'[2]Table 5C1J-Jefferson Chamber'!AI8</f>
        <v>0</v>
      </c>
      <c r="AH8" s="293">
        <f t="shared" ref="AH8:AH71" si="49">+AF8-AG8</f>
        <v>0</v>
      </c>
      <c r="AI8" s="324">
        <f t="shared" si="30"/>
        <v>0</v>
      </c>
      <c r="AJ8" s="321">
        <f t="shared" ref="AJ8:AJ71" si="50">T8+AF8</f>
        <v>0</v>
      </c>
      <c r="AK8" s="342">
        <f t="shared" ref="AK8:AK71" si="51">S8+AI8</f>
        <v>0</v>
      </c>
      <c r="AM8" s="286">
        <v>0</v>
      </c>
      <c r="AN8" s="286">
        <f t="shared" ref="AN8:AN71" si="52">+AC8</f>
        <v>0</v>
      </c>
      <c r="AO8" s="286">
        <f t="shared" si="31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2.1.14'!Q5</f>
        <v>0</v>
      </c>
      <c r="D9" s="201">
        <f>+'Table 5C1A-Madison Prep'!D9</f>
        <v>4155.1862027396819</v>
      </c>
      <c r="E9" s="202">
        <f t="shared" si="32"/>
        <v>0</v>
      </c>
      <c r="F9" s="202">
        <f>+'Table 5C1A-Madison Prep'!F9</f>
        <v>596.84</v>
      </c>
      <c r="G9" s="202">
        <f t="shared" si="33"/>
        <v>0</v>
      </c>
      <c r="H9" s="345">
        <f t="shared" si="34"/>
        <v>0</v>
      </c>
      <c r="I9" s="203">
        <f>'[1]Oct midyear Jefferson Cham'!K6</f>
        <v>0</v>
      </c>
      <c r="J9" s="203">
        <f>'[1]Feb midyear Jefferson Cham'!K6</f>
        <v>0</v>
      </c>
      <c r="K9" s="204">
        <f t="shared" si="35"/>
        <v>0</v>
      </c>
      <c r="L9" s="345">
        <f t="shared" si="36"/>
        <v>0</v>
      </c>
      <c r="M9" s="286">
        <f t="shared" si="28"/>
        <v>0</v>
      </c>
      <c r="N9" s="345">
        <f t="shared" si="37"/>
        <v>0</v>
      </c>
      <c r="O9" s="201">
        <v>0</v>
      </c>
      <c r="P9" s="351">
        <f t="shared" si="38"/>
        <v>0</v>
      </c>
      <c r="Q9" s="203">
        <f>8*'[2]Table 5C1J-Jefferson Chamber'!S9</f>
        <v>0</v>
      </c>
      <c r="R9" s="203">
        <f t="shared" si="39"/>
        <v>0</v>
      </c>
      <c r="S9" s="351">
        <f t="shared" si="29"/>
        <v>0</v>
      </c>
      <c r="T9" s="351">
        <f t="shared" si="40"/>
        <v>0</v>
      </c>
      <c r="U9" s="287">
        <f>'Table 5C1A-Madison Prep'!U9</f>
        <v>5927</v>
      </c>
      <c r="V9" s="328">
        <f t="shared" si="41"/>
        <v>0</v>
      </c>
      <c r="W9" s="289">
        <f>'[1]Oct midyear Jefferson Cham'!E6</f>
        <v>0</v>
      </c>
      <c r="X9" s="290">
        <f t="shared" si="42"/>
        <v>0</v>
      </c>
      <c r="Y9" s="289">
        <f>'[1]Feb midyear Jefferson Cham'!E6</f>
        <v>0</v>
      </c>
      <c r="Z9" s="290">
        <f t="shared" si="43"/>
        <v>0</v>
      </c>
      <c r="AA9" s="288">
        <f t="shared" si="44"/>
        <v>0</v>
      </c>
      <c r="AB9" s="324">
        <f t="shared" si="45"/>
        <v>0</v>
      </c>
      <c r="AC9" s="292">
        <f t="shared" si="46"/>
        <v>0</v>
      </c>
      <c r="AD9" s="324">
        <f t="shared" si="47"/>
        <v>0</v>
      </c>
      <c r="AE9" s="293">
        <v>0</v>
      </c>
      <c r="AF9" s="324">
        <f t="shared" si="48"/>
        <v>0</v>
      </c>
      <c r="AG9" s="293">
        <f>8*'[2]Table 5C1J-Jefferson Chamber'!AI9</f>
        <v>0</v>
      </c>
      <c r="AH9" s="293">
        <f t="shared" si="49"/>
        <v>0</v>
      </c>
      <c r="AI9" s="324">
        <f t="shared" si="30"/>
        <v>0</v>
      </c>
      <c r="AJ9" s="321">
        <f t="shared" si="50"/>
        <v>0</v>
      </c>
      <c r="AK9" s="342">
        <f t="shared" si="51"/>
        <v>0</v>
      </c>
      <c r="AM9" s="286">
        <v>0</v>
      </c>
      <c r="AN9" s="286">
        <f t="shared" si="52"/>
        <v>0</v>
      </c>
      <c r="AO9" s="286">
        <f t="shared" si="31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2.1.14'!Q6</f>
        <v>0</v>
      </c>
      <c r="D10" s="201">
        <f>+'Table 5C1A-Madison Prep'!D10</f>
        <v>6119.0581446878568</v>
      </c>
      <c r="E10" s="202">
        <f t="shared" si="32"/>
        <v>0</v>
      </c>
      <c r="F10" s="202">
        <f>+'Table 5C1A-Madison Prep'!F10</f>
        <v>585.76</v>
      </c>
      <c r="G10" s="202">
        <f t="shared" si="33"/>
        <v>0</v>
      </c>
      <c r="H10" s="345">
        <f t="shared" si="34"/>
        <v>0</v>
      </c>
      <c r="I10" s="203">
        <f>'[1]Oct midyear Jefferson Cham'!K7</f>
        <v>0</v>
      </c>
      <c r="J10" s="203">
        <f>'[1]Feb midyear Jefferson Cham'!K7</f>
        <v>0</v>
      </c>
      <c r="K10" s="204">
        <f t="shared" si="35"/>
        <v>0</v>
      </c>
      <c r="L10" s="345">
        <f t="shared" si="36"/>
        <v>0</v>
      </c>
      <c r="M10" s="286">
        <f t="shared" si="28"/>
        <v>0</v>
      </c>
      <c r="N10" s="345">
        <f t="shared" si="37"/>
        <v>0</v>
      </c>
      <c r="O10" s="201">
        <v>0</v>
      </c>
      <c r="P10" s="351">
        <f t="shared" si="38"/>
        <v>0</v>
      </c>
      <c r="Q10" s="203">
        <f>8*'[2]Table 5C1J-Jefferson Chamber'!S10</f>
        <v>0</v>
      </c>
      <c r="R10" s="203">
        <f t="shared" si="39"/>
        <v>0</v>
      </c>
      <c r="S10" s="351">
        <f t="shared" si="29"/>
        <v>0</v>
      </c>
      <c r="T10" s="351">
        <f t="shared" si="40"/>
        <v>0</v>
      </c>
      <c r="U10" s="287">
        <f>'Table 5C1A-Madison Prep'!U10</f>
        <v>4203</v>
      </c>
      <c r="V10" s="328">
        <f t="shared" si="41"/>
        <v>0</v>
      </c>
      <c r="W10" s="289">
        <f>'[1]Oct midyear Jefferson Cham'!E7</f>
        <v>0</v>
      </c>
      <c r="X10" s="290">
        <f t="shared" si="42"/>
        <v>0</v>
      </c>
      <c r="Y10" s="289">
        <f>'[1]Feb midyear Jefferson Cham'!E7</f>
        <v>0</v>
      </c>
      <c r="Z10" s="290">
        <f t="shared" si="43"/>
        <v>0</v>
      </c>
      <c r="AA10" s="288">
        <f t="shared" si="44"/>
        <v>0</v>
      </c>
      <c r="AB10" s="324">
        <f t="shared" si="45"/>
        <v>0</v>
      </c>
      <c r="AC10" s="292">
        <f t="shared" si="46"/>
        <v>0</v>
      </c>
      <c r="AD10" s="324">
        <f t="shared" si="47"/>
        <v>0</v>
      </c>
      <c r="AE10" s="293">
        <v>0</v>
      </c>
      <c r="AF10" s="324">
        <f t="shared" si="48"/>
        <v>0</v>
      </c>
      <c r="AG10" s="293">
        <f>8*'[2]Table 5C1J-Jefferson Chamber'!AI10</f>
        <v>0</v>
      </c>
      <c r="AH10" s="293">
        <f t="shared" si="49"/>
        <v>0</v>
      </c>
      <c r="AI10" s="324">
        <f t="shared" si="30"/>
        <v>0</v>
      </c>
      <c r="AJ10" s="321">
        <f t="shared" si="50"/>
        <v>0</v>
      </c>
      <c r="AK10" s="342">
        <f t="shared" si="51"/>
        <v>0</v>
      </c>
      <c r="AM10" s="286">
        <v>0</v>
      </c>
      <c r="AN10" s="286">
        <f t="shared" si="52"/>
        <v>0</v>
      </c>
      <c r="AO10" s="286">
        <f t="shared" si="31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2.1.14'!Q7</f>
        <v>0</v>
      </c>
      <c r="D11" s="194">
        <f>+'Table 5C1A-Madison Prep'!D11</f>
        <v>5268.940566009911</v>
      </c>
      <c r="E11" s="195">
        <f t="shared" si="32"/>
        <v>0</v>
      </c>
      <c r="F11" s="195">
        <f>+'Table 5C1A-Madison Prep'!F11</f>
        <v>555.91</v>
      </c>
      <c r="G11" s="195">
        <f t="shared" si="33"/>
        <v>0</v>
      </c>
      <c r="H11" s="346">
        <f t="shared" si="34"/>
        <v>0</v>
      </c>
      <c r="I11" s="196">
        <f>'[1]Oct midyear Jefferson Cham'!K8</f>
        <v>0</v>
      </c>
      <c r="J11" s="196">
        <f>'[1]Feb midyear Jefferson Cham'!K8</f>
        <v>0</v>
      </c>
      <c r="K11" s="197">
        <f t="shared" si="35"/>
        <v>0</v>
      </c>
      <c r="L11" s="346">
        <f t="shared" si="36"/>
        <v>0</v>
      </c>
      <c r="M11" s="296">
        <f t="shared" si="28"/>
        <v>0</v>
      </c>
      <c r="N11" s="346">
        <f t="shared" si="37"/>
        <v>0</v>
      </c>
      <c r="O11" s="194">
        <v>0</v>
      </c>
      <c r="P11" s="352">
        <f t="shared" si="38"/>
        <v>0</v>
      </c>
      <c r="Q11" s="196">
        <f>8*'[2]Table 5C1J-Jefferson Chamber'!S11</f>
        <v>0</v>
      </c>
      <c r="R11" s="196">
        <f t="shared" si="39"/>
        <v>0</v>
      </c>
      <c r="S11" s="352">
        <f t="shared" si="29"/>
        <v>0</v>
      </c>
      <c r="T11" s="352">
        <f t="shared" si="40"/>
        <v>0</v>
      </c>
      <c r="U11" s="281">
        <f>'Table 5C1A-Madison Prep'!U11</f>
        <v>1923</v>
      </c>
      <c r="V11" s="329">
        <f t="shared" si="41"/>
        <v>0</v>
      </c>
      <c r="W11" s="884">
        <f>'[1]Oct midyear Jefferson Cham'!E8</f>
        <v>0</v>
      </c>
      <c r="X11" s="282">
        <f t="shared" si="42"/>
        <v>0</v>
      </c>
      <c r="Y11" s="884">
        <f>'[1]Feb midyear Jefferson Cham'!E8</f>
        <v>0</v>
      </c>
      <c r="Z11" s="282">
        <f t="shared" si="43"/>
        <v>0</v>
      </c>
      <c r="AA11" s="283">
        <f t="shared" si="44"/>
        <v>0</v>
      </c>
      <c r="AB11" s="325">
        <f t="shared" si="45"/>
        <v>0</v>
      </c>
      <c r="AC11" s="298">
        <f t="shared" si="46"/>
        <v>0</v>
      </c>
      <c r="AD11" s="325">
        <f t="shared" si="47"/>
        <v>0</v>
      </c>
      <c r="AE11" s="284">
        <v>0</v>
      </c>
      <c r="AF11" s="325">
        <f t="shared" si="48"/>
        <v>0</v>
      </c>
      <c r="AG11" s="284">
        <f>8*'[2]Table 5C1J-Jefferson Chamber'!AI11</f>
        <v>0</v>
      </c>
      <c r="AH11" s="284">
        <f t="shared" si="49"/>
        <v>0</v>
      </c>
      <c r="AI11" s="325">
        <f t="shared" si="30"/>
        <v>0</v>
      </c>
      <c r="AJ11" s="338">
        <f t="shared" si="50"/>
        <v>0</v>
      </c>
      <c r="AK11" s="343">
        <f t="shared" si="51"/>
        <v>0</v>
      </c>
      <c r="AM11" s="296">
        <v>0</v>
      </c>
      <c r="AN11" s="296">
        <f t="shared" si="52"/>
        <v>0</v>
      </c>
      <c r="AO11" s="296">
        <f t="shared" si="31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2.1.14'!Q8</f>
        <v>0</v>
      </c>
      <c r="D12" s="208">
        <f>+'Table 5C1A-Madison Prep'!D12</f>
        <v>5378.5086124955869</v>
      </c>
      <c r="E12" s="209">
        <f t="shared" si="32"/>
        <v>0</v>
      </c>
      <c r="F12" s="209">
        <f>+'Table 5C1A-Madison Prep'!F12</f>
        <v>545.4799999999999</v>
      </c>
      <c r="G12" s="209">
        <f t="shared" si="33"/>
        <v>0</v>
      </c>
      <c r="H12" s="344">
        <f t="shared" si="34"/>
        <v>0</v>
      </c>
      <c r="I12" s="210">
        <f>'[1]Oct midyear Jefferson Cham'!K9</f>
        <v>0</v>
      </c>
      <c r="J12" s="210">
        <f>'[1]Feb midyear Jefferson Cham'!K9</f>
        <v>0</v>
      </c>
      <c r="K12" s="211">
        <f t="shared" si="35"/>
        <v>0</v>
      </c>
      <c r="L12" s="344">
        <f t="shared" si="36"/>
        <v>0</v>
      </c>
      <c r="M12" s="273">
        <f t="shared" si="28"/>
        <v>0</v>
      </c>
      <c r="N12" s="344">
        <f t="shared" si="37"/>
        <v>0</v>
      </c>
      <c r="O12" s="208">
        <v>0</v>
      </c>
      <c r="P12" s="350">
        <f t="shared" si="38"/>
        <v>0</v>
      </c>
      <c r="Q12" s="210">
        <f>8*'[2]Table 5C1J-Jefferson Chamber'!S12</f>
        <v>0</v>
      </c>
      <c r="R12" s="210">
        <f t="shared" si="39"/>
        <v>0</v>
      </c>
      <c r="S12" s="350">
        <f t="shared" si="29"/>
        <v>0</v>
      </c>
      <c r="T12" s="350">
        <f t="shared" si="40"/>
        <v>0</v>
      </c>
      <c r="U12" s="274">
        <f>'Table 5C1A-Madison Prep'!U12</f>
        <v>4057</v>
      </c>
      <c r="V12" s="327">
        <f t="shared" si="41"/>
        <v>0</v>
      </c>
      <c r="W12" s="883">
        <f>'[1]Oct midyear Jefferson Cham'!E9</f>
        <v>0</v>
      </c>
      <c r="X12" s="276">
        <f t="shared" si="42"/>
        <v>0</v>
      </c>
      <c r="Y12" s="883">
        <f>'[1]Feb midyear Jefferson Cham'!E9</f>
        <v>0</v>
      </c>
      <c r="Z12" s="276">
        <f t="shared" si="43"/>
        <v>0</v>
      </c>
      <c r="AA12" s="275">
        <f t="shared" si="44"/>
        <v>0</v>
      </c>
      <c r="AB12" s="323">
        <f t="shared" si="45"/>
        <v>0</v>
      </c>
      <c r="AC12" s="278">
        <f t="shared" si="46"/>
        <v>0</v>
      </c>
      <c r="AD12" s="323">
        <f t="shared" si="47"/>
        <v>0</v>
      </c>
      <c r="AE12" s="279">
        <v>0</v>
      </c>
      <c r="AF12" s="323">
        <f t="shared" si="48"/>
        <v>0</v>
      </c>
      <c r="AG12" s="279">
        <f>8*'[2]Table 5C1J-Jefferson Chamber'!AI12</f>
        <v>0</v>
      </c>
      <c r="AH12" s="279">
        <f t="shared" si="49"/>
        <v>0</v>
      </c>
      <c r="AI12" s="323">
        <f t="shared" si="30"/>
        <v>0</v>
      </c>
      <c r="AJ12" s="337">
        <f t="shared" si="50"/>
        <v>0</v>
      </c>
      <c r="AK12" s="341">
        <f t="shared" si="51"/>
        <v>0</v>
      </c>
      <c r="AM12" s="273">
        <v>0</v>
      </c>
      <c r="AN12" s="273">
        <f t="shared" si="52"/>
        <v>0</v>
      </c>
      <c r="AO12" s="273">
        <f t="shared" si="31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2.1.14'!Q9</f>
        <v>0</v>
      </c>
      <c r="D13" s="201">
        <f>+'Table 5C1A-Madison Prep'!D13</f>
        <v>2243.0031963470319</v>
      </c>
      <c r="E13" s="202">
        <f t="shared" si="32"/>
        <v>0</v>
      </c>
      <c r="F13" s="202">
        <f>+'Table 5C1A-Madison Prep'!F13</f>
        <v>756.91999999999985</v>
      </c>
      <c r="G13" s="202">
        <f t="shared" si="33"/>
        <v>0</v>
      </c>
      <c r="H13" s="345">
        <f t="shared" si="34"/>
        <v>0</v>
      </c>
      <c r="I13" s="203">
        <f>'[1]Oct midyear Jefferson Cham'!K10</f>
        <v>0</v>
      </c>
      <c r="J13" s="203">
        <f>'[1]Feb midyear Jefferson Cham'!K10</f>
        <v>0</v>
      </c>
      <c r="K13" s="204">
        <f t="shared" si="35"/>
        <v>0</v>
      </c>
      <c r="L13" s="345">
        <f t="shared" si="36"/>
        <v>0</v>
      </c>
      <c r="M13" s="286">
        <f t="shared" si="28"/>
        <v>0</v>
      </c>
      <c r="N13" s="345">
        <f t="shared" si="37"/>
        <v>0</v>
      </c>
      <c r="O13" s="201">
        <v>0</v>
      </c>
      <c r="P13" s="351">
        <f t="shared" si="38"/>
        <v>0</v>
      </c>
      <c r="Q13" s="203">
        <f>8*'[2]Table 5C1J-Jefferson Chamber'!S13</f>
        <v>0</v>
      </c>
      <c r="R13" s="203">
        <f t="shared" si="39"/>
        <v>0</v>
      </c>
      <c r="S13" s="351">
        <f t="shared" si="29"/>
        <v>0</v>
      </c>
      <c r="T13" s="351">
        <f t="shared" si="40"/>
        <v>0</v>
      </c>
      <c r="U13" s="287">
        <f>'Table 5C1A-Madison Prep'!U13</f>
        <v>12112</v>
      </c>
      <c r="V13" s="328">
        <f t="shared" si="41"/>
        <v>0</v>
      </c>
      <c r="W13" s="289">
        <f>'[1]Oct midyear Jefferson Cham'!E10</f>
        <v>0</v>
      </c>
      <c r="X13" s="290">
        <f t="shared" si="42"/>
        <v>0</v>
      </c>
      <c r="Y13" s="289">
        <f>'[1]Feb midyear Jefferson Cham'!E10</f>
        <v>0</v>
      </c>
      <c r="Z13" s="290">
        <f t="shared" si="43"/>
        <v>0</v>
      </c>
      <c r="AA13" s="288">
        <f t="shared" si="44"/>
        <v>0</v>
      </c>
      <c r="AB13" s="324">
        <f t="shared" si="45"/>
        <v>0</v>
      </c>
      <c r="AC13" s="292">
        <f t="shared" si="46"/>
        <v>0</v>
      </c>
      <c r="AD13" s="324">
        <f t="shared" si="47"/>
        <v>0</v>
      </c>
      <c r="AE13" s="293">
        <v>0</v>
      </c>
      <c r="AF13" s="324">
        <f t="shared" si="48"/>
        <v>0</v>
      </c>
      <c r="AG13" s="293">
        <f>8*'[2]Table 5C1J-Jefferson Chamber'!AI13</f>
        <v>0</v>
      </c>
      <c r="AH13" s="293">
        <f t="shared" si="49"/>
        <v>0</v>
      </c>
      <c r="AI13" s="324">
        <f t="shared" si="30"/>
        <v>0</v>
      </c>
      <c r="AJ13" s="321">
        <f t="shared" si="50"/>
        <v>0</v>
      </c>
      <c r="AK13" s="342">
        <f t="shared" si="51"/>
        <v>0</v>
      </c>
      <c r="AM13" s="286">
        <v>0</v>
      </c>
      <c r="AN13" s="286">
        <f t="shared" si="52"/>
        <v>0</v>
      </c>
      <c r="AO13" s="286">
        <f t="shared" si="31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2.1.14'!Q10</f>
        <v>0</v>
      </c>
      <c r="D14" s="201">
        <f>+'Table 5C1A-Madison Prep'!D14</f>
        <v>4669.802459558854</v>
      </c>
      <c r="E14" s="202">
        <f t="shared" si="32"/>
        <v>0</v>
      </c>
      <c r="F14" s="202">
        <f>+'Table 5C1A-Madison Prep'!F14</f>
        <v>725.76</v>
      </c>
      <c r="G14" s="202">
        <f t="shared" si="33"/>
        <v>0</v>
      </c>
      <c r="H14" s="345">
        <f t="shared" si="34"/>
        <v>0</v>
      </c>
      <c r="I14" s="203">
        <f>'[1]Oct midyear Jefferson Cham'!K11</f>
        <v>0</v>
      </c>
      <c r="J14" s="203">
        <f>'[1]Feb midyear Jefferson Cham'!K11</f>
        <v>0</v>
      </c>
      <c r="K14" s="204">
        <f t="shared" si="35"/>
        <v>0</v>
      </c>
      <c r="L14" s="345">
        <f t="shared" si="36"/>
        <v>0</v>
      </c>
      <c r="M14" s="286">
        <f t="shared" si="28"/>
        <v>0</v>
      </c>
      <c r="N14" s="345">
        <f t="shared" si="37"/>
        <v>0</v>
      </c>
      <c r="O14" s="201">
        <v>0</v>
      </c>
      <c r="P14" s="351">
        <f t="shared" si="38"/>
        <v>0</v>
      </c>
      <c r="Q14" s="203">
        <f>8*'[2]Table 5C1J-Jefferson Chamber'!S14</f>
        <v>0</v>
      </c>
      <c r="R14" s="203">
        <f t="shared" si="39"/>
        <v>0</v>
      </c>
      <c r="S14" s="351">
        <f t="shared" si="29"/>
        <v>0</v>
      </c>
      <c r="T14" s="351">
        <f t="shared" si="40"/>
        <v>0</v>
      </c>
      <c r="U14" s="287">
        <f>'Table 5C1A-Madison Prep'!U14</f>
        <v>4124</v>
      </c>
      <c r="V14" s="328">
        <f t="shared" si="41"/>
        <v>0</v>
      </c>
      <c r="W14" s="289">
        <f>'[1]Oct midyear Jefferson Cham'!E11</f>
        <v>0</v>
      </c>
      <c r="X14" s="290">
        <f t="shared" si="42"/>
        <v>0</v>
      </c>
      <c r="Y14" s="289">
        <f>'[1]Feb midyear Jefferson Cham'!E11</f>
        <v>0</v>
      </c>
      <c r="Z14" s="290">
        <f t="shared" si="43"/>
        <v>0</v>
      </c>
      <c r="AA14" s="288">
        <f t="shared" si="44"/>
        <v>0</v>
      </c>
      <c r="AB14" s="324">
        <f t="shared" si="45"/>
        <v>0</v>
      </c>
      <c r="AC14" s="292">
        <f t="shared" si="46"/>
        <v>0</v>
      </c>
      <c r="AD14" s="324">
        <f t="shared" si="47"/>
        <v>0</v>
      </c>
      <c r="AE14" s="293">
        <v>0</v>
      </c>
      <c r="AF14" s="324">
        <f t="shared" si="48"/>
        <v>0</v>
      </c>
      <c r="AG14" s="293">
        <f>8*'[2]Table 5C1J-Jefferson Chamber'!AI14</f>
        <v>0</v>
      </c>
      <c r="AH14" s="293">
        <f t="shared" si="49"/>
        <v>0</v>
      </c>
      <c r="AI14" s="324">
        <f t="shared" si="30"/>
        <v>0</v>
      </c>
      <c r="AJ14" s="321">
        <f t="shared" si="50"/>
        <v>0</v>
      </c>
      <c r="AK14" s="342">
        <f t="shared" si="51"/>
        <v>0</v>
      </c>
      <c r="AM14" s="286">
        <v>0</v>
      </c>
      <c r="AN14" s="286">
        <f t="shared" si="52"/>
        <v>0</v>
      </c>
      <c r="AO14" s="286">
        <f t="shared" si="31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2.1.14'!Q11</f>
        <v>0</v>
      </c>
      <c r="D15" s="201">
        <f>+'Table 5C1A-Madison Prep'!D15</f>
        <v>4632.4615072045008</v>
      </c>
      <c r="E15" s="202">
        <f t="shared" si="32"/>
        <v>0</v>
      </c>
      <c r="F15" s="202">
        <f>+'Table 5C1A-Madison Prep'!F15</f>
        <v>744.76</v>
      </c>
      <c r="G15" s="202">
        <f t="shared" si="33"/>
        <v>0</v>
      </c>
      <c r="H15" s="345">
        <f t="shared" si="34"/>
        <v>0</v>
      </c>
      <c r="I15" s="203">
        <f>'[1]Oct midyear Jefferson Cham'!K12</f>
        <v>0</v>
      </c>
      <c r="J15" s="203">
        <f>'[1]Feb midyear Jefferson Cham'!K12</f>
        <v>0</v>
      </c>
      <c r="K15" s="204">
        <f t="shared" si="35"/>
        <v>0</v>
      </c>
      <c r="L15" s="345">
        <f t="shared" si="36"/>
        <v>0</v>
      </c>
      <c r="M15" s="286">
        <f t="shared" si="28"/>
        <v>0</v>
      </c>
      <c r="N15" s="345">
        <f t="shared" si="37"/>
        <v>0</v>
      </c>
      <c r="O15" s="201">
        <v>0</v>
      </c>
      <c r="P15" s="351">
        <f t="shared" si="38"/>
        <v>0</v>
      </c>
      <c r="Q15" s="203">
        <f>8*'[2]Table 5C1J-Jefferson Chamber'!S15</f>
        <v>0</v>
      </c>
      <c r="R15" s="203">
        <f t="shared" si="39"/>
        <v>0</v>
      </c>
      <c r="S15" s="351">
        <f t="shared" si="29"/>
        <v>0</v>
      </c>
      <c r="T15" s="351">
        <f t="shared" si="40"/>
        <v>0</v>
      </c>
      <c r="U15" s="287">
        <f>'Table 5C1A-Madison Prep'!U15</f>
        <v>4901</v>
      </c>
      <c r="V15" s="328">
        <f t="shared" si="41"/>
        <v>0</v>
      </c>
      <c r="W15" s="289">
        <f>'[1]Oct midyear Jefferson Cham'!E12</f>
        <v>0</v>
      </c>
      <c r="X15" s="290">
        <f t="shared" si="42"/>
        <v>0</v>
      </c>
      <c r="Y15" s="289">
        <f>'[1]Feb midyear Jefferson Cham'!E12</f>
        <v>0</v>
      </c>
      <c r="Z15" s="290">
        <f t="shared" si="43"/>
        <v>0</v>
      </c>
      <c r="AA15" s="288">
        <f t="shared" si="44"/>
        <v>0</v>
      </c>
      <c r="AB15" s="324">
        <f t="shared" si="45"/>
        <v>0</v>
      </c>
      <c r="AC15" s="292">
        <f t="shared" si="46"/>
        <v>0</v>
      </c>
      <c r="AD15" s="324">
        <f t="shared" si="47"/>
        <v>0</v>
      </c>
      <c r="AE15" s="293">
        <v>0</v>
      </c>
      <c r="AF15" s="324">
        <f t="shared" si="48"/>
        <v>0</v>
      </c>
      <c r="AG15" s="293">
        <f>8*'[2]Table 5C1J-Jefferson Chamber'!AI15</f>
        <v>0</v>
      </c>
      <c r="AH15" s="293">
        <f t="shared" si="49"/>
        <v>0</v>
      </c>
      <c r="AI15" s="324">
        <f t="shared" si="30"/>
        <v>0</v>
      </c>
      <c r="AJ15" s="321">
        <f t="shared" si="50"/>
        <v>0</v>
      </c>
      <c r="AK15" s="342">
        <f t="shared" si="51"/>
        <v>0</v>
      </c>
      <c r="AM15" s="286">
        <v>0</v>
      </c>
      <c r="AN15" s="286">
        <f t="shared" si="52"/>
        <v>0</v>
      </c>
      <c r="AO15" s="286">
        <f t="shared" si="31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2.1.14'!Q12</f>
        <v>0</v>
      </c>
      <c r="D16" s="194">
        <f>+'Table 5C1A-Madison Prep'!D16</f>
        <v>4384.374733918472</v>
      </c>
      <c r="E16" s="195">
        <f t="shared" si="32"/>
        <v>0</v>
      </c>
      <c r="F16" s="195">
        <f>+'Table 5C1A-Madison Prep'!F16</f>
        <v>608.04000000000008</v>
      </c>
      <c r="G16" s="195">
        <f t="shared" si="33"/>
        <v>0</v>
      </c>
      <c r="H16" s="346">
        <f t="shared" si="34"/>
        <v>0</v>
      </c>
      <c r="I16" s="196">
        <f>'[1]Oct midyear Jefferson Cham'!K13</f>
        <v>0</v>
      </c>
      <c r="J16" s="196">
        <f>'[1]Feb midyear Jefferson Cham'!K13</f>
        <v>0</v>
      </c>
      <c r="K16" s="197">
        <f t="shared" si="35"/>
        <v>0</v>
      </c>
      <c r="L16" s="346">
        <f t="shared" si="36"/>
        <v>0</v>
      </c>
      <c r="M16" s="296">
        <f t="shared" si="28"/>
        <v>0</v>
      </c>
      <c r="N16" s="346">
        <f t="shared" si="37"/>
        <v>0</v>
      </c>
      <c r="O16" s="194">
        <v>0</v>
      </c>
      <c r="P16" s="352">
        <f t="shared" si="38"/>
        <v>0</v>
      </c>
      <c r="Q16" s="196">
        <f>8*'[2]Table 5C1J-Jefferson Chamber'!S16</f>
        <v>0</v>
      </c>
      <c r="R16" s="196">
        <f t="shared" si="39"/>
        <v>0</v>
      </c>
      <c r="S16" s="352">
        <f t="shared" si="29"/>
        <v>0</v>
      </c>
      <c r="T16" s="352">
        <f t="shared" si="40"/>
        <v>0</v>
      </c>
      <c r="U16" s="281">
        <f>'Table 5C1A-Madison Prep'!U16</f>
        <v>4619</v>
      </c>
      <c r="V16" s="329">
        <f t="shared" si="41"/>
        <v>0</v>
      </c>
      <c r="W16" s="884">
        <f>'[1]Oct midyear Jefferson Cham'!E13</f>
        <v>0</v>
      </c>
      <c r="X16" s="282">
        <f t="shared" si="42"/>
        <v>0</v>
      </c>
      <c r="Y16" s="884">
        <f>'[1]Feb midyear Jefferson Cham'!E13</f>
        <v>0</v>
      </c>
      <c r="Z16" s="282">
        <f t="shared" si="43"/>
        <v>0</v>
      </c>
      <c r="AA16" s="283">
        <f t="shared" si="44"/>
        <v>0</v>
      </c>
      <c r="AB16" s="325">
        <f t="shared" si="45"/>
        <v>0</v>
      </c>
      <c r="AC16" s="298">
        <f t="shared" si="46"/>
        <v>0</v>
      </c>
      <c r="AD16" s="325">
        <f t="shared" si="47"/>
        <v>0</v>
      </c>
      <c r="AE16" s="284">
        <v>0</v>
      </c>
      <c r="AF16" s="325">
        <f t="shared" si="48"/>
        <v>0</v>
      </c>
      <c r="AG16" s="284">
        <f>8*'[2]Table 5C1J-Jefferson Chamber'!AI16</f>
        <v>0</v>
      </c>
      <c r="AH16" s="284">
        <f t="shared" si="49"/>
        <v>0</v>
      </c>
      <c r="AI16" s="325">
        <f t="shared" si="30"/>
        <v>0</v>
      </c>
      <c r="AJ16" s="338">
        <f t="shared" si="50"/>
        <v>0</v>
      </c>
      <c r="AK16" s="343">
        <f t="shared" si="51"/>
        <v>0</v>
      </c>
      <c r="AM16" s="296">
        <v>0</v>
      </c>
      <c r="AN16" s="296">
        <f t="shared" si="52"/>
        <v>0</v>
      </c>
      <c r="AO16" s="296">
        <f t="shared" si="31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2.1.14'!Q13</f>
        <v>0</v>
      </c>
      <c r="D17" s="208">
        <f>+'Table 5C1A-Madison Prep'!D17</f>
        <v>7098.5372236353351</v>
      </c>
      <c r="E17" s="209">
        <f t="shared" si="32"/>
        <v>0</v>
      </c>
      <c r="F17" s="209">
        <f>+'Table 5C1A-Madison Prep'!F17</f>
        <v>706.55</v>
      </c>
      <c r="G17" s="209">
        <f t="shared" si="33"/>
        <v>0</v>
      </c>
      <c r="H17" s="344">
        <f t="shared" si="34"/>
        <v>0</v>
      </c>
      <c r="I17" s="210">
        <f>'[1]Oct midyear Jefferson Cham'!K14</f>
        <v>0</v>
      </c>
      <c r="J17" s="210">
        <f>'[1]Feb midyear Jefferson Cham'!K14</f>
        <v>0</v>
      </c>
      <c r="K17" s="211">
        <f t="shared" si="35"/>
        <v>0</v>
      </c>
      <c r="L17" s="344">
        <f t="shared" si="36"/>
        <v>0</v>
      </c>
      <c r="M17" s="273">
        <f t="shared" si="28"/>
        <v>0</v>
      </c>
      <c r="N17" s="344">
        <f t="shared" si="37"/>
        <v>0</v>
      </c>
      <c r="O17" s="208">
        <v>0</v>
      </c>
      <c r="P17" s="350">
        <f t="shared" si="38"/>
        <v>0</v>
      </c>
      <c r="Q17" s="210">
        <f>8*'[2]Table 5C1J-Jefferson Chamber'!S17</f>
        <v>0</v>
      </c>
      <c r="R17" s="210">
        <f t="shared" si="39"/>
        <v>0</v>
      </c>
      <c r="S17" s="350">
        <f t="shared" si="29"/>
        <v>0</v>
      </c>
      <c r="T17" s="350">
        <f t="shared" si="40"/>
        <v>0</v>
      </c>
      <c r="U17" s="274">
        <f>'Table 5C1A-Madison Prep'!U17</f>
        <v>3580</v>
      </c>
      <c r="V17" s="327">
        <f t="shared" si="41"/>
        <v>0</v>
      </c>
      <c r="W17" s="883">
        <f>'[1]Oct midyear Jefferson Cham'!E14</f>
        <v>0</v>
      </c>
      <c r="X17" s="276">
        <f t="shared" si="42"/>
        <v>0</v>
      </c>
      <c r="Y17" s="883">
        <f>'[1]Feb midyear Jefferson Cham'!E14</f>
        <v>0</v>
      </c>
      <c r="Z17" s="276">
        <f t="shared" si="43"/>
        <v>0</v>
      </c>
      <c r="AA17" s="275">
        <f t="shared" si="44"/>
        <v>0</v>
      </c>
      <c r="AB17" s="323">
        <f t="shared" si="45"/>
        <v>0</v>
      </c>
      <c r="AC17" s="278">
        <f t="shared" si="46"/>
        <v>0</v>
      </c>
      <c r="AD17" s="323">
        <f t="shared" si="47"/>
        <v>0</v>
      </c>
      <c r="AE17" s="279">
        <v>0</v>
      </c>
      <c r="AF17" s="323">
        <f t="shared" si="48"/>
        <v>0</v>
      </c>
      <c r="AG17" s="279">
        <f>8*'[2]Table 5C1J-Jefferson Chamber'!AI17</f>
        <v>0</v>
      </c>
      <c r="AH17" s="279">
        <f t="shared" si="49"/>
        <v>0</v>
      </c>
      <c r="AI17" s="323">
        <f t="shared" si="30"/>
        <v>0</v>
      </c>
      <c r="AJ17" s="337">
        <f t="shared" si="50"/>
        <v>0</v>
      </c>
      <c r="AK17" s="341">
        <f t="shared" si="51"/>
        <v>0</v>
      </c>
      <c r="AM17" s="273">
        <v>0</v>
      </c>
      <c r="AN17" s="273">
        <f t="shared" si="52"/>
        <v>0</v>
      </c>
      <c r="AO17" s="273">
        <f t="shared" si="31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2.1.14'!Q14</f>
        <v>0</v>
      </c>
      <c r="D18" s="201">
        <f>+'Table 5C1A-Madison Prep'!D18</f>
        <v>1666.6040983606558</v>
      </c>
      <c r="E18" s="202">
        <f t="shared" si="32"/>
        <v>0</v>
      </c>
      <c r="F18" s="202">
        <f>+'Table 5C1A-Madison Prep'!F18</f>
        <v>1063.31</v>
      </c>
      <c r="G18" s="202">
        <f t="shared" si="33"/>
        <v>0</v>
      </c>
      <c r="H18" s="345">
        <f t="shared" si="34"/>
        <v>0</v>
      </c>
      <c r="I18" s="203">
        <f>'[1]Oct midyear Jefferson Cham'!K15</f>
        <v>0</v>
      </c>
      <c r="J18" s="203">
        <f>'[1]Feb midyear Jefferson Cham'!K15</f>
        <v>0</v>
      </c>
      <c r="K18" s="204">
        <f t="shared" si="35"/>
        <v>0</v>
      </c>
      <c r="L18" s="345">
        <f t="shared" si="36"/>
        <v>0</v>
      </c>
      <c r="M18" s="286">
        <f t="shared" si="28"/>
        <v>0</v>
      </c>
      <c r="N18" s="345">
        <f t="shared" si="37"/>
        <v>0</v>
      </c>
      <c r="O18" s="201">
        <v>0</v>
      </c>
      <c r="P18" s="351">
        <f t="shared" si="38"/>
        <v>0</v>
      </c>
      <c r="Q18" s="203">
        <f>8*'[2]Table 5C1J-Jefferson Chamber'!S18</f>
        <v>0</v>
      </c>
      <c r="R18" s="203">
        <f t="shared" si="39"/>
        <v>0</v>
      </c>
      <c r="S18" s="351">
        <f t="shared" si="29"/>
        <v>0</v>
      </c>
      <c r="T18" s="351">
        <f t="shared" si="40"/>
        <v>0</v>
      </c>
      <c r="U18" s="287">
        <f>'Table 5C1A-Madison Prep'!U18</f>
        <v>8094</v>
      </c>
      <c r="V18" s="328">
        <f t="shared" si="41"/>
        <v>0</v>
      </c>
      <c r="W18" s="289">
        <f>'[1]Oct midyear Jefferson Cham'!E15</f>
        <v>0</v>
      </c>
      <c r="X18" s="290">
        <f t="shared" si="42"/>
        <v>0</v>
      </c>
      <c r="Y18" s="289">
        <f>'[1]Feb midyear Jefferson Cham'!E15</f>
        <v>0</v>
      </c>
      <c r="Z18" s="290">
        <f t="shared" si="43"/>
        <v>0</v>
      </c>
      <c r="AA18" s="288">
        <f t="shared" si="44"/>
        <v>0</v>
      </c>
      <c r="AB18" s="324">
        <f t="shared" si="45"/>
        <v>0</v>
      </c>
      <c r="AC18" s="292">
        <f t="shared" si="46"/>
        <v>0</v>
      </c>
      <c r="AD18" s="324">
        <f t="shared" si="47"/>
        <v>0</v>
      </c>
      <c r="AE18" s="293">
        <v>0</v>
      </c>
      <c r="AF18" s="324">
        <f t="shared" si="48"/>
        <v>0</v>
      </c>
      <c r="AG18" s="293">
        <f>8*'[2]Table 5C1J-Jefferson Chamber'!AI18</f>
        <v>0</v>
      </c>
      <c r="AH18" s="293">
        <f t="shared" si="49"/>
        <v>0</v>
      </c>
      <c r="AI18" s="324">
        <f t="shared" si="30"/>
        <v>0</v>
      </c>
      <c r="AJ18" s="321">
        <f t="shared" si="50"/>
        <v>0</v>
      </c>
      <c r="AK18" s="342">
        <f t="shared" si="51"/>
        <v>0</v>
      </c>
      <c r="AM18" s="286">
        <v>0</v>
      </c>
      <c r="AN18" s="286">
        <f t="shared" si="52"/>
        <v>0</v>
      </c>
      <c r="AO18" s="286">
        <f t="shared" si="31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2.1.14'!Q15</f>
        <v>0</v>
      </c>
      <c r="D19" s="201">
        <f>+'Table 5C1A-Madison Prep'!D19</f>
        <v>6433.6297758332212</v>
      </c>
      <c r="E19" s="202">
        <f t="shared" si="32"/>
        <v>0</v>
      </c>
      <c r="F19" s="202">
        <f>+'Table 5C1A-Madison Prep'!F19</f>
        <v>749.43000000000006</v>
      </c>
      <c r="G19" s="202">
        <f t="shared" si="33"/>
        <v>0</v>
      </c>
      <c r="H19" s="345">
        <f t="shared" si="34"/>
        <v>0</v>
      </c>
      <c r="I19" s="203">
        <f>'[1]Oct midyear Jefferson Cham'!K16</f>
        <v>0</v>
      </c>
      <c r="J19" s="203">
        <f>'[1]Feb midyear Jefferson Cham'!K16</f>
        <v>0</v>
      </c>
      <c r="K19" s="204">
        <f t="shared" si="35"/>
        <v>0</v>
      </c>
      <c r="L19" s="345">
        <f t="shared" si="36"/>
        <v>0</v>
      </c>
      <c r="M19" s="286">
        <f t="shared" si="28"/>
        <v>0</v>
      </c>
      <c r="N19" s="345">
        <f t="shared" si="37"/>
        <v>0</v>
      </c>
      <c r="O19" s="201">
        <v>0</v>
      </c>
      <c r="P19" s="351">
        <f t="shared" si="38"/>
        <v>0</v>
      </c>
      <c r="Q19" s="203">
        <f>8*'[2]Table 5C1J-Jefferson Chamber'!S19</f>
        <v>0</v>
      </c>
      <c r="R19" s="203">
        <f t="shared" si="39"/>
        <v>0</v>
      </c>
      <c r="S19" s="351">
        <f t="shared" si="29"/>
        <v>0</v>
      </c>
      <c r="T19" s="351">
        <f t="shared" si="40"/>
        <v>0</v>
      </c>
      <c r="U19" s="287">
        <f>'Table 5C1A-Madison Prep'!U19</f>
        <v>2762</v>
      </c>
      <c r="V19" s="328">
        <f t="shared" si="41"/>
        <v>0</v>
      </c>
      <c r="W19" s="289">
        <f>'[1]Oct midyear Jefferson Cham'!E16</f>
        <v>0</v>
      </c>
      <c r="X19" s="290">
        <f t="shared" si="42"/>
        <v>0</v>
      </c>
      <c r="Y19" s="289">
        <f>'[1]Feb midyear Jefferson Cham'!E16</f>
        <v>0</v>
      </c>
      <c r="Z19" s="290">
        <f t="shared" si="43"/>
        <v>0</v>
      </c>
      <c r="AA19" s="288">
        <f t="shared" si="44"/>
        <v>0</v>
      </c>
      <c r="AB19" s="324">
        <f t="shared" si="45"/>
        <v>0</v>
      </c>
      <c r="AC19" s="292">
        <f t="shared" si="46"/>
        <v>0</v>
      </c>
      <c r="AD19" s="324">
        <f t="shared" si="47"/>
        <v>0</v>
      </c>
      <c r="AE19" s="293">
        <v>0</v>
      </c>
      <c r="AF19" s="324">
        <f t="shared" si="48"/>
        <v>0</v>
      </c>
      <c r="AG19" s="293">
        <f>8*'[2]Table 5C1J-Jefferson Chamber'!AI19</f>
        <v>0</v>
      </c>
      <c r="AH19" s="293">
        <f t="shared" si="49"/>
        <v>0</v>
      </c>
      <c r="AI19" s="324">
        <f t="shared" si="30"/>
        <v>0</v>
      </c>
      <c r="AJ19" s="321">
        <f t="shared" si="50"/>
        <v>0</v>
      </c>
      <c r="AK19" s="342">
        <f t="shared" si="51"/>
        <v>0</v>
      </c>
      <c r="AM19" s="286">
        <v>0</v>
      </c>
      <c r="AN19" s="286">
        <f t="shared" si="52"/>
        <v>0</v>
      </c>
      <c r="AO19" s="286">
        <f t="shared" si="31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2.1.14'!Q16</f>
        <v>0</v>
      </c>
      <c r="D20" s="201">
        <f>+'Table 5C1A-Madison Prep'!D20</f>
        <v>5334.9509412500001</v>
      </c>
      <c r="E20" s="202">
        <f t="shared" si="32"/>
        <v>0</v>
      </c>
      <c r="F20" s="202">
        <f>+'Table 5C1A-Madison Prep'!F20</f>
        <v>809.9799999999999</v>
      </c>
      <c r="G20" s="202">
        <f t="shared" si="33"/>
        <v>0</v>
      </c>
      <c r="H20" s="345">
        <f t="shared" si="34"/>
        <v>0</v>
      </c>
      <c r="I20" s="203">
        <f>'[1]Oct midyear Jefferson Cham'!K17</f>
        <v>0</v>
      </c>
      <c r="J20" s="203">
        <f>'[1]Feb midyear Jefferson Cham'!K17</f>
        <v>0</v>
      </c>
      <c r="K20" s="204">
        <f t="shared" si="35"/>
        <v>0</v>
      </c>
      <c r="L20" s="345">
        <f t="shared" si="36"/>
        <v>0</v>
      </c>
      <c r="M20" s="286">
        <f t="shared" si="28"/>
        <v>0</v>
      </c>
      <c r="N20" s="345">
        <f t="shared" si="37"/>
        <v>0</v>
      </c>
      <c r="O20" s="201">
        <v>0</v>
      </c>
      <c r="P20" s="351">
        <f t="shared" si="38"/>
        <v>0</v>
      </c>
      <c r="Q20" s="203">
        <f>8*'[2]Table 5C1J-Jefferson Chamber'!S20</f>
        <v>0</v>
      </c>
      <c r="R20" s="203">
        <f t="shared" si="39"/>
        <v>0</v>
      </c>
      <c r="S20" s="351">
        <f t="shared" si="29"/>
        <v>0</v>
      </c>
      <c r="T20" s="351">
        <f t="shared" si="40"/>
        <v>0</v>
      </c>
      <c r="U20" s="287">
        <f>'Table 5C1A-Madison Prep'!U20</f>
        <v>4171</v>
      </c>
      <c r="V20" s="328">
        <f t="shared" si="41"/>
        <v>0</v>
      </c>
      <c r="W20" s="289">
        <f>'[1]Oct midyear Jefferson Cham'!E17</f>
        <v>0</v>
      </c>
      <c r="X20" s="290">
        <f t="shared" si="42"/>
        <v>0</v>
      </c>
      <c r="Y20" s="289">
        <f>'[1]Feb midyear Jefferson Cham'!E17</f>
        <v>0</v>
      </c>
      <c r="Z20" s="290">
        <f t="shared" si="43"/>
        <v>0</v>
      </c>
      <c r="AA20" s="288">
        <f t="shared" si="44"/>
        <v>0</v>
      </c>
      <c r="AB20" s="324">
        <f t="shared" si="45"/>
        <v>0</v>
      </c>
      <c r="AC20" s="292">
        <f t="shared" si="46"/>
        <v>0</v>
      </c>
      <c r="AD20" s="324">
        <f t="shared" si="47"/>
        <v>0</v>
      </c>
      <c r="AE20" s="293">
        <v>0</v>
      </c>
      <c r="AF20" s="324">
        <f t="shared" si="48"/>
        <v>0</v>
      </c>
      <c r="AG20" s="293">
        <f>8*'[2]Table 5C1J-Jefferson Chamber'!AI20</f>
        <v>0</v>
      </c>
      <c r="AH20" s="293">
        <f t="shared" si="49"/>
        <v>0</v>
      </c>
      <c r="AI20" s="324">
        <f t="shared" si="30"/>
        <v>0</v>
      </c>
      <c r="AJ20" s="321">
        <f t="shared" si="50"/>
        <v>0</v>
      </c>
      <c r="AK20" s="342">
        <f t="shared" si="51"/>
        <v>0</v>
      </c>
      <c r="AM20" s="286">
        <v>0</v>
      </c>
      <c r="AN20" s="286">
        <f t="shared" si="52"/>
        <v>0</v>
      </c>
      <c r="AO20" s="286">
        <f t="shared" si="31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2.1.14'!Q17</f>
        <v>0</v>
      </c>
      <c r="D21" s="194">
        <f>+'Table 5C1A-Madison Prep'!D21</f>
        <v>5749.8285214059952</v>
      </c>
      <c r="E21" s="195">
        <f t="shared" si="32"/>
        <v>0</v>
      </c>
      <c r="F21" s="195">
        <f>+'Table 5C1A-Madison Prep'!F21</f>
        <v>553.79999999999995</v>
      </c>
      <c r="G21" s="195">
        <f t="shared" si="33"/>
        <v>0</v>
      </c>
      <c r="H21" s="346">
        <f t="shared" si="34"/>
        <v>0</v>
      </c>
      <c r="I21" s="196">
        <f>'[1]Oct midyear Jefferson Cham'!K18</f>
        <v>0</v>
      </c>
      <c r="J21" s="196">
        <f>'[1]Feb midyear Jefferson Cham'!K18</f>
        <v>0</v>
      </c>
      <c r="K21" s="197">
        <f t="shared" si="35"/>
        <v>0</v>
      </c>
      <c r="L21" s="346">
        <f t="shared" si="36"/>
        <v>0</v>
      </c>
      <c r="M21" s="296">
        <f t="shared" si="28"/>
        <v>0</v>
      </c>
      <c r="N21" s="346">
        <f t="shared" si="37"/>
        <v>0</v>
      </c>
      <c r="O21" s="194">
        <v>0</v>
      </c>
      <c r="P21" s="352">
        <f t="shared" si="38"/>
        <v>0</v>
      </c>
      <c r="Q21" s="196">
        <f>8*'[2]Table 5C1J-Jefferson Chamber'!S21</f>
        <v>0</v>
      </c>
      <c r="R21" s="196">
        <f t="shared" si="39"/>
        <v>0</v>
      </c>
      <c r="S21" s="352">
        <f t="shared" si="29"/>
        <v>0</v>
      </c>
      <c r="T21" s="352">
        <f t="shared" si="40"/>
        <v>0</v>
      </c>
      <c r="U21" s="281">
        <f>'Table 5C1A-Madison Prep'!U21</f>
        <v>2880</v>
      </c>
      <c r="V21" s="329">
        <f t="shared" si="41"/>
        <v>0</v>
      </c>
      <c r="W21" s="884">
        <f>'[1]Oct midyear Jefferson Cham'!E18</f>
        <v>0</v>
      </c>
      <c r="X21" s="282">
        <f t="shared" si="42"/>
        <v>0</v>
      </c>
      <c r="Y21" s="884">
        <f>'[1]Feb midyear Jefferson Cham'!E18</f>
        <v>0</v>
      </c>
      <c r="Z21" s="282">
        <f t="shared" si="43"/>
        <v>0</v>
      </c>
      <c r="AA21" s="283">
        <f t="shared" si="44"/>
        <v>0</v>
      </c>
      <c r="AB21" s="325">
        <f t="shared" si="45"/>
        <v>0</v>
      </c>
      <c r="AC21" s="298">
        <f t="shared" si="46"/>
        <v>0</v>
      </c>
      <c r="AD21" s="325">
        <f t="shared" si="47"/>
        <v>0</v>
      </c>
      <c r="AE21" s="284">
        <v>0</v>
      </c>
      <c r="AF21" s="325">
        <f t="shared" si="48"/>
        <v>0</v>
      </c>
      <c r="AG21" s="284">
        <f>8*'[2]Table 5C1J-Jefferson Chamber'!AI21</f>
        <v>0</v>
      </c>
      <c r="AH21" s="284">
        <f t="shared" si="49"/>
        <v>0</v>
      </c>
      <c r="AI21" s="325">
        <f t="shared" si="30"/>
        <v>0</v>
      </c>
      <c r="AJ21" s="338">
        <f t="shared" si="50"/>
        <v>0</v>
      </c>
      <c r="AK21" s="343">
        <f t="shared" si="51"/>
        <v>0</v>
      </c>
      <c r="AM21" s="296">
        <v>0</v>
      </c>
      <c r="AN21" s="296">
        <f t="shared" si="52"/>
        <v>0</v>
      </c>
      <c r="AO21" s="296">
        <f t="shared" si="31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2.1.14'!Q18</f>
        <v>0</v>
      </c>
      <c r="D22" s="208">
        <f>+'Table 5C1A-Madison Prep'!D22</f>
        <v>1980.2494354342025</v>
      </c>
      <c r="E22" s="209">
        <f t="shared" si="32"/>
        <v>0</v>
      </c>
      <c r="F22" s="209">
        <f>+'Table 5C1A-Madison Prep'!F22</f>
        <v>686.73</v>
      </c>
      <c r="G22" s="209">
        <f t="shared" si="33"/>
        <v>0</v>
      </c>
      <c r="H22" s="344">
        <f t="shared" si="34"/>
        <v>0</v>
      </c>
      <c r="I22" s="210">
        <f>'[1]Oct midyear Jefferson Cham'!K19</f>
        <v>0</v>
      </c>
      <c r="J22" s="210">
        <f>'[1]Feb midyear Jefferson Cham'!K19</f>
        <v>0</v>
      </c>
      <c r="K22" s="211">
        <f t="shared" si="35"/>
        <v>0</v>
      </c>
      <c r="L22" s="344">
        <f t="shared" si="36"/>
        <v>0</v>
      </c>
      <c r="M22" s="273">
        <f t="shared" si="28"/>
        <v>0</v>
      </c>
      <c r="N22" s="344">
        <f t="shared" si="37"/>
        <v>0</v>
      </c>
      <c r="O22" s="208">
        <v>0</v>
      </c>
      <c r="P22" s="350">
        <f t="shared" si="38"/>
        <v>0</v>
      </c>
      <c r="Q22" s="210">
        <f>8*'[2]Table 5C1J-Jefferson Chamber'!S22</f>
        <v>0</v>
      </c>
      <c r="R22" s="210">
        <f t="shared" si="39"/>
        <v>0</v>
      </c>
      <c r="S22" s="350">
        <f t="shared" si="29"/>
        <v>0</v>
      </c>
      <c r="T22" s="350">
        <f t="shared" si="40"/>
        <v>0</v>
      </c>
      <c r="U22" s="274">
        <f>'Table 5C1A-Madison Prep'!U22</f>
        <v>13021</v>
      </c>
      <c r="V22" s="327">
        <f t="shared" si="41"/>
        <v>0</v>
      </c>
      <c r="W22" s="883">
        <f>'[1]Oct midyear Jefferson Cham'!E19</f>
        <v>0</v>
      </c>
      <c r="X22" s="276">
        <f t="shared" si="42"/>
        <v>0</v>
      </c>
      <c r="Y22" s="883">
        <f>'[1]Feb midyear Jefferson Cham'!E19</f>
        <v>0</v>
      </c>
      <c r="Z22" s="276">
        <f t="shared" si="43"/>
        <v>0</v>
      </c>
      <c r="AA22" s="275">
        <f t="shared" si="44"/>
        <v>0</v>
      </c>
      <c r="AB22" s="323">
        <f t="shared" si="45"/>
        <v>0</v>
      </c>
      <c r="AC22" s="278">
        <f t="shared" si="46"/>
        <v>0</v>
      </c>
      <c r="AD22" s="323">
        <f t="shared" si="47"/>
        <v>0</v>
      </c>
      <c r="AE22" s="279">
        <v>0</v>
      </c>
      <c r="AF22" s="323">
        <f t="shared" si="48"/>
        <v>0</v>
      </c>
      <c r="AG22" s="279">
        <f>8*'[2]Table 5C1J-Jefferson Chamber'!AI22</f>
        <v>0</v>
      </c>
      <c r="AH22" s="279">
        <f t="shared" si="49"/>
        <v>0</v>
      </c>
      <c r="AI22" s="323">
        <f t="shared" si="30"/>
        <v>0</v>
      </c>
      <c r="AJ22" s="337">
        <f t="shared" si="50"/>
        <v>0</v>
      </c>
      <c r="AK22" s="341">
        <f t="shared" si="51"/>
        <v>0</v>
      </c>
      <c r="AM22" s="273">
        <v>0</v>
      </c>
      <c r="AN22" s="273">
        <f t="shared" si="52"/>
        <v>0</v>
      </c>
      <c r="AO22" s="273">
        <f t="shared" si="31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2.1.14'!Q19</f>
        <v>0</v>
      </c>
      <c r="D23" s="201">
        <f>+'Table 5C1A-Madison Prep'!D23</f>
        <v>3363.5980368254495</v>
      </c>
      <c r="E23" s="202">
        <f t="shared" si="32"/>
        <v>0</v>
      </c>
      <c r="F23" s="202">
        <f>+'Table 5C1A-Madison Prep'!F23</f>
        <v>801.47762416806802</v>
      </c>
      <c r="G23" s="202">
        <f t="shared" si="33"/>
        <v>0</v>
      </c>
      <c r="H23" s="345">
        <f t="shared" si="34"/>
        <v>0</v>
      </c>
      <c r="I23" s="203">
        <f>'[1]Oct midyear Jefferson Cham'!K20</f>
        <v>0</v>
      </c>
      <c r="J23" s="203">
        <f>'[1]Feb midyear Jefferson Cham'!K20</f>
        <v>0</v>
      </c>
      <c r="K23" s="204">
        <f t="shared" si="35"/>
        <v>0</v>
      </c>
      <c r="L23" s="345">
        <f t="shared" si="36"/>
        <v>0</v>
      </c>
      <c r="M23" s="286">
        <f t="shared" si="28"/>
        <v>0</v>
      </c>
      <c r="N23" s="345">
        <f t="shared" si="37"/>
        <v>0</v>
      </c>
      <c r="O23" s="201">
        <v>0</v>
      </c>
      <c r="P23" s="351">
        <f t="shared" si="38"/>
        <v>0</v>
      </c>
      <c r="Q23" s="203">
        <f>8*'[2]Table 5C1J-Jefferson Chamber'!S23</f>
        <v>0</v>
      </c>
      <c r="R23" s="203">
        <f t="shared" si="39"/>
        <v>0</v>
      </c>
      <c r="S23" s="351">
        <f t="shared" si="29"/>
        <v>0</v>
      </c>
      <c r="T23" s="351">
        <f t="shared" si="40"/>
        <v>0</v>
      </c>
      <c r="U23" s="287">
        <f>'Table 5C1A-Madison Prep'!U23</f>
        <v>6954</v>
      </c>
      <c r="V23" s="328">
        <f t="shared" si="41"/>
        <v>0</v>
      </c>
      <c r="W23" s="289">
        <f>'[1]Oct midyear Jefferson Cham'!E20</f>
        <v>0</v>
      </c>
      <c r="X23" s="290">
        <f t="shared" si="42"/>
        <v>0</v>
      </c>
      <c r="Y23" s="289">
        <f>'[1]Feb midyear Jefferson Cham'!E20</f>
        <v>0</v>
      </c>
      <c r="Z23" s="290">
        <f t="shared" si="43"/>
        <v>0</v>
      </c>
      <c r="AA23" s="288">
        <f t="shared" si="44"/>
        <v>0</v>
      </c>
      <c r="AB23" s="324">
        <f t="shared" si="45"/>
        <v>0</v>
      </c>
      <c r="AC23" s="292">
        <f t="shared" si="46"/>
        <v>0</v>
      </c>
      <c r="AD23" s="324">
        <f t="shared" si="47"/>
        <v>0</v>
      </c>
      <c r="AE23" s="293">
        <v>0</v>
      </c>
      <c r="AF23" s="324">
        <f t="shared" si="48"/>
        <v>0</v>
      </c>
      <c r="AG23" s="293">
        <f>8*'[2]Table 5C1J-Jefferson Chamber'!AI23</f>
        <v>0</v>
      </c>
      <c r="AH23" s="293">
        <f t="shared" si="49"/>
        <v>0</v>
      </c>
      <c r="AI23" s="324">
        <f t="shared" si="30"/>
        <v>0</v>
      </c>
      <c r="AJ23" s="321">
        <f t="shared" si="50"/>
        <v>0</v>
      </c>
      <c r="AK23" s="342">
        <f t="shared" si="51"/>
        <v>0</v>
      </c>
      <c r="AM23" s="286">
        <v>0</v>
      </c>
      <c r="AN23" s="286">
        <f t="shared" si="52"/>
        <v>0</v>
      </c>
      <c r="AO23" s="286">
        <f t="shared" si="31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2.1.14'!Q20</f>
        <v>0</v>
      </c>
      <c r="D24" s="201">
        <f>+'Table 5C1A-Madison Prep'!D24</f>
        <v>6354.5533500475731</v>
      </c>
      <c r="E24" s="202">
        <f t="shared" si="32"/>
        <v>0</v>
      </c>
      <c r="F24" s="202">
        <f>+'Table 5C1A-Madison Prep'!F24</f>
        <v>845.94999999999993</v>
      </c>
      <c r="G24" s="202">
        <f t="shared" si="33"/>
        <v>0</v>
      </c>
      <c r="H24" s="345">
        <f t="shared" si="34"/>
        <v>0</v>
      </c>
      <c r="I24" s="203">
        <f>'[1]Oct midyear Jefferson Cham'!K21</f>
        <v>0</v>
      </c>
      <c r="J24" s="203">
        <f>'[1]Feb midyear Jefferson Cham'!K21</f>
        <v>0</v>
      </c>
      <c r="K24" s="204">
        <f t="shared" si="35"/>
        <v>0</v>
      </c>
      <c r="L24" s="345">
        <f t="shared" si="36"/>
        <v>0</v>
      </c>
      <c r="M24" s="286">
        <f t="shared" si="28"/>
        <v>0</v>
      </c>
      <c r="N24" s="345">
        <f t="shared" si="37"/>
        <v>0</v>
      </c>
      <c r="O24" s="201">
        <v>0</v>
      </c>
      <c r="P24" s="351">
        <f t="shared" si="38"/>
        <v>0</v>
      </c>
      <c r="Q24" s="203">
        <f>8*'[2]Table 5C1J-Jefferson Chamber'!S24</f>
        <v>0</v>
      </c>
      <c r="R24" s="203">
        <f t="shared" si="39"/>
        <v>0</v>
      </c>
      <c r="S24" s="351">
        <f t="shared" si="29"/>
        <v>0</v>
      </c>
      <c r="T24" s="351">
        <f t="shared" si="40"/>
        <v>0</v>
      </c>
      <c r="U24" s="287">
        <f>'Table 5C1A-Madison Prep'!U24</f>
        <v>2442</v>
      </c>
      <c r="V24" s="328">
        <f t="shared" si="41"/>
        <v>0</v>
      </c>
      <c r="W24" s="289">
        <f>'[1]Oct midyear Jefferson Cham'!E21</f>
        <v>0</v>
      </c>
      <c r="X24" s="290">
        <f t="shared" si="42"/>
        <v>0</v>
      </c>
      <c r="Y24" s="289">
        <f>'[1]Feb midyear Jefferson Cham'!E21</f>
        <v>0</v>
      </c>
      <c r="Z24" s="290">
        <f t="shared" si="43"/>
        <v>0</v>
      </c>
      <c r="AA24" s="288">
        <f t="shared" si="44"/>
        <v>0</v>
      </c>
      <c r="AB24" s="324">
        <f t="shared" si="45"/>
        <v>0</v>
      </c>
      <c r="AC24" s="292">
        <f t="shared" si="46"/>
        <v>0</v>
      </c>
      <c r="AD24" s="324">
        <f t="shared" si="47"/>
        <v>0</v>
      </c>
      <c r="AE24" s="293">
        <v>0</v>
      </c>
      <c r="AF24" s="324">
        <f t="shared" si="48"/>
        <v>0</v>
      </c>
      <c r="AG24" s="293">
        <f>8*'[2]Table 5C1J-Jefferson Chamber'!AI24</f>
        <v>0</v>
      </c>
      <c r="AH24" s="293">
        <f t="shared" si="49"/>
        <v>0</v>
      </c>
      <c r="AI24" s="324">
        <f t="shared" si="30"/>
        <v>0</v>
      </c>
      <c r="AJ24" s="321">
        <f t="shared" si="50"/>
        <v>0</v>
      </c>
      <c r="AK24" s="342">
        <f t="shared" si="51"/>
        <v>0</v>
      </c>
      <c r="AM24" s="286">
        <v>0</v>
      </c>
      <c r="AN24" s="286">
        <f t="shared" si="52"/>
        <v>0</v>
      </c>
      <c r="AO24" s="286">
        <f t="shared" si="31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2.1.14'!Q21</f>
        <v>0</v>
      </c>
      <c r="D25" s="201">
        <f>+'Table 5C1A-Madison Prep'!D25</f>
        <v>5314.3921869460446</v>
      </c>
      <c r="E25" s="202">
        <f t="shared" si="32"/>
        <v>0</v>
      </c>
      <c r="F25" s="202">
        <f>+'Table 5C1A-Madison Prep'!F25</f>
        <v>905.43</v>
      </c>
      <c r="G25" s="202">
        <f t="shared" si="33"/>
        <v>0</v>
      </c>
      <c r="H25" s="345">
        <f t="shared" si="34"/>
        <v>0</v>
      </c>
      <c r="I25" s="203">
        <f>'[1]Oct midyear Jefferson Cham'!K22</f>
        <v>0</v>
      </c>
      <c r="J25" s="203">
        <f>'[1]Feb midyear Jefferson Cham'!K22</f>
        <v>0</v>
      </c>
      <c r="K25" s="204">
        <f t="shared" si="35"/>
        <v>0</v>
      </c>
      <c r="L25" s="345">
        <f t="shared" si="36"/>
        <v>0</v>
      </c>
      <c r="M25" s="286">
        <f t="shared" si="28"/>
        <v>0</v>
      </c>
      <c r="N25" s="345">
        <f t="shared" si="37"/>
        <v>0</v>
      </c>
      <c r="O25" s="201">
        <v>0</v>
      </c>
      <c r="P25" s="351">
        <f t="shared" si="38"/>
        <v>0</v>
      </c>
      <c r="Q25" s="203">
        <f>8*'[2]Table 5C1J-Jefferson Chamber'!S25</f>
        <v>0</v>
      </c>
      <c r="R25" s="203">
        <f t="shared" si="39"/>
        <v>0</v>
      </c>
      <c r="S25" s="351">
        <f t="shared" si="29"/>
        <v>0</v>
      </c>
      <c r="T25" s="351">
        <f t="shared" si="40"/>
        <v>0</v>
      </c>
      <c r="U25" s="287">
        <f>'Table 5C1A-Madison Prep'!U25</f>
        <v>3051</v>
      </c>
      <c r="V25" s="328">
        <f t="shared" si="41"/>
        <v>0</v>
      </c>
      <c r="W25" s="289">
        <f>'[1]Oct midyear Jefferson Cham'!E22</f>
        <v>0</v>
      </c>
      <c r="X25" s="290">
        <f t="shared" si="42"/>
        <v>0</v>
      </c>
      <c r="Y25" s="289">
        <f>'[1]Feb midyear Jefferson Cham'!E22</f>
        <v>0</v>
      </c>
      <c r="Z25" s="290">
        <f t="shared" si="43"/>
        <v>0</v>
      </c>
      <c r="AA25" s="288">
        <f t="shared" si="44"/>
        <v>0</v>
      </c>
      <c r="AB25" s="324">
        <f t="shared" si="45"/>
        <v>0</v>
      </c>
      <c r="AC25" s="292">
        <f t="shared" si="46"/>
        <v>0</v>
      </c>
      <c r="AD25" s="324">
        <f t="shared" si="47"/>
        <v>0</v>
      </c>
      <c r="AE25" s="293">
        <v>0</v>
      </c>
      <c r="AF25" s="324">
        <f t="shared" si="48"/>
        <v>0</v>
      </c>
      <c r="AG25" s="293">
        <f>8*'[2]Table 5C1J-Jefferson Chamber'!AI25</f>
        <v>0</v>
      </c>
      <c r="AH25" s="293">
        <f t="shared" si="49"/>
        <v>0</v>
      </c>
      <c r="AI25" s="324">
        <f t="shared" si="30"/>
        <v>0</v>
      </c>
      <c r="AJ25" s="321">
        <f t="shared" si="50"/>
        <v>0</v>
      </c>
      <c r="AK25" s="342">
        <f t="shared" si="51"/>
        <v>0</v>
      </c>
      <c r="AM25" s="286">
        <v>0</v>
      </c>
      <c r="AN25" s="286">
        <f t="shared" si="52"/>
        <v>0</v>
      </c>
      <c r="AO25" s="286">
        <f t="shared" si="31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2.1.14'!Q22</f>
        <v>0</v>
      </c>
      <c r="D26" s="194">
        <f>+'Table 5C1A-Madison Prep'!D26</f>
        <v>5278.5201565562011</v>
      </c>
      <c r="E26" s="195">
        <f t="shared" si="32"/>
        <v>0</v>
      </c>
      <c r="F26" s="195">
        <f>+'Table 5C1A-Madison Prep'!F26</f>
        <v>586.16999999999996</v>
      </c>
      <c r="G26" s="195">
        <f t="shared" si="33"/>
        <v>0</v>
      </c>
      <c r="H26" s="346">
        <f t="shared" si="34"/>
        <v>0</v>
      </c>
      <c r="I26" s="196">
        <f>'[1]Oct midyear Jefferson Cham'!K23</f>
        <v>0</v>
      </c>
      <c r="J26" s="196">
        <f>'[1]Feb midyear Jefferson Cham'!K23</f>
        <v>0</v>
      </c>
      <c r="K26" s="197">
        <f t="shared" si="35"/>
        <v>0</v>
      </c>
      <c r="L26" s="346">
        <f t="shared" si="36"/>
        <v>0</v>
      </c>
      <c r="M26" s="296">
        <f t="shared" si="28"/>
        <v>0</v>
      </c>
      <c r="N26" s="346">
        <f t="shared" si="37"/>
        <v>0</v>
      </c>
      <c r="O26" s="194">
        <v>0</v>
      </c>
      <c r="P26" s="352">
        <f t="shared" si="38"/>
        <v>0</v>
      </c>
      <c r="Q26" s="196">
        <f>8*'[2]Table 5C1J-Jefferson Chamber'!S26</f>
        <v>0</v>
      </c>
      <c r="R26" s="196">
        <f t="shared" si="39"/>
        <v>0</v>
      </c>
      <c r="S26" s="352">
        <f t="shared" si="29"/>
        <v>0</v>
      </c>
      <c r="T26" s="352">
        <f t="shared" si="40"/>
        <v>0</v>
      </c>
      <c r="U26" s="281">
        <f>'Table 5C1A-Madison Prep'!U26</f>
        <v>2484</v>
      </c>
      <c r="V26" s="329">
        <f t="shared" si="41"/>
        <v>0</v>
      </c>
      <c r="W26" s="884">
        <f>'[1]Oct midyear Jefferson Cham'!E23</f>
        <v>0</v>
      </c>
      <c r="X26" s="282">
        <f t="shared" si="42"/>
        <v>0</v>
      </c>
      <c r="Y26" s="884">
        <f>'[1]Feb midyear Jefferson Cham'!E23</f>
        <v>0</v>
      </c>
      <c r="Z26" s="282">
        <f t="shared" si="43"/>
        <v>0</v>
      </c>
      <c r="AA26" s="283">
        <f t="shared" si="44"/>
        <v>0</v>
      </c>
      <c r="AB26" s="325">
        <f t="shared" si="45"/>
        <v>0</v>
      </c>
      <c r="AC26" s="298">
        <f t="shared" si="46"/>
        <v>0</v>
      </c>
      <c r="AD26" s="325">
        <f t="shared" si="47"/>
        <v>0</v>
      </c>
      <c r="AE26" s="284">
        <v>0</v>
      </c>
      <c r="AF26" s="325">
        <f t="shared" si="48"/>
        <v>0</v>
      </c>
      <c r="AG26" s="284">
        <f>8*'[2]Table 5C1J-Jefferson Chamber'!AI26</f>
        <v>0</v>
      </c>
      <c r="AH26" s="284">
        <f t="shared" si="49"/>
        <v>0</v>
      </c>
      <c r="AI26" s="325">
        <f t="shared" si="30"/>
        <v>0</v>
      </c>
      <c r="AJ26" s="338">
        <f t="shared" si="50"/>
        <v>0</v>
      </c>
      <c r="AK26" s="343">
        <f t="shared" si="51"/>
        <v>0</v>
      </c>
      <c r="AM26" s="296">
        <v>0</v>
      </c>
      <c r="AN26" s="296">
        <f t="shared" si="52"/>
        <v>0</v>
      </c>
      <c r="AO26" s="296">
        <f t="shared" si="31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2.1.14'!Q23</f>
        <v>0</v>
      </c>
      <c r="D27" s="208">
        <f>+'Table 5C1A-Madison Prep'!D27</f>
        <v>6082.3042295867763</v>
      </c>
      <c r="E27" s="209">
        <f t="shared" si="32"/>
        <v>0</v>
      </c>
      <c r="F27" s="209">
        <f>+'Table 5C1A-Madison Prep'!F27</f>
        <v>610.35</v>
      </c>
      <c r="G27" s="209">
        <f t="shared" si="33"/>
        <v>0</v>
      </c>
      <c r="H27" s="344">
        <f t="shared" si="34"/>
        <v>0</v>
      </c>
      <c r="I27" s="210">
        <f>'[1]Oct midyear Jefferson Cham'!K24</f>
        <v>0</v>
      </c>
      <c r="J27" s="210">
        <f>'[1]Feb midyear Jefferson Cham'!K24</f>
        <v>0</v>
      </c>
      <c r="K27" s="211">
        <f t="shared" si="35"/>
        <v>0</v>
      </c>
      <c r="L27" s="344">
        <f t="shared" si="36"/>
        <v>0</v>
      </c>
      <c r="M27" s="273">
        <f t="shared" si="28"/>
        <v>0</v>
      </c>
      <c r="N27" s="344">
        <f t="shared" si="37"/>
        <v>0</v>
      </c>
      <c r="O27" s="208">
        <v>0</v>
      </c>
      <c r="P27" s="350">
        <f t="shared" si="38"/>
        <v>0</v>
      </c>
      <c r="Q27" s="210">
        <f>8*'[2]Table 5C1J-Jefferson Chamber'!S27</f>
        <v>0</v>
      </c>
      <c r="R27" s="210">
        <f t="shared" si="39"/>
        <v>0</v>
      </c>
      <c r="S27" s="350">
        <f t="shared" si="29"/>
        <v>0</v>
      </c>
      <c r="T27" s="350">
        <f t="shared" si="40"/>
        <v>0</v>
      </c>
      <c r="U27" s="274">
        <f>'Table 5C1A-Madison Prep'!U27</f>
        <v>2487</v>
      </c>
      <c r="V27" s="327">
        <f t="shared" si="41"/>
        <v>0</v>
      </c>
      <c r="W27" s="883">
        <f>'[1]Oct midyear Jefferson Cham'!E24</f>
        <v>0</v>
      </c>
      <c r="X27" s="276">
        <f t="shared" si="42"/>
        <v>0</v>
      </c>
      <c r="Y27" s="883">
        <f>'[1]Feb midyear Jefferson Cham'!E24</f>
        <v>0</v>
      </c>
      <c r="Z27" s="276">
        <f t="shared" si="43"/>
        <v>0</v>
      </c>
      <c r="AA27" s="275">
        <f t="shared" si="44"/>
        <v>0</v>
      </c>
      <c r="AB27" s="323">
        <f t="shared" si="45"/>
        <v>0</v>
      </c>
      <c r="AC27" s="278">
        <f t="shared" si="46"/>
        <v>0</v>
      </c>
      <c r="AD27" s="323">
        <f t="shared" si="47"/>
        <v>0</v>
      </c>
      <c r="AE27" s="279">
        <v>0</v>
      </c>
      <c r="AF27" s="323">
        <f t="shared" si="48"/>
        <v>0</v>
      </c>
      <c r="AG27" s="279">
        <f>8*'[2]Table 5C1J-Jefferson Chamber'!AI27</f>
        <v>0</v>
      </c>
      <c r="AH27" s="279">
        <f t="shared" si="49"/>
        <v>0</v>
      </c>
      <c r="AI27" s="323">
        <f t="shared" si="30"/>
        <v>0</v>
      </c>
      <c r="AJ27" s="337">
        <f t="shared" si="50"/>
        <v>0</v>
      </c>
      <c r="AK27" s="341">
        <f t="shared" si="51"/>
        <v>0</v>
      </c>
      <c r="AM27" s="273">
        <v>0</v>
      </c>
      <c r="AN27" s="273">
        <f t="shared" si="52"/>
        <v>0</v>
      </c>
      <c r="AO27" s="273">
        <f t="shared" si="31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2.1.14'!Q24</f>
        <v>0</v>
      </c>
      <c r="D28" s="201">
        <f>+'Table 5C1A-Madison Prep'!D28</f>
        <v>6416.1099808195995</v>
      </c>
      <c r="E28" s="202">
        <f t="shared" si="32"/>
        <v>0</v>
      </c>
      <c r="F28" s="202">
        <f>+'Table 5C1A-Madison Prep'!F28</f>
        <v>496.36</v>
      </c>
      <c r="G28" s="202">
        <f t="shared" si="33"/>
        <v>0</v>
      </c>
      <c r="H28" s="345">
        <f t="shared" si="34"/>
        <v>0</v>
      </c>
      <c r="I28" s="203">
        <f>'[1]Oct midyear Jefferson Cham'!K25</f>
        <v>0</v>
      </c>
      <c r="J28" s="203">
        <f>'[1]Feb midyear Jefferson Cham'!K25</f>
        <v>0</v>
      </c>
      <c r="K28" s="204">
        <f t="shared" si="35"/>
        <v>0</v>
      </c>
      <c r="L28" s="345">
        <f t="shared" si="36"/>
        <v>0</v>
      </c>
      <c r="M28" s="286">
        <f t="shared" si="28"/>
        <v>0</v>
      </c>
      <c r="N28" s="345">
        <f t="shared" si="37"/>
        <v>0</v>
      </c>
      <c r="O28" s="201">
        <v>0</v>
      </c>
      <c r="P28" s="351">
        <f t="shared" si="38"/>
        <v>0</v>
      </c>
      <c r="Q28" s="203">
        <f>8*'[2]Table 5C1J-Jefferson Chamber'!S28</f>
        <v>0</v>
      </c>
      <c r="R28" s="203">
        <f t="shared" si="39"/>
        <v>0</v>
      </c>
      <c r="S28" s="351">
        <f t="shared" si="29"/>
        <v>0</v>
      </c>
      <c r="T28" s="351">
        <f t="shared" si="40"/>
        <v>0</v>
      </c>
      <c r="U28" s="287">
        <f>'Table 5C1A-Madison Prep'!U28</f>
        <v>1584</v>
      </c>
      <c r="V28" s="328">
        <f t="shared" si="41"/>
        <v>0</v>
      </c>
      <c r="W28" s="289">
        <f>'[1]Oct midyear Jefferson Cham'!E25</f>
        <v>0</v>
      </c>
      <c r="X28" s="290">
        <f t="shared" si="42"/>
        <v>0</v>
      </c>
      <c r="Y28" s="289">
        <f>'[1]Feb midyear Jefferson Cham'!E25</f>
        <v>0</v>
      </c>
      <c r="Z28" s="290">
        <f t="shared" si="43"/>
        <v>0</v>
      </c>
      <c r="AA28" s="288">
        <f t="shared" si="44"/>
        <v>0</v>
      </c>
      <c r="AB28" s="324">
        <f t="shared" si="45"/>
        <v>0</v>
      </c>
      <c r="AC28" s="292">
        <f t="shared" si="46"/>
        <v>0</v>
      </c>
      <c r="AD28" s="324">
        <f t="shared" si="47"/>
        <v>0</v>
      </c>
      <c r="AE28" s="293">
        <v>0</v>
      </c>
      <c r="AF28" s="324">
        <f t="shared" si="48"/>
        <v>0</v>
      </c>
      <c r="AG28" s="293">
        <f>8*'[2]Table 5C1J-Jefferson Chamber'!AI28</f>
        <v>0</v>
      </c>
      <c r="AH28" s="293">
        <f t="shared" si="49"/>
        <v>0</v>
      </c>
      <c r="AI28" s="324">
        <f t="shared" si="30"/>
        <v>0</v>
      </c>
      <c r="AJ28" s="321">
        <f t="shared" si="50"/>
        <v>0</v>
      </c>
      <c r="AK28" s="342">
        <f t="shared" si="51"/>
        <v>0</v>
      </c>
      <c r="AM28" s="286">
        <v>0</v>
      </c>
      <c r="AN28" s="286">
        <f t="shared" si="52"/>
        <v>0</v>
      </c>
      <c r="AO28" s="286">
        <f t="shared" si="31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2.1.14'!Q25</f>
        <v>0</v>
      </c>
      <c r="D29" s="201">
        <f>+'Table 5C1A-Madison Prep'!D29</f>
        <v>5011.0215265979159</v>
      </c>
      <c r="E29" s="202">
        <f t="shared" si="32"/>
        <v>0</v>
      </c>
      <c r="F29" s="202">
        <f>+'Table 5C1A-Madison Prep'!F29</f>
        <v>688.58</v>
      </c>
      <c r="G29" s="202">
        <f t="shared" si="33"/>
        <v>0</v>
      </c>
      <c r="H29" s="345">
        <f t="shared" si="34"/>
        <v>0</v>
      </c>
      <c r="I29" s="203">
        <f>'[1]Oct midyear Jefferson Cham'!K26</f>
        <v>0</v>
      </c>
      <c r="J29" s="203">
        <f>'[1]Feb midyear Jefferson Cham'!K26</f>
        <v>0</v>
      </c>
      <c r="K29" s="204">
        <f t="shared" si="35"/>
        <v>0</v>
      </c>
      <c r="L29" s="345">
        <f t="shared" si="36"/>
        <v>0</v>
      </c>
      <c r="M29" s="286">
        <f t="shared" si="28"/>
        <v>0</v>
      </c>
      <c r="N29" s="345">
        <f t="shared" si="37"/>
        <v>0</v>
      </c>
      <c r="O29" s="201">
        <v>0</v>
      </c>
      <c r="P29" s="351">
        <f t="shared" si="38"/>
        <v>0</v>
      </c>
      <c r="Q29" s="203">
        <f>8*'[2]Table 5C1J-Jefferson Chamber'!S29</f>
        <v>0</v>
      </c>
      <c r="R29" s="203">
        <f t="shared" si="39"/>
        <v>0</v>
      </c>
      <c r="S29" s="351">
        <f t="shared" si="29"/>
        <v>0</v>
      </c>
      <c r="T29" s="351">
        <f t="shared" si="40"/>
        <v>0</v>
      </c>
      <c r="U29" s="287">
        <f>'Table 5C1A-Madison Prep'!U29</f>
        <v>3500</v>
      </c>
      <c r="V29" s="328">
        <f t="shared" si="41"/>
        <v>0</v>
      </c>
      <c r="W29" s="289">
        <f>'[1]Oct midyear Jefferson Cham'!E26</f>
        <v>0</v>
      </c>
      <c r="X29" s="290">
        <f t="shared" si="42"/>
        <v>0</v>
      </c>
      <c r="Y29" s="289">
        <f>'[1]Feb midyear Jefferson Cham'!E26</f>
        <v>0</v>
      </c>
      <c r="Z29" s="290">
        <f t="shared" si="43"/>
        <v>0</v>
      </c>
      <c r="AA29" s="288">
        <f t="shared" si="44"/>
        <v>0</v>
      </c>
      <c r="AB29" s="324">
        <f t="shared" si="45"/>
        <v>0</v>
      </c>
      <c r="AC29" s="292">
        <f t="shared" si="46"/>
        <v>0</v>
      </c>
      <c r="AD29" s="324">
        <f t="shared" si="47"/>
        <v>0</v>
      </c>
      <c r="AE29" s="293">
        <v>0</v>
      </c>
      <c r="AF29" s="324">
        <f t="shared" si="48"/>
        <v>0</v>
      </c>
      <c r="AG29" s="293">
        <f>8*'[2]Table 5C1J-Jefferson Chamber'!AI29</f>
        <v>0</v>
      </c>
      <c r="AH29" s="293">
        <f t="shared" si="49"/>
        <v>0</v>
      </c>
      <c r="AI29" s="324">
        <f t="shared" si="30"/>
        <v>0</v>
      </c>
      <c r="AJ29" s="321">
        <f t="shared" si="50"/>
        <v>0</v>
      </c>
      <c r="AK29" s="342">
        <f t="shared" si="51"/>
        <v>0</v>
      </c>
      <c r="AM29" s="286">
        <v>0</v>
      </c>
      <c r="AN29" s="286">
        <f t="shared" si="52"/>
        <v>0</v>
      </c>
      <c r="AO29" s="286">
        <f t="shared" si="31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2.1.14'!Q26</f>
        <v>0</v>
      </c>
      <c r="D30" s="201">
        <f>+'Table 5C1A-Madison Prep'!D30</f>
        <v>2611.6740361576999</v>
      </c>
      <c r="E30" s="202">
        <f t="shared" si="32"/>
        <v>0</v>
      </c>
      <c r="F30" s="202">
        <f>+'Table 5C1A-Madison Prep'!F30</f>
        <v>854.24999999999989</v>
      </c>
      <c r="G30" s="202">
        <f t="shared" si="33"/>
        <v>0</v>
      </c>
      <c r="H30" s="345">
        <f t="shared" si="34"/>
        <v>0</v>
      </c>
      <c r="I30" s="203">
        <f>'[1]Oct midyear Jefferson Cham'!K27</f>
        <v>0</v>
      </c>
      <c r="J30" s="203">
        <f>'[1]Feb midyear Jefferson Cham'!K27</f>
        <v>0</v>
      </c>
      <c r="K30" s="204">
        <f t="shared" si="35"/>
        <v>0</v>
      </c>
      <c r="L30" s="345">
        <f t="shared" si="36"/>
        <v>0</v>
      </c>
      <c r="M30" s="286">
        <f t="shared" si="28"/>
        <v>0</v>
      </c>
      <c r="N30" s="345">
        <f t="shared" si="37"/>
        <v>0</v>
      </c>
      <c r="O30" s="201">
        <v>0</v>
      </c>
      <c r="P30" s="351">
        <f t="shared" si="38"/>
        <v>0</v>
      </c>
      <c r="Q30" s="203">
        <f>8*'[2]Table 5C1J-Jefferson Chamber'!S30</f>
        <v>0</v>
      </c>
      <c r="R30" s="203">
        <f t="shared" si="39"/>
        <v>0</v>
      </c>
      <c r="S30" s="351">
        <f t="shared" si="29"/>
        <v>0</v>
      </c>
      <c r="T30" s="351">
        <f t="shared" si="40"/>
        <v>0</v>
      </c>
      <c r="U30" s="287">
        <f>'Table 5C1A-Madison Prep'!U30</f>
        <v>11051</v>
      </c>
      <c r="V30" s="328">
        <f t="shared" si="41"/>
        <v>0</v>
      </c>
      <c r="W30" s="289">
        <f>'[1]Oct midyear Jefferson Cham'!E27</f>
        <v>0</v>
      </c>
      <c r="X30" s="290">
        <f t="shared" si="42"/>
        <v>0</v>
      </c>
      <c r="Y30" s="289">
        <f>'[1]Feb midyear Jefferson Cham'!E27</f>
        <v>0</v>
      </c>
      <c r="Z30" s="290">
        <f t="shared" si="43"/>
        <v>0</v>
      </c>
      <c r="AA30" s="288">
        <f t="shared" si="44"/>
        <v>0</v>
      </c>
      <c r="AB30" s="324">
        <f t="shared" si="45"/>
        <v>0</v>
      </c>
      <c r="AC30" s="292">
        <f t="shared" si="46"/>
        <v>0</v>
      </c>
      <c r="AD30" s="324">
        <f t="shared" si="47"/>
        <v>0</v>
      </c>
      <c r="AE30" s="293">
        <v>0</v>
      </c>
      <c r="AF30" s="324">
        <f t="shared" si="48"/>
        <v>0</v>
      </c>
      <c r="AG30" s="293">
        <f>8*'[2]Table 5C1J-Jefferson Chamber'!AI30</f>
        <v>0</v>
      </c>
      <c r="AH30" s="293">
        <f t="shared" si="49"/>
        <v>0</v>
      </c>
      <c r="AI30" s="324">
        <f t="shared" si="30"/>
        <v>0</v>
      </c>
      <c r="AJ30" s="321">
        <f t="shared" si="50"/>
        <v>0</v>
      </c>
      <c r="AK30" s="342">
        <f t="shared" si="51"/>
        <v>0</v>
      </c>
      <c r="AM30" s="286">
        <v>0</v>
      </c>
      <c r="AN30" s="286">
        <f t="shared" si="52"/>
        <v>0</v>
      </c>
      <c r="AO30" s="286">
        <f t="shared" si="31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2.1.14'!Q27</f>
        <v>0</v>
      </c>
      <c r="D31" s="194">
        <f>+'Table 5C1A-Madison Prep'!D31</f>
        <v>4173.0720274945697</v>
      </c>
      <c r="E31" s="195">
        <f t="shared" si="32"/>
        <v>0</v>
      </c>
      <c r="F31" s="195">
        <f>+'Table 5C1A-Madison Prep'!F31</f>
        <v>653.73</v>
      </c>
      <c r="G31" s="195">
        <f t="shared" si="33"/>
        <v>0</v>
      </c>
      <c r="H31" s="346">
        <f t="shared" si="34"/>
        <v>0</v>
      </c>
      <c r="I31" s="196">
        <f>'[1]Oct midyear Jefferson Cham'!K28</f>
        <v>0</v>
      </c>
      <c r="J31" s="196">
        <f>'[1]Feb midyear Jefferson Cham'!K28</f>
        <v>0</v>
      </c>
      <c r="K31" s="197">
        <f t="shared" si="35"/>
        <v>0</v>
      </c>
      <c r="L31" s="346">
        <f t="shared" si="36"/>
        <v>0</v>
      </c>
      <c r="M31" s="296">
        <f t="shared" si="28"/>
        <v>0</v>
      </c>
      <c r="N31" s="346">
        <f t="shared" si="37"/>
        <v>0</v>
      </c>
      <c r="O31" s="194">
        <v>0</v>
      </c>
      <c r="P31" s="352">
        <f t="shared" si="38"/>
        <v>0</v>
      </c>
      <c r="Q31" s="196">
        <f>8*'[2]Table 5C1J-Jefferson Chamber'!S31</f>
        <v>0</v>
      </c>
      <c r="R31" s="196">
        <f t="shared" si="39"/>
        <v>0</v>
      </c>
      <c r="S31" s="352">
        <f t="shared" si="29"/>
        <v>0</v>
      </c>
      <c r="T31" s="352">
        <f t="shared" si="40"/>
        <v>0</v>
      </c>
      <c r="U31" s="281">
        <f>'Table 5C1A-Madison Prep'!U31</f>
        <v>5156</v>
      </c>
      <c r="V31" s="329">
        <f t="shared" si="41"/>
        <v>0</v>
      </c>
      <c r="W31" s="884">
        <f>'[1]Oct midyear Jefferson Cham'!E28</f>
        <v>0</v>
      </c>
      <c r="X31" s="282">
        <f t="shared" si="42"/>
        <v>0</v>
      </c>
      <c r="Y31" s="884">
        <f>'[1]Feb midyear Jefferson Cham'!E28</f>
        <v>0</v>
      </c>
      <c r="Z31" s="282">
        <f t="shared" si="43"/>
        <v>0</v>
      </c>
      <c r="AA31" s="283">
        <f t="shared" si="44"/>
        <v>0</v>
      </c>
      <c r="AB31" s="325">
        <f t="shared" si="45"/>
        <v>0</v>
      </c>
      <c r="AC31" s="298">
        <f t="shared" si="46"/>
        <v>0</v>
      </c>
      <c r="AD31" s="325">
        <f t="shared" si="47"/>
        <v>0</v>
      </c>
      <c r="AE31" s="284">
        <v>0</v>
      </c>
      <c r="AF31" s="325">
        <f t="shared" si="48"/>
        <v>0</v>
      </c>
      <c r="AG31" s="284">
        <f>8*'[2]Table 5C1J-Jefferson Chamber'!AI31</f>
        <v>0</v>
      </c>
      <c r="AH31" s="284">
        <f t="shared" si="49"/>
        <v>0</v>
      </c>
      <c r="AI31" s="325">
        <f t="shared" si="30"/>
        <v>0</v>
      </c>
      <c r="AJ31" s="338">
        <f t="shared" si="50"/>
        <v>0</v>
      </c>
      <c r="AK31" s="343">
        <f t="shared" si="51"/>
        <v>0</v>
      </c>
      <c r="AM31" s="296">
        <v>0</v>
      </c>
      <c r="AN31" s="296">
        <f t="shared" si="52"/>
        <v>0</v>
      </c>
      <c r="AO31" s="296">
        <f t="shared" si="31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2.1.14'!Q28</f>
        <v>91</v>
      </c>
      <c r="D32" s="208">
        <f>+'Table 5C1A-Madison Prep'!D32</f>
        <v>3424.5649970570835</v>
      </c>
      <c r="E32" s="209">
        <f t="shared" si="32"/>
        <v>311635.41473219462</v>
      </c>
      <c r="F32" s="209">
        <f>+'Table 5C1A-Madison Prep'!F32</f>
        <v>836.83</v>
      </c>
      <c r="G32" s="209">
        <f t="shared" si="33"/>
        <v>76151.53</v>
      </c>
      <c r="H32" s="344">
        <f t="shared" si="34"/>
        <v>387786.94473219465</v>
      </c>
      <c r="I32" s="210">
        <f>'[1]Oct midyear Jefferson Cham'!K29</f>
        <v>29829.764979399588</v>
      </c>
      <c r="J32" s="210">
        <f>'[1]Feb midyear Jefferson Cham'!K29</f>
        <v>2130.6974985285419</v>
      </c>
      <c r="K32" s="211">
        <f t="shared" si="35"/>
        <v>31960.462477928129</v>
      </c>
      <c r="L32" s="344">
        <f t="shared" si="36"/>
        <v>419747.40721012279</v>
      </c>
      <c r="M32" s="273">
        <f t="shared" si="28"/>
        <v>-1049.3685180253069</v>
      </c>
      <c r="N32" s="344">
        <f t="shared" si="37"/>
        <v>418698.03869209747</v>
      </c>
      <c r="O32" s="208">
        <v>0</v>
      </c>
      <c r="P32" s="350">
        <f t="shared" si="38"/>
        <v>418698.03869209747</v>
      </c>
      <c r="Q32" s="210">
        <f>8*'[2]Table 5C1J-Jefferson Chamber'!S32</f>
        <v>257880</v>
      </c>
      <c r="R32" s="210">
        <f t="shared" si="39"/>
        <v>160818.03869209747</v>
      </c>
      <c r="S32" s="350">
        <f t="shared" si="29"/>
        <v>40205</v>
      </c>
      <c r="T32" s="350">
        <f t="shared" si="40"/>
        <v>418698.03869209747</v>
      </c>
      <c r="U32" s="274">
        <f>'Table 5C1A-Madison Prep'!U32</f>
        <v>5153</v>
      </c>
      <c r="V32" s="327">
        <f t="shared" si="41"/>
        <v>468923</v>
      </c>
      <c r="W32" s="883">
        <f>'[1]Oct midyear Jefferson Cham'!E29</f>
        <v>7</v>
      </c>
      <c r="X32" s="276">
        <f t="shared" si="42"/>
        <v>36071</v>
      </c>
      <c r="Y32" s="883">
        <f>'[1]Feb midyear Jefferson Cham'!E29</f>
        <v>1</v>
      </c>
      <c r="Z32" s="276">
        <f t="shared" si="43"/>
        <v>2576.5</v>
      </c>
      <c r="AA32" s="275">
        <f t="shared" si="44"/>
        <v>38647.5</v>
      </c>
      <c r="AB32" s="323">
        <f t="shared" si="45"/>
        <v>507570.5</v>
      </c>
      <c r="AC32" s="278">
        <f t="shared" si="46"/>
        <v>-1268.92625</v>
      </c>
      <c r="AD32" s="323">
        <f t="shared" si="47"/>
        <v>506301.57374999998</v>
      </c>
      <c r="AE32" s="279">
        <v>0</v>
      </c>
      <c r="AF32" s="323">
        <f t="shared" si="48"/>
        <v>506301.57374999998</v>
      </c>
      <c r="AG32" s="279">
        <f>8*'[2]Table 5C1J-Jefferson Chamber'!AI32</f>
        <v>318312</v>
      </c>
      <c r="AH32" s="279">
        <f t="shared" si="49"/>
        <v>187989.57374999998</v>
      </c>
      <c r="AI32" s="323">
        <f t="shared" si="30"/>
        <v>46997</v>
      </c>
      <c r="AJ32" s="337">
        <f t="shared" si="50"/>
        <v>924999.61244209739</v>
      </c>
      <c r="AK32" s="341">
        <f t="shared" si="51"/>
        <v>87202</v>
      </c>
      <c r="AM32" s="273">
        <v>-1196.6500000000001</v>
      </c>
      <c r="AN32" s="273">
        <f t="shared" si="52"/>
        <v>-1268.92625</v>
      </c>
      <c r="AO32" s="273">
        <f t="shared" si="31"/>
        <v>-72.276249999999891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2.1.14'!Q29</f>
        <v>0</v>
      </c>
      <c r="D33" s="201">
        <f>+'Table 5C1A-Madison Prep'!D33</f>
        <v>5804.9013839977006</v>
      </c>
      <c r="E33" s="202">
        <f t="shared" si="32"/>
        <v>0</v>
      </c>
      <c r="F33" s="202">
        <f>+'Table 5C1A-Madison Prep'!F33</f>
        <v>693.06</v>
      </c>
      <c r="G33" s="202">
        <f t="shared" si="33"/>
        <v>0</v>
      </c>
      <c r="H33" s="345">
        <f t="shared" si="34"/>
        <v>0</v>
      </c>
      <c r="I33" s="203">
        <f>'[1]Oct midyear Jefferson Cham'!K30</f>
        <v>0</v>
      </c>
      <c r="J33" s="203">
        <f>'[1]Feb midyear Jefferson Cham'!K30</f>
        <v>0</v>
      </c>
      <c r="K33" s="204">
        <f t="shared" si="35"/>
        <v>0</v>
      </c>
      <c r="L33" s="345">
        <f t="shared" si="36"/>
        <v>0</v>
      </c>
      <c r="M33" s="286">
        <f t="shared" si="28"/>
        <v>0</v>
      </c>
      <c r="N33" s="345">
        <f t="shared" si="37"/>
        <v>0</v>
      </c>
      <c r="O33" s="201">
        <v>0</v>
      </c>
      <c r="P33" s="351">
        <f t="shared" si="38"/>
        <v>0</v>
      </c>
      <c r="Q33" s="203">
        <f>8*'[2]Table 5C1J-Jefferson Chamber'!S33</f>
        <v>0</v>
      </c>
      <c r="R33" s="203">
        <f t="shared" si="39"/>
        <v>0</v>
      </c>
      <c r="S33" s="351">
        <f t="shared" si="29"/>
        <v>0</v>
      </c>
      <c r="T33" s="351">
        <f t="shared" si="40"/>
        <v>0</v>
      </c>
      <c r="U33" s="287">
        <f>'Table 5C1A-Madison Prep'!U33</f>
        <v>3225</v>
      </c>
      <c r="V33" s="328">
        <f t="shared" si="41"/>
        <v>0</v>
      </c>
      <c r="W33" s="289">
        <f>'[1]Oct midyear Jefferson Cham'!E30</f>
        <v>0</v>
      </c>
      <c r="X33" s="290">
        <f t="shared" si="42"/>
        <v>0</v>
      </c>
      <c r="Y33" s="289">
        <f>'[1]Feb midyear Jefferson Cham'!E30</f>
        <v>0</v>
      </c>
      <c r="Z33" s="290">
        <f t="shared" si="43"/>
        <v>0</v>
      </c>
      <c r="AA33" s="288">
        <f t="shared" si="44"/>
        <v>0</v>
      </c>
      <c r="AB33" s="324">
        <f t="shared" si="45"/>
        <v>0</v>
      </c>
      <c r="AC33" s="292">
        <f t="shared" si="46"/>
        <v>0</v>
      </c>
      <c r="AD33" s="324">
        <f t="shared" si="47"/>
        <v>0</v>
      </c>
      <c r="AE33" s="293">
        <v>0</v>
      </c>
      <c r="AF33" s="324">
        <f t="shared" si="48"/>
        <v>0</v>
      </c>
      <c r="AG33" s="293">
        <f>8*'[2]Table 5C1J-Jefferson Chamber'!AI33</f>
        <v>0</v>
      </c>
      <c r="AH33" s="293">
        <f t="shared" si="49"/>
        <v>0</v>
      </c>
      <c r="AI33" s="324">
        <f t="shared" si="30"/>
        <v>0</v>
      </c>
      <c r="AJ33" s="321">
        <f t="shared" si="50"/>
        <v>0</v>
      </c>
      <c r="AK33" s="342">
        <f t="shared" si="51"/>
        <v>0</v>
      </c>
      <c r="AM33" s="286">
        <v>0</v>
      </c>
      <c r="AN33" s="286">
        <f t="shared" si="52"/>
        <v>0</v>
      </c>
      <c r="AO33" s="286">
        <f t="shared" si="31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2.1.14'!Q30</f>
        <v>0</v>
      </c>
      <c r="D34" s="201">
        <f>+'Table 5C1A-Madison Prep'!D34</f>
        <v>3137.4158846568821</v>
      </c>
      <c r="E34" s="202">
        <f t="shared" si="32"/>
        <v>0</v>
      </c>
      <c r="F34" s="202">
        <f>+'Table 5C1A-Madison Prep'!F34</f>
        <v>694.4</v>
      </c>
      <c r="G34" s="202">
        <f t="shared" si="33"/>
        <v>0</v>
      </c>
      <c r="H34" s="345">
        <f t="shared" si="34"/>
        <v>0</v>
      </c>
      <c r="I34" s="203">
        <f>'[1]Oct midyear Jefferson Cham'!K31</f>
        <v>0</v>
      </c>
      <c r="J34" s="203">
        <f>'[1]Feb midyear Jefferson Cham'!K31</f>
        <v>0</v>
      </c>
      <c r="K34" s="204">
        <f t="shared" si="35"/>
        <v>0</v>
      </c>
      <c r="L34" s="345">
        <f t="shared" si="36"/>
        <v>0</v>
      </c>
      <c r="M34" s="286">
        <f t="shared" si="28"/>
        <v>0</v>
      </c>
      <c r="N34" s="345">
        <f t="shared" si="37"/>
        <v>0</v>
      </c>
      <c r="O34" s="201">
        <v>0</v>
      </c>
      <c r="P34" s="351">
        <f t="shared" si="38"/>
        <v>0</v>
      </c>
      <c r="Q34" s="203">
        <f>8*'[2]Table 5C1J-Jefferson Chamber'!S34</f>
        <v>0</v>
      </c>
      <c r="R34" s="203">
        <f t="shared" si="39"/>
        <v>0</v>
      </c>
      <c r="S34" s="351">
        <f t="shared" si="29"/>
        <v>0</v>
      </c>
      <c r="T34" s="351">
        <f t="shared" si="40"/>
        <v>0</v>
      </c>
      <c r="U34" s="287">
        <f>'Table 5C1A-Madison Prep'!U34</f>
        <v>5816</v>
      </c>
      <c r="V34" s="328">
        <f t="shared" si="41"/>
        <v>0</v>
      </c>
      <c r="W34" s="289">
        <f>'[1]Oct midyear Jefferson Cham'!E31</f>
        <v>0</v>
      </c>
      <c r="X34" s="290">
        <f t="shared" si="42"/>
        <v>0</v>
      </c>
      <c r="Y34" s="289">
        <f>'[1]Feb midyear Jefferson Cham'!E31</f>
        <v>0</v>
      </c>
      <c r="Z34" s="290">
        <f t="shared" si="43"/>
        <v>0</v>
      </c>
      <c r="AA34" s="288">
        <f t="shared" si="44"/>
        <v>0</v>
      </c>
      <c r="AB34" s="324">
        <f t="shared" si="45"/>
        <v>0</v>
      </c>
      <c r="AC34" s="292">
        <f t="shared" si="46"/>
        <v>0</v>
      </c>
      <c r="AD34" s="324">
        <f t="shared" si="47"/>
        <v>0</v>
      </c>
      <c r="AE34" s="293">
        <v>0</v>
      </c>
      <c r="AF34" s="324">
        <f t="shared" si="48"/>
        <v>0</v>
      </c>
      <c r="AG34" s="293">
        <f>8*'[2]Table 5C1J-Jefferson Chamber'!AI34</f>
        <v>0</v>
      </c>
      <c r="AH34" s="293">
        <f t="shared" si="49"/>
        <v>0</v>
      </c>
      <c r="AI34" s="324">
        <f t="shared" si="30"/>
        <v>0</v>
      </c>
      <c r="AJ34" s="321">
        <f t="shared" si="50"/>
        <v>0</v>
      </c>
      <c r="AK34" s="342">
        <f t="shared" si="51"/>
        <v>0</v>
      </c>
      <c r="AM34" s="286">
        <v>0</v>
      </c>
      <c r="AN34" s="286">
        <f t="shared" si="52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2.1.14'!Q31</f>
        <v>0</v>
      </c>
      <c r="D35" s="201">
        <f>+'Table 5C1A-Madison Prep'!D35</f>
        <v>3839.0123210173724</v>
      </c>
      <c r="E35" s="202">
        <f t="shared" si="32"/>
        <v>0</v>
      </c>
      <c r="F35" s="202">
        <f>+'Table 5C1A-Madison Prep'!F35</f>
        <v>754.94999999999993</v>
      </c>
      <c r="G35" s="202">
        <f t="shared" si="33"/>
        <v>0</v>
      </c>
      <c r="H35" s="345">
        <f t="shared" si="34"/>
        <v>0</v>
      </c>
      <c r="I35" s="203">
        <f>'[1]Oct midyear Jefferson Cham'!K32</f>
        <v>0</v>
      </c>
      <c r="J35" s="203">
        <f>'[1]Feb midyear Jefferson Cham'!K32</f>
        <v>0</v>
      </c>
      <c r="K35" s="204">
        <f t="shared" si="35"/>
        <v>0</v>
      </c>
      <c r="L35" s="345">
        <f t="shared" si="36"/>
        <v>0</v>
      </c>
      <c r="M35" s="286">
        <f t="shared" si="28"/>
        <v>0</v>
      </c>
      <c r="N35" s="345">
        <f t="shared" si="37"/>
        <v>0</v>
      </c>
      <c r="O35" s="201">
        <v>0</v>
      </c>
      <c r="P35" s="351">
        <f t="shared" si="38"/>
        <v>0</v>
      </c>
      <c r="Q35" s="203">
        <f>8*'[2]Table 5C1J-Jefferson Chamber'!S35</f>
        <v>0</v>
      </c>
      <c r="R35" s="203">
        <f t="shared" si="39"/>
        <v>0</v>
      </c>
      <c r="S35" s="351">
        <f t="shared" si="29"/>
        <v>0</v>
      </c>
      <c r="T35" s="351">
        <f t="shared" si="40"/>
        <v>0</v>
      </c>
      <c r="U35" s="287">
        <f>'Table 5C1A-Madison Prep'!U35</f>
        <v>5046</v>
      </c>
      <c r="V35" s="328">
        <f t="shared" si="41"/>
        <v>0</v>
      </c>
      <c r="W35" s="289">
        <f>'[1]Oct midyear Jefferson Cham'!E32</f>
        <v>0</v>
      </c>
      <c r="X35" s="290">
        <f t="shared" si="42"/>
        <v>0</v>
      </c>
      <c r="Y35" s="289">
        <f>'[1]Feb midyear Jefferson Cham'!E32</f>
        <v>0</v>
      </c>
      <c r="Z35" s="290">
        <f t="shared" si="43"/>
        <v>0</v>
      </c>
      <c r="AA35" s="288">
        <f t="shared" si="44"/>
        <v>0</v>
      </c>
      <c r="AB35" s="324">
        <f t="shared" si="45"/>
        <v>0</v>
      </c>
      <c r="AC35" s="292">
        <f t="shared" si="46"/>
        <v>0</v>
      </c>
      <c r="AD35" s="324">
        <f t="shared" si="47"/>
        <v>0</v>
      </c>
      <c r="AE35" s="293">
        <v>0</v>
      </c>
      <c r="AF35" s="324">
        <f t="shared" si="48"/>
        <v>0</v>
      </c>
      <c r="AG35" s="293">
        <f>8*'[2]Table 5C1J-Jefferson Chamber'!AI35</f>
        <v>0</v>
      </c>
      <c r="AH35" s="293">
        <f t="shared" si="49"/>
        <v>0</v>
      </c>
      <c r="AI35" s="324">
        <f t="shared" si="30"/>
        <v>0</v>
      </c>
      <c r="AJ35" s="321">
        <f t="shared" si="50"/>
        <v>0</v>
      </c>
      <c r="AK35" s="342">
        <f t="shared" si="51"/>
        <v>0</v>
      </c>
      <c r="AM35" s="286">
        <v>0</v>
      </c>
      <c r="AN35" s="286">
        <f t="shared" si="52"/>
        <v>0</v>
      </c>
      <c r="AO35" s="286">
        <f t="shared" ref="AO35:AO75" si="53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2.1.14'!Q32</f>
        <v>0</v>
      </c>
      <c r="D36" s="194">
        <f>+'Table 5C1A-Madison Prep'!D36</f>
        <v>5804.5327273996763</v>
      </c>
      <c r="E36" s="195">
        <f t="shared" si="32"/>
        <v>0</v>
      </c>
      <c r="F36" s="195">
        <f>+'Table 5C1A-Madison Prep'!F36</f>
        <v>727.17</v>
      </c>
      <c r="G36" s="195">
        <f t="shared" si="33"/>
        <v>0</v>
      </c>
      <c r="H36" s="346">
        <f t="shared" si="34"/>
        <v>0</v>
      </c>
      <c r="I36" s="196">
        <f>'[1]Oct midyear Jefferson Cham'!K33</f>
        <v>0</v>
      </c>
      <c r="J36" s="196">
        <f>'[1]Feb midyear Jefferson Cham'!K33</f>
        <v>0</v>
      </c>
      <c r="K36" s="197">
        <f t="shared" si="35"/>
        <v>0</v>
      </c>
      <c r="L36" s="346">
        <f t="shared" si="36"/>
        <v>0</v>
      </c>
      <c r="M36" s="296">
        <f t="shared" si="28"/>
        <v>0</v>
      </c>
      <c r="N36" s="346">
        <f t="shared" si="37"/>
        <v>0</v>
      </c>
      <c r="O36" s="194">
        <v>0</v>
      </c>
      <c r="P36" s="352">
        <f t="shared" si="38"/>
        <v>0</v>
      </c>
      <c r="Q36" s="196">
        <f>8*'[2]Table 5C1J-Jefferson Chamber'!S36</f>
        <v>0</v>
      </c>
      <c r="R36" s="196">
        <f t="shared" si="39"/>
        <v>0</v>
      </c>
      <c r="S36" s="352">
        <f t="shared" si="29"/>
        <v>0</v>
      </c>
      <c r="T36" s="352">
        <f t="shared" si="40"/>
        <v>0</v>
      </c>
      <c r="U36" s="281">
        <f>'Table 5C1A-Madison Prep'!U36</f>
        <v>3999</v>
      </c>
      <c r="V36" s="329">
        <f t="shared" si="41"/>
        <v>0</v>
      </c>
      <c r="W36" s="884">
        <f>'[1]Oct midyear Jefferson Cham'!E33</f>
        <v>0</v>
      </c>
      <c r="X36" s="282">
        <f t="shared" si="42"/>
        <v>0</v>
      </c>
      <c r="Y36" s="884">
        <f>'[1]Feb midyear Jefferson Cham'!E33</f>
        <v>0</v>
      </c>
      <c r="Z36" s="282">
        <f t="shared" si="43"/>
        <v>0</v>
      </c>
      <c r="AA36" s="283">
        <f t="shared" si="44"/>
        <v>0</v>
      </c>
      <c r="AB36" s="325">
        <f t="shared" si="45"/>
        <v>0</v>
      </c>
      <c r="AC36" s="298">
        <f t="shared" si="46"/>
        <v>0</v>
      </c>
      <c r="AD36" s="325">
        <f t="shared" si="47"/>
        <v>0</v>
      </c>
      <c r="AE36" s="284">
        <v>0</v>
      </c>
      <c r="AF36" s="325">
        <f t="shared" si="48"/>
        <v>0</v>
      </c>
      <c r="AG36" s="284">
        <f>8*'[2]Table 5C1J-Jefferson Chamber'!AI36</f>
        <v>0</v>
      </c>
      <c r="AH36" s="284">
        <f t="shared" si="49"/>
        <v>0</v>
      </c>
      <c r="AI36" s="325">
        <f t="shared" si="30"/>
        <v>0</v>
      </c>
      <c r="AJ36" s="338">
        <f t="shared" si="50"/>
        <v>0</v>
      </c>
      <c r="AK36" s="343">
        <f t="shared" si="51"/>
        <v>0</v>
      </c>
      <c r="AM36" s="296">
        <v>0</v>
      </c>
      <c r="AN36" s="296">
        <f t="shared" si="52"/>
        <v>0</v>
      </c>
      <c r="AO36" s="296">
        <f t="shared" si="53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2.1.14'!Q33</f>
        <v>0</v>
      </c>
      <c r="D37" s="208">
        <f>+'Table 5C1A-Madison Prep'!D37</f>
        <v>4520.6176716868531</v>
      </c>
      <c r="E37" s="209">
        <f t="shared" si="32"/>
        <v>0</v>
      </c>
      <c r="F37" s="209">
        <f>+'Table 5C1A-Madison Prep'!F37</f>
        <v>620.83000000000004</v>
      </c>
      <c r="G37" s="209">
        <f t="shared" si="33"/>
        <v>0</v>
      </c>
      <c r="H37" s="344">
        <f t="shared" si="34"/>
        <v>0</v>
      </c>
      <c r="I37" s="210">
        <f>'[1]Oct midyear Jefferson Cham'!K34</f>
        <v>0</v>
      </c>
      <c r="J37" s="210">
        <f>'[1]Feb midyear Jefferson Cham'!K34</f>
        <v>0</v>
      </c>
      <c r="K37" s="211">
        <f t="shared" si="35"/>
        <v>0</v>
      </c>
      <c r="L37" s="344">
        <f t="shared" si="36"/>
        <v>0</v>
      </c>
      <c r="M37" s="273">
        <f t="shared" si="28"/>
        <v>0</v>
      </c>
      <c r="N37" s="344">
        <f t="shared" si="37"/>
        <v>0</v>
      </c>
      <c r="O37" s="208">
        <v>0</v>
      </c>
      <c r="P37" s="350">
        <f t="shared" si="38"/>
        <v>0</v>
      </c>
      <c r="Q37" s="210">
        <f>8*'[2]Table 5C1J-Jefferson Chamber'!S37</f>
        <v>0</v>
      </c>
      <c r="R37" s="210">
        <f t="shared" si="39"/>
        <v>0</v>
      </c>
      <c r="S37" s="350">
        <f t="shared" si="29"/>
        <v>0</v>
      </c>
      <c r="T37" s="350">
        <f t="shared" si="40"/>
        <v>0</v>
      </c>
      <c r="U37" s="274">
        <f>'Table 5C1A-Madison Prep'!U37</f>
        <v>5028</v>
      </c>
      <c r="V37" s="327">
        <f t="shared" si="41"/>
        <v>0</v>
      </c>
      <c r="W37" s="883">
        <f>'[1]Oct midyear Jefferson Cham'!E34</f>
        <v>0</v>
      </c>
      <c r="X37" s="276">
        <f t="shared" si="42"/>
        <v>0</v>
      </c>
      <c r="Y37" s="883">
        <f>'[1]Feb midyear Jefferson Cham'!E34</f>
        <v>0</v>
      </c>
      <c r="Z37" s="276">
        <f t="shared" si="43"/>
        <v>0</v>
      </c>
      <c r="AA37" s="275">
        <f t="shared" si="44"/>
        <v>0</v>
      </c>
      <c r="AB37" s="323">
        <f t="shared" si="45"/>
        <v>0</v>
      </c>
      <c r="AC37" s="278">
        <f t="shared" si="46"/>
        <v>0</v>
      </c>
      <c r="AD37" s="323">
        <f t="shared" si="47"/>
        <v>0</v>
      </c>
      <c r="AE37" s="279">
        <v>0</v>
      </c>
      <c r="AF37" s="323">
        <f t="shared" si="48"/>
        <v>0</v>
      </c>
      <c r="AG37" s="279">
        <f>8*'[2]Table 5C1J-Jefferson Chamber'!AI37</f>
        <v>0</v>
      </c>
      <c r="AH37" s="279">
        <f t="shared" si="49"/>
        <v>0</v>
      </c>
      <c r="AI37" s="323">
        <f t="shared" si="30"/>
        <v>0</v>
      </c>
      <c r="AJ37" s="337">
        <f t="shared" si="50"/>
        <v>0</v>
      </c>
      <c r="AK37" s="341">
        <f t="shared" si="51"/>
        <v>0</v>
      </c>
      <c r="AM37" s="273">
        <v>0</v>
      </c>
      <c r="AN37" s="273">
        <f t="shared" si="52"/>
        <v>0</v>
      </c>
      <c r="AO37" s="273">
        <f t="shared" si="53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2.1.14'!Q34</f>
        <v>0</v>
      </c>
      <c r="D38" s="201">
        <f>+'Table 5C1A-Madison Prep'!D38</f>
        <v>5652.819189061127</v>
      </c>
      <c r="E38" s="202">
        <f t="shared" si="32"/>
        <v>0</v>
      </c>
      <c r="F38" s="202">
        <f>+'Table 5C1A-Madison Prep'!F38</f>
        <v>559.77</v>
      </c>
      <c r="G38" s="202">
        <f t="shared" si="33"/>
        <v>0</v>
      </c>
      <c r="H38" s="345">
        <f t="shared" si="34"/>
        <v>0</v>
      </c>
      <c r="I38" s="203">
        <f>'[1]Oct midyear Jefferson Cham'!K35</f>
        <v>0</v>
      </c>
      <c r="J38" s="203">
        <f>'[1]Feb midyear Jefferson Cham'!K35</f>
        <v>0</v>
      </c>
      <c r="K38" s="204">
        <f t="shared" si="35"/>
        <v>0</v>
      </c>
      <c r="L38" s="345">
        <f t="shared" si="36"/>
        <v>0</v>
      </c>
      <c r="M38" s="286">
        <f t="shared" si="28"/>
        <v>0</v>
      </c>
      <c r="N38" s="345">
        <f t="shared" si="37"/>
        <v>0</v>
      </c>
      <c r="O38" s="201">
        <v>0</v>
      </c>
      <c r="P38" s="351">
        <f t="shared" si="38"/>
        <v>0</v>
      </c>
      <c r="Q38" s="203">
        <f>8*'[2]Table 5C1J-Jefferson Chamber'!S38</f>
        <v>0</v>
      </c>
      <c r="R38" s="203">
        <f t="shared" si="39"/>
        <v>0</v>
      </c>
      <c r="S38" s="351">
        <f t="shared" si="29"/>
        <v>0</v>
      </c>
      <c r="T38" s="351">
        <f t="shared" si="40"/>
        <v>0</v>
      </c>
      <c r="U38" s="287">
        <f>'Table 5C1A-Madison Prep'!U38</f>
        <v>2139</v>
      </c>
      <c r="V38" s="328">
        <f t="shared" si="41"/>
        <v>0</v>
      </c>
      <c r="W38" s="289">
        <f>'[1]Oct midyear Jefferson Cham'!E35</f>
        <v>0</v>
      </c>
      <c r="X38" s="290">
        <f t="shared" si="42"/>
        <v>0</v>
      </c>
      <c r="Y38" s="289">
        <f>'[1]Feb midyear Jefferson Cham'!E35</f>
        <v>0</v>
      </c>
      <c r="Z38" s="290">
        <f t="shared" si="43"/>
        <v>0</v>
      </c>
      <c r="AA38" s="288">
        <f t="shared" si="44"/>
        <v>0</v>
      </c>
      <c r="AB38" s="324">
        <f t="shared" si="45"/>
        <v>0</v>
      </c>
      <c r="AC38" s="292">
        <f t="shared" si="46"/>
        <v>0</v>
      </c>
      <c r="AD38" s="324">
        <f t="shared" si="47"/>
        <v>0</v>
      </c>
      <c r="AE38" s="293">
        <v>0</v>
      </c>
      <c r="AF38" s="324">
        <f t="shared" si="48"/>
        <v>0</v>
      </c>
      <c r="AG38" s="293">
        <f>8*'[2]Table 5C1J-Jefferson Chamber'!AI38</f>
        <v>0</v>
      </c>
      <c r="AH38" s="293">
        <f t="shared" si="49"/>
        <v>0</v>
      </c>
      <c r="AI38" s="324">
        <f t="shared" si="30"/>
        <v>0</v>
      </c>
      <c r="AJ38" s="321">
        <f t="shared" si="50"/>
        <v>0</v>
      </c>
      <c r="AK38" s="342">
        <f t="shared" si="51"/>
        <v>0</v>
      </c>
      <c r="AM38" s="286">
        <v>0</v>
      </c>
      <c r="AN38" s="286">
        <f t="shared" si="52"/>
        <v>0</v>
      </c>
      <c r="AO38" s="286">
        <f t="shared" si="53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2.1.14'!Q35</f>
        <v>0</v>
      </c>
      <c r="D39" s="201">
        <f>+'Table 5C1A-Madison Prep'!D39</f>
        <v>5456.2254558085233</v>
      </c>
      <c r="E39" s="202">
        <f t="shared" si="32"/>
        <v>0</v>
      </c>
      <c r="F39" s="202">
        <f>+'Table 5C1A-Madison Prep'!F39</f>
        <v>655.31000000000006</v>
      </c>
      <c r="G39" s="202">
        <f t="shared" si="33"/>
        <v>0</v>
      </c>
      <c r="H39" s="345">
        <f t="shared" si="34"/>
        <v>0</v>
      </c>
      <c r="I39" s="203">
        <f>'[1]Oct midyear Jefferson Cham'!K36</f>
        <v>0</v>
      </c>
      <c r="J39" s="203">
        <f>'[1]Feb midyear Jefferson Cham'!K36</f>
        <v>0</v>
      </c>
      <c r="K39" s="204">
        <f t="shared" si="35"/>
        <v>0</v>
      </c>
      <c r="L39" s="345">
        <f t="shared" si="36"/>
        <v>0</v>
      </c>
      <c r="M39" s="286">
        <f t="shared" si="28"/>
        <v>0</v>
      </c>
      <c r="N39" s="345">
        <f t="shared" si="37"/>
        <v>0</v>
      </c>
      <c r="O39" s="201">
        <v>0</v>
      </c>
      <c r="P39" s="351">
        <f t="shared" si="38"/>
        <v>0</v>
      </c>
      <c r="Q39" s="203">
        <f>8*'[2]Table 5C1J-Jefferson Chamber'!S39</f>
        <v>0</v>
      </c>
      <c r="R39" s="203">
        <f t="shared" si="39"/>
        <v>0</v>
      </c>
      <c r="S39" s="351">
        <f t="shared" ref="S39:S70" si="54">ROUND(R39/$S$88,0)</f>
        <v>0</v>
      </c>
      <c r="T39" s="351">
        <f t="shared" si="40"/>
        <v>0</v>
      </c>
      <c r="U39" s="287">
        <f>'Table 5C1A-Madison Prep'!U39</f>
        <v>3784</v>
      </c>
      <c r="V39" s="328">
        <f t="shared" si="41"/>
        <v>0</v>
      </c>
      <c r="W39" s="289">
        <f>'[1]Oct midyear Jefferson Cham'!E36</f>
        <v>0</v>
      </c>
      <c r="X39" s="290">
        <f t="shared" si="42"/>
        <v>0</v>
      </c>
      <c r="Y39" s="289">
        <f>'[1]Feb midyear Jefferson Cham'!E36</f>
        <v>0</v>
      </c>
      <c r="Z39" s="290">
        <f t="shared" si="43"/>
        <v>0</v>
      </c>
      <c r="AA39" s="288">
        <f t="shared" si="44"/>
        <v>0</v>
      </c>
      <c r="AB39" s="324">
        <f t="shared" si="45"/>
        <v>0</v>
      </c>
      <c r="AC39" s="292">
        <f t="shared" si="46"/>
        <v>0</v>
      </c>
      <c r="AD39" s="324">
        <f t="shared" si="47"/>
        <v>0</v>
      </c>
      <c r="AE39" s="293">
        <v>0</v>
      </c>
      <c r="AF39" s="324">
        <f t="shared" si="48"/>
        <v>0</v>
      </c>
      <c r="AG39" s="293">
        <f>8*'[2]Table 5C1J-Jefferson Chamber'!AI39</f>
        <v>0</v>
      </c>
      <c r="AH39" s="293">
        <f t="shared" si="49"/>
        <v>0</v>
      </c>
      <c r="AI39" s="324">
        <f t="shared" ref="AI39:AI70" si="55">ROUND(AH39/$AI$88,0)</f>
        <v>0</v>
      </c>
      <c r="AJ39" s="321">
        <f t="shared" si="50"/>
        <v>0</v>
      </c>
      <c r="AK39" s="342">
        <f t="shared" si="51"/>
        <v>0</v>
      </c>
      <c r="AM39" s="286">
        <v>0</v>
      </c>
      <c r="AN39" s="286">
        <f t="shared" si="52"/>
        <v>0</v>
      </c>
      <c r="AO39" s="286">
        <f t="shared" si="53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2.1.14'!Q36</f>
        <v>0</v>
      </c>
      <c r="D40" s="201">
        <f>+'Table 5C1A-Madison Prep'!D40</f>
        <v>6292.0976842789005</v>
      </c>
      <c r="E40" s="202">
        <f t="shared" si="32"/>
        <v>0</v>
      </c>
      <c r="F40" s="202">
        <f>+'Table 5C1A-Madison Prep'!F40</f>
        <v>644.11000000000013</v>
      </c>
      <c r="G40" s="202">
        <f t="shared" si="33"/>
        <v>0</v>
      </c>
      <c r="H40" s="345">
        <f t="shared" si="34"/>
        <v>0</v>
      </c>
      <c r="I40" s="203">
        <f>'[1]Oct midyear Jefferson Cham'!K37</f>
        <v>0</v>
      </c>
      <c r="J40" s="203">
        <f>'[1]Feb midyear Jefferson Cham'!K37</f>
        <v>0</v>
      </c>
      <c r="K40" s="204">
        <f t="shared" si="35"/>
        <v>0</v>
      </c>
      <c r="L40" s="345">
        <f t="shared" si="36"/>
        <v>0</v>
      </c>
      <c r="M40" s="286">
        <f t="shared" si="28"/>
        <v>0</v>
      </c>
      <c r="N40" s="345">
        <f t="shared" si="37"/>
        <v>0</v>
      </c>
      <c r="O40" s="201">
        <v>0</v>
      </c>
      <c r="P40" s="351">
        <f t="shared" si="38"/>
        <v>0</v>
      </c>
      <c r="Q40" s="203">
        <f>8*'[2]Table 5C1J-Jefferson Chamber'!S40</f>
        <v>0</v>
      </c>
      <c r="R40" s="203">
        <f t="shared" si="39"/>
        <v>0</v>
      </c>
      <c r="S40" s="351">
        <f t="shared" si="54"/>
        <v>0</v>
      </c>
      <c r="T40" s="351">
        <f t="shared" si="40"/>
        <v>0</v>
      </c>
      <c r="U40" s="287">
        <f>'Table 5C1A-Madison Prep'!U40</f>
        <v>2911</v>
      </c>
      <c r="V40" s="328">
        <f t="shared" si="41"/>
        <v>0</v>
      </c>
      <c r="W40" s="289">
        <f>'[1]Oct midyear Jefferson Cham'!E37</f>
        <v>0</v>
      </c>
      <c r="X40" s="290">
        <f t="shared" si="42"/>
        <v>0</v>
      </c>
      <c r="Y40" s="289">
        <f>'[1]Feb midyear Jefferson Cham'!E37</f>
        <v>0</v>
      </c>
      <c r="Z40" s="290">
        <f t="shared" si="43"/>
        <v>0</v>
      </c>
      <c r="AA40" s="288">
        <f t="shared" si="44"/>
        <v>0</v>
      </c>
      <c r="AB40" s="324">
        <f t="shared" si="45"/>
        <v>0</v>
      </c>
      <c r="AC40" s="292">
        <f t="shared" si="46"/>
        <v>0</v>
      </c>
      <c r="AD40" s="324">
        <f t="shared" si="47"/>
        <v>0</v>
      </c>
      <c r="AE40" s="293">
        <v>0</v>
      </c>
      <c r="AF40" s="324">
        <f t="shared" si="48"/>
        <v>0</v>
      </c>
      <c r="AG40" s="293">
        <f>8*'[2]Table 5C1J-Jefferson Chamber'!AI40</f>
        <v>0</v>
      </c>
      <c r="AH40" s="293">
        <f t="shared" si="49"/>
        <v>0</v>
      </c>
      <c r="AI40" s="324">
        <f t="shared" si="55"/>
        <v>0</v>
      </c>
      <c r="AJ40" s="321">
        <f t="shared" si="50"/>
        <v>0</v>
      </c>
      <c r="AK40" s="342">
        <f t="shared" si="51"/>
        <v>0</v>
      </c>
      <c r="AM40" s="286">
        <v>0</v>
      </c>
      <c r="AN40" s="286">
        <f t="shared" si="52"/>
        <v>0</v>
      </c>
      <c r="AO40" s="286">
        <f t="shared" si="53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2.1.14'!Q37</f>
        <v>0</v>
      </c>
      <c r="D41" s="194">
        <f>+'Table 5C1A-Madison Prep'!D41</f>
        <v>5166.2482060477605</v>
      </c>
      <c r="E41" s="195">
        <f t="shared" si="32"/>
        <v>0</v>
      </c>
      <c r="F41" s="195">
        <f>+'Table 5C1A-Madison Prep'!F41</f>
        <v>537.96</v>
      </c>
      <c r="G41" s="195">
        <f t="shared" si="33"/>
        <v>0</v>
      </c>
      <c r="H41" s="346">
        <f t="shared" si="34"/>
        <v>0</v>
      </c>
      <c r="I41" s="196">
        <f>'[1]Oct midyear Jefferson Cham'!K38</f>
        <v>0</v>
      </c>
      <c r="J41" s="196">
        <f>'[1]Feb midyear Jefferson Cham'!K38</f>
        <v>0</v>
      </c>
      <c r="K41" s="197">
        <f t="shared" si="35"/>
        <v>0</v>
      </c>
      <c r="L41" s="346">
        <f t="shared" si="36"/>
        <v>0</v>
      </c>
      <c r="M41" s="296">
        <f t="shared" si="28"/>
        <v>0</v>
      </c>
      <c r="N41" s="346">
        <f t="shared" si="37"/>
        <v>0</v>
      </c>
      <c r="O41" s="194">
        <v>0</v>
      </c>
      <c r="P41" s="352">
        <f t="shared" si="38"/>
        <v>0</v>
      </c>
      <c r="Q41" s="196">
        <f>8*'[2]Table 5C1J-Jefferson Chamber'!S41</f>
        <v>0</v>
      </c>
      <c r="R41" s="196">
        <f t="shared" si="39"/>
        <v>0</v>
      </c>
      <c r="S41" s="352">
        <f t="shared" si="54"/>
        <v>0</v>
      </c>
      <c r="T41" s="352">
        <f t="shared" si="40"/>
        <v>0</v>
      </c>
      <c r="U41" s="281">
        <f>'Table 5C1A-Madison Prep'!U41</f>
        <v>3337</v>
      </c>
      <c r="V41" s="329">
        <f t="shared" si="41"/>
        <v>0</v>
      </c>
      <c r="W41" s="884">
        <f>'[1]Oct midyear Jefferson Cham'!E38</f>
        <v>0</v>
      </c>
      <c r="X41" s="282">
        <f t="shared" si="42"/>
        <v>0</v>
      </c>
      <c r="Y41" s="884">
        <f>'[1]Feb midyear Jefferson Cham'!E38</f>
        <v>0</v>
      </c>
      <c r="Z41" s="282">
        <f t="shared" si="43"/>
        <v>0</v>
      </c>
      <c r="AA41" s="283">
        <f t="shared" si="44"/>
        <v>0</v>
      </c>
      <c r="AB41" s="325">
        <f t="shared" si="45"/>
        <v>0</v>
      </c>
      <c r="AC41" s="298">
        <f t="shared" si="46"/>
        <v>0</v>
      </c>
      <c r="AD41" s="325">
        <f t="shared" si="47"/>
        <v>0</v>
      </c>
      <c r="AE41" s="284">
        <v>0</v>
      </c>
      <c r="AF41" s="325">
        <f t="shared" si="48"/>
        <v>0</v>
      </c>
      <c r="AG41" s="284">
        <f>8*'[2]Table 5C1J-Jefferson Chamber'!AI41</f>
        <v>0</v>
      </c>
      <c r="AH41" s="284">
        <f t="shared" si="49"/>
        <v>0</v>
      </c>
      <c r="AI41" s="325">
        <f t="shared" si="55"/>
        <v>0</v>
      </c>
      <c r="AJ41" s="338">
        <f t="shared" si="50"/>
        <v>0</v>
      </c>
      <c r="AK41" s="343">
        <f t="shared" si="51"/>
        <v>0</v>
      </c>
      <c r="AM41" s="296">
        <v>0</v>
      </c>
      <c r="AN41" s="296">
        <f t="shared" si="52"/>
        <v>0</v>
      </c>
      <c r="AO41" s="296">
        <f t="shared" si="53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2.1.14'!Q38</f>
        <v>2</v>
      </c>
      <c r="D42" s="208">
        <f>+'Table 5C1A-Madison Prep'!D42</f>
        <v>3602.7009974327857</v>
      </c>
      <c r="E42" s="209">
        <f t="shared" si="32"/>
        <v>7205.4019948655714</v>
      </c>
      <c r="F42" s="209">
        <f>+'Table 5C1A-Madison Prep'!F42</f>
        <v>746.0335616438357</v>
      </c>
      <c r="G42" s="209">
        <f t="shared" si="33"/>
        <v>1492.0671232876714</v>
      </c>
      <c r="H42" s="344">
        <f t="shared" si="34"/>
        <v>8697.4691181532435</v>
      </c>
      <c r="I42" s="210">
        <f>'[1]Oct midyear Jefferson Cham'!K39</f>
        <v>13046.203677229865</v>
      </c>
      <c r="J42" s="210">
        <f>'[1]Feb midyear Jefferson Cham'!K39</f>
        <v>-2174.3672795383109</v>
      </c>
      <c r="K42" s="211">
        <f t="shared" si="35"/>
        <v>10871.836397691553</v>
      </c>
      <c r="L42" s="344">
        <f t="shared" si="36"/>
        <v>19569.305515844797</v>
      </c>
      <c r="M42" s="273">
        <f t="shared" si="28"/>
        <v>-48.923263789611994</v>
      </c>
      <c r="N42" s="344">
        <f t="shared" si="37"/>
        <v>19520.382252055184</v>
      </c>
      <c r="O42" s="208">
        <v>0</v>
      </c>
      <c r="P42" s="350">
        <f t="shared" si="38"/>
        <v>19520.382252055184</v>
      </c>
      <c r="Q42" s="210">
        <f>8*'[2]Table 5C1J-Jefferson Chamber'!S42</f>
        <v>5784</v>
      </c>
      <c r="R42" s="210">
        <f t="shared" si="39"/>
        <v>13736.382252055184</v>
      </c>
      <c r="S42" s="350">
        <f t="shared" si="54"/>
        <v>3434</v>
      </c>
      <c r="T42" s="350">
        <f t="shared" si="40"/>
        <v>19520.382252055184</v>
      </c>
      <c r="U42" s="274">
        <f>'Table 5C1A-Madison Prep'!U42</f>
        <v>5469</v>
      </c>
      <c r="V42" s="327">
        <f t="shared" si="41"/>
        <v>10938</v>
      </c>
      <c r="W42" s="883">
        <f>'[1]Oct midyear Jefferson Cham'!E39</f>
        <v>3</v>
      </c>
      <c r="X42" s="276">
        <f t="shared" si="42"/>
        <v>16407</v>
      </c>
      <c r="Y42" s="883">
        <f>'[1]Feb midyear Jefferson Cham'!E39</f>
        <v>-1</v>
      </c>
      <c r="Z42" s="276">
        <f t="shared" si="43"/>
        <v>-2734.5</v>
      </c>
      <c r="AA42" s="275">
        <f t="shared" si="44"/>
        <v>13672.5</v>
      </c>
      <c r="AB42" s="323">
        <f t="shared" si="45"/>
        <v>24610.5</v>
      </c>
      <c r="AC42" s="278">
        <f t="shared" si="46"/>
        <v>-61.526250000000005</v>
      </c>
      <c r="AD42" s="323">
        <f t="shared" si="47"/>
        <v>24548.973750000001</v>
      </c>
      <c r="AE42" s="279">
        <v>0</v>
      </c>
      <c r="AF42" s="323">
        <f t="shared" si="48"/>
        <v>24548.973750000001</v>
      </c>
      <c r="AG42" s="279">
        <f>8*'[2]Table 5C1J-Jefferson Chamber'!AI42</f>
        <v>7232</v>
      </c>
      <c r="AH42" s="279">
        <f t="shared" si="49"/>
        <v>17316.973750000001</v>
      </c>
      <c r="AI42" s="323">
        <f t="shared" si="55"/>
        <v>4329</v>
      </c>
      <c r="AJ42" s="337">
        <f t="shared" si="50"/>
        <v>44069.356002055181</v>
      </c>
      <c r="AK42" s="341">
        <f t="shared" si="51"/>
        <v>7763</v>
      </c>
      <c r="AM42" s="273">
        <v>-27.175000000000001</v>
      </c>
      <c r="AN42" s="273">
        <f t="shared" si="52"/>
        <v>-61.526250000000005</v>
      </c>
      <c r="AO42" s="273">
        <f t="shared" si="53"/>
        <v>-34.351250000000007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2.1.14'!Q39</f>
        <v>0</v>
      </c>
      <c r="D43" s="201">
        <f>+'Table 5C1A-Madison Prep'!D43</f>
        <v>5665.3839260317691</v>
      </c>
      <c r="E43" s="202">
        <f t="shared" si="32"/>
        <v>0</v>
      </c>
      <c r="F43" s="202">
        <f>+'Table 5C1A-Madison Prep'!F43</f>
        <v>653.61</v>
      </c>
      <c r="G43" s="202">
        <f t="shared" si="33"/>
        <v>0</v>
      </c>
      <c r="H43" s="345">
        <f t="shared" si="34"/>
        <v>0</v>
      </c>
      <c r="I43" s="203">
        <f>'[1]Oct midyear Jefferson Cham'!K40</f>
        <v>0</v>
      </c>
      <c r="J43" s="203">
        <f>'[1]Feb midyear Jefferson Cham'!K40</f>
        <v>0</v>
      </c>
      <c r="K43" s="204">
        <f t="shared" si="35"/>
        <v>0</v>
      </c>
      <c r="L43" s="345">
        <f t="shared" si="36"/>
        <v>0</v>
      </c>
      <c r="M43" s="286">
        <f t="shared" si="28"/>
        <v>0</v>
      </c>
      <c r="N43" s="345">
        <f t="shared" si="37"/>
        <v>0</v>
      </c>
      <c r="O43" s="201">
        <v>0</v>
      </c>
      <c r="P43" s="351">
        <f t="shared" si="38"/>
        <v>0</v>
      </c>
      <c r="Q43" s="203">
        <f>8*'[2]Table 5C1J-Jefferson Chamber'!S43</f>
        <v>0</v>
      </c>
      <c r="R43" s="203">
        <f t="shared" si="39"/>
        <v>0</v>
      </c>
      <c r="S43" s="351">
        <f t="shared" si="54"/>
        <v>0</v>
      </c>
      <c r="T43" s="351">
        <f t="shared" si="40"/>
        <v>0</v>
      </c>
      <c r="U43" s="287">
        <f>'Table 5C1A-Madison Prep'!U43</f>
        <v>3424</v>
      </c>
      <c r="V43" s="328">
        <f t="shared" si="41"/>
        <v>0</v>
      </c>
      <c r="W43" s="289">
        <f>'[1]Oct midyear Jefferson Cham'!E40</f>
        <v>0</v>
      </c>
      <c r="X43" s="290">
        <f t="shared" si="42"/>
        <v>0</v>
      </c>
      <c r="Y43" s="289">
        <f>'[1]Feb midyear Jefferson Cham'!E40</f>
        <v>0</v>
      </c>
      <c r="Z43" s="290">
        <f t="shared" si="43"/>
        <v>0</v>
      </c>
      <c r="AA43" s="288">
        <f t="shared" si="44"/>
        <v>0</v>
      </c>
      <c r="AB43" s="324">
        <f t="shared" si="45"/>
        <v>0</v>
      </c>
      <c r="AC43" s="292">
        <f t="shared" si="46"/>
        <v>0</v>
      </c>
      <c r="AD43" s="324">
        <f t="shared" si="47"/>
        <v>0</v>
      </c>
      <c r="AE43" s="293">
        <v>0</v>
      </c>
      <c r="AF43" s="324">
        <f t="shared" si="48"/>
        <v>0</v>
      </c>
      <c r="AG43" s="293">
        <f>8*'[2]Table 5C1J-Jefferson Chamber'!AI43</f>
        <v>0</v>
      </c>
      <c r="AH43" s="293">
        <f t="shared" si="49"/>
        <v>0</v>
      </c>
      <c r="AI43" s="324">
        <f t="shared" si="55"/>
        <v>0</v>
      </c>
      <c r="AJ43" s="321">
        <f t="shared" si="50"/>
        <v>0</v>
      </c>
      <c r="AK43" s="342">
        <f t="shared" si="51"/>
        <v>0</v>
      </c>
      <c r="AM43" s="286">
        <v>0</v>
      </c>
      <c r="AN43" s="286">
        <f t="shared" si="52"/>
        <v>0</v>
      </c>
      <c r="AO43" s="286">
        <f t="shared" si="53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2.1.14'!Q40</f>
        <v>0</v>
      </c>
      <c r="D44" s="201">
        <f>+'Table 5C1A-Madison Prep'!D44</f>
        <v>2088.8017552916881</v>
      </c>
      <c r="E44" s="202">
        <f t="shared" si="32"/>
        <v>0</v>
      </c>
      <c r="F44" s="202">
        <f>+'Table 5C1A-Madison Prep'!F44</f>
        <v>829.92000000000007</v>
      </c>
      <c r="G44" s="202">
        <f t="shared" si="33"/>
        <v>0</v>
      </c>
      <c r="H44" s="345">
        <f t="shared" si="34"/>
        <v>0</v>
      </c>
      <c r="I44" s="203">
        <f>'[1]Oct midyear Jefferson Cham'!K41</f>
        <v>0</v>
      </c>
      <c r="J44" s="203">
        <f>'[1]Feb midyear Jefferson Cham'!K41</f>
        <v>0</v>
      </c>
      <c r="K44" s="204">
        <f t="shared" si="35"/>
        <v>0</v>
      </c>
      <c r="L44" s="345">
        <f t="shared" si="36"/>
        <v>0</v>
      </c>
      <c r="M44" s="286">
        <f t="shared" si="28"/>
        <v>0</v>
      </c>
      <c r="N44" s="345">
        <f t="shared" si="37"/>
        <v>0</v>
      </c>
      <c r="O44" s="201">
        <v>0</v>
      </c>
      <c r="P44" s="351">
        <f t="shared" si="38"/>
        <v>0</v>
      </c>
      <c r="Q44" s="203">
        <f>8*'[2]Table 5C1J-Jefferson Chamber'!S44</f>
        <v>0</v>
      </c>
      <c r="R44" s="203">
        <f t="shared" si="39"/>
        <v>0</v>
      </c>
      <c r="S44" s="351">
        <f t="shared" si="54"/>
        <v>0</v>
      </c>
      <c r="T44" s="351">
        <f t="shared" si="40"/>
        <v>0</v>
      </c>
      <c r="U44" s="287">
        <f>'Table 5C1A-Madison Prep'!U44</f>
        <v>11060</v>
      </c>
      <c r="V44" s="328">
        <f t="shared" si="41"/>
        <v>0</v>
      </c>
      <c r="W44" s="289">
        <f>'[1]Oct midyear Jefferson Cham'!E41</f>
        <v>0</v>
      </c>
      <c r="X44" s="290">
        <f t="shared" si="42"/>
        <v>0</v>
      </c>
      <c r="Y44" s="289">
        <f>'[1]Feb midyear Jefferson Cham'!E41</f>
        <v>0</v>
      </c>
      <c r="Z44" s="290">
        <f t="shared" si="43"/>
        <v>0</v>
      </c>
      <c r="AA44" s="288">
        <f t="shared" si="44"/>
        <v>0</v>
      </c>
      <c r="AB44" s="324">
        <f t="shared" si="45"/>
        <v>0</v>
      </c>
      <c r="AC44" s="292">
        <f t="shared" si="46"/>
        <v>0</v>
      </c>
      <c r="AD44" s="324">
        <f t="shared" si="47"/>
        <v>0</v>
      </c>
      <c r="AE44" s="293">
        <v>0</v>
      </c>
      <c r="AF44" s="324">
        <f t="shared" si="48"/>
        <v>0</v>
      </c>
      <c r="AG44" s="293">
        <f>8*'[2]Table 5C1J-Jefferson Chamber'!AI44</f>
        <v>0</v>
      </c>
      <c r="AH44" s="293">
        <f t="shared" si="49"/>
        <v>0</v>
      </c>
      <c r="AI44" s="324">
        <f t="shared" si="55"/>
        <v>0</v>
      </c>
      <c r="AJ44" s="321">
        <f t="shared" si="50"/>
        <v>0</v>
      </c>
      <c r="AK44" s="342">
        <f t="shared" si="51"/>
        <v>0</v>
      </c>
      <c r="AM44" s="286">
        <v>0</v>
      </c>
      <c r="AN44" s="286">
        <f t="shared" si="52"/>
        <v>0</v>
      </c>
      <c r="AO44" s="286">
        <f t="shared" si="53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2.1.14'!Q41</f>
        <v>0</v>
      </c>
      <c r="D45" s="201">
        <f>+'Table 5C1A-Madison Prep'!D45</f>
        <v>3656.9056809295676</v>
      </c>
      <c r="E45" s="202">
        <f t="shared" si="32"/>
        <v>0</v>
      </c>
      <c r="F45" s="202">
        <f>+'Table 5C1A-Madison Prep'!F45</f>
        <v>779.65573042776396</v>
      </c>
      <c r="G45" s="202">
        <f t="shared" si="33"/>
        <v>0</v>
      </c>
      <c r="H45" s="345">
        <f t="shared" si="34"/>
        <v>0</v>
      </c>
      <c r="I45" s="203">
        <f>'[1]Oct midyear Jefferson Cham'!K42</f>
        <v>0</v>
      </c>
      <c r="J45" s="203">
        <f>'[1]Feb midyear Jefferson Cham'!K42</f>
        <v>0</v>
      </c>
      <c r="K45" s="204">
        <f t="shared" si="35"/>
        <v>0</v>
      </c>
      <c r="L45" s="345">
        <f t="shared" si="36"/>
        <v>0</v>
      </c>
      <c r="M45" s="286">
        <f t="shared" si="28"/>
        <v>0</v>
      </c>
      <c r="N45" s="345">
        <f t="shared" si="37"/>
        <v>0</v>
      </c>
      <c r="O45" s="201">
        <v>0</v>
      </c>
      <c r="P45" s="351">
        <f t="shared" si="38"/>
        <v>0</v>
      </c>
      <c r="Q45" s="203">
        <f>8*'[2]Table 5C1J-Jefferson Chamber'!S45</f>
        <v>0</v>
      </c>
      <c r="R45" s="203">
        <f t="shared" si="39"/>
        <v>0</v>
      </c>
      <c r="S45" s="351">
        <f t="shared" si="54"/>
        <v>0</v>
      </c>
      <c r="T45" s="351">
        <f t="shared" si="40"/>
        <v>0</v>
      </c>
      <c r="U45" s="287">
        <f>'Table 5C1A-Madison Prep'!U45</f>
        <v>4922</v>
      </c>
      <c r="V45" s="328">
        <f t="shared" si="41"/>
        <v>0</v>
      </c>
      <c r="W45" s="289">
        <f>'[1]Oct midyear Jefferson Cham'!E42</f>
        <v>0</v>
      </c>
      <c r="X45" s="290">
        <f t="shared" si="42"/>
        <v>0</v>
      </c>
      <c r="Y45" s="289">
        <f>'[1]Feb midyear Jefferson Cham'!E42</f>
        <v>0</v>
      </c>
      <c r="Z45" s="290">
        <f t="shared" si="43"/>
        <v>0</v>
      </c>
      <c r="AA45" s="288">
        <f t="shared" si="44"/>
        <v>0</v>
      </c>
      <c r="AB45" s="324">
        <f t="shared" si="45"/>
        <v>0</v>
      </c>
      <c r="AC45" s="292">
        <f t="shared" si="46"/>
        <v>0</v>
      </c>
      <c r="AD45" s="324">
        <f t="shared" si="47"/>
        <v>0</v>
      </c>
      <c r="AE45" s="293">
        <v>0</v>
      </c>
      <c r="AF45" s="324">
        <f t="shared" si="48"/>
        <v>0</v>
      </c>
      <c r="AG45" s="293">
        <f>8*'[2]Table 5C1J-Jefferson Chamber'!AI45</f>
        <v>0</v>
      </c>
      <c r="AH45" s="293">
        <f t="shared" si="49"/>
        <v>0</v>
      </c>
      <c r="AI45" s="324">
        <f t="shared" si="55"/>
        <v>0</v>
      </c>
      <c r="AJ45" s="321">
        <f t="shared" si="50"/>
        <v>0</v>
      </c>
      <c r="AK45" s="342">
        <f t="shared" si="51"/>
        <v>0</v>
      </c>
      <c r="AM45" s="286">
        <v>0</v>
      </c>
      <c r="AN45" s="286">
        <f t="shared" si="52"/>
        <v>0</v>
      </c>
      <c r="AO45" s="286">
        <f t="shared" si="53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2.1.14'!Q42</f>
        <v>0</v>
      </c>
      <c r="D46" s="194">
        <f>+'Table 5C1A-Madison Prep'!D46</f>
        <v>5121.8110285698403</v>
      </c>
      <c r="E46" s="195">
        <f t="shared" si="32"/>
        <v>0</v>
      </c>
      <c r="F46" s="195">
        <f>+'Table 5C1A-Madison Prep'!F46</f>
        <v>700.2700000000001</v>
      </c>
      <c r="G46" s="195">
        <f t="shared" si="33"/>
        <v>0</v>
      </c>
      <c r="H46" s="346">
        <f t="shared" si="34"/>
        <v>0</v>
      </c>
      <c r="I46" s="196">
        <f>'[1]Oct midyear Jefferson Cham'!K43</f>
        <v>0</v>
      </c>
      <c r="J46" s="196">
        <f>'[1]Feb midyear Jefferson Cham'!K43</f>
        <v>0</v>
      </c>
      <c r="K46" s="197">
        <f t="shared" si="35"/>
        <v>0</v>
      </c>
      <c r="L46" s="346">
        <f t="shared" si="36"/>
        <v>0</v>
      </c>
      <c r="M46" s="296">
        <f t="shared" si="28"/>
        <v>0</v>
      </c>
      <c r="N46" s="346">
        <f t="shared" si="37"/>
        <v>0</v>
      </c>
      <c r="O46" s="194">
        <v>0</v>
      </c>
      <c r="P46" s="352">
        <f t="shared" si="38"/>
        <v>0</v>
      </c>
      <c r="Q46" s="196">
        <f>8*'[2]Table 5C1J-Jefferson Chamber'!S46</f>
        <v>0</v>
      </c>
      <c r="R46" s="196">
        <f t="shared" si="39"/>
        <v>0</v>
      </c>
      <c r="S46" s="352">
        <f t="shared" si="54"/>
        <v>0</v>
      </c>
      <c r="T46" s="352">
        <f t="shared" si="40"/>
        <v>0</v>
      </c>
      <c r="U46" s="281">
        <f>'Table 5C1A-Madison Prep'!U46</f>
        <v>3152</v>
      </c>
      <c r="V46" s="329">
        <f t="shared" si="41"/>
        <v>0</v>
      </c>
      <c r="W46" s="884">
        <f>'[1]Oct midyear Jefferson Cham'!E43</f>
        <v>0</v>
      </c>
      <c r="X46" s="282">
        <f t="shared" si="42"/>
        <v>0</v>
      </c>
      <c r="Y46" s="884">
        <f>'[1]Feb midyear Jefferson Cham'!E43</f>
        <v>0</v>
      </c>
      <c r="Z46" s="282">
        <f t="shared" si="43"/>
        <v>0</v>
      </c>
      <c r="AA46" s="283">
        <f t="shared" si="44"/>
        <v>0</v>
      </c>
      <c r="AB46" s="325">
        <f t="shared" si="45"/>
        <v>0</v>
      </c>
      <c r="AC46" s="298">
        <f t="shared" si="46"/>
        <v>0</v>
      </c>
      <c r="AD46" s="325">
        <f t="shared" si="47"/>
        <v>0</v>
      </c>
      <c r="AE46" s="284">
        <v>0</v>
      </c>
      <c r="AF46" s="325">
        <f t="shared" si="48"/>
        <v>0</v>
      </c>
      <c r="AG46" s="284">
        <f>8*'[2]Table 5C1J-Jefferson Chamber'!AI46</f>
        <v>0</v>
      </c>
      <c r="AH46" s="284">
        <f t="shared" si="49"/>
        <v>0</v>
      </c>
      <c r="AI46" s="325">
        <f t="shared" si="55"/>
        <v>0</v>
      </c>
      <c r="AJ46" s="338">
        <f t="shared" si="50"/>
        <v>0</v>
      </c>
      <c r="AK46" s="343">
        <f t="shared" si="51"/>
        <v>0</v>
      </c>
      <c r="AM46" s="296">
        <v>0</v>
      </c>
      <c r="AN46" s="296">
        <f t="shared" si="52"/>
        <v>0</v>
      </c>
      <c r="AO46" s="296">
        <f t="shared" si="53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2.1.14'!Q43</f>
        <v>0</v>
      </c>
      <c r="D47" s="208">
        <f>+'Table 5C1A-Madison Prep'!D47</f>
        <v>3291.1948574716475</v>
      </c>
      <c r="E47" s="209">
        <f t="shared" si="32"/>
        <v>0</v>
      </c>
      <c r="F47" s="209">
        <f>+'Table 5C1A-Madison Prep'!F47</f>
        <v>886.22</v>
      </c>
      <c r="G47" s="209">
        <f t="shared" si="33"/>
        <v>0</v>
      </c>
      <c r="H47" s="344">
        <f t="shared" si="34"/>
        <v>0</v>
      </c>
      <c r="I47" s="210">
        <f>'[1]Oct midyear Jefferson Cham'!K44</f>
        <v>0</v>
      </c>
      <c r="J47" s="210">
        <f>'[1]Feb midyear Jefferson Cham'!K44</f>
        <v>0</v>
      </c>
      <c r="K47" s="211">
        <f t="shared" si="35"/>
        <v>0</v>
      </c>
      <c r="L47" s="344">
        <f t="shared" si="36"/>
        <v>0</v>
      </c>
      <c r="M47" s="273">
        <f t="shared" si="28"/>
        <v>0</v>
      </c>
      <c r="N47" s="344">
        <f t="shared" si="37"/>
        <v>0</v>
      </c>
      <c r="O47" s="208">
        <v>0</v>
      </c>
      <c r="P47" s="350">
        <f t="shared" si="38"/>
        <v>0</v>
      </c>
      <c r="Q47" s="210">
        <f>8*'[2]Table 5C1J-Jefferson Chamber'!S47</f>
        <v>0</v>
      </c>
      <c r="R47" s="210">
        <f t="shared" si="39"/>
        <v>0</v>
      </c>
      <c r="S47" s="350">
        <f t="shared" si="54"/>
        <v>0</v>
      </c>
      <c r="T47" s="350">
        <f t="shared" si="40"/>
        <v>0</v>
      </c>
      <c r="U47" s="274">
        <f>'Table 5C1A-Madison Prep'!U47</f>
        <v>9422</v>
      </c>
      <c r="V47" s="327">
        <f t="shared" si="41"/>
        <v>0</v>
      </c>
      <c r="W47" s="883">
        <f>'[1]Oct midyear Jefferson Cham'!E44</f>
        <v>0</v>
      </c>
      <c r="X47" s="276">
        <f t="shared" si="42"/>
        <v>0</v>
      </c>
      <c r="Y47" s="883">
        <f>'[1]Feb midyear Jefferson Cham'!E44</f>
        <v>0</v>
      </c>
      <c r="Z47" s="276">
        <f t="shared" si="43"/>
        <v>0</v>
      </c>
      <c r="AA47" s="275">
        <f t="shared" si="44"/>
        <v>0</v>
      </c>
      <c r="AB47" s="323">
        <f t="shared" si="45"/>
        <v>0</v>
      </c>
      <c r="AC47" s="278">
        <f t="shared" si="46"/>
        <v>0</v>
      </c>
      <c r="AD47" s="323">
        <f t="shared" si="47"/>
        <v>0</v>
      </c>
      <c r="AE47" s="279">
        <v>0</v>
      </c>
      <c r="AF47" s="323">
        <f t="shared" si="48"/>
        <v>0</v>
      </c>
      <c r="AG47" s="279">
        <f>8*'[2]Table 5C1J-Jefferson Chamber'!AI47</f>
        <v>0</v>
      </c>
      <c r="AH47" s="279">
        <f t="shared" si="49"/>
        <v>0</v>
      </c>
      <c r="AI47" s="323">
        <f t="shared" si="55"/>
        <v>0</v>
      </c>
      <c r="AJ47" s="337">
        <f t="shared" si="50"/>
        <v>0</v>
      </c>
      <c r="AK47" s="341">
        <f t="shared" si="51"/>
        <v>0</v>
      </c>
      <c r="AM47" s="273">
        <v>0</v>
      </c>
      <c r="AN47" s="273">
        <f t="shared" si="52"/>
        <v>0</v>
      </c>
      <c r="AO47" s="273">
        <f t="shared" si="53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2.1.14'!Q44</f>
        <v>0</v>
      </c>
      <c r="D48" s="201">
        <f>+'Table 5C1A-Madison Prep'!D48</f>
        <v>5113.6077751368684</v>
      </c>
      <c r="E48" s="202">
        <f t="shared" si="32"/>
        <v>0</v>
      </c>
      <c r="F48" s="202">
        <f>+'Table 5C1A-Madison Prep'!F48</f>
        <v>534.28</v>
      </c>
      <c r="G48" s="202">
        <f t="shared" si="33"/>
        <v>0</v>
      </c>
      <c r="H48" s="345">
        <f t="shared" si="34"/>
        <v>0</v>
      </c>
      <c r="I48" s="203">
        <f>'[1]Oct midyear Jefferson Cham'!K45</f>
        <v>0</v>
      </c>
      <c r="J48" s="203">
        <f>'[1]Feb midyear Jefferson Cham'!K45</f>
        <v>0</v>
      </c>
      <c r="K48" s="204">
        <f t="shared" si="35"/>
        <v>0</v>
      </c>
      <c r="L48" s="345">
        <f t="shared" si="36"/>
        <v>0</v>
      </c>
      <c r="M48" s="286">
        <f t="shared" si="28"/>
        <v>0</v>
      </c>
      <c r="N48" s="345">
        <f t="shared" si="37"/>
        <v>0</v>
      </c>
      <c r="O48" s="201">
        <v>0</v>
      </c>
      <c r="P48" s="351">
        <f t="shared" si="38"/>
        <v>0</v>
      </c>
      <c r="Q48" s="203">
        <f>8*'[2]Table 5C1J-Jefferson Chamber'!S48</f>
        <v>0</v>
      </c>
      <c r="R48" s="203">
        <f t="shared" si="39"/>
        <v>0</v>
      </c>
      <c r="S48" s="351">
        <f t="shared" si="54"/>
        <v>0</v>
      </c>
      <c r="T48" s="351">
        <f t="shared" si="40"/>
        <v>0</v>
      </c>
      <c r="U48" s="287">
        <f>'Table 5C1A-Madison Prep'!U48</f>
        <v>3415</v>
      </c>
      <c r="V48" s="328">
        <f t="shared" si="41"/>
        <v>0</v>
      </c>
      <c r="W48" s="289">
        <f>'[1]Oct midyear Jefferson Cham'!E45</f>
        <v>0</v>
      </c>
      <c r="X48" s="290">
        <f t="shared" si="42"/>
        <v>0</v>
      </c>
      <c r="Y48" s="289">
        <f>'[1]Feb midyear Jefferson Cham'!E45</f>
        <v>0</v>
      </c>
      <c r="Z48" s="290">
        <f t="shared" si="43"/>
        <v>0</v>
      </c>
      <c r="AA48" s="288">
        <f t="shared" si="44"/>
        <v>0</v>
      </c>
      <c r="AB48" s="324">
        <f t="shared" si="45"/>
        <v>0</v>
      </c>
      <c r="AC48" s="292">
        <f t="shared" si="46"/>
        <v>0</v>
      </c>
      <c r="AD48" s="324">
        <f t="shared" si="47"/>
        <v>0</v>
      </c>
      <c r="AE48" s="293">
        <v>0</v>
      </c>
      <c r="AF48" s="324">
        <f t="shared" si="48"/>
        <v>0</v>
      </c>
      <c r="AG48" s="293">
        <f>8*'[2]Table 5C1J-Jefferson Chamber'!AI48</f>
        <v>0</v>
      </c>
      <c r="AH48" s="293">
        <f t="shared" si="49"/>
        <v>0</v>
      </c>
      <c r="AI48" s="324">
        <f t="shared" si="55"/>
        <v>0</v>
      </c>
      <c r="AJ48" s="321">
        <f t="shared" si="50"/>
        <v>0</v>
      </c>
      <c r="AK48" s="342">
        <f t="shared" si="51"/>
        <v>0</v>
      </c>
      <c r="AM48" s="286">
        <v>0</v>
      </c>
      <c r="AN48" s="286">
        <f t="shared" si="52"/>
        <v>0</v>
      </c>
      <c r="AO48" s="286">
        <f t="shared" si="53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2.1.14'!Q45</f>
        <v>0</v>
      </c>
      <c r="D49" s="201">
        <f>+'Table 5C1A-Madison Prep'!D49</f>
        <v>5788.74387205947</v>
      </c>
      <c r="E49" s="202">
        <f t="shared" si="32"/>
        <v>0</v>
      </c>
      <c r="F49" s="202">
        <f>+'Table 5C1A-Madison Prep'!F49</f>
        <v>574.6099999999999</v>
      </c>
      <c r="G49" s="202">
        <f t="shared" si="33"/>
        <v>0</v>
      </c>
      <c r="H49" s="345">
        <f t="shared" si="34"/>
        <v>0</v>
      </c>
      <c r="I49" s="203">
        <f>'[1]Oct midyear Jefferson Cham'!K46</f>
        <v>0</v>
      </c>
      <c r="J49" s="203">
        <f>'[1]Feb midyear Jefferson Cham'!K46</f>
        <v>0</v>
      </c>
      <c r="K49" s="204">
        <f t="shared" si="35"/>
        <v>0</v>
      </c>
      <c r="L49" s="345">
        <f t="shared" si="36"/>
        <v>0</v>
      </c>
      <c r="M49" s="286">
        <f t="shared" si="28"/>
        <v>0</v>
      </c>
      <c r="N49" s="345">
        <f t="shared" si="37"/>
        <v>0</v>
      </c>
      <c r="O49" s="201">
        <v>0</v>
      </c>
      <c r="P49" s="351">
        <f t="shared" si="38"/>
        <v>0</v>
      </c>
      <c r="Q49" s="203">
        <f>8*'[2]Table 5C1J-Jefferson Chamber'!S49</f>
        <v>0</v>
      </c>
      <c r="R49" s="203">
        <f t="shared" si="39"/>
        <v>0</v>
      </c>
      <c r="S49" s="351">
        <f t="shared" si="54"/>
        <v>0</v>
      </c>
      <c r="T49" s="351">
        <f t="shared" si="40"/>
        <v>0</v>
      </c>
      <c r="U49" s="287">
        <f>'Table 5C1A-Madison Prep'!U49</f>
        <v>3334</v>
      </c>
      <c r="V49" s="328">
        <f t="shared" si="41"/>
        <v>0</v>
      </c>
      <c r="W49" s="289">
        <f>'[1]Oct midyear Jefferson Cham'!E46</f>
        <v>0</v>
      </c>
      <c r="X49" s="290">
        <f t="shared" si="42"/>
        <v>0</v>
      </c>
      <c r="Y49" s="289">
        <f>'[1]Feb midyear Jefferson Cham'!E46</f>
        <v>0</v>
      </c>
      <c r="Z49" s="290">
        <f t="shared" si="43"/>
        <v>0</v>
      </c>
      <c r="AA49" s="288">
        <f t="shared" si="44"/>
        <v>0</v>
      </c>
      <c r="AB49" s="324">
        <f t="shared" si="45"/>
        <v>0</v>
      </c>
      <c r="AC49" s="292">
        <f t="shared" si="46"/>
        <v>0</v>
      </c>
      <c r="AD49" s="324">
        <f t="shared" si="47"/>
        <v>0</v>
      </c>
      <c r="AE49" s="293">
        <v>0</v>
      </c>
      <c r="AF49" s="324">
        <f t="shared" si="48"/>
        <v>0</v>
      </c>
      <c r="AG49" s="293">
        <f>8*'[2]Table 5C1J-Jefferson Chamber'!AI49</f>
        <v>0</v>
      </c>
      <c r="AH49" s="293">
        <f t="shared" si="49"/>
        <v>0</v>
      </c>
      <c r="AI49" s="324">
        <f t="shared" si="55"/>
        <v>0</v>
      </c>
      <c r="AJ49" s="321">
        <f t="shared" si="50"/>
        <v>0</v>
      </c>
      <c r="AK49" s="342">
        <f t="shared" si="51"/>
        <v>0</v>
      </c>
      <c r="AM49" s="286">
        <v>0</v>
      </c>
      <c r="AN49" s="286">
        <f t="shared" si="52"/>
        <v>0</v>
      </c>
      <c r="AO49" s="286">
        <f t="shared" si="53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2.1.14'!Q46</f>
        <v>0</v>
      </c>
      <c r="D50" s="201">
        <f>+'Table 5C1A-Madison Prep'!D50</f>
        <v>4897.5958151820359</v>
      </c>
      <c r="E50" s="202">
        <f t="shared" si="32"/>
        <v>0</v>
      </c>
      <c r="F50" s="202">
        <f>+'Table 5C1A-Madison Prep'!F50</f>
        <v>663.16000000000008</v>
      </c>
      <c r="G50" s="202">
        <f t="shared" si="33"/>
        <v>0</v>
      </c>
      <c r="H50" s="345">
        <f t="shared" si="34"/>
        <v>0</v>
      </c>
      <c r="I50" s="203">
        <f>'[1]Oct midyear Jefferson Cham'!K47</f>
        <v>0</v>
      </c>
      <c r="J50" s="203">
        <f>'[1]Feb midyear Jefferson Cham'!K47</f>
        <v>0</v>
      </c>
      <c r="K50" s="204">
        <f t="shared" si="35"/>
        <v>0</v>
      </c>
      <c r="L50" s="345">
        <f t="shared" si="36"/>
        <v>0</v>
      </c>
      <c r="M50" s="286">
        <f t="shared" si="28"/>
        <v>0</v>
      </c>
      <c r="N50" s="345">
        <f t="shared" si="37"/>
        <v>0</v>
      </c>
      <c r="O50" s="201">
        <v>0</v>
      </c>
      <c r="P50" s="351">
        <f t="shared" si="38"/>
        <v>0</v>
      </c>
      <c r="Q50" s="203">
        <f>8*'[2]Table 5C1J-Jefferson Chamber'!S50</f>
        <v>0</v>
      </c>
      <c r="R50" s="203">
        <f t="shared" si="39"/>
        <v>0</v>
      </c>
      <c r="S50" s="351">
        <f t="shared" si="54"/>
        <v>0</v>
      </c>
      <c r="T50" s="351">
        <f t="shared" si="40"/>
        <v>0</v>
      </c>
      <c r="U50" s="287">
        <f>'Table 5C1A-Madison Prep'!U50</f>
        <v>3587</v>
      </c>
      <c r="V50" s="328">
        <f t="shared" si="41"/>
        <v>0</v>
      </c>
      <c r="W50" s="289">
        <f>'[1]Oct midyear Jefferson Cham'!E47</f>
        <v>0</v>
      </c>
      <c r="X50" s="290">
        <f t="shared" si="42"/>
        <v>0</v>
      </c>
      <c r="Y50" s="289">
        <f>'[1]Feb midyear Jefferson Cham'!E47</f>
        <v>0</v>
      </c>
      <c r="Z50" s="290">
        <f t="shared" si="43"/>
        <v>0</v>
      </c>
      <c r="AA50" s="288">
        <f t="shared" si="44"/>
        <v>0</v>
      </c>
      <c r="AB50" s="324">
        <f t="shared" si="45"/>
        <v>0</v>
      </c>
      <c r="AC50" s="292">
        <f t="shared" si="46"/>
        <v>0</v>
      </c>
      <c r="AD50" s="324">
        <f t="shared" si="47"/>
        <v>0</v>
      </c>
      <c r="AE50" s="293">
        <v>0</v>
      </c>
      <c r="AF50" s="324">
        <f t="shared" si="48"/>
        <v>0</v>
      </c>
      <c r="AG50" s="293">
        <f>8*'[2]Table 5C1J-Jefferson Chamber'!AI50</f>
        <v>0</v>
      </c>
      <c r="AH50" s="293">
        <f t="shared" si="49"/>
        <v>0</v>
      </c>
      <c r="AI50" s="324">
        <f t="shared" si="55"/>
        <v>0</v>
      </c>
      <c r="AJ50" s="321">
        <f t="shared" si="50"/>
        <v>0</v>
      </c>
      <c r="AK50" s="342">
        <f t="shared" si="51"/>
        <v>0</v>
      </c>
      <c r="AM50" s="286">
        <v>0</v>
      </c>
      <c r="AN50" s="286">
        <f t="shared" si="52"/>
        <v>0</v>
      </c>
      <c r="AO50" s="286">
        <f t="shared" si="53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2.1.14'!Q47</f>
        <v>1</v>
      </c>
      <c r="D51" s="194">
        <f>+'Table 5C1A-Madison Prep'!D51</f>
        <v>2054.0472499469101</v>
      </c>
      <c r="E51" s="195">
        <f t="shared" si="32"/>
        <v>2054.0472499469101</v>
      </c>
      <c r="F51" s="195">
        <f>+'Table 5C1A-Madison Prep'!F51</f>
        <v>753.96000000000015</v>
      </c>
      <c r="G51" s="195">
        <f t="shared" si="33"/>
        <v>753.96000000000015</v>
      </c>
      <c r="H51" s="346">
        <f t="shared" si="34"/>
        <v>2808.0072499469102</v>
      </c>
      <c r="I51" s="196">
        <f>'[1]Oct midyear Jefferson Cham'!K48</f>
        <v>0</v>
      </c>
      <c r="J51" s="196">
        <f>'[1]Feb midyear Jefferson Cham'!K48</f>
        <v>0</v>
      </c>
      <c r="K51" s="197">
        <f t="shared" si="35"/>
        <v>0</v>
      </c>
      <c r="L51" s="346">
        <f t="shared" si="36"/>
        <v>2808.0072499469102</v>
      </c>
      <c r="M51" s="296">
        <f t="shared" si="28"/>
        <v>-7.0200181248672759</v>
      </c>
      <c r="N51" s="346">
        <f t="shared" si="37"/>
        <v>2800.9872318220428</v>
      </c>
      <c r="O51" s="194">
        <v>0</v>
      </c>
      <c r="P51" s="352">
        <f t="shared" si="38"/>
        <v>2800.9872318220428</v>
      </c>
      <c r="Q51" s="196">
        <f>8*'[2]Table 5C1J-Jefferson Chamber'!S51</f>
        <v>1864</v>
      </c>
      <c r="R51" s="196">
        <f t="shared" si="39"/>
        <v>936.98723182204276</v>
      </c>
      <c r="S51" s="352">
        <f t="shared" si="54"/>
        <v>234</v>
      </c>
      <c r="T51" s="352">
        <f t="shared" si="40"/>
        <v>2800.9872318220428</v>
      </c>
      <c r="U51" s="281">
        <f>'Table 5C1A-Madison Prep'!U51</f>
        <v>12134</v>
      </c>
      <c r="V51" s="329">
        <f t="shared" si="41"/>
        <v>12134</v>
      </c>
      <c r="W51" s="884">
        <f>'[1]Oct midyear Jefferson Cham'!E48</f>
        <v>0</v>
      </c>
      <c r="X51" s="282">
        <f t="shared" si="42"/>
        <v>0</v>
      </c>
      <c r="Y51" s="884">
        <f>'[1]Feb midyear Jefferson Cham'!E48</f>
        <v>0</v>
      </c>
      <c r="Z51" s="282">
        <f t="shared" si="43"/>
        <v>0</v>
      </c>
      <c r="AA51" s="283">
        <f t="shared" si="44"/>
        <v>0</v>
      </c>
      <c r="AB51" s="325">
        <f t="shared" si="45"/>
        <v>12134</v>
      </c>
      <c r="AC51" s="298">
        <f t="shared" si="46"/>
        <v>-30.335000000000001</v>
      </c>
      <c r="AD51" s="325">
        <f t="shared" si="47"/>
        <v>12103.665000000001</v>
      </c>
      <c r="AE51" s="284">
        <v>0</v>
      </c>
      <c r="AF51" s="325">
        <f t="shared" si="48"/>
        <v>12103.665000000001</v>
      </c>
      <c r="AG51" s="284">
        <f>8*'[2]Table 5C1J-Jefferson Chamber'!AI51</f>
        <v>8096</v>
      </c>
      <c r="AH51" s="284">
        <f t="shared" si="49"/>
        <v>4007.6650000000009</v>
      </c>
      <c r="AI51" s="325">
        <f t="shared" si="55"/>
        <v>1002</v>
      </c>
      <c r="AJ51" s="338">
        <f t="shared" si="50"/>
        <v>14904.652231822043</v>
      </c>
      <c r="AK51" s="343">
        <f t="shared" si="51"/>
        <v>1236</v>
      </c>
      <c r="AM51" s="296">
        <v>-30.422499999999999</v>
      </c>
      <c r="AN51" s="296">
        <f t="shared" si="52"/>
        <v>-30.335000000000001</v>
      </c>
      <c r="AO51" s="296">
        <f t="shared" si="53"/>
        <v>8.7499999999998579E-2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2.1.14'!Q48</f>
        <v>0</v>
      </c>
      <c r="D52" s="208">
        <f>+'Table 5C1A-Madison Prep'!D52</f>
        <v>6051.2144468088381</v>
      </c>
      <c r="E52" s="209">
        <f t="shared" si="32"/>
        <v>0</v>
      </c>
      <c r="F52" s="209">
        <f>+'Table 5C1A-Madison Prep'!F52</f>
        <v>728.06</v>
      </c>
      <c r="G52" s="209">
        <f t="shared" si="33"/>
        <v>0</v>
      </c>
      <c r="H52" s="344">
        <f t="shared" si="34"/>
        <v>0</v>
      </c>
      <c r="I52" s="210">
        <f>'[1]Oct midyear Jefferson Cham'!K49</f>
        <v>0</v>
      </c>
      <c r="J52" s="210">
        <f>'[1]Feb midyear Jefferson Cham'!K49</f>
        <v>0</v>
      </c>
      <c r="K52" s="211">
        <f t="shared" si="35"/>
        <v>0</v>
      </c>
      <c r="L52" s="344">
        <f t="shared" si="36"/>
        <v>0</v>
      </c>
      <c r="M52" s="273">
        <f t="shared" si="28"/>
        <v>0</v>
      </c>
      <c r="N52" s="344">
        <f t="shared" si="37"/>
        <v>0</v>
      </c>
      <c r="O52" s="208">
        <v>0</v>
      </c>
      <c r="P52" s="350">
        <f t="shared" si="38"/>
        <v>0</v>
      </c>
      <c r="Q52" s="210">
        <f>8*'[2]Table 5C1J-Jefferson Chamber'!S52</f>
        <v>0</v>
      </c>
      <c r="R52" s="210">
        <f t="shared" si="39"/>
        <v>0</v>
      </c>
      <c r="S52" s="350">
        <f t="shared" si="54"/>
        <v>0</v>
      </c>
      <c r="T52" s="350">
        <f t="shared" si="40"/>
        <v>0</v>
      </c>
      <c r="U52" s="274">
        <f>'Table 5C1A-Madison Prep'!U52</f>
        <v>2554</v>
      </c>
      <c r="V52" s="327">
        <f t="shared" si="41"/>
        <v>0</v>
      </c>
      <c r="W52" s="883">
        <f>'[1]Oct midyear Jefferson Cham'!E49</f>
        <v>0</v>
      </c>
      <c r="X52" s="276">
        <f t="shared" si="42"/>
        <v>0</v>
      </c>
      <c r="Y52" s="883">
        <f>'[1]Feb midyear Jefferson Cham'!E49</f>
        <v>0</v>
      </c>
      <c r="Z52" s="276">
        <f t="shared" si="43"/>
        <v>0</v>
      </c>
      <c r="AA52" s="275">
        <f t="shared" si="44"/>
        <v>0</v>
      </c>
      <c r="AB52" s="323">
        <f t="shared" si="45"/>
        <v>0</v>
      </c>
      <c r="AC52" s="278">
        <f t="shared" si="46"/>
        <v>0</v>
      </c>
      <c r="AD52" s="323">
        <f t="shared" si="47"/>
        <v>0</v>
      </c>
      <c r="AE52" s="279">
        <v>0</v>
      </c>
      <c r="AF52" s="323">
        <f t="shared" si="48"/>
        <v>0</v>
      </c>
      <c r="AG52" s="279">
        <f>8*'[2]Table 5C1J-Jefferson Chamber'!AI52</f>
        <v>0</v>
      </c>
      <c r="AH52" s="279">
        <f t="shared" si="49"/>
        <v>0</v>
      </c>
      <c r="AI52" s="323">
        <f t="shared" si="55"/>
        <v>0</v>
      </c>
      <c r="AJ52" s="337">
        <f t="shared" si="50"/>
        <v>0</v>
      </c>
      <c r="AK52" s="341">
        <f t="shared" si="51"/>
        <v>0</v>
      </c>
      <c r="AM52" s="273">
        <v>0</v>
      </c>
      <c r="AN52" s="273">
        <f t="shared" si="52"/>
        <v>0</v>
      </c>
      <c r="AO52" s="273">
        <f t="shared" si="53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2.1.14'!Q49</f>
        <v>0</v>
      </c>
      <c r="D53" s="201">
        <f>+'Table 5C1A-Madison Prep'!D53</f>
        <v>2524.1485257646736</v>
      </c>
      <c r="E53" s="202">
        <f t="shared" si="32"/>
        <v>0</v>
      </c>
      <c r="F53" s="202">
        <f>+'Table 5C1A-Madison Prep'!F53</f>
        <v>910.76</v>
      </c>
      <c r="G53" s="202">
        <f t="shared" si="33"/>
        <v>0</v>
      </c>
      <c r="H53" s="345">
        <f t="shared" si="34"/>
        <v>0</v>
      </c>
      <c r="I53" s="203">
        <f>'[1]Oct midyear Jefferson Cham'!K50</f>
        <v>0</v>
      </c>
      <c r="J53" s="203">
        <f>'[1]Feb midyear Jefferson Cham'!K50</f>
        <v>0</v>
      </c>
      <c r="K53" s="204">
        <f t="shared" si="35"/>
        <v>0</v>
      </c>
      <c r="L53" s="345">
        <f t="shared" si="36"/>
        <v>0</v>
      </c>
      <c r="M53" s="286">
        <f t="shared" si="28"/>
        <v>0</v>
      </c>
      <c r="N53" s="345">
        <f t="shared" si="37"/>
        <v>0</v>
      </c>
      <c r="O53" s="201">
        <v>0</v>
      </c>
      <c r="P53" s="351">
        <f t="shared" si="38"/>
        <v>0</v>
      </c>
      <c r="Q53" s="203">
        <f>8*'[2]Table 5C1J-Jefferson Chamber'!S53</f>
        <v>0</v>
      </c>
      <c r="R53" s="203">
        <f t="shared" si="39"/>
        <v>0</v>
      </c>
      <c r="S53" s="351">
        <f t="shared" si="54"/>
        <v>0</v>
      </c>
      <c r="T53" s="351">
        <f t="shared" si="40"/>
        <v>0</v>
      </c>
      <c r="U53" s="287">
        <f>'Table 5C1A-Madison Prep'!U53</f>
        <v>11506</v>
      </c>
      <c r="V53" s="328">
        <f t="shared" si="41"/>
        <v>0</v>
      </c>
      <c r="W53" s="289">
        <f>'[1]Oct midyear Jefferson Cham'!E50</f>
        <v>0</v>
      </c>
      <c r="X53" s="290">
        <f t="shared" si="42"/>
        <v>0</v>
      </c>
      <c r="Y53" s="289">
        <f>'[1]Feb midyear Jefferson Cham'!E50</f>
        <v>0</v>
      </c>
      <c r="Z53" s="290">
        <f t="shared" si="43"/>
        <v>0</v>
      </c>
      <c r="AA53" s="288">
        <f t="shared" si="44"/>
        <v>0</v>
      </c>
      <c r="AB53" s="324">
        <f t="shared" si="45"/>
        <v>0</v>
      </c>
      <c r="AC53" s="292">
        <f t="shared" si="46"/>
        <v>0</v>
      </c>
      <c r="AD53" s="324">
        <f t="shared" si="47"/>
        <v>0</v>
      </c>
      <c r="AE53" s="293">
        <v>0</v>
      </c>
      <c r="AF53" s="324">
        <f t="shared" si="48"/>
        <v>0</v>
      </c>
      <c r="AG53" s="293">
        <f>8*'[2]Table 5C1J-Jefferson Chamber'!AI53</f>
        <v>0</v>
      </c>
      <c r="AH53" s="293">
        <f t="shared" si="49"/>
        <v>0</v>
      </c>
      <c r="AI53" s="324">
        <f t="shared" si="55"/>
        <v>0</v>
      </c>
      <c r="AJ53" s="321">
        <f t="shared" si="50"/>
        <v>0</v>
      </c>
      <c r="AK53" s="342">
        <f t="shared" si="51"/>
        <v>0</v>
      </c>
      <c r="AM53" s="286">
        <v>0</v>
      </c>
      <c r="AN53" s="286">
        <f t="shared" si="52"/>
        <v>0</v>
      </c>
      <c r="AO53" s="286">
        <f t="shared" si="53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2.1.14'!Q50</f>
        <v>1</v>
      </c>
      <c r="D54" s="201">
        <f>+'Table 5C1A-Madison Prep'!D54</f>
        <v>3983.3582529800719</v>
      </c>
      <c r="E54" s="202">
        <f t="shared" si="32"/>
        <v>3983.3582529800719</v>
      </c>
      <c r="F54" s="202">
        <f>+'Table 5C1A-Madison Prep'!F54</f>
        <v>871.07</v>
      </c>
      <c r="G54" s="202">
        <f t="shared" si="33"/>
        <v>871.07</v>
      </c>
      <c r="H54" s="345">
        <f t="shared" si="34"/>
        <v>4854.4282529800721</v>
      </c>
      <c r="I54" s="203">
        <f>'[1]Oct midyear Jefferson Cham'!K51</f>
        <v>0</v>
      </c>
      <c r="J54" s="203">
        <f>'[1]Feb midyear Jefferson Cham'!K51</f>
        <v>4854.4282529800721</v>
      </c>
      <c r="K54" s="204">
        <f t="shared" si="35"/>
        <v>4854.4282529800721</v>
      </c>
      <c r="L54" s="345">
        <f t="shared" si="36"/>
        <v>9708.8565059601442</v>
      </c>
      <c r="M54" s="286">
        <f t="shared" si="28"/>
        <v>-24.272141264900363</v>
      </c>
      <c r="N54" s="345">
        <f t="shared" si="37"/>
        <v>9684.5843646952435</v>
      </c>
      <c r="O54" s="201">
        <v>0</v>
      </c>
      <c r="P54" s="351">
        <f t="shared" si="38"/>
        <v>9684.5843646952435</v>
      </c>
      <c r="Q54" s="203">
        <f>8*'[2]Table 5C1J-Jefferson Chamber'!S54</f>
        <v>3232</v>
      </c>
      <c r="R54" s="203">
        <f t="shared" si="39"/>
        <v>6452.5843646952435</v>
      </c>
      <c r="S54" s="351">
        <f t="shared" si="54"/>
        <v>1613</v>
      </c>
      <c r="T54" s="351">
        <f t="shared" si="40"/>
        <v>9684.5843646952435</v>
      </c>
      <c r="U54" s="287">
        <f>'Table 5C1A-Madison Prep'!U54</f>
        <v>6827</v>
      </c>
      <c r="V54" s="328">
        <f t="shared" si="41"/>
        <v>6827</v>
      </c>
      <c r="W54" s="289">
        <f>'[1]Oct midyear Jefferson Cham'!E51</f>
        <v>0</v>
      </c>
      <c r="X54" s="290">
        <f t="shared" si="42"/>
        <v>0</v>
      </c>
      <c r="Y54" s="289">
        <f>'[1]Feb midyear Jefferson Cham'!E51</f>
        <v>2</v>
      </c>
      <c r="Z54" s="290">
        <f t="shared" si="43"/>
        <v>6827</v>
      </c>
      <c r="AA54" s="288">
        <f t="shared" si="44"/>
        <v>6827</v>
      </c>
      <c r="AB54" s="324">
        <f t="shared" si="45"/>
        <v>13654</v>
      </c>
      <c r="AC54" s="292">
        <f t="shared" si="46"/>
        <v>-34.134999999999998</v>
      </c>
      <c r="AD54" s="324">
        <f t="shared" si="47"/>
        <v>13619.865</v>
      </c>
      <c r="AE54" s="293">
        <v>0</v>
      </c>
      <c r="AF54" s="324">
        <f t="shared" si="48"/>
        <v>13619.865</v>
      </c>
      <c r="AG54" s="293">
        <f>8*'[2]Table 5C1J-Jefferson Chamber'!AI54</f>
        <v>4880</v>
      </c>
      <c r="AH54" s="293">
        <f t="shared" si="49"/>
        <v>8739.8649999999998</v>
      </c>
      <c r="AI54" s="324">
        <f t="shared" si="55"/>
        <v>2185</v>
      </c>
      <c r="AJ54" s="321">
        <f t="shared" si="50"/>
        <v>23304.449364695243</v>
      </c>
      <c r="AK54" s="342">
        <f t="shared" si="51"/>
        <v>3798</v>
      </c>
      <c r="AM54" s="286">
        <v>-18.344999999999999</v>
      </c>
      <c r="AN54" s="286">
        <f t="shared" si="52"/>
        <v>-34.134999999999998</v>
      </c>
      <c r="AO54" s="286">
        <f t="shared" si="53"/>
        <v>-15.79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2.1.14'!Q51</f>
        <v>0</v>
      </c>
      <c r="D55" s="201">
        <f>+'Table 5C1A-Madison Prep'!D55</f>
        <v>4995.8755315659191</v>
      </c>
      <c r="E55" s="202">
        <f t="shared" si="32"/>
        <v>0</v>
      </c>
      <c r="F55" s="202">
        <f>+'Table 5C1A-Madison Prep'!F55</f>
        <v>574.43999999999994</v>
      </c>
      <c r="G55" s="202">
        <f t="shared" si="33"/>
        <v>0</v>
      </c>
      <c r="H55" s="345">
        <f t="shared" si="34"/>
        <v>0</v>
      </c>
      <c r="I55" s="203">
        <f>'[1]Oct midyear Jefferson Cham'!K52</f>
        <v>0</v>
      </c>
      <c r="J55" s="203">
        <f>'[1]Feb midyear Jefferson Cham'!K52</f>
        <v>0</v>
      </c>
      <c r="K55" s="204">
        <f t="shared" si="35"/>
        <v>0</v>
      </c>
      <c r="L55" s="345">
        <f t="shared" si="36"/>
        <v>0</v>
      </c>
      <c r="M55" s="286">
        <f t="shared" si="28"/>
        <v>0</v>
      </c>
      <c r="N55" s="345">
        <f t="shared" si="37"/>
        <v>0</v>
      </c>
      <c r="O55" s="201">
        <v>0</v>
      </c>
      <c r="P55" s="351">
        <f t="shared" si="38"/>
        <v>0</v>
      </c>
      <c r="Q55" s="203">
        <f>8*'[2]Table 5C1J-Jefferson Chamber'!S55</f>
        <v>0</v>
      </c>
      <c r="R55" s="203">
        <f t="shared" si="39"/>
        <v>0</v>
      </c>
      <c r="S55" s="351">
        <f t="shared" si="54"/>
        <v>0</v>
      </c>
      <c r="T55" s="351">
        <f t="shared" si="40"/>
        <v>0</v>
      </c>
      <c r="U55" s="287">
        <f>'Table 5C1A-Madison Prep'!U55</f>
        <v>2399</v>
      </c>
      <c r="V55" s="328">
        <f t="shared" si="41"/>
        <v>0</v>
      </c>
      <c r="W55" s="289">
        <f>'[1]Oct midyear Jefferson Cham'!E52</f>
        <v>0</v>
      </c>
      <c r="X55" s="290">
        <f t="shared" si="42"/>
        <v>0</v>
      </c>
      <c r="Y55" s="289">
        <f>'[1]Feb midyear Jefferson Cham'!E52</f>
        <v>0</v>
      </c>
      <c r="Z55" s="290">
        <f t="shared" si="43"/>
        <v>0</v>
      </c>
      <c r="AA55" s="288">
        <f t="shared" si="44"/>
        <v>0</v>
      </c>
      <c r="AB55" s="324">
        <f t="shared" si="45"/>
        <v>0</v>
      </c>
      <c r="AC55" s="292">
        <f t="shared" si="46"/>
        <v>0</v>
      </c>
      <c r="AD55" s="324">
        <f t="shared" si="47"/>
        <v>0</v>
      </c>
      <c r="AE55" s="293">
        <v>0</v>
      </c>
      <c r="AF55" s="324">
        <f t="shared" si="48"/>
        <v>0</v>
      </c>
      <c r="AG55" s="293">
        <f>8*'[2]Table 5C1J-Jefferson Chamber'!AI55</f>
        <v>0</v>
      </c>
      <c r="AH55" s="293">
        <f t="shared" si="49"/>
        <v>0</v>
      </c>
      <c r="AI55" s="324">
        <f t="shared" si="55"/>
        <v>0</v>
      </c>
      <c r="AJ55" s="321">
        <f t="shared" si="50"/>
        <v>0</v>
      </c>
      <c r="AK55" s="342">
        <f t="shared" si="51"/>
        <v>0</v>
      </c>
      <c r="AM55" s="286">
        <v>0</v>
      </c>
      <c r="AN55" s="286">
        <f t="shared" si="52"/>
        <v>0</v>
      </c>
      <c r="AO55" s="286">
        <f t="shared" si="53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2.1.14'!Q52</f>
        <v>0</v>
      </c>
      <c r="D56" s="194">
        <f>+'Table 5C1A-Madison Prep'!D56</f>
        <v>5177.6892722701677</v>
      </c>
      <c r="E56" s="195">
        <f t="shared" si="32"/>
        <v>0</v>
      </c>
      <c r="F56" s="195">
        <f>+'Table 5C1A-Madison Prep'!F56</f>
        <v>634.46</v>
      </c>
      <c r="G56" s="195">
        <f t="shared" si="33"/>
        <v>0</v>
      </c>
      <c r="H56" s="346">
        <f t="shared" si="34"/>
        <v>0</v>
      </c>
      <c r="I56" s="196">
        <f>'[1]Oct midyear Jefferson Cham'!K53</f>
        <v>0</v>
      </c>
      <c r="J56" s="196">
        <f>'[1]Feb midyear Jefferson Cham'!K53</f>
        <v>0</v>
      </c>
      <c r="K56" s="197">
        <f t="shared" si="35"/>
        <v>0</v>
      </c>
      <c r="L56" s="346">
        <f t="shared" si="36"/>
        <v>0</v>
      </c>
      <c r="M56" s="296">
        <f t="shared" si="28"/>
        <v>0</v>
      </c>
      <c r="N56" s="346">
        <f t="shared" si="37"/>
        <v>0</v>
      </c>
      <c r="O56" s="194">
        <v>0</v>
      </c>
      <c r="P56" s="352">
        <f t="shared" si="38"/>
        <v>0</v>
      </c>
      <c r="Q56" s="196">
        <f>8*'[2]Table 5C1J-Jefferson Chamber'!S56</f>
        <v>0</v>
      </c>
      <c r="R56" s="196">
        <f t="shared" si="39"/>
        <v>0</v>
      </c>
      <c r="S56" s="352">
        <f t="shared" si="54"/>
        <v>0</v>
      </c>
      <c r="T56" s="352">
        <f t="shared" si="40"/>
        <v>0</v>
      </c>
      <c r="U56" s="281">
        <f>'Table 5C1A-Madison Prep'!U56</f>
        <v>3413</v>
      </c>
      <c r="V56" s="329">
        <f t="shared" si="41"/>
        <v>0</v>
      </c>
      <c r="W56" s="884">
        <f>'[1]Oct midyear Jefferson Cham'!E53</f>
        <v>0</v>
      </c>
      <c r="X56" s="282">
        <f t="shared" si="42"/>
        <v>0</v>
      </c>
      <c r="Y56" s="884">
        <f>'[1]Feb midyear Jefferson Cham'!E53</f>
        <v>0</v>
      </c>
      <c r="Z56" s="282">
        <f t="shared" si="43"/>
        <v>0</v>
      </c>
      <c r="AA56" s="283">
        <f t="shared" si="44"/>
        <v>0</v>
      </c>
      <c r="AB56" s="325">
        <f t="shared" si="45"/>
        <v>0</v>
      </c>
      <c r="AC56" s="298">
        <f t="shared" si="46"/>
        <v>0</v>
      </c>
      <c r="AD56" s="325">
        <f t="shared" si="47"/>
        <v>0</v>
      </c>
      <c r="AE56" s="284">
        <v>0</v>
      </c>
      <c r="AF56" s="325">
        <f t="shared" si="48"/>
        <v>0</v>
      </c>
      <c r="AG56" s="284">
        <f>8*'[2]Table 5C1J-Jefferson Chamber'!AI56</f>
        <v>0</v>
      </c>
      <c r="AH56" s="284">
        <f t="shared" si="49"/>
        <v>0</v>
      </c>
      <c r="AI56" s="325">
        <f t="shared" si="55"/>
        <v>0</v>
      </c>
      <c r="AJ56" s="338">
        <f t="shared" si="50"/>
        <v>0</v>
      </c>
      <c r="AK56" s="343">
        <f t="shared" si="51"/>
        <v>0</v>
      </c>
      <c r="AM56" s="296">
        <v>0</v>
      </c>
      <c r="AN56" s="296">
        <f t="shared" si="52"/>
        <v>0</v>
      </c>
      <c r="AO56" s="296">
        <f t="shared" si="53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2.1.14'!Q53</f>
        <v>0</v>
      </c>
      <c r="D57" s="208">
        <f>+'Table 5C1A-Madison Prep'!D57</f>
        <v>4154.1928602178996</v>
      </c>
      <c r="E57" s="209">
        <f t="shared" si="32"/>
        <v>0</v>
      </c>
      <c r="F57" s="209">
        <f>+'Table 5C1A-Madison Prep'!F57</f>
        <v>706.66</v>
      </c>
      <c r="G57" s="209">
        <f t="shared" si="33"/>
        <v>0</v>
      </c>
      <c r="H57" s="344">
        <f t="shared" si="34"/>
        <v>0</v>
      </c>
      <c r="I57" s="210">
        <f>'[1]Oct midyear Jefferson Cham'!K54</f>
        <v>0</v>
      </c>
      <c r="J57" s="210">
        <f>'[1]Feb midyear Jefferson Cham'!K54</f>
        <v>0</v>
      </c>
      <c r="K57" s="211">
        <f t="shared" si="35"/>
        <v>0</v>
      </c>
      <c r="L57" s="344">
        <f t="shared" si="36"/>
        <v>0</v>
      </c>
      <c r="M57" s="273">
        <f t="shared" si="28"/>
        <v>0</v>
      </c>
      <c r="N57" s="344">
        <f t="shared" si="37"/>
        <v>0</v>
      </c>
      <c r="O57" s="208">
        <v>0</v>
      </c>
      <c r="P57" s="350">
        <f t="shared" si="38"/>
        <v>0</v>
      </c>
      <c r="Q57" s="210">
        <f>8*'[2]Table 5C1J-Jefferson Chamber'!S57</f>
        <v>0</v>
      </c>
      <c r="R57" s="210">
        <f t="shared" si="39"/>
        <v>0</v>
      </c>
      <c r="S57" s="350">
        <f t="shared" si="54"/>
        <v>0</v>
      </c>
      <c r="T57" s="350">
        <f t="shared" si="40"/>
        <v>0</v>
      </c>
      <c r="U57" s="274">
        <f>'Table 5C1A-Madison Prep'!U57</f>
        <v>4512</v>
      </c>
      <c r="V57" s="327">
        <f t="shared" si="41"/>
        <v>0</v>
      </c>
      <c r="W57" s="883">
        <f>'[1]Oct midyear Jefferson Cham'!E54</f>
        <v>0</v>
      </c>
      <c r="X57" s="276">
        <f t="shared" si="42"/>
        <v>0</v>
      </c>
      <c r="Y57" s="883">
        <f>'[1]Feb midyear Jefferson Cham'!E54</f>
        <v>0</v>
      </c>
      <c r="Z57" s="276">
        <f t="shared" si="43"/>
        <v>0</v>
      </c>
      <c r="AA57" s="275">
        <f t="shared" si="44"/>
        <v>0</v>
      </c>
      <c r="AB57" s="323">
        <f t="shared" si="45"/>
        <v>0</v>
      </c>
      <c r="AC57" s="278">
        <f t="shared" si="46"/>
        <v>0</v>
      </c>
      <c r="AD57" s="323">
        <f t="shared" si="47"/>
        <v>0</v>
      </c>
      <c r="AE57" s="279">
        <v>0</v>
      </c>
      <c r="AF57" s="323">
        <f t="shared" si="48"/>
        <v>0</v>
      </c>
      <c r="AG57" s="279">
        <f>8*'[2]Table 5C1J-Jefferson Chamber'!AI57</f>
        <v>0</v>
      </c>
      <c r="AH57" s="279">
        <f t="shared" si="49"/>
        <v>0</v>
      </c>
      <c r="AI57" s="323">
        <f t="shared" si="55"/>
        <v>0</v>
      </c>
      <c r="AJ57" s="337">
        <f t="shared" si="50"/>
        <v>0</v>
      </c>
      <c r="AK57" s="341">
        <f t="shared" si="51"/>
        <v>0</v>
      </c>
      <c r="AM57" s="273">
        <v>0</v>
      </c>
      <c r="AN57" s="273">
        <f t="shared" si="52"/>
        <v>0</v>
      </c>
      <c r="AO57" s="273">
        <f t="shared" si="53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2.1.14'!Q54</f>
        <v>0</v>
      </c>
      <c r="D58" s="201">
        <f>+'Table 5C1A-Madison Prep'!D58</f>
        <v>5062.2745845228173</v>
      </c>
      <c r="E58" s="202">
        <f t="shared" si="32"/>
        <v>0</v>
      </c>
      <c r="F58" s="202">
        <f>+'Table 5C1A-Madison Prep'!F58</f>
        <v>658.37</v>
      </c>
      <c r="G58" s="202">
        <f t="shared" si="33"/>
        <v>0</v>
      </c>
      <c r="H58" s="345">
        <f t="shared" si="34"/>
        <v>0</v>
      </c>
      <c r="I58" s="203">
        <f>'[1]Oct midyear Jefferson Cham'!K55</f>
        <v>0</v>
      </c>
      <c r="J58" s="203">
        <f>'[1]Feb midyear Jefferson Cham'!K55</f>
        <v>0</v>
      </c>
      <c r="K58" s="204">
        <f t="shared" si="35"/>
        <v>0</v>
      </c>
      <c r="L58" s="345">
        <f t="shared" si="36"/>
        <v>0</v>
      </c>
      <c r="M58" s="286">
        <f t="shared" si="28"/>
        <v>0</v>
      </c>
      <c r="N58" s="345">
        <f t="shared" si="37"/>
        <v>0</v>
      </c>
      <c r="O58" s="201">
        <v>0</v>
      </c>
      <c r="P58" s="351">
        <f t="shared" si="38"/>
        <v>0</v>
      </c>
      <c r="Q58" s="203">
        <f>8*'[2]Table 5C1J-Jefferson Chamber'!S58</f>
        <v>0</v>
      </c>
      <c r="R58" s="203">
        <f t="shared" si="39"/>
        <v>0</v>
      </c>
      <c r="S58" s="351">
        <f t="shared" si="54"/>
        <v>0</v>
      </c>
      <c r="T58" s="351">
        <f t="shared" si="40"/>
        <v>0</v>
      </c>
      <c r="U58" s="287">
        <f>'Table 5C1A-Madison Prep'!U58</f>
        <v>5289</v>
      </c>
      <c r="V58" s="328">
        <f t="shared" si="41"/>
        <v>0</v>
      </c>
      <c r="W58" s="289">
        <f>'[1]Oct midyear Jefferson Cham'!E55</f>
        <v>0</v>
      </c>
      <c r="X58" s="290">
        <f t="shared" si="42"/>
        <v>0</v>
      </c>
      <c r="Y58" s="289">
        <f>'[1]Feb midyear Jefferson Cham'!E55</f>
        <v>0</v>
      </c>
      <c r="Z58" s="290">
        <f t="shared" si="43"/>
        <v>0</v>
      </c>
      <c r="AA58" s="288">
        <f t="shared" si="44"/>
        <v>0</v>
      </c>
      <c r="AB58" s="324">
        <f t="shared" si="45"/>
        <v>0</v>
      </c>
      <c r="AC58" s="292">
        <f t="shared" si="46"/>
        <v>0</v>
      </c>
      <c r="AD58" s="324">
        <f t="shared" si="47"/>
        <v>0</v>
      </c>
      <c r="AE58" s="293">
        <v>0</v>
      </c>
      <c r="AF58" s="324">
        <f t="shared" si="48"/>
        <v>0</v>
      </c>
      <c r="AG58" s="293">
        <f>8*'[2]Table 5C1J-Jefferson Chamber'!AI58</f>
        <v>0</v>
      </c>
      <c r="AH58" s="293">
        <f t="shared" si="49"/>
        <v>0</v>
      </c>
      <c r="AI58" s="324">
        <f t="shared" si="55"/>
        <v>0</v>
      </c>
      <c r="AJ58" s="321">
        <f t="shared" si="50"/>
        <v>0</v>
      </c>
      <c r="AK58" s="342">
        <f t="shared" si="51"/>
        <v>0</v>
      </c>
      <c r="AM58" s="286">
        <v>0</v>
      </c>
      <c r="AN58" s="286">
        <f t="shared" si="52"/>
        <v>0</v>
      </c>
      <c r="AO58" s="286">
        <f t="shared" si="53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2.1.14'!Q55</f>
        <v>0</v>
      </c>
      <c r="D59" s="201">
        <f>+'Table 5C1A-Madison Prep'!D59</f>
        <v>5060.1508194045482</v>
      </c>
      <c r="E59" s="202">
        <f t="shared" si="32"/>
        <v>0</v>
      </c>
      <c r="F59" s="202">
        <f>+'Table 5C1A-Madison Prep'!F59</f>
        <v>689.74</v>
      </c>
      <c r="G59" s="202">
        <f t="shared" si="33"/>
        <v>0</v>
      </c>
      <c r="H59" s="345">
        <f t="shared" si="34"/>
        <v>0</v>
      </c>
      <c r="I59" s="203">
        <f>'[1]Oct midyear Jefferson Cham'!K56</f>
        <v>0</v>
      </c>
      <c r="J59" s="203">
        <f>'[1]Feb midyear Jefferson Cham'!K56</f>
        <v>0</v>
      </c>
      <c r="K59" s="204">
        <f t="shared" si="35"/>
        <v>0</v>
      </c>
      <c r="L59" s="345">
        <f t="shared" si="36"/>
        <v>0</v>
      </c>
      <c r="M59" s="286">
        <f t="shared" si="28"/>
        <v>0</v>
      </c>
      <c r="N59" s="345">
        <f t="shared" si="37"/>
        <v>0</v>
      </c>
      <c r="O59" s="201">
        <v>0</v>
      </c>
      <c r="P59" s="351">
        <f t="shared" si="38"/>
        <v>0</v>
      </c>
      <c r="Q59" s="203">
        <f>8*'[2]Table 5C1J-Jefferson Chamber'!S59</f>
        <v>0</v>
      </c>
      <c r="R59" s="203">
        <f t="shared" si="39"/>
        <v>0</v>
      </c>
      <c r="S59" s="351">
        <f t="shared" si="54"/>
        <v>0</v>
      </c>
      <c r="T59" s="351">
        <f t="shared" si="40"/>
        <v>0</v>
      </c>
      <c r="U59" s="287">
        <f>'Table 5C1A-Madison Prep'!U59</f>
        <v>2101</v>
      </c>
      <c r="V59" s="328">
        <f t="shared" si="41"/>
        <v>0</v>
      </c>
      <c r="W59" s="289">
        <f>'[1]Oct midyear Jefferson Cham'!E56</f>
        <v>0</v>
      </c>
      <c r="X59" s="290">
        <f t="shared" si="42"/>
        <v>0</v>
      </c>
      <c r="Y59" s="289">
        <f>'[1]Feb midyear Jefferson Cham'!E56</f>
        <v>0</v>
      </c>
      <c r="Z59" s="290">
        <f t="shared" si="43"/>
        <v>0</v>
      </c>
      <c r="AA59" s="288">
        <f t="shared" si="44"/>
        <v>0</v>
      </c>
      <c r="AB59" s="324">
        <f t="shared" si="45"/>
        <v>0</v>
      </c>
      <c r="AC59" s="292">
        <f t="shared" si="46"/>
        <v>0</v>
      </c>
      <c r="AD59" s="324">
        <f t="shared" si="47"/>
        <v>0</v>
      </c>
      <c r="AE59" s="293">
        <v>0</v>
      </c>
      <c r="AF59" s="324">
        <f t="shared" si="48"/>
        <v>0</v>
      </c>
      <c r="AG59" s="293">
        <f>8*'[2]Table 5C1J-Jefferson Chamber'!AI59</f>
        <v>0</v>
      </c>
      <c r="AH59" s="293">
        <f t="shared" si="49"/>
        <v>0</v>
      </c>
      <c r="AI59" s="324">
        <f t="shared" si="55"/>
        <v>0</v>
      </c>
      <c r="AJ59" s="321">
        <f t="shared" si="50"/>
        <v>0</v>
      </c>
      <c r="AK59" s="342">
        <f t="shared" si="51"/>
        <v>0</v>
      </c>
      <c r="AM59" s="286">
        <v>0</v>
      </c>
      <c r="AN59" s="286">
        <f t="shared" si="52"/>
        <v>0</v>
      </c>
      <c r="AO59" s="286">
        <f t="shared" si="53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2.1.14'!Q56</f>
        <v>0</v>
      </c>
      <c r="D60" s="201">
        <f>+'Table 5C1A-Madison Prep'!D60</f>
        <v>5867.0798370516713</v>
      </c>
      <c r="E60" s="202">
        <f t="shared" si="32"/>
        <v>0</v>
      </c>
      <c r="F60" s="202">
        <f>+'Table 5C1A-Madison Prep'!F60</f>
        <v>951.45</v>
      </c>
      <c r="G60" s="202">
        <f t="shared" si="33"/>
        <v>0</v>
      </c>
      <c r="H60" s="345">
        <f t="shared" si="34"/>
        <v>0</v>
      </c>
      <c r="I60" s="203">
        <f>'[1]Oct midyear Jefferson Cham'!K57</f>
        <v>0</v>
      </c>
      <c r="J60" s="203">
        <f>'[1]Feb midyear Jefferson Cham'!K57</f>
        <v>0</v>
      </c>
      <c r="K60" s="204">
        <f t="shared" si="35"/>
        <v>0</v>
      </c>
      <c r="L60" s="345">
        <f t="shared" si="36"/>
        <v>0</v>
      </c>
      <c r="M60" s="286">
        <f t="shared" si="28"/>
        <v>0</v>
      </c>
      <c r="N60" s="345">
        <f t="shared" si="37"/>
        <v>0</v>
      </c>
      <c r="O60" s="201">
        <v>0</v>
      </c>
      <c r="P60" s="351">
        <f t="shared" si="38"/>
        <v>0</v>
      </c>
      <c r="Q60" s="203">
        <f>8*'[2]Table 5C1J-Jefferson Chamber'!S60</f>
        <v>0</v>
      </c>
      <c r="R60" s="203">
        <f t="shared" si="39"/>
        <v>0</v>
      </c>
      <c r="S60" s="351">
        <f t="shared" si="54"/>
        <v>0</v>
      </c>
      <c r="T60" s="351">
        <f t="shared" si="40"/>
        <v>0</v>
      </c>
      <c r="U60" s="287">
        <f>'Table 5C1A-Madison Prep'!U60</f>
        <v>4150</v>
      </c>
      <c r="V60" s="328">
        <f t="shared" si="41"/>
        <v>0</v>
      </c>
      <c r="W60" s="289">
        <f>'[1]Oct midyear Jefferson Cham'!E57</f>
        <v>0</v>
      </c>
      <c r="X60" s="290">
        <f t="shared" si="42"/>
        <v>0</v>
      </c>
      <c r="Y60" s="289">
        <f>'[1]Feb midyear Jefferson Cham'!E57</f>
        <v>0</v>
      </c>
      <c r="Z60" s="290">
        <f t="shared" si="43"/>
        <v>0</v>
      </c>
      <c r="AA60" s="288">
        <f t="shared" si="44"/>
        <v>0</v>
      </c>
      <c r="AB60" s="324">
        <f t="shared" si="45"/>
        <v>0</v>
      </c>
      <c r="AC60" s="292">
        <f t="shared" si="46"/>
        <v>0</v>
      </c>
      <c r="AD60" s="324">
        <f t="shared" si="47"/>
        <v>0</v>
      </c>
      <c r="AE60" s="293">
        <v>0</v>
      </c>
      <c r="AF60" s="324">
        <f t="shared" si="48"/>
        <v>0</v>
      </c>
      <c r="AG60" s="293">
        <f>8*'[2]Table 5C1J-Jefferson Chamber'!AI60</f>
        <v>0</v>
      </c>
      <c r="AH60" s="293">
        <f t="shared" si="49"/>
        <v>0</v>
      </c>
      <c r="AI60" s="324">
        <f t="shared" si="55"/>
        <v>0</v>
      </c>
      <c r="AJ60" s="321">
        <f t="shared" si="50"/>
        <v>0</v>
      </c>
      <c r="AK60" s="342">
        <f t="shared" si="51"/>
        <v>0</v>
      </c>
      <c r="AM60" s="286">
        <v>0</v>
      </c>
      <c r="AN60" s="286">
        <f t="shared" si="52"/>
        <v>0</v>
      </c>
      <c r="AO60" s="286">
        <f t="shared" si="53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2.1.14'!Q57</f>
        <v>0</v>
      </c>
      <c r="D61" s="194">
        <f>+'Table 5C1A-Madison Prep'!D61</f>
        <v>4266.8225491298481</v>
      </c>
      <c r="E61" s="195">
        <f t="shared" si="32"/>
        <v>0</v>
      </c>
      <c r="F61" s="195">
        <f>+'Table 5C1A-Madison Prep'!F61</f>
        <v>795.14</v>
      </c>
      <c r="G61" s="195">
        <f t="shared" si="33"/>
        <v>0</v>
      </c>
      <c r="H61" s="346">
        <f t="shared" si="34"/>
        <v>0</v>
      </c>
      <c r="I61" s="196">
        <f>'[1]Oct midyear Jefferson Cham'!K58</f>
        <v>0</v>
      </c>
      <c r="J61" s="196">
        <f>'[1]Feb midyear Jefferson Cham'!K58</f>
        <v>0</v>
      </c>
      <c r="K61" s="197">
        <f t="shared" si="35"/>
        <v>0</v>
      </c>
      <c r="L61" s="346">
        <f t="shared" si="36"/>
        <v>0</v>
      </c>
      <c r="M61" s="296">
        <f t="shared" si="28"/>
        <v>0</v>
      </c>
      <c r="N61" s="346">
        <f t="shared" si="37"/>
        <v>0</v>
      </c>
      <c r="O61" s="194">
        <v>0</v>
      </c>
      <c r="P61" s="352">
        <f t="shared" si="38"/>
        <v>0</v>
      </c>
      <c r="Q61" s="196">
        <f>8*'[2]Table 5C1J-Jefferson Chamber'!S61</f>
        <v>0</v>
      </c>
      <c r="R61" s="196">
        <f t="shared" si="39"/>
        <v>0</v>
      </c>
      <c r="S61" s="352">
        <f t="shared" si="54"/>
        <v>0</v>
      </c>
      <c r="T61" s="352">
        <f t="shared" si="40"/>
        <v>0</v>
      </c>
      <c r="U61" s="281">
        <f>'Table 5C1A-Madison Prep'!U61</f>
        <v>3637</v>
      </c>
      <c r="V61" s="329">
        <f t="shared" si="41"/>
        <v>0</v>
      </c>
      <c r="W61" s="884">
        <f>'[1]Oct midyear Jefferson Cham'!E58</f>
        <v>0</v>
      </c>
      <c r="X61" s="282">
        <f t="shared" si="42"/>
        <v>0</v>
      </c>
      <c r="Y61" s="884">
        <f>'[1]Feb midyear Jefferson Cham'!E58</f>
        <v>0</v>
      </c>
      <c r="Z61" s="282">
        <f t="shared" si="43"/>
        <v>0</v>
      </c>
      <c r="AA61" s="283">
        <f t="shared" si="44"/>
        <v>0</v>
      </c>
      <c r="AB61" s="325">
        <f t="shared" si="45"/>
        <v>0</v>
      </c>
      <c r="AC61" s="298">
        <f t="shared" si="46"/>
        <v>0</v>
      </c>
      <c r="AD61" s="325">
        <f t="shared" si="47"/>
        <v>0</v>
      </c>
      <c r="AE61" s="284">
        <v>0</v>
      </c>
      <c r="AF61" s="325">
        <f t="shared" si="48"/>
        <v>0</v>
      </c>
      <c r="AG61" s="284">
        <f>8*'[2]Table 5C1J-Jefferson Chamber'!AI61</f>
        <v>0</v>
      </c>
      <c r="AH61" s="284">
        <f t="shared" si="49"/>
        <v>0</v>
      </c>
      <c r="AI61" s="325">
        <f t="shared" si="55"/>
        <v>0</v>
      </c>
      <c r="AJ61" s="338">
        <f t="shared" si="50"/>
        <v>0</v>
      </c>
      <c r="AK61" s="343">
        <f t="shared" si="51"/>
        <v>0</v>
      </c>
      <c r="AM61" s="296">
        <v>0</v>
      </c>
      <c r="AN61" s="296">
        <f t="shared" si="52"/>
        <v>0</v>
      </c>
      <c r="AO61" s="296">
        <f t="shared" si="53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2.1.14'!Q58</f>
        <v>0</v>
      </c>
      <c r="D62" s="208">
        <f>+'Table 5C1A-Madison Prep'!D62</f>
        <v>5028.4909408288286</v>
      </c>
      <c r="E62" s="209">
        <f t="shared" si="32"/>
        <v>0</v>
      </c>
      <c r="F62" s="209">
        <f>+'Table 5C1A-Madison Prep'!F62</f>
        <v>614.66000000000008</v>
      </c>
      <c r="G62" s="209">
        <f t="shared" si="33"/>
        <v>0</v>
      </c>
      <c r="H62" s="344">
        <f t="shared" si="34"/>
        <v>0</v>
      </c>
      <c r="I62" s="210">
        <f>'[1]Oct midyear Jefferson Cham'!K59</f>
        <v>0</v>
      </c>
      <c r="J62" s="210">
        <f>'[1]Feb midyear Jefferson Cham'!K59</f>
        <v>0</v>
      </c>
      <c r="K62" s="211">
        <f t="shared" si="35"/>
        <v>0</v>
      </c>
      <c r="L62" s="344">
        <f t="shared" si="36"/>
        <v>0</v>
      </c>
      <c r="M62" s="273">
        <f t="shared" si="28"/>
        <v>0</v>
      </c>
      <c r="N62" s="344">
        <f t="shared" si="37"/>
        <v>0</v>
      </c>
      <c r="O62" s="208">
        <v>0</v>
      </c>
      <c r="P62" s="350">
        <f t="shared" si="38"/>
        <v>0</v>
      </c>
      <c r="Q62" s="210">
        <f>8*'[2]Table 5C1J-Jefferson Chamber'!S62</f>
        <v>0</v>
      </c>
      <c r="R62" s="210">
        <f t="shared" si="39"/>
        <v>0</v>
      </c>
      <c r="S62" s="350">
        <f t="shared" si="54"/>
        <v>0</v>
      </c>
      <c r="T62" s="350">
        <f t="shared" si="40"/>
        <v>0</v>
      </c>
      <c r="U62" s="274">
        <f>'Table 5C1A-Madison Prep'!U62</f>
        <v>2857</v>
      </c>
      <c r="V62" s="327">
        <f t="shared" si="41"/>
        <v>0</v>
      </c>
      <c r="W62" s="883">
        <f>'[1]Oct midyear Jefferson Cham'!E59</f>
        <v>0</v>
      </c>
      <c r="X62" s="276">
        <f t="shared" si="42"/>
        <v>0</v>
      </c>
      <c r="Y62" s="883">
        <f>'[1]Feb midyear Jefferson Cham'!E59</f>
        <v>0</v>
      </c>
      <c r="Z62" s="276">
        <f t="shared" si="43"/>
        <v>0</v>
      </c>
      <c r="AA62" s="275">
        <f t="shared" si="44"/>
        <v>0</v>
      </c>
      <c r="AB62" s="323">
        <f t="shared" si="45"/>
        <v>0</v>
      </c>
      <c r="AC62" s="278">
        <f t="shared" si="46"/>
        <v>0</v>
      </c>
      <c r="AD62" s="323">
        <f t="shared" si="47"/>
        <v>0</v>
      </c>
      <c r="AE62" s="279">
        <v>0</v>
      </c>
      <c r="AF62" s="323">
        <f t="shared" si="48"/>
        <v>0</v>
      </c>
      <c r="AG62" s="279">
        <f>8*'[2]Table 5C1J-Jefferson Chamber'!AI62</f>
        <v>0</v>
      </c>
      <c r="AH62" s="279">
        <f t="shared" si="49"/>
        <v>0</v>
      </c>
      <c r="AI62" s="323">
        <f t="shared" si="55"/>
        <v>0</v>
      </c>
      <c r="AJ62" s="337">
        <f t="shared" si="50"/>
        <v>0</v>
      </c>
      <c r="AK62" s="341">
        <f t="shared" si="51"/>
        <v>0</v>
      </c>
      <c r="AM62" s="273">
        <v>0</v>
      </c>
      <c r="AN62" s="273">
        <f t="shared" si="52"/>
        <v>0</v>
      </c>
      <c r="AO62" s="273">
        <f t="shared" si="53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2.1.14'!Q59</f>
        <v>0</v>
      </c>
      <c r="D63" s="201">
        <f>+'Table 5C1A-Madison Prep'!D63</f>
        <v>4625.9922979230687</v>
      </c>
      <c r="E63" s="202">
        <f t="shared" si="32"/>
        <v>0</v>
      </c>
      <c r="F63" s="202">
        <f>+'Table 5C1A-Madison Prep'!F63</f>
        <v>764.51</v>
      </c>
      <c r="G63" s="202">
        <f t="shared" si="33"/>
        <v>0</v>
      </c>
      <c r="H63" s="345">
        <f t="shared" si="34"/>
        <v>0</v>
      </c>
      <c r="I63" s="203">
        <f>'[1]Oct midyear Jefferson Cham'!K60</f>
        <v>0</v>
      </c>
      <c r="J63" s="203">
        <f>'[1]Feb midyear Jefferson Cham'!K60</f>
        <v>0</v>
      </c>
      <c r="K63" s="204">
        <f t="shared" si="35"/>
        <v>0</v>
      </c>
      <c r="L63" s="345">
        <f t="shared" si="36"/>
        <v>0</v>
      </c>
      <c r="M63" s="286">
        <f t="shared" si="28"/>
        <v>0</v>
      </c>
      <c r="N63" s="345">
        <f t="shared" si="37"/>
        <v>0</v>
      </c>
      <c r="O63" s="201">
        <v>0</v>
      </c>
      <c r="P63" s="351">
        <f t="shared" si="38"/>
        <v>0</v>
      </c>
      <c r="Q63" s="203">
        <f>8*'[2]Table 5C1J-Jefferson Chamber'!S63</f>
        <v>0</v>
      </c>
      <c r="R63" s="203">
        <f t="shared" si="39"/>
        <v>0</v>
      </c>
      <c r="S63" s="351">
        <f t="shared" si="54"/>
        <v>0</v>
      </c>
      <c r="T63" s="351">
        <f t="shared" si="40"/>
        <v>0</v>
      </c>
      <c r="U63" s="287">
        <f>'Table 5C1A-Madison Prep'!U63</f>
        <v>3465</v>
      </c>
      <c r="V63" s="328">
        <f t="shared" si="41"/>
        <v>0</v>
      </c>
      <c r="W63" s="289">
        <f>'[1]Oct midyear Jefferson Cham'!E60</f>
        <v>0</v>
      </c>
      <c r="X63" s="290">
        <f t="shared" si="42"/>
        <v>0</v>
      </c>
      <c r="Y63" s="289">
        <f>'[1]Feb midyear Jefferson Cham'!E60</f>
        <v>0</v>
      </c>
      <c r="Z63" s="290">
        <f t="shared" si="43"/>
        <v>0</v>
      </c>
      <c r="AA63" s="288">
        <f t="shared" si="44"/>
        <v>0</v>
      </c>
      <c r="AB63" s="324">
        <f t="shared" si="45"/>
        <v>0</v>
      </c>
      <c r="AC63" s="292">
        <f t="shared" si="46"/>
        <v>0</v>
      </c>
      <c r="AD63" s="324">
        <f t="shared" si="47"/>
        <v>0</v>
      </c>
      <c r="AE63" s="293">
        <v>0</v>
      </c>
      <c r="AF63" s="324">
        <f t="shared" si="48"/>
        <v>0</v>
      </c>
      <c r="AG63" s="293">
        <f>8*'[2]Table 5C1J-Jefferson Chamber'!AI63</f>
        <v>0</v>
      </c>
      <c r="AH63" s="293">
        <f t="shared" si="49"/>
        <v>0</v>
      </c>
      <c r="AI63" s="324">
        <f t="shared" si="55"/>
        <v>0</v>
      </c>
      <c r="AJ63" s="321">
        <f t="shared" si="50"/>
        <v>0</v>
      </c>
      <c r="AK63" s="342">
        <f t="shared" si="51"/>
        <v>0</v>
      </c>
      <c r="AM63" s="286">
        <v>0</v>
      </c>
      <c r="AN63" s="286">
        <f t="shared" si="52"/>
        <v>0</v>
      </c>
      <c r="AO63" s="286">
        <f t="shared" si="53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2.1.14'!Q60</f>
        <v>0</v>
      </c>
      <c r="D64" s="201">
        <f>+'Table 5C1A-Madison Prep'!D64</f>
        <v>5673.1129637882123</v>
      </c>
      <c r="E64" s="202">
        <f t="shared" si="32"/>
        <v>0</v>
      </c>
      <c r="F64" s="202">
        <f>+'Table 5C1A-Madison Prep'!F64</f>
        <v>697.04</v>
      </c>
      <c r="G64" s="202">
        <f t="shared" si="33"/>
        <v>0</v>
      </c>
      <c r="H64" s="345">
        <f t="shared" si="34"/>
        <v>0</v>
      </c>
      <c r="I64" s="203">
        <f>'[1]Oct midyear Jefferson Cham'!K61</f>
        <v>0</v>
      </c>
      <c r="J64" s="203">
        <f>'[1]Feb midyear Jefferson Cham'!K61</f>
        <v>0</v>
      </c>
      <c r="K64" s="204">
        <f t="shared" si="35"/>
        <v>0</v>
      </c>
      <c r="L64" s="345">
        <f t="shared" si="36"/>
        <v>0</v>
      </c>
      <c r="M64" s="286">
        <f t="shared" si="28"/>
        <v>0</v>
      </c>
      <c r="N64" s="345">
        <f t="shared" si="37"/>
        <v>0</v>
      </c>
      <c r="O64" s="201">
        <v>0</v>
      </c>
      <c r="P64" s="351">
        <f t="shared" si="38"/>
        <v>0</v>
      </c>
      <c r="Q64" s="203">
        <f>8*'[2]Table 5C1J-Jefferson Chamber'!S64</f>
        <v>0</v>
      </c>
      <c r="R64" s="203">
        <f t="shared" si="39"/>
        <v>0</v>
      </c>
      <c r="S64" s="351">
        <f t="shared" si="54"/>
        <v>0</v>
      </c>
      <c r="T64" s="351">
        <f t="shared" si="40"/>
        <v>0</v>
      </c>
      <c r="U64" s="287">
        <f>'Table 5C1A-Madison Prep'!U64</f>
        <v>2167</v>
      </c>
      <c r="V64" s="328">
        <f t="shared" si="41"/>
        <v>0</v>
      </c>
      <c r="W64" s="289">
        <f>'[1]Oct midyear Jefferson Cham'!E61</f>
        <v>0</v>
      </c>
      <c r="X64" s="290">
        <f t="shared" si="42"/>
        <v>0</v>
      </c>
      <c r="Y64" s="289">
        <f>'[1]Feb midyear Jefferson Cham'!E61</f>
        <v>0</v>
      </c>
      <c r="Z64" s="290">
        <f t="shared" si="43"/>
        <v>0</v>
      </c>
      <c r="AA64" s="288">
        <f t="shared" si="44"/>
        <v>0</v>
      </c>
      <c r="AB64" s="324">
        <f t="shared" si="45"/>
        <v>0</v>
      </c>
      <c r="AC64" s="292">
        <f t="shared" si="46"/>
        <v>0</v>
      </c>
      <c r="AD64" s="324">
        <f t="shared" si="47"/>
        <v>0</v>
      </c>
      <c r="AE64" s="293">
        <v>0</v>
      </c>
      <c r="AF64" s="324">
        <f t="shared" si="48"/>
        <v>0</v>
      </c>
      <c r="AG64" s="293">
        <f>8*'[2]Table 5C1J-Jefferson Chamber'!AI64</f>
        <v>0</v>
      </c>
      <c r="AH64" s="293">
        <f t="shared" si="49"/>
        <v>0</v>
      </c>
      <c r="AI64" s="324">
        <f t="shared" si="55"/>
        <v>0</v>
      </c>
      <c r="AJ64" s="321">
        <f t="shared" si="50"/>
        <v>0</v>
      </c>
      <c r="AK64" s="342">
        <f t="shared" si="51"/>
        <v>0</v>
      </c>
      <c r="AM64" s="286">
        <v>0</v>
      </c>
      <c r="AN64" s="286">
        <f t="shared" si="52"/>
        <v>0</v>
      </c>
      <c r="AO64" s="286">
        <f t="shared" si="53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2.1.14'!Q61</f>
        <v>0</v>
      </c>
      <c r="D65" s="201">
        <f>+'Table 5C1A-Madison Prep'!D65</f>
        <v>6621.946293521848</v>
      </c>
      <c r="E65" s="202">
        <f t="shared" si="32"/>
        <v>0</v>
      </c>
      <c r="F65" s="202">
        <f>+'Table 5C1A-Madison Prep'!F65</f>
        <v>689.52</v>
      </c>
      <c r="G65" s="202">
        <f t="shared" si="33"/>
        <v>0</v>
      </c>
      <c r="H65" s="345">
        <f t="shared" si="34"/>
        <v>0</v>
      </c>
      <c r="I65" s="203">
        <f>'[1]Oct midyear Jefferson Cham'!K62</f>
        <v>0</v>
      </c>
      <c r="J65" s="203">
        <f>'[1]Feb midyear Jefferson Cham'!K62</f>
        <v>3655.7331467609238</v>
      </c>
      <c r="K65" s="204">
        <f t="shared" si="35"/>
        <v>3655.7331467609238</v>
      </c>
      <c r="L65" s="345">
        <f t="shared" si="36"/>
        <v>3655.7331467609238</v>
      </c>
      <c r="M65" s="286">
        <f t="shared" si="28"/>
        <v>-9.1393328669023095</v>
      </c>
      <c r="N65" s="345">
        <f t="shared" si="37"/>
        <v>3646.5938138940214</v>
      </c>
      <c r="O65" s="201">
        <v>0</v>
      </c>
      <c r="P65" s="351">
        <f t="shared" si="38"/>
        <v>3646.5938138940214</v>
      </c>
      <c r="Q65" s="203">
        <f>8*'[2]Table 5C1J-Jefferson Chamber'!S65</f>
        <v>0</v>
      </c>
      <c r="R65" s="203">
        <f t="shared" si="39"/>
        <v>3646.5938138940214</v>
      </c>
      <c r="S65" s="351">
        <f t="shared" si="54"/>
        <v>912</v>
      </c>
      <c r="T65" s="351">
        <f t="shared" si="40"/>
        <v>3646.5938138940214</v>
      </c>
      <c r="U65" s="287">
        <f>'Table 5C1A-Madison Prep'!U65</f>
        <v>1521</v>
      </c>
      <c r="V65" s="328">
        <f t="shared" si="41"/>
        <v>0</v>
      </c>
      <c r="W65" s="289">
        <f>'[1]Oct midyear Jefferson Cham'!E62</f>
        <v>0</v>
      </c>
      <c r="X65" s="290">
        <f t="shared" si="42"/>
        <v>0</v>
      </c>
      <c r="Y65" s="289">
        <f>'[1]Feb midyear Jefferson Cham'!E62</f>
        <v>1</v>
      </c>
      <c r="Z65" s="290">
        <f t="shared" si="43"/>
        <v>760.5</v>
      </c>
      <c r="AA65" s="288">
        <f t="shared" si="44"/>
        <v>760.5</v>
      </c>
      <c r="AB65" s="324">
        <f t="shared" si="45"/>
        <v>760.5</v>
      </c>
      <c r="AC65" s="292">
        <f t="shared" si="46"/>
        <v>-1.9012500000000001</v>
      </c>
      <c r="AD65" s="324">
        <f t="shared" si="47"/>
        <v>758.59875</v>
      </c>
      <c r="AE65" s="293">
        <v>0</v>
      </c>
      <c r="AF65" s="324">
        <f t="shared" si="48"/>
        <v>758.59875</v>
      </c>
      <c r="AG65" s="293">
        <f>8*'[2]Table 5C1J-Jefferson Chamber'!AI65</f>
        <v>0</v>
      </c>
      <c r="AH65" s="293">
        <f t="shared" si="49"/>
        <v>758.59875</v>
      </c>
      <c r="AI65" s="324">
        <f t="shared" si="55"/>
        <v>190</v>
      </c>
      <c r="AJ65" s="321">
        <f t="shared" si="50"/>
        <v>4405.1925638940211</v>
      </c>
      <c r="AK65" s="342">
        <f t="shared" si="51"/>
        <v>1102</v>
      </c>
      <c r="AM65" s="286">
        <v>0</v>
      </c>
      <c r="AN65" s="286">
        <f t="shared" si="52"/>
        <v>-1.9012500000000001</v>
      </c>
      <c r="AO65" s="286">
        <f t="shared" si="53"/>
        <v>-1.9012500000000001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2.1.14'!Q62</f>
        <v>0</v>
      </c>
      <c r="D66" s="194">
        <f>+'Table 5C1A-Madison Prep'!D66</f>
        <v>5301.224090063828</v>
      </c>
      <c r="E66" s="195">
        <f t="shared" si="32"/>
        <v>0</v>
      </c>
      <c r="F66" s="195">
        <f>+'Table 5C1A-Madison Prep'!F66</f>
        <v>594.04</v>
      </c>
      <c r="G66" s="195">
        <f t="shared" si="33"/>
        <v>0</v>
      </c>
      <c r="H66" s="346">
        <f t="shared" si="34"/>
        <v>0</v>
      </c>
      <c r="I66" s="196">
        <f>'[1]Oct midyear Jefferson Cham'!K63</f>
        <v>0</v>
      </c>
      <c r="J66" s="196">
        <f>'[1]Feb midyear Jefferson Cham'!K63</f>
        <v>0</v>
      </c>
      <c r="K66" s="197">
        <f t="shared" si="35"/>
        <v>0</v>
      </c>
      <c r="L66" s="346">
        <f t="shared" si="36"/>
        <v>0</v>
      </c>
      <c r="M66" s="296">
        <f t="shared" si="28"/>
        <v>0</v>
      </c>
      <c r="N66" s="346">
        <f t="shared" si="37"/>
        <v>0</v>
      </c>
      <c r="O66" s="194">
        <v>0</v>
      </c>
      <c r="P66" s="352">
        <f t="shared" si="38"/>
        <v>0</v>
      </c>
      <c r="Q66" s="196">
        <f>8*'[2]Table 5C1J-Jefferson Chamber'!S66</f>
        <v>0</v>
      </c>
      <c r="R66" s="196">
        <f t="shared" si="39"/>
        <v>0</v>
      </c>
      <c r="S66" s="352">
        <f t="shared" si="54"/>
        <v>0</v>
      </c>
      <c r="T66" s="352">
        <f t="shared" si="40"/>
        <v>0</v>
      </c>
      <c r="U66" s="281">
        <f>'Table 5C1A-Madison Prep'!U66</f>
        <v>4024</v>
      </c>
      <c r="V66" s="329">
        <f t="shared" si="41"/>
        <v>0</v>
      </c>
      <c r="W66" s="884">
        <f>'[1]Oct midyear Jefferson Cham'!E63</f>
        <v>0</v>
      </c>
      <c r="X66" s="282">
        <f t="shared" si="42"/>
        <v>0</v>
      </c>
      <c r="Y66" s="884">
        <f>'[1]Feb midyear Jefferson Cham'!E63</f>
        <v>0</v>
      </c>
      <c r="Z66" s="282">
        <f t="shared" si="43"/>
        <v>0</v>
      </c>
      <c r="AA66" s="283">
        <f t="shared" si="44"/>
        <v>0</v>
      </c>
      <c r="AB66" s="325">
        <f t="shared" si="45"/>
        <v>0</v>
      </c>
      <c r="AC66" s="298">
        <f t="shared" si="46"/>
        <v>0</v>
      </c>
      <c r="AD66" s="325">
        <f t="shared" si="47"/>
        <v>0</v>
      </c>
      <c r="AE66" s="284">
        <v>0</v>
      </c>
      <c r="AF66" s="325">
        <f t="shared" si="48"/>
        <v>0</v>
      </c>
      <c r="AG66" s="284">
        <f>8*'[2]Table 5C1J-Jefferson Chamber'!AI66</f>
        <v>0</v>
      </c>
      <c r="AH66" s="284">
        <f t="shared" si="49"/>
        <v>0</v>
      </c>
      <c r="AI66" s="325">
        <f t="shared" si="55"/>
        <v>0</v>
      </c>
      <c r="AJ66" s="338">
        <f t="shared" si="50"/>
        <v>0</v>
      </c>
      <c r="AK66" s="343">
        <f t="shared" si="51"/>
        <v>0</v>
      </c>
      <c r="AM66" s="296">
        <v>0</v>
      </c>
      <c r="AN66" s="296">
        <f t="shared" si="52"/>
        <v>0</v>
      </c>
      <c r="AO66" s="296">
        <f t="shared" si="53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2.1.14'!Q63</f>
        <v>0</v>
      </c>
      <c r="D67" s="208">
        <f>+'Table 5C1A-Madison Prep'!D67</f>
        <v>2854.1575356369185</v>
      </c>
      <c r="E67" s="209">
        <f t="shared" si="32"/>
        <v>0</v>
      </c>
      <c r="F67" s="209">
        <f>+'Table 5C1A-Madison Prep'!F67</f>
        <v>833.70999999999992</v>
      </c>
      <c r="G67" s="209">
        <f t="shared" si="33"/>
        <v>0</v>
      </c>
      <c r="H67" s="344">
        <f t="shared" si="34"/>
        <v>0</v>
      </c>
      <c r="I67" s="210">
        <f>'[1]Oct midyear Jefferson Cham'!K64</f>
        <v>0</v>
      </c>
      <c r="J67" s="210">
        <f>'[1]Feb midyear Jefferson Cham'!K64</f>
        <v>0</v>
      </c>
      <c r="K67" s="211">
        <f t="shared" si="35"/>
        <v>0</v>
      </c>
      <c r="L67" s="344">
        <f t="shared" si="36"/>
        <v>0</v>
      </c>
      <c r="M67" s="273">
        <f t="shared" si="28"/>
        <v>0</v>
      </c>
      <c r="N67" s="344">
        <f t="shared" si="37"/>
        <v>0</v>
      </c>
      <c r="O67" s="208">
        <v>0</v>
      </c>
      <c r="P67" s="350">
        <f t="shared" si="38"/>
        <v>0</v>
      </c>
      <c r="Q67" s="210">
        <f>8*'[2]Table 5C1J-Jefferson Chamber'!S67</f>
        <v>0</v>
      </c>
      <c r="R67" s="210">
        <f t="shared" si="39"/>
        <v>0</v>
      </c>
      <c r="S67" s="350">
        <f t="shared" si="54"/>
        <v>0</v>
      </c>
      <c r="T67" s="350">
        <f t="shared" si="40"/>
        <v>0</v>
      </c>
      <c r="U67" s="274">
        <f>'Table 5C1A-Madison Prep'!U67</f>
        <v>6739</v>
      </c>
      <c r="V67" s="327">
        <f t="shared" si="41"/>
        <v>0</v>
      </c>
      <c r="W67" s="883">
        <f>'[1]Oct midyear Jefferson Cham'!E64</f>
        <v>0</v>
      </c>
      <c r="X67" s="276">
        <f t="shared" si="42"/>
        <v>0</v>
      </c>
      <c r="Y67" s="883">
        <f>'[1]Feb midyear Jefferson Cham'!E64</f>
        <v>0</v>
      </c>
      <c r="Z67" s="276">
        <f t="shared" si="43"/>
        <v>0</v>
      </c>
      <c r="AA67" s="275">
        <f t="shared" si="44"/>
        <v>0</v>
      </c>
      <c r="AB67" s="323">
        <f t="shared" si="45"/>
        <v>0</v>
      </c>
      <c r="AC67" s="278">
        <f t="shared" si="46"/>
        <v>0</v>
      </c>
      <c r="AD67" s="323">
        <f t="shared" si="47"/>
        <v>0</v>
      </c>
      <c r="AE67" s="279">
        <v>0</v>
      </c>
      <c r="AF67" s="323">
        <f t="shared" si="48"/>
        <v>0</v>
      </c>
      <c r="AG67" s="279">
        <f>8*'[2]Table 5C1J-Jefferson Chamber'!AI67</f>
        <v>0</v>
      </c>
      <c r="AH67" s="279">
        <f t="shared" si="49"/>
        <v>0</v>
      </c>
      <c r="AI67" s="323">
        <f t="shared" si="55"/>
        <v>0</v>
      </c>
      <c r="AJ67" s="337">
        <f t="shared" si="50"/>
        <v>0</v>
      </c>
      <c r="AK67" s="341">
        <f t="shared" si="51"/>
        <v>0</v>
      </c>
      <c r="AM67" s="273">
        <v>0</v>
      </c>
      <c r="AN67" s="273">
        <f t="shared" si="52"/>
        <v>0</v>
      </c>
      <c r="AO67" s="273">
        <f t="shared" si="53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2.1.14'!Q64</f>
        <v>0</v>
      </c>
      <c r="D68" s="201">
        <f>+'Table 5C1A-Madison Prep'!D68</f>
        <v>5901.074538516008</v>
      </c>
      <c r="E68" s="202">
        <f t="shared" si="32"/>
        <v>0</v>
      </c>
      <c r="F68" s="202">
        <f>+'Table 5C1A-Madison Prep'!F68</f>
        <v>516.08000000000004</v>
      </c>
      <c r="G68" s="202">
        <f t="shared" si="33"/>
        <v>0</v>
      </c>
      <c r="H68" s="345">
        <f t="shared" si="34"/>
        <v>0</v>
      </c>
      <c r="I68" s="203">
        <f>'[1]Oct midyear Jefferson Cham'!K65</f>
        <v>0</v>
      </c>
      <c r="J68" s="203">
        <f>'[1]Feb midyear Jefferson Cham'!K65</f>
        <v>0</v>
      </c>
      <c r="K68" s="204">
        <f t="shared" si="35"/>
        <v>0</v>
      </c>
      <c r="L68" s="345">
        <f t="shared" si="36"/>
        <v>0</v>
      </c>
      <c r="M68" s="286">
        <f t="shared" si="28"/>
        <v>0</v>
      </c>
      <c r="N68" s="345">
        <f t="shared" si="37"/>
        <v>0</v>
      </c>
      <c r="O68" s="201">
        <v>0</v>
      </c>
      <c r="P68" s="351">
        <f t="shared" si="38"/>
        <v>0</v>
      </c>
      <c r="Q68" s="203">
        <f>8*'[2]Table 5C1J-Jefferson Chamber'!S68</f>
        <v>0</v>
      </c>
      <c r="R68" s="203">
        <f t="shared" si="39"/>
        <v>0</v>
      </c>
      <c r="S68" s="351">
        <f t="shared" si="54"/>
        <v>0</v>
      </c>
      <c r="T68" s="351">
        <f t="shared" si="40"/>
        <v>0</v>
      </c>
      <c r="U68" s="287">
        <f>'Table 5C1A-Madison Prep'!U68</f>
        <v>2089</v>
      </c>
      <c r="V68" s="328">
        <f t="shared" si="41"/>
        <v>0</v>
      </c>
      <c r="W68" s="289">
        <f>'[1]Oct midyear Jefferson Cham'!E65</f>
        <v>0</v>
      </c>
      <c r="X68" s="290">
        <f t="shared" si="42"/>
        <v>0</v>
      </c>
      <c r="Y68" s="289">
        <f>'[1]Feb midyear Jefferson Cham'!E65</f>
        <v>0</v>
      </c>
      <c r="Z68" s="290">
        <f t="shared" si="43"/>
        <v>0</v>
      </c>
      <c r="AA68" s="288">
        <f t="shared" si="44"/>
        <v>0</v>
      </c>
      <c r="AB68" s="324">
        <f t="shared" si="45"/>
        <v>0</v>
      </c>
      <c r="AC68" s="292">
        <f t="shared" si="46"/>
        <v>0</v>
      </c>
      <c r="AD68" s="324">
        <f t="shared" si="47"/>
        <v>0</v>
      </c>
      <c r="AE68" s="293">
        <v>0</v>
      </c>
      <c r="AF68" s="324">
        <f t="shared" si="48"/>
        <v>0</v>
      </c>
      <c r="AG68" s="293">
        <f>8*'[2]Table 5C1J-Jefferson Chamber'!AI68</f>
        <v>0</v>
      </c>
      <c r="AH68" s="293">
        <f t="shared" si="49"/>
        <v>0</v>
      </c>
      <c r="AI68" s="324">
        <f t="shared" si="55"/>
        <v>0</v>
      </c>
      <c r="AJ68" s="321">
        <f t="shared" si="50"/>
        <v>0</v>
      </c>
      <c r="AK68" s="342">
        <f t="shared" si="51"/>
        <v>0</v>
      </c>
      <c r="AM68" s="286">
        <v>0</v>
      </c>
      <c r="AN68" s="286">
        <f t="shared" si="52"/>
        <v>0</v>
      </c>
      <c r="AO68" s="286">
        <f t="shared" si="53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2.1.14'!Q65</f>
        <v>0</v>
      </c>
      <c r="D69" s="201">
        <f>+'Table 5C1A-Madison Prep'!D69</f>
        <v>4124.3813481848092</v>
      </c>
      <c r="E69" s="202">
        <f t="shared" si="32"/>
        <v>0</v>
      </c>
      <c r="F69" s="202">
        <f>+'Table 5C1A-Madison Prep'!F69</f>
        <v>756.79</v>
      </c>
      <c r="G69" s="202">
        <f t="shared" si="33"/>
        <v>0</v>
      </c>
      <c r="H69" s="345">
        <f t="shared" si="34"/>
        <v>0</v>
      </c>
      <c r="I69" s="203">
        <f>'[1]Oct midyear Jefferson Cham'!K66</f>
        <v>0</v>
      </c>
      <c r="J69" s="203">
        <f>'[1]Feb midyear Jefferson Cham'!K66</f>
        <v>0</v>
      </c>
      <c r="K69" s="204">
        <f t="shared" si="35"/>
        <v>0</v>
      </c>
      <c r="L69" s="345">
        <f t="shared" si="36"/>
        <v>0</v>
      </c>
      <c r="M69" s="286">
        <f t="shared" si="28"/>
        <v>0</v>
      </c>
      <c r="N69" s="345">
        <f t="shared" si="37"/>
        <v>0</v>
      </c>
      <c r="O69" s="201">
        <v>0</v>
      </c>
      <c r="P69" s="351">
        <f t="shared" si="38"/>
        <v>0</v>
      </c>
      <c r="Q69" s="203">
        <f>8*'[2]Table 5C1J-Jefferson Chamber'!S69</f>
        <v>0</v>
      </c>
      <c r="R69" s="203">
        <f t="shared" si="39"/>
        <v>0</v>
      </c>
      <c r="S69" s="351">
        <f t="shared" si="54"/>
        <v>0</v>
      </c>
      <c r="T69" s="351">
        <f t="shared" si="40"/>
        <v>0</v>
      </c>
      <c r="U69" s="287">
        <f>'Table 5C1A-Madison Prep'!U69</f>
        <v>7403</v>
      </c>
      <c r="V69" s="328">
        <f t="shared" si="41"/>
        <v>0</v>
      </c>
      <c r="W69" s="289">
        <f>'[1]Oct midyear Jefferson Cham'!E66</f>
        <v>0</v>
      </c>
      <c r="X69" s="290">
        <f t="shared" si="42"/>
        <v>0</v>
      </c>
      <c r="Y69" s="289">
        <f>'[1]Feb midyear Jefferson Cham'!E66</f>
        <v>0</v>
      </c>
      <c r="Z69" s="290">
        <f t="shared" si="43"/>
        <v>0</v>
      </c>
      <c r="AA69" s="288">
        <f t="shared" si="44"/>
        <v>0</v>
      </c>
      <c r="AB69" s="324">
        <f t="shared" si="45"/>
        <v>0</v>
      </c>
      <c r="AC69" s="292">
        <f t="shared" si="46"/>
        <v>0</v>
      </c>
      <c r="AD69" s="324">
        <f t="shared" si="47"/>
        <v>0</v>
      </c>
      <c r="AE69" s="293">
        <v>0</v>
      </c>
      <c r="AF69" s="324">
        <f t="shared" si="48"/>
        <v>0</v>
      </c>
      <c r="AG69" s="293">
        <f>8*'[2]Table 5C1J-Jefferson Chamber'!AI69</f>
        <v>0</v>
      </c>
      <c r="AH69" s="293">
        <f t="shared" si="49"/>
        <v>0</v>
      </c>
      <c r="AI69" s="324">
        <f t="shared" si="55"/>
        <v>0</v>
      </c>
      <c r="AJ69" s="321">
        <f t="shared" si="50"/>
        <v>0</v>
      </c>
      <c r="AK69" s="342">
        <f t="shared" si="51"/>
        <v>0</v>
      </c>
      <c r="AM69" s="286">
        <v>0</v>
      </c>
      <c r="AN69" s="286">
        <f t="shared" si="52"/>
        <v>0</v>
      </c>
      <c r="AO69" s="286">
        <f t="shared" si="53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2.1.14'!Q66</f>
        <v>0</v>
      </c>
      <c r="D70" s="201">
        <f>+'Table 5C1A-Madison Prep'!D70</f>
        <v>6277.8307532778254</v>
      </c>
      <c r="E70" s="202">
        <f t="shared" si="32"/>
        <v>0</v>
      </c>
      <c r="F70" s="202">
        <f>+'Table 5C1A-Madison Prep'!F70</f>
        <v>592.66</v>
      </c>
      <c r="G70" s="202">
        <f t="shared" si="33"/>
        <v>0</v>
      </c>
      <c r="H70" s="345">
        <f t="shared" si="34"/>
        <v>0</v>
      </c>
      <c r="I70" s="203">
        <f>'[1]Oct midyear Jefferson Cham'!K67</f>
        <v>0</v>
      </c>
      <c r="J70" s="203">
        <f>'[1]Feb midyear Jefferson Cham'!K67</f>
        <v>0</v>
      </c>
      <c r="K70" s="204">
        <f t="shared" si="35"/>
        <v>0</v>
      </c>
      <c r="L70" s="345">
        <f t="shared" si="36"/>
        <v>0</v>
      </c>
      <c r="M70" s="286">
        <f t="shared" si="28"/>
        <v>0</v>
      </c>
      <c r="N70" s="345">
        <f t="shared" si="37"/>
        <v>0</v>
      </c>
      <c r="O70" s="201">
        <v>0</v>
      </c>
      <c r="P70" s="351">
        <f t="shared" si="38"/>
        <v>0</v>
      </c>
      <c r="Q70" s="203">
        <f>8*'[2]Table 5C1J-Jefferson Chamber'!S70</f>
        <v>0</v>
      </c>
      <c r="R70" s="203">
        <f t="shared" si="39"/>
        <v>0</v>
      </c>
      <c r="S70" s="351">
        <f t="shared" si="54"/>
        <v>0</v>
      </c>
      <c r="T70" s="351">
        <f t="shared" si="40"/>
        <v>0</v>
      </c>
      <c r="U70" s="287">
        <f>'Table 5C1A-Madison Prep'!U70</f>
        <v>2802</v>
      </c>
      <c r="V70" s="328">
        <f t="shared" si="41"/>
        <v>0</v>
      </c>
      <c r="W70" s="289">
        <f>'[1]Oct midyear Jefferson Cham'!E67</f>
        <v>0</v>
      </c>
      <c r="X70" s="290">
        <f t="shared" si="42"/>
        <v>0</v>
      </c>
      <c r="Y70" s="289">
        <f>'[1]Feb midyear Jefferson Cham'!E67</f>
        <v>0</v>
      </c>
      <c r="Z70" s="290">
        <f t="shared" si="43"/>
        <v>0</v>
      </c>
      <c r="AA70" s="288">
        <f t="shared" si="44"/>
        <v>0</v>
      </c>
      <c r="AB70" s="324">
        <f t="shared" si="45"/>
        <v>0</v>
      </c>
      <c r="AC70" s="292">
        <f t="shared" si="46"/>
        <v>0</v>
      </c>
      <c r="AD70" s="324">
        <f t="shared" si="47"/>
        <v>0</v>
      </c>
      <c r="AE70" s="293">
        <v>0</v>
      </c>
      <c r="AF70" s="324">
        <f t="shared" si="48"/>
        <v>0</v>
      </c>
      <c r="AG70" s="293">
        <f>8*'[2]Table 5C1J-Jefferson Chamber'!AI70</f>
        <v>0</v>
      </c>
      <c r="AH70" s="293">
        <f t="shared" si="49"/>
        <v>0</v>
      </c>
      <c r="AI70" s="324">
        <f t="shared" si="55"/>
        <v>0</v>
      </c>
      <c r="AJ70" s="321">
        <f t="shared" si="50"/>
        <v>0</v>
      </c>
      <c r="AK70" s="342">
        <f t="shared" si="51"/>
        <v>0</v>
      </c>
      <c r="AM70" s="286">
        <v>0</v>
      </c>
      <c r="AN70" s="286">
        <f t="shared" si="52"/>
        <v>0</v>
      </c>
      <c r="AO70" s="286">
        <f t="shared" si="53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2.1.14'!Q67</f>
        <v>0</v>
      </c>
      <c r="D71" s="194">
        <f>+'Table 5C1A-Madison Prep'!D71</f>
        <v>4775.1605543943642</v>
      </c>
      <c r="E71" s="195">
        <f t="shared" si="32"/>
        <v>0</v>
      </c>
      <c r="F71" s="195">
        <f>+'Table 5C1A-Madison Prep'!F71</f>
        <v>829.12</v>
      </c>
      <c r="G71" s="195">
        <f t="shared" si="33"/>
        <v>0</v>
      </c>
      <c r="H71" s="346">
        <f t="shared" si="34"/>
        <v>0</v>
      </c>
      <c r="I71" s="196">
        <f>'[1]Oct midyear Jefferson Cham'!K68</f>
        <v>0</v>
      </c>
      <c r="J71" s="196">
        <f>'[1]Feb midyear Jefferson Cham'!K68</f>
        <v>0</v>
      </c>
      <c r="K71" s="197">
        <f t="shared" si="35"/>
        <v>0</v>
      </c>
      <c r="L71" s="346">
        <f t="shared" si="36"/>
        <v>0</v>
      </c>
      <c r="M71" s="296">
        <f t="shared" ref="M71:M74" si="56">-(0.25%*L71)</f>
        <v>0</v>
      </c>
      <c r="N71" s="346">
        <f t="shared" si="37"/>
        <v>0</v>
      </c>
      <c r="O71" s="194">
        <v>0</v>
      </c>
      <c r="P71" s="352">
        <f t="shared" si="38"/>
        <v>0</v>
      </c>
      <c r="Q71" s="196">
        <f>8*'[2]Table 5C1J-Jefferson Chamber'!S71</f>
        <v>0</v>
      </c>
      <c r="R71" s="196">
        <f t="shared" si="39"/>
        <v>0</v>
      </c>
      <c r="S71" s="352">
        <f t="shared" ref="S71:S75" si="57">ROUND(R71/$S$88,0)</f>
        <v>0</v>
      </c>
      <c r="T71" s="352">
        <f t="shared" si="40"/>
        <v>0</v>
      </c>
      <c r="U71" s="281">
        <f>'Table 5C1A-Madison Prep'!U71</f>
        <v>5215</v>
      </c>
      <c r="V71" s="329">
        <f t="shared" si="41"/>
        <v>0</v>
      </c>
      <c r="W71" s="884">
        <f>'[1]Oct midyear Jefferson Cham'!E68</f>
        <v>0</v>
      </c>
      <c r="X71" s="282">
        <f t="shared" si="42"/>
        <v>0</v>
      </c>
      <c r="Y71" s="884">
        <f>'[1]Feb midyear Jefferson Cham'!E68</f>
        <v>0</v>
      </c>
      <c r="Z71" s="282">
        <f t="shared" si="43"/>
        <v>0</v>
      </c>
      <c r="AA71" s="283">
        <f t="shared" si="44"/>
        <v>0</v>
      </c>
      <c r="AB71" s="325">
        <f t="shared" si="45"/>
        <v>0</v>
      </c>
      <c r="AC71" s="298">
        <f t="shared" si="46"/>
        <v>0</v>
      </c>
      <c r="AD71" s="325">
        <f t="shared" si="47"/>
        <v>0</v>
      </c>
      <c r="AE71" s="284">
        <v>0</v>
      </c>
      <c r="AF71" s="325">
        <f t="shared" si="48"/>
        <v>0</v>
      </c>
      <c r="AG71" s="284">
        <f>8*'[2]Table 5C1J-Jefferson Chamber'!AI71</f>
        <v>0</v>
      </c>
      <c r="AH71" s="284">
        <f t="shared" si="49"/>
        <v>0</v>
      </c>
      <c r="AI71" s="325">
        <f t="shared" ref="AI71:AI75" si="58">ROUND(AH71/$AI$88,0)</f>
        <v>0</v>
      </c>
      <c r="AJ71" s="338">
        <f t="shared" si="50"/>
        <v>0</v>
      </c>
      <c r="AK71" s="343">
        <f t="shared" si="51"/>
        <v>0</v>
      </c>
      <c r="AM71" s="296">
        <v>0</v>
      </c>
      <c r="AN71" s="296">
        <f t="shared" si="52"/>
        <v>0</v>
      </c>
      <c r="AO71" s="296">
        <f t="shared" si="53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2.1.14'!Q68</f>
        <v>0</v>
      </c>
      <c r="D72" s="208">
        <f>+'Table 5C1A-Madison Prep'!D72</f>
        <v>6564.0085433910035</v>
      </c>
      <c r="E72" s="209">
        <f t="shared" ref="E72:E75" si="59">C72*D72</f>
        <v>0</v>
      </c>
      <c r="F72" s="209">
        <f>+'Table 5C1A-Madison Prep'!F72</f>
        <v>730.06</v>
      </c>
      <c r="G72" s="209">
        <f t="shared" ref="G72:G75" si="60">C72*F72</f>
        <v>0</v>
      </c>
      <c r="H72" s="344">
        <f t="shared" ref="H72:H75" si="61">E72+G72</f>
        <v>0</v>
      </c>
      <c r="I72" s="210">
        <f>'[1]Oct midyear Jefferson Cham'!K69</f>
        <v>0</v>
      </c>
      <c r="J72" s="210">
        <f>'[1]Feb midyear Jefferson Cham'!K69</f>
        <v>0</v>
      </c>
      <c r="K72" s="211">
        <f t="shared" ref="K72:K75" si="62">I72+J72</f>
        <v>0</v>
      </c>
      <c r="L72" s="344">
        <f t="shared" ref="L72:L75" si="63">+H72+K72</f>
        <v>0</v>
      </c>
      <c r="M72" s="273">
        <f t="shared" si="56"/>
        <v>0</v>
      </c>
      <c r="N72" s="344">
        <f t="shared" ref="N72:N75" si="64">SUM(L72:M72)</f>
        <v>0</v>
      </c>
      <c r="O72" s="208">
        <v>0</v>
      </c>
      <c r="P72" s="350">
        <f t="shared" ref="P72:P75" si="65">SUM(N72:O72)</f>
        <v>0</v>
      </c>
      <c r="Q72" s="210">
        <f>8*'[2]Table 5C1J-Jefferson Chamber'!S72</f>
        <v>0</v>
      </c>
      <c r="R72" s="210">
        <f t="shared" ref="R72:R75" si="66">+P72-Q72</f>
        <v>0</v>
      </c>
      <c r="S72" s="350">
        <f t="shared" si="57"/>
        <v>0</v>
      </c>
      <c r="T72" s="350">
        <f t="shared" ref="T72:T75" si="67">+P72</f>
        <v>0</v>
      </c>
      <c r="U72" s="274">
        <f>'Table 5C1A-Madison Prep'!U72</f>
        <v>3609</v>
      </c>
      <c r="V72" s="327">
        <f t="shared" ref="V72:V75" si="68">C72*U72</f>
        <v>0</v>
      </c>
      <c r="W72" s="883">
        <f>'[1]Oct midyear Jefferson Cham'!E69</f>
        <v>0</v>
      </c>
      <c r="X72" s="276">
        <f t="shared" ref="X72:X75" si="69">+U72*W72</f>
        <v>0</v>
      </c>
      <c r="Y72" s="883">
        <f>'[1]Feb midyear Jefferson Cham'!E69</f>
        <v>0</v>
      </c>
      <c r="Z72" s="276">
        <f t="shared" ref="Z72:Z75" si="70">+U72*Y72*0.5</f>
        <v>0</v>
      </c>
      <c r="AA72" s="275">
        <f t="shared" ref="AA72:AA75" si="71">+X72+Z72</f>
        <v>0</v>
      </c>
      <c r="AB72" s="323">
        <f t="shared" ref="AB72:AB75" si="72">+V72+AA72</f>
        <v>0</v>
      </c>
      <c r="AC72" s="278">
        <f t="shared" ref="AC72:AC75" si="73">-(0.25%*AB72)</f>
        <v>0</v>
      </c>
      <c r="AD72" s="323">
        <f t="shared" ref="AD72:AD75" si="74">SUM(AB72:AC72)</f>
        <v>0</v>
      </c>
      <c r="AE72" s="279">
        <v>0</v>
      </c>
      <c r="AF72" s="323">
        <f t="shared" ref="AF72:AF75" si="75">SUM(AD72:AE72)</f>
        <v>0</v>
      </c>
      <c r="AG72" s="279">
        <f>8*'[2]Table 5C1J-Jefferson Chamber'!AI72</f>
        <v>0</v>
      </c>
      <c r="AH72" s="279">
        <f t="shared" ref="AH72:AH75" si="76">+AF72-AG72</f>
        <v>0</v>
      </c>
      <c r="AI72" s="323">
        <f t="shared" si="58"/>
        <v>0</v>
      </c>
      <c r="AJ72" s="337">
        <f t="shared" ref="AJ72:AJ75" si="77">T72+AF72</f>
        <v>0</v>
      </c>
      <c r="AK72" s="341">
        <f t="shared" ref="AK72:AK75" si="78">S72+AI72</f>
        <v>0</v>
      </c>
      <c r="AM72" s="310">
        <v>0</v>
      </c>
      <c r="AN72" s="310">
        <f t="shared" ref="AN72:AN75" si="79">+AC72</f>
        <v>0</v>
      </c>
      <c r="AO72" s="310">
        <f t="shared" si="53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2.1.14'!Q69</f>
        <v>0</v>
      </c>
      <c r="D73" s="201">
        <f>+'Table 5C1A-Madison Prep'!D73</f>
        <v>5029.1467736134118</v>
      </c>
      <c r="E73" s="202">
        <f t="shared" si="59"/>
        <v>0</v>
      </c>
      <c r="F73" s="202">
        <f>+'Table 5C1A-Madison Prep'!F73</f>
        <v>715.61</v>
      </c>
      <c r="G73" s="202">
        <f t="shared" si="60"/>
        <v>0</v>
      </c>
      <c r="H73" s="345">
        <f t="shared" si="61"/>
        <v>0</v>
      </c>
      <c r="I73" s="203">
        <f>'[1]Oct midyear Jefferson Cham'!K70</f>
        <v>0</v>
      </c>
      <c r="J73" s="203">
        <f>'[1]Feb midyear Jefferson Cham'!K70</f>
        <v>0</v>
      </c>
      <c r="K73" s="204">
        <f t="shared" si="62"/>
        <v>0</v>
      </c>
      <c r="L73" s="345">
        <f t="shared" si="63"/>
        <v>0</v>
      </c>
      <c r="M73" s="286">
        <f t="shared" si="56"/>
        <v>0</v>
      </c>
      <c r="N73" s="345">
        <f t="shared" si="64"/>
        <v>0</v>
      </c>
      <c r="O73" s="201">
        <v>0</v>
      </c>
      <c r="P73" s="351">
        <f t="shared" si="65"/>
        <v>0</v>
      </c>
      <c r="Q73" s="203">
        <f>8*'[2]Table 5C1J-Jefferson Chamber'!S73</f>
        <v>0</v>
      </c>
      <c r="R73" s="203">
        <f t="shared" si="66"/>
        <v>0</v>
      </c>
      <c r="S73" s="351">
        <f t="shared" si="57"/>
        <v>0</v>
      </c>
      <c r="T73" s="351">
        <f t="shared" si="67"/>
        <v>0</v>
      </c>
      <c r="U73" s="287">
        <f>'Table 5C1A-Madison Prep'!U73</f>
        <v>5069</v>
      </c>
      <c r="V73" s="328">
        <f t="shared" si="68"/>
        <v>0</v>
      </c>
      <c r="W73" s="289">
        <f>'[1]Oct midyear Jefferson Cham'!E70</f>
        <v>0</v>
      </c>
      <c r="X73" s="290">
        <f t="shared" si="69"/>
        <v>0</v>
      </c>
      <c r="Y73" s="289">
        <f>'[1]Feb midyear Jefferson Cham'!E70</f>
        <v>0</v>
      </c>
      <c r="Z73" s="290">
        <f t="shared" si="70"/>
        <v>0</v>
      </c>
      <c r="AA73" s="288">
        <f t="shared" si="71"/>
        <v>0</v>
      </c>
      <c r="AB73" s="324">
        <f t="shared" si="72"/>
        <v>0</v>
      </c>
      <c r="AC73" s="292">
        <f t="shared" si="73"/>
        <v>0</v>
      </c>
      <c r="AD73" s="324">
        <f t="shared" si="74"/>
        <v>0</v>
      </c>
      <c r="AE73" s="293">
        <v>0</v>
      </c>
      <c r="AF73" s="324">
        <f t="shared" si="75"/>
        <v>0</v>
      </c>
      <c r="AG73" s="293">
        <f>8*'[2]Table 5C1J-Jefferson Chamber'!AI73</f>
        <v>0</v>
      </c>
      <c r="AH73" s="293">
        <f t="shared" si="76"/>
        <v>0</v>
      </c>
      <c r="AI73" s="324">
        <f t="shared" si="58"/>
        <v>0</v>
      </c>
      <c r="AJ73" s="321">
        <f t="shared" si="77"/>
        <v>0</v>
      </c>
      <c r="AK73" s="342">
        <f t="shared" si="78"/>
        <v>0</v>
      </c>
      <c r="AM73" s="310">
        <v>0</v>
      </c>
      <c r="AN73" s="310">
        <f t="shared" si="79"/>
        <v>0</v>
      </c>
      <c r="AO73" s="310">
        <f t="shared" si="53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2.1.14'!Q70</f>
        <v>0</v>
      </c>
      <c r="D74" s="201">
        <f>+'Table 5C1A-Madison Prep'!D74</f>
        <v>6390.1644202560601</v>
      </c>
      <c r="E74" s="202">
        <f t="shared" si="59"/>
        <v>0</v>
      </c>
      <c r="F74" s="202">
        <f>+'Table 5C1A-Madison Prep'!F74</f>
        <v>798.7</v>
      </c>
      <c r="G74" s="202">
        <f t="shared" si="60"/>
        <v>0</v>
      </c>
      <c r="H74" s="345">
        <f t="shared" si="61"/>
        <v>0</v>
      </c>
      <c r="I74" s="203">
        <f>'[1]Oct midyear Jefferson Cham'!K71</f>
        <v>0</v>
      </c>
      <c r="J74" s="203">
        <f>'[1]Feb midyear Jefferson Cham'!K71</f>
        <v>0</v>
      </c>
      <c r="K74" s="204">
        <f t="shared" si="62"/>
        <v>0</v>
      </c>
      <c r="L74" s="345">
        <f t="shared" si="63"/>
        <v>0</v>
      </c>
      <c r="M74" s="286">
        <f t="shared" si="56"/>
        <v>0</v>
      </c>
      <c r="N74" s="345">
        <f t="shared" si="64"/>
        <v>0</v>
      </c>
      <c r="O74" s="201">
        <v>0</v>
      </c>
      <c r="P74" s="351">
        <f t="shared" si="65"/>
        <v>0</v>
      </c>
      <c r="Q74" s="203">
        <f>8*'[2]Table 5C1J-Jefferson Chamber'!S74</f>
        <v>0</v>
      </c>
      <c r="R74" s="203">
        <f t="shared" si="66"/>
        <v>0</v>
      </c>
      <c r="S74" s="351">
        <f t="shared" si="57"/>
        <v>0</v>
      </c>
      <c r="T74" s="351">
        <f t="shared" si="67"/>
        <v>0</v>
      </c>
      <c r="U74" s="287">
        <f>'Table 5C1A-Madison Prep'!U74</f>
        <v>2880</v>
      </c>
      <c r="V74" s="328">
        <f t="shared" si="68"/>
        <v>0</v>
      </c>
      <c r="W74" s="289">
        <f>'[1]Oct midyear Jefferson Cham'!E71</f>
        <v>0</v>
      </c>
      <c r="X74" s="290">
        <f t="shared" si="69"/>
        <v>0</v>
      </c>
      <c r="Y74" s="289">
        <f>'[1]Feb midyear Jefferson Cham'!E71</f>
        <v>0</v>
      </c>
      <c r="Z74" s="290">
        <f t="shared" si="70"/>
        <v>0</v>
      </c>
      <c r="AA74" s="288">
        <f t="shared" si="71"/>
        <v>0</v>
      </c>
      <c r="AB74" s="324">
        <f t="shared" si="72"/>
        <v>0</v>
      </c>
      <c r="AC74" s="292">
        <f t="shared" si="73"/>
        <v>0</v>
      </c>
      <c r="AD74" s="324">
        <f t="shared" si="74"/>
        <v>0</v>
      </c>
      <c r="AE74" s="293">
        <v>0</v>
      </c>
      <c r="AF74" s="324">
        <f t="shared" si="75"/>
        <v>0</v>
      </c>
      <c r="AG74" s="293">
        <f>8*'[2]Table 5C1J-Jefferson Chamber'!AI74</f>
        <v>0</v>
      </c>
      <c r="AH74" s="293">
        <f t="shared" si="76"/>
        <v>0</v>
      </c>
      <c r="AI74" s="324">
        <f t="shared" si="58"/>
        <v>0</v>
      </c>
      <c r="AJ74" s="321">
        <f t="shared" si="77"/>
        <v>0</v>
      </c>
      <c r="AK74" s="342">
        <f t="shared" si="78"/>
        <v>0</v>
      </c>
      <c r="AM74" s="310">
        <v>0</v>
      </c>
      <c r="AN74" s="310">
        <f t="shared" si="79"/>
        <v>0</v>
      </c>
      <c r="AO74" s="310">
        <f t="shared" si="53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2.1.14'!Q71</f>
        <v>0</v>
      </c>
      <c r="D75" s="201">
        <f>+'Table 5C1A-Madison Prep'!D75</f>
        <v>5722.4947921281337</v>
      </c>
      <c r="E75" s="202">
        <f t="shared" si="59"/>
        <v>0</v>
      </c>
      <c r="F75" s="202">
        <f>+'Table 5C1A-Madison Prep'!F75</f>
        <v>705.67</v>
      </c>
      <c r="G75" s="202">
        <f t="shared" si="60"/>
        <v>0</v>
      </c>
      <c r="H75" s="345">
        <f t="shared" si="61"/>
        <v>0</v>
      </c>
      <c r="I75" s="203">
        <f>'[1]Oct midyear Jefferson Cham'!K72</f>
        <v>0</v>
      </c>
      <c r="J75" s="203">
        <f>'[1]Feb midyear Jefferson Cham'!K72</f>
        <v>0</v>
      </c>
      <c r="K75" s="204">
        <f t="shared" si="62"/>
        <v>0</v>
      </c>
      <c r="L75" s="345">
        <f t="shared" si="63"/>
        <v>0</v>
      </c>
      <c r="M75" s="286">
        <f>-(0.25%*L75)</f>
        <v>0</v>
      </c>
      <c r="N75" s="345">
        <f t="shared" si="64"/>
        <v>0</v>
      </c>
      <c r="O75" s="201">
        <v>0</v>
      </c>
      <c r="P75" s="351">
        <f t="shared" si="65"/>
        <v>0</v>
      </c>
      <c r="Q75" s="203">
        <f>8*'[2]Table 5C1J-Jefferson Chamber'!S75</f>
        <v>0</v>
      </c>
      <c r="R75" s="203">
        <f t="shared" si="66"/>
        <v>0</v>
      </c>
      <c r="S75" s="351">
        <f t="shared" si="57"/>
        <v>0</v>
      </c>
      <c r="T75" s="351">
        <f t="shared" si="67"/>
        <v>0</v>
      </c>
      <c r="U75" s="287">
        <f>'Table 5C1A-Madison Prep'!U75</f>
        <v>3330</v>
      </c>
      <c r="V75" s="328">
        <f t="shared" si="68"/>
        <v>0</v>
      </c>
      <c r="W75" s="289">
        <f>'[1]Oct midyear Jefferson Cham'!E72</f>
        <v>0</v>
      </c>
      <c r="X75" s="290">
        <f t="shared" si="69"/>
        <v>0</v>
      </c>
      <c r="Y75" s="289">
        <f>'[1]Feb midyear Jefferson Cham'!E72</f>
        <v>0</v>
      </c>
      <c r="Z75" s="290">
        <f t="shared" si="70"/>
        <v>0</v>
      </c>
      <c r="AA75" s="288">
        <f t="shared" si="71"/>
        <v>0</v>
      </c>
      <c r="AB75" s="324">
        <f t="shared" si="72"/>
        <v>0</v>
      </c>
      <c r="AC75" s="292">
        <f t="shared" si="73"/>
        <v>0</v>
      </c>
      <c r="AD75" s="324">
        <f t="shared" si="74"/>
        <v>0</v>
      </c>
      <c r="AE75" s="293">
        <v>0</v>
      </c>
      <c r="AF75" s="324">
        <f t="shared" si="75"/>
        <v>0</v>
      </c>
      <c r="AG75" s="293">
        <f>8*'[2]Table 5C1J-Jefferson Chamber'!AI75</f>
        <v>0</v>
      </c>
      <c r="AH75" s="293">
        <f t="shared" si="76"/>
        <v>0</v>
      </c>
      <c r="AI75" s="324">
        <f t="shared" si="58"/>
        <v>0</v>
      </c>
      <c r="AJ75" s="321">
        <f t="shared" si="77"/>
        <v>0</v>
      </c>
      <c r="AK75" s="342">
        <f t="shared" si="78"/>
        <v>0</v>
      </c>
      <c r="AM75" s="300">
        <v>0</v>
      </c>
      <c r="AN75" s="300">
        <f t="shared" si="79"/>
        <v>0</v>
      </c>
      <c r="AO75" s="300">
        <f t="shared" si="53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95</v>
      </c>
      <c r="D76" s="28">
        <f>+'Table 5C1A-Madison Prep'!D76</f>
        <v>4479.9292126977662</v>
      </c>
      <c r="E76" s="35">
        <f>SUM(E7:E75)</f>
        <v>324878.22222998715</v>
      </c>
      <c r="F76" s="35">
        <f>+'Table 5C1A-Madison Prep'!F76</f>
        <v>704.64781030742063</v>
      </c>
      <c r="G76" s="35">
        <f t="shared" ref="G76:T76" si="80">SUM(G7:G75)</f>
        <v>79268.62712328769</v>
      </c>
      <c r="H76" s="348">
        <f t="shared" si="80"/>
        <v>404146.84935327491</v>
      </c>
      <c r="I76" s="70">
        <f t="shared" si="80"/>
        <v>42875.968656629455</v>
      </c>
      <c r="J76" s="70">
        <f t="shared" si="80"/>
        <v>8466.4916187312265</v>
      </c>
      <c r="K76" s="56">
        <f t="shared" si="80"/>
        <v>51342.460275360681</v>
      </c>
      <c r="L76" s="364">
        <f t="shared" si="80"/>
        <v>455489.30962863559</v>
      </c>
      <c r="M76" s="36">
        <f t="shared" si="80"/>
        <v>-1138.7232740715888</v>
      </c>
      <c r="N76" s="348">
        <f t="shared" si="80"/>
        <v>454350.58635456394</v>
      </c>
      <c r="O76" s="28">
        <f t="shared" si="80"/>
        <v>0</v>
      </c>
      <c r="P76" s="354">
        <f t="shared" si="80"/>
        <v>454350.58635456394</v>
      </c>
      <c r="Q76" s="70">
        <f t="shared" si="80"/>
        <v>268760</v>
      </c>
      <c r="R76" s="70">
        <f t="shared" si="80"/>
        <v>185590.58635456397</v>
      </c>
      <c r="S76" s="354">
        <f t="shared" si="80"/>
        <v>46398</v>
      </c>
      <c r="T76" s="354">
        <f t="shared" si="80"/>
        <v>454350.58635456394</v>
      </c>
      <c r="U76" s="83">
        <f>'Table 5C1A-Madison Prep'!U76</f>
        <v>4703</v>
      </c>
      <c r="V76" s="330">
        <f t="shared" ref="V76:AK76" si="81">SUM(V7:V75)</f>
        <v>498822</v>
      </c>
      <c r="W76" s="74">
        <f t="shared" si="81"/>
        <v>10</v>
      </c>
      <c r="X76" s="75">
        <f t="shared" si="81"/>
        <v>52478</v>
      </c>
      <c r="Y76" s="74">
        <f t="shared" si="81"/>
        <v>3</v>
      </c>
      <c r="Z76" s="75">
        <f t="shared" si="81"/>
        <v>7429.5</v>
      </c>
      <c r="AA76" s="63">
        <f t="shared" si="81"/>
        <v>59907.5</v>
      </c>
      <c r="AB76" s="332">
        <f t="shared" si="81"/>
        <v>558729.5</v>
      </c>
      <c r="AC76" s="37">
        <f t="shared" si="81"/>
        <v>-1396.8237499999998</v>
      </c>
      <c r="AD76" s="330">
        <f t="shared" si="81"/>
        <v>557332.67625000002</v>
      </c>
      <c r="AE76" s="85">
        <f t="shared" si="81"/>
        <v>0</v>
      </c>
      <c r="AF76" s="330">
        <f t="shared" si="81"/>
        <v>557332.67625000002</v>
      </c>
      <c r="AG76" s="75">
        <f t="shared" si="81"/>
        <v>338520</v>
      </c>
      <c r="AH76" s="75">
        <f t="shared" si="81"/>
        <v>218812.67624999999</v>
      </c>
      <c r="AI76" s="330">
        <f t="shared" si="81"/>
        <v>54703</v>
      </c>
      <c r="AJ76" s="339">
        <f t="shared" si="81"/>
        <v>1011683.2626045638</v>
      </c>
      <c r="AK76" s="339">
        <f t="shared" si="81"/>
        <v>101101</v>
      </c>
      <c r="AM76" s="36">
        <f>SUM(AM7:AM75)</f>
        <v>-1272.5925</v>
      </c>
      <c r="AN76" s="36">
        <f>SUM(AN7:AN75)</f>
        <v>-1396.8237499999998</v>
      </c>
      <c r="AO76" s="36">
        <f>SUM(AO7:AO75)</f>
        <v>-124.2312499999999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4'!$E105</f>
        <v>0</v>
      </c>
      <c r="Q77" s="222">
        <f>8*'[2]Table 5C1J-Jefferson Chamber'!S77</f>
        <v>0</v>
      </c>
      <c r="R77" s="222">
        <f t="shared" ref="R77" si="82">+P77-Q77</f>
        <v>0</v>
      </c>
      <c r="S77" s="295">
        <f t="shared" ref="S77:S81" si="83">ROUND(R77/$S$88,0)</f>
        <v>0</v>
      </c>
      <c r="T77" s="295">
        <f>'Table 4 Level 4'!$E105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84">T77+AF77</f>
        <v>0</v>
      </c>
      <c r="AK77" s="321">
        <f t="shared" ref="AK77:AK81" si="85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4'!$J105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84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4'!$L105</f>
        <v>10000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84"/>
        <v>10000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4'!$M105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84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4'!O105</f>
        <v>2470</v>
      </c>
      <c r="Q81" s="217">
        <f>8*'[2]Table 5C1J-Jefferson Chamber'!S81</f>
        <v>1648</v>
      </c>
      <c r="R81" s="217">
        <f t="shared" ref="R81" si="86">+P81-Q81</f>
        <v>822</v>
      </c>
      <c r="S81" s="353">
        <f t="shared" si="83"/>
        <v>206</v>
      </c>
      <c r="T81" s="353">
        <f>P81</f>
        <v>2470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84"/>
        <v>2470</v>
      </c>
      <c r="AK81" s="322">
        <f t="shared" si="85"/>
        <v>206</v>
      </c>
    </row>
    <row r="82" spans="1:37" ht="16.149999999999999" customHeight="1" thickBot="1">
      <c r="A82" s="1442" t="s">
        <v>710</v>
      </c>
      <c r="B82" s="1415"/>
      <c r="C82" s="136">
        <f>SUM(C76:C81)</f>
        <v>95</v>
      </c>
      <c r="D82" s="128">
        <f t="shared" ref="D82:AK82" si="87">SUM(D76:D81)</f>
        <v>4479.9292126977662</v>
      </c>
      <c r="E82" s="128">
        <f t="shared" si="87"/>
        <v>324878.22222998715</v>
      </c>
      <c r="F82" s="128">
        <f t="shared" si="87"/>
        <v>704.64781030742063</v>
      </c>
      <c r="G82" s="128">
        <f t="shared" si="87"/>
        <v>79268.62712328769</v>
      </c>
      <c r="H82" s="128">
        <f t="shared" si="87"/>
        <v>404146.84935327491</v>
      </c>
      <c r="I82" s="133">
        <f t="shared" si="87"/>
        <v>42875.968656629455</v>
      </c>
      <c r="J82" s="133">
        <f t="shared" si="87"/>
        <v>8466.4916187312265</v>
      </c>
      <c r="K82" s="133">
        <f t="shared" si="87"/>
        <v>51342.460275360681</v>
      </c>
      <c r="L82" s="128">
        <f t="shared" si="87"/>
        <v>455489.30962863559</v>
      </c>
      <c r="M82" s="133">
        <f t="shared" si="87"/>
        <v>-1138.7232740715888</v>
      </c>
      <c r="N82" s="128">
        <f t="shared" si="87"/>
        <v>454350.58635456394</v>
      </c>
      <c r="O82" s="128">
        <f t="shared" si="87"/>
        <v>0</v>
      </c>
      <c r="P82" s="355">
        <f t="shared" si="87"/>
        <v>456820.58635456394</v>
      </c>
      <c r="Q82" s="133">
        <f t="shared" si="87"/>
        <v>270408</v>
      </c>
      <c r="R82" s="133">
        <f t="shared" si="87"/>
        <v>186412.58635456397</v>
      </c>
      <c r="S82" s="355">
        <f t="shared" si="87"/>
        <v>46604</v>
      </c>
      <c r="T82" s="355">
        <f t="shared" si="87"/>
        <v>466820.58635456394</v>
      </c>
      <c r="U82" s="137">
        <f t="shared" si="87"/>
        <v>4703</v>
      </c>
      <c r="V82" s="134">
        <f t="shared" si="87"/>
        <v>498822</v>
      </c>
      <c r="W82" s="136">
        <f t="shared" si="87"/>
        <v>10</v>
      </c>
      <c r="X82" s="134">
        <f t="shared" si="87"/>
        <v>52478</v>
      </c>
      <c r="Y82" s="136">
        <f t="shared" si="87"/>
        <v>3</v>
      </c>
      <c r="Z82" s="134">
        <f t="shared" si="87"/>
        <v>7429.5</v>
      </c>
      <c r="AA82" s="134">
        <f t="shared" si="87"/>
        <v>59907.5</v>
      </c>
      <c r="AB82" s="134">
        <f t="shared" si="87"/>
        <v>558729.5</v>
      </c>
      <c r="AC82" s="134">
        <f t="shared" si="87"/>
        <v>-1396.8237499999998</v>
      </c>
      <c r="AD82" s="134">
        <f t="shared" si="87"/>
        <v>557332.67625000002</v>
      </c>
      <c r="AE82" s="134">
        <f t="shared" si="87"/>
        <v>0</v>
      </c>
      <c r="AF82" s="134">
        <f t="shared" si="87"/>
        <v>557332.67625000002</v>
      </c>
      <c r="AG82" s="134">
        <f t="shared" si="87"/>
        <v>338520</v>
      </c>
      <c r="AH82" s="134">
        <f t="shared" si="87"/>
        <v>218812.67624999999</v>
      </c>
      <c r="AI82" s="134">
        <f t="shared" si="87"/>
        <v>54703</v>
      </c>
      <c r="AJ82" s="320">
        <f t="shared" si="87"/>
        <v>1024153.2626045638</v>
      </c>
      <c r="AK82" s="320">
        <f t="shared" si="87"/>
        <v>101307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-1010.3671233831872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-128.35615068840161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3">
    <mergeCell ref="A1:B4"/>
    <mergeCell ref="K3:K4"/>
    <mergeCell ref="L3:L4"/>
    <mergeCell ref="W3:W4"/>
    <mergeCell ref="X3:X4"/>
    <mergeCell ref="C1:L1"/>
    <mergeCell ref="P3:P4"/>
    <mergeCell ref="S3:S4"/>
    <mergeCell ref="U3:U4"/>
    <mergeCell ref="T3:T4"/>
    <mergeCell ref="M1:T1"/>
    <mergeCell ref="U1:AB1"/>
    <mergeCell ref="Y3:Y4"/>
    <mergeCell ref="Z3:Z4"/>
    <mergeCell ref="AB3:AB4"/>
    <mergeCell ref="AG3:AG4"/>
    <mergeCell ref="AH3:AH4"/>
    <mergeCell ref="AI3:AI4"/>
    <mergeCell ref="AJ1:AJ4"/>
    <mergeCell ref="AC1:AI1"/>
    <mergeCell ref="AK1:AK4"/>
    <mergeCell ref="C3:C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I2:K2"/>
    <mergeCell ref="I3:I4"/>
    <mergeCell ref="J3:J4"/>
    <mergeCell ref="W2:AA2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5C1-J: FY2014-15 MFP Budget Letter (March 2015)
Jefferson Chamber Foundation</oddHeader>
    <oddFooter>&amp;R&amp;P</oddFooter>
  </headerFooter>
  <colBreaks count="4" manualBreakCount="4">
    <brk id="12" max="1048575" man="1"/>
    <brk id="20" max="1048575" man="1"/>
    <brk id="28" max="84" man="1"/>
    <brk id="38" max="8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O98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bestFit="1" customWidth="1"/>
    <col min="4" max="4" width="13.7109375" style="784" bestFit="1" customWidth="1"/>
    <col min="5" max="5" width="10.140625" style="784" bestFit="1" customWidth="1"/>
    <col min="6" max="7" width="12.28515625" style="784" bestFit="1" customWidth="1"/>
    <col min="8" max="8" width="11.5703125" style="784" bestFit="1" customWidth="1"/>
    <col min="9" max="12" width="11.85546875" style="784" bestFit="1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4.5703125" style="784" customWidth="1"/>
    <col min="23" max="23" width="11.7109375" style="784" customWidth="1"/>
    <col min="24" max="24" width="14.42578125" style="784" bestFit="1" customWidth="1"/>
    <col min="25" max="27" width="11.7109375" style="784" customWidth="1"/>
    <col min="28" max="28" width="14.42578125" style="784" bestFit="1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3" width="9.5703125" style="784" bestFit="1" customWidth="1"/>
    <col min="34" max="34" width="10.7109375" style="784" bestFit="1" customWidth="1"/>
    <col min="35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407</v>
      </c>
      <c r="B1" s="1577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578"/>
      <c r="B2" s="1579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I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ref="J5" si="2">I5+1</f>
        <v>8</v>
      </c>
      <c r="K5" s="23">
        <f t="shared" ref="K5" si="3">J5+1</f>
        <v>9</v>
      </c>
      <c r="L5" s="23">
        <f t="shared" ref="L5" si="4">K5+1</f>
        <v>10</v>
      </c>
      <c r="M5" s="23">
        <f t="shared" ref="M5" si="5">L5+1</f>
        <v>11</v>
      </c>
      <c r="N5" s="23">
        <f t="shared" ref="N5" si="6">M5+1</f>
        <v>12</v>
      </c>
      <c r="O5" s="23">
        <f t="shared" ref="O5" si="7">N5+1</f>
        <v>13</v>
      </c>
      <c r="P5" s="23">
        <f t="shared" ref="P5" si="8">O5+1</f>
        <v>14</v>
      </c>
      <c r="Q5" s="23">
        <f t="shared" ref="Q5" si="9">P5+1</f>
        <v>15</v>
      </c>
      <c r="R5" s="23">
        <f t="shared" ref="R5" si="10">Q5+1</f>
        <v>16</v>
      </c>
      <c r="S5" s="23">
        <f t="shared" ref="S5" si="11">R5+1</f>
        <v>17</v>
      </c>
      <c r="T5" s="23">
        <f t="shared" ref="T5" si="12">S5+1</f>
        <v>18</v>
      </c>
      <c r="U5" s="23">
        <f t="shared" ref="U5" si="13">T5+1</f>
        <v>19</v>
      </c>
      <c r="V5" s="23">
        <f t="shared" ref="V5" si="14">U5+1</f>
        <v>20</v>
      </c>
      <c r="W5" s="23">
        <f t="shared" ref="W5" si="15">V5+1</f>
        <v>21</v>
      </c>
      <c r="X5" s="23">
        <f t="shared" ref="X5" si="16">W5+1</f>
        <v>22</v>
      </c>
      <c r="Y5" s="23">
        <f t="shared" ref="Y5" si="17">X5+1</f>
        <v>23</v>
      </c>
      <c r="Z5" s="23">
        <f t="shared" ref="Z5" si="18">Y5+1</f>
        <v>24</v>
      </c>
      <c r="AA5" s="23">
        <f t="shared" ref="AA5:AB5" si="19">Z5+1</f>
        <v>25</v>
      </c>
      <c r="AB5" s="23">
        <f t="shared" si="19"/>
        <v>26</v>
      </c>
      <c r="AC5" s="23">
        <f t="shared" ref="AC5" si="20">AB5+1</f>
        <v>27</v>
      </c>
      <c r="AD5" s="23">
        <f t="shared" ref="AD5" si="21">AC5+1</f>
        <v>28</v>
      </c>
      <c r="AE5" s="23">
        <f t="shared" ref="AE5" si="22">AD5+1</f>
        <v>29</v>
      </c>
      <c r="AF5" s="23">
        <f t="shared" ref="AF5" si="23">AE5+1</f>
        <v>30</v>
      </c>
      <c r="AG5" s="23">
        <f t="shared" ref="AG5" si="24">AF5+1</f>
        <v>31</v>
      </c>
      <c r="AH5" s="23">
        <f t="shared" ref="AH5" si="25">AG5+1</f>
        <v>32</v>
      </c>
      <c r="AI5" s="23">
        <f t="shared" ref="AI5" si="26">AH5+1</f>
        <v>33</v>
      </c>
      <c r="AJ5" s="23">
        <f t="shared" ref="AJ5" si="27">AI5+1</f>
        <v>34</v>
      </c>
      <c r="AK5" s="23">
        <f t="shared" ref="AK5" si="28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3"/>
      <c r="J6" s="53"/>
      <c r="K6" s="53"/>
      <c r="L6" s="53"/>
      <c r="M6" s="30"/>
      <c r="N6" s="30"/>
      <c r="O6" s="30"/>
      <c r="P6" s="30"/>
      <c r="Q6" s="53"/>
      <c r="R6" s="53"/>
      <c r="S6" s="30"/>
      <c r="T6" s="30"/>
      <c r="U6" s="30"/>
      <c r="V6" s="30"/>
      <c r="W6" s="53"/>
      <c r="X6" s="53"/>
      <c r="Y6" s="55"/>
      <c r="Z6" s="55"/>
      <c r="AA6" s="55"/>
      <c r="AB6" s="53"/>
      <c r="AC6" s="30"/>
      <c r="AD6" s="30"/>
      <c r="AE6" s="30"/>
      <c r="AF6" s="30"/>
      <c r="AG6" s="53"/>
      <c r="AH6" s="53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2.1.14'!R3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990">
        <f>'[1]Oct midyear Tallulah'!K4</f>
        <v>0</v>
      </c>
      <c r="J7" s="210">
        <f>'[1]Feb midyear Tallulah'!K4</f>
        <v>0</v>
      </c>
      <c r="K7" s="211">
        <f>I7+J7</f>
        <v>0</v>
      </c>
      <c r="L7" s="344">
        <f t="shared" ref="L7:L38" si="29">H7+K7</f>
        <v>0</v>
      </c>
      <c r="M7" s="273">
        <f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'[2]Table 5C1K-Tallulah Charter'!S7+'[14]Table 5C1K-Tallulah Charter'!S7+(6*'[20]Table 5C1K-Tallulah Charter'!S7)</f>
        <v>0</v>
      </c>
      <c r="R7" s="210">
        <f>P7-Q7</f>
        <v>0</v>
      </c>
      <c r="S7" s="350">
        <f t="shared" ref="S7:S38" si="30">ROUND(R7/$S$88,0)</f>
        <v>0</v>
      </c>
      <c r="T7" s="350">
        <f>+P7</f>
        <v>0</v>
      </c>
      <c r="U7" s="274">
        <f>'Table 5C1A-Madison Prep'!U7</f>
        <v>2424</v>
      </c>
      <c r="V7" s="327">
        <f t="shared" ref="V7:V38" si="31">C7*U7</f>
        <v>0</v>
      </c>
      <c r="W7" s="994">
        <f>'[1]Oct midyear Tallulah'!E4</f>
        <v>0</v>
      </c>
      <c r="X7" s="276">
        <f>W7*U7</f>
        <v>0</v>
      </c>
      <c r="Y7" s="883">
        <f>'[1]Feb midyear Tallulah'!E4</f>
        <v>0</v>
      </c>
      <c r="Z7" s="276">
        <f t="shared" ref="Z7:Z70" si="32">+U7*Y7*0.5</f>
        <v>0</v>
      </c>
      <c r="AA7" s="275">
        <f>+X7+Z7</f>
        <v>0</v>
      </c>
      <c r="AB7" s="323">
        <f>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'[2]Table 5C1K-Tallulah Charter'!AI7+'[14]Table 5C1K-Tallulah Charter'!AI7+(6*'[20]Table 5C1K-Tallulah Charter'!AI7)</f>
        <v>0</v>
      </c>
      <c r="AH7" s="279">
        <f>AF7-AG7</f>
        <v>0</v>
      </c>
      <c r="AI7" s="323">
        <f t="shared" ref="AI7:AI38" si="33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34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2.1.14'!R4</f>
        <v>0</v>
      </c>
      <c r="D8" s="201">
        <f>+'Table 5C1A-Madison Prep'!D8</f>
        <v>6316.6266417386641</v>
      </c>
      <c r="E8" s="202">
        <f t="shared" ref="E8:E71" si="35">C8*D8</f>
        <v>0</v>
      </c>
      <c r="F8" s="202">
        <f>+'Table 5C1A-Madison Prep'!F8</f>
        <v>842.32</v>
      </c>
      <c r="G8" s="202">
        <f t="shared" ref="G8:G71" si="36">C8*F8</f>
        <v>0</v>
      </c>
      <c r="H8" s="345">
        <f t="shared" ref="H8:H71" si="37">E8+G8</f>
        <v>0</v>
      </c>
      <c r="I8" s="991">
        <f>'[1]Oct midyear Tallulah'!K5</f>
        <v>0</v>
      </c>
      <c r="J8" s="203">
        <f>'[1]Feb midyear Tallulah'!K5</f>
        <v>0</v>
      </c>
      <c r="K8" s="204">
        <f t="shared" ref="K8:K71" si="38">I8+J8</f>
        <v>0</v>
      </c>
      <c r="L8" s="345">
        <f t="shared" si="29"/>
        <v>0</v>
      </c>
      <c r="M8" s="286">
        <f t="shared" ref="M8:M71" si="39">-(0.25%*L8)</f>
        <v>0</v>
      </c>
      <c r="N8" s="345">
        <f t="shared" ref="N8:N71" si="40">SUM(L8:M8)</f>
        <v>0</v>
      </c>
      <c r="O8" s="201">
        <v>0</v>
      </c>
      <c r="P8" s="351">
        <f t="shared" ref="P8:P71" si="41">SUM(N8:O8)</f>
        <v>0</v>
      </c>
      <c r="Q8" s="203">
        <f>'[2]Table 5C1K-Tallulah Charter'!S8+'[14]Table 5C1K-Tallulah Charter'!S8+(6*'[20]Table 5C1K-Tallulah Charter'!S8)</f>
        <v>0</v>
      </c>
      <c r="R8" s="203">
        <f t="shared" ref="R8:R71" si="42">P8-Q8</f>
        <v>0</v>
      </c>
      <c r="S8" s="351">
        <f t="shared" si="30"/>
        <v>0</v>
      </c>
      <c r="T8" s="351">
        <f t="shared" ref="T8:T71" si="43">+P8</f>
        <v>0</v>
      </c>
      <c r="U8" s="287">
        <f>'Table 5C1A-Madison Prep'!U8</f>
        <v>2786</v>
      </c>
      <c r="V8" s="328">
        <f t="shared" si="31"/>
        <v>0</v>
      </c>
      <c r="W8" s="995">
        <f>'[1]Oct midyear Tallulah'!E5</f>
        <v>0</v>
      </c>
      <c r="X8" s="290">
        <f t="shared" ref="X8:X71" si="44">W8*U8</f>
        <v>0</v>
      </c>
      <c r="Y8" s="289">
        <f>'[1]Feb midyear Tallulah'!E5</f>
        <v>0</v>
      </c>
      <c r="Z8" s="290">
        <f t="shared" si="32"/>
        <v>0</v>
      </c>
      <c r="AA8" s="288">
        <f t="shared" ref="AA8:AA71" si="45">+X8+Z8</f>
        <v>0</v>
      </c>
      <c r="AB8" s="324">
        <f t="shared" ref="AB8:AB71" si="46">V8+AA8</f>
        <v>0</v>
      </c>
      <c r="AC8" s="292">
        <f t="shared" ref="AC8:AC71" si="47">-(0.25%*AB8)</f>
        <v>0</v>
      </c>
      <c r="AD8" s="324">
        <f t="shared" ref="AD8:AD71" si="48">SUM(AB8:AC8)</f>
        <v>0</v>
      </c>
      <c r="AE8" s="293">
        <v>0</v>
      </c>
      <c r="AF8" s="324">
        <f t="shared" ref="AF8:AF71" si="49">SUM(AD8:AE8)</f>
        <v>0</v>
      </c>
      <c r="AG8" s="293">
        <f>'[2]Table 5C1K-Tallulah Charter'!AI8+'[14]Table 5C1K-Tallulah Charter'!AI8+(6*'[20]Table 5C1K-Tallulah Charter'!AI8)</f>
        <v>0</v>
      </c>
      <c r="AH8" s="293">
        <f t="shared" ref="AH8:AH71" si="50">AF8-AG8</f>
        <v>0</v>
      </c>
      <c r="AI8" s="324">
        <f t="shared" si="33"/>
        <v>0</v>
      </c>
      <c r="AJ8" s="321">
        <f t="shared" ref="AJ8:AJ71" si="51">T8+AF8</f>
        <v>0</v>
      </c>
      <c r="AK8" s="342">
        <f t="shared" ref="AK8:AK71" si="52">S8+AI8</f>
        <v>0</v>
      </c>
      <c r="AM8" s="286">
        <v>0</v>
      </c>
      <c r="AN8" s="286">
        <f t="shared" ref="AN8:AN71" si="53">+AC8</f>
        <v>0</v>
      </c>
      <c r="AO8" s="286">
        <f t="shared" si="34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2.1.14'!R5</f>
        <v>0</v>
      </c>
      <c r="D9" s="201">
        <f>+'Table 5C1A-Madison Prep'!D9</f>
        <v>4155.1862027396819</v>
      </c>
      <c r="E9" s="202">
        <f t="shared" si="35"/>
        <v>0</v>
      </c>
      <c r="F9" s="202">
        <f>+'Table 5C1A-Madison Prep'!F9</f>
        <v>596.84</v>
      </c>
      <c r="G9" s="202">
        <f t="shared" si="36"/>
        <v>0</v>
      </c>
      <c r="H9" s="345">
        <f t="shared" si="37"/>
        <v>0</v>
      </c>
      <c r="I9" s="991">
        <f>'[1]Oct midyear Tallulah'!K6</f>
        <v>0</v>
      </c>
      <c r="J9" s="203">
        <f>'[1]Feb midyear Tallulah'!K6</f>
        <v>0</v>
      </c>
      <c r="K9" s="204">
        <f t="shared" si="38"/>
        <v>0</v>
      </c>
      <c r="L9" s="345">
        <f t="shared" si="29"/>
        <v>0</v>
      </c>
      <c r="M9" s="286">
        <f t="shared" si="39"/>
        <v>0</v>
      </c>
      <c r="N9" s="345">
        <f t="shared" si="40"/>
        <v>0</v>
      </c>
      <c r="O9" s="201">
        <v>0</v>
      </c>
      <c r="P9" s="351">
        <f t="shared" si="41"/>
        <v>0</v>
      </c>
      <c r="Q9" s="203">
        <f>'[2]Table 5C1K-Tallulah Charter'!S9+'[14]Table 5C1K-Tallulah Charter'!S9+(6*'[20]Table 5C1K-Tallulah Charter'!S9)</f>
        <v>0</v>
      </c>
      <c r="R9" s="203">
        <f t="shared" si="42"/>
        <v>0</v>
      </c>
      <c r="S9" s="351">
        <f t="shared" si="30"/>
        <v>0</v>
      </c>
      <c r="T9" s="351">
        <f t="shared" si="43"/>
        <v>0</v>
      </c>
      <c r="U9" s="287">
        <f>'Table 5C1A-Madison Prep'!U9</f>
        <v>5927</v>
      </c>
      <c r="V9" s="328">
        <f t="shared" si="31"/>
        <v>0</v>
      </c>
      <c r="W9" s="995">
        <f>'[1]Oct midyear Tallulah'!E6</f>
        <v>0</v>
      </c>
      <c r="X9" s="290">
        <f t="shared" si="44"/>
        <v>0</v>
      </c>
      <c r="Y9" s="289">
        <f>'[1]Feb midyear Tallulah'!E6</f>
        <v>0</v>
      </c>
      <c r="Z9" s="290">
        <f t="shared" si="32"/>
        <v>0</v>
      </c>
      <c r="AA9" s="288">
        <f t="shared" si="45"/>
        <v>0</v>
      </c>
      <c r="AB9" s="324">
        <f t="shared" si="46"/>
        <v>0</v>
      </c>
      <c r="AC9" s="292">
        <f t="shared" si="47"/>
        <v>0</v>
      </c>
      <c r="AD9" s="324">
        <f t="shared" si="48"/>
        <v>0</v>
      </c>
      <c r="AE9" s="293">
        <v>0</v>
      </c>
      <c r="AF9" s="324">
        <f t="shared" si="49"/>
        <v>0</v>
      </c>
      <c r="AG9" s="293">
        <f>'[2]Table 5C1K-Tallulah Charter'!AI9+'[14]Table 5C1K-Tallulah Charter'!AI9+(6*'[20]Table 5C1K-Tallulah Charter'!AI9)</f>
        <v>0</v>
      </c>
      <c r="AH9" s="293">
        <f t="shared" si="50"/>
        <v>0</v>
      </c>
      <c r="AI9" s="324">
        <f t="shared" si="33"/>
        <v>0</v>
      </c>
      <c r="AJ9" s="321">
        <f t="shared" si="51"/>
        <v>0</v>
      </c>
      <c r="AK9" s="342">
        <f t="shared" si="52"/>
        <v>0</v>
      </c>
      <c r="AM9" s="286">
        <v>0</v>
      </c>
      <c r="AN9" s="286">
        <f t="shared" si="53"/>
        <v>0</v>
      </c>
      <c r="AO9" s="286">
        <f t="shared" si="34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2.1.14'!R6</f>
        <v>0</v>
      </c>
      <c r="D10" s="201">
        <f>+'Table 5C1A-Madison Prep'!D10</f>
        <v>6119.0581446878568</v>
      </c>
      <c r="E10" s="202">
        <f t="shared" si="35"/>
        <v>0</v>
      </c>
      <c r="F10" s="202">
        <f>+'Table 5C1A-Madison Prep'!F10</f>
        <v>585.76</v>
      </c>
      <c r="G10" s="202">
        <f t="shared" si="36"/>
        <v>0</v>
      </c>
      <c r="H10" s="345">
        <f t="shared" si="37"/>
        <v>0</v>
      </c>
      <c r="I10" s="991">
        <f>'[1]Oct midyear Tallulah'!K7</f>
        <v>0</v>
      </c>
      <c r="J10" s="203">
        <f>'[1]Feb midyear Tallulah'!K7</f>
        <v>0</v>
      </c>
      <c r="K10" s="204">
        <f t="shared" si="38"/>
        <v>0</v>
      </c>
      <c r="L10" s="345">
        <f t="shared" si="29"/>
        <v>0</v>
      </c>
      <c r="M10" s="286">
        <f t="shared" si="39"/>
        <v>0</v>
      </c>
      <c r="N10" s="345">
        <f t="shared" si="40"/>
        <v>0</v>
      </c>
      <c r="O10" s="201">
        <v>0</v>
      </c>
      <c r="P10" s="351">
        <f t="shared" si="41"/>
        <v>0</v>
      </c>
      <c r="Q10" s="203">
        <f>'[2]Table 5C1K-Tallulah Charter'!S10+'[14]Table 5C1K-Tallulah Charter'!S10+(6*'[20]Table 5C1K-Tallulah Charter'!S10)</f>
        <v>0</v>
      </c>
      <c r="R10" s="203">
        <f t="shared" si="42"/>
        <v>0</v>
      </c>
      <c r="S10" s="351">
        <f t="shared" si="30"/>
        <v>0</v>
      </c>
      <c r="T10" s="351">
        <f t="shared" si="43"/>
        <v>0</v>
      </c>
      <c r="U10" s="287">
        <f>'Table 5C1A-Madison Prep'!U10</f>
        <v>4203</v>
      </c>
      <c r="V10" s="328">
        <f t="shared" si="31"/>
        <v>0</v>
      </c>
      <c r="W10" s="995">
        <f>'[1]Oct midyear Tallulah'!E7</f>
        <v>0</v>
      </c>
      <c r="X10" s="290">
        <f t="shared" si="44"/>
        <v>0</v>
      </c>
      <c r="Y10" s="289">
        <f>'[1]Feb midyear Tallulah'!E7</f>
        <v>0</v>
      </c>
      <c r="Z10" s="290">
        <f t="shared" si="32"/>
        <v>0</v>
      </c>
      <c r="AA10" s="288">
        <f t="shared" si="45"/>
        <v>0</v>
      </c>
      <c r="AB10" s="324">
        <f t="shared" si="46"/>
        <v>0</v>
      </c>
      <c r="AC10" s="292">
        <f t="shared" si="47"/>
        <v>0</v>
      </c>
      <c r="AD10" s="324">
        <f t="shared" si="48"/>
        <v>0</v>
      </c>
      <c r="AE10" s="293">
        <v>0</v>
      </c>
      <c r="AF10" s="324">
        <f t="shared" si="49"/>
        <v>0</v>
      </c>
      <c r="AG10" s="293">
        <f>'[2]Table 5C1K-Tallulah Charter'!AI10+'[14]Table 5C1K-Tallulah Charter'!AI10+(6*'[20]Table 5C1K-Tallulah Charter'!AI10)</f>
        <v>0</v>
      </c>
      <c r="AH10" s="293">
        <f t="shared" si="50"/>
        <v>0</v>
      </c>
      <c r="AI10" s="324">
        <f t="shared" si="33"/>
        <v>0</v>
      </c>
      <c r="AJ10" s="321">
        <f t="shared" si="51"/>
        <v>0</v>
      </c>
      <c r="AK10" s="342">
        <f t="shared" si="52"/>
        <v>0</v>
      </c>
      <c r="AM10" s="286">
        <v>0</v>
      </c>
      <c r="AN10" s="286">
        <f t="shared" si="53"/>
        <v>0</v>
      </c>
      <c r="AO10" s="286">
        <f t="shared" si="34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2.1.14'!R7</f>
        <v>0</v>
      </c>
      <c r="D11" s="194">
        <f>+'Table 5C1A-Madison Prep'!D11</f>
        <v>5268.940566009911</v>
      </c>
      <c r="E11" s="195">
        <f t="shared" si="35"/>
        <v>0</v>
      </c>
      <c r="F11" s="195">
        <f>+'Table 5C1A-Madison Prep'!F11</f>
        <v>555.91</v>
      </c>
      <c r="G11" s="195">
        <f t="shared" si="36"/>
        <v>0</v>
      </c>
      <c r="H11" s="346">
        <f t="shared" si="37"/>
        <v>0</v>
      </c>
      <c r="I11" s="992">
        <f>'[1]Oct midyear Tallulah'!K8</f>
        <v>0</v>
      </c>
      <c r="J11" s="196">
        <f>'[1]Feb midyear Tallulah'!K8</f>
        <v>0</v>
      </c>
      <c r="K11" s="197">
        <f t="shared" si="38"/>
        <v>0</v>
      </c>
      <c r="L11" s="346">
        <f t="shared" si="29"/>
        <v>0</v>
      </c>
      <c r="M11" s="296">
        <f t="shared" si="39"/>
        <v>0</v>
      </c>
      <c r="N11" s="346">
        <f t="shared" si="40"/>
        <v>0</v>
      </c>
      <c r="O11" s="194">
        <v>0</v>
      </c>
      <c r="P11" s="352">
        <f t="shared" si="41"/>
        <v>0</v>
      </c>
      <c r="Q11" s="196">
        <f>'[2]Table 5C1K-Tallulah Charter'!S11+'[14]Table 5C1K-Tallulah Charter'!S11+(6*'[20]Table 5C1K-Tallulah Charter'!S11)</f>
        <v>0</v>
      </c>
      <c r="R11" s="196">
        <f t="shared" si="42"/>
        <v>0</v>
      </c>
      <c r="S11" s="356">
        <f t="shared" si="30"/>
        <v>0</v>
      </c>
      <c r="T11" s="356">
        <f t="shared" si="43"/>
        <v>0</v>
      </c>
      <c r="U11" s="281">
        <f>'Table 5C1A-Madison Prep'!U11</f>
        <v>1923</v>
      </c>
      <c r="V11" s="329">
        <f t="shared" si="31"/>
        <v>0</v>
      </c>
      <c r="W11" s="996">
        <f>'[1]Oct midyear Tallulah'!E8</f>
        <v>0</v>
      </c>
      <c r="X11" s="282">
        <f t="shared" si="44"/>
        <v>0</v>
      </c>
      <c r="Y11" s="884">
        <f>'[1]Feb midyear Tallulah'!E8</f>
        <v>0</v>
      </c>
      <c r="Z11" s="282">
        <f t="shared" si="32"/>
        <v>0</v>
      </c>
      <c r="AA11" s="283">
        <f t="shared" si="45"/>
        <v>0</v>
      </c>
      <c r="AB11" s="325">
        <f t="shared" si="46"/>
        <v>0</v>
      </c>
      <c r="AC11" s="298">
        <f t="shared" si="47"/>
        <v>0</v>
      </c>
      <c r="AD11" s="325">
        <f t="shared" si="48"/>
        <v>0</v>
      </c>
      <c r="AE11" s="284">
        <v>0</v>
      </c>
      <c r="AF11" s="325">
        <f t="shared" si="49"/>
        <v>0</v>
      </c>
      <c r="AG11" s="284">
        <f>'[2]Table 5C1K-Tallulah Charter'!AI11+'[14]Table 5C1K-Tallulah Charter'!AI11+(6*'[20]Table 5C1K-Tallulah Charter'!AI11)</f>
        <v>0</v>
      </c>
      <c r="AH11" s="284">
        <f t="shared" si="50"/>
        <v>0</v>
      </c>
      <c r="AI11" s="325">
        <f t="shared" si="33"/>
        <v>0</v>
      </c>
      <c r="AJ11" s="338">
        <f t="shared" si="51"/>
        <v>0</v>
      </c>
      <c r="AK11" s="343">
        <f t="shared" si="52"/>
        <v>0</v>
      </c>
      <c r="AM11" s="296">
        <v>0</v>
      </c>
      <c r="AN11" s="296">
        <f t="shared" si="53"/>
        <v>0</v>
      </c>
      <c r="AO11" s="296">
        <f t="shared" si="34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2.1.14'!R8</f>
        <v>0</v>
      </c>
      <c r="D12" s="208">
        <f>+'Table 5C1A-Madison Prep'!D12</f>
        <v>5378.5086124955869</v>
      </c>
      <c r="E12" s="209">
        <f t="shared" si="35"/>
        <v>0</v>
      </c>
      <c r="F12" s="209">
        <f>+'Table 5C1A-Madison Prep'!F12</f>
        <v>545.4799999999999</v>
      </c>
      <c r="G12" s="209">
        <f t="shared" si="36"/>
        <v>0</v>
      </c>
      <c r="H12" s="344">
        <f t="shared" si="37"/>
        <v>0</v>
      </c>
      <c r="I12" s="990">
        <f>'[1]Oct midyear Tallulah'!K9</f>
        <v>0</v>
      </c>
      <c r="J12" s="210">
        <f>'[1]Feb midyear Tallulah'!K9</f>
        <v>0</v>
      </c>
      <c r="K12" s="211">
        <f t="shared" si="38"/>
        <v>0</v>
      </c>
      <c r="L12" s="344">
        <f t="shared" si="29"/>
        <v>0</v>
      </c>
      <c r="M12" s="273">
        <f t="shared" si="39"/>
        <v>0</v>
      </c>
      <c r="N12" s="344">
        <f t="shared" si="40"/>
        <v>0</v>
      </c>
      <c r="O12" s="208">
        <v>0</v>
      </c>
      <c r="P12" s="350">
        <f t="shared" si="41"/>
        <v>0</v>
      </c>
      <c r="Q12" s="210">
        <f>'[2]Table 5C1K-Tallulah Charter'!S12+'[14]Table 5C1K-Tallulah Charter'!S12+(6*'[20]Table 5C1K-Tallulah Charter'!S12)</f>
        <v>0</v>
      </c>
      <c r="R12" s="210">
        <f t="shared" si="42"/>
        <v>0</v>
      </c>
      <c r="S12" s="350">
        <f t="shared" si="30"/>
        <v>0</v>
      </c>
      <c r="T12" s="350">
        <f t="shared" si="43"/>
        <v>0</v>
      </c>
      <c r="U12" s="274">
        <f>'Table 5C1A-Madison Prep'!U12</f>
        <v>4057</v>
      </c>
      <c r="V12" s="327">
        <f t="shared" si="31"/>
        <v>0</v>
      </c>
      <c r="W12" s="994">
        <f>'[1]Oct midyear Tallulah'!E9</f>
        <v>0</v>
      </c>
      <c r="X12" s="276">
        <f t="shared" si="44"/>
        <v>0</v>
      </c>
      <c r="Y12" s="883">
        <f>'[1]Feb midyear Tallulah'!E9</f>
        <v>0</v>
      </c>
      <c r="Z12" s="276">
        <f t="shared" si="32"/>
        <v>0</v>
      </c>
      <c r="AA12" s="275">
        <f t="shared" si="45"/>
        <v>0</v>
      </c>
      <c r="AB12" s="323">
        <f t="shared" si="46"/>
        <v>0</v>
      </c>
      <c r="AC12" s="278">
        <f t="shared" si="47"/>
        <v>0</v>
      </c>
      <c r="AD12" s="323">
        <f t="shared" si="48"/>
        <v>0</v>
      </c>
      <c r="AE12" s="279">
        <v>0</v>
      </c>
      <c r="AF12" s="323">
        <f t="shared" si="49"/>
        <v>0</v>
      </c>
      <c r="AG12" s="279">
        <f>'[2]Table 5C1K-Tallulah Charter'!AI12+'[14]Table 5C1K-Tallulah Charter'!AI12+(6*'[20]Table 5C1K-Tallulah Charter'!AI12)</f>
        <v>0</v>
      </c>
      <c r="AH12" s="279">
        <f t="shared" si="50"/>
        <v>0</v>
      </c>
      <c r="AI12" s="323">
        <f t="shared" si="33"/>
        <v>0</v>
      </c>
      <c r="AJ12" s="337">
        <f t="shared" si="51"/>
        <v>0</v>
      </c>
      <c r="AK12" s="341">
        <f t="shared" si="52"/>
        <v>0</v>
      </c>
      <c r="AM12" s="273">
        <v>0</v>
      </c>
      <c r="AN12" s="273">
        <f t="shared" si="53"/>
        <v>0</v>
      </c>
      <c r="AO12" s="273">
        <f t="shared" si="34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2.1.14'!R9</f>
        <v>0</v>
      </c>
      <c r="D13" s="201">
        <f>+'Table 5C1A-Madison Prep'!D13</f>
        <v>2243.0031963470319</v>
      </c>
      <c r="E13" s="202">
        <f t="shared" si="35"/>
        <v>0</v>
      </c>
      <c r="F13" s="202">
        <f>+'Table 5C1A-Madison Prep'!F13</f>
        <v>756.91999999999985</v>
      </c>
      <c r="G13" s="202">
        <f t="shared" si="36"/>
        <v>0</v>
      </c>
      <c r="H13" s="345">
        <f t="shared" si="37"/>
        <v>0</v>
      </c>
      <c r="I13" s="991">
        <f>'[1]Oct midyear Tallulah'!K10</f>
        <v>0</v>
      </c>
      <c r="J13" s="203">
        <f>'[1]Feb midyear Tallulah'!K10</f>
        <v>0</v>
      </c>
      <c r="K13" s="204">
        <f t="shared" si="38"/>
        <v>0</v>
      </c>
      <c r="L13" s="345">
        <f t="shared" si="29"/>
        <v>0</v>
      </c>
      <c r="M13" s="286">
        <f t="shared" si="39"/>
        <v>0</v>
      </c>
      <c r="N13" s="345">
        <f t="shared" si="40"/>
        <v>0</v>
      </c>
      <c r="O13" s="201">
        <v>0</v>
      </c>
      <c r="P13" s="351">
        <f t="shared" si="41"/>
        <v>0</v>
      </c>
      <c r="Q13" s="203">
        <f>'[2]Table 5C1K-Tallulah Charter'!S13+'[14]Table 5C1K-Tallulah Charter'!S13+(6*'[20]Table 5C1K-Tallulah Charter'!S13)</f>
        <v>0</v>
      </c>
      <c r="R13" s="203">
        <f t="shared" si="42"/>
        <v>0</v>
      </c>
      <c r="S13" s="351">
        <f t="shared" si="30"/>
        <v>0</v>
      </c>
      <c r="T13" s="351">
        <f t="shared" si="43"/>
        <v>0</v>
      </c>
      <c r="U13" s="287">
        <f>'Table 5C1A-Madison Prep'!U13</f>
        <v>12112</v>
      </c>
      <c r="V13" s="328">
        <f t="shared" si="31"/>
        <v>0</v>
      </c>
      <c r="W13" s="995">
        <f>'[1]Oct midyear Tallulah'!E10</f>
        <v>0</v>
      </c>
      <c r="X13" s="290">
        <f t="shared" si="44"/>
        <v>0</v>
      </c>
      <c r="Y13" s="289">
        <f>'[1]Feb midyear Tallulah'!E10</f>
        <v>0</v>
      </c>
      <c r="Z13" s="290">
        <f t="shared" si="32"/>
        <v>0</v>
      </c>
      <c r="AA13" s="288">
        <f t="shared" si="45"/>
        <v>0</v>
      </c>
      <c r="AB13" s="324">
        <f t="shared" si="46"/>
        <v>0</v>
      </c>
      <c r="AC13" s="292">
        <f t="shared" si="47"/>
        <v>0</v>
      </c>
      <c r="AD13" s="324">
        <f t="shared" si="48"/>
        <v>0</v>
      </c>
      <c r="AE13" s="293">
        <v>0</v>
      </c>
      <c r="AF13" s="324">
        <f t="shared" si="49"/>
        <v>0</v>
      </c>
      <c r="AG13" s="293">
        <f>'[2]Table 5C1K-Tallulah Charter'!AI13+'[14]Table 5C1K-Tallulah Charter'!AI13+(6*'[20]Table 5C1K-Tallulah Charter'!AI13)</f>
        <v>0</v>
      </c>
      <c r="AH13" s="293">
        <f t="shared" si="50"/>
        <v>0</v>
      </c>
      <c r="AI13" s="324">
        <f t="shared" si="33"/>
        <v>0</v>
      </c>
      <c r="AJ13" s="321">
        <f t="shared" si="51"/>
        <v>0</v>
      </c>
      <c r="AK13" s="342">
        <f t="shared" si="52"/>
        <v>0</v>
      </c>
      <c r="AM13" s="286">
        <v>0</v>
      </c>
      <c r="AN13" s="286">
        <f t="shared" si="53"/>
        <v>0</v>
      </c>
      <c r="AO13" s="286">
        <f t="shared" si="34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2.1.14'!R10</f>
        <v>0</v>
      </c>
      <c r="D14" s="201">
        <f>+'Table 5C1A-Madison Prep'!D14</f>
        <v>4669.802459558854</v>
      </c>
      <c r="E14" s="202">
        <f t="shared" si="35"/>
        <v>0</v>
      </c>
      <c r="F14" s="202">
        <f>+'Table 5C1A-Madison Prep'!F14</f>
        <v>725.76</v>
      </c>
      <c r="G14" s="202">
        <f t="shared" si="36"/>
        <v>0</v>
      </c>
      <c r="H14" s="345">
        <f t="shared" si="37"/>
        <v>0</v>
      </c>
      <c r="I14" s="991">
        <f>'[1]Oct midyear Tallulah'!K11</f>
        <v>0</v>
      </c>
      <c r="J14" s="203">
        <f>'[1]Feb midyear Tallulah'!K11</f>
        <v>0</v>
      </c>
      <c r="K14" s="204">
        <f t="shared" si="38"/>
        <v>0</v>
      </c>
      <c r="L14" s="345">
        <f t="shared" si="29"/>
        <v>0</v>
      </c>
      <c r="M14" s="286">
        <f t="shared" si="39"/>
        <v>0</v>
      </c>
      <c r="N14" s="345">
        <f t="shared" si="40"/>
        <v>0</v>
      </c>
      <c r="O14" s="201">
        <v>0</v>
      </c>
      <c r="P14" s="351">
        <f t="shared" si="41"/>
        <v>0</v>
      </c>
      <c r="Q14" s="203">
        <f>'[2]Table 5C1K-Tallulah Charter'!S14+'[14]Table 5C1K-Tallulah Charter'!S14+(6*'[20]Table 5C1K-Tallulah Charter'!S14)</f>
        <v>0</v>
      </c>
      <c r="R14" s="203">
        <f t="shared" si="42"/>
        <v>0</v>
      </c>
      <c r="S14" s="351">
        <f t="shared" si="30"/>
        <v>0</v>
      </c>
      <c r="T14" s="351">
        <f t="shared" si="43"/>
        <v>0</v>
      </c>
      <c r="U14" s="287">
        <f>'Table 5C1A-Madison Prep'!U14</f>
        <v>4124</v>
      </c>
      <c r="V14" s="328">
        <f t="shared" si="31"/>
        <v>0</v>
      </c>
      <c r="W14" s="995">
        <f>'[1]Oct midyear Tallulah'!E11</f>
        <v>0</v>
      </c>
      <c r="X14" s="290">
        <f t="shared" si="44"/>
        <v>0</v>
      </c>
      <c r="Y14" s="289">
        <f>'[1]Feb midyear Tallulah'!E11</f>
        <v>0</v>
      </c>
      <c r="Z14" s="290">
        <f t="shared" si="32"/>
        <v>0</v>
      </c>
      <c r="AA14" s="288">
        <f t="shared" si="45"/>
        <v>0</v>
      </c>
      <c r="AB14" s="324">
        <f t="shared" si="46"/>
        <v>0</v>
      </c>
      <c r="AC14" s="292">
        <f t="shared" si="47"/>
        <v>0</v>
      </c>
      <c r="AD14" s="324">
        <f t="shared" si="48"/>
        <v>0</v>
      </c>
      <c r="AE14" s="293">
        <v>0</v>
      </c>
      <c r="AF14" s="324">
        <f t="shared" si="49"/>
        <v>0</v>
      </c>
      <c r="AG14" s="293">
        <f>'[2]Table 5C1K-Tallulah Charter'!AI14+'[14]Table 5C1K-Tallulah Charter'!AI14+(6*'[20]Table 5C1K-Tallulah Charter'!AI14)</f>
        <v>0</v>
      </c>
      <c r="AH14" s="293">
        <f t="shared" si="50"/>
        <v>0</v>
      </c>
      <c r="AI14" s="324">
        <f t="shared" si="33"/>
        <v>0</v>
      </c>
      <c r="AJ14" s="321">
        <f t="shared" si="51"/>
        <v>0</v>
      </c>
      <c r="AK14" s="342">
        <f t="shared" si="52"/>
        <v>0</v>
      </c>
      <c r="AM14" s="286">
        <v>0</v>
      </c>
      <c r="AN14" s="286">
        <f t="shared" si="53"/>
        <v>0</v>
      </c>
      <c r="AO14" s="286">
        <f t="shared" si="34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2.1.14'!R11</f>
        <v>0</v>
      </c>
      <c r="D15" s="201">
        <f>+'Table 5C1A-Madison Prep'!D15</f>
        <v>4632.4615072045008</v>
      </c>
      <c r="E15" s="202">
        <f t="shared" si="35"/>
        <v>0</v>
      </c>
      <c r="F15" s="202">
        <f>+'Table 5C1A-Madison Prep'!F15</f>
        <v>744.76</v>
      </c>
      <c r="G15" s="202">
        <f t="shared" si="36"/>
        <v>0</v>
      </c>
      <c r="H15" s="345">
        <f t="shared" si="37"/>
        <v>0</v>
      </c>
      <c r="I15" s="991">
        <f>'[1]Oct midyear Tallulah'!K12</f>
        <v>0</v>
      </c>
      <c r="J15" s="203">
        <f>'[1]Feb midyear Tallulah'!K12</f>
        <v>0</v>
      </c>
      <c r="K15" s="204">
        <f t="shared" si="38"/>
        <v>0</v>
      </c>
      <c r="L15" s="345">
        <f t="shared" si="29"/>
        <v>0</v>
      </c>
      <c r="M15" s="286">
        <f t="shared" si="39"/>
        <v>0</v>
      </c>
      <c r="N15" s="345">
        <f t="shared" si="40"/>
        <v>0</v>
      </c>
      <c r="O15" s="201">
        <v>0</v>
      </c>
      <c r="P15" s="351">
        <f t="shared" si="41"/>
        <v>0</v>
      </c>
      <c r="Q15" s="203">
        <f>'[2]Table 5C1K-Tallulah Charter'!S15+'[14]Table 5C1K-Tallulah Charter'!S15+(6*'[20]Table 5C1K-Tallulah Charter'!S15)</f>
        <v>0</v>
      </c>
      <c r="R15" s="203">
        <f t="shared" si="42"/>
        <v>0</v>
      </c>
      <c r="S15" s="351">
        <f t="shared" si="30"/>
        <v>0</v>
      </c>
      <c r="T15" s="351">
        <f t="shared" si="43"/>
        <v>0</v>
      </c>
      <c r="U15" s="287">
        <f>'Table 5C1A-Madison Prep'!U15</f>
        <v>4901</v>
      </c>
      <c r="V15" s="328">
        <f t="shared" si="31"/>
        <v>0</v>
      </c>
      <c r="W15" s="995">
        <f>'[1]Oct midyear Tallulah'!E12</f>
        <v>0</v>
      </c>
      <c r="X15" s="290">
        <f t="shared" si="44"/>
        <v>0</v>
      </c>
      <c r="Y15" s="289">
        <f>'[1]Feb midyear Tallulah'!E12</f>
        <v>0</v>
      </c>
      <c r="Z15" s="290">
        <f t="shared" si="32"/>
        <v>0</v>
      </c>
      <c r="AA15" s="288">
        <f t="shared" si="45"/>
        <v>0</v>
      </c>
      <c r="AB15" s="324">
        <f t="shared" si="46"/>
        <v>0</v>
      </c>
      <c r="AC15" s="292">
        <f t="shared" si="47"/>
        <v>0</v>
      </c>
      <c r="AD15" s="324">
        <f t="shared" si="48"/>
        <v>0</v>
      </c>
      <c r="AE15" s="293">
        <v>0</v>
      </c>
      <c r="AF15" s="324">
        <f t="shared" si="49"/>
        <v>0</v>
      </c>
      <c r="AG15" s="293">
        <f>'[2]Table 5C1K-Tallulah Charter'!AI15+'[14]Table 5C1K-Tallulah Charter'!AI15+(6*'[20]Table 5C1K-Tallulah Charter'!AI15)</f>
        <v>0</v>
      </c>
      <c r="AH15" s="293">
        <f t="shared" si="50"/>
        <v>0</v>
      </c>
      <c r="AI15" s="324">
        <f t="shared" si="33"/>
        <v>0</v>
      </c>
      <c r="AJ15" s="321">
        <f t="shared" si="51"/>
        <v>0</v>
      </c>
      <c r="AK15" s="342">
        <f t="shared" si="52"/>
        <v>0</v>
      </c>
      <c r="AM15" s="286">
        <v>0</v>
      </c>
      <c r="AN15" s="286">
        <f t="shared" si="53"/>
        <v>0</v>
      </c>
      <c r="AO15" s="286">
        <f t="shared" si="34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2.1.14'!R12</f>
        <v>0</v>
      </c>
      <c r="D16" s="194">
        <f>+'Table 5C1A-Madison Prep'!D16</f>
        <v>4384.374733918472</v>
      </c>
      <c r="E16" s="195">
        <f t="shared" si="35"/>
        <v>0</v>
      </c>
      <c r="F16" s="195">
        <f>+'Table 5C1A-Madison Prep'!F16</f>
        <v>608.04000000000008</v>
      </c>
      <c r="G16" s="195">
        <f t="shared" si="36"/>
        <v>0</v>
      </c>
      <c r="H16" s="346">
        <f t="shared" si="37"/>
        <v>0</v>
      </c>
      <c r="I16" s="992">
        <f>'[1]Oct midyear Tallulah'!K13</f>
        <v>0</v>
      </c>
      <c r="J16" s="196">
        <f>'[1]Feb midyear Tallulah'!K13</f>
        <v>0</v>
      </c>
      <c r="K16" s="197">
        <f t="shared" si="38"/>
        <v>0</v>
      </c>
      <c r="L16" s="346">
        <f t="shared" si="29"/>
        <v>0</v>
      </c>
      <c r="M16" s="296">
        <f t="shared" si="39"/>
        <v>0</v>
      </c>
      <c r="N16" s="346">
        <f t="shared" si="40"/>
        <v>0</v>
      </c>
      <c r="O16" s="194">
        <v>0</v>
      </c>
      <c r="P16" s="352">
        <f t="shared" si="41"/>
        <v>0</v>
      </c>
      <c r="Q16" s="196">
        <f>'[2]Table 5C1K-Tallulah Charter'!S16+'[14]Table 5C1K-Tallulah Charter'!S16+(6*'[20]Table 5C1K-Tallulah Charter'!S16)</f>
        <v>0</v>
      </c>
      <c r="R16" s="196">
        <f t="shared" si="42"/>
        <v>0</v>
      </c>
      <c r="S16" s="356">
        <f t="shared" si="30"/>
        <v>0</v>
      </c>
      <c r="T16" s="356">
        <f t="shared" si="43"/>
        <v>0</v>
      </c>
      <c r="U16" s="281">
        <f>'Table 5C1A-Madison Prep'!U16</f>
        <v>4619</v>
      </c>
      <c r="V16" s="329">
        <f t="shared" si="31"/>
        <v>0</v>
      </c>
      <c r="W16" s="996">
        <f>'[1]Oct midyear Tallulah'!E13</f>
        <v>0</v>
      </c>
      <c r="X16" s="282">
        <f t="shared" si="44"/>
        <v>0</v>
      </c>
      <c r="Y16" s="884">
        <f>'[1]Feb midyear Tallulah'!E13</f>
        <v>0</v>
      </c>
      <c r="Z16" s="282">
        <f t="shared" si="32"/>
        <v>0</v>
      </c>
      <c r="AA16" s="283">
        <f t="shared" si="45"/>
        <v>0</v>
      </c>
      <c r="AB16" s="325">
        <f t="shared" si="46"/>
        <v>0</v>
      </c>
      <c r="AC16" s="298">
        <f t="shared" si="47"/>
        <v>0</v>
      </c>
      <c r="AD16" s="325">
        <f t="shared" si="48"/>
        <v>0</v>
      </c>
      <c r="AE16" s="284">
        <v>0</v>
      </c>
      <c r="AF16" s="325">
        <f t="shared" si="49"/>
        <v>0</v>
      </c>
      <c r="AG16" s="284">
        <f>'[2]Table 5C1K-Tallulah Charter'!AI16+'[14]Table 5C1K-Tallulah Charter'!AI16+(6*'[20]Table 5C1K-Tallulah Charter'!AI16)</f>
        <v>0</v>
      </c>
      <c r="AH16" s="284">
        <f t="shared" si="50"/>
        <v>0</v>
      </c>
      <c r="AI16" s="325">
        <f t="shared" si="33"/>
        <v>0</v>
      </c>
      <c r="AJ16" s="338">
        <f t="shared" si="51"/>
        <v>0</v>
      </c>
      <c r="AK16" s="343">
        <f t="shared" si="52"/>
        <v>0</v>
      </c>
      <c r="AM16" s="296">
        <v>0</v>
      </c>
      <c r="AN16" s="296">
        <f t="shared" si="53"/>
        <v>0</v>
      </c>
      <c r="AO16" s="296">
        <f t="shared" si="34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2.1.14'!R13</f>
        <v>0</v>
      </c>
      <c r="D17" s="208">
        <f>+'Table 5C1A-Madison Prep'!D17</f>
        <v>7098.5372236353351</v>
      </c>
      <c r="E17" s="209">
        <f t="shared" si="35"/>
        <v>0</v>
      </c>
      <c r="F17" s="209">
        <f>+'Table 5C1A-Madison Prep'!F17</f>
        <v>706.55</v>
      </c>
      <c r="G17" s="209">
        <f t="shared" si="36"/>
        <v>0</v>
      </c>
      <c r="H17" s="344">
        <f t="shared" si="37"/>
        <v>0</v>
      </c>
      <c r="I17" s="990">
        <f>'[1]Oct midyear Tallulah'!K14</f>
        <v>0</v>
      </c>
      <c r="J17" s="210">
        <f>'[1]Feb midyear Tallulah'!K14</f>
        <v>0</v>
      </c>
      <c r="K17" s="211">
        <f t="shared" si="38"/>
        <v>0</v>
      </c>
      <c r="L17" s="344">
        <f t="shared" si="29"/>
        <v>0</v>
      </c>
      <c r="M17" s="273">
        <f t="shared" si="39"/>
        <v>0</v>
      </c>
      <c r="N17" s="344">
        <f t="shared" si="40"/>
        <v>0</v>
      </c>
      <c r="O17" s="208">
        <v>0</v>
      </c>
      <c r="P17" s="350">
        <f t="shared" si="41"/>
        <v>0</v>
      </c>
      <c r="Q17" s="210">
        <f>'[2]Table 5C1K-Tallulah Charter'!S17+'[14]Table 5C1K-Tallulah Charter'!S17+(6*'[20]Table 5C1K-Tallulah Charter'!S17)</f>
        <v>0</v>
      </c>
      <c r="R17" s="210">
        <f t="shared" si="42"/>
        <v>0</v>
      </c>
      <c r="S17" s="350">
        <f t="shared" si="30"/>
        <v>0</v>
      </c>
      <c r="T17" s="350">
        <f t="shared" si="43"/>
        <v>0</v>
      </c>
      <c r="U17" s="274">
        <f>'Table 5C1A-Madison Prep'!U17</f>
        <v>3580</v>
      </c>
      <c r="V17" s="327">
        <f t="shared" si="31"/>
        <v>0</v>
      </c>
      <c r="W17" s="994">
        <f>'[1]Oct midyear Tallulah'!E14</f>
        <v>0</v>
      </c>
      <c r="X17" s="276">
        <f t="shared" si="44"/>
        <v>0</v>
      </c>
      <c r="Y17" s="883">
        <f>'[1]Feb midyear Tallulah'!E14</f>
        <v>0</v>
      </c>
      <c r="Z17" s="276">
        <f t="shared" si="32"/>
        <v>0</v>
      </c>
      <c r="AA17" s="275">
        <f t="shared" si="45"/>
        <v>0</v>
      </c>
      <c r="AB17" s="323">
        <f t="shared" si="46"/>
        <v>0</v>
      </c>
      <c r="AC17" s="278">
        <f t="shared" si="47"/>
        <v>0</v>
      </c>
      <c r="AD17" s="323">
        <f t="shared" si="48"/>
        <v>0</v>
      </c>
      <c r="AE17" s="279">
        <v>0</v>
      </c>
      <c r="AF17" s="323">
        <f t="shared" si="49"/>
        <v>0</v>
      </c>
      <c r="AG17" s="279">
        <f>'[2]Table 5C1K-Tallulah Charter'!AI17+'[14]Table 5C1K-Tallulah Charter'!AI17+(6*'[20]Table 5C1K-Tallulah Charter'!AI17)</f>
        <v>0</v>
      </c>
      <c r="AH17" s="279">
        <f t="shared" si="50"/>
        <v>0</v>
      </c>
      <c r="AI17" s="323">
        <f t="shared" si="33"/>
        <v>0</v>
      </c>
      <c r="AJ17" s="337">
        <f t="shared" si="51"/>
        <v>0</v>
      </c>
      <c r="AK17" s="341">
        <f t="shared" si="52"/>
        <v>0</v>
      </c>
      <c r="AM17" s="273">
        <v>0</v>
      </c>
      <c r="AN17" s="273">
        <f t="shared" si="53"/>
        <v>0</v>
      </c>
      <c r="AO17" s="273">
        <f t="shared" si="34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2.1.14'!R14</f>
        <v>0</v>
      </c>
      <c r="D18" s="201">
        <f>+'Table 5C1A-Madison Prep'!D18</f>
        <v>1666.6040983606558</v>
      </c>
      <c r="E18" s="202">
        <f t="shared" si="35"/>
        <v>0</v>
      </c>
      <c r="F18" s="202">
        <f>+'Table 5C1A-Madison Prep'!F18</f>
        <v>1063.31</v>
      </c>
      <c r="G18" s="202">
        <f t="shared" si="36"/>
        <v>0</v>
      </c>
      <c r="H18" s="345">
        <f t="shared" si="37"/>
        <v>0</v>
      </c>
      <c r="I18" s="991">
        <f>'[1]Oct midyear Tallulah'!K15</f>
        <v>0</v>
      </c>
      <c r="J18" s="203">
        <f>'[1]Feb midyear Tallulah'!K15</f>
        <v>0</v>
      </c>
      <c r="K18" s="204">
        <f t="shared" si="38"/>
        <v>0</v>
      </c>
      <c r="L18" s="345">
        <f t="shared" si="29"/>
        <v>0</v>
      </c>
      <c r="M18" s="286">
        <f t="shared" si="39"/>
        <v>0</v>
      </c>
      <c r="N18" s="345">
        <f t="shared" si="40"/>
        <v>0</v>
      </c>
      <c r="O18" s="201">
        <v>0</v>
      </c>
      <c r="P18" s="351">
        <f t="shared" si="41"/>
        <v>0</v>
      </c>
      <c r="Q18" s="203">
        <f>'[2]Table 5C1K-Tallulah Charter'!S18+'[14]Table 5C1K-Tallulah Charter'!S18+(6*'[20]Table 5C1K-Tallulah Charter'!S18)</f>
        <v>0</v>
      </c>
      <c r="R18" s="203">
        <f t="shared" si="42"/>
        <v>0</v>
      </c>
      <c r="S18" s="351">
        <f t="shared" si="30"/>
        <v>0</v>
      </c>
      <c r="T18" s="351">
        <f t="shared" si="43"/>
        <v>0</v>
      </c>
      <c r="U18" s="287">
        <f>'Table 5C1A-Madison Prep'!U18</f>
        <v>8094</v>
      </c>
      <c r="V18" s="328">
        <f t="shared" si="31"/>
        <v>0</v>
      </c>
      <c r="W18" s="995">
        <f>'[1]Oct midyear Tallulah'!E15</f>
        <v>0</v>
      </c>
      <c r="X18" s="290">
        <f t="shared" si="44"/>
        <v>0</v>
      </c>
      <c r="Y18" s="289">
        <f>'[1]Feb midyear Tallulah'!E15</f>
        <v>0</v>
      </c>
      <c r="Z18" s="290">
        <f t="shared" si="32"/>
        <v>0</v>
      </c>
      <c r="AA18" s="288">
        <f t="shared" si="45"/>
        <v>0</v>
      </c>
      <c r="AB18" s="324">
        <f t="shared" si="46"/>
        <v>0</v>
      </c>
      <c r="AC18" s="292">
        <f t="shared" si="47"/>
        <v>0</v>
      </c>
      <c r="AD18" s="324">
        <f t="shared" si="48"/>
        <v>0</v>
      </c>
      <c r="AE18" s="293">
        <v>0</v>
      </c>
      <c r="AF18" s="324">
        <f t="shared" si="49"/>
        <v>0</v>
      </c>
      <c r="AG18" s="293">
        <f>'[2]Table 5C1K-Tallulah Charter'!AI18+'[14]Table 5C1K-Tallulah Charter'!AI18+(6*'[20]Table 5C1K-Tallulah Charter'!AI18)</f>
        <v>0</v>
      </c>
      <c r="AH18" s="293">
        <f t="shared" si="50"/>
        <v>0</v>
      </c>
      <c r="AI18" s="324">
        <f t="shared" si="33"/>
        <v>0</v>
      </c>
      <c r="AJ18" s="321">
        <f t="shared" si="51"/>
        <v>0</v>
      </c>
      <c r="AK18" s="342">
        <f t="shared" si="52"/>
        <v>0</v>
      </c>
      <c r="AM18" s="286">
        <v>0</v>
      </c>
      <c r="AN18" s="286">
        <f t="shared" si="53"/>
        <v>0</v>
      </c>
      <c r="AO18" s="286">
        <f t="shared" si="34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2.1.14'!R15</f>
        <v>0</v>
      </c>
      <c r="D19" s="201">
        <f>+'Table 5C1A-Madison Prep'!D19</f>
        <v>6433.6297758332212</v>
      </c>
      <c r="E19" s="202">
        <f t="shared" si="35"/>
        <v>0</v>
      </c>
      <c r="F19" s="202">
        <f>+'Table 5C1A-Madison Prep'!F19</f>
        <v>749.43000000000006</v>
      </c>
      <c r="G19" s="202">
        <f t="shared" si="36"/>
        <v>0</v>
      </c>
      <c r="H19" s="345">
        <f t="shared" si="37"/>
        <v>0</v>
      </c>
      <c r="I19" s="991">
        <f>'[1]Oct midyear Tallulah'!K16</f>
        <v>0</v>
      </c>
      <c r="J19" s="203">
        <f>'[1]Feb midyear Tallulah'!K16</f>
        <v>0</v>
      </c>
      <c r="K19" s="204">
        <f t="shared" si="38"/>
        <v>0</v>
      </c>
      <c r="L19" s="345">
        <f t="shared" si="29"/>
        <v>0</v>
      </c>
      <c r="M19" s="286">
        <f t="shared" si="39"/>
        <v>0</v>
      </c>
      <c r="N19" s="345">
        <f t="shared" si="40"/>
        <v>0</v>
      </c>
      <c r="O19" s="201">
        <v>0</v>
      </c>
      <c r="P19" s="351">
        <f t="shared" si="41"/>
        <v>0</v>
      </c>
      <c r="Q19" s="203">
        <f>'[2]Table 5C1K-Tallulah Charter'!S19+'[14]Table 5C1K-Tallulah Charter'!S19+(6*'[20]Table 5C1K-Tallulah Charter'!S19)</f>
        <v>0</v>
      </c>
      <c r="R19" s="203">
        <f t="shared" si="42"/>
        <v>0</v>
      </c>
      <c r="S19" s="351">
        <f t="shared" si="30"/>
        <v>0</v>
      </c>
      <c r="T19" s="351">
        <f t="shared" si="43"/>
        <v>0</v>
      </c>
      <c r="U19" s="287">
        <f>'Table 5C1A-Madison Prep'!U19</f>
        <v>2762</v>
      </c>
      <c r="V19" s="328">
        <f t="shared" si="31"/>
        <v>0</v>
      </c>
      <c r="W19" s="995">
        <f>'[1]Oct midyear Tallulah'!E16</f>
        <v>0</v>
      </c>
      <c r="X19" s="290">
        <f t="shared" si="44"/>
        <v>0</v>
      </c>
      <c r="Y19" s="289">
        <f>'[1]Feb midyear Tallulah'!E16</f>
        <v>0</v>
      </c>
      <c r="Z19" s="290">
        <f t="shared" si="32"/>
        <v>0</v>
      </c>
      <c r="AA19" s="288">
        <f t="shared" si="45"/>
        <v>0</v>
      </c>
      <c r="AB19" s="324">
        <f t="shared" si="46"/>
        <v>0</v>
      </c>
      <c r="AC19" s="292">
        <f t="shared" si="47"/>
        <v>0</v>
      </c>
      <c r="AD19" s="324">
        <f t="shared" si="48"/>
        <v>0</v>
      </c>
      <c r="AE19" s="293">
        <v>0</v>
      </c>
      <c r="AF19" s="324">
        <f t="shared" si="49"/>
        <v>0</v>
      </c>
      <c r="AG19" s="293">
        <f>'[2]Table 5C1K-Tallulah Charter'!AI19+'[14]Table 5C1K-Tallulah Charter'!AI19+(6*'[20]Table 5C1K-Tallulah Charter'!AI19)</f>
        <v>0</v>
      </c>
      <c r="AH19" s="293">
        <f t="shared" si="50"/>
        <v>0</v>
      </c>
      <c r="AI19" s="324">
        <f t="shared" si="33"/>
        <v>0</v>
      </c>
      <c r="AJ19" s="321">
        <f t="shared" si="51"/>
        <v>0</v>
      </c>
      <c r="AK19" s="342">
        <f t="shared" si="52"/>
        <v>0</v>
      </c>
      <c r="AM19" s="286">
        <v>0</v>
      </c>
      <c r="AN19" s="286">
        <f t="shared" si="53"/>
        <v>0</v>
      </c>
      <c r="AO19" s="286">
        <f t="shared" si="34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2.1.14'!R16</f>
        <v>0</v>
      </c>
      <c r="D20" s="201">
        <f>+'Table 5C1A-Madison Prep'!D20</f>
        <v>5334.9509412500001</v>
      </c>
      <c r="E20" s="202">
        <f t="shared" si="35"/>
        <v>0</v>
      </c>
      <c r="F20" s="202">
        <f>+'Table 5C1A-Madison Prep'!F20</f>
        <v>809.9799999999999</v>
      </c>
      <c r="G20" s="202">
        <f t="shared" si="36"/>
        <v>0</v>
      </c>
      <c r="H20" s="345">
        <f t="shared" si="37"/>
        <v>0</v>
      </c>
      <c r="I20" s="991">
        <f>'[1]Oct midyear Tallulah'!K17</f>
        <v>0</v>
      </c>
      <c r="J20" s="203">
        <f>'[1]Feb midyear Tallulah'!K17</f>
        <v>0</v>
      </c>
      <c r="K20" s="204">
        <f t="shared" si="38"/>
        <v>0</v>
      </c>
      <c r="L20" s="345">
        <f t="shared" si="29"/>
        <v>0</v>
      </c>
      <c r="M20" s="286">
        <f t="shared" si="39"/>
        <v>0</v>
      </c>
      <c r="N20" s="345">
        <f t="shared" si="40"/>
        <v>0</v>
      </c>
      <c r="O20" s="201">
        <v>0</v>
      </c>
      <c r="P20" s="351">
        <f t="shared" si="41"/>
        <v>0</v>
      </c>
      <c r="Q20" s="203">
        <f>'[2]Table 5C1K-Tallulah Charter'!S20+'[14]Table 5C1K-Tallulah Charter'!S20+(6*'[20]Table 5C1K-Tallulah Charter'!S20)</f>
        <v>0</v>
      </c>
      <c r="R20" s="203">
        <f t="shared" si="42"/>
        <v>0</v>
      </c>
      <c r="S20" s="351">
        <f t="shared" si="30"/>
        <v>0</v>
      </c>
      <c r="T20" s="351">
        <f t="shared" si="43"/>
        <v>0</v>
      </c>
      <c r="U20" s="287">
        <f>'Table 5C1A-Madison Prep'!U20</f>
        <v>4171</v>
      </c>
      <c r="V20" s="328">
        <f t="shared" si="31"/>
        <v>0</v>
      </c>
      <c r="W20" s="995">
        <f>'[1]Oct midyear Tallulah'!E17</f>
        <v>0</v>
      </c>
      <c r="X20" s="290">
        <f t="shared" si="44"/>
        <v>0</v>
      </c>
      <c r="Y20" s="289">
        <f>'[1]Feb midyear Tallulah'!E17</f>
        <v>0</v>
      </c>
      <c r="Z20" s="290">
        <f t="shared" si="32"/>
        <v>0</v>
      </c>
      <c r="AA20" s="288">
        <f t="shared" si="45"/>
        <v>0</v>
      </c>
      <c r="AB20" s="324">
        <f t="shared" si="46"/>
        <v>0</v>
      </c>
      <c r="AC20" s="292">
        <f t="shared" si="47"/>
        <v>0</v>
      </c>
      <c r="AD20" s="324">
        <f t="shared" si="48"/>
        <v>0</v>
      </c>
      <c r="AE20" s="293">
        <v>0</v>
      </c>
      <c r="AF20" s="324">
        <f t="shared" si="49"/>
        <v>0</v>
      </c>
      <c r="AG20" s="293">
        <f>'[2]Table 5C1K-Tallulah Charter'!AI20+'[14]Table 5C1K-Tallulah Charter'!AI20+(6*'[20]Table 5C1K-Tallulah Charter'!AI20)</f>
        <v>0</v>
      </c>
      <c r="AH20" s="293">
        <f t="shared" si="50"/>
        <v>0</v>
      </c>
      <c r="AI20" s="324">
        <f t="shared" si="33"/>
        <v>0</v>
      </c>
      <c r="AJ20" s="321">
        <f t="shared" si="51"/>
        <v>0</v>
      </c>
      <c r="AK20" s="342">
        <f t="shared" si="52"/>
        <v>0</v>
      </c>
      <c r="AM20" s="286">
        <v>0</v>
      </c>
      <c r="AN20" s="286">
        <f t="shared" si="53"/>
        <v>0</v>
      </c>
      <c r="AO20" s="286">
        <f t="shared" si="34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2.1.14'!R17</f>
        <v>0</v>
      </c>
      <c r="D21" s="194">
        <f>+'Table 5C1A-Madison Prep'!D21</f>
        <v>5749.8285214059952</v>
      </c>
      <c r="E21" s="195">
        <f t="shared" si="35"/>
        <v>0</v>
      </c>
      <c r="F21" s="195">
        <f>+'Table 5C1A-Madison Prep'!F21</f>
        <v>553.79999999999995</v>
      </c>
      <c r="G21" s="195">
        <f t="shared" si="36"/>
        <v>0</v>
      </c>
      <c r="H21" s="346">
        <f t="shared" si="37"/>
        <v>0</v>
      </c>
      <c r="I21" s="992">
        <f>'[1]Oct midyear Tallulah'!K18</f>
        <v>0</v>
      </c>
      <c r="J21" s="196">
        <f>'[1]Feb midyear Tallulah'!K18</f>
        <v>0</v>
      </c>
      <c r="K21" s="197">
        <f t="shared" si="38"/>
        <v>0</v>
      </c>
      <c r="L21" s="346">
        <f t="shared" si="29"/>
        <v>0</v>
      </c>
      <c r="M21" s="296">
        <f t="shared" si="39"/>
        <v>0</v>
      </c>
      <c r="N21" s="346">
        <f t="shared" si="40"/>
        <v>0</v>
      </c>
      <c r="O21" s="194">
        <v>0</v>
      </c>
      <c r="P21" s="352">
        <f t="shared" si="41"/>
        <v>0</v>
      </c>
      <c r="Q21" s="196">
        <f>'[2]Table 5C1K-Tallulah Charter'!S21+'[14]Table 5C1K-Tallulah Charter'!S21+(6*'[20]Table 5C1K-Tallulah Charter'!S21)</f>
        <v>0</v>
      </c>
      <c r="R21" s="196">
        <f t="shared" si="42"/>
        <v>0</v>
      </c>
      <c r="S21" s="356">
        <f t="shared" si="30"/>
        <v>0</v>
      </c>
      <c r="T21" s="356">
        <f t="shared" si="43"/>
        <v>0</v>
      </c>
      <c r="U21" s="281">
        <f>'Table 5C1A-Madison Prep'!U21</f>
        <v>2880</v>
      </c>
      <c r="V21" s="329">
        <f t="shared" si="31"/>
        <v>0</v>
      </c>
      <c r="W21" s="996">
        <f>'[1]Oct midyear Tallulah'!E18</f>
        <v>0</v>
      </c>
      <c r="X21" s="282">
        <f t="shared" si="44"/>
        <v>0</v>
      </c>
      <c r="Y21" s="884">
        <f>'[1]Feb midyear Tallulah'!E18</f>
        <v>0</v>
      </c>
      <c r="Z21" s="282">
        <f t="shared" si="32"/>
        <v>0</v>
      </c>
      <c r="AA21" s="283">
        <f t="shared" si="45"/>
        <v>0</v>
      </c>
      <c r="AB21" s="325">
        <f t="shared" si="46"/>
        <v>0</v>
      </c>
      <c r="AC21" s="298">
        <f t="shared" si="47"/>
        <v>0</v>
      </c>
      <c r="AD21" s="325">
        <f t="shared" si="48"/>
        <v>0</v>
      </c>
      <c r="AE21" s="284">
        <v>0</v>
      </c>
      <c r="AF21" s="325">
        <f t="shared" si="49"/>
        <v>0</v>
      </c>
      <c r="AG21" s="284">
        <f>'[2]Table 5C1K-Tallulah Charter'!AI21+'[14]Table 5C1K-Tallulah Charter'!AI21+(6*'[20]Table 5C1K-Tallulah Charter'!AI21)</f>
        <v>0</v>
      </c>
      <c r="AH21" s="284">
        <f t="shared" si="50"/>
        <v>0</v>
      </c>
      <c r="AI21" s="325">
        <f t="shared" si="33"/>
        <v>0</v>
      </c>
      <c r="AJ21" s="338">
        <f t="shared" si="51"/>
        <v>0</v>
      </c>
      <c r="AK21" s="343">
        <f t="shared" si="52"/>
        <v>0</v>
      </c>
      <c r="AM21" s="296">
        <v>0</v>
      </c>
      <c r="AN21" s="296">
        <f t="shared" si="53"/>
        <v>0</v>
      </c>
      <c r="AO21" s="296">
        <f t="shared" si="34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2.1.14'!R18</f>
        <v>0</v>
      </c>
      <c r="D22" s="208">
        <f>+'Table 5C1A-Madison Prep'!D22</f>
        <v>1980.2494354342025</v>
      </c>
      <c r="E22" s="209">
        <f t="shared" si="35"/>
        <v>0</v>
      </c>
      <c r="F22" s="209">
        <f>+'Table 5C1A-Madison Prep'!F22</f>
        <v>686.73</v>
      </c>
      <c r="G22" s="209">
        <f t="shared" si="36"/>
        <v>0</v>
      </c>
      <c r="H22" s="344">
        <f t="shared" si="37"/>
        <v>0</v>
      </c>
      <c r="I22" s="990">
        <f>'[1]Oct midyear Tallulah'!K19</f>
        <v>0</v>
      </c>
      <c r="J22" s="210">
        <f>'[1]Feb midyear Tallulah'!K19</f>
        <v>0</v>
      </c>
      <c r="K22" s="211">
        <f t="shared" si="38"/>
        <v>0</v>
      </c>
      <c r="L22" s="344">
        <f t="shared" si="29"/>
        <v>0</v>
      </c>
      <c r="M22" s="273">
        <f t="shared" si="39"/>
        <v>0</v>
      </c>
      <c r="N22" s="344">
        <f t="shared" si="40"/>
        <v>0</v>
      </c>
      <c r="O22" s="208">
        <v>0</v>
      </c>
      <c r="P22" s="350">
        <f t="shared" si="41"/>
        <v>0</v>
      </c>
      <c r="Q22" s="210">
        <f>'[2]Table 5C1K-Tallulah Charter'!S22+'[14]Table 5C1K-Tallulah Charter'!S22+(6*'[20]Table 5C1K-Tallulah Charter'!S22)</f>
        <v>0</v>
      </c>
      <c r="R22" s="210">
        <f t="shared" si="42"/>
        <v>0</v>
      </c>
      <c r="S22" s="350">
        <f t="shared" si="30"/>
        <v>0</v>
      </c>
      <c r="T22" s="350">
        <f t="shared" si="43"/>
        <v>0</v>
      </c>
      <c r="U22" s="274">
        <f>'Table 5C1A-Madison Prep'!U22</f>
        <v>13021</v>
      </c>
      <c r="V22" s="327">
        <f t="shared" si="31"/>
        <v>0</v>
      </c>
      <c r="W22" s="994">
        <f>'[1]Oct midyear Tallulah'!E19</f>
        <v>0</v>
      </c>
      <c r="X22" s="276">
        <f t="shared" si="44"/>
        <v>0</v>
      </c>
      <c r="Y22" s="883">
        <f>'[1]Feb midyear Tallulah'!E19</f>
        <v>0</v>
      </c>
      <c r="Z22" s="276">
        <f t="shared" si="32"/>
        <v>0</v>
      </c>
      <c r="AA22" s="275">
        <f t="shared" si="45"/>
        <v>0</v>
      </c>
      <c r="AB22" s="323">
        <f t="shared" si="46"/>
        <v>0</v>
      </c>
      <c r="AC22" s="278">
        <f t="shared" si="47"/>
        <v>0</v>
      </c>
      <c r="AD22" s="323">
        <f t="shared" si="48"/>
        <v>0</v>
      </c>
      <c r="AE22" s="279">
        <v>0</v>
      </c>
      <c r="AF22" s="323">
        <f t="shared" si="49"/>
        <v>0</v>
      </c>
      <c r="AG22" s="279">
        <f>'[2]Table 5C1K-Tallulah Charter'!AI22+'[14]Table 5C1K-Tallulah Charter'!AI22+(6*'[20]Table 5C1K-Tallulah Charter'!AI22)</f>
        <v>0</v>
      </c>
      <c r="AH22" s="279">
        <f t="shared" si="50"/>
        <v>0</v>
      </c>
      <c r="AI22" s="323">
        <f t="shared" si="33"/>
        <v>0</v>
      </c>
      <c r="AJ22" s="337">
        <f t="shared" si="51"/>
        <v>0</v>
      </c>
      <c r="AK22" s="341">
        <f t="shared" si="52"/>
        <v>0</v>
      </c>
      <c r="AM22" s="273">
        <v>0</v>
      </c>
      <c r="AN22" s="273">
        <f t="shared" si="53"/>
        <v>0</v>
      </c>
      <c r="AO22" s="273">
        <f t="shared" si="34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2.1.14'!R19</f>
        <v>0</v>
      </c>
      <c r="D23" s="201">
        <f>+'Table 5C1A-Madison Prep'!D23</f>
        <v>3363.5980368254495</v>
      </c>
      <c r="E23" s="202">
        <f t="shared" si="35"/>
        <v>0</v>
      </c>
      <c r="F23" s="202">
        <f>+'Table 5C1A-Madison Prep'!F23</f>
        <v>801.47762416806802</v>
      </c>
      <c r="G23" s="202">
        <f t="shared" si="36"/>
        <v>0</v>
      </c>
      <c r="H23" s="345">
        <f t="shared" si="37"/>
        <v>0</v>
      </c>
      <c r="I23" s="991">
        <f>'[1]Oct midyear Tallulah'!K20</f>
        <v>0</v>
      </c>
      <c r="J23" s="203">
        <f>'[1]Feb midyear Tallulah'!K20</f>
        <v>0</v>
      </c>
      <c r="K23" s="204">
        <f t="shared" si="38"/>
        <v>0</v>
      </c>
      <c r="L23" s="345">
        <f t="shared" si="29"/>
        <v>0</v>
      </c>
      <c r="M23" s="286">
        <f t="shared" si="39"/>
        <v>0</v>
      </c>
      <c r="N23" s="345">
        <f t="shared" si="40"/>
        <v>0</v>
      </c>
      <c r="O23" s="201">
        <v>0</v>
      </c>
      <c r="P23" s="351">
        <f t="shared" si="41"/>
        <v>0</v>
      </c>
      <c r="Q23" s="203">
        <f>'[2]Table 5C1K-Tallulah Charter'!S23+'[14]Table 5C1K-Tallulah Charter'!S23+(6*'[20]Table 5C1K-Tallulah Charter'!S23)</f>
        <v>0</v>
      </c>
      <c r="R23" s="203">
        <f t="shared" si="42"/>
        <v>0</v>
      </c>
      <c r="S23" s="351">
        <f t="shared" si="30"/>
        <v>0</v>
      </c>
      <c r="T23" s="351">
        <f t="shared" si="43"/>
        <v>0</v>
      </c>
      <c r="U23" s="287">
        <f>'Table 5C1A-Madison Prep'!U23</f>
        <v>6954</v>
      </c>
      <c r="V23" s="328">
        <f t="shared" si="31"/>
        <v>0</v>
      </c>
      <c r="W23" s="995">
        <f>'[1]Oct midyear Tallulah'!E20</f>
        <v>0</v>
      </c>
      <c r="X23" s="290">
        <f t="shared" si="44"/>
        <v>0</v>
      </c>
      <c r="Y23" s="289">
        <f>'[1]Feb midyear Tallulah'!E20</f>
        <v>0</v>
      </c>
      <c r="Z23" s="290">
        <f t="shared" si="32"/>
        <v>0</v>
      </c>
      <c r="AA23" s="288">
        <f t="shared" si="45"/>
        <v>0</v>
      </c>
      <c r="AB23" s="324">
        <f t="shared" si="46"/>
        <v>0</v>
      </c>
      <c r="AC23" s="292">
        <f t="shared" si="47"/>
        <v>0</v>
      </c>
      <c r="AD23" s="324">
        <f t="shared" si="48"/>
        <v>0</v>
      </c>
      <c r="AE23" s="293">
        <v>0</v>
      </c>
      <c r="AF23" s="324">
        <f t="shared" si="49"/>
        <v>0</v>
      </c>
      <c r="AG23" s="293">
        <f>'[2]Table 5C1K-Tallulah Charter'!AI23+'[14]Table 5C1K-Tallulah Charter'!AI23+(6*'[20]Table 5C1K-Tallulah Charter'!AI23)</f>
        <v>0</v>
      </c>
      <c r="AH23" s="293">
        <f t="shared" si="50"/>
        <v>0</v>
      </c>
      <c r="AI23" s="324">
        <f t="shared" si="33"/>
        <v>0</v>
      </c>
      <c r="AJ23" s="321">
        <f t="shared" si="51"/>
        <v>0</v>
      </c>
      <c r="AK23" s="342">
        <f t="shared" si="52"/>
        <v>0</v>
      </c>
      <c r="AM23" s="286">
        <v>0</v>
      </c>
      <c r="AN23" s="286">
        <f t="shared" si="53"/>
        <v>0</v>
      </c>
      <c r="AO23" s="286">
        <f t="shared" si="34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2.1.14'!R20</f>
        <v>0</v>
      </c>
      <c r="D24" s="201">
        <f>+'Table 5C1A-Madison Prep'!D24</f>
        <v>6354.5533500475731</v>
      </c>
      <c r="E24" s="202">
        <f t="shared" si="35"/>
        <v>0</v>
      </c>
      <c r="F24" s="202">
        <f>+'Table 5C1A-Madison Prep'!F24</f>
        <v>845.94999999999993</v>
      </c>
      <c r="G24" s="202">
        <f t="shared" si="36"/>
        <v>0</v>
      </c>
      <c r="H24" s="345">
        <f t="shared" si="37"/>
        <v>0</v>
      </c>
      <c r="I24" s="991">
        <f>'[1]Oct midyear Tallulah'!K21</f>
        <v>0</v>
      </c>
      <c r="J24" s="203">
        <f>'[1]Feb midyear Tallulah'!K21</f>
        <v>0</v>
      </c>
      <c r="K24" s="204">
        <f t="shared" si="38"/>
        <v>0</v>
      </c>
      <c r="L24" s="345">
        <f t="shared" si="29"/>
        <v>0</v>
      </c>
      <c r="M24" s="286">
        <f t="shared" si="39"/>
        <v>0</v>
      </c>
      <c r="N24" s="345">
        <f t="shared" si="40"/>
        <v>0</v>
      </c>
      <c r="O24" s="201">
        <v>0</v>
      </c>
      <c r="P24" s="351">
        <f t="shared" si="41"/>
        <v>0</v>
      </c>
      <c r="Q24" s="203">
        <f>'[2]Table 5C1K-Tallulah Charter'!S24+'[14]Table 5C1K-Tallulah Charter'!S24+(6*'[20]Table 5C1K-Tallulah Charter'!S24)</f>
        <v>0</v>
      </c>
      <c r="R24" s="203">
        <f t="shared" si="42"/>
        <v>0</v>
      </c>
      <c r="S24" s="351">
        <f t="shared" si="30"/>
        <v>0</v>
      </c>
      <c r="T24" s="351">
        <f t="shared" si="43"/>
        <v>0</v>
      </c>
      <c r="U24" s="287">
        <f>'Table 5C1A-Madison Prep'!U24</f>
        <v>2442</v>
      </c>
      <c r="V24" s="328">
        <f t="shared" si="31"/>
        <v>0</v>
      </c>
      <c r="W24" s="995">
        <f>'[1]Oct midyear Tallulah'!E21</f>
        <v>0</v>
      </c>
      <c r="X24" s="290">
        <f t="shared" si="44"/>
        <v>0</v>
      </c>
      <c r="Y24" s="289">
        <f>'[1]Feb midyear Tallulah'!E21</f>
        <v>0</v>
      </c>
      <c r="Z24" s="290">
        <f t="shared" si="32"/>
        <v>0</v>
      </c>
      <c r="AA24" s="288">
        <f t="shared" si="45"/>
        <v>0</v>
      </c>
      <c r="AB24" s="324">
        <f t="shared" si="46"/>
        <v>0</v>
      </c>
      <c r="AC24" s="292">
        <f t="shared" si="47"/>
        <v>0</v>
      </c>
      <c r="AD24" s="324">
        <f t="shared" si="48"/>
        <v>0</v>
      </c>
      <c r="AE24" s="293">
        <v>0</v>
      </c>
      <c r="AF24" s="324">
        <f t="shared" si="49"/>
        <v>0</v>
      </c>
      <c r="AG24" s="293">
        <f>'[2]Table 5C1K-Tallulah Charter'!AI24+'[14]Table 5C1K-Tallulah Charter'!AI24+(6*'[20]Table 5C1K-Tallulah Charter'!AI24)</f>
        <v>0</v>
      </c>
      <c r="AH24" s="293">
        <f t="shared" si="50"/>
        <v>0</v>
      </c>
      <c r="AI24" s="324">
        <f t="shared" si="33"/>
        <v>0</v>
      </c>
      <c r="AJ24" s="321">
        <f t="shared" si="51"/>
        <v>0</v>
      </c>
      <c r="AK24" s="342">
        <f t="shared" si="52"/>
        <v>0</v>
      </c>
      <c r="AM24" s="286">
        <v>0</v>
      </c>
      <c r="AN24" s="286">
        <f t="shared" si="53"/>
        <v>0</v>
      </c>
      <c r="AO24" s="286">
        <f t="shared" si="34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2.1.14'!R21</f>
        <v>0</v>
      </c>
      <c r="D25" s="201">
        <f>+'Table 5C1A-Madison Prep'!D25</f>
        <v>5314.3921869460446</v>
      </c>
      <c r="E25" s="202">
        <f t="shared" si="35"/>
        <v>0</v>
      </c>
      <c r="F25" s="202">
        <f>+'Table 5C1A-Madison Prep'!F25</f>
        <v>905.43</v>
      </c>
      <c r="G25" s="202">
        <f t="shared" si="36"/>
        <v>0</v>
      </c>
      <c r="H25" s="345">
        <f t="shared" si="37"/>
        <v>0</v>
      </c>
      <c r="I25" s="991">
        <f>'[1]Oct midyear Tallulah'!K22</f>
        <v>0</v>
      </c>
      <c r="J25" s="203">
        <f>'[1]Feb midyear Tallulah'!K22</f>
        <v>0</v>
      </c>
      <c r="K25" s="204">
        <f t="shared" si="38"/>
        <v>0</v>
      </c>
      <c r="L25" s="345">
        <f t="shared" si="29"/>
        <v>0</v>
      </c>
      <c r="M25" s="286">
        <f t="shared" si="39"/>
        <v>0</v>
      </c>
      <c r="N25" s="345">
        <f t="shared" si="40"/>
        <v>0</v>
      </c>
      <c r="O25" s="201">
        <v>0</v>
      </c>
      <c r="P25" s="351">
        <f t="shared" si="41"/>
        <v>0</v>
      </c>
      <c r="Q25" s="203">
        <f>'[2]Table 5C1K-Tallulah Charter'!S25+'[14]Table 5C1K-Tallulah Charter'!S25+(6*'[20]Table 5C1K-Tallulah Charter'!S25)</f>
        <v>0</v>
      </c>
      <c r="R25" s="203">
        <f t="shared" si="42"/>
        <v>0</v>
      </c>
      <c r="S25" s="351">
        <f t="shared" si="30"/>
        <v>0</v>
      </c>
      <c r="T25" s="351">
        <f t="shared" si="43"/>
        <v>0</v>
      </c>
      <c r="U25" s="287">
        <f>'Table 5C1A-Madison Prep'!U25</f>
        <v>3051</v>
      </c>
      <c r="V25" s="328">
        <f t="shared" si="31"/>
        <v>0</v>
      </c>
      <c r="W25" s="995">
        <f>'[1]Oct midyear Tallulah'!E22</f>
        <v>0</v>
      </c>
      <c r="X25" s="290">
        <f t="shared" si="44"/>
        <v>0</v>
      </c>
      <c r="Y25" s="289">
        <f>'[1]Feb midyear Tallulah'!E22</f>
        <v>0</v>
      </c>
      <c r="Z25" s="290">
        <f t="shared" si="32"/>
        <v>0</v>
      </c>
      <c r="AA25" s="288">
        <f t="shared" si="45"/>
        <v>0</v>
      </c>
      <c r="AB25" s="324">
        <f t="shared" si="46"/>
        <v>0</v>
      </c>
      <c r="AC25" s="292">
        <f t="shared" si="47"/>
        <v>0</v>
      </c>
      <c r="AD25" s="324">
        <f t="shared" si="48"/>
        <v>0</v>
      </c>
      <c r="AE25" s="293">
        <v>0</v>
      </c>
      <c r="AF25" s="324">
        <f t="shared" si="49"/>
        <v>0</v>
      </c>
      <c r="AG25" s="293">
        <f>'[2]Table 5C1K-Tallulah Charter'!AI25+'[14]Table 5C1K-Tallulah Charter'!AI25+(6*'[20]Table 5C1K-Tallulah Charter'!AI25)</f>
        <v>0</v>
      </c>
      <c r="AH25" s="293">
        <f t="shared" si="50"/>
        <v>0</v>
      </c>
      <c r="AI25" s="324">
        <f t="shared" si="33"/>
        <v>0</v>
      </c>
      <c r="AJ25" s="321">
        <f t="shared" si="51"/>
        <v>0</v>
      </c>
      <c r="AK25" s="342">
        <f t="shared" si="52"/>
        <v>0</v>
      </c>
      <c r="AM25" s="286">
        <v>0</v>
      </c>
      <c r="AN25" s="286">
        <f t="shared" si="53"/>
        <v>0</v>
      </c>
      <c r="AO25" s="286">
        <f t="shared" si="34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2.1.14'!R22</f>
        <v>0</v>
      </c>
      <c r="D26" s="194">
        <f>+'Table 5C1A-Madison Prep'!D26</f>
        <v>5278.5201565562011</v>
      </c>
      <c r="E26" s="195">
        <f t="shared" si="35"/>
        <v>0</v>
      </c>
      <c r="F26" s="195">
        <f>+'Table 5C1A-Madison Prep'!F26</f>
        <v>586.16999999999996</v>
      </c>
      <c r="G26" s="195">
        <f t="shared" si="36"/>
        <v>0</v>
      </c>
      <c r="H26" s="346">
        <f t="shared" si="37"/>
        <v>0</v>
      </c>
      <c r="I26" s="992">
        <f>'[1]Oct midyear Tallulah'!K23</f>
        <v>0</v>
      </c>
      <c r="J26" s="196">
        <f>'[1]Feb midyear Tallulah'!K23</f>
        <v>0</v>
      </c>
      <c r="K26" s="197">
        <f t="shared" si="38"/>
        <v>0</v>
      </c>
      <c r="L26" s="346">
        <f t="shared" si="29"/>
        <v>0</v>
      </c>
      <c r="M26" s="296">
        <f t="shared" si="39"/>
        <v>0</v>
      </c>
      <c r="N26" s="346">
        <f t="shared" si="40"/>
        <v>0</v>
      </c>
      <c r="O26" s="194">
        <v>0</v>
      </c>
      <c r="P26" s="352">
        <f t="shared" si="41"/>
        <v>0</v>
      </c>
      <c r="Q26" s="196">
        <f>'[2]Table 5C1K-Tallulah Charter'!S26+'[14]Table 5C1K-Tallulah Charter'!S26+(6*'[20]Table 5C1K-Tallulah Charter'!S26)</f>
        <v>0</v>
      </c>
      <c r="R26" s="196">
        <f t="shared" si="42"/>
        <v>0</v>
      </c>
      <c r="S26" s="356">
        <f t="shared" si="30"/>
        <v>0</v>
      </c>
      <c r="T26" s="356">
        <f t="shared" si="43"/>
        <v>0</v>
      </c>
      <c r="U26" s="281">
        <f>'Table 5C1A-Madison Prep'!U26</f>
        <v>2484</v>
      </c>
      <c r="V26" s="329">
        <f t="shared" si="31"/>
        <v>0</v>
      </c>
      <c r="W26" s="996">
        <f>'[1]Oct midyear Tallulah'!E23</f>
        <v>0</v>
      </c>
      <c r="X26" s="282">
        <f t="shared" si="44"/>
        <v>0</v>
      </c>
      <c r="Y26" s="884">
        <f>'[1]Feb midyear Tallulah'!E23</f>
        <v>0</v>
      </c>
      <c r="Z26" s="282">
        <f t="shared" si="32"/>
        <v>0</v>
      </c>
      <c r="AA26" s="283">
        <f t="shared" si="45"/>
        <v>0</v>
      </c>
      <c r="AB26" s="325">
        <f t="shared" si="46"/>
        <v>0</v>
      </c>
      <c r="AC26" s="298">
        <f t="shared" si="47"/>
        <v>0</v>
      </c>
      <c r="AD26" s="325">
        <f t="shared" si="48"/>
        <v>0</v>
      </c>
      <c r="AE26" s="284">
        <v>0</v>
      </c>
      <c r="AF26" s="325">
        <f t="shared" si="49"/>
        <v>0</v>
      </c>
      <c r="AG26" s="284">
        <f>'[2]Table 5C1K-Tallulah Charter'!AI26+'[14]Table 5C1K-Tallulah Charter'!AI26+(6*'[20]Table 5C1K-Tallulah Charter'!AI26)</f>
        <v>0</v>
      </c>
      <c r="AH26" s="284">
        <f t="shared" si="50"/>
        <v>0</v>
      </c>
      <c r="AI26" s="325">
        <f t="shared" si="33"/>
        <v>0</v>
      </c>
      <c r="AJ26" s="338">
        <f t="shared" si="51"/>
        <v>0</v>
      </c>
      <c r="AK26" s="343">
        <f t="shared" si="52"/>
        <v>0</v>
      </c>
      <c r="AM26" s="296">
        <v>0</v>
      </c>
      <c r="AN26" s="296">
        <f t="shared" si="53"/>
        <v>0</v>
      </c>
      <c r="AO26" s="296">
        <f t="shared" si="34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2.1.14'!R23</f>
        <v>0</v>
      </c>
      <c r="D27" s="208">
        <f>+'Table 5C1A-Madison Prep'!D27</f>
        <v>6082.3042295867763</v>
      </c>
      <c r="E27" s="209">
        <f t="shared" si="35"/>
        <v>0</v>
      </c>
      <c r="F27" s="209">
        <f>+'Table 5C1A-Madison Prep'!F27</f>
        <v>610.35</v>
      </c>
      <c r="G27" s="209">
        <f t="shared" si="36"/>
        <v>0</v>
      </c>
      <c r="H27" s="344">
        <f t="shared" si="37"/>
        <v>0</v>
      </c>
      <c r="I27" s="990">
        <f>'[1]Oct midyear Tallulah'!K24</f>
        <v>0</v>
      </c>
      <c r="J27" s="210">
        <f>'[1]Feb midyear Tallulah'!K24</f>
        <v>0</v>
      </c>
      <c r="K27" s="211">
        <f t="shared" si="38"/>
        <v>0</v>
      </c>
      <c r="L27" s="344">
        <f t="shared" si="29"/>
        <v>0</v>
      </c>
      <c r="M27" s="273">
        <f t="shared" si="39"/>
        <v>0</v>
      </c>
      <c r="N27" s="344">
        <f t="shared" si="40"/>
        <v>0</v>
      </c>
      <c r="O27" s="208">
        <v>0</v>
      </c>
      <c r="P27" s="350">
        <f t="shared" si="41"/>
        <v>0</v>
      </c>
      <c r="Q27" s="210">
        <f>'[2]Table 5C1K-Tallulah Charter'!S27+'[14]Table 5C1K-Tallulah Charter'!S27+(6*'[20]Table 5C1K-Tallulah Charter'!S27)</f>
        <v>0</v>
      </c>
      <c r="R27" s="210">
        <f t="shared" si="42"/>
        <v>0</v>
      </c>
      <c r="S27" s="350">
        <f t="shared" si="30"/>
        <v>0</v>
      </c>
      <c r="T27" s="350">
        <f t="shared" si="43"/>
        <v>0</v>
      </c>
      <c r="U27" s="274">
        <f>'Table 5C1A-Madison Prep'!U27</f>
        <v>2487</v>
      </c>
      <c r="V27" s="327">
        <f t="shared" si="31"/>
        <v>0</v>
      </c>
      <c r="W27" s="994">
        <f>'[1]Oct midyear Tallulah'!E24</f>
        <v>0</v>
      </c>
      <c r="X27" s="276">
        <f t="shared" si="44"/>
        <v>0</v>
      </c>
      <c r="Y27" s="883">
        <f>'[1]Feb midyear Tallulah'!E24</f>
        <v>0</v>
      </c>
      <c r="Z27" s="276">
        <f t="shared" si="32"/>
        <v>0</v>
      </c>
      <c r="AA27" s="275">
        <f t="shared" si="45"/>
        <v>0</v>
      </c>
      <c r="AB27" s="323">
        <f t="shared" si="46"/>
        <v>0</v>
      </c>
      <c r="AC27" s="278">
        <f t="shared" si="47"/>
        <v>0</v>
      </c>
      <c r="AD27" s="323">
        <f t="shared" si="48"/>
        <v>0</v>
      </c>
      <c r="AE27" s="279">
        <v>0</v>
      </c>
      <c r="AF27" s="323">
        <f t="shared" si="49"/>
        <v>0</v>
      </c>
      <c r="AG27" s="279">
        <f>'[2]Table 5C1K-Tallulah Charter'!AI27+'[14]Table 5C1K-Tallulah Charter'!AI27+(6*'[20]Table 5C1K-Tallulah Charter'!AI27)</f>
        <v>0</v>
      </c>
      <c r="AH27" s="279">
        <f t="shared" si="50"/>
        <v>0</v>
      </c>
      <c r="AI27" s="323">
        <f t="shared" si="33"/>
        <v>0</v>
      </c>
      <c r="AJ27" s="337">
        <f t="shared" si="51"/>
        <v>0</v>
      </c>
      <c r="AK27" s="341">
        <f t="shared" si="52"/>
        <v>0</v>
      </c>
      <c r="AM27" s="273">
        <v>0</v>
      </c>
      <c r="AN27" s="273">
        <f t="shared" si="53"/>
        <v>0</v>
      </c>
      <c r="AO27" s="273">
        <f t="shared" si="34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2.1.14'!R24</f>
        <v>0</v>
      </c>
      <c r="D28" s="201">
        <f>+'Table 5C1A-Madison Prep'!D28</f>
        <v>6416.1099808195995</v>
      </c>
      <c r="E28" s="202">
        <f t="shared" si="35"/>
        <v>0</v>
      </c>
      <c r="F28" s="202">
        <f>+'Table 5C1A-Madison Prep'!F28</f>
        <v>496.36</v>
      </c>
      <c r="G28" s="202">
        <f t="shared" si="36"/>
        <v>0</v>
      </c>
      <c r="H28" s="345">
        <f t="shared" si="37"/>
        <v>0</v>
      </c>
      <c r="I28" s="991">
        <f>'[1]Oct midyear Tallulah'!K25</f>
        <v>0</v>
      </c>
      <c r="J28" s="203">
        <f>'[1]Feb midyear Tallulah'!K25</f>
        <v>0</v>
      </c>
      <c r="K28" s="204">
        <f t="shared" si="38"/>
        <v>0</v>
      </c>
      <c r="L28" s="345">
        <f t="shared" si="29"/>
        <v>0</v>
      </c>
      <c r="M28" s="286">
        <f t="shared" si="39"/>
        <v>0</v>
      </c>
      <c r="N28" s="345">
        <f t="shared" si="40"/>
        <v>0</v>
      </c>
      <c r="O28" s="201">
        <v>0</v>
      </c>
      <c r="P28" s="351">
        <f t="shared" si="41"/>
        <v>0</v>
      </c>
      <c r="Q28" s="203">
        <f>'[2]Table 5C1K-Tallulah Charter'!S28+'[14]Table 5C1K-Tallulah Charter'!S28+(6*'[20]Table 5C1K-Tallulah Charter'!S28)</f>
        <v>0</v>
      </c>
      <c r="R28" s="203">
        <f t="shared" si="42"/>
        <v>0</v>
      </c>
      <c r="S28" s="351">
        <f t="shared" si="30"/>
        <v>0</v>
      </c>
      <c r="T28" s="351">
        <f t="shared" si="43"/>
        <v>0</v>
      </c>
      <c r="U28" s="287">
        <f>'Table 5C1A-Madison Prep'!U28</f>
        <v>1584</v>
      </c>
      <c r="V28" s="328">
        <f t="shared" si="31"/>
        <v>0</v>
      </c>
      <c r="W28" s="995">
        <f>'[1]Oct midyear Tallulah'!E25</f>
        <v>0</v>
      </c>
      <c r="X28" s="290">
        <f t="shared" si="44"/>
        <v>0</v>
      </c>
      <c r="Y28" s="289">
        <f>'[1]Feb midyear Tallulah'!E25</f>
        <v>0</v>
      </c>
      <c r="Z28" s="290">
        <f t="shared" si="32"/>
        <v>0</v>
      </c>
      <c r="AA28" s="288">
        <f t="shared" si="45"/>
        <v>0</v>
      </c>
      <c r="AB28" s="324">
        <f t="shared" si="46"/>
        <v>0</v>
      </c>
      <c r="AC28" s="292">
        <f t="shared" si="47"/>
        <v>0</v>
      </c>
      <c r="AD28" s="324">
        <f t="shared" si="48"/>
        <v>0</v>
      </c>
      <c r="AE28" s="293">
        <v>0</v>
      </c>
      <c r="AF28" s="324">
        <f t="shared" si="49"/>
        <v>0</v>
      </c>
      <c r="AG28" s="293">
        <f>'[2]Table 5C1K-Tallulah Charter'!AI28+'[14]Table 5C1K-Tallulah Charter'!AI28+(6*'[20]Table 5C1K-Tallulah Charter'!AI28)</f>
        <v>0</v>
      </c>
      <c r="AH28" s="293">
        <f t="shared" si="50"/>
        <v>0</v>
      </c>
      <c r="AI28" s="324">
        <f t="shared" si="33"/>
        <v>0</v>
      </c>
      <c r="AJ28" s="321">
        <f t="shared" si="51"/>
        <v>0</v>
      </c>
      <c r="AK28" s="342">
        <f t="shared" si="52"/>
        <v>0</v>
      </c>
      <c r="AM28" s="286">
        <v>0</v>
      </c>
      <c r="AN28" s="286">
        <f t="shared" si="53"/>
        <v>0</v>
      </c>
      <c r="AO28" s="286">
        <f t="shared" si="34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2.1.14'!R25</f>
        <v>0</v>
      </c>
      <c r="D29" s="201">
        <f>+'Table 5C1A-Madison Prep'!D29</f>
        <v>5011.0215265979159</v>
      </c>
      <c r="E29" s="202">
        <f t="shared" si="35"/>
        <v>0</v>
      </c>
      <c r="F29" s="202">
        <f>+'Table 5C1A-Madison Prep'!F29</f>
        <v>688.58</v>
      </c>
      <c r="G29" s="202">
        <f t="shared" si="36"/>
        <v>0</v>
      </c>
      <c r="H29" s="345">
        <f t="shared" si="37"/>
        <v>0</v>
      </c>
      <c r="I29" s="991">
        <f>'[1]Oct midyear Tallulah'!K26</f>
        <v>0</v>
      </c>
      <c r="J29" s="203">
        <f>'[1]Feb midyear Tallulah'!K26</f>
        <v>0</v>
      </c>
      <c r="K29" s="204">
        <f t="shared" si="38"/>
        <v>0</v>
      </c>
      <c r="L29" s="345">
        <f t="shared" si="29"/>
        <v>0</v>
      </c>
      <c r="M29" s="286">
        <f t="shared" si="39"/>
        <v>0</v>
      </c>
      <c r="N29" s="345">
        <f t="shared" si="40"/>
        <v>0</v>
      </c>
      <c r="O29" s="201">
        <v>0</v>
      </c>
      <c r="P29" s="351">
        <f t="shared" si="41"/>
        <v>0</v>
      </c>
      <c r="Q29" s="203">
        <f>'[2]Table 5C1K-Tallulah Charter'!S29+'[14]Table 5C1K-Tallulah Charter'!S29+(6*'[20]Table 5C1K-Tallulah Charter'!S29)</f>
        <v>0</v>
      </c>
      <c r="R29" s="203">
        <f t="shared" si="42"/>
        <v>0</v>
      </c>
      <c r="S29" s="351">
        <f t="shared" si="30"/>
        <v>0</v>
      </c>
      <c r="T29" s="351">
        <f t="shared" si="43"/>
        <v>0</v>
      </c>
      <c r="U29" s="287">
        <f>'Table 5C1A-Madison Prep'!U29</f>
        <v>3500</v>
      </c>
      <c r="V29" s="328">
        <f t="shared" si="31"/>
        <v>0</v>
      </c>
      <c r="W29" s="995">
        <f>'[1]Oct midyear Tallulah'!E26</f>
        <v>0</v>
      </c>
      <c r="X29" s="290">
        <f t="shared" si="44"/>
        <v>0</v>
      </c>
      <c r="Y29" s="289">
        <f>'[1]Feb midyear Tallulah'!E26</f>
        <v>0</v>
      </c>
      <c r="Z29" s="290">
        <f t="shared" si="32"/>
        <v>0</v>
      </c>
      <c r="AA29" s="288">
        <f t="shared" si="45"/>
        <v>0</v>
      </c>
      <c r="AB29" s="324">
        <f t="shared" si="46"/>
        <v>0</v>
      </c>
      <c r="AC29" s="292">
        <f t="shared" si="47"/>
        <v>0</v>
      </c>
      <c r="AD29" s="324">
        <f t="shared" si="48"/>
        <v>0</v>
      </c>
      <c r="AE29" s="293">
        <v>0</v>
      </c>
      <c r="AF29" s="324">
        <f t="shared" si="49"/>
        <v>0</v>
      </c>
      <c r="AG29" s="293">
        <f>'[2]Table 5C1K-Tallulah Charter'!AI29+'[14]Table 5C1K-Tallulah Charter'!AI29+(6*'[20]Table 5C1K-Tallulah Charter'!AI29)</f>
        <v>0</v>
      </c>
      <c r="AH29" s="293">
        <f t="shared" si="50"/>
        <v>0</v>
      </c>
      <c r="AI29" s="324">
        <f t="shared" si="33"/>
        <v>0</v>
      </c>
      <c r="AJ29" s="321">
        <f t="shared" si="51"/>
        <v>0</v>
      </c>
      <c r="AK29" s="342">
        <f t="shared" si="52"/>
        <v>0</v>
      </c>
      <c r="AM29" s="286">
        <v>0</v>
      </c>
      <c r="AN29" s="286">
        <f t="shared" si="53"/>
        <v>0</v>
      </c>
      <c r="AO29" s="286">
        <f t="shared" si="34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2.1.14'!R26</f>
        <v>0</v>
      </c>
      <c r="D30" s="201">
        <f>+'Table 5C1A-Madison Prep'!D30</f>
        <v>2611.6740361576999</v>
      </c>
      <c r="E30" s="202">
        <f t="shared" si="35"/>
        <v>0</v>
      </c>
      <c r="F30" s="202">
        <f>+'Table 5C1A-Madison Prep'!F30</f>
        <v>854.24999999999989</v>
      </c>
      <c r="G30" s="202">
        <f t="shared" si="36"/>
        <v>0</v>
      </c>
      <c r="H30" s="345">
        <f t="shared" si="37"/>
        <v>0</v>
      </c>
      <c r="I30" s="991">
        <f>'[1]Oct midyear Tallulah'!K27</f>
        <v>0</v>
      </c>
      <c r="J30" s="203">
        <f>'[1]Feb midyear Tallulah'!K27</f>
        <v>0</v>
      </c>
      <c r="K30" s="204">
        <f t="shared" si="38"/>
        <v>0</v>
      </c>
      <c r="L30" s="345">
        <f t="shared" si="29"/>
        <v>0</v>
      </c>
      <c r="M30" s="286">
        <f t="shared" si="39"/>
        <v>0</v>
      </c>
      <c r="N30" s="345">
        <f t="shared" si="40"/>
        <v>0</v>
      </c>
      <c r="O30" s="201">
        <v>0</v>
      </c>
      <c r="P30" s="351">
        <f t="shared" si="41"/>
        <v>0</v>
      </c>
      <c r="Q30" s="203">
        <f>'[2]Table 5C1K-Tallulah Charter'!S30+'[14]Table 5C1K-Tallulah Charter'!S30+(6*'[20]Table 5C1K-Tallulah Charter'!S30)</f>
        <v>0</v>
      </c>
      <c r="R30" s="203">
        <f t="shared" si="42"/>
        <v>0</v>
      </c>
      <c r="S30" s="351">
        <f t="shared" si="30"/>
        <v>0</v>
      </c>
      <c r="T30" s="351">
        <f t="shared" si="43"/>
        <v>0</v>
      </c>
      <c r="U30" s="287">
        <f>'Table 5C1A-Madison Prep'!U30</f>
        <v>11051</v>
      </c>
      <c r="V30" s="328">
        <f t="shared" si="31"/>
        <v>0</v>
      </c>
      <c r="W30" s="995">
        <f>'[1]Oct midyear Tallulah'!E27</f>
        <v>0</v>
      </c>
      <c r="X30" s="290">
        <f t="shared" si="44"/>
        <v>0</v>
      </c>
      <c r="Y30" s="289">
        <f>'[1]Feb midyear Tallulah'!E27</f>
        <v>0</v>
      </c>
      <c r="Z30" s="290">
        <f t="shared" si="32"/>
        <v>0</v>
      </c>
      <c r="AA30" s="288">
        <f t="shared" si="45"/>
        <v>0</v>
      </c>
      <c r="AB30" s="324">
        <f t="shared" si="46"/>
        <v>0</v>
      </c>
      <c r="AC30" s="292">
        <f t="shared" si="47"/>
        <v>0</v>
      </c>
      <c r="AD30" s="324">
        <f t="shared" si="48"/>
        <v>0</v>
      </c>
      <c r="AE30" s="293">
        <v>0</v>
      </c>
      <c r="AF30" s="324">
        <f t="shared" si="49"/>
        <v>0</v>
      </c>
      <c r="AG30" s="293">
        <f>'[2]Table 5C1K-Tallulah Charter'!AI30+'[14]Table 5C1K-Tallulah Charter'!AI30+(6*'[20]Table 5C1K-Tallulah Charter'!AI30)</f>
        <v>0</v>
      </c>
      <c r="AH30" s="293">
        <f t="shared" si="50"/>
        <v>0</v>
      </c>
      <c r="AI30" s="324">
        <f t="shared" si="33"/>
        <v>0</v>
      </c>
      <c r="AJ30" s="321">
        <f t="shared" si="51"/>
        <v>0</v>
      </c>
      <c r="AK30" s="342">
        <f t="shared" si="52"/>
        <v>0</v>
      </c>
      <c r="AM30" s="286">
        <v>0</v>
      </c>
      <c r="AN30" s="286">
        <f t="shared" si="53"/>
        <v>0</v>
      </c>
      <c r="AO30" s="286">
        <f t="shared" si="34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2.1.14'!R27</f>
        <v>0</v>
      </c>
      <c r="D31" s="194">
        <f>+'Table 5C1A-Madison Prep'!D31</f>
        <v>4173.0720274945697</v>
      </c>
      <c r="E31" s="195">
        <f t="shared" si="35"/>
        <v>0</v>
      </c>
      <c r="F31" s="195">
        <f>+'Table 5C1A-Madison Prep'!F31</f>
        <v>653.73</v>
      </c>
      <c r="G31" s="195">
        <f t="shared" si="36"/>
        <v>0</v>
      </c>
      <c r="H31" s="346">
        <f t="shared" si="37"/>
        <v>0</v>
      </c>
      <c r="I31" s="992">
        <f>'[1]Oct midyear Tallulah'!K28</f>
        <v>0</v>
      </c>
      <c r="J31" s="196">
        <f>'[1]Feb midyear Tallulah'!K28</f>
        <v>0</v>
      </c>
      <c r="K31" s="197">
        <f t="shared" si="38"/>
        <v>0</v>
      </c>
      <c r="L31" s="346">
        <f t="shared" si="29"/>
        <v>0</v>
      </c>
      <c r="M31" s="296">
        <f t="shared" si="39"/>
        <v>0</v>
      </c>
      <c r="N31" s="346">
        <f t="shared" si="40"/>
        <v>0</v>
      </c>
      <c r="O31" s="194">
        <v>0</v>
      </c>
      <c r="P31" s="352">
        <f t="shared" si="41"/>
        <v>0</v>
      </c>
      <c r="Q31" s="196">
        <f>'[2]Table 5C1K-Tallulah Charter'!S31+'[14]Table 5C1K-Tallulah Charter'!S31+(6*'[20]Table 5C1K-Tallulah Charter'!S31)</f>
        <v>0</v>
      </c>
      <c r="R31" s="196">
        <f t="shared" si="42"/>
        <v>0</v>
      </c>
      <c r="S31" s="356">
        <f t="shared" si="30"/>
        <v>0</v>
      </c>
      <c r="T31" s="356">
        <f t="shared" si="43"/>
        <v>0</v>
      </c>
      <c r="U31" s="281">
        <f>'Table 5C1A-Madison Prep'!U31</f>
        <v>5156</v>
      </c>
      <c r="V31" s="329">
        <f t="shared" si="31"/>
        <v>0</v>
      </c>
      <c r="W31" s="996">
        <f>'[1]Oct midyear Tallulah'!E28</f>
        <v>0</v>
      </c>
      <c r="X31" s="282">
        <f t="shared" si="44"/>
        <v>0</v>
      </c>
      <c r="Y31" s="884">
        <f>'[1]Feb midyear Tallulah'!E28</f>
        <v>0</v>
      </c>
      <c r="Z31" s="282">
        <f t="shared" si="32"/>
        <v>0</v>
      </c>
      <c r="AA31" s="283">
        <f t="shared" si="45"/>
        <v>0</v>
      </c>
      <c r="AB31" s="325">
        <f t="shared" si="46"/>
        <v>0</v>
      </c>
      <c r="AC31" s="298">
        <f t="shared" si="47"/>
        <v>0</v>
      </c>
      <c r="AD31" s="325">
        <f t="shared" si="48"/>
        <v>0</v>
      </c>
      <c r="AE31" s="284">
        <v>0</v>
      </c>
      <c r="AF31" s="325">
        <f t="shared" si="49"/>
        <v>0</v>
      </c>
      <c r="AG31" s="284">
        <f>'[2]Table 5C1K-Tallulah Charter'!AI31+'[14]Table 5C1K-Tallulah Charter'!AI31+(6*'[20]Table 5C1K-Tallulah Charter'!AI31)</f>
        <v>0</v>
      </c>
      <c r="AH31" s="284">
        <f t="shared" si="50"/>
        <v>0</v>
      </c>
      <c r="AI31" s="325">
        <f t="shared" si="33"/>
        <v>0</v>
      </c>
      <c r="AJ31" s="338">
        <f t="shared" si="51"/>
        <v>0</v>
      </c>
      <c r="AK31" s="343">
        <f t="shared" si="52"/>
        <v>0</v>
      </c>
      <c r="AM31" s="296">
        <v>0</v>
      </c>
      <c r="AN31" s="296">
        <f t="shared" si="53"/>
        <v>0</v>
      </c>
      <c r="AO31" s="296">
        <f t="shared" si="34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2.1.14'!R28</f>
        <v>0</v>
      </c>
      <c r="D32" s="208">
        <f>+'Table 5C1A-Madison Prep'!D32</f>
        <v>3424.5649970570835</v>
      </c>
      <c r="E32" s="209">
        <f t="shared" si="35"/>
        <v>0</v>
      </c>
      <c r="F32" s="209">
        <f>+'Table 5C1A-Madison Prep'!F32</f>
        <v>836.83</v>
      </c>
      <c r="G32" s="209">
        <f t="shared" si="36"/>
        <v>0</v>
      </c>
      <c r="H32" s="344">
        <f t="shared" si="37"/>
        <v>0</v>
      </c>
      <c r="I32" s="990">
        <f>'[1]Oct midyear Tallulah'!K29</f>
        <v>0</v>
      </c>
      <c r="J32" s="210">
        <f>'[1]Feb midyear Tallulah'!K29</f>
        <v>0</v>
      </c>
      <c r="K32" s="211">
        <f t="shared" si="38"/>
        <v>0</v>
      </c>
      <c r="L32" s="344">
        <f t="shared" si="29"/>
        <v>0</v>
      </c>
      <c r="M32" s="273">
        <f t="shared" si="39"/>
        <v>0</v>
      </c>
      <c r="N32" s="344">
        <f t="shared" si="40"/>
        <v>0</v>
      </c>
      <c r="O32" s="208">
        <v>0</v>
      </c>
      <c r="P32" s="350">
        <f t="shared" si="41"/>
        <v>0</v>
      </c>
      <c r="Q32" s="210">
        <f>'[2]Table 5C1K-Tallulah Charter'!S32+'[14]Table 5C1K-Tallulah Charter'!S32+(6*'[20]Table 5C1K-Tallulah Charter'!S32)</f>
        <v>0</v>
      </c>
      <c r="R32" s="210">
        <f t="shared" si="42"/>
        <v>0</v>
      </c>
      <c r="S32" s="350">
        <f t="shared" si="30"/>
        <v>0</v>
      </c>
      <c r="T32" s="350">
        <f t="shared" si="43"/>
        <v>0</v>
      </c>
      <c r="U32" s="274">
        <f>'Table 5C1A-Madison Prep'!U32</f>
        <v>5153</v>
      </c>
      <c r="V32" s="327">
        <f t="shared" si="31"/>
        <v>0</v>
      </c>
      <c r="W32" s="994">
        <f>'[1]Oct midyear Tallulah'!E29</f>
        <v>0</v>
      </c>
      <c r="X32" s="276">
        <f t="shared" si="44"/>
        <v>0</v>
      </c>
      <c r="Y32" s="883">
        <f>'[1]Feb midyear Tallulah'!E29</f>
        <v>0</v>
      </c>
      <c r="Z32" s="276">
        <f t="shared" si="32"/>
        <v>0</v>
      </c>
      <c r="AA32" s="275">
        <f t="shared" si="45"/>
        <v>0</v>
      </c>
      <c r="AB32" s="323">
        <f t="shared" si="46"/>
        <v>0</v>
      </c>
      <c r="AC32" s="278">
        <f t="shared" si="47"/>
        <v>0</v>
      </c>
      <c r="AD32" s="323">
        <f t="shared" si="48"/>
        <v>0</v>
      </c>
      <c r="AE32" s="279">
        <v>0</v>
      </c>
      <c r="AF32" s="323">
        <f t="shared" si="49"/>
        <v>0</v>
      </c>
      <c r="AG32" s="279">
        <f>'[2]Table 5C1K-Tallulah Charter'!AI32+'[14]Table 5C1K-Tallulah Charter'!AI32+(6*'[20]Table 5C1K-Tallulah Charter'!AI32)</f>
        <v>0</v>
      </c>
      <c r="AH32" s="279">
        <f t="shared" si="50"/>
        <v>0</v>
      </c>
      <c r="AI32" s="323">
        <f t="shared" si="33"/>
        <v>0</v>
      </c>
      <c r="AJ32" s="337">
        <f t="shared" si="51"/>
        <v>0</v>
      </c>
      <c r="AK32" s="341">
        <f t="shared" si="52"/>
        <v>0</v>
      </c>
      <c r="AM32" s="273">
        <v>0</v>
      </c>
      <c r="AN32" s="273">
        <f t="shared" si="53"/>
        <v>0</v>
      </c>
      <c r="AO32" s="273">
        <f t="shared" si="34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2.1.14'!R29</f>
        <v>0</v>
      </c>
      <c r="D33" s="201">
        <f>+'Table 5C1A-Madison Prep'!D33</f>
        <v>5804.9013839977006</v>
      </c>
      <c r="E33" s="202">
        <f t="shared" si="35"/>
        <v>0</v>
      </c>
      <c r="F33" s="202">
        <f>+'Table 5C1A-Madison Prep'!F33</f>
        <v>693.06</v>
      </c>
      <c r="G33" s="202">
        <f t="shared" si="36"/>
        <v>0</v>
      </c>
      <c r="H33" s="345">
        <f t="shared" si="37"/>
        <v>0</v>
      </c>
      <c r="I33" s="991">
        <f>'[1]Oct midyear Tallulah'!K30</f>
        <v>0</v>
      </c>
      <c r="J33" s="203">
        <f>'[1]Feb midyear Tallulah'!K30</f>
        <v>0</v>
      </c>
      <c r="K33" s="204">
        <f t="shared" si="38"/>
        <v>0</v>
      </c>
      <c r="L33" s="345">
        <f t="shared" si="29"/>
        <v>0</v>
      </c>
      <c r="M33" s="286">
        <f t="shared" si="39"/>
        <v>0</v>
      </c>
      <c r="N33" s="345">
        <f t="shared" si="40"/>
        <v>0</v>
      </c>
      <c r="O33" s="201">
        <v>0</v>
      </c>
      <c r="P33" s="351">
        <f t="shared" si="41"/>
        <v>0</v>
      </c>
      <c r="Q33" s="203">
        <f>'[2]Table 5C1K-Tallulah Charter'!S33+'[14]Table 5C1K-Tallulah Charter'!S33+(6*'[20]Table 5C1K-Tallulah Charter'!S33)</f>
        <v>0</v>
      </c>
      <c r="R33" s="203">
        <f t="shared" si="42"/>
        <v>0</v>
      </c>
      <c r="S33" s="351">
        <f t="shared" si="30"/>
        <v>0</v>
      </c>
      <c r="T33" s="351">
        <f t="shared" si="43"/>
        <v>0</v>
      </c>
      <c r="U33" s="287">
        <f>'Table 5C1A-Madison Prep'!U33</f>
        <v>3225</v>
      </c>
      <c r="V33" s="328">
        <f t="shared" si="31"/>
        <v>0</v>
      </c>
      <c r="W33" s="995">
        <f>'[1]Oct midyear Tallulah'!E30</f>
        <v>0</v>
      </c>
      <c r="X33" s="290">
        <f t="shared" si="44"/>
        <v>0</v>
      </c>
      <c r="Y33" s="289">
        <f>'[1]Feb midyear Tallulah'!E30</f>
        <v>0</v>
      </c>
      <c r="Z33" s="290">
        <f t="shared" si="32"/>
        <v>0</v>
      </c>
      <c r="AA33" s="288">
        <f t="shared" si="45"/>
        <v>0</v>
      </c>
      <c r="AB33" s="324">
        <f t="shared" si="46"/>
        <v>0</v>
      </c>
      <c r="AC33" s="292">
        <f t="shared" si="47"/>
        <v>0</v>
      </c>
      <c r="AD33" s="324">
        <f t="shared" si="48"/>
        <v>0</v>
      </c>
      <c r="AE33" s="293">
        <v>0</v>
      </c>
      <c r="AF33" s="324">
        <f t="shared" si="49"/>
        <v>0</v>
      </c>
      <c r="AG33" s="293">
        <f>'[2]Table 5C1K-Tallulah Charter'!AI33+'[14]Table 5C1K-Tallulah Charter'!AI33+(6*'[20]Table 5C1K-Tallulah Charter'!AI33)</f>
        <v>0</v>
      </c>
      <c r="AH33" s="293">
        <f t="shared" si="50"/>
        <v>0</v>
      </c>
      <c r="AI33" s="324">
        <f t="shared" si="33"/>
        <v>0</v>
      </c>
      <c r="AJ33" s="321">
        <f t="shared" si="51"/>
        <v>0</v>
      </c>
      <c r="AK33" s="342">
        <f t="shared" si="52"/>
        <v>0</v>
      </c>
      <c r="AM33" s="286">
        <v>0</v>
      </c>
      <c r="AN33" s="286">
        <f t="shared" si="53"/>
        <v>0</v>
      </c>
      <c r="AO33" s="286">
        <f t="shared" si="34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2.1.14'!R30</f>
        <v>0</v>
      </c>
      <c r="D34" s="201">
        <f>+'Table 5C1A-Madison Prep'!D34</f>
        <v>3137.4158846568821</v>
      </c>
      <c r="E34" s="202">
        <f t="shared" si="35"/>
        <v>0</v>
      </c>
      <c r="F34" s="202">
        <f>+'Table 5C1A-Madison Prep'!F34</f>
        <v>694.4</v>
      </c>
      <c r="G34" s="202">
        <f t="shared" si="36"/>
        <v>0</v>
      </c>
      <c r="H34" s="345">
        <f t="shared" si="37"/>
        <v>0</v>
      </c>
      <c r="I34" s="991">
        <f>'[1]Oct midyear Tallulah'!K31</f>
        <v>0</v>
      </c>
      <c r="J34" s="203">
        <f>'[1]Feb midyear Tallulah'!K31</f>
        <v>0</v>
      </c>
      <c r="K34" s="204">
        <f t="shared" si="38"/>
        <v>0</v>
      </c>
      <c r="L34" s="345">
        <f t="shared" si="29"/>
        <v>0</v>
      </c>
      <c r="M34" s="286">
        <f t="shared" si="39"/>
        <v>0</v>
      </c>
      <c r="N34" s="345">
        <f t="shared" si="40"/>
        <v>0</v>
      </c>
      <c r="O34" s="201">
        <v>0</v>
      </c>
      <c r="P34" s="351">
        <f t="shared" si="41"/>
        <v>0</v>
      </c>
      <c r="Q34" s="203">
        <f>'[2]Table 5C1K-Tallulah Charter'!S34+'[14]Table 5C1K-Tallulah Charter'!S34+(6*'[20]Table 5C1K-Tallulah Charter'!S34)</f>
        <v>0</v>
      </c>
      <c r="R34" s="203">
        <f t="shared" si="42"/>
        <v>0</v>
      </c>
      <c r="S34" s="351">
        <f t="shared" si="30"/>
        <v>0</v>
      </c>
      <c r="T34" s="351">
        <f t="shared" si="43"/>
        <v>0</v>
      </c>
      <c r="U34" s="287">
        <f>'Table 5C1A-Madison Prep'!U34</f>
        <v>5816</v>
      </c>
      <c r="V34" s="328">
        <f t="shared" si="31"/>
        <v>0</v>
      </c>
      <c r="W34" s="995">
        <f>'[1]Oct midyear Tallulah'!E31</f>
        <v>0</v>
      </c>
      <c r="X34" s="290">
        <f t="shared" si="44"/>
        <v>0</v>
      </c>
      <c r="Y34" s="289">
        <f>'[1]Feb midyear Tallulah'!E31</f>
        <v>0</v>
      </c>
      <c r="Z34" s="290">
        <f t="shared" si="32"/>
        <v>0</v>
      </c>
      <c r="AA34" s="288">
        <f t="shared" si="45"/>
        <v>0</v>
      </c>
      <c r="AB34" s="324">
        <f t="shared" si="46"/>
        <v>0</v>
      </c>
      <c r="AC34" s="292">
        <f t="shared" si="47"/>
        <v>0</v>
      </c>
      <c r="AD34" s="324">
        <f t="shared" si="48"/>
        <v>0</v>
      </c>
      <c r="AE34" s="293">
        <v>0</v>
      </c>
      <c r="AF34" s="324">
        <f t="shared" si="49"/>
        <v>0</v>
      </c>
      <c r="AG34" s="293">
        <f>'[2]Table 5C1K-Tallulah Charter'!AI34+'[14]Table 5C1K-Tallulah Charter'!AI34+(6*'[20]Table 5C1K-Tallulah Charter'!AI34)</f>
        <v>0</v>
      </c>
      <c r="AH34" s="293">
        <f t="shared" si="50"/>
        <v>0</v>
      </c>
      <c r="AI34" s="324">
        <f t="shared" si="33"/>
        <v>0</v>
      </c>
      <c r="AJ34" s="321">
        <f t="shared" si="51"/>
        <v>0</v>
      </c>
      <c r="AK34" s="342">
        <f t="shared" si="52"/>
        <v>0</v>
      </c>
      <c r="AM34" s="286">
        <v>0</v>
      </c>
      <c r="AN34" s="286">
        <f t="shared" si="53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2.1.14'!R31</f>
        <v>0</v>
      </c>
      <c r="D35" s="201">
        <f>+'Table 5C1A-Madison Prep'!D35</f>
        <v>3839.0123210173724</v>
      </c>
      <c r="E35" s="202">
        <f t="shared" si="35"/>
        <v>0</v>
      </c>
      <c r="F35" s="202">
        <f>+'Table 5C1A-Madison Prep'!F35</f>
        <v>754.94999999999993</v>
      </c>
      <c r="G35" s="202">
        <f t="shared" si="36"/>
        <v>0</v>
      </c>
      <c r="H35" s="345">
        <f t="shared" si="37"/>
        <v>0</v>
      </c>
      <c r="I35" s="991">
        <f>'[1]Oct midyear Tallulah'!K32</f>
        <v>0</v>
      </c>
      <c r="J35" s="203">
        <f>'[1]Feb midyear Tallulah'!K32</f>
        <v>0</v>
      </c>
      <c r="K35" s="204">
        <f t="shared" si="38"/>
        <v>0</v>
      </c>
      <c r="L35" s="345">
        <f t="shared" si="29"/>
        <v>0</v>
      </c>
      <c r="M35" s="286">
        <f t="shared" si="39"/>
        <v>0</v>
      </c>
      <c r="N35" s="345">
        <f t="shared" si="40"/>
        <v>0</v>
      </c>
      <c r="O35" s="201">
        <v>0</v>
      </c>
      <c r="P35" s="351">
        <f t="shared" si="41"/>
        <v>0</v>
      </c>
      <c r="Q35" s="203">
        <f>'[2]Table 5C1K-Tallulah Charter'!S35+'[14]Table 5C1K-Tallulah Charter'!S35+(6*'[20]Table 5C1K-Tallulah Charter'!S35)</f>
        <v>0</v>
      </c>
      <c r="R35" s="203">
        <f t="shared" si="42"/>
        <v>0</v>
      </c>
      <c r="S35" s="351">
        <f t="shared" si="30"/>
        <v>0</v>
      </c>
      <c r="T35" s="351">
        <f t="shared" si="43"/>
        <v>0</v>
      </c>
      <c r="U35" s="287">
        <f>'Table 5C1A-Madison Prep'!U35</f>
        <v>5046</v>
      </c>
      <c r="V35" s="328">
        <f t="shared" si="31"/>
        <v>0</v>
      </c>
      <c r="W35" s="995">
        <f>'[1]Oct midyear Tallulah'!E32</f>
        <v>0</v>
      </c>
      <c r="X35" s="290">
        <f t="shared" si="44"/>
        <v>0</v>
      </c>
      <c r="Y35" s="289">
        <f>'[1]Feb midyear Tallulah'!E32</f>
        <v>0</v>
      </c>
      <c r="Z35" s="290">
        <f t="shared" si="32"/>
        <v>0</v>
      </c>
      <c r="AA35" s="288">
        <f t="shared" si="45"/>
        <v>0</v>
      </c>
      <c r="AB35" s="324">
        <f t="shared" si="46"/>
        <v>0</v>
      </c>
      <c r="AC35" s="292">
        <f t="shared" si="47"/>
        <v>0</v>
      </c>
      <c r="AD35" s="324">
        <f t="shared" si="48"/>
        <v>0</v>
      </c>
      <c r="AE35" s="293">
        <v>0</v>
      </c>
      <c r="AF35" s="324">
        <f t="shared" si="49"/>
        <v>0</v>
      </c>
      <c r="AG35" s="293">
        <f>'[2]Table 5C1K-Tallulah Charter'!AI35+'[14]Table 5C1K-Tallulah Charter'!AI35+(6*'[20]Table 5C1K-Tallulah Charter'!AI35)</f>
        <v>0</v>
      </c>
      <c r="AH35" s="293">
        <f t="shared" si="50"/>
        <v>0</v>
      </c>
      <c r="AI35" s="324">
        <f t="shared" si="33"/>
        <v>0</v>
      </c>
      <c r="AJ35" s="321">
        <f t="shared" si="51"/>
        <v>0</v>
      </c>
      <c r="AK35" s="342">
        <f t="shared" si="52"/>
        <v>0</v>
      </c>
      <c r="AM35" s="286">
        <v>0</v>
      </c>
      <c r="AN35" s="286">
        <f t="shared" si="53"/>
        <v>0</v>
      </c>
      <c r="AO35" s="286">
        <f t="shared" ref="AO35:AO75" si="54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2.1.14'!R32</f>
        <v>0</v>
      </c>
      <c r="D36" s="194">
        <f>+'Table 5C1A-Madison Prep'!D36</f>
        <v>5804.5327273996763</v>
      </c>
      <c r="E36" s="195">
        <f t="shared" si="35"/>
        <v>0</v>
      </c>
      <c r="F36" s="195">
        <f>+'Table 5C1A-Madison Prep'!F36</f>
        <v>727.17</v>
      </c>
      <c r="G36" s="195">
        <f t="shared" si="36"/>
        <v>0</v>
      </c>
      <c r="H36" s="346">
        <f t="shared" si="37"/>
        <v>0</v>
      </c>
      <c r="I36" s="992">
        <f>'[1]Oct midyear Tallulah'!K33</f>
        <v>0</v>
      </c>
      <c r="J36" s="196">
        <f>'[1]Feb midyear Tallulah'!K33</f>
        <v>0</v>
      </c>
      <c r="K36" s="197">
        <f t="shared" si="38"/>
        <v>0</v>
      </c>
      <c r="L36" s="346">
        <f t="shared" si="29"/>
        <v>0</v>
      </c>
      <c r="M36" s="296">
        <f t="shared" si="39"/>
        <v>0</v>
      </c>
      <c r="N36" s="346">
        <f t="shared" si="40"/>
        <v>0</v>
      </c>
      <c r="O36" s="194">
        <v>0</v>
      </c>
      <c r="P36" s="352">
        <f t="shared" si="41"/>
        <v>0</v>
      </c>
      <c r="Q36" s="196">
        <f>'[2]Table 5C1K-Tallulah Charter'!S36+'[14]Table 5C1K-Tallulah Charter'!S36+(6*'[20]Table 5C1K-Tallulah Charter'!S36)</f>
        <v>0</v>
      </c>
      <c r="R36" s="196">
        <f t="shared" si="42"/>
        <v>0</v>
      </c>
      <c r="S36" s="356">
        <f t="shared" si="30"/>
        <v>0</v>
      </c>
      <c r="T36" s="356">
        <f t="shared" si="43"/>
        <v>0</v>
      </c>
      <c r="U36" s="281">
        <f>'Table 5C1A-Madison Prep'!U36</f>
        <v>3999</v>
      </c>
      <c r="V36" s="329">
        <f t="shared" si="31"/>
        <v>0</v>
      </c>
      <c r="W36" s="996">
        <f>'[1]Oct midyear Tallulah'!E33</f>
        <v>0</v>
      </c>
      <c r="X36" s="282">
        <f t="shared" si="44"/>
        <v>0</v>
      </c>
      <c r="Y36" s="884">
        <f>'[1]Feb midyear Tallulah'!E33</f>
        <v>0</v>
      </c>
      <c r="Z36" s="282">
        <f t="shared" si="32"/>
        <v>0</v>
      </c>
      <c r="AA36" s="283">
        <f t="shared" si="45"/>
        <v>0</v>
      </c>
      <c r="AB36" s="325">
        <f t="shared" si="46"/>
        <v>0</v>
      </c>
      <c r="AC36" s="298">
        <f t="shared" si="47"/>
        <v>0</v>
      </c>
      <c r="AD36" s="325">
        <f t="shared" si="48"/>
        <v>0</v>
      </c>
      <c r="AE36" s="284">
        <v>0</v>
      </c>
      <c r="AF36" s="325">
        <f t="shared" si="49"/>
        <v>0</v>
      </c>
      <c r="AG36" s="284">
        <f>'[2]Table 5C1K-Tallulah Charter'!AI36+'[14]Table 5C1K-Tallulah Charter'!AI36+(6*'[20]Table 5C1K-Tallulah Charter'!AI36)</f>
        <v>0</v>
      </c>
      <c r="AH36" s="284">
        <f t="shared" si="50"/>
        <v>0</v>
      </c>
      <c r="AI36" s="325">
        <f t="shared" si="33"/>
        <v>0</v>
      </c>
      <c r="AJ36" s="338">
        <f t="shared" si="51"/>
        <v>0</v>
      </c>
      <c r="AK36" s="343">
        <f t="shared" si="52"/>
        <v>0</v>
      </c>
      <c r="AM36" s="296">
        <v>0</v>
      </c>
      <c r="AN36" s="296">
        <f t="shared" si="53"/>
        <v>0</v>
      </c>
      <c r="AO36" s="296">
        <f t="shared" si="54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2.1.14'!R33</f>
        <v>0</v>
      </c>
      <c r="D37" s="208">
        <f>+'Table 5C1A-Madison Prep'!D37</f>
        <v>4520.6176716868531</v>
      </c>
      <c r="E37" s="209">
        <f t="shared" si="35"/>
        <v>0</v>
      </c>
      <c r="F37" s="209">
        <f>+'Table 5C1A-Madison Prep'!F37</f>
        <v>620.83000000000004</v>
      </c>
      <c r="G37" s="209">
        <f t="shared" si="36"/>
        <v>0</v>
      </c>
      <c r="H37" s="344">
        <f t="shared" si="37"/>
        <v>0</v>
      </c>
      <c r="I37" s="990">
        <f>'[1]Oct midyear Tallulah'!K34</f>
        <v>0</v>
      </c>
      <c r="J37" s="210">
        <f>'[1]Feb midyear Tallulah'!K34</f>
        <v>0</v>
      </c>
      <c r="K37" s="211">
        <f t="shared" si="38"/>
        <v>0</v>
      </c>
      <c r="L37" s="344">
        <f t="shared" si="29"/>
        <v>0</v>
      </c>
      <c r="M37" s="273">
        <f t="shared" si="39"/>
        <v>0</v>
      </c>
      <c r="N37" s="344">
        <f t="shared" si="40"/>
        <v>0</v>
      </c>
      <c r="O37" s="208">
        <v>0</v>
      </c>
      <c r="P37" s="350">
        <f t="shared" si="41"/>
        <v>0</v>
      </c>
      <c r="Q37" s="210">
        <f>'[2]Table 5C1K-Tallulah Charter'!S37+'[14]Table 5C1K-Tallulah Charter'!S37+(6*'[20]Table 5C1K-Tallulah Charter'!S37)</f>
        <v>0</v>
      </c>
      <c r="R37" s="210">
        <f t="shared" si="42"/>
        <v>0</v>
      </c>
      <c r="S37" s="350">
        <f t="shared" si="30"/>
        <v>0</v>
      </c>
      <c r="T37" s="350">
        <f t="shared" si="43"/>
        <v>0</v>
      </c>
      <c r="U37" s="274">
        <f>'Table 5C1A-Madison Prep'!U37</f>
        <v>5028</v>
      </c>
      <c r="V37" s="327">
        <f t="shared" si="31"/>
        <v>0</v>
      </c>
      <c r="W37" s="994">
        <f>'[1]Oct midyear Tallulah'!E34</f>
        <v>0</v>
      </c>
      <c r="X37" s="276">
        <f t="shared" si="44"/>
        <v>0</v>
      </c>
      <c r="Y37" s="883">
        <f>'[1]Feb midyear Tallulah'!E34</f>
        <v>0</v>
      </c>
      <c r="Z37" s="276">
        <f t="shared" si="32"/>
        <v>0</v>
      </c>
      <c r="AA37" s="275">
        <f t="shared" si="45"/>
        <v>0</v>
      </c>
      <c r="AB37" s="323">
        <f t="shared" si="46"/>
        <v>0</v>
      </c>
      <c r="AC37" s="278">
        <f t="shared" si="47"/>
        <v>0</v>
      </c>
      <c r="AD37" s="323">
        <f t="shared" si="48"/>
        <v>0</v>
      </c>
      <c r="AE37" s="279">
        <v>0</v>
      </c>
      <c r="AF37" s="323">
        <f t="shared" si="49"/>
        <v>0</v>
      </c>
      <c r="AG37" s="279">
        <f>'[2]Table 5C1K-Tallulah Charter'!AI37+'[14]Table 5C1K-Tallulah Charter'!AI37+(6*'[20]Table 5C1K-Tallulah Charter'!AI37)</f>
        <v>0</v>
      </c>
      <c r="AH37" s="279">
        <f t="shared" si="50"/>
        <v>0</v>
      </c>
      <c r="AI37" s="323">
        <f t="shared" si="33"/>
        <v>0</v>
      </c>
      <c r="AJ37" s="337">
        <f t="shared" si="51"/>
        <v>0</v>
      </c>
      <c r="AK37" s="341">
        <f t="shared" si="52"/>
        <v>0</v>
      </c>
      <c r="AM37" s="273">
        <v>0</v>
      </c>
      <c r="AN37" s="273">
        <f t="shared" si="53"/>
        <v>0</v>
      </c>
      <c r="AO37" s="273">
        <f t="shared" si="54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2.1.14'!R34</f>
        <v>0</v>
      </c>
      <c r="D38" s="201">
        <f>+'Table 5C1A-Madison Prep'!D38</f>
        <v>5652.819189061127</v>
      </c>
      <c r="E38" s="202">
        <f t="shared" si="35"/>
        <v>0</v>
      </c>
      <c r="F38" s="202">
        <f>+'Table 5C1A-Madison Prep'!F38</f>
        <v>559.77</v>
      </c>
      <c r="G38" s="202">
        <f t="shared" si="36"/>
        <v>0</v>
      </c>
      <c r="H38" s="345">
        <f t="shared" si="37"/>
        <v>0</v>
      </c>
      <c r="I38" s="991">
        <f>'[1]Oct midyear Tallulah'!K35</f>
        <v>0</v>
      </c>
      <c r="J38" s="203">
        <f>'[1]Feb midyear Tallulah'!K35</f>
        <v>0</v>
      </c>
      <c r="K38" s="204">
        <f t="shared" si="38"/>
        <v>0</v>
      </c>
      <c r="L38" s="345">
        <f t="shared" si="29"/>
        <v>0</v>
      </c>
      <c r="M38" s="286">
        <f t="shared" si="39"/>
        <v>0</v>
      </c>
      <c r="N38" s="345">
        <f t="shared" si="40"/>
        <v>0</v>
      </c>
      <c r="O38" s="201">
        <v>0</v>
      </c>
      <c r="P38" s="351">
        <f t="shared" si="41"/>
        <v>0</v>
      </c>
      <c r="Q38" s="203">
        <f>'[2]Table 5C1K-Tallulah Charter'!S38+'[14]Table 5C1K-Tallulah Charter'!S38+(6*'[20]Table 5C1K-Tallulah Charter'!S38)</f>
        <v>0</v>
      </c>
      <c r="R38" s="203">
        <f t="shared" si="42"/>
        <v>0</v>
      </c>
      <c r="S38" s="351">
        <f t="shared" si="30"/>
        <v>0</v>
      </c>
      <c r="T38" s="351">
        <f t="shared" si="43"/>
        <v>0</v>
      </c>
      <c r="U38" s="287">
        <f>'Table 5C1A-Madison Prep'!U38</f>
        <v>2139</v>
      </c>
      <c r="V38" s="328">
        <f t="shared" si="31"/>
        <v>0</v>
      </c>
      <c r="W38" s="995">
        <f>'[1]Oct midyear Tallulah'!E35</f>
        <v>0</v>
      </c>
      <c r="X38" s="290">
        <f t="shared" si="44"/>
        <v>0</v>
      </c>
      <c r="Y38" s="289">
        <f>'[1]Feb midyear Tallulah'!E35</f>
        <v>0</v>
      </c>
      <c r="Z38" s="290">
        <f t="shared" si="32"/>
        <v>0</v>
      </c>
      <c r="AA38" s="288">
        <f t="shared" si="45"/>
        <v>0</v>
      </c>
      <c r="AB38" s="324">
        <f t="shared" si="46"/>
        <v>0</v>
      </c>
      <c r="AC38" s="292">
        <f t="shared" si="47"/>
        <v>0</v>
      </c>
      <c r="AD38" s="324">
        <f t="shared" si="48"/>
        <v>0</v>
      </c>
      <c r="AE38" s="293">
        <v>0</v>
      </c>
      <c r="AF38" s="324">
        <f t="shared" si="49"/>
        <v>0</v>
      </c>
      <c r="AG38" s="293">
        <f>'[2]Table 5C1K-Tallulah Charter'!AI38+'[14]Table 5C1K-Tallulah Charter'!AI38+(6*'[20]Table 5C1K-Tallulah Charter'!AI38)</f>
        <v>0</v>
      </c>
      <c r="AH38" s="293">
        <f t="shared" si="50"/>
        <v>0</v>
      </c>
      <c r="AI38" s="324">
        <f t="shared" si="33"/>
        <v>0</v>
      </c>
      <c r="AJ38" s="321">
        <f t="shared" si="51"/>
        <v>0</v>
      </c>
      <c r="AK38" s="342">
        <f t="shared" si="52"/>
        <v>0</v>
      </c>
      <c r="AM38" s="286">
        <v>0</v>
      </c>
      <c r="AN38" s="286">
        <f t="shared" si="53"/>
        <v>0</v>
      </c>
      <c r="AO38" s="286">
        <f t="shared" si="54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2.1.14'!R35</f>
        <v>294</v>
      </c>
      <c r="D39" s="201">
        <f>+'Table 5C1A-Madison Prep'!D39</f>
        <v>5456.2254558085233</v>
      </c>
      <c r="E39" s="202">
        <f t="shared" si="35"/>
        <v>1604130.2840077057</v>
      </c>
      <c r="F39" s="202">
        <f>+'Table 5C1A-Madison Prep'!F39</f>
        <v>655.31000000000006</v>
      </c>
      <c r="G39" s="202">
        <f t="shared" si="36"/>
        <v>192661.14</v>
      </c>
      <c r="H39" s="345">
        <f t="shared" si="37"/>
        <v>1796791.4240077059</v>
      </c>
      <c r="I39" s="991">
        <f>'[1]Oct midyear Tallulah'!K36</f>
        <v>238349.88277653244</v>
      </c>
      <c r="J39" s="203">
        <f>'[1]Feb midyear Tallulah'!K36</f>
        <v>15278.838639521309</v>
      </c>
      <c r="K39" s="204">
        <f t="shared" si="38"/>
        <v>253628.72141605374</v>
      </c>
      <c r="L39" s="345">
        <f t="shared" ref="L39:L70" si="55">H39+K39</f>
        <v>2050420.1454237597</v>
      </c>
      <c r="M39" s="286">
        <f t="shared" si="39"/>
        <v>-5126.0503635593996</v>
      </c>
      <c r="N39" s="345">
        <f t="shared" si="40"/>
        <v>2045294.0950602002</v>
      </c>
      <c r="O39" s="201">
        <v>0</v>
      </c>
      <c r="P39" s="351">
        <f t="shared" si="41"/>
        <v>2045294.0950602002</v>
      </c>
      <c r="Q39" s="203">
        <f>'[2]Table 5C1K-Tallulah Charter'!S39+'[14]Table 5C1K-Tallulah Charter'!S39+(6*'[20]Table 5C1K-Tallulah Charter'!S39)</f>
        <v>1399809</v>
      </c>
      <c r="R39" s="203">
        <f t="shared" si="42"/>
        <v>645485.0950602002</v>
      </c>
      <c r="S39" s="351">
        <f t="shared" ref="S39:S70" si="56">ROUND(R39/$S$88,0)</f>
        <v>161371</v>
      </c>
      <c r="T39" s="351">
        <f t="shared" si="43"/>
        <v>2045294.0950602002</v>
      </c>
      <c r="U39" s="287">
        <f>'Table 5C1A-Madison Prep'!U39</f>
        <v>3784</v>
      </c>
      <c r="V39" s="328">
        <f t="shared" ref="V39:V70" si="57">C39*U39</f>
        <v>1112496</v>
      </c>
      <c r="W39" s="995">
        <f>'[1]Oct midyear Tallulah'!E36</f>
        <v>39</v>
      </c>
      <c r="X39" s="290">
        <f t="shared" si="44"/>
        <v>147576</v>
      </c>
      <c r="Y39" s="289">
        <f>'[1]Feb midyear Tallulah'!E36</f>
        <v>5</v>
      </c>
      <c r="Z39" s="290">
        <f t="shared" si="32"/>
        <v>9460</v>
      </c>
      <c r="AA39" s="288">
        <f t="shared" si="45"/>
        <v>157036</v>
      </c>
      <c r="AB39" s="324">
        <f t="shared" si="46"/>
        <v>1269532</v>
      </c>
      <c r="AC39" s="292">
        <f t="shared" si="47"/>
        <v>-3173.83</v>
      </c>
      <c r="AD39" s="324">
        <f t="shared" si="48"/>
        <v>1266358.17</v>
      </c>
      <c r="AE39" s="293">
        <v>0</v>
      </c>
      <c r="AF39" s="324">
        <f t="shared" si="49"/>
        <v>1266358.17</v>
      </c>
      <c r="AG39" s="293">
        <f>'[2]Table 5C1K-Tallulah Charter'!AI39+'[14]Table 5C1K-Tallulah Charter'!AI39+(6*'[20]Table 5C1K-Tallulah Charter'!AI39)</f>
        <v>828225</v>
      </c>
      <c r="AH39" s="293">
        <f t="shared" si="50"/>
        <v>438133.16999999993</v>
      </c>
      <c r="AI39" s="324">
        <f t="shared" ref="AI39:AI70" si="58">ROUND(AH39/$AI$88,0)</f>
        <v>109533</v>
      </c>
      <c r="AJ39" s="321">
        <f t="shared" si="51"/>
        <v>3311652.2650602004</v>
      </c>
      <c r="AK39" s="342">
        <f t="shared" si="52"/>
        <v>270904</v>
      </c>
      <c r="AM39" s="286">
        <v>-2657.76</v>
      </c>
      <c r="AN39" s="286">
        <f t="shared" si="53"/>
        <v>-3173.83</v>
      </c>
      <c r="AO39" s="286">
        <f t="shared" si="54"/>
        <v>-516.06999999999971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2.1.14'!R36</f>
        <v>0</v>
      </c>
      <c r="D40" s="201">
        <f>+'Table 5C1A-Madison Prep'!D40</f>
        <v>6292.0976842789005</v>
      </c>
      <c r="E40" s="202">
        <f t="shared" si="35"/>
        <v>0</v>
      </c>
      <c r="F40" s="202">
        <f>+'Table 5C1A-Madison Prep'!F40</f>
        <v>644.11000000000013</v>
      </c>
      <c r="G40" s="202">
        <f t="shared" si="36"/>
        <v>0</v>
      </c>
      <c r="H40" s="345">
        <f t="shared" si="37"/>
        <v>0</v>
      </c>
      <c r="I40" s="991">
        <f>'[1]Oct midyear Tallulah'!K37</f>
        <v>0</v>
      </c>
      <c r="J40" s="203">
        <f>'[1]Feb midyear Tallulah'!K37</f>
        <v>0</v>
      </c>
      <c r="K40" s="204">
        <f t="shared" si="38"/>
        <v>0</v>
      </c>
      <c r="L40" s="345">
        <f t="shared" si="55"/>
        <v>0</v>
      </c>
      <c r="M40" s="286">
        <f t="shared" si="39"/>
        <v>0</v>
      </c>
      <c r="N40" s="345">
        <f t="shared" si="40"/>
        <v>0</v>
      </c>
      <c r="O40" s="201">
        <v>0</v>
      </c>
      <c r="P40" s="351">
        <f t="shared" si="41"/>
        <v>0</v>
      </c>
      <c r="Q40" s="203">
        <f>'[2]Table 5C1K-Tallulah Charter'!S40+'[14]Table 5C1K-Tallulah Charter'!S40+(6*'[20]Table 5C1K-Tallulah Charter'!S40)</f>
        <v>0</v>
      </c>
      <c r="R40" s="203">
        <f t="shared" si="42"/>
        <v>0</v>
      </c>
      <c r="S40" s="351">
        <f t="shared" si="56"/>
        <v>0</v>
      </c>
      <c r="T40" s="351">
        <f t="shared" si="43"/>
        <v>0</v>
      </c>
      <c r="U40" s="287">
        <f>'Table 5C1A-Madison Prep'!U40</f>
        <v>2911</v>
      </c>
      <c r="V40" s="328">
        <f t="shared" si="57"/>
        <v>0</v>
      </c>
      <c r="W40" s="995">
        <f>'[1]Oct midyear Tallulah'!E37</f>
        <v>0</v>
      </c>
      <c r="X40" s="290">
        <f t="shared" si="44"/>
        <v>0</v>
      </c>
      <c r="Y40" s="289">
        <f>'[1]Feb midyear Tallulah'!E37</f>
        <v>0</v>
      </c>
      <c r="Z40" s="290">
        <f t="shared" si="32"/>
        <v>0</v>
      </c>
      <c r="AA40" s="288">
        <f t="shared" si="45"/>
        <v>0</v>
      </c>
      <c r="AB40" s="324">
        <f t="shared" si="46"/>
        <v>0</v>
      </c>
      <c r="AC40" s="292">
        <f t="shared" si="47"/>
        <v>0</v>
      </c>
      <c r="AD40" s="324">
        <f t="shared" si="48"/>
        <v>0</v>
      </c>
      <c r="AE40" s="293">
        <v>0</v>
      </c>
      <c r="AF40" s="324">
        <f t="shared" si="49"/>
        <v>0</v>
      </c>
      <c r="AG40" s="293">
        <f>'[2]Table 5C1K-Tallulah Charter'!AI40+'[14]Table 5C1K-Tallulah Charter'!AI40+(6*'[20]Table 5C1K-Tallulah Charter'!AI40)</f>
        <v>0</v>
      </c>
      <c r="AH40" s="293">
        <f t="shared" si="50"/>
        <v>0</v>
      </c>
      <c r="AI40" s="324">
        <f t="shared" si="58"/>
        <v>0</v>
      </c>
      <c r="AJ40" s="321">
        <f t="shared" si="51"/>
        <v>0</v>
      </c>
      <c r="AK40" s="342">
        <f t="shared" si="52"/>
        <v>0</v>
      </c>
      <c r="AM40" s="286">
        <v>0</v>
      </c>
      <c r="AN40" s="286">
        <f t="shared" si="53"/>
        <v>0</v>
      </c>
      <c r="AO40" s="286">
        <f t="shared" si="54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2.1.14'!R37</f>
        <v>0</v>
      </c>
      <c r="D41" s="194">
        <f>+'Table 5C1A-Madison Prep'!D41</f>
        <v>5166.2482060477605</v>
      </c>
      <c r="E41" s="195">
        <f t="shared" si="35"/>
        <v>0</v>
      </c>
      <c r="F41" s="195">
        <f>+'Table 5C1A-Madison Prep'!F41</f>
        <v>537.96</v>
      </c>
      <c r="G41" s="195">
        <f t="shared" si="36"/>
        <v>0</v>
      </c>
      <c r="H41" s="346">
        <f t="shared" si="37"/>
        <v>0</v>
      </c>
      <c r="I41" s="992">
        <f>'[1]Oct midyear Tallulah'!K38</f>
        <v>0</v>
      </c>
      <c r="J41" s="196">
        <f>'[1]Feb midyear Tallulah'!K38</f>
        <v>0</v>
      </c>
      <c r="K41" s="197">
        <f t="shared" si="38"/>
        <v>0</v>
      </c>
      <c r="L41" s="346">
        <f t="shared" si="55"/>
        <v>0</v>
      </c>
      <c r="M41" s="296">
        <f t="shared" si="39"/>
        <v>0</v>
      </c>
      <c r="N41" s="346">
        <f t="shared" si="40"/>
        <v>0</v>
      </c>
      <c r="O41" s="194">
        <v>0</v>
      </c>
      <c r="P41" s="352">
        <f t="shared" si="41"/>
        <v>0</v>
      </c>
      <c r="Q41" s="196">
        <f>'[2]Table 5C1K-Tallulah Charter'!S41+'[14]Table 5C1K-Tallulah Charter'!S41+(6*'[20]Table 5C1K-Tallulah Charter'!S41)</f>
        <v>0</v>
      </c>
      <c r="R41" s="196">
        <f t="shared" si="42"/>
        <v>0</v>
      </c>
      <c r="S41" s="356">
        <f t="shared" si="56"/>
        <v>0</v>
      </c>
      <c r="T41" s="356">
        <f t="shared" si="43"/>
        <v>0</v>
      </c>
      <c r="U41" s="281">
        <f>'Table 5C1A-Madison Prep'!U41</f>
        <v>3337</v>
      </c>
      <c r="V41" s="329">
        <f t="shared" si="57"/>
        <v>0</v>
      </c>
      <c r="W41" s="996">
        <f>'[1]Oct midyear Tallulah'!E38</f>
        <v>0</v>
      </c>
      <c r="X41" s="282">
        <f t="shared" si="44"/>
        <v>0</v>
      </c>
      <c r="Y41" s="884">
        <f>'[1]Feb midyear Tallulah'!E38</f>
        <v>0</v>
      </c>
      <c r="Z41" s="282">
        <f t="shared" si="32"/>
        <v>0</v>
      </c>
      <c r="AA41" s="283">
        <f t="shared" si="45"/>
        <v>0</v>
      </c>
      <c r="AB41" s="325">
        <f t="shared" si="46"/>
        <v>0</v>
      </c>
      <c r="AC41" s="298">
        <f t="shared" si="47"/>
        <v>0</v>
      </c>
      <c r="AD41" s="325">
        <f t="shared" si="48"/>
        <v>0</v>
      </c>
      <c r="AE41" s="284">
        <v>0</v>
      </c>
      <c r="AF41" s="325">
        <f t="shared" si="49"/>
        <v>0</v>
      </c>
      <c r="AG41" s="284">
        <f>'[2]Table 5C1K-Tallulah Charter'!AI41+'[14]Table 5C1K-Tallulah Charter'!AI41+(6*'[20]Table 5C1K-Tallulah Charter'!AI41)</f>
        <v>0</v>
      </c>
      <c r="AH41" s="284">
        <f t="shared" si="50"/>
        <v>0</v>
      </c>
      <c r="AI41" s="325">
        <f t="shared" si="58"/>
        <v>0</v>
      </c>
      <c r="AJ41" s="338">
        <f t="shared" si="51"/>
        <v>0</v>
      </c>
      <c r="AK41" s="343">
        <f t="shared" si="52"/>
        <v>0</v>
      </c>
      <c r="AM41" s="296">
        <v>0</v>
      </c>
      <c r="AN41" s="296">
        <f t="shared" si="53"/>
        <v>0</v>
      </c>
      <c r="AO41" s="296">
        <f t="shared" si="54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2.1.14'!R38</f>
        <v>0</v>
      </c>
      <c r="D42" s="208">
        <f>+'Table 5C1A-Madison Prep'!D42</f>
        <v>3602.7009974327857</v>
      </c>
      <c r="E42" s="209">
        <f t="shared" si="35"/>
        <v>0</v>
      </c>
      <c r="F42" s="209">
        <f>+'Table 5C1A-Madison Prep'!F42</f>
        <v>746.0335616438357</v>
      </c>
      <c r="G42" s="209">
        <f t="shared" si="36"/>
        <v>0</v>
      </c>
      <c r="H42" s="344">
        <f t="shared" si="37"/>
        <v>0</v>
      </c>
      <c r="I42" s="990">
        <f>'[1]Oct midyear Tallulah'!K39</f>
        <v>0</v>
      </c>
      <c r="J42" s="210">
        <f>'[1]Feb midyear Tallulah'!K39</f>
        <v>0</v>
      </c>
      <c r="K42" s="211">
        <f t="shared" si="38"/>
        <v>0</v>
      </c>
      <c r="L42" s="344">
        <f t="shared" si="55"/>
        <v>0</v>
      </c>
      <c r="M42" s="273">
        <f t="shared" si="39"/>
        <v>0</v>
      </c>
      <c r="N42" s="344">
        <f t="shared" si="40"/>
        <v>0</v>
      </c>
      <c r="O42" s="208">
        <v>0</v>
      </c>
      <c r="P42" s="350">
        <f t="shared" si="41"/>
        <v>0</v>
      </c>
      <c r="Q42" s="210">
        <f>'[2]Table 5C1K-Tallulah Charter'!S42+'[14]Table 5C1K-Tallulah Charter'!S42+(6*'[20]Table 5C1K-Tallulah Charter'!S42)</f>
        <v>0</v>
      </c>
      <c r="R42" s="210">
        <f t="shared" si="42"/>
        <v>0</v>
      </c>
      <c r="S42" s="350">
        <f t="shared" si="56"/>
        <v>0</v>
      </c>
      <c r="T42" s="350">
        <f t="shared" si="43"/>
        <v>0</v>
      </c>
      <c r="U42" s="274">
        <f>'Table 5C1A-Madison Prep'!U42</f>
        <v>5469</v>
      </c>
      <c r="V42" s="327">
        <f t="shared" si="57"/>
        <v>0</v>
      </c>
      <c r="W42" s="994">
        <f>'[1]Oct midyear Tallulah'!E39</f>
        <v>0</v>
      </c>
      <c r="X42" s="276">
        <f t="shared" si="44"/>
        <v>0</v>
      </c>
      <c r="Y42" s="883">
        <f>'[1]Feb midyear Tallulah'!E39</f>
        <v>0</v>
      </c>
      <c r="Z42" s="276">
        <f t="shared" si="32"/>
        <v>0</v>
      </c>
      <c r="AA42" s="275">
        <f t="shared" si="45"/>
        <v>0</v>
      </c>
      <c r="AB42" s="323">
        <f t="shared" si="46"/>
        <v>0</v>
      </c>
      <c r="AC42" s="278">
        <f t="shared" si="47"/>
        <v>0</v>
      </c>
      <c r="AD42" s="323">
        <f t="shared" si="48"/>
        <v>0</v>
      </c>
      <c r="AE42" s="279">
        <v>0</v>
      </c>
      <c r="AF42" s="323">
        <f t="shared" si="49"/>
        <v>0</v>
      </c>
      <c r="AG42" s="279">
        <f>'[2]Table 5C1K-Tallulah Charter'!AI42+'[14]Table 5C1K-Tallulah Charter'!AI42+(6*'[20]Table 5C1K-Tallulah Charter'!AI42)</f>
        <v>0</v>
      </c>
      <c r="AH42" s="279">
        <f t="shared" si="50"/>
        <v>0</v>
      </c>
      <c r="AI42" s="323">
        <f t="shared" si="58"/>
        <v>0</v>
      </c>
      <c r="AJ42" s="337">
        <f t="shared" si="51"/>
        <v>0</v>
      </c>
      <c r="AK42" s="341">
        <f t="shared" si="52"/>
        <v>0</v>
      </c>
      <c r="AM42" s="273">
        <v>0</v>
      </c>
      <c r="AN42" s="273">
        <f t="shared" si="53"/>
        <v>0</v>
      </c>
      <c r="AO42" s="273">
        <f t="shared" si="54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2.1.14'!R39</f>
        <v>0</v>
      </c>
      <c r="D43" s="201">
        <f>+'Table 5C1A-Madison Prep'!D43</f>
        <v>5665.3839260317691</v>
      </c>
      <c r="E43" s="202">
        <f t="shared" si="35"/>
        <v>0</v>
      </c>
      <c r="F43" s="202">
        <f>+'Table 5C1A-Madison Prep'!F43</f>
        <v>653.61</v>
      </c>
      <c r="G43" s="202">
        <f t="shared" si="36"/>
        <v>0</v>
      </c>
      <c r="H43" s="345">
        <f t="shared" si="37"/>
        <v>0</v>
      </c>
      <c r="I43" s="991">
        <f>'[1]Oct midyear Tallulah'!K40</f>
        <v>0</v>
      </c>
      <c r="J43" s="203">
        <f>'[1]Feb midyear Tallulah'!K40</f>
        <v>0</v>
      </c>
      <c r="K43" s="204">
        <f t="shared" si="38"/>
        <v>0</v>
      </c>
      <c r="L43" s="345">
        <f t="shared" si="55"/>
        <v>0</v>
      </c>
      <c r="M43" s="286">
        <f t="shared" si="39"/>
        <v>0</v>
      </c>
      <c r="N43" s="345">
        <f t="shared" si="40"/>
        <v>0</v>
      </c>
      <c r="O43" s="201">
        <v>0</v>
      </c>
      <c r="P43" s="351">
        <f t="shared" si="41"/>
        <v>0</v>
      </c>
      <c r="Q43" s="203">
        <f>'[2]Table 5C1K-Tallulah Charter'!S43+'[14]Table 5C1K-Tallulah Charter'!S43+(6*'[20]Table 5C1K-Tallulah Charter'!S43)</f>
        <v>0</v>
      </c>
      <c r="R43" s="203">
        <f t="shared" si="42"/>
        <v>0</v>
      </c>
      <c r="S43" s="351">
        <f t="shared" si="56"/>
        <v>0</v>
      </c>
      <c r="T43" s="351">
        <f t="shared" si="43"/>
        <v>0</v>
      </c>
      <c r="U43" s="287">
        <f>'Table 5C1A-Madison Prep'!U43</f>
        <v>3424</v>
      </c>
      <c r="V43" s="328">
        <f t="shared" si="57"/>
        <v>0</v>
      </c>
      <c r="W43" s="995">
        <f>'[1]Oct midyear Tallulah'!E40</f>
        <v>0</v>
      </c>
      <c r="X43" s="290">
        <f t="shared" si="44"/>
        <v>0</v>
      </c>
      <c r="Y43" s="289">
        <f>'[1]Feb midyear Tallulah'!E40</f>
        <v>0</v>
      </c>
      <c r="Z43" s="290">
        <f t="shared" si="32"/>
        <v>0</v>
      </c>
      <c r="AA43" s="288">
        <f t="shared" si="45"/>
        <v>0</v>
      </c>
      <c r="AB43" s="324">
        <f t="shared" si="46"/>
        <v>0</v>
      </c>
      <c r="AC43" s="292">
        <f t="shared" si="47"/>
        <v>0</v>
      </c>
      <c r="AD43" s="324">
        <f t="shared" si="48"/>
        <v>0</v>
      </c>
      <c r="AE43" s="293">
        <v>0</v>
      </c>
      <c r="AF43" s="324">
        <f t="shared" si="49"/>
        <v>0</v>
      </c>
      <c r="AG43" s="293">
        <f>'[2]Table 5C1K-Tallulah Charter'!AI43+'[14]Table 5C1K-Tallulah Charter'!AI43+(6*'[20]Table 5C1K-Tallulah Charter'!AI43)</f>
        <v>0</v>
      </c>
      <c r="AH43" s="293">
        <f t="shared" si="50"/>
        <v>0</v>
      </c>
      <c r="AI43" s="324">
        <f t="shared" si="58"/>
        <v>0</v>
      </c>
      <c r="AJ43" s="321">
        <f t="shared" si="51"/>
        <v>0</v>
      </c>
      <c r="AK43" s="342">
        <f t="shared" si="52"/>
        <v>0</v>
      </c>
      <c r="AM43" s="286">
        <v>0</v>
      </c>
      <c r="AN43" s="286">
        <f t="shared" si="53"/>
        <v>0</v>
      </c>
      <c r="AO43" s="286">
        <f t="shared" si="54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2.1.14'!R40</f>
        <v>0</v>
      </c>
      <c r="D44" s="201">
        <f>+'Table 5C1A-Madison Prep'!D44</f>
        <v>2088.8017552916881</v>
      </c>
      <c r="E44" s="202">
        <f t="shared" si="35"/>
        <v>0</v>
      </c>
      <c r="F44" s="202">
        <f>+'Table 5C1A-Madison Prep'!F44</f>
        <v>829.92000000000007</v>
      </c>
      <c r="G44" s="202">
        <f t="shared" si="36"/>
        <v>0</v>
      </c>
      <c r="H44" s="345">
        <f t="shared" si="37"/>
        <v>0</v>
      </c>
      <c r="I44" s="991">
        <f>'[1]Oct midyear Tallulah'!K41</f>
        <v>0</v>
      </c>
      <c r="J44" s="203">
        <f>'[1]Feb midyear Tallulah'!K41</f>
        <v>0</v>
      </c>
      <c r="K44" s="204">
        <f t="shared" si="38"/>
        <v>0</v>
      </c>
      <c r="L44" s="345">
        <f t="shared" si="55"/>
        <v>0</v>
      </c>
      <c r="M44" s="286">
        <f t="shared" si="39"/>
        <v>0</v>
      </c>
      <c r="N44" s="345">
        <f t="shared" si="40"/>
        <v>0</v>
      </c>
      <c r="O44" s="201">
        <v>0</v>
      </c>
      <c r="P44" s="351">
        <f t="shared" si="41"/>
        <v>0</v>
      </c>
      <c r="Q44" s="203">
        <f>'[2]Table 5C1K-Tallulah Charter'!S44+'[14]Table 5C1K-Tallulah Charter'!S44+(6*'[20]Table 5C1K-Tallulah Charter'!S44)</f>
        <v>0</v>
      </c>
      <c r="R44" s="203">
        <f t="shared" si="42"/>
        <v>0</v>
      </c>
      <c r="S44" s="351">
        <f t="shared" si="56"/>
        <v>0</v>
      </c>
      <c r="T44" s="351">
        <f t="shared" si="43"/>
        <v>0</v>
      </c>
      <c r="U44" s="287">
        <f>'Table 5C1A-Madison Prep'!U44</f>
        <v>11060</v>
      </c>
      <c r="V44" s="328">
        <f t="shared" si="57"/>
        <v>0</v>
      </c>
      <c r="W44" s="995">
        <f>'[1]Oct midyear Tallulah'!E41</f>
        <v>0</v>
      </c>
      <c r="X44" s="290">
        <f t="shared" si="44"/>
        <v>0</v>
      </c>
      <c r="Y44" s="289">
        <f>'[1]Feb midyear Tallulah'!E41</f>
        <v>0</v>
      </c>
      <c r="Z44" s="290">
        <f t="shared" si="32"/>
        <v>0</v>
      </c>
      <c r="AA44" s="288">
        <f t="shared" si="45"/>
        <v>0</v>
      </c>
      <c r="AB44" s="324">
        <f t="shared" si="46"/>
        <v>0</v>
      </c>
      <c r="AC44" s="292">
        <f t="shared" si="47"/>
        <v>0</v>
      </c>
      <c r="AD44" s="324">
        <f t="shared" si="48"/>
        <v>0</v>
      </c>
      <c r="AE44" s="293">
        <v>0</v>
      </c>
      <c r="AF44" s="324">
        <f t="shared" si="49"/>
        <v>0</v>
      </c>
      <c r="AG44" s="293">
        <f>'[2]Table 5C1K-Tallulah Charter'!AI44+'[14]Table 5C1K-Tallulah Charter'!AI44+(6*'[20]Table 5C1K-Tallulah Charter'!AI44)</f>
        <v>0</v>
      </c>
      <c r="AH44" s="293">
        <f t="shared" si="50"/>
        <v>0</v>
      </c>
      <c r="AI44" s="324">
        <f t="shared" si="58"/>
        <v>0</v>
      </c>
      <c r="AJ44" s="321">
        <f t="shared" si="51"/>
        <v>0</v>
      </c>
      <c r="AK44" s="342">
        <f t="shared" si="52"/>
        <v>0</v>
      </c>
      <c r="AM44" s="286">
        <v>0</v>
      </c>
      <c r="AN44" s="286">
        <f t="shared" si="53"/>
        <v>0</v>
      </c>
      <c r="AO44" s="286">
        <f t="shared" si="54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2.1.14'!R41</f>
        <v>0</v>
      </c>
      <c r="D45" s="201">
        <f>+'Table 5C1A-Madison Prep'!D45</f>
        <v>3656.9056809295676</v>
      </c>
      <c r="E45" s="202">
        <f t="shared" si="35"/>
        <v>0</v>
      </c>
      <c r="F45" s="202">
        <f>+'Table 5C1A-Madison Prep'!F45</f>
        <v>779.65573042776396</v>
      </c>
      <c r="G45" s="202">
        <f t="shared" si="36"/>
        <v>0</v>
      </c>
      <c r="H45" s="345">
        <f t="shared" si="37"/>
        <v>0</v>
      </c>
      <c r="I45" s="991">
        <f>'[1]Oct midyear Tallulah'!K42</f>
        <v>0</v>
      </c>
      <c r="J45" s="203">
        <f>'[1]Feb midyear Tallulah'!K42</f>
        <v>0</v>
      </c>
      <c r="K45" s="204">
        <f t="shared" si="38"/>
        <v>0</v>
      </c>
      <c r="L45" s="345">
        <f t="shared" si="55"/>
        <v>0</v>
      </c>
      <c r="M45" s="286">
        <f t="shared" si="39"/>
        <v>0</v>
      </c>
      <c r="N45" s="345">
        <f t="shared" si="40"/>
        <v>0</v>
      </c>
      <c r="O45" s="201">
        <v>0</v>
      </c>
      <c r="P45" s="351">
        <f t="shared" si="41"/>
        <v>0</v>
      </c>
      <c r="Q45" s="203">
        <f>'[2]Table 5C1K-Tallulah Charter'!S45+'[14]Table 5C1K-Tallulah Charter'!S45+(6*'[20]Table 5C1K-Tallulah Charter'!S45)</f>
        <v>0</v>
      </c>
      <c r="R45" s="203">
        <f t="shared" si="42"/>
        <v>0</v>
      </c>
      <c r="S45" s="351">
        <f t="shared" si="56"/>
        <v>0</v>
      </c>
      <c r="T45" s="351">
        <f t="shared" si="43"/>
        <v>0</v>
      </c>
      <c r="U45" s="287">
        <f>'Table 5C1A-Madison Prep'!U45</f>
        <v>4922</v>
      </c>
      <c r="V45" s="328">
        <f t="shared" si="57"/>
        <v>0</v>
      </c>
      <c r="W45" s="995">
        <f>'[1]Oct midyear Tallulah'!E42</f>
        <v>0</v>
      </c>
      <c r="X45" s="290">
        <f t="shared" si="44"/>
        <v>0</v>
      </c>
      <c r="Y45" s="289">
        <f>'[1]Feb midyear Tallulah'!E42</f>
        <v>0</v>
      </c>
      <c r="Z45" s="290">
        <f t="shared" si="32"/>
        <v>0</v>
      </c>
      <c r="AA45" s="288">
        <f t="shared" si="45"/>
        <v>0</v>
      </c>
      <c r="AB45" s="324">
        <f t="shared" si="46"/>
        <v>0</v>
      </c>
      <c r="AC45" s="292">
        <f t="shared" si="47"/>
        <v>0</v>
      </c>
      <c r="AD45" s="324">
        <f t="shared" si="48"/>
        <v>0</v>
      </c>
      <c r="AE45" s="293">
        <v>0</v>
      </c>
      <c r="AF45" s="324">
        <f t="shared" si="49"/>
        <v>0</v>
      </c>
      <c r="AG45" s="293">
        <f>'[2]Table 5C1K-Tallulah Charter'!AI45+'[14]Table 5C1K-Tallulah Charter'!AI45+(6*'[20]Table 5C1K-Tallulah Charter'!AI45)</f>
        <v>0</v>
      </c>
      <c r="AH45" s="293">
        <f t="shared" si="50"/>
        <v>0</v>
      </c>
      <c r="AI45" s="324">
        <f t="shared" si="58"/>
        <v>0</v>
      </c>
      <c r="AJ45" s="321">
        <f t="shared" si="51"/>
        <v>0</v>
      </c>
      <c r="AK45" s="342">
        <f t="shared" si="52"/>
        <v>0</v>
      </c>
      <c r="AM45" s="286">
        <v>0</v>
      </c>
      <c r="AN45" s="286">
        <f t="shared" si="53"/>
        <v>0</v>
      </c>
      <c r="AO45" s="286">
        <f t="shared" si="54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2.1.14'!R42</f>
        <v>0</v>
      </c>
      <c r="D46" s="194">
        <f>+'Table 5C1A-Madison Prep'!D46</f>
        <v>5121.8110285698403</v>
      </c>
      <c r="E46" s="195">
        <f t="shared" si="35"/>
        <v>0</v>
      </c>
      <c r="F46" s="195">
        <f>+'Table 5C1A-Madison Prep'!F46</f>
        <v>700.2700000000001</v>
      </c>
      <c r="G46" s="195">
        <f t="shared" si="36"/>
        <v>0</v>
      </c>
      <c r="H46" s="346">
        <f t="shared" si="37"/>
        <v>0</v>
      </c>
      <c r="I46" s="992">
        <f>'[1]Oct midyear Tallulah'!K43</f>
        <v>0</v>
      </c>
      <c r="J46" s="196">
        <f>'[1]Feb midyear Tallulah'!K43</f>
        <v>0</v>
      </c>
      <c r="K46" s="197">
        <f t="shared" si="38"/>
        <v>0</v>
      </c>
      <c r="L46" s="346">
        <f t="shared" si="55"/>
        <v>0</v>
      </c>
      <c r="M46" s="296">
        <f t="shared" si="39"/>
        <v>0</v>
      </c>
      <c r="N46" s="346">
        <f t="shared" si="40"/>
        <v>0</v>
      </c>
      <c r="O46" s="194">
        <v>0</v>
      </c>
      <c r="P46" s="352">
        <f t="shared" si="41"/>
        <v>0</v>
      </c>
      <c r="Q46" s="196">
        <f>'[2]Table 5C1K-Tallulah Charter'!S46+'[14]Table 5C1K-Tallulah Charter'!S46+(6*'[20]Table 5C1K-Tallulah Charter'!S46)</f>
        <v>0</v>
      </c>
      <c r="R46" s="196">
        <f t="shared" si="42"/>
        <v>0</v>
      </c>
      <c r="S46" s="356">
        <f t="shared" si="56"/>
        <v>0</v>
      </c>
      <c r="T46" s="356">
        <f t="shared" si="43"/>
        <v>0</v>
      </c>
      <c r="U46" s="281">
        <f>'Table 5C1A-Madison Prep'!U46</f>
        <v>3152</v>
      </c>
      <c r="V46" s="329">
        <f t="shared" si="57"/>
        <v>0</v>
      </c>
      <c r="W46" s="996">
        <f>'[1]Oct midyear Tallulah'!E43</f>
        <v>0</v>
      </c>
      <c r="X46" s="282">
        <f t="shared" si="44"/>
        <v>0</v>
      </c>
      <c r="Y46" s="884">
        <f>'[1]Feb midyear Tallulah'!E43</f>
        <v>0</v>
      </c>
      <c r="Z46" s="282">
        <f t="shared" si="32"/>
        <v>0</v>
      </c>
      <c r="AA46" s="283">
        <f t="shared" si="45"/>
        <v>0</v>
      </c>
      <c r="AB46" s="325">
        <f t="shared" si="46"/>
        <v>0</v>
      </c>
      <c r="AC46" s="298">
        <f t="shared" si="47"/>
        <v>0</v>
      </c>
      <c r="AD46" s="325">
        <f t="shared" si="48"/>
        <v>0</v>
      </c>
      <c r="AE46" s="284">
        <v>0</v>
      </c>
      <c r="AF46" s="325">
        <f t="shared" si="49"/>
        <v>0</v>
      </c>
      <c r="AG46" s="284">
        <f>'[2]Table 5C1K-Tallulah Charter'!AI46+'[14]Table 5C1K-Tallulah Charter'!AI46+(6*'[20]Table 5C1K-Tallulah Charter'!AI46)</f>
        <v>0</v>
      </c>
      <c r="AH46" s="284">
        <f t="shared" si="50"/>
        <v>0</v>
      </c>
      <c r="AI46" s="325">
        <f t="shared" si="58"/>
        <v>0</v>
      </c>
      <c r="AJ46" s="338">
        <f t="shared" si="51"/>
        <v>0</v>
      </c>
      <c r="AK46" s="343">
        <f t="shared" si="52"/>
        <v>0</v>
      </c>
      <c r="AM46" s="296">
        <v>0</v>
      </c>
      <c r="AN46" s="296">
        <f t="shared" si="53"/>
        <v>0</v>
      </c>
      <c r="AO46" s="296">
        <f t="shared" si="54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2.1.14'!R43</f>
        <v>0</v>
      </c>
      <c r="D47" s="208">
        <f>+'Table 5C1A-Madison Prep'!D47</f>
        <v>3291.1948574716475</v>
      </c>
      <c r="E47" s="209">
        <f t="shared" si="35"/>
        <v>0</v>
      </c>
      <c r="F47" s="209">
        <f>+'Table 5C1A-Madison Prep'!F47</f>
        <v>886.22</v>
      </c>
      <c r="G47" s="209">
        <f t="shared" si="36"/>
        <v>0</v>
      </c>
      <c r="H47" s="344">
        <f t="shared" si="37"/>
        <v>0</v>
      </c>
      <c r="I47" s="990">
        <f>'[1]Oct midyear Tallulah'!K44</f>
        <v>0</v>
      </c>
      <c r="J47" s="210">
        <f>'[1]Feb midyear Tallulah'!K44</f>
        <v>0</v>
      </c>
      <c r="K47" s="211">
        <f t="shared" si="38"/>
        <v>0</v>
      </c>
      <c r="L47" s="344">
        <f t="shared" si="55"/>
        <v>0</v>
      </c>
      <c r="M47" s="273">
        <f t="shared" si="39"/>
        <v>0</v>
      </c>
      <c r="N47" s="344">
        <f t="shared" si="40"/>
        <v>0</v>
      </c>
      <c r="O47" s="208">
        <v>0</v>
      </c>
      <c r="P47" s="350">
        <f t="shared" si="41"/>
        <v>0</v>
      </c>
      <c r="Q47" s="210">
        <f>'[2]Table 5C1K-Tallulah Charter'!S47+'[14]Table 5C1K-Tallulah Charter'!S47+(6*'[20]Table 5C1K-Tallulah Charter'!S47)</f>
        <v>0</v>
      </c>
      <c r="R47" s="210">
        <f t="shared" si="42"/>
        <v>0</v>
      </c>
      <c r="S47" s="350">
        <f t="shared" si="56"/>
        <v>0</v>
      </c>
      <c r="T47" s="350">
        <f t="shared" si="43"/>
        <v>0</v>
      </c>
      <c r="U47" s="274">
        <f>'Table 5C1A-Madison Prep'!U47</f>
        <v>9422</v>
      </c>
      <c r="V47" s="327">
        <f t="shared" si="57"/>
        <v>0</v>
      </c>
      <c r="W47" s="994">
        <f>'[1]Oct midyear Tallulah'!E44</f>
        <v>0</v>
      </c>
      <c r="X47" s="276">
        <f t="shared" si="44"/>
        <v>0</v>
      </c>
      <c r="Y47" s="883">
        <f>'[1]Feb midyear Tallulah'!E44</f>
        <v>0</v>
      </c>
      <c r="Z47" s="276">
        <f t="shared" si="32"/>
        <v>0</v>
      </c>
      <c r="AA47" s="275">
        <f t="shared" si="45"/>
        <v>0</v>
      </c>
      <c r="AB47" s="323">
        <f t="shared" si="46"/>
        <v>0</v>
      </c>
      <c r="AC47" s="278">
        <f t="shared" si="47"/>
        <v>0</v>
      </c>
      <c r="AD47" s="323">
        <f t="shared" si="48"/>
        <v>0</v>
      </c>
      <c r="AE47" s="279">
        <v>0</v>
      </c>
      <c r="AF47" s="323">
        <f t="shared" si="49"/>
        <v>0</v>
      </c>
      <c r="AG47" s="279">
        <f>'[2]Table 5C1K-Tallulah Charter'!AI47+'[14]Table 5C1K-Tallulah Charter'!AI47+(6*'[20]Table 5C1K-Tallulah Charter'!AI47)</f>
        <v>0</v>
      </c>
      <c r="AH47" s="279">
        <f t="shared" si="50"/>
        <v>0</v>
      </c>
      <c r="AI47" s="323">
        <f t="shared" si="58"/>
        <v>0</v>
      </c>
      <c r="AJ47" s="337">
        <f t="shared" si="51"/>
        <v>0</v>
      </c>
      <c r="AK47" s="341">
        <f t="shared" si="52"/>
        <v>0</v>
      </c>
      <c r="AM47" s="273">
        <v>0</v>
      </c>
      <c r="AN47" s="273">
        <f t="shared" si="53"/>
        <v>0</v>
      </c>
      <c r="AO47" s="273">
        <f t="shared" si="54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2.1.14'!R44</f>
        <v>0</v>
      </c>
      <c r="D48" s="201">
        <f>+'Table 5C1A-Madison Prep'!D48</f>
        <v>5113.6077751368684</v>
      </c>
      <c r="E48" s="202">
        <f t="shared" si="35"/>
        <v>0</v>
      </c>
      <c r="F48" s="202">
        <f>+'Table 5C1A-Madison Prep'!F48</f>
        <v>534.28</v>
      </c>
      <c r="G48" s="202">
        <f t="shared" si="36"/>
        <v>0</v>
      </c>
      <c r="H48" s="345">
        <f t="shared" si="37"/>
        <v>0</v>
      </c>
      <c r="I48" s="991">
        <f>'[1]Oct midyear Tallulah'!K45</f>
        <v>0</v>
      </c>
      <c r="J48" s="203">
        <f>'[1]Feb midyear Tallulah'!K45</f>
        <v>0</v>
      </c>
      <c r="K48" s="204">
        <f t="shared" si="38"/>
        <v>0</v>
      </c>
      <c r="L48" s="345">
        <f t="shared" si="55"/>
        <v>0</v>
      </c>
      <c r="M48" s="286">
        <f t="shared" si="39"/>
        <v>0</v>
      </c>
      <c r="N48" s="345">
        <f t="shared" si="40"/>
        <v>0</v>
      </c>
      <c r="O48" s="201">
        <v>0</v>
      </c>
      <c r="P48" s="351">
        <f t="shared" si="41"/>
        <v>0</v>
      </c>
      <c r="Q48" s="203">
        <f>'[2]Table 5C1K-Tallulah Charter'!S48+'[14]Table 5C1K-Tallulah Charter'!S48+(6*'[20]Table 5C1K-Tallulah Charter'!S48)</f>
        <v>0</v>
      </c>
      <c r="R48" s="203">
        <f t="shared" si="42"/>
        <v>0</v>
      </c>
      <c r="S48" s="351">
        <f t="shared" si="56"/>
        <v>0</v>
      </c>
      <c r="T48" s="351">
        <f t="shared" si="43"/>
        <v>0</v>
      </c>
      <c r="U48" s="287">
        <f>'Table 5C1A-Madison Prep'!U48</f>
        <v>3415</v>
      </c>
      <c r="V48" s="328">
        <f t="shared" si="57"/>
        <v>0</v>
      </c>
      <c r="W48" s="995">
        <f>'[1]Oct midyear Tallulah'!E45</f>
        <v>0</v>
      </c>
      <c r="X48" s="290">
        <f t="shared" si="44"/>
        <v>0</v>
      </c>
      <c r="Y48" s="289">
        <f>'[1]Feb midyear Tallulah'!E45</f>
        <v>0</v>
      </c>
      <c r="Z48" s="290">
        <f t="shared" si="32"/>
        <v>0</v>
      </c>
      <c r="AA48" s="288">
        <f t="shared" si="45"/>
        <v>0</v>
      </c>
      <c r="AB48" s="324">
        <f t="shared" si="46"/>
        <v>0</v>
      </c>
      <c r="AC48" s="292">
        <f t="shared" si="47"/>
        <v>0</v>
      </c>
      <c r="AD48" s="324">
        <f t="shared" si="48"/>
        <v>0</v>
      </c>
      <c r="AE48" s="293">
        <v>0</v>
      </c>
      <c r="AF48" s="324">
        <f t="shared" si="49"/>
        <v>0</v>
      </c>
      <c r="AG48" s="293">
        <f>'[2]Table 5C1K-Tallulah Charter'!AI48+'[14]Table 5C1K-Tallulah Charter'!AI48+(6*'[20]Table 5C1K-Tallulah Charter'!AI48)</f>
        <v>0</v>
      </c>
      <c r="AH48" s="293">
        <f t="shared" si="50"/>
        <v>0</v>
      </c>
      <c r="AI48" s="324">
        <f t="shared" si="58"/>
        <v>0</v>
      </c>
      <c r="AJ48" s="321">
        <f t="shared" si="51"/>
        <v>0</v>
      </c>
      <c r="AK48" s="342">
        <f t="shared" si="52"/>
        <v>0</v>
      </c>
      <c r="AM48" s="286">
        <v>0</v>
      </c>
      <c r="AN48" s="286">
        <f t="shared" si="53"/>
        <v>0</v>
      </c>
      <c r="AO48" s="286">
        <f t="shared" si="54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2.1.14'!R45</f>
        <v>0</v>
      </c>
      <c r="D49" s="201">
        <f>+'Table 5C1A-Madison Prep'!D49</f>
        <v>5788.74387205947</v>
      </c>
      <c r="E49" s="202">
        <f t="shared" si="35"/>
        <v>0</v>
      </c>
      <c r="F49" s="202">
        <f>+'Table 5C1A-Madison Prep'!F49</f>
        <v>574.6099999999999</v>
      </c>
      <c r="G49" s="202">
        <f t="shared" si="36"/>
        <v>0</v>
      </c>
      <c r="H49" s="345">
        <f t="shared" si="37"/>
        <v>0</v>
      </c>
      <c r="I49" s="991">
        <f>'[1]Oct midyear Tallulah'!K46</f>
        <v>0</v>
      </c>
      <c r="J49" s="203">
        <f>'[1]Feb midyear Tallulah'!K46</f>
        <v>0</v>
      </c>
      <c r="K49" s="204">
        <f t="shared" si="38"/>
        <v>0</v>
      </c>
      <c r="L49" s="345">
        <f t="shared" si="55"/>
        <v>0</v>
      </c>
      <c r="M49" s="286">
        <f t="shared" si="39"/>
        <v>0</v>
      </c>
      <c r="N49" s="345">
        <f t="shared" si="40"/>
        <v>0</v>
      </c>
      <c r="O49" s="201">
        <v>0</v>
      </c>
      <c r="P49" s="351">
        <f t="shared" si="41"/>
        <v>0</v>
      </c>
      <c r="Q49" s="203">
        <f>'[2]Table 5C1K-Tallulah Charter'!S49+'[14]Table 5C1K-Tallulah Charter'!S49+(6*'[20]Table 5C1K-Tallulah Charter'!S49)</f>
        <v>0</v>
      </c>
      <c r="R49" s="203">
        <f t="shared" si="42"/>
        <v>0</v>
      </c>
      <c r="S49" s="351">
        <f t="shared" si="56"/>
        <v>0</v>
      </c>
      <c r="T49" s="351">
        <f t="shared" si="43"/>
        <v>0</v>
      </c>
      <c r="U49" s="287">
        <f>'Table 5C1A-Madison Prep'!U49</f>
        <v>3334</v>
      </c>
      <c r="V49" s="328">
        <f t="shared" si="57"/>
        <v>0</v>
      </c>
      <c r="W49" s="995">
        <f>'[1]Oct midyear Tallulah'!E46</f>
        <v>0</v>
      </c>
      <c r="X49" s="290">
        <f t="shared" si="44"/>
        <v>0</v>
      </c>
      <c r="Y49" s="289">
        <f>'[1]Feb midyear Tallulah'!E46</f>
        <v>0</v>
      </c>
      <c r="Z49" s="290">
        <f t="shared" si="32"/>
        <v>0</v>
      </c>
      <c r="AA49" s="288">
        <f t="shared" si="45"/>
        <v>0</v>
      </c>
      <c r="AB49" s="324">
        <f t="shared" si="46"/>
        <v>0</v>
      </c>
      <c r="AC49" s="292">
        <f t="shared" si="47"/>
        <v>0</v>
      </c>
      <c r="AD49" s="324">
        <f t="shared" si="48"/>
        <v>0</v>
      </c>
      <c r="AE49" s="293">
        <v>0</v>
      </c>
      <c r="AF49" s="324">
        <f t="shared" si="49"/>
        <v>0</v>
      </c>
      <c r="AG49" s="293">
        <f>'[2]Table 5C1K-Tallulah Charter'!AI49+'[14]Table 5C1K-Tallulah Charter'!AI49+(6*'[20]Table 5C1K-Tallulah Charter'!AI49)</f>
        <v>0</v>
      </c>
      <c r="AH49" s="293">
        <f t="shared" si="50"/>
        <v>0</v>
      </c>
      <c r="AI49" s="324">
        <f t="shared" si="58"/>
        <v>0</v>
      </c>
      <c r="AJ49" s="321">
        <f t="shared" si="51"/>
        <v>0</v>
      </c>
      <c r="AK49" s="342">
        <f t="shared" si="52"/>
        <v>0</v>
      </c>
      <c r="AM49" s="286">
        <v>0</v>
      </c>
      <c r="AN49" s="286">
        <f t="shared" si="53"/>
        <v>0</v>
      </c>
      <c r="AO49" s="286">
        <f t="shared" si="54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2.1.14'!R46</f>
        <v>0</v>
      </c>
      <c r="D50" s="201">
        <f>+'Table 5C1A-Madison Prep'!D50</f>
        <v>4897.5958151820359</v>
      </c>
      <c r="E50" s="202">
        <f t="shared" si="35"/>
        <v>0</v>
      </c>
      <c r="F50" s="202">
        <f>+'Table 5C1A-Madison Prep'!F50</f>
        <v>663.16000000000008</v>
      </c>
      <c r="G50" s="202">
        <f t="shared" si="36"/>
        <v>0</v>
      </c>
      <c r="H50" s="345">
        <f t="shared" si="37"/>
        <v>0</v>
      </c>
      <c r="I50" s="991">
        <f>'[1]Oct midyear Tallulah'!K47</f>
        <v>0</v>
      </c>
      <c r="J50" s="203">
        <f>'[1]Feb midyear Tallulah'!K47</f>
        <v>0</v>
      </c>
      <c r="K50" s="204">
        <f t="shared" si="38"/>
        <v>0</v>
      </c>
      <c r="L50" s="345">
        <f t="shared" si="55"/>
        <v>0</v>
      </c>
      <c r="M50" s="286">
        <f t="shared" si="39"/>
        <v>0</v>
      </c>
      <c r="N50" s="345">
        <f t="shared" si="40"/>
        <v>0</v>
      </c>
      <c r="O50" s="201">
        <v>0</v>
      </c>
      <c r="P50" s="351">
        <f t="shared" si="41"/>
        <v>0</v>
      </c>
      <c r="Q50" s="203">
        <f>'[2]Table 5C1K-Tallulah Charter'!S50+'[14]Table 5C1K-Tallulah Charter'!S50+(6*'[20]Table 5C1K-Tallulah Charter'!S50)</f>
        <v>0</v>
      </c>
      <c r="R50" s="203">
        <f t="shared" si="42"/>
        <v>0</v>
      </c>
      <c r="S50" s="351">
        <f t="shared" si="56"/>
        <v>0</v>
      </c>
      <c r="T50" s="351">
        <f t="shared" si="43"/>
        <v>0</v>
      </c>
      <c r="U50" s="287">
        <f>'Table 5C1A-Madison Prep'!U50</f>
        <v>3587</v>
      </c>
      <c r="V50" s="328">
        <f t="shared" si="57"/>
        <v>0</v>
      </c>
      <c r="W50" s="995">
        <f>'[1]Oct midyear Tallulah'!E47</f>
        <v>0</v>
      </c>
      <c r="X50" s="290">
        <f t="shared" si="44"/>
        <v>0</v>
      </c>
      <c r="Y50" s="289">
        <f>'[1]Feb midyear Tallulah'!E47</f>
        <v>0</v>
      </c>
      <c r="Z50" s="290">
        <f t="shared" si="32"/>
        <v>0</v>
      </c>
      <c r="AA50" s="288">
        <f t="shared" si="45"/>
        <v>0</v>
      </c>
      <c r="AB50" s="324">
        <f t="shared" si="46"/>
        <v>0</v>
      </c>
      <c r="AC50" s="292">
        <f t="shared" si="47"/>
        <v>0</v>
      </c>
      <c r="AD50" s="324">
        <f t="shared" si="48"/>
        <v>0</v>
      </c>
      <c r="AE50" s="293">
        <v>0</v>
      </c>
      <c r="AF50" s="324">
        <f t="shared" si="49"/>
        <v>0</v>
      </c>
      <c r="AG50" s="293">
        <f>'[2]Table 5C1K-Tallulah Charter'!AI50+'[14]Table 5C1K-Tallulah Charter'!AI50+(6*'[20]Table 5C1K-Tallulah Charter'!AI50)</f>
        <v>0</v>
      </c>
      <c r="AH50" s="293">
        <f t="shared" si="50"/>
        <v>0</v>
      </c>
      <c r="AI50" s="324">
        <f t="shared" si="58"/>
        <v>0</v>
      </c>
      <c r="AJ50" s="321">
        <f t="shared" si="51"/>
        <v>0</v>
      </c>
      <c r="AK50" s="342">
        <f t="shared" si="52"/>
        <v>0</v>
      </c>
      <c r="AM50" s="286">
        <v>0</v>
      </c>
      <c r="AN50" s="286">
        <f t="shared" si="53"/>
        <v>0</v>
      </c>
      <c r="AO50" s="286">
        <f t="shared" si="54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2.1.14'!R47</f>
        <v>0</v>
      </c>
      <c r="D51" s="194">
        <f>+'Table 5C1A-Madison Prep'!D51</f>
        <v>2054.0472499469101</v>
      </c>
      <c r="E51" s="195">
        <f t="shared" si="35"/>
        <v>0</v>
      </c>
      <c r="F51" s="195">
        <f>+'Table 5C1A-Madison Prep'!F51</f>
        <v>753.96000000000015</v>
      </c>
      <c r="G51" s="195">
        <f t="shared" si="36"/>
        <v>0</v>
      </c>
      <c r="H51" s="346">
        <f t="shared" si="37"/>
        <v>0</v>
      </c>
      <c r="I51" s="992">
        <f>'[1]Oct midyear Tallulah'!K48</f>
        <v>0</v>
      </c>
      <c r="J51" s="196">
        <f>'[1]Feb midyear Tallulah'!K48</f>
        <v>0</v>
      </c>
      <c r="K51" s="197">
        <f t="shared" si="38"/>
        <v>0</v>
      </c>
      <c r="L51" s="346">
        <f t="shared" si="55"/>
        <v>0</v>
      </c>
      <c r="M51" s="296">
        <f t="shared" si="39"/>
        <v>0</v>
      </c>
      <c r="N51" s="346">
        <f t="shared" si="40"/>
        <v>0</v>
      </c>
      <c r="O51" s="194">
        <v>0</v>
      </c>
      <c r="P51" s="352">
        <f t="shared" si="41"/>
        <v>0</v>
      </c>
      <c r="Q51" s="196">
        <f>'[2]Table 5C1K-Tallulah Charter'!S51+'[14]Table 5C1K-Tallulah Charter'!S51+(6*'[20]Table 5C1K-Tallulah Charter'!S51)</f>
        <v>0</v>
      </c>
      <c r="R51" s="196">
        <f t="shared" si="42"/>
        <v>0</v>
      </c>
      <c r="S51" s="356">
        <f t="shared" si="56"/>
        <v>0</v>
      </c>
      <c r="T51" s="356">
        <f t="shared" si="43"/>
        <v>0</v>
      </c>
      <c r="U51" s="281">
        <f>'Table 5C1A-Madison Prep'!U51</f>
        <v>12134</v>
      </c>
      <c r="V51" s="329">
        <f t="shared" si="57"/>
        <v>0</v>
      </c>
      <c r="W51" s="996">
        <f>'[1]Oct midyear Tallulah'!E48</f>
        <v>0</v>
      </c>
      <c r="X51" s="282">
        <f t="shared" si="44"/>
        <v>0</v>
      </c>
      <c r="Y51" s="884">
        <f>'[1]Feb midyear Tallulah'!E48</f>
        <v>0</v>
      </c>
      <c r="Z51" s="282">
        <f t="shared" si="32"/>
        <v>0</v>
      </c>
      <c r="AA51" s="283">
        <f t="shared" si="45"/>
        <v>0</v>
      </c>
      <c r="AB51" s="325">
        <f t="shared" si="46"/>
        <v>0</v>
      </c>
      <c r="AC51" s="298">
        <f t="shared" si="47"/>
        <v>0</v>
      </c>
      <c r="AD51" s="325">
        <f t="shared" si="48"/>
        <v>0</v>
      </c>
      <c r="AE51" s="284">
        <v>0</v>
      </c>
      <c r="AF51" s="325">
        <f t="shared" si="49"/>
        <v>0</v>
      </c>
      <c r="AG51" s="284">
        <f>'[2]Table 5C1K-Tallulah Charter'!AI51+'[14]Table 5C1K-Tallulah Charter'!AI51+(6*'[20]Table 5C1K-Tallulah Charter'!AI51)</f>
        <v>0</v>
      </c>
      <c r="AH51" s="284">
        <f t="shared" si="50"/>
        <v>0</v>
      </c>
      <c r="AI51" s="325">
        <f t="shared" si="58"/>
        <v>0</v>
      </c>
      <c r="AJ51" s="338">
        <f t="shared" si="51"/>
        <v>0</v>
      </c>
      <c r="AK51" s="343">
        <f t="shared" si="52"/>
        <v>0</v>
      </c>
      <c r="AM51" s="296">
        <v>0</v>
      </c>
      <c r="AN51" s="296">
        <f t="shared" si="53"/>
        <v>0</v>
      </c>
      <c r="AO51" s="296">
        <f t="shared" si="54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2.1.14'!R48</f>
        <v>0</v>
      </c>
      <c r="D52" s="208">
        <f>+'Table 5C1A-Madison Prep'!D52</f>
        <v>6051.2144468088381</v>
      </c>
      <c r="E52" s="209">
        <f t="shared" si="35"/>
        <v>0</v>
      </c>
      <c r="F52" s="209">
        <f>+'Table 5C1A-Madison Prep'!F52</f>
        <v>728.06</v>
      </c>
      <c r="G52" s="209">
        <f t="shared" si="36"/>
        <v>0</v>
      </c>
      <c r="H52" s="344">
        <f t="shared" si="37"/>
        <v>0</v>
      </c>
      <c r="I52" s="990">
        <f>'[1]Oct midyear Tallulah'!K49</f>
        <v>0</v>
      </c>
      <c r="J52" s="210">
        <f>'[1]Feb midyear Tallulah'!K49</f>
        <v>0</v>
      </c>
      <c r="K52" s="211">
        <f t="shared" si="38"/>
        <v>0</v>
      </c>
      <c r="L52" s="344">
        <f t="shared" si="55"/>
        <v>0</v>
      </c>
      <c r="M52" s="273">
        <f t="shared" si="39"/>
        <v>0</v>
      </c>
      <c r="N52" s="344">
        <f t="shared" si="40"/>
        <v>0</v>
      </c>
      <c r="O52" s="208">
        <v>0</v>
      </c>
      <c r="P52" s="350">
        <f t="shared" si="41"/>
        <v>0</v>
      </c>
      <c r="Q52" s="210">
        <f>'[2]Table 5C1K-Tallulah Charter'!S52+'[14]Table 5C1K-Tallulah Charter'!S52+(6*'[20]Table 5C1K-Tallulah Charter'!S52)</f>
        <v>0</v>
      </c>
      <c r="R52" s="210">
        <f t="shared" si="42"/>
        <v>0</v>
      </c>
      <c r="S52" s="350">
        <f t="shared" si="56"/>
        <v>0</v>
      </c>
      <c r="T52" s="350">
        <f t="shared" si="43"/>
        <v>0</v>
      </c>
      <c r="U52" s="274">
        <f>'Table 5C1A-Madison Prep'!U52</f>
        <v>2554</v>
      </c>
      <c r="V52" s="327">
        <f t="shared" si="57"/>
        <v>0</v>
      </c>
      <c r="W52" s="994">
        <f>'[1]Oct midyear Tallulah'!E49</f>
        <v>0</v>
      </c>
      <c r="X52" s="276">
        <f t="shared" si="44"/>
        <v>0</v>
      </c>
      <c r="Y52" s="883">
        <f>'[1]Feb midyear Tallulah'!E49</f>
        <v>0</v>
      </c>
      <c r="Z52" s="276">
        <f t="shared" si="32"/>
        <v>0</v>
      </c>
      <c r="AA52" s="275">
        <f t="shared" si="45"/>
        <v>0</v>
      </c>
      <c r="AB52" s="323">
        <f t="shared" si="46"/>
        <v>0</v>
      </c>
      <c r="AC52" s="278">
        <f t="shared" si="47"/>
        <v>0</v>
      </c>
      <c r="AD52" s="323">
        <f t="shared" si="48"/>
        <v>0</v>
      </c>
      <c r="AE52" s="279">
        <v>0</v>
      </c>
      <c r="AF52" s="323">
        <f t="shared" si="49"/>
        <v>0</v>
      </c>
      <c r="AG52" s="279">
        <f>'[2]Table 5C1K-Tallulah Charter'!AI52+'[14]Table 5C1K-Tallulah Charter'!AI52+(6*'[20]Table 5C1K-Tallulah Charter'!AI52)</f>
        <v>0</v>
      </c>
      <c r="AH52" s="279">
        <f t="shared" si="50"/>
        <v>0</v>
      </c>
      <c r="AI52" s="323">
        <f t="shared" si="58"/>
        <v>0</v>
      </c>
      <c r="AJ52" s="337">
        <f t="shared" si="51"/>
        <v>0</v>
      </c>
      <c r="AK52" s="341">
        <f t="shared" si="52"/>
        <v>0</v>
      </c>
      <c r="AM52" s="273">
        <v>0</v>
      </c>
      <c r="AN52" s="273">
        <f t="shared" si="53"/>
        <v>0</v>
      </c>
      <c r="AO52" s="273">
        <f t="shared" si="54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2.1.14'!R49</f>
        <v>0</v>
      </c>
      <c r="D53" s="201">
        <f>+'Table 5C1A-Madison Prep'!D53</f>
        <v>2524.1485257646736</v>
      </c>
      <c r="E53" s="202">
        <f t="shared" si="35"/>
        <v>0</v>
      </c>
      <c r="F53" s="202">
        <f>+'Table 5C1A-Madison Prep'!F53</f>
        <v>910.76</v>
      </c>
      <c r="G53" s="202">
        <f t="shared" si="36"/>
        <v>0</v>
      </c>
      <c r="H53" s="345">
        <f t="shared" si="37"/>
        <v>0</v>
      </c>
      <c r="I53" s="991">
        <f>'[1]Oct midyear Tallulah'!K50</f>
        <v>0</v>
      </c>
      <c r="J53" s="203">
        <f>'[1]Feb midyear Tallulah'!K50</f>
        <v>0</v>
      </c>
      <c r="K53" s="204">
        <f t="shared" si="38"/>
        <v>0</v>
      </c>
      <c r="L53" s="345">
        <f t="shared" si="55"/>
        <v>0</v>
      </c>
      <c r="M53" s="286">
        <f t="shared" si="39"/>
        <v>0</v>
      </c>
      <c r="N53" s="345">
        <f t="shared" si="40"/>
        <v>0</v>
      </c>
      <c r="O53" s="201">
        <v>0</v>
      </c>
      <c r="P53" s="351">
        <f t="shared" si="41"/>
        <v>0</v>
      </c>
      <c r="Q53" s="203">
        <f>'[2]Table 5C1K-Tallulah Charter'!S53+'[14]Table 5C1K-Tallulah Charter'!S53+(6*'[20]Table 5C1K-Tallulah Charter'!S53)</f>
        <v>0</v>
      </c>
      <c r="R53" s="203">
        <f t="shared" si="42"/>
        <v>0</v>
      </c>
      <c r="S53" s="351">
        <f t="shared" si="56"/>
        <v>0</v>
      </c>
      <c r="T53" s="351">
        <f t="shared" si="43"/>
        <v>0</v>
      </c>
      <c r="U53" s="287">
        <f>'Table 5C1A-Madison Prep'!U53</f>
        <v>11506</v>
      </c>
      <c r="V53" s="328">
        <f t="shared" si="57"/>
        <v>0</v>
      </c>
      <c r="W53" s="995">
        <f>'[1]Oct midyear Tallulah'!E50</f>
        <v>0</v>
      </c>
      <c r="X53" s="290">
        <f t="shared" si="44"/>
        <v>0</v>
      </c>
      <c r="Y53" s="289">
        <f>'[1]Feb midyear Tallulah'!E50</f>
        <v>0</v>
      </c>
      <c r="Z53" s="290">
        <f t="shared" si="32"/>
        <v>0</v>
      </c>
      <c r="AA53" s="288">
        <f t="shared" si="45"/>
        <v>0</v>
      </c>
      <c r="AB53" s="324">
        <f t="shared" si="46"/>
        <v>0</v>
      </c>
      <c r="AC53" s="292">
        <f t="shared" si="47"/>
        <v>0</v>
      </c>
      <c r="AD53" s="324">
        <f t="shared" si="48"/>
        <v>0</v>
      </c>
      <c r="AE53" s="293">
        <v>0</v>
      </c>
      <c r="AF53" s="324">
        <f t="shared" si="49"/>
        <v>0</v>
      </c>
      <c r="AG53" s="293">
        <f>'[2]Table 5C1K-Tallulah Charter'!AI53+'[14]Table 5C1K-Tallulah Charter'!AI53+(6*'[20]Table 5C1K-Tallulah Charter'!AI53)</f>
        <v>0</v>
      </c>
      <c r="AH53" s="293">
        <f t="shared" si="50"/>
        <v>0</v>
      </c>
      <c r="AI53" s="324">
        <f t="shared" si="58"/>
        <v>0</v>
      </c>
      <c r="AJ53" s="321">
        <f t="shared" si="51"/>
        <v>0</v>
      </c>
      <c r="AK53" s="342">
        <f t="shared" si="52"/>
        <v>0</v>
      </c>
      <c r="AM53" s="286">
        <v>0</v>
      </c>
      <c r="AN53" s="286">
        <f t="shared" si="53"/>
        <v>0</v>
      </c>
      <c r="AO53" s="286">
        <f t="shared" si="54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2.1.14'!R50</f>
        <v>0</v>
      </c>
      <c r="D54" s="201">
        <f>+'Table 5C1A-Madison Prep'!D54</f>
        <v>3983.3582529800719</v>
      </c>
      <c r="E54" s="202">
        <f t="shared" si="35"/>
        <v>0</v>
      </c>
      <c r="F54" s="202">
        <f>+'Table 5C1A-Madison Prep'!F54</f>
        <v>871.07</v>
      </c>
      <c r="G54" s="202">
        <f t="shared" si="36"/>
        <v>0</v>
      </c>
      <c r="H54" s="345">
        <f t="shared" si="37"/>
        <v>0</v>
      </c>
      <c r="I54" s="991">
        <f>'[1]Oct midyear Tallulah'!K51</f>
        <v>0</v>
      </c>
      <c r="J54" s="203">
        <f>'[1]Feb midyear Tallulah'!K51</f>
        <v>0</v>
      </c>
      <c r="K54" s="204">
        <f t="shared" si="38"/>
        <v>0</v>
      </c>
      <c r="L54" s="345">
        <f t="shared" si="55"/>
        <v>0</v>
      </c>
      <c r="M54" s="286">
        <f t="shared" si="39"/>
        <v>0</v>
      </c>
      <c r="N54" s="345">
        <f t="shared" si="40"/>
        <v>0</v>
      </c>
      <c r="O54" s="201">
        <v>0</v>
      </c>
      <c r="P54" s="351">
        <f t="shared" si="41"/>
        <v>0</v>
      </c>
      <c r="Q54" s="203">
        <f>'[2]Table 5C1K-Tallulah Charter'!S54+'[14]Table 5C1K-Tallulah Charter'!S54+(6*'[20]Table 5C1K-Tallulah Charter'!S54)</f>
        <v>0</v>
      </c>
      <c r="R54" s="203">
        <f t="shared" si="42"/>
        <v>0</v>
      </c>
      <c r="S54" s="351">
        <f t="shared" si="56"/>
        <v>0</v>
      </c>
      <c r="T54" s="351">
        <f t="shared" si="43"/>
        <v>0</v>
      </c>
      <c r="U54" s="287">
        <f>'Table 5C1A-Madison Prep'!U54</f>
        <v>6827</v>
      </c>
      <c r="V54" s="328">
        <f t="shared" si="57"/>
        <v>0</v>
      </c>
      <c r="W54" s="995">
        <f>'[1]Oct midyear Tallulah'!E51</f>
        <v>0</v>
      </c>
      <c r="X54" s="290">
        <f t="shared" si="44"/>
        <v>0</v>
      </c>
      <c r="Y54" s="289">
        <f>'[1]Feb midyear Tallulah'!E51</f>
        <v>0</v>
      </c>
      <c r="Z54" s="290">
        <f t="shared" si="32"/>
        <v>0</v>
      </c>
      <c r="AA54" s="288">
        <f t="shared" si="45"/>
        <v>0</v>
      </c>
      <c r="AB54" s="324">
        <f t="shared" si="46"/>
        <v>0</v>
      </c>
      <c r="AC54" s="292">
        <f t="shared" si="47"/>
        <v>0</v>
      </c>
      <c r="AD54" s="324">
        <f t="shared" si="48"/>
        <v>0</v>
      </c>
      <c r="AE54" s="293">
        <v>0</v>
      </c>
      <c r="AF54" s="324">
        <f t="shared" si="49"/>
        <v>0</v>
      </c>
      <c r="AG54" s="293">
        <f>'[2]Table 5C1K-Tallulah Charter'!AI54+'[14]Table 5C1K-Tallulah Charter'!AI54+(6*'[20]Table 5C1K-Tallulah Charter'!AI54)</f>
        <v>0</v>
      </c>
      <c r="AH54" s="293">
        <f t="shared" si="50"/>
        <v>0</v>
      </c>
      <c r="AI54" s="324">
        <f t="shared" si="58"/>
        <v>0</v>
      </c>
      <c r="AJ54" s="321">
        <f t="shared" si="51"/>
        <v>0</v>
      </c>
      <c r="AK54" s="342">
        <f t="shared" si="52"/>
        <v>0</v>
      </c>
      <c r="AM54" s="286">
        <v>0</v>
      </c>
      <c r="AN54" s="286">
        <f t="shared" si="53"/>
        <v>0</v>
      </c>
      <c r="AO54" s="286">
        <f t="shared" si="54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2.1.14'!R51</f>
        <v>0</v>
      </c>
      <c r="D55" s="201">
        <f>+'Table 5C1A-Madison Prep'!D55</f>
        <v>4995.8755315659191</v>
      </c>
      <c r="E55" s="202">
        <f t="shared" si="35"/>
        <v>0</v>
      </c>
      <c r="F55" s="202">
        <f>+'Table 5C1A-Madison Prep'!F55</f>
        <v>574.43999999999994</v>
      </c>
      <c r="G55" s="202">
        <f t="shared" si="36"/>
        <v>0</v>
      </c>
      <c r="H55" s="345">
        <f t="shared" si="37"/>
        <v>0</v>
      </c>
      <c r="I55" s="991">
        <f>'[1]Oct midyear Tallulah'!K52</f>
        <v>0</v>
      </c>
      <c r="J55" s="203">
        <f>'[1]Feb midyear Tallulah'!K52</f>
        <v>0</v>
      </c>
      <c r="K55" s="204">
        <f t="shared" si="38"/>
        <v>0</v>
      </c>
      <c r="L55" s="345">
        <f t="shared" si="55"/>
        <v>0</v>
      </c>
      <c r="M55" s="286">
        <f t="shared" si="39"/>
        <v>0</v>
      </c>
      <c r="N55" s="345">
        <f t="shared" si="40"/>
        <v>0</v>
      </c>
      <c r="O55" s="201">
        <v>0</v>
      </c>
      <c r="P55" s="351">
        <f t="shared" si="41"/>
        <v>0</v>
      </c>
      <c r="Q55" s="203">
        <f>'[2]Table 5C1K-Tallulah Charter'!S55+'[14]Table 5C1K-Tallulah Charter'!S55+(6*'[20]Table 5C1K-Tallulah Charter'!S55)</f>
        <v>0</v>
      </c>
      <c r="R55" s="203">
        <f t="shared" si="42"/>
        <v>0</v>
      </c>
      <c r="S55" s="351">
        <f t="shared" si="56"/>
        <v>0</v>
      </c>
      <c r="T55" s="351">
        <f t="shared" si="43"/>
        <v>0</v>
      </c>
      <c r="U55" s="287">
        <f>'Table 5C1A-Madison Prep'!U55</f>
        <v>2399</v>
      </c>
      <c r="V55" s="328">
        <f t="shared" si="57"/>
        <v>0</v>
      </c>
      <c r="W55" s="995">
        <f>'[1]Oct midyear Tallulah'!E52</f>
        <v>0</v>
      </c>
      <c r="X55" s="290">
        <f t="shared" si="44"/>
        <v>0</v>
      </c>
      <c r="Y55" s="289">
        <f>'[1]Feb midyear Tallulah'!E52</f>
        <v>0</v>
      </c>
      <c r="Z55" s="290">
        <f t="shared" si="32"/>
        <v>0</v>
      </c>
      <c r="AA55" s="288">
        <f t="shared" si="45"/>
        <v>0</v>
      </c>
      <c r="AB55" s="324">
        <f t="shared" si="46"/>
        <v>0</v>
      </c>
      <c r="AC55" s="292">
        <f t="shared" si="47"/>
        <v>0</v>
      </c>
      <c r="AD55" s="324">
        <f t="shared" si="48"/>
        <v>0</v>
      </c>
      <c r="AE55" s="293">
        <v>0</v>
      </c>
      <c r="AF55" s="324">
        <f t="shared" si="49"/>
        <v>0</v>
      </c>
      <c r="AG55" s="293">
        <f>'[2]Table 5C1K-Tallulah Charter'!AI55+'[14]Table 5C1K-Tallulah Charter'!AI55+(6*'[20]Table 5C1K-Tallulah Charter'!AI55)</f>
        <v>0</v>
      </c>
      <c r="AH55" s="293">
        <f t="shared" si="50"/>
        <v>0</v>
      </c>
      <c r="AI55" s="324">
        <f t="shared" si="58"/>
        <v>0</v>
      </c>
      <c r="AJ55" s="321">
        <f t="shared" si="51"/>
        <v>0</v>
      </c>
      <c r="AK55" s="342">
        <f t="shared" si="52"/>
        <v>0</v>
      </c>
      <c r="AM55" s="286">
        <v>0</v>
      </c>
      <c r="AN55" s="286">
        <f t="shared" si="53"/>
        <v>0</v>
      </c>
      <c r="AO55" s="286">
        <f t="shared" si="54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2.1.14'!R52</f>
        <v>0</v>
      </c>
      <c r="D56" s="194">
        <f>+'Table 5C1A-Madison Prep'!D56</f>
        <v>5177.6892722701677</v>
      </c>
      <c r="E56" s="195">
        <f t="shared" si="35"/>
        <v>0</v>
      </c>
      <c r="F56" s="195">
        <f>+'Table 5C1A-Madison Prep'!F56</f>
        <v>634.46</v>
      </c>
      <c r="G56" s="195">
        <f t="shared" si="36"/>
        <v>0</v>
      </c>
      <c r="H56" s="346">
        <f t="shared" si="37"/>
        <v>0</v>
      </c>
      <c r="I56" s="992">
        <f>'[1]Oct midyear Tallulah'!K53</f>
        <v>0</v>
      </c>
      <c r="J56" s="196">
        <f>'[1]Feb midyear Tallulah'!K53</f>
        <v>0</v>
      </c>
      <c r="K56" s="197">
        <f t="shared" si="38"/>
        <v>0</v>
      </c>
      <c r="L56" s="346">
        <f t="shared" si="55"/>
        <v>0</v>
      </c>
      <c r="M56" s="296">
        <f t="shared" si="39"/>
        <v>0</v>
      </c>
      <c r="N56" s="346">
        <f t="shared" si="40"/>
        <v>0</v>
      </c>
      <c r="O56" s="194">
        <v>0</v>
      </c>
      <c r="P56" s="352">
        <f t="shared" si="41"/>
        <v>0</v>
      </c>
      <c r="Q56" s="196">
        <f>'[2]Table 5C1K-Tallulah Charter'!S56+'[14]Table 5C1K-Tallulah Charter'!S56+(6*'[20]Table 5C1K-Tallulah Charter'!S56)</f>
        <v>0</v>
      </c>
      <c r="R56" s="196">
        <f t="shared" si="42"/>
        <v>0</v>
      </c>
      <c r="S56" s="356">
        <f t="shared" si="56"/>
        <v>0</v>
      </c>
      <c r="T56" s="356">
        <f t="shared" si="43"/>
        <v>0</v>
      </c>
      <c r="U56" s="281">
        <f>'Table 5C1A-Madison Prep'!U56</f>
        <v>3413</v>
      </c>
      <c r="V56" s="329">
        <f t="shared" si="57"/>
        <v>0</v>
      </c>
      <c r="W56" s="996">
        <f>'[1]Oct midyear Tallulah'!E53</f>
        <v>0</v>
      </c>
      <c r="X56" s="282">
        <f t="shared" si="44"/>
        <v>0</v>
      </c>
      <c r="Y56" s="884">
        <f>'[1]Feb midyear Tallulah'!E53</f>
        <v>0</v>
      </c>
      <c r="Z56" s="282">
        <f t="shared" si="32"/>
        <v>0</v>
      </c>
      <c r="AA56" s="283">
        <f t="shared" si="45"/>
        <v>0</v>
      </c>
      <c r="AB56" s="325">
        <f t="shared" si="46"/>
        <v>0</v>
      </c>
      <c r="AC56" s="298">
        <f t="shared" si="47"/>
        <v>0</v>
      </c>
      <c r="AD56" s="325">
        <f t="shared" si="48"/>
        <v>0</v>
      </c>
      <c r="AE56" s="284">
        <v>0</v>
      </c>
      <c r="AF56" s="325">
        <f t="shared" si="49"/>
        <v>0</v>
      </c>
      <c r="AG56" s="284">
        <f>'[2]Table 5C1K-Tallulah Charter'!AI56+'[14]Table 5C1K-Tallulah Charter'!AI56+(6*'[20]Table 5C1K-Tallulah Charter'!AI56)</f>
        <v>0</v>
      </c>
      <c r="AH56" s="284">
        <f t="shared" si="50"/>
        <v>0</v>
      </c>
      <c r="AI56" s="325">
        <f t="shared" si="58"/>
        <v>0</v>
      </c>
      <c r="AJ56" s="338">
        <f t="shared" si="51"/>
        <v>0</v>
      </c>
      <c r="AK56" s="343">
        <f t="shared" si="52"/>
        <v>0</v>
      </c>
      <c r="AM56" s="296">
        <v>0</v>
      </c>
      <c r="AN56" s="296">
        <f t="shared" si="53"/>
        <v>0</v>
      </c>
      <c r="AO56" s="296">
        <f t="shared" si="54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2.1.14'!R53</f>
        <v>0</v>
      </c>
      <c r="D57" s="208">
        <f>+'Table 5C1A-Madison Prep'!D57</f>
        <v>4154.1928602178996</v>
      </c>
      <c r="E57" s="209">
        <f t="shared" si="35"/>
        <v>0</v>
      </c>
      <c r="F57" s="209">
        <f>+'Table 5C1A-Madison Prep'!F57</f>
        <v>706.66</v>
      </c>
      <c r="G57" s="209">
        <f t="shared" si="36"/>
        <v>0</v>
      </c>
      <c r="H57" s="344">
        <f t="shared" si="37"/>
        <v>0</v>
      </c>
      <c r="I57" s="990">
        <f>'[1]Oct midyear Tallulah'!K54</f>
        <v>0</v>
      </c>
      <c r="J57" s="210">
        <f>'[1]Feb midyear Tallulah'!K54</f>
        <v>0</v>
      </c>
      <c r="K57" s="211">
        <f t="shared" si="38"/>
        <v>0</v>
      </c>
      <c r="L57" s="344">
        <f t="shared" si="55"/>
        <v>0</v>
      </c>
      <c r="M57" s="273">
        <f t="shared" si="39"/>
        <v>0</v>
      </c>
      <c r="N57" s="344">
        <f t="shared" si="40"/>
        <v>0</v>
      </c>
      <c r="O57" s="208">
        <v>0</v>
      </c>
      <c r="P57" s="350">
        <f t="shared" si="41"/>
        <v>0</v>
      </c>
      <c r="Q57" s="210">
        <f>'[2]Table 5C1K-Tallulah Charter'!S57+'[14]Table 5C1K-Tallulah Charter'!S57+(6*'[20]Table 5C1K-Tallulah Charter'!S57)</f>
        <v>0</v>
      </c>
      <c r="R57" s="210">
        <f t="shared" si="42"/>
        <v>0</v>
      </c>
      <c r="S57" s="350">
        <f t="shared" si="56"/>
        <v>0</v>
      </c>
      <c r="T57" s="350">
        <f t="shared" si="43"/>
        <v>0</v>
      </c>
      <c r="U57" s="274">
        <f>'Table 5C1A-Madison Prep'!U57</f>
        <v>4512</v>
      </c>
      <c r="V57" s="327">
        <f t="shared" si="57"/>
        <v>0</v>
      </c>
      <c r="W57" s="994">
        <f>'[1]Oct midyear Tallulah'!E54</f>
        <v>0</v>
      </c>
      <c r="X57" s="276">
        <f t="shared" si="44"/>
        <v>0</v>
      </c>
      <c r="Y57" s="883">
        <f>'[1]Feb midyear Tallulah'!E54</f>
        <v>0</v>
      </c>
      <c r="Z57" s="276">
        <f t="shared" si="32"/>
        <v>0</v>
      </c>
      <c r="AA57" s="275">
        <f t="shared" si="45"/>
        <v>0</v>
      </c>
      <c r="AB57" s="323">
        <f t="shared" si="46"/>
        <v>0</v>
      </c>
      <c r="AC57" s="278">
        <f t="shared" si="47"/>
        <v>0</v>
      </c>
      <c r="AD57" s="323">
        <f t="shared" si="48"/>
        <v>0</v>
      </c>
      <c r="AE57" s="279">
        <v>0</v>
      </c>
      <c r="AF57" s="323">
        <f t="shared" si="49"/>
        <v>0</v>
      </c>
      <c r="AG57" s="279">
        <f>'[2]Table 5C1K-Tallulah Charter'!AI57+'[14]Table 5C1K-Tallulah Charter'!AI57+(6*'[20]Table 5C1K-Tallulah Charter'!AI57)</f>
        <v>0</v>
      </c>
      <c r="AH57" s="279">
        <f t="shared" si="50"/>
        <v>0</v>
      </c>
      <c r="AI57" s="323">
        <f t="shared" si="58"/>
        <v>0</v>
      </c>
      <c r="AJ57" s="337">
        <f t="shared" si="51"/>
        <v>0</v>
      </c>
      <c r="AK57" s="341">
        <f t="shared" si="52"/>
        <v>0</v>
      </c>
      <c r="AM57" s="273">
        <v>0</v>
      </c>
      <c r="AN57" s="273">
        <f t="shared" si="53"/>
        <v>0</v>
      </c>
      <c r="AO57" s="273">
        <f t="shared" si="54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2.1.14'!R54</f>
        <v>0</v>
      </c>
      <c r="D58" s="201">
        <f>+'Table 5C1A-Madison Prep'!D58</f>
        <v>5062.2745845228173</v>
      </c>
      <c r="E58" s="202">
        <f t="shared" si="35"/>
        <v>0</v>
      </c>
      <c r="F58" s="202">
        <f>+'Table 5C1A-Madison Prep'!F58</f>
        <v>658.37</v>
      </c>
      <c r="G58" s="202">
        <f t="shared" si="36"/>
        <v>0</v>
      </c>
      <c r="H58" s="345">
        <f t="shared" si="37"/>
        <v>0</v>
      </c>
      <c r="I58" s="991">
        <f>'[1]Oct midyear Tallulah'!K55</f>
        <v>0</v>
      </c>
      <c r="J58" s="203">
        <f>'[1]Feb midyear Tallulah'!K55</f>
        <v>0</v>
      </c>
      <c r="K58" s="204">
        <f t="shared" si="38"/>
        <v>0</v>
      </c>
      <c r="L58" s="345">
        <f t="shared" si="55"/>
        <v>0</v>
      </c>
      <c r="M58" s="286">
        <f t="shared" si="39"/>
        <v>0</v>
      </c>
      <c r="N58" s="345">
        <f t="shared" si="40"/>
        <v>0</v>
      </c>
      <c r="O58" s="201">
        <v>0</v>
      </c>
      <c r="P58" s="351">
        <f t="shared" si="41"/>
        <v>0</v>
      </c>
      <c r="Q58" s="203">
        <f>'[2]Table 5C1K-Tallulah Charter'!S58+'[14]Table 5C1K-Tallulah Charter'!S58+(6*'[20]Table 5C1K-Tallulah Charter'!S58)</f>
        <v>0</v>
      </c>
      <c r="R58" s="203">
        <f t="shared" si="42"/>
        <v>0</v>
      </c>
      <c r="S58" s="351">
        <f t="shared" si="56"/>
        <v>0</v>
      </c>
      <c r="T58" s="351">
        <f t="shared" si="43"/>
        <v>0</v>
      </c>
      <c r="U58" s="287">
        <f>'Table 5C1A-Madison Prep'!U58</f>
        <v>5289</v>
      </c>
      <c r="V58" s="328">
        <f t="shared" si="57"/>
        <v>0</v>
      </c>
      <c r="W58" s="995">
        <f>'[1]Oct midyear Tallulah'!E55</f>
        <v>0</v>
      </c>
      <c r="X58" s="290">
        <f t="shared" si="44"/>
        <v>0</v>
      </c>
      <c r="Y58" s="289">
        <f>'[1]Feb midyear Tallulah'!E55</f>
        <v>0</v>
      </c>
      <c r="Z58" s="290">
        <f t="shared" si="32"/>
        <v>0</v>
      </c>
      <c r="AA58" s="288">
        <f t="shared" si="45"/>
        <v>0</v>
      </c>
      <c r="AB58" s="324">
        <f t="shared" si="46"/>
        <v>0</v>
      </c>
      <c r="AC58" s="292">
        <f t="shared" si="47"/>
        <v>0</v>
      </c>
      <c r="AD58" s="324">
        <f t="shared" si="48"/>
        <v>0</v>
      </c>
      <c r="AE58" s="293">
        <v>0</v>
      </c>
      <c r="AF58" s="324">
        <f t="shared" si="49"/>
        <v>0</v>
      </c>
      <c r="AG58" s="293">
        <f>'[2]Table 5C1K-Tallulah Charter'!AI58+'[14]Table 5C1K-Tallulah Charter'!AI58+(6*'[20]Table 5C1K-Tallulah Charter'!AI58)</f>
        <v>0</v>
      </c>
      <c r="AH58" s="293">
        <f t="shared" si="50"/>
        <v>0</v>
      </c>
      <c r="AI58" s="324">
        <f t="shared" si="58"/>
        <v>0</v>
      </c>
      <c r="AJ58" s="321">
        <f t="shared" si="51"/>
        <v>0</v>
      </c>
      <c r="AK58" s="342">
        <f t="shared" si="52"/>
        <v>0</v>
      </c>
      <c r="AM58" s="286">
        <v>0</v>
      </c>
      <c r="AN58" s="286">
        <f t="shared" si="53"/>
        <v>0</v>
      </c>
      <c r="AO58" s="286">
        <f t="shared" si="54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2.1.14'!R55</f>
        <v>0</v>
      </c>
      <c r="D59" s="201">
        <f>+'Table 5C1A-Madison Prep'!D59</f>
        <v>5060.1508194045482</v>
      </c>
      <c r="E59" s="202">
        <f t="shared" si="35"/>
        <v>0</v>
      </c>
      <c r="F59" s="202">
        <f>+'Table 5C1A-Madison Prep'!F59</f>
        <v>689.74</v>
      </c>
      <c r="G59" s="202">
        <f t="shared" si="36"/>
        <v>0</v>
      </c>
      <c r="H59" s="345">
        <f t="shared" si="37"/>
        <v>0</v>
      </c>
      <c r="I59" s="991">
        <f>'[1]Oct midyear Tallulah'!K56</f>
        <v>0</v>
      </c>
      <c r="J59" s="203">
        <f>'[1]Feb midyear Tallulah'!K56</f>
        <v>0</v>
      </c>
      <c r="K59" s="204">
        <f t="shared" si="38"/>
        <v>0</v>
      </c>
      <c r="L59" s="345">
        <f t="shared" si="55"/>
        <v>0</v>
      </c>
      <c r="M59" s="286">
        <f t="shared" si="39"/>
        <v>0</v>
      </c>
      <c r="N59" s="345">
        <f t="shared" si="40"/>
        <v>0</v>
      </c>
      <c r="O59" s="201">
        <v>0</v>
      </c>
      <c r="P59" s="351">
        <f t="shared" si="41"/>
        <v>0</v>
      </c>
      <c r="Q59" s="203">
        <f>'[2]Table 5C1K-Tallulah Charter'!S59+'[14]Table 5C1K-Tallulah Charter'!S59+(6*'[20]Table 5C1K-Tallulah Charter'!S59)</f>
        <v>0</v>
      </c>
      <c r="R59" s="203">
        <f t="shared" si="42"/>
        <v>0</v>
      </c>
      <c r="S59" s="351">
        <f t="shared" si="56"/>
        <v>0</v>
      </c>
      <c r="T59" s="351">
        <f t="shared" si="43"/>
        <v>0</v>
      </c>
      <c r="U59" s="287">
        <f>'Table 5C1A-Madison Prep'!U59</f>
        <v>2101</v>
      </c>
      <c r="V59" s="328">
        <f t="shared" si="57"/>
        <v>0</v>
      </c>
      <c r="W59" s="995">
        <f>'[1]Oct midyear Tallulah'!E56</f>
        <v>0</v>
      </c>
      <c r="X59" s="290">
        <f t="shared" si="44"/>
        <v>0</v>
      </c>
      <c r="Y59" s="289">
        <f>'[1]Feb midyear Tallulah'!E56</f>
        <v>0</v>
      </c>
      <c r="Z59" s="290">
        <f t="shared" si="32"/>
        <v>0</v>
      </c>
      <c r="AA59" s="288">
        <f t="shared" si="45"/>
        <v>0</v>
      </c>
      <c r="AB59" s="324">
        <f t="shared" si="46"/>
        <v>0</v>
      </c>
      <c r="AC59" s="292">
        <f t="shared" si="47"/>
        <v>0</v>
      </c>
      <c r="AD59" s="324">
        <f t="shared" si="48"/>
        <v>0</v>
      </c>
      <c r="AE59" s="293">
        <v>0</v>
      </c>
      <c r="AF59" s="324">
        <f t="shared" si="49"/>
        <v>0</v>
      </c>
      <c r="AG59" s="293">
        <f>'[2]Table 5C1K-Tallulah Charter'!AI59+'[14]Table 5C1K-Tallulah Charter'!AI59+(6*'[20]Table 5C1K-Tallulah Charter'!AI59)</f>
        <v>0</v>
      </c>
      <c r="AH59" s="293">
        <f t="shared" si="50"/>
        <v>0</v>
      </c>
      <c r="AI59" s="324">
        <f t="shared" si="58"/>
        <v>0</v>
      </c>
      <c r="AJ59" s="321">
        <f t="shared" si="51"/>
        <v>0</v>
      </c>
      <c r="AK59" s="342">
        <f t="shared" si="52"/>
        <v>0</v>
      </c>
      <c r="AM59" s="286">
        <v>0</v>
      </c>
      <c r="AN59" s="286">
        <f t="shared" si="53"/>
        <v>0</v>
      </c>
      <c r="AO59" s="286">
        <f t="shared" si="54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2.1.14'!R56</f>
        <v>0</v>
      </c>
      <c r="D60" s="201">
        <f>+'Table 5C1A-Madison Prep'!D60</f>
        <v>5867.0798370516713</v>
      </c>
      <c r="E60" s="202">
        <f t="shared" si="35"/>
        <v>0</v>
      </c>
      <c r="F60" s="202">
        <f>+'Table 5C1A-Madison Prep'!F60</f>
        <v>951.45</v>
      </c>
      <c r="G60" s="202">
        <f t="shared" si="36"/>
        <v>0</v>
      </c>
      <c r="H60" s="345">
        <f t="shared" si="37"/>
        <v>0</v>
      </c>
      <c r="I60" s="991">
        <f>'[1]Oct midyear Tallulah'!K57</f>
        <v>0</v>
      </c>
      <c r="J60" s="203">
        <f>'[1]Feb midyear Tallulah'!K57</f>
        <v>3409.2649185258356</v>
      </c>
      <c r="K60" s="204">
        <f t="shared" si="38"/>
        <v>3409.2649185258356</v>
      </c>
      <c r="L60" s="345">
        <f t="shared" si="55"/>
        <v>3409.2649185258356</v>
      </c>
      <c r="M60" s="286">
        <f t="shared" si="39"/>
        <v>-8.5231622963145899</v>
      </c>
      <c r="N60" s="345">
        <f t="shared" si="40"/>
        <v>3400.7417562295209</v>
      </c>
      <c r="O60" s="201">
        <v>0</v>
      </c>
      <c r="P60" s="351">
        <f t="shared" si="41"/>
        <v>3400.7417562295209</v>
      </c>
      <c r="Q60" s="203">
        <f>'[2]Table 5C1K-Tallulah Charter'!S60+'[14]Table 5C1K-Tallulah Charter'!S60+(6*'[20]Table 5C1K-Tallulah Charter'!S60)</f>
        <v>0</v>
      </c>
      <c r="R60" s="203">
        <f t="shared" si="42"/>
        <v>3400.7417562295209</v>
      </c>
      <c r="S60" s="351">
        <f t="shared" si="56"/>
        <v>850</v>
      </c>
      <c r="T60" s="351">
        <f t="shared" si="43"/>
        <v>3400.7417562295209</v>
      </c>
      <c r="U60" s="287">
        <f>'Table 5C1A-Madison Prep'!U60</f>
        <v>4150</v>
      </c>
      <c r="V60" s="328">
        <f t="shared" si="57"/>
        <v>0</v>
      </c>
      <c r="W60" s="995">
        <f>'[1]Oct midyear Tallulah'!E57</f>
        <v>0</v>
      </c>
      <c r="X60" s="290">
        <f t="shared" si="44"/>
        <v>0</v>
      </c>
      <c r="Y60" s="289">
        <f>'[1]Feb midyear Tallulah'!E57</f>
        <v>1</v>
      </c>
      <c r="Z60" s="290">
        <f t="shared" si="32"/>
        <v>2075</v>
      </c>
      <c r="AA60" s="288">
        <f t="shared" si="45"/>
        <v>2075</v>
      </c>
      <c r="AB60" s="324">
        <f t="shared" si="46"/>
        <v>2075</v>
      </c>
      <c r="AC60" s="292">
        <f t="shared" si="47"/>
        <v>-5.1875</v>
      </c>
      <c r="AD60" s="324">
        <f t="shared" si="48"/>
        <v>2069.8125</v>
      </c>
      <c r="AE60" s="293">
        <v>0</v>
      </c>
      <c r="AF60" s="324">
        <f t="shared" si="49"/>
        <v>2069.8125</v>
      </c>
      <c r="AG60" s="293">
        <f>'[2]Table 5C1K-Tallulah Charter'!AI60+'[14]Table 5C1K-Tallulah Charter'!AI60+(6*'[20]Table 5C1K-Tallulah Charter'!AI60)</f>
        <v>0</v>
      </c>
      <c r="AH60" s="293">
        <f t="shared" si="50"/>
        <v>2069.8125</v>
      </c>
      <c r="AI60" s="324">
        <f t="shared" si="58"/>
        <v>517</v>
      </c>
      <c r="AJ60" s="321">
        <f t="shared" si="51"/>
        <v>5470.5542562295213</v>
      </c>
      <c r="AK60" s="342">
        <f t="shared" si="52"/>
        <v>1367</v>
      </c>
      <c r="AM60" s="286">
        <v>0</v>
      </c>
      <c r="AN60" s="286">
        <f t="shared" si="53"/>
        <v>-5.1875</v>
      </c>
      <c r="AO60" s="286">
        <f t="shared" si="54"/>
        <v>-5.1875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2.1.14'!R57</f>
        <v>0</v>
      </c>
      <c r="D61" s="194">
        <f>+'Table 5C1A-Madison Prep'!D61</f>
        <v>4266.8225491298481</v>
      </c>
      <c r="E61" s="195">
        <f t="shared" si="35"/>
        <v>0</v>
      </c>
      <c r="F61" s="195">
        <f>+'Table 5C1A-Madison Prep'!F61</f>
        <v>795.14</v>
      </c>
      <c r="G61" s="195">
        <f t="shared" si="36"/>
        <v>0</v>
      </c>
      <c r="H61" s="346">
        <f t="shared" si="37"/>
        <v>0</v>
      </c>
      <c r="I61" s="992">
        <f>'[1]Oct midyear Tallulah'!K58</f>
        <v>0</v>
      </c>
      <c r="J61" s="196">
        <f>'[1]Feb midyear Tallulah'!K58</f>
        <v>0</v>
      </c>
      <c r="K61" s="197">
        <f t="shared" si="38"/>
        <v>0</v>
      </c>
      <c r="L61" s="346">
        <f t="shared" si="55"/>
        <v>0</v>
      </c>
      <c r="M61" s="296">
        <f t="shared" si="39"/>
        <v>0</v>
      </c>
      <c r="N61" s="346">
        <f t="shared" si="40"/>
        <v>0</v>
      </c>
      <c r="O61" s="194">
        <v>0</v>
      </c>
      <c r="P61" s="352">
        <f t="shared" si="41"/>
        <v>0</v>
      </c>
      <c r="Q61" s="196">
        <f>'[2]Table 5C1K-Tallulah Charter'!S61+'[14]Table 5C1K-Tallulah Charter'!S61+(6*'[20]Table 5C1K-Tallulah Charter'!S61)</f>
        <v>0</v>
      </c>
      <c r="R61" s="196">
        <f t="shared" si="42"/>
        <v>0</v>
      </c>
      <c r="S61" s="356">
        <f t="shared" si="56"/>
        <v>0</v>
      </c>
      <c r="T61" s="356">
        <f t="shared" si="43"/>
        <v>0</v>
      </c>
      <c r="U61" s="281">
        <f>'Table 5C1A-Madison Prep'!U61</f>
        <v>3637</v>
      </c>
      <c r="V61" s="329">
        <f t="shared" si="57"/>
        <v>0</v>
      </c>
      <c r="W61" s="996">
        <f>'[1]Oct midyear Tallulah'!E58</f>
        <v>0</v>
      </c>
      <c r="X61" s="282">
        <f t="shared" si="44"/>
        <v>0</v>
      </c>
      <c r="Y61" s="884">
        <f>'[1]Feb midyear Tallulah'!E58</f>
        <v>0</v>
      </c>
      <c r="Z61" s="282">
        <f t="shared" si="32"/>
        <v>0</v>
      </c>
      <c r="AA61" s="283">
        <f t="shared" si="45"/>
        <v>0</v>
      </c>
      <c r="AB61" s="325">
        <f t="shared" si="46"/>
        <v>0</v>
      </c>
      <c r="AC61" s="298">
        <f t="shared" si="47"/>
        <v>0</v>
      </c>
      <c r="AD61" s="325">
        <f t="shared" si="48"/>
        <v>0</v>
      </c>
      <c r="AE61" s="284">
        <v>0</v>
      </c>
      <c r="AF61" s="325">
        <f t="shared" si="49"/>
        <v>0</v>
      </c>
      <c r="AG61" s="284">
        <f>'[2]Table 5C1K-Tallulah Charter'!AI61+'[14]Table 5C1K-Tallulah Charter'!AI61+(6*'[20]Table 5C1K-Tallulah Charter'!AI61)</f>
        <v>0</v>
      </c>
      <c r="AH61" s="284">
        <f t="shared" si="50"/>
        <v>0</v>
      </c>
      <c r="AI61" s="325">
        <f t="shared" si="58"/>
        <v>0</v>
      </c>
      <c r="AJ61" s="338">
        <f t="shared" si="51"/>
        <v>0</v>
      </c>
      <c r="AK61" s="343">
        <f t="shared" si="52"/>
        <v>0</v>
      </c>
      <c r="AM61" s="296">
        <v>0</v>
      </c>
      <c r="AN61" s="296">
        <f t="shared" si="53"/>
        <v>0</v>
      </c>
      <c r="AO61" s="296">
        <f t="shared" si="54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2.1.14'!R58</f>
        <v>0</v>
      </c>
      <c r="D62" s="208">
        <f>+'Table 5C1A-Madison Prep'!D62</f>
        <v>5028.4909408288286</v>
      </c>
      <c r="E62" s="209">
        <f t="shared" si="35"/>
        <v>0</v>
      </c>
      <c r="F62" s="209">
        <f>+'Table 5C1A-Madison Prep'!F62</f>
        <v>614.66000000000008</v>
      </c>
      <c r="G62" s="209">
        <f t="shared" si="36"/>
        <v>0</v>
      </c>
      <c r="H62" s="344">
        <f t="shared" si="37"/>
        <v>0</v>
      </c>
      <c r="I62" s="990">
        <f>'[1]Oct midyear Tallulah'!K59</f>
        <v>0</v>
      </c>
      <c r="J62" s="210">
        <f>'[1]Feb midyear Tallulah'!K59</f>
        <v>0</v>
      </c>
      <c r="K62" s="211">
        <f t="shared" si="38"/>
        <v>0</v>
      </c>
      <c r="L62" s="344">
        <f t="shared" si="55"/>
        <v>0</v>
      </c>
      <c r="M62" s="273">
        <f t="shared" si="39"/>
        <v>0</v>
      </c>
      <c r="N62" s="344">
        <f t="shared" si="40"/>
        <v>0</v>
      </c>
      <c r="O62" s="208">
        <v>0</v>
      </c>
      <c r="P62" s="350">
        <f t="shared" si="41"/>
        <v>0</v>
      </c>
      <c r="Q62" s="210">
        <f>'[2]Table 5C1K-Tallulah Charter'!S62+'[14]Table 5C1K-Tallulah Charter'!S62+(6*'[20]Table 5C1K-Tallulah Charter'!S62)</f>
        <v>0</v>
      </c>
      <c r="R62" s="210">
        <f t="shared" si="42"/>
        <v>0</v>
      </c>
      <c r="S62" s="350">
        <f t="shared" si="56"/>
        <v>0</v>
      </c>
      <c r="T62" s="350">
        <f t="shared" si="43"/>
        <v>0</v>
      </c>
      <c r="U62" s="274">
        <f>'Table 5C1A-Madison Prep'!U62</f>
        <v>2857</v>
      </c>
      <c r="V62" s="327">
        <f t="shared" si="57"/>
        <v>0</v>
      </c>
      <c r="W62" s="994">
        <f>'[1]Oct midyear Tallulah'!E59</f>
        <v>0</v>
      </c>
      <c r="X62" s="276">
        <f t="shared" si="44"/>
        <v>0</v>
      </c>
      <c r="Y62" s="883">
        <f>'[1]Feb midyear Tallulah'!E59</f>
        <v>0</v>
      </c>
      <c r="Z62" s="276">
        <f t="shared" si="32"/>
        <v>0</v>
      </c>
      <c r="AA62" s="275">
        <f t="shared" si="45"/>
        <v>0</v>
      </c>
      <c r="AB62" s="323">
        <f t="shared" si="46"/>
        <v>0</v>
      </c>
      <c r="AC62" s="278">
        <f t="shared" si="47"/>
        <v>0</v>
      </c>
      <c r="AD62" s="323">
        <f t="shared" si="48"/>
        <v>0</v>
      </c>
      <c r="AE62" s="279">
        <v>0</v>
      </c>
      <c r="AF62" s="323">
        <f t="shared" si="49"/>
        <v>0</v>
      </c>
      <c r="AG62" s="279">
        <f>'[2]Table 5C1K-Tallulah Charter'!AI62+'[14]Table 5C1K-Tallulah Charter'!AI62+(6*'[20]Table 5C1K-Tallulah Charter'!AI62)</f>
        <v>0</v>
      </c>
      <c r="AH62" s="279">
        <f t="shared" si="50"/>
        <v>0</v>
      </c>
      <c r="AI62" s="323">
        <f t="shared" si="58"/>
        <v>0</v>
      </c>
      <c r="AJ62" s="337">
        <f t="shared" si="51"/>
        <v>0</v>
      </c>
      <c r="AK62" s="341">
        <f t="shared" si="52"/>
        <v>0</v>
      </c>
      <c r="AM62" s="273">
        <v>0</v>
      </c>
      <c r="AN62" s="273">
        <f t="shared" si="53"/>
        <v>0</v>
      </c>
      <c r="AO62" s="273">
        <f t="shared" si="54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2.1.14'!R59</f>
        <v>0</v>
      </c>
      <c r="D63" s="201">
        <f>+'Table 5C1A-Madison Prep'!D63</f>
        <v>4625.9922979230687</v>
      </c>
      <c r="E63" s="202">
        <f t="shared" si="35"/>
        <v>0</v>
      </c>
      <c r="F63" s="202">
        <f>+'Table 5C1A-Madison Prep'!F63</f>
        <v>764.51</v>
      </c>
      <c r="G63" s="202">
        <f t="shared" si="36"/>
        <v>0</v>
      </c>
      <c r="H63" s="345">
        <f t="shared" si="37"/>
        <v>0</v>
      </c>
      <c r="I63" s="991">
        <f>'[1]Oct midyear Tallulah'!K60</f>
        <v>0</v>
      </c>
      <c r="J63" s="203">
        <f>'[1]Feb midyear Tallulah'!K60</f>
        <v>0</v>
      </c>
      <c r="K63" s="204">
        <f t="shared" si="38"/>
        <v>0</v>
      </c>
      <c r="L63" s="345">
        <f t="shared" si="55"/>
        <v>0</v>
      </c>
      <c r="M63" s="286">
        <f t="shared" si="39"/>
        <v>0</v>
      </c>
      <c r="N63" s="345">
        <f t="shared" si="40"/>
        <v>0</v>
      </c>
      <c r="O63" s="201">
        <v>0</v>
      </c>
      <c r="P63" s="351">
        <f t="shared" si="41"/>
        <v>0</v>
      </c>
      <c r="Q63" s="203">
        <f>'[2]Table 5C1K-Tallulah Charter'!S63+'[14]Table 5C1K-Tallulah Charter'!S63+(6*'[20]Table 5C1K-Tallulah Charter'!S63)</f>
        <v>0</v>
      </c>
      <c r="R63" s="203">
        <f t="shared" si="42"/>
        <v>0</v>
      </c>
      <c r="S63" s="351">
        <f t="shared" si="56"/>
        <v>0</v>
      </c>
      <c r="T63" s="351">
        <f t="shared" si="43"/>
        <v>0</v>
      </c>
      <c r="U63" s="287">
        <f>'Table 5C1A-Madison Prep'!U63</f>
        <v>3465</v>
      </c>
      <c r="V63" s="328">
        <f t="shared" si="57"/>
        <v>0</v>
      </c>
      <c r="W63" s="995">
        <f>'[1]Oct midyear Tallulah'!E60</f>
        <v>0</v>
      </c>
      <c r="X63" s="290">
        <f t="shared" si="44"/>
        <v>0</v>
      </c>
      <c r="Y63" s="289">
        <f>'[1]Feb midyear Tallulah'!E60</f>
        <v>0</v>
      </c>
      <c r="Z63" s="290">
        <f t="shared" si="32"/>
        <v>0</v>
      </c>
      <c r="AA63" s="288">
        <f t="shared" si="45"/>
        <v>0</v>
      </c>
      <c r="AB63" s="324">
        <f t="shared" si="46"/>
        <v>0</v>
      </c>
      <c r="AC63" s="292">
        <f t="shared" si="47"/>
        <v>0</v>
      </c>
      <c r="AD63" s="324">
        <f t="shared" si="48"/>
        <v>0</v>
      </c>
      <c r="AE63" s="293">
        <v>0</v>
      </c>
      <c r="AF63" s="324">
        <f t="shared" si="49"/>
        <v>0</v>
      </c>
      <c r="AG63" s="293">
        <f>'[2]Table 5C1K-Tallulah Charter'!AI63+'[14]Table 5C1K-Tallulah Charter'!AI63+(6*'[20]Table 5C1K-Tallulah Charter'!AI63)</f>
        <v>0</v>
      </c>
      <c r="AH63" s="293">
        <f t="shared" si="50"/>
        <v>0</v>
      </c>
      <c r="AI63" s="324">
        <f t="shared" si="58"/>
        <v>0</v>
      </c>
      <c r="AJ63" s="321">
        <f t="shared" si="51"/>
        <v>0</v>
      </c>
      <c r="AK63" s="342">
        <f t="shared" si="52"/>
        <v>0</v>
      </c>
      <c r="AM63" s="286">
        <v>0</v>
      </c>
      <c r="AN63" s="286">
        <f t="shared" si="53"/>
        <v>0</v>
      </c>
      <c r="AO63" s="286">
        <f t="shared" si="54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2.1.14'!R60</f>
        <v>0</v>
      </c>
      <c r="D64" s="201">
        <f>+'Table 5C1A-Madison Prep'!D64</f>
        <v>5673.1129637882123</v>
      </c>
      <c r="E64" s="202">
        <f t="shared" si="35"/>
        <v>0</v>
      </c>
      <c r="F64" s="202">
        <f>+'Table 5C1A-Madison Prep'!F64</f>
        <v>697.04</v>
      </c>
      <c r="G64" s="202">
        <f t="shared" si="36"/>
        <v>0</v>
      </c>
      <c r="H64" s="345">
        <f t="shared" si="37"/>
        <v>0</v>
      </c>
      <c r="I64" s="991">
        <f>'[1]Oct midyear Tallulah'!K61</f>
        <v>0</v>
      </c>
      <c r="J64" s="203">
        <f>'[1]Feb midyear Tallulah'!K61</f>
        <v>0</v>
      </c>
      <c r="K64" s="204">
        <f t="shared" si="38"/>
        <v>0</v>
      </c>
      <c r="L64" s="345">
        <f t="shared" si="55"/>
        <v>0</v>
      </c>
      <c r="M64" s="286">
        <f t="shared" si="39"/>
        <v>0</v>
      </c>
      <c r="N64" s="345">
        <f t="shared" si="40"/>
        <v>0</v>
      </c>
      <c r="O64" s="201">
        <v>0</v>
      </c>
      <c r="P64" s="351">
        <f t="shared" si="41"/>
        <v>0</v>
      </c>
      <c r="Q64" s="203">
        <f>'[2]Table 5C1K-Tallulah Charter'!S64+'[14]Table 5C1K-Tallulah Charter'!S64+(6*'[20]Table 5C1K-Tallulah Charter'!S64)</f>
        <v>0</v>
      </c>
      <c r="R64" s="203">
        <f t="shared" si="42"/>
        <v>0</v>
      </c>
      <c r="S64" s="351">
        <f t="shared" si="56"/>
        <v>0</v>
      </c>
      <c r="T64" s="351">
        <f t="shared" si="43"/>
        <v>0</v>
      </c>
      <c r="U64" s="287">
        <f>'Table 5C1A-Madison Prep'!U64</f>
        <v>2167</v>
      </c>
      <c r="V64" s="328">
        <f t="shared" si="57"/>
        <v>0</v>
      </c>
      <c r="W64" s="995">
        <f>'[1]Oct midyear Tallulah'!E61</f>
        <v>0</v>
      </c>
      <c r="X64" s="290">
        <f t="shared" si="44"/>
        <v>0</v>
      </c>
      <c r="Y64" s="289">
        <f>'[1]Feb midyear Tallulah'!E61</f>
        <v>0</v>
      </c>
      <c r="Z64" s="290">
        <f t="shared" si="32"/>
        <v>0</v>
      </c>
      <c r="AA64" s="288">
        <f t="shared" si="45"/>
        <v>0</v>
      </c>
      <c r="AB64" s="324">
        <f t="shared" si="46"/>
        <v>0</v>
      </c>
      <c r="AC64" s="292">
        <f t="shared" si="47"/>
        <v>0</v>
      </c>
      <c r="AD64" s="324">
        <f t="shared" si="48"/>
        <v>0</v>
      </c>
      <c r="AE64" s="293">
        <v>0</v>
      </c>
      <c r="AF64" s="324">
        <f t="shared" si="49"/>
        <v>0</v>
      </c>
      <c r="AG64" s="293">
        <f>'[2]Table 5C1K-Tallulah Charter'!AI64+'[14]Table 5C1K-Tallulah Charter'!AI64+(6*'[20]Table 5C1K-Tallulah Charter'!AI64)</f>
        <v>0</v>
      </c>
      <c r="AH64" s="293">
        <f t="shared" si="50"/>
        <v>0</v>
      </c>
      <c r="AI64" s="324">
        <f t="shared" si="58"/>
        <v>0</v>
      </c>
      <c r="AJ64" s="321">
        <f t="shared" si="51"/>
        <v>0</v>
      </c>
      <c r="AK64" s="342">
        <f t="shared" si="52"/>
        <v>0</v>
      </c>
      <c r="AM64" s="286">
        <v>0</v>
      </c>
      <c r="AN64" s="286">
        <f t="shared" si="53"/>
        <v>0</v>
      </c>
      <c r="AO64" s="286">
        <f t="shared" si="54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2.1.14'!R61</f>
        <v>0</v>
      </c>
      <c r="D65" s="201">
        <f>+'Table 5C1A-Madison Prep'!D65</f>
        <v>6621.946293521848</v>
      </c>
      <c r="E65" s="202">
        <f t="shared" si="35"/>
        <v>0</v>
      </c>
      <c r="F65" s="202">
        <f>+'Table 5C1A-Madison Prep'!F65</f>
        <v>689.52</v>
      </c>
      <c r="G65" s="202">
        <f t="shared" si="36"/>
        <v>0</v>
      </c>
      <c r="H65" s="345">
        <f t="shared" si="37"/>
        <v>0</v>
      </c>
      <c r="I65" s="991">
        <f>'[1]Oct midyear Tallulah'!K62</f>
        <v>0</v>
      </c>
      <c r="J65" s="203">
        <f>'[1]Feb midyear Tallulah'!K62</f>
        <v>0</v>
      </c>
      <c r="K65" s="204">
        <f t="shared" si="38"/>
        <v>0</v>
      </c>
      <c r="L65" s="345">
        <f t="shared" si="55"/>
        <v>0</v>
      </c>
      <c r="M65" s="286">
        <f t="shared" si="39"/>
        <v>0</v>
      </c>
      <c r="N65" s="345">
        <f t="shared" si="40"/>
        <v>0</v>
      </c>
      <c r="O65" s="201">
        <v>0</v>
      </c>
      <c r="P65" s="351">
        <f t="shared" si="41"/>
        <v>0</v>
      </c>
      <c r="Q65" s="203">
        <f>'[2]Table 5C1K-Tallulah Charter'!S65+'[14]Table 5C1K-Tallulah Charter'!S65+(6*'[20]Table 5C1K-Tallulah Charter'!S65)</f>
        <v>0</v>
      </c>
      <c r="R65" s="203">
        <f t="shared" si="42"/>
        <v>0</v>
      </c>
      <c r="S65" s="351">
        <f t="shared" si="56"/>
        <v>0</v>
      </c>
      <c r="T65" s="351">
        <f t="shared" si="43"/>
        <v>0</v>
      </c>
      <c r="U65" s="287">
        <f>'Table 5C1A-Madison Prep'!U65</f>
        <v>1521</v>
      </c>
      <c r="V65" s="328">
        <f t="shared" si="57"/>
        <v>0</v>
      </c>
      <c r="W65" s="995">
        <f>'[1]Oct midyear Tallulah'!E62</f>
        <v>0</v>
      </c>
      <c r="X65" s="290">
        <f t="shared" si="44"/>
        <v>0</v>
      </c>
      <c r="Y65" s="289">
        <f>'[1]Feb midyear Tallulah'!E62</f>
        <v>0</v>
      </c>
      <c r="Z65" s="290">
        <f t="shared" si="32"/>
        <v>0</v>
      </c>
      <c r="AA65" s="288">
        <f t="shared" si="45"/>
        <v>0</v>
      </c>
      <c r="AB65" s="324">
        <f t="shared" si="46"/>
        <v>0</v>
      </c>
      <c r="AC65" s="292">
        <f t="shared" si="47"/>
        <v>0</v>
      </c>
      <c r="AD65" s="324">
        <f t="shared" si="48"/>
        <v>0</v>
      </c>
      <c r="AE65" s="293">
        <v>0</v>
      </c>
      <c r="AF65" s="324">
        <f t="shared" si="49"/>
        <v>0</v>
      </c>
      <c r="AG65" s="293">
        <f>'[2]Table 5C1K-Tallulah Charter'!AI65+'[14]Table 5C1K-Tallulah Charter'!AI65+(6*'[20]Table 5C1K-Tallulah Charter'!AI65)</f>
        <v>0</v>
      </c>
      <c r="AH65" s="293">
        <f t="shared" si="50"/>
        <v>0</v>
      </c>
      <c r="AI65" s="324">
        <f t="shared" si="58"/>
        <v>0</v>
      </c>
      <c r="AJ65" s="321">
        <f t="shared" si="51"/>
        <v>0</v>
      </c>
      <c r="AK65" s="342">
        <f t="shared" si="52"/>
        <v>0</v>
      </c>
      <c r="AM65" s="286">
        <v>0</v>
      </c>
      <c r="AN65" s="286">
        <f t="shared" si="53"/>
        <v>0</v>
      </c>
      <c r="AO65" s="286">
        <f t="shared" si="54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2.1.14'!R62</f>
        <v>0</v>
      </c>
      <c r="D66" s="194">
        <f>+'Table 5C1A-Madison Prep'!D66</f>
        <v>5301.224090063828</v>
      </c>
      <c r="E66" s="195">
        <f t="shared" si="35"/>
        <v>0</v>
      </c>
      <c r="F66" s="195">
        <f>+'Table 5C1A-Madison Prep'!F66</f>
        <v>594.04</v>
      </c>
      <c r="G66" s="195">
        <f t="shared" si="36"/>
        <v>0</v>
      </c>
      <c r="H66" s="346">
        <f t="shared" si="37"/>
        <v>0</v>
      </c>
      <c r="I66" s="992">
        <f>'[1]Oct midyear Tallulah'!K63</f>
        <v>0</v>
      </c>
      <c r="J66" s="196">
        <f>'[1]Feb midyear Tallulah'!K63</f>
        <v>0</v>
      </c>
      <c r="K66" s="197">
        <f t="shared" si="38"/>
        <v>0</v>
      </c>
      <c r="L66" s="346">
        <f t="shared" si="55"/>
        <v>0</v>
      </c>
      <c r="M66" s="296">
        <f t="shared" si="39"/>
        <v>0</v>
      </c>
      <c r="N66" s="346">
        <f t="shared" si="40"/>
        <v>0</v>
      </c>
      <c r="O66" s="194">
        <v>0</v>
      </c>
      <c r="P66" s="352">
        <f t="shared" si="41"/>
        <v>0</v>
      </c>
      <c r="Q66" s="196">
        <f>'[2]Table 5C1K-Tallulah Charter'!S66+'[14]Table 5C1K-Tallulah Charter'!S66+(6*'[20]Table 5C1K-Tallulah Charter'!S66)</f>
        <v>0</v>
      </c>
      <c r="R66" s="196">
        <f t="shared" si="42"/>
        <v>0</v>
      </c>
      <c r="S66" s="356">
        <f t="shared" si="56"/>
        <v>0</v>
      </c>
      <c r="T66" s="356">
        <f t="shared" si="43"/>
        <v>0</v>
      </c>
      <c r="U66" s="281">
        <f>'Table 5C1A-Madison Prep'!U66</f>
        <v>4024</v>
      </c>
      <c r="V66" s="329">
        <f t="shared" si="57"/>
        <v>0</v>
      </c>
      <c r="W66" s="996">
        <f>'[1]Oct midyear Tallulah'!E63</f>
        <v>0</v>
      </c>
      <c r="X66" s="282">
        <f t="shared" si="44"/>
        <v>0</v>
      </c>
      <c r="Y66" s="884">
        <f>'[1]Feb midyear Tallulah'!E63</f>
        <v>0</v>
      </c>
      <c r="Z66" s="282">
        <f t="shared" si="32"/>
        <v>0</v>
      </c>
      <c r="AA66" s="283">
        <f t="shared" si="45"/>
        <v>0</v>
      </c>
      <c r="AB66" s="325">
        <f t="shared" si="46"/>
        <v>0</v>
      </c>
      <c r="AC66" s="298">
        <f t="shared" si="47"/>
        <v>0</v>
      </c>
      <c r="AD66" s="325">
        <f t="shared" si="48"/>
        <v>0</v>
      </c>
      <c r="AE66" s="284">
        <v>0</v>
      </c>
      <c r="AF66" s="325">
        <f t="shared" si="49"/>
        <v>0</v>
      </c>
      <c r="AG66" s="284">
        <f>'[2]Table 5C1K-Tallulah Charter'!AI66+'[14]Table 5C1K-Tallulah Charter'!AI66+(6*'[20]Table 5C1K-Tallulah Charter'!AI66)</f>
        <v>0</v>
      </c>
      <c r="AH66" s="284">
        <f t="shared" si="50"/>
        <v>0</v>
      </c>
      <c r="AI66" s="325">
        <f t="shared" si="58"/>
        <v>0</v>
      </c>
      <c r="AJ66" s="338">
        <f t="shared" si="51"/>
        <v>0</v>
      </c>
      <c r="AK66" s="343">
        <f t="shared" si="52"/>
        <v>0</v>
      </c>
      <c r="AM66" s="296">
        <v>0</v>
      </c>
      <c r="AN66" s="296">
        <f t="shared" si="53"/>
        <v>0</v>
      </c>
      <c r="AO66" s="296">
        <f t="shared" si="54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2.1.14'!R63</f>
        <v>0</v>
      </c>
      <c r="D67" s="208">
        <f>+'Table 5C1A-Madison Prep'!D67</f>
        <v>2854.1575356369185</v>
      </c>
      <c r="E67" s="209">
        <f t="shared" si="35"/>
        <v>0</v>
      </c>
      <c r="F67" s="209">
        <f>+'Table 5C1A-Madison Prep'!F67</f>
        <v>833.70999999999992</v>
      </c>
      <c r="G67" s="209">
        <f t="shared" si="36"/>
        <v>0</v>
      </c>
      <c r="H67" s="344">
        <f t="shared" si="37"/>
        <v>0</v>
      </c>
      <c r="I67" s="990">
        <f>'[1]Oct midyear Tallulah'!K64</f>
        <v>0</v>
      </c>
      <c r="J67" s="210">
        <f>'[1]Feb midyear Tallulah'!K64</f>
        <v>0</v>
      </c>
      <c r="K67" s="211">
        <f t="shared" si="38"/>
        <v>0</v>
      </c>
      <c r="L67" s="344">
        <f t="shared" si="55"/>
        <v>0</v>
      </c>
      <c r="M67" s="273">
        <f t="shared" si="39"/>
        <v>0</v>
      </c>
      <c r="N67" s="344">
        <f t="shared" si="40"/>
        <v>0</v>
      </c>
      <c r="O67" s="208">
        <v>0</v>
      </c>
      <c r="P67" s="350">
        <f t="shared" si="41"/>
        <v>0</v>
      </c>
      <c r="Q67" s="210">
        <f>'[2]Table 5C1K-Tallulah Charter'!S67+'[14]Table 5C1K-Tallulah Charter'!S67+(6*'[20]Table 5C1K-Tallulah Charter'!S67)</f>
        <v>0</v>
      </c>
      <c r="R67" s="210">
        <f t="shared" si="42"/>
        <v>0</v>
      </c>
      <c r="S67" s="350">
        <f t="shared" si="56"/>
        <v>0</v>
      </c>
      <c r="T67" s="350">
        <f t="shared" si="43"/>
        <v>0</v>
      </c>
      <c r="U67" s="274">
        <f>'Table 5C1A-Madison Prep'!U67</f>
        <v>6739</v>
      </c>
      <c r="V67" s="327">
        <f t="shared" si="57"/>
        <v>0</v>
      </c>
      <c r="W67" s="994">
        <f>'[1]Oct midyear Tallulah'!E64</f>
        <v>0</v>
      </c>
      <c r="X67" s="276">
        <f t="shared" si="44"/>
        <v>0</v>
      </c>
      <c r="Y67" s="883">
        <f>'[1]Feb midyear Tallulah'!E64</f>
        <v>0</v>
      </c>
      <c r="Z67" s="276">
        <f t="shared" si="32"/>
        <v>0</v>
      </c>
      <c r="AA67" s="275">
        <f t="shared" si="45"/>
        <v>0</v>
      </c>
      <c r="AB67" s="323">
        <f t="shared" si="46"/>
        <v>0</v>
      </c>
      <c r="AC67" s="278">
        <f t="shared" si="47"/>
        <v>0</v>
      </c>
      <c r="AD67" s="323">
        <f t="shared" si="48"/>
        <v>0</v>
      </c>
      <c r="AE67" s="279">
        <v>0</v>
      </c>
      <c r="AF67" s="323">
        <f t="shared" si="49"/>
        <v>0</v>
      </c>
      <c r="AG67" s="279">
        <f>'[2]Table 5C1K-Tallulah Charter'!AI67+'[14]Table 5C1K-Tallulah Charter'!AI67+(6*'[20]Table 5C1K-Tallulah Charter'!AI67)</f>
        <v>0</v>
      </c>
      <c r="AH67" s="279">
        <f t="shared" si="50"/>
        <v>0</v>
      </c>
      <c r="AI67" s="323">
        <f t="shared" si="58"/>
        <v>0</v>
      </c>
      <c r="AJ67" s="337">
        <f t="shared" si="51"/>
        <v>0</v>
      </c>
      <c r="AK67" s="341">
        <f t="shared" si="52"/>
        <v>0</v>
      </c>
      <c r="AM67" s="273">
        <v>0</v>
      </c>
      <c r="AN67" s="273">
        <f t="shared" si="53"/>
        <v>0</v>
      </c>
      <c r="AO67" s="273">
        <f t="shared" si="54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2.1.14'!R64</f>
        <v>0</v>
      </c>
      <c r="D68" s="201">
        <f>+'Table 5C1A-Madison Prep'!D68</f>
        <v>5901.074538516008</v>
      </c>
      <c r="E68" s="202">
        <f t="shared" si="35"/>
        <v>0</v>
      </c>
      <c r="F68" s="202">
        <f>+'Table 5C1A-Madison Prep'!F68</f>
        <v>516.08000000000004</v>
      </c>
      <c r="G68" s="202">
        <f t="shared" si="36"/>
        <v>0</v>
      </c>
      <c r="H68" s="345">
        <f t="shared" si="37"/>
        <v>0</v>
      </c>
      <c r="I68" s="991">
        <f>'[1]Oct midyear Tallulah'!K65</f>
        <v>0</v>
      </c>
      <c r="J68" s="203">
        <f>'[1]Feb midyear Tallulah'!K65</f>
        <v>0</v>
      </c>
      <c r="K68" s="204">
        <f t="shared" si="38"/>
        <v>0</v>
      </c>
      <c r="L68" s="345">
        <f t="shared" si="55"/>
        <v>0</v>
      </c>
      <c r="M68" s="286">
        <f t="shared" si="39"/>
        <v>0</v>
      </c>
      <c r="N68" s="345">
        <f t="shared" si="40"/>
        <v>0</v>
      </c>
      <c r="O68" s="201">
        <v>0</v>
      </c>
      <c r="P68" s="351">
        <f t="shared" si="41"/>
        <v>0</v>
      </c>
      <c r="Q68" s="203">
        <f>'[2]Table 5C1K-Tallulah Charter'!S68+'[14]Table 5C1K-Tallulah Charter'!S68+(6*'[20]Table 5C1K-Tallulah Charter'!S68)</f>
        <v>0</v>
      </c>
      <c r="R68" s="203">
        <f t="shared" si="42"/>
        <v>0</v>
      </c>
      <c r="S68" s="351">
        <f t="shared" si="56"/>
        <v>0</v>
      </c>
      <c r="T68" s="351">
        <f t="shared" si="43"/>
        <v>0</v>
      </c>
      <c r="U68" s="287">
        <f>'Table 5C1A-Madison Prep'!U68</f>
        <v>2089</v>
      </c>
      <c r="V68" s="328">
        <f t="shared" si="57"/>
        <v>0</v>
      </c>
      <c r="W68" s="995">
        <f>'[1]Oct midyear Tallulah'!E65</f>
        <v>0</v>
      </c>
      <c r="X68" s="290">
        <f t="shared" si="44"/>
        <v>0</v>
      </c>
      <c r="Y68" s="289">
        <f>'[1]Feb midyear Tallulah'!E65</f>
        <v>0</v>
      </c>
      <c r="Z68" s="290">
        <f t="shared" si="32"/>
        <v>0</v>
      </c>
      <c r="AA68" s="288">
        <f t="shared" si="45"/>
        <v>0</v>
      </c>
      <c r="AB68" s="324">
        <f t="shared" si="46"/>
        <v>0</v>
      </c>
      <c r="AC68" s="292">
        <f t="shared" si="47"/>
        <v>0</v>
      </c>
      <c r="AD68" s="324">
        <f t="shared" si="48"/>
        <v>0</v>
      </c>
      <c r="AE68" s="293">
        <v>0</v>
      </c>
      <c r="AF68" s="324">
        <f t="shared" si="49"/>
        <v>0</v>
      </c>
      <c r="AG68" s="293">
        <f>'[2]Table 5C1K-Tallulah Charter'!AI68+'[14]Table 5C1K-Tallulah Charter'!AI68+(6*'[20]Table 5C1K-Tallulah Charter'!AI68)</f>
        <v>0</v>
      </c>
      <c r="AH68" s="293">
        <f t="shared" si="50"/>
        <v>0</v>
      </c>
      <c r="AI68" s="324">
        <f t="shared" si="58"/>
        <v>0</v>
      </c>
      <c r="AJ68" s="321">
        <f t="shared" si="51"/>
        <v>0</v>
      </c>
      <c r="AK68" s="342">
        <f t="shared" si="52"/>
        <v>0</v>
      </c>
      <c r="AM68" s="286">
        <v>0</v>
      </c>
      <c r="AN68" s="286">
        <f t="shared" si="53"/>
        <v>0</v>
      </c>
      <c r="AO68" s="286">
        <f t="shared" si="54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2.1.14'!R65</f>
        <v>0</v>
      </c>
      <c r="D69" s="201">
        <f>+'Table 5C1A-Madison Prep'!D69</f>
        <v>4124.3813481848092</v>
      </c>
      <c r="E69" s="202">
        <f t="shared" si="35"/>
        <v>0</v>
      </c>
      <c r="F69" s="202">
        <f>+'Table 5C1A-Madison Prep'!F69</f>
        <v>756.79</v>
      </c>
      <c r="G69" s="202">
        <f t="shared" si="36"/>
        <v>0</v>
      </c>
      <c r="H69" s="345">
        <f t="shared" si="37"/>
        <v>0</v>
      </c>
      <c r="I69" s="991">
        <f>'[1]Oct midyear Tallulah'!K66</f>
        <v>0</v>
      </c>
      <c r="J69" s="203">
        <f>'[1]Feb midyear Tallulah'!K66</f>
        <v>0</v>
      </c>
      <c r="K69" s="204">
        <f t="shared" si="38"/>
        <v>0</v>
      </c>
      <c r="L69" s="345">
        <f t="shared" si="55"/>
        <v>0</v>
      </c>
      <c r="M69" s="286">
        <f t="shared" si="39"/>
        <v>0</v>
      </c>
      <c r="N69" s="345">
        <f t="shared" si="40"/>
        <v>0</v>
      </c>
      <c r="O69" s="201">
        <v>0</v>
      </c>
      <c r="P69" s="351">
        <f t="shared" si="41"/>
        <v>0</v>
      </c>
      <c r="Q69" s="203">
        <f>'[2]Table 5C1K-Tallulah Charter'!S69+'[14]Table 5C1K-Tallulah Charter'!S69+(6*'[20]Table 5C1K-Tallulah Charter'!S69)</f>
        <v>0</v>
      </c>
      <c r="R69" s="203">
        <f t="shared" si="42"/>
        <v>0</v>
      </c>
      <c r="S69" s="351">
        <f t="shared" si="56"/>
        <v>0</v>
      </c>
      <c r="T69" s="351">
        <f t="shared" si="43"/>
        <v>0</v>
      </c>
      <c r="U69" s="287">
        <f>'Table 5C1A-Madison Prep'!U69</f>
        <v>7403</v>
      </c>
      <c r="V69" s="328">
        <f t="shared" si="57"/>
        <v>0</v>
      </c>
      <c r="W69" s="995">
        <f>'[1]Oct midyear Tallulah'!E66</f>
        <v>0</v>
      </c>
      <c r="X69" s="290">
        <f t="shared" si="44"/>
        <v>0</v>
      </c>
      <c r="Y69" s="289">
        <f>'[1]Feb midyear Tallulah'!E66</f>
        <v>0</v>
      </c>
      <c r="Z69" s="290">
        <f t="shared" si="32"/>
        <v>0</v>
      </c>
      <c r="AA69" s="288">
        <f t="shared" si="45"/>
        <v>0</v>
      </c>
      <c r="AB69" s="324">
        <f t="shared" si="46"/>
        <v>0</v>
      </c>
      <c r="AC69" s="292">
        <f t="shared" si="47"/>
        <v>0</v>
      </c>
      <c r="AD69" s="324">
        <f t="shared" si="48"/>
        <v>0</v>
      </c>
      <c r="AE69" s="293">
        <v>0</v>
      </c>
      <c r="AF69" s="324">
        <f t="shared" si="49"/>
        <v>0</v>
      </c>
      <c r="AG69" s="293">
        <f>'[2]Table 5C1K-Tallulah Charter'!AI69+'[14]Table 5C1K-Tallulah Charter'!AI69+(6*'[20]Table 5C1K-Tallulah Charter'!AI69)</f>
        <v>0</v>
      </c>
      <c r="AH69" s="293">
        <f t="shared" si="50"/>
        <v>0</v>
      </c>
      <c r="AI69" s="324">
        <f t="shared" si="58"/>
        <v>0</v>
      </c>
      <c r="AJ69" s="321">
        <f t="shared" si="51"/>
        <v>0</v>
      </c>
      <c r="AK69" s="342">
        <f t="shared" si="52"/>
        <v>0</v>
      </c>
      <c r="AM69" s="286">
        <v>0</v>
      </c>
      <c r="AN69" s="286">
        <f t="shared" si="53"/>
        <v>0</v>
      </c>
      <c r="AO69" s="286">
        <f t="shared" si="54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2.1.14'!R66</f>
        <v>0</v>
      </c>
      <c r="D70" s="201">
        <f>+'Table 5C1A-Madison Prep'!D70</f>
        <v>6277.8307532778254</v>
      </c>
      <c r="E70" s="202">
        <f t="shared" si="35"/>
        <v>0</v>
      </c>
      <c r="F70" s="202">
        <f>+'Table 5C1A-Madison Prep'!F70</f>
        <v>592.66</v>
      </c>
      <c r="G70" s="202">
        <f t="shared" si="36"/>
        <v>0</v>
      </c>
      <c r="H70" s="345">
        <f t="shared" si="37"/>
        <v>0</v>
      </c>
      <c r="I70" s="991">
        <f>'[1]Oct midyear Tallulah'!K67</f>
        <v>0</v>
      </c>
      <c r="J70" s="203">
        <f>'[1]Feb midyear Tallulah'!K67</f>
        <v>0</v>
      </c>
      <c r="K70" s="204">
        <f t="shared" si="38"/>
        <v>0</v>
      </c>
      <c r="L70" s="345">
        <f t="shared" si="55"/>
        <v>0</v>
      </c>
      <c r="M70" s="286">
        <f t="shared" si="39"/>
        <v>0</v>
      </c>
      <c r="N70" s="345">
        <f t="shared" si="40"/>
        <v>0</v>
      </c>
      <c r="O70" s="201">
        <v>0</v>
      </c>
      <c r="P70" s="351">
        <f t="shared" si="41"/>
        <v>0</v>
      </c>
      <c r="Q70" s="203">
        <f>'[2]Table 5C1K-Tallulah Charter'!S70+'[14]Table 5C1K-Tallulah Charter'!S70+(6*'[20]Table 5C1K-Tallulah Charter'!S70)</f>
        <v>0</v>
      </c>
      <c r="R70" s="203">
        <f t="shared" si="42"/>
        <v>0</v>
      </c>
      <c r="S70" s="351">
        <f t="shared" si="56"/>
        <v>0</v>
      </c>
      <c r="T70" s="351">
        <f t="shared" si="43"/>
        <v>0</v>
      </c>
      <c r="U70" s="287">
        <f>'Table 5C1A-Madison Prep'!U70</f>
        <v>2802</v>
      </c>
      <c r="V70" s="328">
        <f t="shared" si="57"/>
        <v>0</v>
      </c>
      <c r="W70" s="995">
        <f>'[1]Oct midyear Tallulah'!E67</f>
        <v>0</v>
      </c>
      <c r="X70" s="290">
        <f t="shared" si="44"/>
        <v>0</v>
      </c>
      <c r="Y70" s="289">
        <f>'[1]Feb midyear Tallulah'!E67</f>
        <v>0</v>
      </c>
      <c r="Z70" s="290">
        <f t="shared" si="32"/>
        <v>0</v>
      </c>
      <c r="AA70" s="288">
        <f t="shared" si="45"/>
        <v>0</v>
      </c>
      <c r="AB70" s="324">
        <f t="shared" si="46"/>
        <v>0</v>
      </c>
      <c r="AC70" s="292">
        <f t="shared" si="47"/>
        <v>0</v>
      </c>
      <c r="AD70" s="324">
        <f t="shared" si="48"/>
        <v>0</v>
      </c>
      <c r="AE70" s="293">
        <v>0</v>
      </c>
      <c r="AF70" s="324">
        <f t="shared" si="49"/>
        <v>0</v>
      </c>
      <c r="AG70" s="293">
        <f>'[2]Table 5C1K-Tallulah Charter'!AI70+'[14]Table 5C1K-Tallulah Charter'!AI70+(6*'[20]Table 5C1K-Tallulah Charter'!AI70)</f>
        <v>0</v>
      </c>
      <c r="AH70" s="293">
        <f t="shared" si="50"/>
        <v>0</v>
      </c>
      <c r="AI70" s="324">
        <f t="shared" si="58"/>
        <v>0</v>
      </c>
      <c r="AJ70" s="321">
        <f t="shared" si="51"/>
        <v>0</v>
      </c>
      <c r="AK70" s="342">
        <f t="shared" si="52"/>
        <v>0</v>
      </c>
      <c r="AM70" s="286">
        <v>0</v>
      </c>
      <c r="AN70" s="286">
        <f t="shared" si="53"/>
        <v>0</v>
      </c>
      <c r="AO70" s="286">
        <f t="shared" si="54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2.1.14'!R67</f>
        <v>0</v>
      </c>
      <c r="D71" s="194">
        <f>+'Table 5C1A-Madison Prep'!D71</f>
        <v>4775.1605543943642</v>
      </c>
      <c r="E71" s="195">
        <f t="shared" si="35"/>
        <v>0</v>
      </c>
      <c r="F71" s="195">
        <f>+'Table 5C1A-Madison Prep'!F71</f>
        <v>829.12</v>
      </c>
      <c r="G71" s="195">
        <f t="shared" si="36"/>
        <v>0</v>
      </c>
      <c r="H71" s="346">
        <f t="shared" si="37"/>
        <v>0</v>
      </c>
      <c r="I71" s="992">
        <f>'[1]Oct midyear Tallulah'!K68</f>
        <v>0</v>
      </c>
      <c r="J71" s="196">
        <f>'[1]Feb midyear Tallulah'!K68</f>
        <v>0</v>
      </c>
      <c r="K71" s="197">
        <f t="shared" si="38"/>
        <v>0</v>
      </c>
      <c r="L71" s="346">
        <f t="shared" ref="L71:L75" si="59">H71+K71</f>
        <v>0</v>
      </c>
      <c r="M71" s="296">
        <f t="shared" si="39"/>
        <v>0</v>
      </c>
      <c r="N71" s="346">
        <f t="shared" si="40"/>
        <v>0</v>
      </c>
      <c r="O71" s="194">
        <v>0</v>
      </c>
      <c r="P71" s="352">
        <f t="shared" si="41"/>
        <v>0</v>
      </c>
      <c r="Q71" s="196">
        <f>'[2]Table 5C1K-Tallulah Charter'!S71+'[14]Table 5C1K-Tallulah Charter'!S71+(6*'[20]Table 5C1K-Tallulah Charter'!S71)</f>
        <v>0</v>
      </c>
      <c r="R71" s="196">
        <f t="shared" si="42"/>
        <v>0</v>
      </c>
      <c r="S71" s="356">
        <f t="shared" ref="S71:S75" si="60">ROUND(R71/$S$88,0)</f>
        <v>0</v>
      </c>
      <c r="T71" s="356">
        <f t="shared" si="43"/>
        <v>0</v>
      </c>
      <c r="U71" s="281">
        <f>'Table 5C1A-Madison Prep'!U71</f>
        <v>5215</v>
      </c>
      <c r="V71" s="329">
        <f t="shared" ref="V71:V75" si="61">C71*U71</f>
        <v>0</v>
      </c>
      <c r="W71" s="996">
        <f>'[1]Oct midyear Tallulah'!E68</f>
        <v>0</v>
      </c>
      <c r="X71" s="282">
        <f t="shared" si="44"/>
        <v>0</v>
      </c>
      <c r="Y71" s="884">
        <f>'[1]Feb midyear Tallulah'!E68</f>
        <v>0</v>
      </c>
      <c r="Z71" s="282">
        <f t="shared" ref="Z71:Z74" si="62">+U71*Y71*0.5</f>
        <v>0</v>
      </c>
      <c r="AA71" s="283">
        <f t="shared" si="45"/>
        <v>0</v>
      </c>
      <c r="AB71" s="325">
        <f t="shared" si="46"/>
        <v>0</v>
      </c>
      <c r="AC71" s="298">
        <f t="shared" si="47"/>
        <v>0</v>
      </c>
      <c r="AD71" s="325">
        <f t="shared" si="48"/>
        <v>0</v>
      </c>
      <c r="AE71" s="284">
        <v>0</v>
      </c>
      <c r="AF71" s="325">
        <f t="shared" si="49"/>
        <v>0</v>
      </c>
      <c r="AG71" s="284">
        <f>'[2]Table 5C1K-Tallulah Charter'!AI71+'[14]Table 5C1K-Tallulah Charter'!AI71+(6*'[20]Table 5C1K-Tallulah Charter'!AI71)</f>
        <v>0</v>
      </c>
      <c r="AH71" s="284">
        <f t="shared" si="50"/>
        <v>0</v>
      </c>
      <c r="AI71" s="325">
        <f t="shared" ref="AI71:AI75" si="63">ROUND(AH71/$AI$88,0)</f>
        <v>0</v>
      </c>
      <c r="AJ71" s="338">
        <f t="shared" si="51"/>
        <v>0</v>
      </c>
      <c r="AK71" s="343">
        <f t="shared" si="52"/>
        <v>0</v>
      </c>
      <c r="AM71" s="296">
        <v>0</v>
      </c>
      <c r="AN71" s="296">
        <f t="shared" si="53"/>
        <v>0</v>
      </c>
      <c r="AO71" s="296">
        <f t="shared" si="54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2.1.14'!R68</f>
        <v>0</v>
      </c>
      <c r="D72" s="208">
        <f>+'Table 5C1A-Madison Prep'!D72</f>
        <v>6564.0085433910035</v>
      </c>
      <c r="E72" s="209">
        <f t="shared" ref="E72:E75" si="64">C72*D72</f>
        <v>0</v>
      </c>
      <c r="F72" s="209">
        <f>+'Table 5C1A-Madison Prep'!F72</f>
        <v>730.06</v>
      </c>
      <c r="G72" s="209">
        <f t="shared" ref="G72:G75" si="65">C72*F72</f>
        <v>0</v>
      </c>
      <c r="H72" s="344">
        <f t="shared" ref="H72:H75" si="66">E72+G72</f>
        <v>0</v>
      </c>
      <c r="I72" s="990">
        <f>'[1]Oct midyear Tallulah'!K69</f>
        <v>0</v>
      </c>
      <c r="J72" s="210">
        <f>'[1]Feb midyear Tallulah'!K69</f>
        <v>0</v>
      </c>
      <c r="K72" s="211">
        <f t="shared" ref="K72:K75" si="67">I72+J72</f>
        <v>0</v>
      </c>
      <c r="L72" s="344">
        <f t="shared" si="59"/>
        <v>0</v>
      </c>
      <c r="M72" s="273">
        <f t="shared" ref="M72:M75" si="68">-(0.25%*L72)</f>
        <v>0</v>
      </c>
      <c r="N72" s="344">
        <f t="shared" ref="N72:N75" si="69">SUM(L72:M72)</f>
        <v>0</v>
      </c>
      <c r="O72" s="208">
        <v>0</v>
      </c>
      <c r="P72" s="350">
        <f t="shared" ref="P72:P75" si="70">SUM(N72:O72)</f>
        <v>0</v>
      </c>
      <c r="Q72" s="210">
        <f>'[2]Table 5C1K-Tallulah Charter'!S72+'[14]Table 5C1K-Tallulah Charter'!S72+(6*'[20]Table 5C1K-Tallulah Charter'!S72)</f>
        <v>0</v>
      </c>
      <c r="R72" s="210">
        <f t="shared" ref="R72:R75" si="71">P72-Q72</f>
        <v>0</v>
      </c>
      <c r="S72" s="350">
        <f t="shared" si="60"/>
        <v>0</v>
      </c>
      <c r="T72" s="350">
        <f t="shared" ref="T72:T75" si="72">+P72</f>
        <v>0</v>
      </c>
      <c r="U72" s="274">
        <f>'Table 5C1A-Madison Prep'!U72</f>
        <v>3609</v>
      </c>
      <c r="V72" s="327">
        <f t="shared" si="61"/>
        <v>0</v>
      </c>
      <c r="W72" s="994">
        <f>'[1]Oct midyear Tallulah'!E69</f>
        <v>0</v>
      </c>
      <c r="X72" s="276">
        <f t="shared" ref="X72:X75" si="73">W72*U72</f>
        <v>0</v>
      </c>
      <c r="Y72" s="883">
        <f>'[1]Feb midyear Tallulah'!E69</f>
        <v>0</v>
      </c>
      <c r="Z72" s="276">
        <f t="shared" si="62"/>
        <v>0</v>
      </c>
      <c r="AA72" s="275">
        <f t="shared" ref="AA72:AA75" si="74">+X72+Z72</f>
        <v>0</v>
      </c>
      <c r="AB72" s="323">
        <f t="shared" ref="AB72:AB75" si="75">V72+AA72</f>
        <v>0</v>
      </c>
      <c r="AC72" s="278">
        <f t="shared" ref="AC72:AC75" si="76">-(0.25%*AB72)</f>
        <v>0</v>
      </c>
      <c r="AD72" s="323">
        <f t="shared" ref="AD72:AD75" si="77">SUM(AB72:AC72)</f>
        <v>0</v>
      </c>
      <c r="AE72" s="279">
        <v>0</v>
      </c>
      <c r="AF72" s="323">
        <f t="shared" ref="AF72:AF75" si="78">SUM(AD72:AE72)</f>
        <v>0</v>
      </c>
      <c r="AG72" s="279">
        <f>'[2]Table 5C1K-Tallulah Charter'!AI72+'[14]Table 5C1K-Tallulah Charter'!AI72+(6*'[20]Table 5C1K-Tallulah Charter'!AI72)</f>
        <v>0</v>
      </c>
      <c r="AH72" s="279">
        <f t="shared" ref="AH72:AH75" si="79">AF72-AG72</f>
        <v>0</v>
      </c>
      <c r="AI72" s="323">
        <f t="shared" si="63"/>
        <v>0</v>
      </c>
      <c r="AJ72" s="337">
        <f t="shared" ref="AJ72:AJ75" si="80">T72+AF72</f>
        <v>0</v>
      </c>
      <c r="AK72" s="341">
        <f t="shared" ref="AK72:AK75" si="81">S72+AI72</f>
        <v>0</v>
      </c>
      <c r="AM72" s="310">
        <v>0</v>
      </c>
      <c r="AN72" s="310">
        <f t="shared" ref="AN72:AN75" si="82">+AC72</f>
        <v>0</v>
      </c>
      <c r="AO72" s="310">
        <f t="shared" si="54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2.1.14'!R69</f>
        <v>0</v>
      </c>
      <c r="D73" s="201">
        <f>+'Table 5C1A-Madison Prep'!D73</f>
        <v>5029.1467736134118</v>
      </c>
      <c r="E73" s="202">
        <f t="shared" si="64"/>
        <v>0</v>
      </c>
      <c r="F73" s="202">
        <f>+'Table 5C1A-Madison Prep'!F73</f>
        <v>715.61</v>
      </c>
      <c r="G73" s="202">
        <f t="shared" si="65"/>
        <v>0</v>
      </c>
      <c r="H73" s="345">
        <f t="shared" si="66"/>
        <v>0</v>
      </c>
      <c r="I73" s="991">
        <f>'[1]Oct midyear Tallulah'!K70</f>
        <v>0</v>
      </c>
      <c r="J73" s="203">
        <f>'[1]Feb midyear Tallulah'!K70</f>
        <v>0</v>
      </c>
      <c r="K73" s="204">
        <f t="shared" si="67"/>
        <v>0</v>
      </c>
      <c r="L73" s="345">
        <f t="shared" si="59"/>
        <v>0</v>
      </c>
      <c r="M73" s="286">
        <f t="shared" si="68"/>
        <v>0</v>
      </c>
      <c r="N73" s="345">
        <f t="shared" si="69"/>
        <v>0</v>
      </c>
      <c r="O73" s="201">
        <v>0</v>
      </c>
      <c r="P73" s="351">
        <f t="shared" si="70"/>
        <v>0</v>
      </c>
      <c r="Q73" s="203">
        <f>'[2]Table 5C1K-Tallulah Charter'!S73+'[14]Table 5C1K-Tallulah Charter'!S73+(6*'[20]Table 5C1K-Tallulah Charter'!S73)</f>
        <v>0</v>
      </c>
      <c r="R73" s="203">
        <f t="shared" si="71"/>
        <v>0</v>
      </c>
      <c r="S73" s="351">
        <f t="shared" si="60"/>
        <v>0</v>
      </c>
      <c r="T73" s="351">
        <f t="shared" si="72"/>
        <v>0</v>
      </c>
      <c r="U73" s="287">
        <f>'Table 5C1A-Madison Prep'!U73</f>
        <v>5069</v>
      </c>
      <c r="V73" s="328">
        <f t="shared" si="61"/>
        <v>0</v>
      </c>
      <c r="W73" s="995">
        <f>'[1]Oct midyear Tallulah'!E70</f>
        <v>0</v>
      </c>
      <c r="X73" s="290">
        <f t="shared" si="73"/>
        <v>0</v>
      </c>
      <c r="Y73" s="289">
        <f>'[1]Feb midyear Tallulah'!E70</f>
        <v>0</v>
      </c>
      <c r="Z73" s="290">
        <f t="shared" si="62"/>
        <v>0</v>
      </c>
      <c r="AA73" s="288">
        <f t="shared" si="74"/>
        <v>0</v>
      </c>
      <c r="AB73" s="324">
        <f t="shared" si="75"/>
        <v>0</v>
      </c>
      <c r="AC73" s="292">
        <f t="shared" si="76"/>
        <v>0</v>
      </c>
      <c r="AD73" s="324">
        <f t="shared" si="77"/>
        <v>0</v>
      </c>
      <c r="AE73" s="293">
        <v>0</v>
      </c>
      <c r="AF73" s="324">
        <f t="shared" si="78"/>
        <v>0</v>
      </c>
      <c r="AG73" s="293">
        <f>'[2]Table 5C1K-Tallulah Charter'!AI73+'[14]Table 5C1K-Tallulah Charter'!AI73+(6*'[20]Table 5C1K-Tallulah Charter'!AI73)</f>
        <v>0</v>
      </c>
      <c r="AH73" s="293">
        <f t="shared" si="79"/>
        <v>0</v>
      </c>
      <c r="AI73" s="324">
        <f t="shared" si="63"/>
        <v>0</v>
      </c>
      <c r="AJ73" s="321">
        <f t="shared" si="80"/>
        <v>0</v>
      </c>
      <c r="AK73" s="342">
        <f t="shared" si="81"/>
        <v>0</v>
      </c>
      <c r="AM73" s="310">
        <v>0</v>
      </c>
      <c r="AN73" s="310">
        <f t="shared" si="82"/>
        <v>0</v>
      </c>
      <c r="AO73" s="310">
        <f t="shared" si="54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2.1.14'!R70</f>
        <v>0</v>
      </c>
      <c r="D74" s="201">
        <f>+'Table 5C1A-Madison Prep'!D74</f>
        <v>6390.1644202560601</v>
      </c>
      <c r="E74" s="202">
        <f t="shared" si="64"/>
        <v>0</v>
      </c>
      <c r="F74" s="202">
        <f>+'Table 5C1A-Madison Prep'!F74</f>
        <v>798.7</v>
      </c>
      <c r="G74" s="202">
        <f t="shared" si="65"/>
        <v>0</v>
      </c>
      <c r="H74" s="345">
        <f t="shared" si="66"/>
        <v>0</v>
      </c>
      <c r="I74" s="991">
        <f>'[1]Oct midyear Tallulah'!K71</f>
        <v>0</v>
      </c>
      <c r="J74" s="203">
        <f>'[1]Feb midyear Tallulah'!K71</f>
        <v>0</v>
      </c>
      <c r="K74" s="204">
        <f t="shared" si="67"/>
        <v>0</v>
      </c>
      <c r="L74" s="345">
        <f t="shared" si="59"/>
        <v>0</v>
      </c>
      <c r="M74" s="286">
        <f t="shared" si="68"/>
        <v>0</v>
      </c>
      <c r="N74" s="345">
        <f t="shared" si="69"/>
        <v>0</v>
      </c>
      <c r="O74" s="201">
        <v>0</v>
      </c>
      <c r="P74" s="351">
        <f t="shared" si="70"/>
        <v>0</v>
      </c>
      <c r="Q74" s="203">
        <f>'[2]Table 5C1K-Tallulah Charter'!S74+'[14]Table 5C1K-Tallulah Charter'!S74+(6*'[20]Table 5C1K-Tallulah Charter'!S74)</f>
        <v>0</v>
      </c>
      <c r="R74" s="203">
        <f t="shared" si="71"/>
        <v>0</v>
      </c>
      <c r="S74" s="351">
        <f t="shared" si="60"/>
        <v>0</v>
      </c>
      <c r="T74" s="351">
        <f t="shared" si="72"/>
        <v>0</v>
      </c>
      <c r="U74" s="287">
        <f>'Table 5C1A-Madison Prep'!U74</f>
        <v>2880</v>
      </c>
      <c r="V74" s="328">
        <f t="shared" si="61"/>
        <v>0</v>
      </c>
      <c r="W74" s="995">
        <f>'[1]Oct midyear Tallulah'!E71</f>
        <v>0</v>
      </c>
      <c r="X74" s="290">
        <f t="shared" si="73"/>
        <v>0</v>
      </c>
      <c r="Y74" s="289">
        <f>'[1]Feb midyear Tallulah'!E71</f>
        <v>0</v>
      </c>
      <c r="Z74" s="290">
        <f t="shared" si="62"/>
        <v>0</v>
      </c>
      <c r="AA74" s="288">
        <f t="shared" si="74"/>
        <v>0</v>
      </c>
      <c r="AB74" s="324">
        <f t="shared" si="75"/>
        <v>0</v>
      </c>
      <c r="AC74" s="292">
        <f t="shared" si="76"/>
        <v>0</v>
      </c>
      <c r="AD74" s="324">
        <f t="shared" si="77"/>
        <v>0</v>
      </c>
      <c r="AE74" s="293">
        <v>0</v>
      </c>
      <c r="AF74" s="324">
        <f t="shared" si="78"/>
        <v>0</v>
      </c>
      <c r="AG74" s="293">
        <f>'[2]Table 5C1K-Tallulah Charter'!AI74+'[14]Table 5C1K-Tallulah Charter'!AI74+(6*'[20]Table 5C1K-Tallulah Charter'!AI74)</f>
        <v>0</v>
      </c>
      <c r="AH74" s="293">
        <f t="shared" si="79"/>
        <v>0</v>
      </c>
      <c r="AI74" s="324">
        <f t="shared" si="63"/>
        <v>0</v>
      </c>
      <c r="AJ74" s="321">
        <f t="shared" si="80"/>
        <v>0</v>
      </c>
      <c r="AK74" s="342">
        <f t="shared" si="81"/>
        <v>0</v>
      </c>
      <c r="AM74" s="310">
        <v>0</v>
      </c>
      <c r="AN74" s="310">
        <f t="shared" si="82"/>
        <v>0</v>
      </c>
      <c r="AO74" s="310">
        <f t="shared" si="54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2.1.14'!R71</f>
        <v>0</v>
      </c>
      <c r="D75" s="201">
        <f>+'Table 5C1A-Madison Prep'!D75</f>
        <v>5722.4947921281337</v>
      </c>
      <c r="E75" s="202">
        <f t="shared" si="64"/>
        <v>0</v>
      </c>
      <c r="F75" s="202">
        <f>+'Table 5C1A-Madison Prep'!F75</f>
        <v>705.67</v>
      </c>
      <c r="G75" s="202">
        <f t="shared" si="65"/>
        <v>0</v>
      </c>
      <c r="H75" s="345">
        <f t="shared" si="66"/>
        <v>0</v>
      </c>
      <c r="I75" s="991">
        <f>'[1]Oct midyear Tallulah'!K72</f>
        <v>0</v>
      </c>
      <c r="J75" s="203">
        <f>'[1]Feb midyear Tallulah'!K72</f>
        <v>0</v>
      </c>
      <c r="K75" s="204">
        <f t="shared" si="67"/>
        <v>0</v>
      </c>
      <c r="L75" s="345">
        <f t="shared" si="59"/>
        <v>0</v>
      </c>
      <c r="M75" s="286">
        <f t="shared" si="68"/>
        <v>0</v>
      </c>
      <c r="N75" s="345">
        <f t="shared" si="69"/>
        <v>0</v>
      </c>
      <c r="O75" s="201">
        <v>0</v>
      </c>
      <c r="P75" s="351">
        <f t="shared" si="70"/>
        <v>0</v>
      </c>
      <c r="Q75" s="203">
        <f>'[2]Table 5C1K-Tallulah Charter'!S75+'[14]Table 5C1K-Tallulah Charter'!S75+(6*'[20]Table 5C1K-Tallulah Charter'!S75)</f>
        <v>0</v>
      </c>
      <c r="R75" s="203">
        <f t="shared" si="71"/>
        <v>0</v>
      </c>
      <c r="S75" s="351">
        <f t="shared" si="60"/>
        <v>0</v>
      </c>
      <c r="T75" s="351">
        <f t="shared" si="72"/>
        <v>0</v>
      </c>
      <c r="U75" s="287">
        <f>'Table 5C1A-Madison Prep'!U75</f>
        <v>3330</v>
      </c>
      <c r="V75" s="328">
        <f t="shared" si="61"/>
        <v>0</v>
      </c>
      <c r="W75" s="995">
        <f>'[1]Oct midyear Tallulah'!E72</f>
        <v>0</v>
      </c>
      <c r="X75" s="290">
        <f t="shared" si="73"/>
        <v>0</v>
      </c>
      <c r="Y75" s="289">
        <f>'[1]Feb midyear Tallulah'!E72</f>
        <v>0</v>
      </c>
      <c r="Z75" s="290">
        <f>+U75*Y75*0.5</f>
        <v>0</v>
      </c>
      <c r="AA75" s="288">
        <f t="shared" si="74"/>
        <v>0</v>
      </c>
      <c r="AB75" s="324">
        <f t="shared" si="75"/>
        <v>0</v>
      </c>
      <c r="AC75" s="292">
        <f t="shared" si="76"/>
        <v>0</v>
      </c>
      <c r="AD75" s="324">
        <f t="shared" si="77"/>
        <v>0</v>
      </c>
      <c r="AE75" s="293">
        <v>0</v>
      </c>
      <c r="AF75" s="324">
        <f t="shared" si="78"/>
        <v>0</v>
      </c>
      <c r="AG75" s="293">
        <f>'[2]Table 5C1K-Tallulah Charter'!AI75+'[14]Table 5C1K-Tallulah Charter'!AI75+(6*'[20]Table 5C1K-Tallulah Charter'!AI75)</f>
        <v>0</v>
      </c>
      <c r="AH75" s="293">
        <f t="shared" si="79"/>
        <v>0</v>
      </c>
      <c r="AI75" s="324">
        <f t="shared" si="63"/>
        <v>0</v>
      </c>
      <c r="AJ75" s="321">
        <f t="shared" si="80"/>
        <v>0</v>
      </c>
      <c r="AK75" s="342">
        <f t="shared" si="81"/>
        <v>0</v>
      </c>
      <c r="AM75" s="300">
        <v>0</v>
      </c>
      <c r="AN75" s="300">
        <f t="shared" si="82"/>
        <v>0</v>
      </c>
      <c r="AO75" s="300">
        <f t="shared" si="54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294</v>
      </c>
      <c r="D76" s="28">
        <f>+'Table 5C1A-Madison Prep'!D76</f>
        <v>4479.9292126977662</v>
      </c>
      <c r="E76" s="35">
        <f>SUM(E7:E75)</f>
        <v>1604130.2840077057</v>
      </c>
      <c r="F76" s="35">
        <f>+'Table 5C1A-Madison Prep'!F76</f>
        <v>704.64781030742063</v>
      </c>
      <c r="G76" s="35">
        <f>SUM(G7:G75)</f>
        <v>192661.14</v>
      </c>
      <c r="H76" s="348">
        <f>SUM(H7:H75)</f>
        <v>1796791.4240077059</v>
      </c>
      <c r="I76" s="37">
        <f>SUM(I7:I75)</f>
        <v>238349.88277653244</v>
      </c>
      <c r="J76" s="70">
        <f>SUM(J7:J75)</f>
        <v>18688.103558047143</v>
      </c>
      <c r="K76" s="56">
        <f t="shared" ref="K76:T76" si="83">SUM(K7:K75)</f>
        <v>257037.98633457959</v>
      </c>
      <c r="L76" s="364">
        <f t="shared" si="83"/>
        <v>2053829.4103422856</v>
      </c>
      <c r="M76" s="36">
        <f t="shared" si="83"/>
        <v>-5134.5735258557143</v>
      </c>
      <c r="N76" s="348">
        <f t="shared" si="83"/>
        <v>2048694.8368164296</v>
      </c>
      <c r="O76" s="28">
        <f t="shared" si="83"/>
        <v>0</v>
      </c>
      <c r="P76" s="354">
        <f t="shared" si="83"/>
        <v>2048694.8368164296</v>
      </c>
      <c r="Q76" s="66">
        <f t="shared" si="83"/>
        <v>1399809</v>
      </c>
      <c r="R76" s="66">
        <f t="shared" si="83"/>
        <v>648885.83681642974</v>
      </c>
      <c r="S76" s="354">
        <f t="shared" si="83"/>
        <v>162221</v>
      </c>
      <c r="T76" s="354">
        <f t="shared" si="83"/>
        <v>2048694.8368164296</v>
      </c>
      <c r="U76" s="83">
        <f>'Table 5C1A-Madison Prep'!U76</f>
        <v>4703</v>
      </c>
      <c r="V76" s="330">
        <f t="shared" ref="V76:AK76" si="84">SUM(V7:V75)</f>
        <v>1112496</v>
      </c>
      <c r="W76" s="1001">
        <f t="shared" si="84"/>
        <v>39</v>
      </c>
      <c r="X76" s="75">
        <f t="shared" si="84"/>
        <v>147576</v>
      </c>
      <c r="Y76" s="74">
        <f t="shared" si="84"/>
        <v>6</v>
      </c>
      <c r="Z76" s="75">
        <f t="shared" si="84"/>
        <v>11535</v>
      </c>
      <c r="AA76" s="63">
        <f t="shared" si="84"/>
        <v>159111</v>
      </c>
      <c r="AB76" s="332">
        <f t="shared" si="84"/>
        <v>1271607</v>
      </c>
      <c r="AC76" s="37">
        <f t="shared" si="84"/>
        <v>-3179.0174999999999</v>
      </c>
      <c r="AD76" s="330">
        <f t="shared" si="84"/>
        <v>1268427.9824999999</v>
      </c>
      <c r="AE76" s="85">
        <f t="shared" si="84"/>
        <v>0</v>
      </c>
      <c r="AF76" s="330">
        <f t="shared" si="84"/>
        <v>1268427.9824999999</v>
      </c>
      <c r="AG76" s="85">
        <f t="shared" si="84"/>
        <v>828225</v>
      </c>
      <c r="AH76" s="85">
        <f t="shared" si="84"/>
        <v>440202.98249999993</v>
      </c>
      <c r="AI76" s="330">
        <f t="shared" si="84"/>
        <v>110050</v>
      </c>
      <c r="AJ76" s="339">
        <f t="shared" si="84"/>
        <v>3317122.81931643</v>
      </c>
      <c r="AK76" s="339">
        <f t="shared" si="84"/>
        <v>272271</v>
      </c>
      <c r="AM76" s="36">
        <f>SUM(AM7:AM75)</f>
        <v>-2657.76</v>
      </c>
      <c r="AN76" s="36">
        <f>SUM(AN7:AN75)</f>
        <v>-3179.0174999999999</v>
      </c>
      <c r="AO76" s="36">
        <f>SUM(AO7:AO75)</f>
        <v>-521.25749999999971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4'!$E106</f>
        <v>0</v>
      </c>
      <c r="Q77" s="222">
        <f>'[2]Table 5C1K-Tallulah Charter'!S77+'[14]Table 5C1K-Tallulah Charter'!S77+(6*'[20]Table 5C1K-Tallulah Charter'!S77)</f>
        <v>0</v>
      </c>
      <c r="R77" s="222">
        <f t="shared" ref="R77" si="85">P77-Q77</f>
        <v>0</v>
      </c>
      <c r="S77" s="351">
        <f t="shared" ref="S77:S81" si="86">ROUND(R77/$S$88,0)</f>
        <v>0</v>
      </c>
      <c r="T77" s="351">
        <f>'Table 4 Level 4'!$E106</f>
        <v>0</v>
      </c>
      <c r="U77" s="287"/>
      <c r="V77" s="290"/>
      <c r="W77" s="412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87">T77+AF77</f>
        <v>0</v>
      </c>
      <c r="AK77" s="321">
        <f t="shared" ref="AK77:AK81" si="88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03"/>
      <c r="T78" s="351">
        <f>'Table 4 Level 4'!$J106</f>
        <v>0</v>
      </c>
      <c r="U78" s="287"/>
      <c r="V78" s="290"/>
      <c r="W78" s="412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87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03"/>
      <c r="T79" s="351">
        <f>'Table 4 Level 4'!$L106</f>
        <v>0</v>
      </c>
      <c r="U79" s="287"/>
      <c r="V79" s="290"/>
      <c r="W79" s="412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87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03"/>
      <c r="T80" s="351">
        <f>'Table 4 Level 4'!$M106</f>
        <v>6127</v>
      </c>
      <c r="U80" s="287"/>
      <c r="V80" s="290"/>
      <c r="W80" s="412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87"/>
        <v>6127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4'!O106</f>
        <v>0</v>
      </c>
      <c r="Q81" s="217">
        <f>'[2]Table 5C1K-Tallulah Charter'!S81+'[14]Table 5C1K-Tallulah Charter'!S81+(6*'[20]Table 5C1K-Tallulah Charter'!S81)</f>
        <v>0</v>
      </c>
      <c r="R81" s="217">
        <f t="shared" ref="R81" si="89">P81-Q81</f>
        <v>0</v>
      </c>
      <c r="S81" s="358">
        <f t="shared" si="86"/>
        <v>0</v>
      </c>
      <c r="T81" s="358">
        <f>P81</f>
        <v>0</v>
      </c>
      <c r="U81" s="308"/>
      <c r="V81" s="302"/>
      <c r="W81" s="413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87"/>
        <v>0</v>
      </c>
      <c r="AK81" s="322">
        <f t="shared" si="88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294</v>
      </c>
      <c r="D82" s="128">
        <f t="shared" ref="D82:AK82" si="90">SUM(D76:D81)</f>
        <v>4479.9292126977662</v>
      </c>
      <c r="E82" s="128">
        <f t="shared" si="90"/>
        <v>1604130.2840077057</v>
      </c>
      <c r="F82" s="128">
        <f t="shared" si="90"/>
        <v>704.64781030742063</v>
      </c>
      <c r="G82" s="128">
        <f t="shared" si="90"/>
        <v>192661.14</v>
      </c>
      <c r="H82" s="128">
        <f t="shared" si="90"/>
        <v>1796791.4240077059</v>
      </c>
      <c r="I82" s="134">
        <f t="shared" si="90"/>
        <v>238349.88277653244</v>
      </c>
      <c r="J82" s="133">
        <f t="shared" si="90"/>
        <v>18688.103558047143</v>
      </c>
      <c r="K82" s="133">
        <f t="shared" si="90"/>
        <v>257037.98633457959</v>
      </c>
      <c r="L82" s="128">
        <f t="shared" si="90"/>
        <v>2053829.4103422856</v>
      </c>
      <c r="M82" s="133">
        <f t="shared" si="90"/>
        <v>-5134.5735258557143</v>
      </c>
      <c r="N82" s="128">
        <f t="shared" si="90"/>
        <v>2048694.8368164296</v>
      </c>
      <c r="O82" s="128">
        <f t="shared" si="90"/>
        <v>0</v>
      </c>
      <c r="P82" s="355">
        <f t="shared" si="90"/>
        <v>2048694.8368164296</v>
      </c>
      <c r="Q82" s="133">
        <f t="shared" si="90"/>
        <v>1399809</v>
      </c>
      <c r="R82" s="133">
        <f t="shared" si="90"/>
        <v>648885.83681642974</v>
      </c>
      <c r="S82" s="355">
        <f t="shared" si="90"/>
        <v>162221</v>
      </c>
      <c r="T82" s="355">
        <f t="shared" si="90"/>
        <v>2054821.8368164296</v>
      </c>
      <c r="U82" s="137">
        <f t="shared" si="90"/>
        <v>4703</v>
      </c>
      <c r="V82" s="134">
        <f t="shared" si="90"/>
        <v>1112496</v>
      </c>
      <c r="W82" s="136">
        <f t="shared" si="90"/>
        <v>39</v>
      </c>
      <c r="X82" s="134">
        <f t="shared" si="90"/>
        <v>147576</v>
      </c>
      <c r="Y82" s="136">
        <f t="shared" si="90"/>
        <v>6</v>
      </c>
      <c r="Z82" s="134">
        <f t="shared" si="90"/>
        <v>11535</v>
      </c>
      <c r="AA82" s="134">
        <f t="shared" si="90"/>
        <v>159111</v>
      </c>
      <c r="AB82" s="134">
        <f t="shared" si="90"/>
        <v>1271607</v>
      </c>
      <c r="AC82" s="134">
        <f t="shared" si="90"/>
        <v>-3179.0174999999999</v>
      </c>
      <c r="AD82" s="134">
        <f t="shared" si="90"/>
        <v>1268427.9824999999</v>
      </c>
      <c r="AE82" s="134">
        <f t="shared" si="90"/>
        <v>0</v>
      </c>
      <c r="AF82" s="134">
        <f t="shared" si="90"/>
        <v>1268427.9824999999</v>
      </c>
      <c r="AG82" s="134">
        <f t="shared" si="90"/>
        <v>828225</v>
      </c>
      <c r="AH82" s="134">
        <f t="shared" si="90"/>
        <v>440202.98249999993</v>
      </c>
      <c r="AI82" s="134">
        <f t="shared" si="90"/>
        <v>110050</v>
      </c>
      <c r="AJ82" s="320">
        <f t="shared" si="90"/>
        <v>3323249.81931643</v>
      </c>
      <c r="AK82" s="320">
        <f t="shared" si="90"/>
        <v>272271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-4491.9785600192645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-642.59496583644977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  <row r="98" ht="13.9" customHeight="1"/>
  </sheetData>
  <mergeCells count="43">
    <mergeCell ref="AJ1:AJ4"/>
    <mergeCell ref="AK1:AK4"/>
    <mergeCell ref="C3:C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P3:P4"/>
    <mergeCell ref="Y3:Y4"/>
    <mergeCell ref="Z3:Z4"/>
    <mergeCell ref="U3:U4"/>
    <mergeCell ref="W3:W4"/>
    <mergeCell ref="X3:X4"/>
    <mergeCell ref="A1:B4"/>
    <mergeCell ref="I3:I4"/>
    <mergeCell ref="J3:J4"/>
    <mergeCell ref="K3:K4"/>
    <mergeCell ref="L3:L4"/>
    <mergeCell ref="C1:L1"/>
    <mergeCell ref="I2:K2"/>
    <mergeCell ref="W2:AA2"/>
    <mergeCell ref="AI3:AI4"/>
    <mergeCell ref="U1:AB1"/>
    <mergeCell ref="AC1:AI1"/>
    <mergeCell ref="A82:B82"/>
    <mergeCell ref="A76:B76"/>
    <mergeCell ref="A77:B77"/>
    <mergeCell ref="A78:B78"/>
    <mergeCell ref="A79:B79"/>
    <mergeCell ref="A80:B80"/>
    <mergeCell ref="A81:B81"/>
    <mergeCell ref="AB3:AB4"/>
    <mergeCell ref="T3:T4"/>
    <mergeCell ref="M1:T1"/>
    <mergeCell ref="AG3:AG4"/>
    <mergeCell ref="AH3:AH4"/>
    <mergeCell ref="S3:S4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5C1-K: FY2014-15 MFP Budget Letter (March 2015)
Tallulah Charter School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O98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bestFit="1" customWidth="1"/>
    <col min="4" max="4" width="13.7109375" style="784" bestFit="1" customWidth="1"/>
    <col min="5" max="5" width="10.140625" style="784" bestFit="1" customWidth="1"/>
    <col min="6" max="7" width="12.28515625" style="784" bestFit="1" customWidth="1"/>
    <col min="8" max="8" width="11.5703125" style="784" bestFit="1" customWidth="1"/>
    <col min="9" max="12" width="11.85546875" style="784" bestFit="1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4.5703125" style="784" customWidth="1"/>
    <col min="23" max="23" width="11.7109375" style="784" customWidth="1"/>
    <col min="24" max="24" width="14.42578125" style="784" bestFit="1" customWidth="1"/>
    <col min="25" max="27" width="11.7109375" style="784" customWidth="1"/>
    <col min="28" max="28" width="14.42578125" style="784" bestFit="1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3" width="9.5703125" style="784" bestFit="1" customWidth="1"/>
    <col min="34" max="34" width="11.7109375" style="784" customWidth="1"/>
    <col min="35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408</v>
      </c>
      <c r="B1" s="1577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578"/>
      <c r="B2" s="1579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I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ref="J5" si="2">I5+1</f>
        <v>8</v>
      </c>
      <c r="K5" s="23">
        <f t="shared" ref="K5" si="3">J5+1</f>
        <v>9</v>
      </c>
      <c r="L5" s="23">
        <f t="shared" ref="L5" si="4">K5+1</f>
        <v>10</v>
      </c>
      <c r="M5" s="23">
        <f t="shared" ref="M5" si="5">L5+1</f>
        <v>11</v>
      </c>
      <c r="N5" s="23">
        <f t="shared" ref="N5" si="6">M5+1</f>
        <v>12</v>
      </c>
      <c r="O5" s="23">
        <f t="shared" ref="O5" si="7">N5+1</f>
        <v>13</v>
      </c>
      <c r="P5" s="23">
        <f t="shared" ref="P5" si="8">O5+1</f>
        <v>14</v>
      </c>
      <c r="Q5" s="23">
        <f t="shared" ref="Q5" si="9">P5+1</f>
        <v>15</v>
      </c>
      <c r="R5" s="23">
        <f t="shared" ref="R5" si="10">Q5+1</f>
        <v>16</v>
      </c>
      <c r="S5" s="23">
        <f t="shared" ref="S5" si="11">R5+1</f>
        <v>17</v>
      </c>
      <c r="T5" s="23">
        <f t="shared" ref="T5" si="12">S5+1</f>
        <v>18</v>
      </c>
      <c r="U5" s="23">
        <f t="shared" ref="U5" si="13">T5+1</f>
        <v>19</v>
      </c>
      <c r="V5" s="23">
        <f t="shared" ref="V5" si="14">U5+1</f>
        <v>20</v>
      </c>
      <c r="W5" s="23">
        <f t="shared" ref="W5" si="15">V5+1</f>
        <v>21</v>
      </c>
      <c r="X5" s="23">
        <f t="shared" ref="X5" si="16">W5+1</f>
        <v>22</v>
      </c>
      <c r="Y5" s="23">
        <f t="shared" ref="Y5" si="17">X5+1</f>
        <v>23</v>
      </c>
      <c r="Z5" s="23">
        <f t="shared" ref="Z5" si="18">Y5+1</f>
        <v>24</v>
      </c>
      <c r="AA5" s="23">
        <f t="shared" ref="AA5:AB5" si="19">Z5+1</f>
        <v>25</v>
      </c>
      <c r="AB5" s="23">
        <f t="shared" si="19"/>
        <v>26</v>
      </c>
      <c r="AC5" s="23">
        <f t="shared" ref="AC5" si="20">AB5+1</f>
        <v>27</v>
      </c>
      <c r="AD5" s="23">
        <f t="shared" ref="AD5" si="21">AC5+1</f>
        <v>28</v>
      </c>
      <c r="AE5" s="23">
        <f t="shared" ref="AE5" si="22">AD5+1</f>
        <v>29</v>
      </c>
      <c r="AF5" s="23">
        <f t="shared" ref="AF5" si="23">AE5+1</f>
        <v>30</v>
      </c>
      <c r="AG5" s="23">
        <f t="shared" ref="AG5" si="24">AF5+1</f>
        <v>31</v>
      </c>
      <c r="AH5" s="23">
        <f t="shared" ref="AH5" si="25">AG5+1</f>
        <v>32</v>
      </c>
      <c r="AI5" s="23">
        <f t="shared" ref="AI5" si="26">AH5+1</f>
        <v>33</v>
      </c>
      <c r="AJ5" s="23">
        <f t="shared" ref="AJ5" si="27">AI5+1</f>
        <v>34</v>
      </c>
      <c r="AK5" s="23">
        <f t="shared" ref="AK5" si="28">AJ5+1</f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3"/>
      <c r="J6" s="53"/>
      <c r="K6" s="53"/>
      <c r="L6" s="53"/>
      <c r="M6" s="30"/>
      <c r="N6" s="30"/>
      <c r="O6" s="30"/>
      <c r="P6" s="30"/>
      <c r="Q6" s="53"/>
      <c r="R6" s="53"/>
      <c r="S6" s="30"/>
      <c r="T6" s="30"/>
      <c r="U6" s="30"/>
      <c r="V6" s="30"/>
      <c r="W6" s="53"/>
      <c r="X6" s="53"/>
      <c r="Y6" s="55"/>
      <c r="Z6" s="55"/>
      <c r="AA6" s="55"/>
      <c r="AB6" s="53"/>
      <c r="AC6" s="30"/>
      <c r="AD6" s="30"/>
      <c r="AE6" s="30"/>
      <c r="AF6" s="30"/>
      <c r="AG6" s="53"/>
      <c r="AH6" s="53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2.1.14'!U3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990">
        <f>'[1]Oct midyear Northshore'!K4</f>
        <v>0</v>
      </c>
      <c r="J7" s="210">
        <f>'[1]Feb midyear Northshore'!K4</f>
        <v>0</v>
      </c>
      <c r="K7" s="211">
        <f>I7+J7</f>
        <v>0</v>
      </c>
      <c r="L7" s="344">
        <f>H7+K7</f>
        <v>0</v>
      </c>
      <c r="M7" s="273">
        <f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'[2]Table 5C1L-Northshore Charter'!S7+'[14]Table 5C1L-Northshore Charter'!S7+(6*'[20]Table 5C1L-Northshore Charter'!S7)</f>
        <v>0</v>
      </c>
      <c r="R7" s="210">
        <f>P7-Q7</f>
        <v>0</v>
      </c>
      <c r="S7" s="350">
        <f t="shared" ref="S7:S38" si="29">ROUND(R7/$S$88,0)</f>
        <v>0</v>
      </c>
      <c r="T7" s="350">
        <f>+P7</f>
        <v>0</v>
      </c>
      <c r="U7" s="274">
        <f>'Table 5C1A-Madison Prep'!U7</f>
        <v>2424</v>
      </c>
      <c r="V7" s="327">
        <f t="shared" ref="V7:V38" si="30">C7*U7</f>
        <v>0</v>
      </c>
      <c r="W7" s="994">
        <f>'[1]Oct midyear Northshore'!E4</f>
        <v>0</v>
      </c>
      <c r="X7" s="276">
        <f>W7*U7</f>
        <v>0</v>
      </c>
      <c r="Y7" s="883">
        <f>'[1]Feb midyear Northshore'!E4</f>
        <v>0</v>
      </c>
      <c r="Z7" s="276">
        <f t="shared" ref="Z7:Z70" si="31">+U7*Y7*0.5</f>
        <v>0</v>
      </c>
      <c r="AA7" s="275">
        <f>+X7+Z7</f>
        <v>0</v>
      </c>
      <c r="AB7" s="323">
        <f>AA7+V7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'[2]Table 5C1L-Northshore Charter'!AI7+'[14]Table 5C1L-Northshore Charter'!AI7+(6*'[20]Table 5C1L-Northshore Charter'!AI7)</f>
        <v>0</v>
      </c>
      <c r="AH7" s="279">
        <f>AF7-AG7</f>
        <v>0</v>
      </c>
      <c r="AI7" s="323">
        <f t="shared" ref="AI7:AI38" si="32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33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2.1.14'!U4</f>
        <v>0</v>
      </c>
      <c r="D8" s="201">
        <f>+'Table 5C1A-Madison Prep'!D8</f>
        <v>6316.6266417386641</v>
      </c>
      <c r="E8" s="202">
        <f t="shared" ref="E8:E71" si="34">C8*D8</f>
        <v>0</v>
      </c>
      <c r="F8" s="202">
        <f>+'Table 5C1A-Madison Prep'!F8</f>
        <v>842.32</v>
      </c>
      <c r="G8" s="202">
        <f t="shared" ref="G8:G71" si="35">C8*F8</f>
        <v>0</v>
      </c>
      <c r="H8" s="345">
        <f t="shared" ref="H8:H71" si="36">E8+G8</f>
        <v>0</v>
      </c>
      <c r="I8" s="991">
        <f>'[1]Oct midyear Northshore'!K5</f>
        <v>0</v>
      </c>
      <c r="J8" s="203">
        <f>'[1]Feb midyear Northshore'!K5</f>
        <v>0</v>
      </c>
      <c r="K8" s="204">
        <f t="shared" ref="K8:K71" si="37">I8+J8</f>
        <v>0</v>
      </c>
      <c r="L8" s="345">
        <f t="shared" ref="L8:L38" si="38">H8+K8</f>
        <v>0</v>
      </c>
      <c r="M8" s="286">
        <f t="shared" ref="M8:M71" si="39">-(0.25%*L8)</f>
        <v>0</v>
      </c>
      <c r="N8" s="345">
        <f t="shared" ref="N8:N71" si="40">SUM(L8:M8)</f>
        <v>0</v>
      </c>
      <c r="O8" s="201">
        <v>0</v>
      </c>
      <c r="P8" s="351">
        <f t="shared" ref="P8:P71" si="41">SUM(N8:O8)</f>
        <v>0</v>
      </c>
      <c r="Q8" s="203">
        <f>'[2]Table 5C1L-Northshore Charter'!S8+'[14]Table 5C1L-Northshore Charter'!S8+(6*'[20]Table 5C1L-Northshore Charter'!S8)</f>
        <v>0</v>
      </c>
      <c r="R8" s="203">
        <f t="shared" ref="R8:R71" si="42">P8-Q8</f>
        <v>0</v>
      </c>
      <c r="S8" s="351">
        <f t="shared" si="29"/>
        <v>0</v>
      </c>
      <c r="T8" s="351">
        <f t="shared" ref="T8:T71" si="43">+P8</f>
        <v>0</v>
      </c>
      <c r="U8" s="287">
        <f>'Table 5C1A-Madison Prep'!U8</f>
        <v>2786</v>
      </c>
      <c r="V8" s="328">
        <f t="shared" si="30"/>
        <v>0</v>
      </c>
      <c r="W8" s="995">
        <f>'[1]Oct midyear Northshore'!E5</f>
        <v>0</v>
      </c>
      <c r="X8" s="290">
        <f t="shared" ref="X8:X71" si="44">W8*U8</f>
        <v>0</v>
      </c>
      <c r="Y8" s="289">
        <f>'[1]Feb midyear Northshore'!E5</f>
        <v>0</v>
      </c>
      <c r="Z8" s="290">
        <f t="shared" si="31"/>
        <v>0</v>
      </c>
      <c r="AA8" s="288">
        <f t="shared" ref="AA8:AA71" si="45">+X8+Z8</f>
        <v>0</v>
      </c>
      <c r="AB8" s="324">
        <f t="shared" ref="AB8:AB71" si="46">AA8+V8</f>
        <v>0</v>
      </c>
      <c r="AC8" s="292">
        <f t="shared" ref="AC8:AC71" si="47">-(0.25%*AB8)</f>
        <v>0</v>
      </c>
      <c r="AD8" s="324">
        <f t="shared" ref="AD8:AD71" si="48">SUM(AB8:AC8)</f>
        <v>0</v>
      </c>
      <c r="AE8" s="293">
        <v>0</v>
      </c>
      <c r="AF8" s="324">
        <f t="shared" ref="AF8:AF71" si="49">SUM(AD8:AE8)</f>
        <v>0</v>
      </c>
      <c r="AG8" s="293">
        <f>'[2]Table 5C1L-Northshore Charter'!AI8+'[14]Table 5C1L-Northshore Charter'!AI8+(6*'[20]Table 5C1L-Northshore Charter'!AI8)</f>
        <v>0</v>
      </c>
      <c r="AH8" s="293">
        <f t="shared" ref="AH8:AH71" si="50">AF8-AG8</f>
        <v>0</v>
      </c>
      <c r="AI8" s="324">
        <f t="shared" si="32"/>
        <v>0</v>
      </c>
      <c r="AJ8" s="321">
        <f t="shared" ref="AJ8:AJ71" si="51">T8+AF8</f>
        <v>0</v>
      </c>
      <c r="AK8" s="342">
        <f t="shared" ref="AK8:AK71" si="52">S8+AI8</f>
        <v>0</v>
      </c>
      <c r="AM8" s="286">
        <v>0</v>
      </c>
      <c r="AN8" s="286">
        <f t="shared" ref="AN8:AN71" si="53">+AC8</f>
        <v>0</v>
      </c>
      <c r="AO8" s="286">
        <f t="shared" si="33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2.1.14'!U5</f>
        <v>0</v>
      </c>
      <c r="D9" s="201">
        <f>+'Table 5C1A-Madison Prep'!D9</f>
        <v>4155.1862027396819</v>
      </c>
      <c r="E9" s="202">
        <f t="shared" si="34"/>
        <v>0</v>
      </c>
      <c r="F9" s="202">
        <f>+'Table 5C1A-Madison Prep'!F9</f>
        <v>596.84</v>
      </c>
      <c r="G9" s="202">
        <f t="shared" si="35"/>
        <v>0</v>
      </c>
      <c r="H9" s="345">
        <f t="shared" si="36"/>
        <v>0</v>
      </c>
      <c r="I9" s="991">
        <f>'[1]Oct midyear Northshore'!K6</f>
        <v>0</v>
      </c>
      <c r="J9" s="203">
        <f>'[1]Feb midyear Northshore'!K6</f>
        <v>0</v>
      </c>
      <c r="K9" s="204">
        <f t="shared" si="37"/>
        <v>0</v>
      </c>
      <c r="L9" s="345">
        <f t="shared" si="38"/>
        <v>0</v>
      </c>
      <c r="M9" s="286">
        <f t="shared" si="39"/>
        <v>0</v>
      </c>
      <c r="N9" s="345">
        <f t="shared" si="40"/>
        <v>0</v>
      </c>
      <c r="O9" s="201">
        <v>0</v>
      </c>
      <c r="P9" s="351">
        <f t="shared" si="41"/>
        <v>0</v>
      </c>
      <c r="Q9" s="203">
        <f>'[2]Table 5C1L-Northshore Charter'!S9+'[14]Table 5C1L-Northshore Charter'!S9+(6*'[20]Table 5C1L-Northshore Charter'!S9)</f>
        <v>0</v>
      </c>
      <c r="R9" s="203">
        <f t="shared" si="42"/>
        <v>0</v>
      </c>
      <c r="S9" s="351">
        <f t="shared" si="29"/>
        <v>0</v>
      </c>
      <c r="T9" s="351">
        <f t="shared" si="43"/>
        <v>0</v>
      </c>
      <c r="U9" s="287">
        <f>'Table 5C1A-Madison Prep'!U9</f>
        <v>5927</v>
      </c>
      <c r="V9" s="328">
        <f t="shared" si="30"/>
        <v>0</v>
      </c>
      <c r="W9" s="995">
        <f>'[1]Oct midyear Northshore'!E6</f>
        <v>0</v>
      </c>
      <c r="X9" s="290">
        <f t="shared" si="44"/>
        <v>0</v>
      </c>
      <c r="Y9" s="289">
        <f>'[1]Feb midyear Northshore'!E6</f>
        <v>0</v>
      </c>
      <c r="Z9" s="290">
        <f t="shared" si="31"/>
        <v>0</v>
      </c>
      <c r="AA9" s="288">
        <f t="shared" si="45"/>
        <v>0</v>
      </c>
      <c r="AB9" s="324">
        <f t="shared" si="46"/>
        <v>0</v>
      </c>
      <c r="AC9" s="292">
        <f t="shared" si="47"/>
        <v>0</v>
      </c>
      <c r="AD9" s="324">
        <f t="shared" si="48"/>
        <v>0</v>
      </c>
      <c r="AE9" s="293">
        <v>0</v>
      </c>
      <c r="AF9" s="324">
        <f t="shared" si="49"/>
        <v>0</v>
      </c>
      <c r="AG9" s="293">
        <f>'[2]Table 5C1L-Northshore Charter'!AI9+'[14]Table 5C1L-Northshore Charter'!AI9+(6*'[20]Table 5C1L-Northshore Charter'!AI9)</f>
        <v>0</v>
      </c>
      <c r="AH9" s="293">
        <f t="shared" si="50"/>
        <v>0</v>
      </c>
      <c r="AI9" s="324">
        <f t="shared" si="32"/>
        <v>0</v>
      </c>
      <c r="AJ9" s="321">
        <f t="shared" si="51"/>
        <v>0</v>
      </c>
      <c r="AK9" s="342">
        <f t="shared" si="52"/>
        <v>0</v>
      </c>
      <c r="AM9" s="286">
        <v>0</v>
      </c>
      <c r="AN9" s="286">
        <f t="shared" si="53"/>
        <v>0</v>
      </c>
      <c r="AO9" s="286">
        <f t="shared" si="33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2.1.14'!U6</f>
        <v>0</v>
      </c>
      <c r="D10" s="201">
        <f>+'Table 5C1A-Madison Prep'!D10</f>
        <v>6119.0581446878568</v>
      </c>
      <c r="E10" s="202">
        <f t="shared" si="34"/>
        <v>0</v>
      </c>
      <c r="F10" s="202">
        <f>+'Table 5C1A-Madison Prep'!F10</f>
        <v>585.76</v>
      </c>
      <c r="G10" s="202">
        <f t="shared" si="35"/>
        <v>0</v>
      </c>
      <c r="H10" s="345">
        <f t="shared" si="36"/>
        <v>0</v>
      </c>
      <c r="I10" s="991">
        <f>'[1]Oct midyear Northshore'!K7</f>
        <v>0</v>
      </c>
      <c r="J10" s="203">
        <f>'[1]Feb midyear Northshore'!K7</f>
        <v>0</v>
      </c>
      <c r="K10" s="204">
        <f t="shared" si="37"/>
        <v>0</v>
      </c>
      <c r="L10" s="345">
        <f t="shared" si="38"/>
        <v>0</v>
      </c>
      <c r="M10" s="286">
        <f t="shared" si="39"/>
        <v>0</v>
      </c>
      <c r="N10" s="345">
        <f t="shared" si="40"/>
        <v>0</v>
      </c>
      <c r="O10" s="201">
        <v>0</v>
      </c>
      <c r="P10" s="351">
        <f t="shared" si="41"/>
        <v>0</v>
      </c>
      <c r="Q10" s="203">
        <f>'[2]Table 5C1L-Northshore Charter'!S10+'[14]Table 5C1L-Northshore Charter'!S10+(6*'[20]Table 5C1L-Northshore Charter'!S10)</f>
        <v>0</v>
      </c>
      <c r="R10" s="203">
        <f t="shared" si="42"/>
        <v>0</v>
      </c>
      <c r="S10" s="351">
        <f t="shared" si="29"/>
        <v>0</v>
      </c>
      <c r="T10" s="351">
        <f t="shared" si="43"/>
        <v>0</v>
      </c>
      <c r="U10" s="287">
        <f>'Table 5C1A-Madison Prep'!U10</f>
        <v>4203</v>
      </c>
      <c r="V10" s="328">
        <f t="shared" si="30"/>
        <v>0</v>
      </c>
      <c r="W10" s="995">
        <f>'[1]Oct midyear Northshore'!E7</f>
        <v>0</v>
      </c>
      <c r="X10" s="290">
        <f t="shared" si="44"/>
        <v>0</v>
      </c>
      <c r="Y10" s="289">
        <f>'[1]Feb midyear Northshore'!E7</f>
        <v>0</v>
      </c>
      <c r="Z10" s="290">
        <f t="shared" si="31"/>
        <v>0</v>
      </c>
      <c r="AA10" s="288">
        <f t="shared" si="45"/>
        <v>0</v>
      </c>
      <c r="AB10" s="324">
        <f t="shared" si="46"/>
        <v>0</v>
      </c>
      <c r="AC10" s="292">
        <f t="shared" si="47"/>
        <v>0</v>
      </c>
      <c r="AD10" s="324">
        <f t="shared" si="48"/>
        <v>0</v>
      </c>
      <c r="AE10" s="293">
        <v>0</v>
      </c>
      <c r="AF10" s="324">
        <f t="shared" si="49"/>
        <v>0</v>
      </c>
      <c r="AG10" s="293">
        <f>'[2]Table 5C1L-Northshore Charter'!AI10+'[14]Table 5C1L-Northshore Charter'!AI10+(6*'[20]Table 5C1L-Northshore Charter'!AI10)</f>
        <v>0</v>
      </c>
      <c r="AH10" s="293">
        <f t="shared" si="50"/>
        <v>0</v>
      </c>
      <c r="AI10" s="324">
        <f t="shared" si="32"/>
        <v>0</v>
      </c>
      <c r="AJ10" s="321">
        <f t="shared" si="51"/>
        <v>0</v>
      </c>
      <c r="AK10" s="342">
        <f t="shared" si="52"/>
        <v>0</v>
      </c>
      <c r="AM10" s="286">
        <v>0</v>
      </c>
      <c r="AN10" s="286">
        <f t="shared" si="53"/>
        <v>0</v>
      </c>
      <c r="AO10" s="286">
        <f t="shared" si="33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2.1.14'!U7</f>
        <v>0</v>
      </c>
      <c r="D11" s="194">
        <f>+'Table 5C1A-Madison Prep'!D11</f>
        <v>5268.940566009911</v>
      </c>
      <c r="E11" s="195">
        <f t="shared" si="34"/>
        <v>0</v>
      </c>
      <c r="F11" s="195">
        <f>+'Table 5C1A-Madison Prep'!F11</f>
        <v>555.91</v>
      </c>
      <c r="G11" s="195">
        <f t="shared" si="35"/>
        <v>0</v>
      </c>
      <c r="H11" s="346">
        <f t="shared" si="36"/>
        <v>0</v>
      </c>
      <c r="I11" s="992">
        <f>'[1]Oct midyear Northshore'!K8</f>
        <v>0</v>
      </c>
      <c r="J11" s="196">
        <f>'[1]Feb midyear Northshore'!K8</f>
        <v>0</v>
      </c>
      <c r="K11" s="197">
        <f t="shared" si="37"/>
        <v>0</v>
      </c>
      <c r="L11" s="346">
        <f t="shared" si="38"/>
        <v>0</v>
      </c>
      <c r="M11" s="296">
        <f t="shared" si="39"/>
        <v>0</v>
      </c>
      <c r="N11" s="346">
        <f t="shared" si="40"/>
        <v>0</v>
      </c>
      <c r="O11" s="194">
        <v>0</v>
      </c>
      <c r="P11" s="352">
        <f t="shared" si="41"/>
        <v>0</v>
      </c>
      <c r="Q11" s="622">
        <f>'[2]Table 5C1L-Northshore Charter'!S11+'[14]Table 5C1L-Northshore Charter'!S11+(6*'[20]Table 5C1L-Northshore Charter'!S11)</f>
        <v>0</v>
      </c>
      <c r="R11" s="196">
        <f t="shared" si="42"/>
        <v>0</v>
      </c>
      <c r="S11" s="356">
        <f t="shared" si="29"/>
        <v>0</v>
      </c>
      <c r="T11" s="356">
        <f t="shared" si="43"/>
        <v>0</v>
      </c>
      <c r="U11" s="281">
        <f>'Table 5C1A-Madison Prep'!U11</f>
        <v>1923</v>
      </c>
      <c r="V11" s="329">
        <f t="shared" si="30"/>
        <v>0</v>
      </c>
      <c r="W11" s="996">
        <f>'[1]Oct midyear Northshore'!E8</f>
        <v>0</v>
      </c>
      <c r="X11" s="282">
        <f t="shared" si="44"/>
        <v>0</v>
      </c>
      <c r="Y11" s="884">
        <f>'[1]Feb midyear Northshore'!E8</f>
        <v>0</v>
      </c>
      <c r="Z11" s="282">
        <f t="shared" si="31"/>
        <v>0</v>
      </c>
      <c r="AA11" s="283">
        <f t="shared" si="45"/>
        <v>0</v>
      </c>
      <c r="AB11" s="325">
        <f t="shared" si="46"/>
        <v>0</v>
      </c>
      <c r="AC11" s="298">
        <f t="shared" si="47"/>
        <v>0</v>
      </c>
      <c r="AD11" s="325">
        <f t="shared" si="48"/>
        <v>0</v>
      </c>
      <c r="AE11" s="284">
        <v>0</v>
      </c>
      <c r="AF11" s="325">
        <f t="shared" si="49"/>
        <v>0</v>
      </c>
      <c r="AG11" s="284">
        <f>'[2]Table 5C1L-Northshore Charter'!AI11+'[14]Table 5C1L-Northshore Charter'!AI11+(6*'[20]Table 5C1L-Northshore Charter'!AI11)</f>
        <v>0</v>
      </c>
      <c r="AH11" s="284">
        <f t="shared" si="50"/>
        <v>0</v>
      </c>
      <c r="AI11" s="325">
        <f t="shared" si="32"/>
        <v>0</v>
      </c>
      <c r="AJ11" s="338">
        <f t="shared" si="51"/>
        <v>0</v>
      </c>
      <c r="AK11" s="343">
        <f t="shared" si="52"/>
        <v>0</v>
      </c>
      <c r="AM11" s="296">
        <v>0</v>
      </c>
      <c r="AN11" s="296">
        <f t="shared" si="53"/>
        <v>0</v>
      </c>
      <c r="AO11" s="296">
        <f t="shared" si="33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2.1.14'!U8</f>
        <v>0</v>
      </c>
      <c r="D12" s="208">
        <f>+'Table 5C1A-Madison Prep'!D12</f>
        <v>5378.5086124955869</v>
      </c>
      <c r="E12" s="209">
        <f t="shared" si="34"/>
        <v>0</v>
      </c>
      <c r="F12" s="209">
        <f>+'Table 5C1A-Madison Prep'!F12</f>
        <v>545.4799999999999</v>
      </c>
      <c r="G12" s="209">
        <f t="shared" si="35"/>
        <v>0</v>
      </c>
      <c r="H12" s="344">
        <f t="shared" si="36"/>
        <v>0</v>
      </c>
      <c r="I12" s="990">
        <f>'[1]Oct midyear Northshore'!K9</f>
        <v>0</v>
      </c>
      <c r="J12" s="210">
        <f>'[1]Feb midyear Northshore'!K9</f>
        <v>0</v>
      </c>
      <c r="K12" s="211">
        <f t="shared" si="37"/>
        <v>0</v>
      </c>
      <c r="L12" s="344">
        <f t="shared" si="38"/>
        <v>0</v>
      </c>
      <c r="M12" s="273">
        <f t="shared" si="39"/>
        <v>0</v>
      </c>
      <c r="N12" s="344">
        <f t="shared" si="40"/>
        <v>0</v>
      </c>
      <c r="O12" s="208">
        <v>0</v>
      </c>
      <c r="P12" s="350">
        <f t="shared" si="41"/>
        <v>0</v>
      </c>
      <c r="Q12" s="210">
        <f>'[2]Table 5C1L-Northshore Charter'!S12+'[14]Table 5C1L-Northshore Charter'!S12+(6*'[20]Table 5C1L-Northshore Charter'!S12)</f>
        <v>0</v>
      </c>
      <c r="R12" s="210">
        <f t="shared" si="42"/>
        <v>0</v>
      </c>
      <c r="S12" s="350">
        <f t="shared" si="29"/>
        <v>0</v>
      </c>
      <c r="T12" s="350">
        <f t="shared" si="43"/>
        <v>0</v>
      </c>
      <c r="U12" s="274">
        <f>'Table 5C1A-Madison Prep'!U12</f>
        <v>4057</v>
      </c>
      <c r="V12" s="327">
        <f t="shared" si="30"/>
        <v>0</v>
      </c>
      <c r="W12" s="994">
        <f>'[1]Oct midyear Northshore'!E9</f>
        <v>0</v>
      </c>
      <c r="X12" s="276">
        <f t="shared" si="44"/>
        <v>0</v>
      </c>
      <c r="Y12" s="883">
        <f>'[1]Feb midyear Northshore'!E9</f>
        <v>0</v>
      </c>
      <c r="Z12" s="276">
        <f t="shared" si="31"/>
        <v>0</v>
      </c>
      <c r="AA12" s="275">
        <f t="shared" si="45"/>
        <v>0</v>
      </c>
      <c r="AB12" s="323">
        <f t="shared" si="46"/>
        <v>0</v>
      </c>
      <c r="AC12" s="278">
        <f t="shared" si="47"/>
        <v>0</v>
      </c>
      <c r="AD12" s="323">
        <f t="shared" si="48"/>
        <v>0</v>
      </c>
      <c r="AE12" s="279">
        <v>0</v>
      </c>
      <c r="AF12" s="323">
        <f t="shared" si="49"/>
        <v>0</v>
      </c>
      <c r="AG12" s="279">
        <f>'[2]Table 5C1L-Northshore Charter'!AI12+'[14]Table 5C1L-Northshore Charter'!AI12+(6*'[20]Table 5C1L-Northshore Charter'!AI12)</f>
        <v>0</v>
      </c>
      <c r="AH12" s="279">
        <f t="shared" si="50"/>
        <v>0</v>
      </c>
      <c r="AI12" s="323">
        <f t="shared" si="32"/>
        <v>0</v>
      </c>
      <c r="AJ12" s="337">
        <f t="shared" si="51"/>
        <v>0</v>
      </c>
      <c r="AK12" s="341">
        <f t="shared" si="52"/>
        <v>0</v>
      </c>
      <c r="AM12" s="273">
        <v>0</v>
      </c>
      <c r="AN12" s="273">
        <f t="shared" si="53"/>
        <v>0</v>
      </c>
      <c r="AO12" s="273">
        <f t="shared" si="33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2.1.14'!U9</f>
        <v>0</v>
      </c>
      <c r="D13" s="201">
        <f>+'Table 5C1A-Madison Prep'!D13</f>
        <v>2243.0031963470319</v>
      </c>
      <c r="E13" s="202">
        <f t="shared" si="34"/>
        <v>0</v>
      </c>
      <c r="F13" s="202">
        <f>+'Table 5C1A-Madison Prep'!F13</f>
        <v>756.91999999999985</v>
      </c>
      <c r="G13" s="202">
        <f t="shared" si="35"/>
        <v>0</v>
      </c>
      <c r="H13" s="345">
        <f t="shared" si="36"/>
        <v>0</v>
      </c>
      <c r="I13" s="991">
        <f>'[1]Oct midyear Northshore'!K10</f>
        <v>0</v>
      </c>
      <c r="J13" s="203">
        <f>'[1]Feb midyear Northshore'!K10</f>
        <v>0</v>
      </c>
      <c r="K13" s="204">
        <f t="shared" si="37"/>
        <v>0</v>
      </c>
      <c r="L13" s="345">
        <f t="shared" si="38"/>
        <v>0</v>
      </c>
      <c r="M13" s="286">
        <f t="shared" si="39"/>
        <v>0</v>
      </c>
      <c r="N13" s="345">
        <f t="shared" si="40"/>
        <v>0</v>
      </c>
      <c r="O13" s="201">
        <v>0</v>
      </c>
      <c r="P13" s="351">
        <f t="shared" si="41"/>
        <v>0</v>
      </c>
      <c r="Q13" s="203">
        <f>'[2]Table 5C1L-Northshore Charter'!S13+'[14]Table 5C1L-Northshore Charter'!S13+(6*'[20]Table 5C1L-Northshore Charter'!S13)</f>
        <v>0</v>
      </c>
      <c r="R13" s="203">
        <f t="shared" si="42"/>
        <v>0</v>
      </c>
      <c r="S13" s="351">
        <f t="shared" si="29"/>
        <v>0</v>
      </c>
      <c r="T13" s="351">
        <f t="shared" si="43"/>
        <v>0</v>
      </c>
      <c r="U13" s="287">
        <f>'Table 5C1A-Madison Prep'!U13</f>
        <v>12112</v>
      </c>
      <c r="V13" s="328">
        <f t="shared" si="30"/>
        <v>0</v>
      </c>
      <c r="W13" s="995">
        <f>'[1]Oct midyear Northshore'!E10</f>
        <v>0</v>
      </c>
      <c r="X13" s="290">
        <f t="shared" si="44"/>
        <v>0</v>
      </c>
      <c r="Y13" s="289">
        <f>'[1]Feb midyear Northshore'!E10</f>
        <v>0</v>
      </c>
      <c r="Z13" s="290">
        <f t="shared" si="31"/>
        <v>0</v>
      </c>
      <c r="AA13" s="288">
        <f t="shared" si="45"/>
        <v>0</v>
      </c>
      <c r="AB13" s="324">
        <f t="shared" si="46"/>
        <v>0</v>
      </c>
      <c r="AC13" s="292">
        <f t="shared" si="47"/>
        <v>0</v>
      </c>
      <c r="AD13" s="324">
        <f t="shared" si="48"/>
        <v>0</v>
      </c>
      <c r="AE13" s="293">
        <v>0</v>
      </c>
      <c r="AF13" s="324">
        <f t="shared" si="49"/>
        <v>0</v>
      </c>
      <c r="AG13" s="293">
        <f>'[2]Table 5C1L-Northshore Charter'!AI13+'[14]Table 5C1L-Northshore Charter'!AI13+(6*'[20]Table 5C1L-Northshore Charter'!AI13)</f>
        <v>0</v>
      </c>
      <c r="AH13" s="293">
        <f t="shared" si="50"/>
        <v>0</v>
      </c>
      <c r="AI13" s="324">
        <f t="shared" si="32"/>
        <v>0</v>
      </c>
      <c r="AJ13" s="321">
        <f t="shared" si="51"/>
        <v>0</v>
      </c>
      <c r="AK13" s="342">
        <f t="shared" si="52"/>
        <v>0</v>
      </c>
      <c r="AM13" s="286">
        <v>0</v>
      </c>
      <c r="AN13" s="286">
        <f t="shared" si="53"/>
        <v>0</v>
      </c>
      <c r="AO13" s="286">
        <f t="shared" si="33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2.1.14'!U10</f>
        <v>0</v>
      </c>
      <c r="D14" s="201">
        <f>+'Table 5C1A-Madison Prep'!D14</f>
        <v>4669.802459558854</v>
      </c>
      <c r="E14" s="202">
        <f t="shared" si="34"/>
        <v>0</v>
      </c>
      <c r="F14" s="202">
        <f>+'Table 5C1A-Madison Prep'!F14</f>
        <v>725.76</v>
      </c>
      <c r="G14" s="202">
        <f t="shared" si="35"/>
        <v>0</v>
      </c>
      <c r="H14" s="345">
        <f t="shared" si="36"/>
        <v>0</v>
      </c>
      <c r="I14" s="991">
        <f>'[1]Oct midyear Northshore'!K11</f>
        <v>0</v>
      </c>
      <c r="J14" s="203">
        <f>'[1]Feb midyear Northshore'!K11</f>
        <v>0</v>
      </c>
      <c r="K14" s="204">
        <f t="shared" si="37"/>
        <v>0</v>
      </c>
      <c r="L14" s="345">
        <f t="shared" si="38"/>
        <v>0</v>
      </c>
      <c r="M14" s="286">
        <f t="shared" si="39"/>
        <v>0</v>
      </c>
      <c r="N14" s="345">
        <f t="shared" si="40"/>
        <v>0</v>
      </c>
      <c r="O14" s="201">
        <v>0</v>
      </c>
      <c r="P14" s="351">
        <f t="shared" si="41"/>
        <v>0</v>
      </c>
      <c r="Q14" s="203">
        <f>'[2]Table 5C1L-Northshore Charter'!S14+'[14]Table 5C1L-Northshore Charter'!S14+(6*'[20]Table 5C1L-Northshore Charter'!S14)</f>
        <v>0</v>
      </c>
      <c r="R14" s="203">
        <f t="shared" si="42"/>
        <v>0</v>
      </c>
      <c r="S14" s="351">
        <f t="shared" si="29"/>
        <v>0</v>
      </c>
      <c r="T14" s="351">
        <f t="shared" si="43"/>
        <v>0</v>
      </c>
      <c r="U14" s="287">
        <f>'Table 5C1A-Madison Prep'!U14</f>
        <v>4124</v>
      </c>
      <c r="V14" s="328">
        <f t="shared" si="30"/>
        <v>0</v>
      </c>
      <c r="W14" s="995">
        <f>'[1]Oct midyear Northshore'!E11</f>
        <v>0</v>
      </c>
      <c r="X14" s="290">
        <f t="shared" si="44"/>
        <v>0</v>
      </c>
      <c r="Y14" s="289">
        <f>'[1]Feb midyear Northshore'!E11</f>
        <v>0</v>
      </c>
      <c r="Z14" s="290">
        <f t="shared" si="31"/>
        <v>0</v>
      </c>
      <c r="AA14" s="288">
        <f t="shared" si="45"/>
        <v>0</v>
      </c>
      <c r="AB14" s="324">
        <f t="shared" si="46"/>
        <v>0</v>
      </c>
      <c r="AC14" s="292">
        <f t="shared" si="47"/>
        <v>0</v>
      </c>
      <c r="AD14" s="324">
        <f t="shared" si="48"/>
        <v>0</v>
      </c>
      <c r="AE14" s="293">
        <v>0</v>
      </c>
      <c r="AF14" s="324">
        <f t="shared" si="49"/>
        <v>0</v>
      </c>
      <c r="AG14" s="293">
        <f>'[2]Table 5C1L-Northshore Charter'!AI14+'[14]Table 5C1L-Northshore Charter'!AI14+(6*'[20]Table 5C1L-Northshore Charter'!AI14)</f>
        <v>0</v>
      </c>
      <c r="AH14" s="293">
        <f t="shared" si="50"/>
        <v>0</v>
      </c>
      <c r="AI14" s="324">
        <f t="shared" si="32"/>
        <v>0</v>
      </c>
      <c r="AJ14" s="321">
        <f t="shared" si="51"/>
        <v>0</v>
      </c>
      <c r="AK14" s="342">
        <f t="shared" si="52"/>
        <v>0</v>
      </c>
      <c r="AM14" s="286">
        <v>0</v>
      </c>
      <c r="AN14" s="286">
        <f t="shared" si="53"/>
        <v>0</v>
      </c>
      <c r="AO14" s="286">
        <f t="shared" si="33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2.1.14'!U11</f>
        <v>0</v>
      </c>
      <c r="D15" s="201">
        <f>+'Table 5C1A-Madison Prep'!D15</f>
        <v>4632.4615072045008</v>
      </c>
      <c r="E15" s="202">
        <f t="shared" si="34"/>
        <v>0</v>
      </c>
      <c r="F15" s="202">
        <f>+'Table 5C1A-Madison Prep'!F15</f>
        <v>744.76</v>
      </c>
      <c r="G15" s="202">
        <f t="shared" si="35"/>
        <v>0</v>
      </c>
      <c r="H15" s="345">
        <f t="shared" si="36"/>
        <v>0</v>
      </c>
      <c r="I15" s="991">
        <f>'[1]Oct midyear Northshore'!K12</f>
        <v>0</v>
      </c>
      <c r="J15" s="203">
        <f>'[1]Feb midyear Northshore'!K12</f>
        <v>0</v>
      </c>
      <c r="K15" s="204">
        <f t="shared" si="37"/>
        <v>0</v>
      </c>
      <c r="L15" s="345">
        <f t="shared" si="38"/>
        <v>0</v>
      </c>
      <c r="M15" s="286">
        <f t="shared" si="39"/>
        <v>0</v>
      </c>
      <c r="N15" s="345">
        <f t="shared" si="40"/>
        <v>0</v>
      </c>
      <c r="O15" s="201">
        <v>0</v>
      </c>
      <c r="P15" s="351">
        <f t="shared" si="41"/>
        <v>0</v>
      </c>
      <c r="Q15" s="203">
        <f>'[2]Table 5C1L-Northshore Charter'!S15+'[14]Table 5C1L-Northshore Charter'!S15+(6*'[20]Table 5C1L-Northshore Charter'!S15)</f>
        <v>0</v>
      </c>
      <c r="R15" s="203">
        <f t="shared" si="42"/>
        <v>0</v>
      </c>
      <c r="S15" s="351">
        <f t="shared" si="29"/>
        <v>0</v>
      </c>
      <c r="T15" s="351">
        <f t="shared" si="43"/>
        <v>0</v>
      </c>
      <c r="U15" s="287">
        <f>'Table 5C1A-Madison Prep'!U15</f>
        <v>4901</v>
      </c>
      <c r="V15" s="328">
        <f t="shared" si="30"/>
        <v>0</v>
      </c>
      <c r="W15" s="995">
        <f>'[1]Oct midyear Northshore'!E12</f>
        <v>0</v>
      </c>
      <c r="X15" s="290">
        <f t="shared" si="44"/>
        <v>0</v>
      </c>
      <c r="Y15" s="289">
        <f>'[1]Feb midyear Northshore'!E12</f>
        <v>0</v>
      </c>
      <c r="Z15" s="290">
        <f t="shared" si="31"/>
        <v>0</v>
      </c>
      <c r="AA15" s="288">
        <f t="shared" si="45"/>
        <v>0</v>
      </c>
      <c r="AB15" s="324">
        <f t="shared" si="46"/>
        <v>0</v>
      </c>
      <c r="AC15" s="292">
        <f t="shared" si="47"/>
        <v>0</v>
      </c>
      <c r="AD15" s="324">
        <f t="shared" si="48"/>
        <v>0</v>
      </c>
      <c r="AE15" s="293">
        <v>0</v>
      </c>
      <c r="AF15" s="324">
        <f t="shared" si="49"/>
        <v>0</v>
      </c>
      <c r="AG15" s="293">
        <f>'[2]Table 5C1L-Northshore Charter'!AI15+'[14]Table 5C1L-Northshore Charter'!AI15+(6*'[20]Table 5C1L-Northshore Charter'!AI15)</f>
        <v>0</v>
      </c>
      <c r="AH15" s="293">
        <f t="shared" si="50"/>
        <v>0</v>
      </c>
      <c r="AI15" s="324">
        <f t="shared" si="32"/>
        <v>0</v>
      </c>
      <c r="AJ15" s="321">
        <f t="shared" si="51"/>
        <v>0</v>
      </c>
      <c r="AK15" s="342">
        <f t="shared" si="52"/>
        <v>0</v>
      </c>
      <c r="AM15" s="286">
        <v>0</v>
      </c>
      <c r="AN15" s="286">
        <f t="shared" si="53"/>
        <v>0</v>
      </c>
      <c r="AO15" s="286">
        <f t="shared" si="33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2.1.14'!U12</f>
        <v>0</v>
      </c>
      <c r="D16" s="194">
        <f>+'Table 5C1A-Madison Prep'!D16</f>
        <v>4384.374733918472</v>
      </c>
      <c r="E16" s="195">
        <f t="shared" si="34"/>
        <v>0</v>
      </c>
      <c r="F16" s="195">
        <f>+'Table 5C1A-Madison Prep'!F16</f>
        <v>608.04000000000008</v>
      </c>
      <c r="G16" s="195">
        <f t="shared" si="35"/>
        <v>0</v>
      </c>
      <c r="H16" s="346">
        <f t="shared" si="36"/>
        <v>0</v>
      </c>
      <c r="I16" s="992">
        <f>'[1]Oct midyear Northshore'!K13</f>
        <v>0</v>
      </c>
      <c r="J16" s="196">
        <f>'[1]Feb midyear Northshore'!K13</f>
        <v>0</v>
      </c>
      <c r="K16" s="197">
        <f t="shared" si="37"/>
        <v>0</v>
      </c>
      <c r="L16" s="346">
        <f t="shared" si="38"/>
        <v>0</v>
      </c>
      <c r="M16" s="296">
        <f t="shared" si="39"/>
        <v>0</v>
      </c>
      <c r="N16" s="346">
        <f t="shared" si="40"/>
        <v>0</v>
      </c>
      <c r="O16" s="194">
        <v>0</v>
      </c>
      <c r="P16" s="352">
        <f t="shared" si="41"/>
        <v>0</v>
      </c>
      <c r="Q16" s="622">
        <f>'[2]Table 5C1L-Northshore Charter'!S16+'[14]Table 5C1L-Northshore Charter'!S16+(6*'[20]Table 5C1L-Northshore Charter'!S16)</f>
        <v>0</v>
      </c>
      <c r="R16" s="196">
        <f t="shared" si="42"/>
        <v>0</v>
      </c>
      <c r="S16" s="356">
        <f t="shared" si="29"/>
        <v>0</v>
      </c>
      <c r="T16" s="356">
        <f t="shared" si="43"/>
        <v>0</v>
      </c>
      <c r="U16" s="281">
        <f>'Table 5C1A-Madison Prep'!U16</f>
        <v>4619</v>
      </c>
      <c r="V16" s="329">
        <f t="shared" si="30"/>
        <v>0</v>
      </c>
      <c r="W16" s="996">
        <f>'[1]Oct midyear Northshore'!E13</f>
        <v>0</v>
      </c>
      <c r="X16" s="282">
        <f t="shared" si="44"/>
        <v>0</v>
      </c>
      <c r="Y16" s="884">
        <f>'[1]Feb midyear Northshore'!E13</f>
        <v>0</v>
      </c>
      <c r="Z16" s="282">
        <f t="shared" si="31"/>
        <v>0</v>
      </c>
      <c r="AA16" s="283">
        <f t="shared" si="45"/>
        <v>0</v>
      </c>
      <c r="AB16" s="325">
        <f t="shared" si="46"/>
        <v>0</v>
      </c>
      <c r="AC16" s="298">
        <f t="shared" si="47"/>
        <v>0</v>
      </c>
      <c r="AD16" s="325">
        <f t="shared" si="48"/>
        <v>0</v>
      </c>
      <c r="AE16" s="284">
        <v>0</v>
      </c>
      <c r="AF16" s="325">
        <f t="shared" si="49"/>
        <v>0</v>
      </c>
      <c r="AG16" s="284">
        <f>'[2]Table 5C1L-Northshore Charter'!AI16+'[14]Table 5C1L-Northshore Charter'!AI16+(6*'[20]Table 5C1L-Northshore Charter'!AI16)</f>
        <v>0</v>
      </c>
      <c r="AH16" s="284">
        <f t="shared" si="50"/>
        <v>0</v>
      </c>
      <c r="AI16" s="325">
        <f t="shared" si="32"/>
        <v>0</v>
      </c>
      <c r="AJ16" s="338">
        <f t="shared" si="51"/>
        <v>0</v>
      </c>
      <c r="AK16" s="343">
        <f t="shared" si="52"/>
        <v>0</v>
      </c>
      <c r="AM16" s="296">
        <v>0</v>
      </c>
      <c r="AN16" s="296">
        <f t="shared" si="53"/>
        <v>0</v>
      </c>
      <c r="AO16" s="296">
        <f t="shared" si="33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2.1.14'!U13</f>
        <v>0</v>
      </c>
      <c r="D17" s="208">
        <f>+'Table 5C1A-Madison Prep'!D17</f>
        <v>7098.5372236353351</v>
      </c>
      <c r="E17" s="209">
        <f t="shared" si="34"/>
        <v>0</v>
      </c>
      <c r="F17" s="209">
        <f>+'Table 5C1A-Madison Prep'!F17</f>
        <v>706.55</v>
      </c>
      <c r="G17" s="209">
        <f t="shared" si="35"/>
        <v>0</v>
      </c>
      <c r="H17" s="344">
        <f t="shared" si="36"/>
        <v>0</v>
      </c>
      <c r="I17" s="990">
        <f>'[1]Oct midyear Northshore'!K14</f>
        <v>0</v>
      </c>
      <c r="J17" s="210">
        <f>'[1]Feb midyear Northshore'!K14</f>
        <v>0</v>
      </c>
      <c r="K17" s="211">
        <f t="shared" si="37"/>
        <v>0</v>
      </c>
      <c r="L17" s="344">
        <f t="shared" si="38"/>
        <v>0</v>
      </c>
      <c r="M17" s="273">
        <f t="shared" si="39"/>
        <v>0</v>
      </c>
      <c r="N17" s="344">
        <f t="shared" si="40"/>
        <v>0</v>
      </c>
      <c r="O17" s="208">
        <v>0</v>
      </c>
      <c r="P17" s="350">
        <f t="shared" si="41"/>
        <v>0</v>
      </c>
      <c r="Q17" s="210">
        <f>'[2]Table 5C1L-Northshore Charter'!S17+'[14]Table 5C1L-Northshore Charter'!S17+(6*'[20]Table 5C1L-Northshore Charter'!S17)</f>
        <v>0</v>
      </c>
      <c r="R17" s="210">
        <f t="shared" si="42"/>
        <v>0</v>
      </c>
      <c r="S17" s="350">
        <f t="shared" si="29"/>
        <v>0</v>
      </c>
      <c r="T17" s="350">
        <f t="shared" si="43"/>
        <v>0</v>
      </c>
      <c r="U17" s="274">
        <f>'Table 5C1A-Madison Prep'!U17</f>
        <v>3580</v>
      </c>
      <c r="V17" s="327">
        <f t="shared" si="30"/>
        <v>0</v>
      </c>
      <c r="W17" s="994">
        <f>'[1]Oct midyear Northshore'!E14</f>
        <v>0</v>
      </c>
      <c r="X17" s="276">
        <f t="shared" si="44"/>
        <v>0</v>
      </c>
      <c r="Y17" s="883">
        <f>'[1]Feb midyear Northshore'!E14</f>
        <v>0</v>
      </c>
      <c r="Z17" s="276">
        <f t="shared" si="31"/>
        <v>0</v>
      </c>
      <c r="AA17" s="275">
        <f t="shared" si="45"/>
        <v>0</v>
      </c>
      <c r="AB17" s="323">
        <f t="shared" si="46"/>
        <v>0</v>
      </c>
      <c r="AC17" s="278">
        <f t="shared" si="47"/>
        <v>0</v>
      </c>
      <c r="AD17" s="323">
        <f t="shared" si="48"/>
        <v>0</v>
      </c>
      <c r="AE17" s="279">
        <v>0</v>
      </c>
      <c r="AF17" s="323">
        <f t="shared" si="49"/>
        <v>0</v>
      </c>
      <c r="AG17" s="279">
        <f>'[2]Table 5C1L-Northshore Charter'!AI17+'[14]Table 5C1L-Northshore Charter'!AI17+(6*'[20]Table 5C1L-Northshore Charter'!AI17)</f>
        <v>0</v>
      </c>
      <c r="AH17" s="279">
        <f t="shared" si="50"/>
        <v>0</v>
      </c>
      <c r="AI17" s="323">
        <f t="shared" si="32"/>
        <v>0</v>
      </c>
      <c r="AJ17" s="337">
        <f t="shared" si="51"/>
        <v>0</v>
      </c>
      <c r="AK17" s="341">
        <f t="shared" si="52"/>
        <v>0</v>
      </c>
      <c r="AM17" s="273">
        <v>0</v>
      </c>
      <c r="AN17" s="273">
        <f t="shared" si="53"/>
        <v>0</v>
      </c>
      <c r="AO17" s="273">
        <f t="shared" si="33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2.1.14'!U14</f>
        <v>0</v>
      </c>
      <c r="D18" s="201">
        <f>+'Table 5C1A-Madison Prep'!D18</f>
        <v>1666.6040983606558</v>
      </c>
      <c r="E18" s="202">
        <f t="shared" si="34"/>
        <v>0</v>
      </c>
      <c r="F18" s="202">
        <f>+'Table 5C1A-Madison Prep'!F18</f>
        <v>1063.31</v>
      </c>
      <c r="G18" s="202">
        <f t="shared" si="35"/>
        <v>0</v>
      </c>
      <c r="H18" s="345">
        <f t="shared" si="36"/>
        <v>0</v>
      </c>
      <c r="I18" s="991">
        <f>'[1]Oct midyear Northshore'!K15</f>
        <v>0</v>
      </c>
      <c r="J18" s="203">
        <f>'[1]Feb midyear Northshore'!K15</f>
        <v>0</v>
      </c>
      <c r="K18" s="204">
        <f t="shared" si="37"/>
        <v>0</v>
      </c>
      <c r="L18" s="345">
        <f t="shared" si="38"/>
        <v>0</v>
      </c>
      <c r="M18" s="286">
        <f t="shared" si="39"/>
        <v>0</v>
      </c>
      <c r="N18" s="345">
        <f t="shared" si="40"/>
        <v>0</v>
      </c>
      <c r="O18" s="201">
        <v>0</v>
      </c>
      <c r="P18" s="351">
        <f t="shared" si="41"/>
        <v>0</v>
      </c>
      <c r="Q18" s="203">
        <f>'[2]Table 5C1L-Northshore Charter'!S18+'[14]Table 5C1L-Northshore Charter'!S18+(6*'[20]Table 5C1L-Northshore Charter'!S18)</f>
        <v>0</v>
      </c>
      <c r="R18" s="203">
        <f t="shared" si="42"/>
        <v>0</v>
      </c>
      <c r="S18" s="351">
        <f t="shared" si="29"/>
        <v>0</v>
      </c>
      <c r="T18" s="351">
        <f t="shared" si="43"/>
        <v>0</v>
      </c>
      <c r="U18" s="287">
        <f>'Table 5C1A-Madison Prep'!U18</f>
        <v>8094</v>
      </c>
      <c r="V18" s="328">
        <f t="shared" si="30"/>
        <v>0</v>
      </c>
      <c r="W18" s="995">
        <f>'[1]Oct midyear Northshore'!E15</f>
        <v>0</v>
      </c>
      <c r="X18" s="290">
        <f t="shared" si="44"/>
        <v>0</v>
      </c>
      <c r="Y18" s="289">
        <f>'[1]Feb midyear Northshore'!E15</f>
        <v>0</v>
      </c>
      <c r="Z18" s="290">
        <f t="shared" si="31"/>
        <v>0</v>
      </c>
      <c r="AA18" s="288">
        <f t="shared" si="45"/>
        <v>0</v>
      </c>
      <c r="AB18" s="324">
        <f t="shared" si="46"/>
        <v>0</v>
      </c>
      <c r="AC18" s="292">
        <f t="shared" si="47"/>
        <v>0</v>
      </c>
      <c r="AD18" s="324">
        <f t="shared" si="48"/>
        <v>0</v>
      </c>
      <c r="AE18" s="293">
        <v>0</v>
      </c>
      <c r="AF18" s="324">
        <f t="shared" si="49"/>
        <v>0</v>
      </c>
      <c r="AG18" s="293">
        <f>'[2]Table 5C1L-Northshore Charter'!AI18+'[14]Table 5C1L-Northshore Charter'!AI18+(6*'[20]Table 5C1L-Northshore Charter'!AI18)</f>
        <v>0</v>
      </c>
      <c r="AH18" s="293">
        <f t="shared" si="50"/>
        <v>0</v>
      </c>
      <c r="AI18" s="324">
        <f t="shared" si="32"/>
        <v>0</v>
      </c>
      <c r="AJ18" s="321">
        <f t="shared" si="51"/>
        <v>0</v>
      </c>
      <c r="AK18" s="342">
        <f t="shared" si="52"/>
        <v>0</v>
      </c>
      <c r="AM18" s="286">
        <v>0</v>
      </c>
      <c r="AN18" s="286">
        <f t="shared" si="53"/>
        <v>0</v>
      </c>
      <c r="AO18" s="286">
        <f t="shared" si="33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2.1.14'!U15</f>
        <v>0</v>
      </c>
      <c r="D19" s="201">
        <f>+'Table 5C1A-Madison Prep'!D19</f>
        <v>6433.6297758332212</v>
      </c>
      <c r="E19" s="202">
        <f t="shared" si="34"/>
        <v>0</v>
      </c>
      <c r="F19" s="202">
        <f>+'Table 5C1A-Madison Prep'!F19</f>
        <v>749.43000000000006</v>
      </c>
      <c r="G19" s="202">
        <f t="shared" si="35"/>
        <v>0</v>
      </c>
      <c r="H19" s="345">
        <f t="shared" si="36"/>
        <v>0</v>
      </c>
      <c r="I19" s="991">
        <f>'[1]Oct midyear Northshore'!K16</f>
        <v>0</v>
      </c>
      <c r="J19" s="203">
        <f>'[1]Feb midyear Northshore'!K16</f>
        <v>0</v>
      </c>
      <c r="K19" s="204">
        <f t="shared" si="37"/>
        <v>0</v>
      </c>
      <c r="L19" s="345">
        <f t="shared" si="38"/>
        <v>0</v>
      </c>
      <c r="M19" s="286">
        <f t="shared" si="39"/>
        <v>0</v>
      </c>
      <c r="N19" s="345">
        <f t="shared" si="40"/>
        <v>0</v>
      </c>
      <c r="O19" s="201">
        <v>0</v>
      </c>
      <c r="P19" s="351">
        <f t="shared" si="41"/>
        <v>0</v>
      </c>
      <c r="Q19" s="203">
        <f>'[2]Table 5C1L-Northshore Charter'!S19+'[14]Table 5C1L-Northshore Charter'!S19+(6*'[20]Table 5C1L-Northshore Charter'!S19)</f>
        <v>0</v>
      </c>
      <c r="R19" s="203">
        <f t="shared" si="42"/>
        <v>0</v>
      </c>
      <c r="S19" s="351">
        <f t="shared" si="29"/>
        <v>0</v>
      </c>
      <c r="T19" s="351">
        <f t="shared" si="43"/>
        <v>0</v>
      </c>
      <c r="U19" s="287">
        <f>'Table 5C1A-Madison Prep'!U19</f>
        <v>2762</v>
      </c>
      <c r="V19" s="328">
        <f t="shared" si="30"/>
        <v>0</v>
      </c>
      <c r="W19" s="995">
        <f>'[1]Oct midyear Northshore'!E16</f>
        <v>0</v>
      </c>
      <c r="X19" s="290">
        <f t="shared" si="44"/>
        <v>0</v>
      </c>
      <c r="Y19" s="289">
        <f>'[1]Feb midyear Northshore'!E16</f>
        <v>0</v>
      </c>
      <c r="Z19" s="290">
        <f t="shared" si="31"/>
        <v>0</v>
      </c>
      <c r="AA19" s="288">
        <f t="shared" si="45"/>
        <v>0</v>
      </c>
      <c r="AB19" s="324">
        <f t="shared" si="46"/>
        <v>0</v>
      </c>
      <c r="AC19" s="292">
        <f t="shared" si="47"/>
        <v>0</v>
      </c>
      <c r="AD19" s="324">
        <f t="shared" si="48"/>
        <v>0</v>
      </c>
      <c r="AE19" s="293">
        <v>0</v>
      </c>
      <c r="AF19" s="324">
        <f t="shared" si="49"/>
        <v>0</v>
      </c>
      <c r="AG19" s="293">
        <f>'[2]Table 5C1L-Northshore Charter'!AI19+'[14]Table 5C1L-Northshore Charter'!AI19+(6*'[20]Table 5C1L-Northshore Charter'!AI19)</f>
        <v>0</v>
      </c>
      <c r="AH19" s="293">
        <f t="shared" si="50"/>
        <v>0</v>
      </c>
      <c r="AI19" s="324">
        <f t="shared" si="32"/>
        <v>0</v>
      </c>
      <c r="AJ19" s="321">
        <f t="shared" si="51"/>
        <v>0</v>
      </c>
      <c r="AK19" s="342">
        <f t="shared" si="52"/>
        <v>0</v>
      </c>
      <c r="AM19" s="286">
        <v>0</v>
      </c>
      <c r="AN19" s="286">
        <f t="shared" si="53"/>
        <v>0</v>
      </c>
      <c r="AO19" s="286">
        <f t="shared" si="33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2.1.14'!U16</f>
        <v>0</v>
      </c>
      <c r="D20" s="201">
        <f>+'Table 5C1A-Madison Prep'!D20</f>
        <v>5334.9509412500001</v>
      </c>
      <c r="E20" s="202">
        <f t="shared" si="34"/>
        <v>0</v>
      </c>
      <c r="F20" s="202">
        <f>+'Table 5C1A-Madison Prep'!F20</f>
        <v>809.9799999999999</v>
      </c>
      <c r="G20" s="202">
        <f t="shared" si="35"/>
        <v>0</v>
      </c>
      <c r="H20" s="345">
        <f t="shared" si="36"/>
        <v>0</v>
      </c>
      <c r="I20" s="991">
        <f>'[1]Oct midyear Northshore'!K17</f>
        <v>0</v>
      </c>
      <c r="J20" s="203">
        <f>'[1]Feb midyear Northshore'!K17</f>
        <v>0</v>
      </c>
      <c r="K20" s="204">
        <f t="shared" si="37"/>
        <v>0</v>
      </c>
      <c r="L20" s="345">
        <f t="shared" si="38"/>
        <v>0</v>
      </c>
      <c r="M20" s="286">
        <f t="shared" si="39"/>
        <v>0</v>
      </c>
      <c r="N20" s="345">
        <f t="shared" si="40"/>
        <v>0</v>
      </c>
      <c r="O20" s="201">
        <v>0</v>
      </c>
      <c r="P20" s="351">
        <f t="shared" si="41"/>
        <v>0</v>
      </c>
      <c r="Q20" s="203">
        <f>'[2]Table 5C1L-Northshore Charter'!S20+'[14]Table 5C1L-Northshore Charter'!S20+(6*'[20]Table 5C1L-Northshore Charter'!S20)</f>
        <v>0</v>
      </c>
      <c r="R20" s="203">
        <f t="shared" si="42"/>
        <v>0</v>
      </c>
      <c r="S20" s="351">
        <f t="shared" si="29"/>
        <v>0</v>
      </c>
      <c r="T20" s="351">
        <f t="shared" si="43"/>
        <v>0</v>
      </c>
      <c r="U20" s="287">
        <f>'Table 5C1A-Madison Prep'!U20</f>
        <v>4171</v>
      </c>
      <c r="V20" s="328">
        <f t="shared" si="30"/>
        <v>0</v>
      </c>
      <c r="W20" s="995">
        <f>'[1]Oct midyear Northshore'!E17</f>
        <v>0</v>
      </c>
      <c r="X20" s="290">
        <f t="shared" si="44"/>
        <v>0</v>
      </c>
      <c r="Y20" s="289">
        <f>'[1]Feb midyear Northshore'!E17</f>
        <v>0</v>
      </c>
      <c r="Z20" s="290">
        <f t="shared" si="31"/>
        <v>0</v>
      </c>
      <c r="AA20" s="288">
        <f t="shared" si="45"/>
        <v>0</v>
      </c>
      <c r="AB20" s="324">
        <f t="shared" si="46"/>
        <v>0</v>
      </c>
      <c r="AC20" s="292">
        <f t="shared" si="47"/>
        <v>0</v>
      </c>
      <c r="AD20" s="324">
        <f t="shared" si="48"/>
        <v>0</v>
      </c>
      <c r="AE20" s="293">
        <v>0</v>
      </c>
      <c r="AF20" s="324">
        <f t="shared" si="49"/>
        <v>0</v>
      </c>
      <c r="AG20" s="293">
        <f>'[2]Table 5C1L-Northshore Charter'!AI20+'[14]Table 5C1L-Northshore Charter'!AI20+(6*'[20]Table 5C1L-Northshore Charter'!AI20)</f>
        <v>0</v>
      </c>
      <c r="AH20" s="293">
        <f t="shared" si="50"/>
        <v>0</v>
      </c>
      <c r="AI20" s="324">
        <f t="shared" si="32"/>
        <v>0</v>
      </c>
      <c r="AJ20" s="321">
        <f t="shared" si="51"/>
        <v>0</v>
      </c>
      <c r="AK20" s="342">
        <f t="shared" si="52"/>
        <v>0</v>
      </c>
      <c r="AM20" s="286">
        <v>0</v>
      </c>
      <c r="AN20" s="286">
        <f t="shared" si="53"/>
        <v>0</v>
      </c>
      <c r="AO20" s="286">
        <f t="shared" si="33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2.1.14'!U17</f>
        <v>0</v>
      </c>
      <c r="D21" s="194">
        <f>+'Table 5C1A-Madison Prep'!D21</f>
        <v>5749.8285214059952</v>
      </c>
      <c r="E21" s="195">
        <f t="shared" si="34"/>
        <v>0</v>
      </c>
      <c r="F21" s="195">
        <f>+'Table 5C1A-Madison Prep'!F21</f>
        <v>553.79999999999995</v>
      </c>
      <c r="G21" s="195">
        <f t="shared" si="35"/>
        <v>0</v>
      </c>
      <c r="H21" s="346">
        <f t="shared" si="36"/>
        <v>0</v>
      </c>
      <c r="I21" s="992">
        <f>'[1]Oct midyear Northshore'!K18</f>
        <v>0</v>
      </c>
      <c r="J21" s="196">
        <f>'[1]Feb midyear Northshore'!K18</f>
        <v>0</v>
      </c>
      <c r="K21" s="197">
        <f t="shared" si="37"/>
        <v>0</v>
      </c>
      <c r="L21" s="346">
        <f t="shared" si="38"/>
        <v>0</v>
      </c>
      <c r="M21" s="296">
        <f t="shared" si="39"/>
        <v>0</v>
      </c>
      <c r="N21" s="346">
        <f t="shared" si="40"/>
        <v>0</v>
      </c>
      <c r="O21" s="194">
        <v>0</v>
      </c>
      <c r="P21" s="352">
        <f t="shared" si="41"/>
        <v>0</v>
      </c>
      <c r="Q21" s="622">
        <f>'[2]Table 5C1L-Northshore Charter'!S21+'[14]Table 5C1L-Northshore Charter'!S21+(6*'[20]Table 5C1L-Northshore Charter'!S21)</f>
        <v>0</v>
      </c>
      <c r="R21" s="196">
        <f t="shared" si="42"/>
        <v>0</v>
      </c>
      <c r="S21" s="356">
        <f t="shared" si="29"/>
        <v>0</v>
      </c>
      <c r="T21" s="356">
        <f t="shared" si="43"/>
        <v>0</v>
      </c>
      <c r="U21" s="281">
        <f>'Table 5C1A-Madison Prep'!U21</f>
        <v>2880</v>
      </c>
      <c r="V21" s="329">
        <f t="shared" si="30"/>
        <v>0</v>
      </c>
      <c r="W21" s="996">
        <f>'[1]Oct midyear Northshore'!E18</f>
        <v>0</v>
      </c>
      <c r="X21" s="282">
        <f t="shared" si="44"/>
        <v>0</v>
      </c>
      <c r="Y21" s="884">
        <f>'[1]Feb midyear Northshore'!E18</f>
        <v>0</v>
      </c>
      <c r="Z21" s="282">
        <f t="shared" si="31"/>
        <v>0</v>
      </c>
      <c r="AA21" s="283">
        <f t="shared" si="45"/>
        <v>0</v>
      </c>
      <c r="AB21" s="325">
        <f t="shared" si="46"/>
        <v>0</v>
      </c>
      <c r="AC21" s="298">
        <f t="shared" si="47"/>
        <v>0</v>
      </c>
      <c r="AD21" s="325">
        <f t="shared" si="48"/>
        <v>0</v>
      </c>
      <c r="AE21" s="284">
        <v>0</v>
      </c>
      <c r="AF21" s="325">
        <f t="shared" si="49"/>
        <v>0</v>
      </c>
      <c r="AG21" s="284">
        <f>'[2]Table 5C1L-Northshore Charter'!AI21+'[14]Table 5C1L-Northshore Charter'!AI21+(6*'[20]Table 5C1L-Northshore Charter'!AI21)</f>
        <v>0</v>
      </c>
      <c r="AH21" s="284">
        <f t="shared" si="50"/>
        <v>0</v>
      </c>
      <c r="AI21" s="325">
        <f t="shared" si="32"/>
        <v>0</v>
      </c>
      <c r="AJ21" s="338">
        <f t="shared" si="51"/>
        <v>0</v>
      </c>
      <c r="AK21" s="343">
        <f t="shared" si="52"/>
        <v>0</v>
      </c>
      <c r="AM21" s="296">
        <v>0</v>
      </c>
      <c r="AN21" s="296">
        <f t="shared" si="53"/>
        <v>0</v>
      </c>
      <c r="AO21" s="296">
        <f t="shared" si="33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2.1.14'!U18</f>
        <v>0</v>
      </c>
      <c r="D22" s="208">
        <f>+'Table 5C1A-Madison Prep'!D22</f>
        <v>1980.2494354342025</v>
      </c>
      <c r="E22" s="209">
        <f t="shared" si="34"/>
        <v>0</v>
      </c>
      <c r="F22" s="209">
        <f>+'Table 5C1A-Madison Prep'!F22</f>
        <v>686.73</v>
      </c>
      <c r="G22" s="209">
        <f t="shared" si="35"/>
        <v>0</v>
      </c>
      <c r="H22" s="344">
        <f t="shared" si="36"/>
        <v>0</v>
      </c>
      <c r="I22" s="990">
        <f>'[1]Oct midyear Northshore'!K19</f>
        <v>0</v>
      </c>
      <c r="J22" s="210">
        <f>'[1]Feb midyear Northshore'!K19</f>
        <v>0</v>
      </c>
      <c r="K22" s="211">
        <f t="shared" si="37"/>
        <v>0</v>
      </c>
      <c r="L22" s="344">
        <f t="shared" si="38"/>
        <v>0</v>
      </c>
      <c r="M22" s="273">
        <f t="shared" si="39"/>
        <v>0</v>
      </c>
      <c r="N22" s="344">
        <f t="shared" si="40"/>
        <v>0</v>
      </c>
      <c r="O22" s="208">
        <v>0</v>
      </c>
      <c r="P22" s="350">
        <f t="shared" si="41"/>
        <v>0</v>
      </c>
      <c r="Q22" s="210">
        <f>'[2]Table 5C1L-Northshore Charter'!S22+'[14]Table 5C1L-Northshore Charter'!S22+(6*'[20]Table 5C1L-Northshore Charter'!S22)</f>
        <v>0</v>
      </c>
      <c r="R22" s="210">
        <f t="shared" si="42"/>
        <v>0</v>
      </c>
      <c r="S22" s="350">
        <f t="shared" si="29"/>
        <v>0</v>
      </c>
      <c r="T22" s="350">
        <f t="shared" si="43"/>
        <v>0</v>
      </c>
      <c r="U22" s="274">
        <f>'Table 5C1A-Madison Prep'!U22</f>
        <v>13021</v>
      </c>
      <c r="V22" s="327">
        <f t="shared" si="30"/>
        <v>0</v>
      </c>
      <c r="W22" s="994">
        <f>'[1]Oct midyear Northshore'!E19</f>
        <v>0</v>
      </c>
      <c r="X22" s="276">
        <f t="shared" si="44"/>
        <v>0</v>
      </c>
      <c r="Y22" s="883">
        <f>'[1]Feb midyear Northshore'!E19</f>
        <v>0</v>
      </c>
      <c r="Z22" s="276">
        <f t="shared" si="31"/>
        <v>0</v>
      </c>
      <c r="AA22" s="275">
        <f t="shared" si="45"/>
        <v>0</v>
      </c>
      <c r="AB22" s="323">
        <f t="shared" si="46"/>
        <v>0</v>
      </c>
      <c r="AC22" s="278">
        <f t="shared" si="47"/>
        <v>0</v>
      </c>
      <c r="AD22" s="323">
        <f t="shared" si="48"/>
        <v>0</v>
      </c>
      <c r="AE22" s="279">
        <v>0</v>
      </c>
      <c r="AF22" s="323">
        <f t="shared" si="49"/>
        <v>0</v>
      </c>
      <c r="AG22" s="279">
        <f>'[2]Table 5C1L-Northshore Charter'!AI22+'[14]Table 5C1L-Northshore Charter'!AI22+(6*'[20]Table 5C1L-Northshore Charter'!AI22)</f>
        <v>0</v>
      </c>
      <c r="AH22" s="279">
        <f t="shared" si="50"/>
        <v>0</v>
      </c>
      <c r="AI22" s="323">
        <f t="shared" si="32"/>
        <v>0</v>
      </c>
      <c r="AJ22" s="337">
        <f t="shared" si="51"/>
        <v>0</v>
      </c>
      <c r="AK22" s="341">
        <f t="shared" si="52"/>
        <v>0</v>
      </c>
      <c r="AM22" s="273">
        <v>0</v>
      </c>
      <c r="AN22" s="273">
        <f t="shared" si="53"/>
        <v>0</v>
      </c>
      <c r="AO22" s="273">
        <f t="shared" si="33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2.1.14'!U19</f>
        <v>0</v>
      </c>
      <c r="D23" s="201">
        <f>+'Table 5C1A-Madison Prep'!D23</f>
        <v>3363.5980368254495</v>
      </c>
      <c r="E23" s="202">
        <f t="shared" si="34"/>
        <v>0</v>
      </c>
      <c r="F23" s="202">
        <f>+'Table 5C1A-Madison Prep'!F23</f>
        <v>801.47762416806802</v>
      </c>
      <c r="G23" s="202">
        <f t="shared" si="35"/>
        <v>0</v>
      </c>
      <c r="H23" s="345">
        <f t="shared" si="36"/>
        <v>0</v>
      </c>
      <c r="I23" s="991">
        <f>'[1]Oct midyear Northshore'!K20</f>
        <v>0</v>
      </c>
      <c r="J23" s="203">
        <f>'[1]Feb midyear Northshore'!K20</f>
        <v>0</v>
      </c>
      <c r="K23" s="204">
        <f t="shared" si="37"/>
        <v>0</v>
      </c>
      <c r="L23" s="345">
        <f t="shared" si="38"/>
        <v>0</v>
      </c>
      <c r="M23" s="286">
        <f t="shared" si="39"/>
        <v>0</v>
      </c>
      <c r="N23" s="345">
        <f t="shared" si="40"/>
        <v>0</v>
      </c>
      <c r="O23" s="201">
        <v>0</v>
      </c>
      <c r="P23" s="351">
        <f t="shared" si="41"/>
        <v>0</v>
      </c>
      <c r="Q23" s="203">
        <f>'[2]Table 5C1L-Northshore Charter'!S23+'[14]Table 5C1L-Northshore Charter'!S23+(6*'[20]Table 5C1L-Northshore Charter'!S23)</f>
        <v>0</v>
      </c>
      <c r="R23" s="203">
        <f t="shared" si="42"/>
        <v>0</v>
      </c>
      <c r="S23" s="351">
        <f t="shared" si="29"/>
        <v>0</v>
      </c>
      <c r="T23" s="351">
        <f t="shared" si="43"/>
        <v>0</v>
      </c>
      <c r="U23" s="287">
        <f>'Table 5C1A-Madison Prep'!U23</f>
        <v>6954</v>
      </c>
      <c r="V23" s="328">
        <f t="shared" si="30"/>
        <v>0</v>
      </c>
      <c r="W23" s="995">
        <f>'[1]Oct midyear Northshore'!E20</f>
        <v>0</v>
      </c>
      <c r="X23" s="290">
        <f t="shared" si="44"/>
        <v>0</v>
      </c>
      <c r="Y23" s="289">
        <f>'[1]Feb midyear Northshore'!E20</f>
        <v>0</v>
      </c>
      <c r="Z23" s="290">
        <f t="shared" si="31"/>
        <v>0</v>
      </c>
      <c r="AA23" s="288">
        <f t="shared" si="45"/>
        <v>0</v>
      </c>
      <c r="AB23" s="324">
        <f t="shared" si="46"/>
        <v>0</v>
      </c>
      <c r="AC23" s="292">
        <f t="shared" si="47"/>
        <v>0</v>
      </c>
      <c r="AD23" s="324">
        <f t="shared" si="48"/>
        <v>0</v>
      </c>
      <c r="AE23" s="293">
        <v>0</v>
      </c>
      <c r="AF23" s="324">
        <f t="shared" si="49"/>
        <v>0</v>
      </c>
      <c r="AG23" s="293">
        <f>'[2]Table 5C1L-Northshore Charter'!AI23+'[14]Table 5C1L-Northshore Charter'!AI23+(6*'[20]Table 5C1L-Northshore Charter'!AI23)</f>
        <v>0</v>
      </c>
      <c r="AH23" s="293">
        <f t="shared" si="50"/>
        <v>0</v>
      </c>
      <c r="AI23" s="324">
        <f t="shared" si="32"/>
        <v>0</v>
      </c>
      <c r="AJ23" s="321">
        <f t="shared" si="51"/>
        <v>0</v>
      </c>
      <c r="AK23" s="342">
        <f t="shared" si="52"/>
        <v>0</v>
      </c>
      <c r="AM23" s="286">
        <v>0</v>
      </c>
      <c r="AN23" s="286">
        <f t="shared" si="53"/>
        <v>0</v>
      </c>
      <c r="AO23" s="286">
        <f t="shared" si="33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2.1.14'!U20</f>
        <v>0</v>
      </c>
      <c r="D24" s="201">
        <f>+'Table 5C1A-Madison Prep'!D24</f>
        <v>6354.5533500475731</v>
      </c>
      <c r="E24" s="202">
        <f t="shared" si="34"/>
        <v>0</v>
      </c>
      <c r="F24" s="202">
        <f>+'Table 5C1A-Madison Prep'!F24</f>
        <v>845.94999999999993</v>
      </c>
      <c r="G24" s="202">
        <f t="shared" si="35"/>
        <v>0</v>
      </c>
      <c r="H24" s="345">
        <f t="shared" si="36"/>
        <v>0</v>
      </c>
      <c r="I24" s="991">
        <f>'[1]Oct midyear Northshore'!K21</f>
        <v>0</v>
      </c>
      <c r="J24" s="203">
        <f>'[1]Feb midyear Northshore'!K21</f>
        <v>0</v>
      </c>
      <c r="K24" s="204">
        <f t="shared" si="37"/>
        <v>0</v>
      </c>
      <c r="L24" s="345">
        <f t="shared" si="38"/>
        <v>0</v>
      </c>
      <c r="M24" s="286">
        <f t="shared" si="39"/>
        <v>0</v>
      </c>
      <c r="N24" s="345">
        <f t="shared" si="40"/>
        <v>0</v>
      </c>
      <c r="O24" s="201">
        <v>0</v>
      </c>
      <c r="P24" s="351">
        <f t="shared" si="41"/>
        <v>0</v>
      </c>
      <c r="Q24" s="203">
        <f>'[2]Table 5C1L-Northshore Charter'!S24+'[14]Table 5C1L-Northshore Charter'!S24+(6*'[20]Table 5C1L-Northshore Charter'!S24)</f>
        <v>0</v>
      </c>
      <c r="R24" s="203">
        <f t="shared" si="42"/>
        <v>0</v>
      </c>
      <c r="S24" s="351">
        <f t="shared" si="29"/>
        <v>0</v>
      </c>
      <c r="T24" s="351">
        <f t="shared" si="43"/>
        <v>0</v>
      </c>
      <c r="U24" s="287">
        <f>'Table 5C1A-Madison Prep'!U24</f>
        <v>2442</v>
      </c>
      <c r="V24" s="328">
        <f t="shared" si="30"/>
        <v>0</v>
      </c>
      <c r="W24" s="995">
        <f>'[1]Oct midyear Northshore'!E21</f>
        <v>0</v>
      </c>
      <c r="X24" s="290">
        <f t="shared" si="44"/>
        <v>0</v>
      </c>
      <c r="Y24" s="289">
        <f>'[1]Feb midyear Northshore'!E21</f>
        <v>0</v>
      </c>
      <c r="Z24" s="290">
        <f t="shared" si="31"/>
        <v>0</v>
      </c>
      <c r="AA24" s="288">
        <f t="shared" si="45"/>
        <v>0</v>
      </c>
      <c r="AB24" s="324">
        <f t="shared" si="46"/>
        <v>0</v>
      </c>
      <c r="AC24" s="292">
        <f t="shared" si="47"/>
        <v>0</v>
      </c>
      <c r="AD24" s="324">
        <f t="shared" si="48"/>
        <v>0</v>
      </c>
      <c r="AE24" s="293">
        <v>0</v>
      </c>
      <c r="AF24" s="324">
        <f t="shared" si="49"/>
        <v>0</v>
      </c>
      <c r="AG24" s="293">
        <f>'[2]Table 5C1L-Northshore Charter'!AI24+'[14]Table 5C1L-Northshore Charter'!AI24+(6*'[20]Table 5C1L-Northshore Charter'!AI24)</f>
        <v>0</v>
      </c>
      <c r="AH24" s="293">
        <f t="shared" si="50"/>
        <v>0</v>
      </c>
      <c r="AI24" s="324">
        <f t="shared" si="32"/>
        <v>0</v>
      </c>
      <c r="AJ24" s="321">
        <f t="shared" si="51"/>
        <v>0</v>
      </c>
      <c r="AK24" s="342">
        <f t="shared" si="52"/>
        <v>0</v>
      </c>
      <c r="AM24" s="286">
        <v>0</v>
      </c>
      <c r="AN24" s="286">
        <f t="shared" si="53"/>
        <v>0</v>
      </c>
      <c r="AO24" s="286">
        <f t="shared" si="33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2.1.14'!U21</f>
        <v>0</v>
      </c>
      <c r="D25" s="201">
        <f>+'Table 5C1A-Madison Prep'!D25</f>
        <v>5314.3921869460446</v>
      </c>
      <c r="E25" s="202">
        <f t="shared" si="34"/>
        <v>0</v>
      </c>
      <c r="F25" s="202">
        <f>+'Table 5C1A-Madison Prep'!F25</f>
        <v>905.43</v>
      </c>
      <c r="G25" s="202">
        <f t="shared" si="35"/>
        <v>0</v>
      </c>
      <c r="H25" s="345">
        <f t="shared" si="36"/>
        <v>0</v>
      </c>
      <c r="I25" s="991">
        <f>'[1]Oct midyear Northshore'!K22</f>
        <v>0</v>
      </c>
      <c r="J25" s="203">
        <f>'[1]Feb midyear Northshore'!K22</f>
        <v>0</v>
      </c>
      <c r="K25" s="204">
        <f t="shared" si="37"/>
        <v>0</v>
      </c>
      <c r="L25" s="345">
        <f t="shared" si="38"/>
        <v>0</v>
      </c>
      <c r="M25" s="286">
        <f t="shared" si="39"/>
        <v>0</v>
      </c>
      <c r="N25" s="345">
        <f t="shared" si="40"/>
        <v>0</v>
      </c>
      <c r="O25" s="201">
        <v>0</v>
      </c>
      <c r="P25" s="351">
        <f t="shared" si="41"/>
        <v>0</v>
      </c>
      <c r="Q25" s="203">
        <f>'[2]Table 5C1L-Northshore Charter'!S25+'[14]Table 5C1L-Northshore Charter'!S25+(6*'[20]Table 5C1L-Northshore Charter'!S25)</f>
        <v>0</v>
      </c>
      <c r="R25" s="203">
        <f t="shared" si="42"/>
        <v>0</v>
      </c>
      <c r="S25" s="351">
        <f t="shared" si="29"/>
        <v>0</v>
      </c>
      <c r="T25" s="351">
        <f t="shared" si="43"/>
        <v>0</v>
      </c>
      <c r="U25" s="287">
        <f>'Table 5C1A-Madison Prep'!U25</f>
        <v>3051</v>
      </c>
      <c r="V25" s="328">
        <f t="shared" si="30"/>
        <v>0</v>
      </c>
      <c r="W25" s="995">
        <f>'[1]Oct midyear Northshore'!E22</f>
        <v>0</v>
      </c>
      <c r="X25" s="290">
        <f t="shared" si="44"/>
        <v>0</v>
      </c>
      <c r="Y25" s="289">
        <f>'[1]Feb midyear Northshore'!E22</f>
        <v>0</v>
      </c>
      <c r="Z25" s="290">
        <f t="shared" si="31"/>
        <v>0</v>
      </c>
      <c r="AA25" s="288">
        <f t="shared" si="45"/>
        <v>0</v>
      </c>
      <c r="AB25" s="324">
        <f t="shared" si="46"/>
        <v>0</v>
      </c>
      <c r="AC25" s="292">
        <f t="shared" si="47"/>
        <v>0</v>
      </c>
      <c r="AD25" s="324">
        <f t="shared" si="48"/>
        <v>0</v>
      </c>
      <c r="AE25" s="293">
        <v>0</v>
      </c>
      <c r="AF25" s="324">
        <f t="shared" si="49"/>
        <v>0</v>
      </c>
      <c r="AG25" s="293">
        <f>'[2]Table 5C1L-Northshore Charter'!AI25+'[14]Table 5C1L-Northshore Charter'!AI25+(6*'[20]Table 5C1L-Northshore Charter'!AI25)</f>
        <v>0</v>
      </c>
      <c r="AH25" s="293">
        <f t="shared" si="50"/>
        <v>0</v>
      </c>
      <c r="AI25" s="324">
        <f t="shared" si="32"/>
        <v>0</v>
      </c>
      <c r="AJ25" s="321">
        <f t="shared" si="51"/>
        <v>0</v>
      </c>
      <c r="AK25" s="342">
        <f t="shared" si="52"/>
        <v>0</v>
      </c>
      <c r="AM25" s="286">
        <v>0</v>
      </c>
      <c r="AN25" s="286">
        <f t="shared" si="53"/>
        <v>0</v>
      </c>
      <c r="AO25" s="286">
        <f t="shared" si="33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2.1.14'!U22</f>
        <v>0</v>
      </c>
      <c r="D26" s="194">
        <f>+'Table 5C1A-Madison Prep'!D26</f>
        <v>5278.5201565562011</v>
      </c>
      <c r="E26" s="195">
        <f t="shared" si="34"/>
        <v>0</v>
      </c>
      <c r="F26" s="195">
        <f>+'Table 5C1A-Madison Prep'!F26</f>
        <v>586.16999999999996</v>
      </c>
      <c r="G26" s="195">
        <f t="shared" si="35"/>
        <v>0</v>
      </c>
      <c r="H26" s="346">
        <f t="shared" si="36"/>
        <v>0</v>
      </c>
      <c r="I26" s="992">
        <f>'[1]Oct midyear Northshore'!K23</f>
        <v>0</v>
      </c>
      <c r="J26" s="196">
        <f>'[1]Feb midyear Northshore'!K23</f>
        <v>0</v>
      </c>
      <c r="K26" s="197">
        <f t="shared" si="37"/>
        <v>0</v>
      </c>
      <c r="L26" s="346">
        <f t="shared" si="38"/>
        <v>0</v>
      </c>
      <c r="M26" s="296">
        <f t="shared" si="39"/>
        <v>0</v>
      </c>
      <c r="N26" s="346">
        <f t="shared" si="40"/>
        <v>0</v>
      </c>
      <c r="O26" s="194">
        <v>0</v>
      </c>
      <c r="P26" s="352">
        <f t="shared" si="41"/>
        <v>0</v>
      </c>
      <c r="Q26" s="622">
        <f>'[2]Table 5C1L-Northshore Charter'!S26+'[14]Table 5C1L-Northshore Charter'!S26+(6*'[20]Table 5C1L-Northshore Charter'!S26)</f>
        <v>0</v>
      </c>
      <c r="R26" s="196">
        <f t="shared" si="42"/>
        <v>0</v>
      </c>
      <c r="S26" s="356">
        <f t="shared" si="29"/>
        <v>0</v>
      </c>
      <c r="T26" s="356">
        <f t="shared" si="43"/>
        <v>0</v>
      </c>
      <c r="U26" s="281">
        <f>'Table 5C1A-Madison Prep'!U26</f>
        <v>2484</v>
      </c>
      <c r="V26" s="329">
        <f t="shared" si="30"/>
        <v>0</v>
      </c>
      <c r="W26" s="996">
        <f>'[1]Oct midyear Northshore'!E23</f>
        <v>0</v>
      </c>
      <c r="X26" s="282">
        <f t="shared" si="44"/>
        <v>0</v>
      </c>
      <c r="Y26" s="884">
        <f>'[1]Feb midyear Northshore'!E23</f>
        <v>0</v>
      </c>
      <c r="Z26" s="282">
        <f t="shared" si="31"/>
        <v>0</v>
      </c>
      <c r="AA26" s="283">
        <f t="shared" si="45"/>
        <v>0</v>
      </c>
      <c r="AB26" s="325">
        <f t="shared" si="46"/>
        <v>0</v>
      </c>
      <c r="AC26" s="298">
        <f t="shared" si="47"/>
        <v>0</v>
      </c>
      <c r="AD26" s="325">
        <f t="shared" si="48"/>
        <v>0</v>
      </c>
      <c r="AE26" s="284">
        <v>0</v>
      </c>
      <c r="AF26" s="325">
        <f t="shared" si="49"/>
        <v>0</v>
      </c>
      <c r="AG26" s="284">
        <f>'[2]Table 5C1L-Northshore Charter'!AI26+'[14]Table 5C1L-Northshore Charter'!AI26+(6*'[20]Table 5C1L-Northshore Charter'!AI26)</f>
        <v>0</v>
      </c>
      <c r="AH26" s="284">
        <f t="shared" si="50"/>
        <v>0</v>
      </c>
      <c r="AI26" s="325">
        <f t="shared" si="32"/>
        <v>0</v>
      </c>
      <c r="AJ26" s="338">
        <f t="shared" si="51"/>
        <v>0</v>
      </c>
      <c r="AK26" s="343">
        <f t="shared" si="52"/>
        <v>0</v>
      </c>
      <c r="AM26" s="296">
        <v>0</v>
      </c>
      <c r="AN26" s="296">
        <f t="shared" si="53"/>
        <v>0</v>
      </c>
      <c r="AO26" s="296">
        <f t="shared" si="33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2.1.14'!U23</f>
        <v>0</v>
      </c>
      <c r="D27" s="208">
        <f>+'Table 5C1A-Madison Prep'!D27</f>
        <v>6082.3042295867763</v>
      </c>
      <c r="E27" s="209">
        <f t="shared" si="34"/>
        <v>0</v>
      </c>
      <c r="F27" s="209">
        <f>+'Table 5C1A-Madison Prep'!F27</f>
        <v>610.35</v>
      </c>
      <c r="G27" s="209">
        <f t="shared" si="35"/>
        <v>0</v>
      </c>
      <c r="H27" s="344">
        <f t="shared" si="36"/>
        <v>0</v>
      </c>
      <c r="I27" s="990">
        <f>'[1]Oct midyear Northshore'!K24</f>
        <v>0</v>
      </c>
      <c r="J27" s="210">
        <f>'[1]Feb midyear Northshore'!K24</f>
        <v>0</v>
      </c>
      <c r="K27" s="211">
        <f t="shared" si="37"/>
        <v>0</v>
      </c>
      <c r="L27" s="344">
        <f t="shared" si="38"/>
        <v>0</v>
      </c>
      <c r="M27" s="273">
        <f t="shared" si="39"/>
        <v>0</v>
      </c>
      <c r="N27" s="344">
        <f t="shared" si="40"/>
        <v>0</v>
      </c>
      <c r="O27" s="208">
        <v>0</v>
      </c>
      <c r="P27" s="350">
        <f t="shared" si="41"/>
        <v>0</v>
      </c>
      <c r="Q27" s="210">
        <f>'[2]Table 5C1L-Northshore Charter'!S27+'[14]Table 5C1L-Northshore Charter'!S27+(6*'[20]Table 5C1L-Northshore Charter'!S27)</f>
        <v>0</v>
      </c>
      <c r="R27" s="210">
        <f t="shared" si="42"/>
        <v>0</v>
      </c>
      <c r="S27" s="350">
        <f t="shared" si="29"/>
        <v>0</v>
      </c>
      <c r="T27" s="350">
        <f t="shared" si="43"/>
        <v>0</v>
      </c>
      <c r="U27" s="274">
        <f>'Table 5C1A-Madison Prep'!U27</f>
        <v>2487</v>
      </c>
      <c r="V27" s="327">
        <f t="shared" si="30"/>
        <v>0</v>
      </c>
      <c r="W27" s="994">
        <f>'[1]Oct midyear Northshore'!E24</f>
        <v>0</v>
      </c>
      <c r="X27" s="276">
        <f t="shared" si="44"/>
        <v>0</v>
      </c>
      <c r="Y27" s="883">
        <f>'[1]Feb midyear Northshore'!E24</f>
        <v>0</v>
      </c>
      <c r="Z27" s="276">
        <f t="shared" si="31"/>
        <v>0</v>
      </c>
      <c r="AA27" s="275">
        <f t="shared" si="45"/>
        <v>0</v>
      </c>
      <c r="AB27" s="323">
        <f t="shared" si="46"/>
        <v>0</v>
      </c>
      <c r="AC27" s="278">
        <f t="shared" si="47"/>
        <v>0</v>
      </c>
      <c r="AD27" s="323">
        <f t="shared" si="48"/>
        <v>0</v>
      </c>
      <c r="AE27" s="279">
        <v>0</v>
      </c>
      <c r="AF27" s="323">
        <f t="shared" si="49"/>
        <v>0</v>
      </c>
      <c r="AG27" s="279">
        <f>'[2]Table 5C1L-Northshore Charter'!AI27+'[14]Table 5C1L-Northshore Charter'!AI27+(6*'[20]Table 5C1L-Northshore Charter'!AI27)</f>
        <v>0</v>
      </c>
      <c r="AH27" s="279">
        <f t="shared" si="50"/>
        <v>0</v>
      </c>
      <c r="AI27" s="323">
        <f t="shared" si="32"/>
        <v>0</v>
      </c>
      <c r="AJ27" s="337">
        <f t="shared" si="51"/>
        <v>0</v>
      </c>
      <c r="AK27" s="341">
        <f t="shared" si="52"/>
        <v>0</v>
      </c>
      <c r="AM27" s="273">
        <v>0</v>
      </c>
      <c r="AN27" s="273">
        <f t="shared" si="53"/>
        <v>0</v>
      </c>
      <c r="AO27" s="273">
        <f t="shared" si="33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2.1.14'!U24</f>
        <v>0</v>
      </c>
      <c r="D28" s="201">
        <f>+'Table 5C1A-Madison Prep'!D28</f>
        <v>6416.1099808195995</v>
      </c>
      <c r="E28" s="202">
        <f t="shared" si="34"/>
        <v>0</v>
      </c>
      <c r="F28" s="202">
        <f>+'Table 5C1A-Madison Prep'!F28</f>
        <v>496.36</v>
      </c>
      <c r="G28" s="202">
        <f t="shared" si="35"/>
        <v>0</v>
      </c>
      <c r="H28" s="345">
        <f t="shared" si="36"/>
        <v>0</v>
      </c>
      <c r="I28" s="991">
        <f>'[1]Oct midyear Northshore'!K25</f>
        <v>0</v>
      </c>
      <c r="J28" s="203">
        <f>'[1]Feb midyear Northshore'!K25</f>
        <v>0</v>
      </c>
      <c r="K28" s="204">
        <f t="shared" si="37"/>
        <v>0</v>
      </c>
      <c r="L28" s="345">
        <f t="shared" si="38"/>
        <v>0</v>
      </c>
      <c r="M28" s="286">
        <f t="shared" si="39"/>
        <v>0</v>
      </c>
      <c r="N28" s="345">
        <f t="shared" si="40"/>
        <v>0</v>
      </c>
      <c r="O28" s="201">
        <v>0</v>
      </c>
      <c r="P28" s="351">
        <f t="shared" si="41"/>
        <v>0</v>
      </c>
      <c r="Q28" s="203">
        <f>'[2]Table 5C1L-Northshore Charter'!S28+'[14]Table 5C1L-Northshore Charter'!S28+(6*'[20]Table 5C1L-Northshore Charter'!S28)</f>
        <v>0</v>
      </c>
      <c r="R28" s="203">
        <f t="shared" si="42"/>
        <v>0</v>
      </c>
      <c r="S28" s="351">
        <f t="shared" si="29"/>
        <v>0</v>
      </c>
      <c r="T28" s="351">
        <f t="shared" si="43"/>
        <v>0</v>
      </c>
      <c r="U28" s="287">
        <f>'Table 5C1A-Madison Prep'!U28</f>
        <v>1584</v>
      </c>
      <c r="V28" s="328">
        <f t="shared" si="30"/>
        <v>0</v>
      </c>
      <c r="W28" s="995">
        <f>'[1]Oct midyear Northshore'!E25</f>
        <v>0</v>
      </c>
      <c r="X28" s="290">
        <f t="shared" si="44"/>
        <v>0</v>
      </c>
      <c r="Y28" s="289">
        <f>'[1]Feb midyear Northshore'!E25</f>
        <v>0</v>
      </c>
      <c r="Z28" s="290">
        <f t="shared" si="31"/>
        <v>0</v>
      </c>
      <c r="AA28" s="288">
        <f t="shared" si="45"/>
        <v>0</v>
      </c>
      <c r="AB28" s="324">
        <f t="shared" si="46"/>
        <v>0</v>
      </c>
      <c r="AC28" s="292">
        <f t="shared" si="47"/>
        <v>0</v>
      </c>
      <c r="AD28" s="324">
        <f t="shared" si="48"/>
        <v>0</v>
      </c>
      <c r="AE28" s="293">
        <v>0</v>
      </c>
      <c r="AF28" s="324">
        <f t="shared" si="49"/>
        <v>0</v>
      </c>
      <c r="AG28" s="293">
        <f>'[2]Table 5C1L-Northshore Charter'!AI28+'[14]Table 5C1L-Northshore Charter'!AI28+(6*'[20]Table 5C1L-Northshore Charter'!AI28)</f>
        <v>0</v>
      </c>
      <c r="AH28" s="293">
        <f t="shared" si="50"/>
        <v>0</v>
      </c>
      <c r="AI28" s="324">
        <f t="shared" si="32"/>
        <v>0</v>
      </c>
      <c r="AJ28" s="321">
        <f t="shared" si="51"/>
        <v>0</v>
      </c>
      <c r="AK28" s="342">
        <f t="shared" si="52"/>
        <v>0</v>
      </c>
      <c r="AM28" s="286">
        <v>0</v>
      </c>
      <c r="AN28" s="286">
        <f t="shared" si="53"/>
        <v>0</v>
      </c>
      <c r="AO28" s="286">
        <f t="shared" si="33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2.1.14'!U25</f>
        <v>0</v>
      </c>
      <c r="D29" s="201">
        <f>+'Table 5C1A-Madison Prep'!D29</f>
        <v>5011.0215265979159</v>
      </c>
      <c r="E29" s="202">
        <f t="shared" si="34"/>
        <v>0</v>
      </c>
      <c r="F29" s="202">
        <f>+'Table 5C1A-Madison Prep'!F29</f>
        <v>688.58</v>
      </c>
      <c r="G29" s="202">
        <f t="shared" si="35"/>
        <v>0</v>
      </c>
      <c r="H29" s="345">
        <f t="shared" si="36"/>
        <v>0</v>
      </c>
      <c r="I29" s="991">
        <f>'[1]Oct midyear Northshore'!K26</f>
        <v>0</v>
      </c>
      <c r="J29" s="203">
        <f>'[1]Feb midyear Northshore'!K26</f>
        <v>0</v>
      </c>
      <c r="K29" s="204">
        <f t="shared" si="37"/>
        <v>0</v>
      </c>
      <c r="L29" s="345">
        <f t="shared" si="38"/>
        <v>0</v>
      </c>
      <c r="M29" s="286">
        <f t="shared" si="39"/>
        <v>0</v>
      </c>
      <c r="N29" s="345">
        <f t="shared" si="40"/>
        <v>0</v>
      </c>
      <c r="O29" s="201">
        <v>0</v>
      </c>
      <c r="P29" s="351">
        <f t="shared" si="41"/>
        <v>0</v>
      </c>
      <c r="Q29" s="203">
        <f>'[2]Table 5C1L-Northshore Charter'!S29+'[14]Table 5C1L-Northshore Charter'!S29+(6*'[20]Table 5C1L-Northshore Charter'!S29)</f>
        <v>0</v>
      </c>
      <c r="R29" s="203">
        <f t="shared" si="42"/>
        <v>0</v>
      </c>
      <c r="S29" s="351">
        <f t="shared" si="29"/>
        <v>0</v>
      </c>
      <c r="T29" s="351">
        <f t="shared" si="43"/>
        <v>0</v>
      </c>
      <c r="U29" s="287">
        <f>'Table 5C1A-Madison Prep'!U29</f>
        <v>3500</v>
      </c>
      <c r="V29" s="328">
        <f t="shared" si="30"/>
        <v>0</v>
      </c>
      <c r="W29" s="995">
        <f>'[1]Oct midyear Northshore'!E26</f>
        <v>0</v>
      </c>
      <c r="X29" s="290">
        <f t="shared" si="44"/>
        <v>0</v>
      </c>
      <c r="Y29" s="289">
        <f>'[1]Feb midyear Northshore'!E26</f>
        <v>0</v>
      </c>
      <c r="Z29" s="290">
        <f t="shared" si="31"/>
        <v>0</v>
      </c>
      <c r="AA29" s="288">
        <f t="shared" si="45"/>
        <v>0</v>
      </c>
      <c r="AB29" s="324">
        <f t="shared" si="46"/>
        <v>0</v>
      </c>
      <c r="AC29" s="292">
        <f t="shared" si="47"/>
        <v>0</v>
      </c>
      <c r="AD29" s="324">
        <f t="shared" si="48"/>
        <v>0</v>
      </c>
      <c r="AE29" s="293">
        <v>0</v>
      </c>
      <c r="AF29" s="324">
        <f t="shared" si="49"/>
        <v>0</v>
      </c>
      <c r="AG29" s="293">
        <f>'[2]Table 5C1L-Northshore Charter'!AI29+'[14]Table 5C1L-Northshore Charter'!AI29+(6*'[20]Table 5C1L-Northshore Charter'!AI29)</f>
        <v>0</v>
      </c>
      <c r="AH29" s="293">
        <f t="shared" si="50"/>
        <v>0</v>
      </c>
      <c r="AI29" s="324">
        <f t="shared" si="32"/>
        <v>0</v>
      </c>
      <c r="AJ29" s="321">
        <f t="shared" si="51"/>
        <v>0</v>
      </c>
      <c r="AK29" s="342">
        <f t="shared" si="52"/>
        <v>0</v>
      </c>
      <c r="AM29" s="286">
        <v>0</v>
      </c>
      <c r="AN29" s="286">
        <f t="shared" si="53"/>
        <v>0</v>
      </c>
      <c r="AO29" s="286">
        <f t="shared" si="33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2.1.14'!U26</f>
        <v>0</v>
      </c>
      <c r="D30" s="201">
        <f>+'Table 5C1A-Madison Prep'!D30</f>
        <v>2611.6740361576999</v>
      </c>
      <c r="E30" s="202">
        <f t="shared" si="34"/>
        <v>0</v>
      </c>
      <c r="F30" s="202">
        <f>+'Table 5C1A-Madison Prep'!F30</f>
        <v>854.24999999999989</v>
      </c>
      <c r="G30" s="202">
        <f t="shared" si="35"/>
        <v>0</v>
      </c>
      <c r="H30" s="345">
        <f t="shared" si="36"/>
        <v>0</v>
      </c>
      <c r="I30" s="991">
        <f>'[1]Oct midyear Northshore'!K27</f>
        <v>0</v>
      </c>
      <c r="J30" s="203">
        <f>'[1]Feb midyear Northshore'!K27</f>
        <v>0</v>
      </c>
      <c r="K30" s="204">
        <f t="shared" si="37"/>
        <v>0</v>
      </c>
      <c r="L30" s="345">
        <f t="shared" si="38"/>
        <v>0</v>
      </c>
      <c r="M30" s="286">
        <f t="shared" si="39"/>
        <v>0</v>
      </c>
      <c r="N30" s="345">
        <f t="shared" si="40"/>
        <v>0</v>
      </c>
      <c r="O30" s="201">
        <v>0</v>
      </c>
      <c r="P30" s="351">
        <f t="shared" si="41"/>
        <v>0</v>
      </c>
      <c r="Q30" s="203">
        <f>'[2]Table 5C1L-Northshore Charter'!S30+'[14]Table 5C1L-Northshore Charter'!S30+(6*'[20]Table 5C1L-Northshore Charter'!S30)</f>
        <v>0</v>
      </c>
      <c r="R30" s="203">
        <f t="shared" si="42"/>
        <v>0</v>
      </c>
      <c r="S30" s="351">
        <f t="shared" si="29"/>
        <v>0</v>
      </c>
      <c r="T30" s="351">
        <f t="shared" si="43"/>
        <v>0</v>
      </c>
      <c r="U30" s="287">
        <f>'Table 5C1A-Madison Prep'!U30</f>
        <v>11051</v>
      </c>
      <c r="V30" s="328">
        <f t="shared" si="30"/>
        <v>0</v>
      </c>
      <c r="W30" s="995">
        <f>'[1]Oct midyear Northshore'!E27</f>
        <v>0</v>
      </c>
      <c r="X30" s="290">
        <f t="shared" si="44"/>
        <v>0</v>
      </c>
      <c r="Y30" s="289">
        <f>'[1]Feb midyear Northshore'!E27</f>
        <v>0</v>
      </c>
      <c r="Z30" s="290">
        <f t="shared" si="31"/>
        <v>0</v>
      </c>
      <c r="AA30" s="288">
        <f t="shared" si="45"/>
        <v>0</v>
      </c>
      <c r="AB30" s="324">
        <f t="shared" si="46"/>
        <v>0</v>
      </c>
      <c r="AC30" s="292">
        <f t="shared" si="47"/>
        <v>0</v>
      </c>
      <c r="AD30" s="324">
        <f t="shared" si="48"/>
        <v>0</v>
      </c>
      <c r="AE30" s="293">
        <v>0</v>
      </c>
      <c r="AF30" s="324">
        <f t="shared" si="49"/>
        <v>0</v>
      </c>
      <c r="AG30" s="293">
        <f>'[2]Table 5C1L-Northshore Charter'!AI30+'[14]Table 5C1L-Northshore Charter'!AI30+(6*'[20]Table 5C1L-Northshore Charter'!AI30)</f>
        <v>0</v>
      </c>
      <c r="AH30" s="293">
        <f t="shared" si="50"/>
        <v>0</v>
      </c>
      <c r="AI30" s="324">
        <f t="shared" si="32"/>
        <v>0</v>
      </c>
      <c r="AJ30" s="321">
        <f t="shared" si="51"/>
        <v>0</v>
      </c>
      <c r="AK30" s="342">
        <f t="shared" si="52"/>
        <v>0</v>
      </c>
      <c r="AM30" s="286">
        <v>0</v>
      </c>
      <c r="AN30" s="286">
        <f t="shared" si="53"/>
        <v>0</v>
      </c>
      <c r="AO30" s="286">
        <f t="shared" si="33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2.1.14'!U27</f>
        <v>0</v>
      </c>
      <c r="D31" s="194">
        <f>+'Table 5C1A-Madison Prep'!D31</f>
        <v>4173.0720274945697</v>
      </c>
      <c r="E31" s="195">
        <f t="shared" si="34"/>
        <v>0</v>
      </c>
      <c r="F31" s="195">
        <f>+'Table 5C1A-Madison Prep'!F31</f>
        <v>653.73</v>
      </c>
      <c r="G31" s="195">
        <f t="shared" si="35"/>
        <v>0</v>
      </c>
      <c r="H31" s="346">
        <f t="shared" si="36"/>
        <v>0</v>
      </c>
      <c r="I31" s="992">
        <f>'[1]Oct midyear Northshore'!K28</f>
        <v>0</v>
      </c>
      <c r="J31" s="196">
        <f>'[1]Feb midyear Northshore'!K28</f>
        <v>0</v>
      </c>
      <c r="K31" s="197">
        <f t="shared" si="37"/>
        <v>0</v>
      </c>
      <c r="L31" s="346">
        <f t="shared" si="38"/>
        <v>0</v>
      </c>
      <c r="M31" s="296">
        <f t="shared" si="39"/>
        <v>0</v>
      </c>
      <c r="N31" s="346">
        <f t="shared" si="40"/>
        <v>0</v>
      </c>
      <c r="O31" s="194">
        <v>0</v>
      </c>
      <c r="P31" s="352">
        <f t="shared" si="41"/>
        <v>0</v>
      </c>
      <c r="Q31" s="622">
        <f>'[2]Table 5C1L-Northshore Charter'!S31+'[14]Table 5C1L-Northshore Charter'!S31+(6*'[20]Table 5C1L-Northshore Charter'!S31)</f>
        <v>0</v>
      </c>
      <c r="R31" s="196">
        <f t="shared" si="42"/>
        <v>0</v>
      </c>
      <c r="S31" s="356">
        <f t="shared" si="29"/>
        <v>0</v>
      </c>
      <c r="T31" s="356">
        <f t="shared" si="43"/>
        <v>0</v>
      </c>
      <c r="U31" s="281">
        <f>'Table 5C1A-Madison Prep'!U31</f>
        <v>5156</v>
      </c>
      <c r="V31" s="329">
        <f t="shared" si="30"/>
        <v>0</v>
      </c>
      <c r="W31" s="996">
        <f>'[1]Oct midyear Northshore'!E28</f>
        <v>0</v>
      </c>
      <c r="X31" s="282">
        <f t="shared" si="44"/>
        <v>0</v>
      </c>
      <c r="Y31" s="884">
        <f>'[1]Feb midyear Northshore'!E28</f>
        <v>0</v>
      </c>
      <c r="Z31" s="282">
        <f t="shared" si="31"/>
        <v>0</v>
      </c>
      <c r="AA31" s="283">
        <f t="shared" si="45"/>
        <v>0</v>
      </c>
      <c r="AB31" s="325">
        <f t="shared" si="46"/>
        <v>0</v>
      </c>
      <c r="AC31" s="298">
        <f t="shared" si="47"/>
        <v>0</v>
      </c>
      <c r="AD31" s="325">
        <f t="shared" si="48"/>
        <v>0</v>
      </c>
      <c r="AE31" s="284">
        <v>0</v>
      </c>
      <c r="AF31" s="325">
        <f t="shared" si="49"/>
        <v>0</v>
      </c>
      <c r="AG31" s="284">
        <f>'[2]Table 5C1L-Northshore Charter'!AI31+'[14]Table 5C1L-Northshore Charter'!AI31+(6*'[20]Table 5C1L-Northshore Charter'!AI31)</f>
        <v>0</v>
      </c>
      <c r="AH31" s="284">
        <f t="shared" si="50"/>
        <v>0</v>
      </c>
      <c r="AI31" s="325">
        <f t="shared" si="32"/>
        <v>0</v>
      </c>
      <c r="AJ31" s="338">
        <f t="shared" si="51"/>
        <v>0</v>
      </c>
      <c r="AK31" s="343">
        <f t="shared" si="52"/>
        <v>0</v>
      </c>
      <c r="AM31" s="296">
        <v>0</v>
      </c>
      <c r="AN31" s="296">
        <f t="shared" si="53"/>
        <v>0</v>
      </c>
      <c r="AO31" s="296">
        <f t="shared" si="33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2.1.14'!U28</f>
        <v>0</v>
      </c>
      <c r="D32" s="208">
        <f>+'Table 5C1A-Madison Prep'!D32</f>
        <v>3424.5649970570835</v>
      </c>
      <c r="E32" s="209">
        <f t="shared" si="34"/>
        <v>0</v>
      </c>
      <c r="F32" s="209">
        <f>+'Table 5C1A-Madison Prep'!F32</f>
        <v>836.83</v>
      </c>
      <c r="G32" s="209">
        <f t="shared" si="35"/>
        <v>0</v>
      </c>
      <c r="H32" s="344">
        <f t="shared" si="36"/>
        <v>0</v>
      </c>
      <c r="I32" s="990">
        <f>'[1]Oct midyear Northshore'!K29</f>
        <v>0</v>
      </c>
      <c r="J32" s="210">
        <f>'[1]Feb midyear Northshore'!K29</f>
        <v>0</v>
      </c>
      <c r="K32" s="211">
        <f t="shared" si="37"/>
        <v>0</v>
      </c>
      <c r="L32" s="344">
        <f t="shared" si="38"/>
        <v>0</v>
      </c>
      <c r="M32" s="273">
        <f t="shared" si="39"/>
        <v>0</v>
      </c>
      <c r="N32" s="344">
        <f t="shared" si="40"/>
        <v>0</v>
      </c>
      <c r="O32" s="208">
        <v>0</v>
      </c>
      <c r="P32" s="350">
        <f t="shared" si="41"/>
        <v>0</v>
      </c>
      <c r="Q32" s="210">
        <f>'[2]Table 5C1L-Northshore Charter'!S32+'[14]Table 5C1L-Northshore Charter'!S32+(6*'[20]Table 5C1L-Northshore Charter'!S32)</f>
        <v>0</v>
      </c>
      <c r="R32" s="210">
        <f t="shared" si="42"/>
        <v>0</v>
      </c>
      <c r="S32" s="350">
        <f t="shared" si="29"/>
        <v>0</v>
      </c>
      <c r="T32" s="350">
        <f t="shared" si="43"/>
        <v>0</v>
      </c>
      <c r="U32" s="274">
        <f>'Table 5C1A-Madison Prep'!U32</f>
        <v>5153</v>
      </c>
      <c r="V32" s="327">
        <f t="shared" si="30"/>
        <v>0</v>
      </c>
      <c r="W32" s="994">
        <f>'[1]Oct midyear Northshore'!E29</f>
        <v>0</v>
      </c>
      <c r="X32" s="276">
        <f t="shared" si="44"/>
        <v>0</v>
      </c>
      <c r="Y32" s="883">
        <f>'[1]Feb midyear Northshore'!E29</f>
        <v>0</v>
      </c>
      <c r="Z32" s="276">
        <f t="shared" si="31"/>
        <v>0</v>
      </c>
      <c r="AA32" s="275">
        <f t="shared" si="45"/>
        <v>0</v>
      </c>
      <c r="AB32" s="323">
        <f t="shared" si="46"/>
        <v>0</v>
      </c>
      <c r="AC32" s="278">
        <f t="shared" si="47"/>
        <v>0</v>
      </c>
      <c r="AD32" s="323">
        <f t="shared" si="48"/>
        <v>0</v>
      </c>
      <c r="AE32" s="279">
        <v>0</v>
      </c>
      <c r="AF32" s="323">
        <f t="shared" si="49"/>
        <v>0</v>
      </c>
      <c r="AG32" s="279">
        <f>'[2]Table 5C1L-Northshore Charter'!AI32+'[14]Table 5C1L-Northshore Charter'!AI32+(6*'[20]Table 5C1L-Northshore Charter'!AI32)</f>
        <v>0</v>
      </c>
      <c r="AH32" s="279">
        <f t="shared" si="50"/>
        <v>0</v>
      </c>
      <c r="AI32" s="323">
        <f t="shared" si="32"/>
        <v>0</v>
      </c>
      <c r="AJ32" s="337">
        <f t="shared" si="51"/>
        <v>0</v>
      </c>
      <c r="AK32" s="341">
        <f t="shared" si="52"/>
        <v>0</v>
      </c>
      <c r="AM32" s="273">
        <v>0</v>
      </c>
      <c r="AN32" s="273">
        <f t="shared" si="53"/>
        <v>0</v>
      </c>
      <c r="AO32" s="273">
        <f t="shared" si="33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2.1.14'!U29</f>
        <v>0</v>
      </c>
      <c r="D33" s="201">
        <f>+'Table 5C1A-Madison Prep'!D33</f>
        <v>5804.9013839977006</v>
      </c>
      <c r="E33" s="202">
        <f t="shared" si="34"/>
        <v>0</v>
      </c>
      <c r="F33" s="202">
        <f>+'Table 5C1A-Madison Prep'!F33</f>
        <v>693.06</v>
      </c>
      <c r="G33" s="202">
        <f t="shared" si="35"/>
        <v>0</v>
      </c>
      <c r="H33" s="345">
        <f t="shared" si="36"/>
        <v>0</v>
      </c>
      <c r="I33" s="991">
        <f>'[1]Oct midyear Northshore'!K30</f>
        <v>0</v>
      </c>
      <c r="J33" s="203">
        <f>'[1]Feb midyear Northshore'!K30</f>
        <v>0</v>
      </c>
      <c r="K33" s="204">
        <f t="shared" si="37"/>
        <v>0</v>
      </c>
      <c r="L33" s="345">
        <f t="shared" si="38"/>
        <v>0</v>
      </c>
      <c r="M33" s="286">
        <f t="shared" si="39"/>
        <v>0</v>
      </c>
      <c r="N33" s="345">
        <f t="shared" si="40"/>
        <v>0</v>
      </c>
      <c r="O33" s="201">
        <v>0</v>
      </c>
      <c r="P33" s="351">
        <f t="shared" si="41"/>
        <v>0</v>
      </c>
      <c r="Q33" s="203">
        <f>'[2]Table 5C1L-Northshore Charter'!S33+'[14]Table 5C1L-Northshore Charter'!S33+(6*'[20]Table 5C1L-Northshore Charter'!S33)</f>
        <v>0</v>
      </c>
      <c r="R33" s="203">
        <f t="shared" si="42"/>
        <v>0</v>
      </c>
      <c r="S33" s="351">
        <f t="shared" si="29"/>
        <v>0</v>
      </c>
      <c r="T33" s="351">
        <f t="shared" si="43"/>
        <v>0</v>
      </c>
      <c r="U33" s="287">
        <f>'Table 5C1A-Madison Prep'!U33</f>
        <v>3225</v>
      </c>
      <c r="V33" s="328">
        <f t="shared" si="30"/>
        <v>0</v>
      </c>
      <c r="W33" s="995">
        <f>'[1]Oct midyear Northshore'!E30</f>
        <v>0</v>
      </c>
      <c r="X33" s="290">
        <f t="shared" si="44"/>
        <v>0</v>
      </c>
      <c r="Y33" s="289">
        <f>'[1]Feb midyear Northshore'!E30</f>
        <v>0</v>
      </c>
      <c r="Z33" s="290">
        <f t="shared" si="31"/>
        <v>0</v>
      </c>
      <c r="AA33" s="288">
        <f t="shared" si="45"/>
        <v>0</v>
      </c>
      <c r="AB33" s="324">
        <f t="shared" si="46"/>
        <v>0</v>
      </c>
      <c r="AC33" s="292">
        <f t="shared" si="47"/>
        <v>0</v>
      </c>
      <c r="AD33" s="324">
        <f t="shared" si="48"/>
        <v>0</v>
      </c>
      <c r="AE33" s="293">
        <v>0</v>
      </c>
      <c r="AF33" s="324">
        <f t="shared" si="49"/>
        <v>0</v>
      </c>
      <c r="AG33" s="293">
        <f>'[2]Table 5C1L-Northshore Charter'!AI33+'[14]Table 5C1L-Northshore Charter'!AI33+(6*'[20]Table 5C1L-Northshore Charter'!AI33)</f>
        <v>0</v>
      </c>
      <c r="AH33" s="293">
        <f t="shared" si="50"/>
        <v>0</v>
      </c>
      <c r="AI33" s="324">
        <f t="shared" si="32"/>
        <v>0</v>
      </c>
      <c r="AJ33" s="321">
        <f t="shared" si="51"/>
        <v>0</v>
      </c>
      <c r="AK33" s="342">
        <f t="shared" si="52"/>
        <v>0</v>
      </c>
      <c r="AM33" s="286">
        <v>0</v>
      </c>
      <c r="AN33" s="286">
        <f t="shared" si="53"/>
        <v>0</v>
      </c>
      <c r="AO33" s="286">
        <f t="shared" si="33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2.1.14'!U30</f>
        <v>0</v>
      </c>
      <c r="D34" s="201">
        <f>+'Table 5C1A-Madison Prep'!D34</f>
        <v>3137.4158846568821</v>
      </c>
      <c r="E34" s="202">
        <f t="shared" si="34"/>
        <v>0</v>
      </c>
      <c r="F34" s="202">
        <f>+'Table 5C1A-Madison Prep'!F34</f>
        <v>694.4</v>
      </c>
      <c r="G34" s="202">
        <f t="shared" si="35"/>
        <v>0</v>
      </c>
      <c r="H34" s="345">
        <f t="shared" si="36"/>
        <v>0</v>
      </c>
      <c r="I34" s="991">
        <f>'[1]Oct midyear Northshore'!K31</f>
        <v>0</v>
      </c>
      <c r="J34" s="203">
        <f>'[1]Feb midyear Northshore'!K31</f>
        <v>0</v>
      </c>
      <c r="K34" s="204">
        <f t="shared" si="37"/>
        <v>0</v>
      </c>
      <c r="L34" s="345">
        <f t="shared" si="38"/>
        <v>0</v>
      </c>
      <c r="M34" s="286">
        <f t="shared" si="39"/>
        <v>0</v>
      </c>
      <c r="N34" s="345">
        <f t="shared" si="40"/>
        <v>0</v>
      </c>
      <c r="O34" s="201">
        <v>0</v>
      </c>
      <c r="P34" s="351">
        <f t="shared" si="41"/>
        <v>0</v>
      </c>
      <c r="Q34" s="203">
        <f>'[2]Table 5C1L-Northshore Charter'!S34+'[14]Table 5C1L-Northshore Charter'!S34+(6*'[20]Table 5C1L-Northshore Charter'!S34)</f>
        <v>0</v>
      </c>
      <c r="R34" s="203">
        <f t="shared" si="42"/>
        <v>0</v>
      </c>
      <c r="S34" s="351">
        <f t="shared" si="29"/>
        <v>0</v>
      </c>
      <c r="T34" s="351">
        <f t="shared" si="43"/>
        <v>0</v>
      </c>
      <c r="U34" s="287">
        <f>'Table 5C1A-Madison Prep'!U34</f>
        <v>5816</v>
      </c>
      <c r="V34" s="328">
        <f t="shared" si="30"/>
        <v>0</v>
      </c>
      <c r="W34" s="995">
        <f>'[1]Oct midyear Northshore'!E31</f>
        <v>0</v>
      </c>
      <c r="X34" s="290">
        <f t="shared" si="44"/>
        <v>0</v>
      </c>
      <c r="Y34" s="289">
        <f>'[1]Feb midyear Northshore'!E31</f>
        <v>0</v>
      </c>
      <c r="Z34" s="290">
        <f t="shared" si="31"/>
        <v>0</v>
      </c>
      <c r="AA34" s="288">
        <f t="shared" si="45"/>
        <v>0</v>
      </c>
      <c r="AB34" s="324">
        <f t="shared" si="46"/>
        <v>0</v>
      </c>
      <c r="AC34" s="292">
        <f t="shared" si="47"/>
        <v>0</v>
      </c>
      <c r="AD34" s="324">
        <f t="shared" si="48"/>
        <v>0</v>
      </c>
      <c r="AE34" s="293">
        <v>0</v>
      </c>
      <c r="AF34" s="324">
        <f t="shared" si="49"/>
        <v>0</v>
      </c>
      <c r="AG34" s="293">
        <f>'[2]Table 5C1L-Northshore Charter'!AI34+'[14]Table 5C1L-Northshore Charter'!AI34+(6*'[20]Table 5C1L-Northshore Charter'!AI34)</f>
        <v>0</v>
      </c>
      <c r="AH34" s="293">
        <f t="shared" si="50"/>
        <v>0</v>
      </c>
      <c r="AI34" s="324">
        <f t="shared" si="32"/>
        <v>0</v>
      </c>
      <c r="AJ34" s="321">
        <f t="shared" si="51"/>
        <v>0</v>
      </c>
      <c r="AK34" s="342">
        <f t="shared" si="52"/>
        <v>0</v>
      </c>
      <c r="AM34" s="286">
        <v>0</v>
      </c>
      <c r="AN34" s="286">
        <f t="shared" si="53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2.1.14'!U31</f>
        <v>0</v>
      </c>
      <c r="D35" s="201">
        <f>+'Table 5C1A-Madison Prep'!D35</f>
        <v>3839.0123210173724</v>
      </c>
      <c r="E35" s="202">
        <f t="shared" si="34"/>
        <v>0</v>
      </c>
      <c r="F35" s="202">
        <f>+'Table 5C1A-Madison Prep'!F35</f>
        <v>754.94999999999993</v>
      </c>
      <c r="G35" s="202">
        <f t="shared" si="35"/>
        <v>0</v>
      </c>
      <c r="H35" s="345">
        <f t="shared" si="36"/>
        <v>0</v>
      </c>
      <c r="I35" s="991">
        <f>'[1]Oct midyear Northshore'!K32</f>
        <v>0</v>
      </c>
      <c r="J35" s="203">
        <f>'[1]Feb midyear Northshore'!K32</f>
        <v>0</v>
      </c>
      <c r="K35" s="204">
        <f t="shared" si="37"/>
        <v>0</v>
      </c>
      <c r="L35" s="345">
        <f t="shared" si="38"/>
        <v>0</v>
      </c>
      <c r="M35" s="286">
        <f t="shared" si="39"/>
        <v>0</v>
      </c>
      <c r="N35" s="345">
        <f t="shared" si="40"/>
        <v>0</v>
      </c>
      <c r="O35" s="201">
        <v>0</v>
      </c>
      <c r="P35" s="351">
        <f t="shared" si="41"/>
        <v>0</v>
      </c>
      <c r="Q35" s="203">
        <f>'[2]Table 5C1L-Northshore Charter'!S35+'[14]Table 5C1L-Northshore Charter'!S35+(6*'[20]Table 5C1L-Northshore Charter'!S35)</f>
        <v>0</v>
      </c>
      <c r="R35" s="203">
        <f t="shared" si="42"/>
        <v>0</v>
      </c>
      <c r="S35" s="351">
        <f t="shared" si="29"/>
        <v>0</v>
      </c>
      <c r="T35" s="351">
        <f t="shared" si="43"/>
        <v>0</v>
      </c>
      <c r="U35" s="287">
        <f>'Table 5C1A-Madison Prep'!U35</f>
        <v>5046</v>
      </c>
      <c r="V35" s="328">
        <f t="shared" si="30"/>
        <v>0</v>
      </c>
      <c r="W35" s="995">
        <f>'[1]Oct midyear Northshore'!E32</f>
        <v>0</v>
      </c>
      <c r="X35" s="290">
        <f t="shared" si="44"/>
        <v>0</v>
      </c>
      <c r="Y35" s="289">
        <f>'[1]Feb midyear Northshore'!E32</f>
        <v>0</v>
      </c>
      <c r="Z35" s="290">
        <f t="shared" si="31"/>
        <v>0</v>
      </c>
      <c r="AA35" s="288">
        <f t="shared" si="45"/>
        <v>0</v>
      </c>
      <c r="AB35" s="324">
        <f t="shared" si="46"/>
        <v>0</v>
      </c>
      <c r="AC35" s="292">
        <f t="shared" si="47"/>
        <v>0</v>
      </c>
      <c r="AD35" s="324">
        <f t="shared" si="48"/>
        <v>0</v>
      </c>
      <c r="AE35" s="293">
        <v>0</v>
      </c>
      <c r="AF35" s="324">
        <f t="shared" si="49"/>
        <v>0</v>
      </c>
      <c r="AG35" s="293">
        <f>'[2]Table 5C1L-Northshore Charter'!AI35+'[14]Table 5C1L-Northshore Charter'!AI35+(6*'[20]Table 5C1L-Northshore Charter'!AI35)</f>
        <v>0</v>
      </c>
      <c r="AH35" s="293">
        <f t="shared" si="50"/>
        <v>0</v>
      </c>
      <c r="AI35" s="324">
        <f t="shared" si="32"/>
        <v>0</v>
      </c>
      <c r="AJ35" s="321">
        <f t="shared" si="51"/>
        <v>0</v>
      </c>
      <c r="AK35" s="342">
        <f t="shared" si="52"/>
        <v>0</v>
      </c>
      <c r="AM35" s="286">
        <v>0</v>
      </c>
      <c r="AN35" s="286">
        <f t="shared" si="53"/>
        <v>0</v>
      </c>
      <c r="AO35" s="286">
        <f t="shared" ref="AO35:AO75" si="54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2.1.14'!U32</f>
        <v>0</v>
      </c>
      <c r="D36" s="194">
        <f>+'Table 5C1A-Madison Prep'!D36</f>
        <v>5804.5327273996763</v>
      </c>
      <c r="E36" s="195">
        <f t="shared" si="34"/>
        <v>0</v>
      </c>
      <c r="F36" s="195">
        <f>+'Table 5C1A-Madison Prep'!F36</f>
        <v>727.17</v>
      </c>
      <c r="G36" s="195">
        <f t="shared" si="35"/>
        <v>0</v>
      </c>
      <c r="H36" s="346">
        <f t="shared" si="36"/>
        <v>0</v>
      </c>
      <c r="I36" s="992">
        <f>'[1]Oct midyear Northshore'!K33</f>
        <v>0</v>
      </c>
      <c r="J36" s="196">
        <f>'[1]Feb midyear Northshore'!K33</f>
        <v>0</v>
      </c>
      <c r="K36" s="197">
        <f t="shared" si="37"/>
        <v>0</v>
      </c>
      <c r="L36" s="346">
        <f t="shared" si="38"/>
        <v>0</v>
      </c>
      <c r="M36" s="296">
        <f t="shared" si="39"/>
        <v>0</v>
      </c>
      <c r="N36" s="346">
        <f t="shared" si="40"/>
        <v>0</v>
      </c>
      <c r="O36" s="194">
        <v>0</v>
      </c>
      <c r="P36" s="352">
        <f t="shared" si="41"/>
        <v>0</v>
      </c>
      <c r="Q36" s="622">
        <f>'[2]Table 5C1L-Northshore Charter'!S36+'[14]Table 5C1L-Northshore Charter'!S36+(6*'[20]Table 5C1L-Northshore Charter'!S36)</f>
        <v>0</v>
      </c>
      <c r="R36" s="196">
        <f t="shared" si="42"/>
        <v>0</v>
      </c>
      <c r="S36" s="356">
        <f t="shared" si="29"/>
        <v>0</v>
      </c>
      <c r="T36" s="356">
        <f t="shared" si="43"/>
        <v>0</v>
      </c>
      <c r="U36" s="281">
        <f>'Table 5C1A-Madison Prep'!U36</f>
        <v>3999</v>
      </c>
      <c r="V36" s="329">
        <f t="shared" si="30"/>
        <v>0</v>
      </c>
      <c r="W36" s="996">
        <f>'[1]Oct midyear Northshore'!E33</f>
        <v>0</v>
      </c>
      <c r="X36" s="282">
        <f t="shared" si="44"/>
        <v>0</v>
      </c>
      <c r="Y36" s="884">
        <f>'[1]Feb midyear Northshore'!E33</f>
        <v>0</v>
      </c>
      <c r="Z36" s="282">
        <f t="shared" si="31"/>
        <v>0</v>
      </c>
      <c r="AA36" s="283">
        <f t="shared" si="45"/>
        <v>0</v>
      </c>
      <c r="AB36" s="325">
        <f t="shared" si="46"/>
        <v>0</v>
      </c>
      <c r="AC36" s="298">
        <f t="shared" si="47"/>
        <v>0</v>
      </c>
      <c r="AD36" s="325">
        <f t="shared" si="48"/>
        <v>0</v>
      </c>
      <c r="AE36" s="284">
        <v>0</v>
      </c>
      <c r="AF36" s="325">
        <f t="shared" si="49"/>
        <v>0</v>
      </c>
      <c r="AG36" s="284">
        <f>'[2]Table 5C1L-Northshore Charter'!AI36+'[14]Table 5C1L-Northshore Charter'!AI36+(6*'[20]Table 5C1L-Northshore Charter'!AI36)</f>
        <v>0</v>
      </c>
      <c r="AH36" s="284">
        <f t="shared" si="50"/>
        <v>0</v>
      </c>
      <c r="AI36" s="325">
        <f t="shared" si="32"/>
        <v>0</v>
      </c>
      <c r="AJ36" s="338">
        <f t="shared" si="51"/>
        <v>0</v>
      </c>
      <c r="AK36" s="343">
        <f t="shared" si="52"/>
        <v>0</v>
      </c>
      <c r="AM36" s="296">
        <v>0</v>
      </c>
      <c r="AN36" s="296">
        <f t="shared" si="53"/>
        <v>0</v>
      </c>
      <c r="AO36" s="296">
        <f t="shared" si="54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2.1.14'!U33</f>
        <v>0</v>
      </c>
      <c r="D37" s="208">
        <f>+'Table 5C1A-Madison Prep'!D37</f>
        <v>4520.6176716868531</v>
      </c>
      <c r="E37" s="209">
        <f t="shared" si="34"/>
        <v>0</v>
      </c>
      <c r="F37" s="209">
        <f>+'Table 5C1A-Madison Prep'!F37</f>
        <v>620.83000000000004</v>
      </c>
      <c r="G37" s="209">
        <f t="shared" si="35"/>
        <v>0</v>
      </c>
      <c r="H37" s="344">
        <f t="shared" si="36"/>
        <v>0</v>
      </c>
      <c r="I37" s="990">
        <f>'[1]Oct midyear Northshore'!K34</f>
        <v>0</v>
      </c>
      <c r="J37" s="210">
        <f>'[1]Feb midyear Northshore'!K34</f>
        <v>0</v>
      </c>
      <c r="K37" s="211">
        <f t="shared" si="37"/>
        <v>0</v>
      </c>
      <c r="L37" s="344">
        <f t="shared" si="38"/>
        <v>0</v>
      </c>
      <c r="M37" s="273">
        <f t="shared" si="39"/>
        <v>0</v>
      </c>
      <c r="N37" s="344">
        <f t="shared" si="40"/>
        <v>0</v>
      </c>
      <c r="O37" s="208">
        <v>0</v>
      </c>
      <c r="P37" s="350">
        <f t="shared" si="41"/>
        <v>0</v>
      </c>
      <c r="Q37" s="210">
        <f>'[2]Table 5C1L-Northshore Charter'!S37+'[14]Table 5C1L-Northshore Charter'!S37+(6*'[20]Table 5C1L-Northshore Charter'!S37)</f>
        <v>0</v>
      </c>
      <c r="R37" s="210">
        <f t="shared" si="42"/>
        <v>0</v>
      </c>
      <c r="S37" s="350">
        <f t="shared" si="29"/>
        <v>0</v>
      </c>
      <c r="T37" s="350">
        <f t="shared" si="43"/>
        <v>0</v>
      </c>
      <c r="U37" s="274">
        <f>'Table 5C1A-Madison Prep'!U37</f>
        <v>5028</v>
      </c>
      <c r="V37" s="327">
        <f t="shared" si="30"/>
        <v>0</v>
      </c>
      <c r="W37" s="994">
        <f>'[1]Oct midyear Northshore'!E34</f>
        <v>0</v>
      </c>
      <c r="X37" s="276">
        <f t="shared" si="44"/>
        <v>0</v>
      </c>
      <c r="Y37" s="883">
        <f>'[1]Feb midyear Northshore'!E34</f>
        <v>0</v>
      </c>
      <c r="Z37" s="276">
        <f t="shared" si="31"/>
        <v>0</v>
      </c>
      <c r="AA37" s="275">
        <f t="shared" si="45"/>
        <v>0</v>
      </c>
      <c r="AB37" s="323">
        <f t="shared" si="46"/>
        <v>0</v>
      </c>
      <c r="AC37" s="278">
        <f t="shared" si="47"/>
        <v>0</v>
      </c>
      <c r="AD37" s="323">
        <f t="shared" si="48"/>
        <v>0</v>
      </c>
      <c r="AE37" s="279">
        <v>0</v>
      </c>
      <c r="AF37" s="323">
        <f t="shared" si="49"/>
        <v>0</v>
      </c>
      <c r="AG37" s="279">
        <f>'[2]Table 5C1L-Northshore Charter'!AI37+'[14]Table 5C1L-Northshore Charter'!AI37+(6*'[20]Table 5C1L-Northshore Charter'!AI37)</f>
        <v>0</v>
      </c>
      <c r="AH37" s="279">
        <f t="shared" si="50"/>
        <v>0</v>
      </c>
      <c r="AI37" s="323">
        <f t="shared" si="32"/>
        <v>0</v>
      </c>
      <c r="AJ37" s="337">
        <f t="shared" si="51"/>
        <v>0</v>
      </c>
      <c r="AK37" s="341">
        <f t="shared" si="52"/>
        <v>0</v>
      </c>
      <c r="AM37" s="273">
        <v>0</v>
      </c>
      <c r="AN37" s="273">
        <f t="shared" si="53"/>
        <v>0</v>
      </c>
      <c r="AO37" s="273">
        <f t="shared" si="54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2.1.14'!U34</f>
        <v>0</v>
      </c>
      <c r="D38" s="201">
        <f>+'Table 5C1A-Madison Prep'!D38</f>
        <v>5652.819189061127</v>
      </c>
      <c r="E38" s="202">
        <f t="shared" si="34"/>
        <v>0</v>
      </c>
      <c r="F38" s="202">
        <f>+'Table 5C1A-Madison Prep'!F38</f>
        <v>559.77</v>
      </c>
      <c r="G38" s="202">
        <f t="shared" si="35"/>
        <v>0</v>
      </c>
      <c r="H38" s="345">
        <f t="shared" si="36"/>
        <v>0</v>
      </c>
      <c r="I38" s="991">
        <f>'[1]Oct midyear Northshore'!K35</f>
        <v>0</v>
      </c>
      <c r="J38" s="203">
        <f>'[1]Feb midyear Northshore'!K35</f>
        <v>0</v>
      </c>
      <c r="K38" s="204">
        <f t="shared" si="37"/>
        <v>0</v>
      </c>
      <c r="L38" s="345">
        <f t="shared" si="38"/>
        <v>0</v>
      </c>
      <c r="M38" s="286">
        <f t="shared" si="39"/>
        <v>0</v>
      </c>
      <c r="N38" s="345">
        <f t="shared" si="40"/>
        <v>0</v>
      </c>
      <c r="O38" s="201">
        <v>0</v>
      </c>
      <c r="P38" s="351">
        <f t="shared" si="41"/>
        <v>0</v>
      </c>
      <c r="Q38" s="203">
        <f>'[2]Table 5C1L-Northshore Charter'!S38+'[14]Table 5C1L-Northshore Charter'!S38+(6*'[20]Table 5C1L-Northshore Charter'!S38)</f>
        <v>0</v>
      </c>
      <c r="R38" s="203">
        <f t="shared" si="42"/>
        <v>0</v>
      </c>
      <c r="S38" s="351">
        <f t="shared" si="29"/>
        <v>0</v>
      </c>
      <c r="T38" s="351">
        <f t="shared" si="43"/>
        <v>0</v>
      </c>
      <c r="U38" s="287">
        <f>'Table 5C1A-Madison Prep'!U38</f>
        <v>2139</v>
      </c>
      <c r="V38" s="328">
        <f t="shared" si="30"/>
        <v>0</v>
      </c>
      <c r="W38" s="995">
        <f>'[1]Oct midyear Northshore'!E35</f>
        <v>0</v>
      </c>
      <c r="X38" s="290">
        <f t="shared" si="44"/>
        <v>0</v>
      </c>
      <c r="Y38" s="289">
        <f>'[1]Feb midyear Northshore'!E35</f>
        <v>0</v>
      </c>
      <c r="Z38" s="290">
        <f t="shared" si="31"/>
        <v>0</v>
      </c>
      <c r="AA38" s="288">
        <f t="shared" si="45"/>
        <v>0</v>
      </c>
      <c r="AB38" s="324">
        <f t="shared" si="46"/>
        <v>0</v>
      </c>
      <c r="AC38" s="292">
        <f t="shared" si="47"/>
        <v>0</v>
      </c>
      <c r="AD38" s="324">
        <f t="shared" si="48"/>
        <v>0</v>
      </c>
      <c r="AE38" s="293">
        <v>0</v>
      </c>
      <c r="AF38" s="324">
        <f t="shared" si="49"/>
        <v>0</v>
      </c>
      <c r="AG38" s="293">
        <f>'[2]Table 5C1L-Northshore Charter'!AI38+'[14]Table 5C1L-Northshore Charter'!AI38+(6*'[20]Table 5C1L-Northshore Charter'!AI38)</f>
        <v>0</v>
      </c>
      <c r="AH38" s="293">
        <f t="shared" si="50"/>
        <v>0</v>
      </c>
      <c r="AI38" s="324">
        <f t="shared" si="32"/>
        <v>0</v>
      </c>
      <c r="AJ38" s="321">
        <f t="shared" si="51"/>
        <v>0</v>
      </c>
      <c r="AK38" s="342">
        <f t="shared" si="52"/>
        <v>0</v>
      </c>
      <c r="AM38" s="286">
        <v>0</v>
      </c>
      <c r="AN38" s="286">
        <f t="shared" si="53"/>
        <v>0</v>
      </c>
      <c r="AO38" s="286">
        <f t="shared" si="54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2.1.14'!U35</f>
        <v>0</v>
      </c>
      <c r="D39" s="201">
        <f>+'Table 5C1A-Madison Prep'!D39</f>
        <v>5456.2254558085233</v>
      </c>
      <c r="E39" s="202">
        <f t="shared" si="34"/>
        <v>0</v>
      </c>
      <c r="F39" s="202">
        <f>+'Table 5C1A-Madison Prep'!F39</f>
        <v>655.31000000000006</v>
      </c>
      <c r="G39" s="202">
        <f t="shared" si="35"/>
        <v>0</v>
      </c>
      <c r="H39" s="345">
        <f t="shared" si="36"/>
        <v>0</v>
      </c>
      <c r="I39" s="991">
        <f>'[1]Oct midyear Northshore'!K36</f>
        <v>0</v>
      </c>
      <c r="J39" s="203">
        <f>'[1]Feb midyear Northshore'!K36</f>
        <v>0</v>
      </c>
      <c r="K39" s="204">
        <f t="shared" si="37"/>
        <v>0</v>
      </c>
      <c r="L39" s="345">
        <f t="shared" ref="L39:L70" si="55">H39+K39</f>
        <v>0</v>
      </c>
      <c r="M39" s="286">
        <f t="shared" si="39"/>
        <v>0</v>
      </c>
      <c r="N39" s="345">
        <f t="shared" si="40"/>
        <v>0</v>
      </c>
      <c r="O39" s="201">
        <v>0</v>
      </c>
      <c r="P39" s="351">
        <f t="shared" si="41"/>
        <v>0</v>
      </c>
      <c r="Q39" s="203">
        <f>'[2]Table 5C1L-Northshore Charter'!S39+'[14]Table 5C1L-Northshore Charter'!S39+(6*'[20]Table 5C1L-Northshore Charter'!S39)</f>
        <v>0</v>
      </c>
      <c r="R39" s="203">
        <f t="shared" si="42"/>
        <v>0</v>
      </c>
      <c r="S39" s="351">
        <f t="shared" ref="S39:S70" si="56">ROUND(R39/$S$88,0)</f>
        <v>0</v>
      </c>
      <c r="T39" s="351">
        <f t="shared" si="43"/>
        <v>0</v>
      </c>
      <c r="U39" s="287">
        <f>'Table 5C1A-Madison Prep'!U39</f>
        <v>3784</v>
      </c>
      <c r="V39" s="328">
        <f t="shared" ref="V39:V70" si="57">C39*U39</f>
        <v>0</v>
      </c>
      <c r="W39" s="995">
        <f>'[1]Oct midyear Northshore'!E36</f>
        <v>0</v>
      </c>
      <c r="X39" s="290">
        <f t="shared" si="44"/>
        <v>0</v>
      </c>
      <c r="Y39" s="289">
        <f>'[1]Feb midyear Northshore'!E36</f>
        <v>0</v>
      </c>
      <c r="Z39" s="290">
        <f t="shared" si="31"/>
        <v>0</v>
      </c>
      <c r="AA39" s="288">
        <f t="shared" si="45"/>
        <v>0</v>
      </c>
      <c r="AB39" s="324">
        <f t="shared" si="46"/>
        <v>0</v>
      </c>
      <c r="AC39" s="292">
        <f t="shared" si="47"/>
        <v>0</v>
      </c>
      <c r="AD39" s="324">
        <f t="shared" si="48"/>
        <v>0</v>
      </c>
      <c r="AE39" s="293">
        <v>0</v>
      </c>
      <c r="AF39" s="324">
        <f t="shared" si="49"/>
        <v>0</v>
      </c>
      <c r="AG39" s="293">
        <f>'[2]Table 5C1L-Northshore Charter'!AI39+'[14]Table 5C1L-Northshore Charter'!AI39+(6*'[20]Table 5C1L-Northshore Charter'!AI39)</f>
        <v>0</v>
      </c>
      <c r="AH39" s="293">
        <f t="shared" si="50"/>
        <v>0</v>
      </c>
      <c r="AI39" s="324">
        <f t="shared" ref="AI39:AI70" si="58">ROUND(AH39/$AI$88,0)</f>
        <v>0</v>
      </c>
      <c r="AJ39" s="321">
        <f t="shared" si="51"/>
        <v>0</v>
      </c>
      <c r="AK39" s="342">
        <f t="shared" si="52"/>
        <v>0</v>
      </c>
      <c r="AM39" s="286">
        <v>0</v>
      </c>
      <c r="AN39" s="286">
        <f t="shared" si="53"/>
        <v>0</v>
      </c>
      <c r="AO39" s="286">
        <f t="shared" si="54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2.1.14'!U36</f>
        <v>0</v>
      </c>
      <c r="D40" s="201">
        <f>+'Table 5C1A-Madison Prep'!D40</f>
        <v>6292.0976842789005</v>
      </c>
      <c r="E40" s="202">
        <f t="shared" si="34"/>
        <v>0</v>
      </c>
      <c r="F40" s="202">
        <f>+'Table 5C1A-Madison Prep'!F40</f>
        <v>644.11000000000013</v>
      </c>
      <c r="G40" s="202">
        <f t="shared" si="35"/>
        <v>0</v>
      </c>
      <c r="H40" s="345">
        <f t="shared" si="36"/>
        <v>0</v>
      </c>
      <c r="I40" s="991">
        <f>'[1]Oct midyear Northshore'!K37</f>
        <v>0</v>
      </c>
      <c r="J40" s="203">
        <f>'[1]Feb midyear Northshore'!K37</f>
        <v>0</v>
      </c>
      <c r="K40" s="204">
        <f t="shared" si="37"/>
        <v>0</v>
      </c>
      <c r="L40" s="345">
        <f t="shared" si="55"/>
        <v>0</v>
      </c>
      <c r="M40" s="286">
        <f t="shared" si="39"/>
        <v>0</v>
      </c>
      <c r="N40" s="345">
        <f t="shared" si="40"/>
        <v>0</v>
      </c>
      <c r="O40" s="201">
        <v>0</v>
      </c>
      <c r="P40" s="351">
        <f t="shared" si="41"/>
        <v>0</v>
      </c>
      <c r="Q40" s="203">
        <f>'[2]Table 5C1L-Northshore Charter'!S40+'[14]Table 5C1L-Northshore Charter'!S40+(6*'[20]Table 5C1L-Northshore Charter'!S40)</f>
        <v>0</v>
      </c>
      <c r="R40" s="203">
        <f t="shared" si="42"/>
        <v>0</v>
      </c>
      <c r="S40" s="351">
        <f t="shared" si="56"/>
        <v>0</v>
      </c>
      <c r="T40" s="351">
        <f t="shared" si="43"/>
        <v>0</v>
      </c>
      <c r="U40" s="287">
        <f>'Table 5C1A-Madison Prep'!U40</f>
        <v>2911</v>
      </c>
      <c r="V40" s="328">
        <f t="shared" si="57"/>
        <v>0</v>
      </c>
      <c r="W40" s="995">
        <f>'[1]Oct midyear Northshore'!E37</f>
        <v>0</v>
      </c>
      <c r="X40" s="290">
        <f t="shared" si="44"/>
        <v>0</v>
      </c>
      <c r="Y40" s="289">
        <f>'[1]Feb midyear Northshore'!E37</f>
        <v>0</v>
      </c>
      <c r="Z40" s="290">
        <f t="shared" si="31"/>
        <v>0</v>
      </c>
      <c r="AA40" s="288">
        <f t="shared" si="45"/>
        <v>0</v>
      </c>
      <c r="AB40" s="324">
        <f t="shared" si="46"/>
        <v>0</v>
      </c>
      <c r="AC40" s="292">
        <f t="shared" si="47"/>
        <v>0</v>
      </c>
      <c r="AD40" s="324">
        <f t="shared" si="48"/>
        <v>0</v>
      </c>
      <c r="AE40" s="293">
        <v>0</v>
      </c>
      <c r="AF40" s="324">
        <f t="shared" si="49"/>
        <v>0</v>
      </c>
      <c r="AG40" s="293">
        <f>'[2]Table 5C1L-Northshore Charter'!AI40+'[14]Table 5C1L-Northshore Charter'!AI40+(6*'[20]Table 5C1L-Northshore Charter'!AI40)</f>
        <v>0</v>
      </c>
      <c r="AH40" s="293">
        <f t="shared" si="50"/>
        <v>0</v>
      </c>
      <c r="AI40" s="324">
        <f t="shared" si="58"/>
        <v>0</v>
      </c>
      <c r="AJ40" s="321">
        <f t="shared" si="51"/>
        <v>0</v>
      </c>
      <c r="AK40" s="342">
        <f t="shared" si="52"/>
        <v>0</v>
      </c>
      <c r="AM40" s="286">
        <v>0</v>
      </c>
      <c r="AN40" s="286">
        <f t="shared" si="53"/>
        <v>0</v>
      </c>
      <c r="AO40" s="286">
        <f t="shared" si="54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2.1.14'!U37</f>
        <v>0</v>
      </c>
      <c r="D41" s="194">
        <f>+'Table 5C1A-Madison Prep'!D41</f>
        <v>5166.2482060477605</v>
      </c>
      <c r="E41" s="195">
        <f t="shared" si="34"/>
        <v>0</v>
      </c>
      <c r="F41" s="195">
        <f>+'Table 5C1A-Madison Prep'!F41</f>
        <v>537.96</v>
      </c>
      <c r="G41" s="195">
        <f t="shared" si="35"/>
        <v>0</v>
      </c>
      <c r="H41" s="346">
        <f t="shared" si="36"/>
        <v>0</v>
      </c>
      <c r="I41" s="992">
        <f>'[1]Oct midyear Northshore'!K38</f>
        <v>0</v>
      </c>
      <c r="J41" s="196">
        <f>'[1]Feb midyear Northshore'!K38</f>
        <v>0</v>
      </c>
      <c r="K41" s="197">
        <f t="shared" si="37"/>
        <v>0</v>
      </c>
      <c r="L41" s="346">
        <f t="shared" si="55"/>
        <v>0</v>
      </c>
      <c r="M41" s="296">
        <f t="shared" si="39"/>
        <v>0</v>
      </c>
      <c r="N41" s="346">
        <f t="shared" si="40"/>
        <v>0</v>
      </c>
      <c r="O41" s="194">
        <v>0</v>
      </c>
      <c r="P41" s="352">
        <f t="shared" si="41"/>
        <v>0</v>
      </c>
      <c r="Q41" s="622">
        <f>'[2]Table 5C1L-Northshore Charter'!S41+'[14]Table 5C1L-Northshore Charter'!S41+(6*'[20]Table 5C1L-Northshore Charter'!S41)</f>
        <v>0</v>
      </c>
      <c r="R41" s="196">
        <f t="shared" si="42"/>
        <v>0</v>
      </c>
      <c r="S41" s="356">
        <f t="shared" si="56"/>
        <v>0</v>
      </c>
      <c r="T41" s="356">
        <f t="shared" si="43"/>
        <v>0</v>
      </c>
      <c r="U41" s="281">
        <f>'Table 5C1A-Madison Prep'!U41</f>
        <v>3337</v>
      </c>
      <c r="V41" s="329">
        <f t="shared" si="57"/>
        <v>0</v>
      </c>
      <c r="W41" s="996">
        <f>'[1]Oct midyear Northshore'!E38</f>
        <v>0</v>
      </c>
      <c r="X41" s="282">
        <f t="shared" si="44"/>
        <v>0</v>
      </c>
      <c r="Y41" s="884">
        <f>'[1]Feb midyear Northshore'!E38</f>
        <v>0</v>
      </c>
      <c r="Z41" s="282">
        <f t="shared" si="31"/>
        <v>0</v>
      </c>
      <c r="AA41" s="283">
        <f t="shared" si="45"/>
        <v>0</v>
      </c>
      <c r="AB41" s="325">
        <f t="shared" si="46"/>
        <v>0</v>
      </c>
      <c r="AC41" s="298">
        <f t="shared" si="47"/>
        <v>0</v>
      </c>
      <c r="AD41" s="325">
        <f t="shared" si="48"/>
        <v>0</v>
      </c>
      <c r="AE41" s="284">
        <v>0</v>
      </c>
      <c r="AF41" s="325">
        <f t="shared" si="49"/>
        <v>0</v>
      </c>
      <c r="AG41" s="284">
        <f>'[2]Table 5C1L-Northshore Charter'!AI41+'[14]Table 5C1L-Northshore Charter'!AI41+(6*'[20]Table 5C1L-Northshore Charter'!AI41)</f>
        <v>0</v>
      </c>
      <c r="AH41" s="284">
        <f t="shared" si="50"/>
        <v>0</v>
      </c>
      <c r="AI41" s="325">
        <f t="shared" si="58"/>
        <v>0</v>
      </c>
      <c r="AJ41" s="338">
        <f t="shared" si="51"/>
        <v>0</v>
      </c>
      <c r="AK41" s="343">
        <f t="shared" si="52"/>
        <v>0</v>
      </c>
      <c r="AM41" s="296">
        <v>0</v>
      </c>
      <c r="AN41" s="296">
        <f t="shared" si="53"/>
        <v>0</v>
      </c>
      <c r="AO41" s="296">
        <f t="shared" si="54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2.1.14'!U38</f>
        <v>0</v>
      </c>
      <c r="D42" s="208">
        <f>+'Table 5C1A-Madison Prep'!D42</f>
        <v>3602.7009974327857</v>
      </c>
      <c r="E42" s="209">
        <f t="shared" si="34"/>
        <v>0</v>
      </c>
      <c r="F42" s="209">
        <f>+'Table 5C1A-Madison Prep'!F42</f>
        <v>746.0335616438357</v>
      </c>
      <c r="G42" s="209">
        <f t="shared" si="35"/>
        <v>0</v>
      </c>
      <c r="H42" s="344">
        <f t="shared" si="36"/>
        <v>0</v>
      </c>
      <c r="I42" s="990">
        <f>'[1]Oct midyear Northshore'!K39</f>
        <v>0</v>
      </c>
      <c r="J42" s="210">
        <f>'[1]Feb midyear Northshore'!K39</f>
        <v>0</v>
      </c>
      <c r="K42" s="211">
        <f t="shared" si="37"/>
        <v>0</v>
      </c>
      <c r="L42" s="344">
        <f t="shared" si="55"/>
        <v>0</v>
      </c>
      <c r="M42" s="273">
        <f t="shared" si="39"/>
        <v>0</v>
      </c>
      <c r="N42" s="344">
        <f t="shared" si="40"/>
        <v>0</v>
      </c>
      <c r="O42" s="208">
        <v>0</v>
      </c>
      <c r="P42" s="350">
        <f t="shared" si="41"/>
        <v>0</v>
      </c>
      <c r="Q42" s="210">
        <f>'[2]Table 5C1L-Northshore Charter'!S42+'[14]Table 5C1L-Northshore Charter'!S42+(6*'[20]Table 5C1L-Northshore Charter'!S42)</f>
        <v>0</v>
      </c>
      <c r="R42" s="210">
        <f t="shared" si="42"/>
        <v>0</v>
      </c>
      <c r="S42" s="350">
        <f t="shared" si="56"/>
        <v>0</v>
      </c>
      <c r="T42" s="350">
        <f t="shared" si="43"/>
        <v>0</v>
      </c>
      <c r="U42" s="274">
        <f>'Table 5C1A-Madison Prep'!U42</f>
        <v>5469</v>
      </c>
      <c r="V42" s="327">
        <f t="shared" si="57"/>
        <v>0</v>
      </c>
      <c r="W42" s="994">
        <f>'[1]Oct midyear Northshore'!E39</f>
        <v>0</v>
      </c>
      <c r="X42" s="276">
        <f t="shared" si="44"/>
        <v>0</v>
      </c>
      <c r="Y42" s="883">
        <f>'[1]Feb midyear Northshore'!E39</f>
        <v>0</v>
      </c>
      <c r="Z42" s="276">
        <f t="shared" si="31"/>
        <v>0</v>
      </c>
      <c r="AA42" s="275">
        <f t="shared" si="45"/>
        <v>0</v>
      </c>
      <c r="AB42" s="323">
        <f t="shared" si="46"/>
        <v>0</v>
      </c>
      <c r="AC42" s="278">
        <f t="shared" si="47"/>
        <v>0</v>
      </c>
      <c r="AD42" s="323">
        <f t="shared" si="48"/>
        <v>0</v>
      </c>
      <c r="AE42" s="279">
        <v>0</v>
      </c>
      <c r="AF42" s="323">
        <f t="shared" si="49"/>
        <v>0</v>
      </c>
      <c r="AG42" s="279">
        <f>'[2]Table 5C1L-Northshore Charter'!AI42+'[14]Table 5C1L-Northshore Charter'!AI42+(6*'[20]Table 5C1L-Northshore Charter'!AI42)</f>
        <v>0</v>
      </c>
      <c r="AH42" s="279">
        <f t="shared" si="50"/>
        <v>0</v>
      </c>
      <c r="AI42" s="323">
        <f t="shared" si="58"/>
        <v>0</v>
      </c>
      <c r="AJ42" s="337">
        <f t="shared" si="51"/>
        <v>0</v>
      </c>
      <c r="AK42" s="341">
        <f t="shared" si="52"/>
        <v>0</v>
      </c>
      <c r="AM42" s="273">
        <v>0</v>
      </c>
      <c r="AN42" s="273">
        <f t="shared" si="53"/>
        <v>0</v>
      </c>
      <c r="AO42" s="273">
        <f t="shared" si="54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2.1.14'!U39</f>
        <v>0</v>
      </c>
      <c r="D43" s="201">
        <f>+'Table 5C1A-Madison Prep'!D43</f>
        <v>5665.3839260317691</v>
      </c>
      <c r="E43" s="202">
        <f t="shared" si="34"/>
        <v>0</v>
      </c>
      <c r="F43" s="202">
        <f>+'Table 5C1A-Madison Prep'!F43</f>
        <v>653.61</v>
      </c>
      <c r="G43" s="202">
        <f t="shared" si="35"/>
        <v>0</v>
      </c>
      <c r="H43" s="345">
        <f t="shared" si="36"/>
        <v>0</v>
      </c>
      <c r="I43" s="991">
        <f>'[1]Oct midyear Northshore'!K40</f>
        <v>0</v>
      </c>
      <c r="J43" s="203">
        <f>'[1]Feb midyear Northshore'!K40</f>
        <v>0</v>
      </c>
      <c r="K43" s="204">
        <f t="shared" si="37"/>
        <v>0</v>
      </c>
      <c r="L43" s="345">
        <f t="shared" si="55"/>
        <v>0</v>
      </c>
      <c r="M43" s="286">
        <f t="shared" si="39"/>
        <v>0</v>
      </c>
      <c r="N43" s="345">
        <f t="shared" si="40"/>
        <v>0</v>
      </c>
      <c r="O43" s="201">
        <v>0</v>
      </c>
      <c r="P43" s="351">
        <f t="shared" si="41"/>
        <v>0</v>
      </c>
      <c r="Q43" s="203">
        <f>'[2]Table 5C1L-Northshore Charter'!S43+'[14]Table 5C1L-Northshore Charter'!S43+(6*'[20]Table 5C1L-Northshore Charter'!S43)</f>
        <v>0</v>
      </c>
      <c r="R43" s="203">
        <f t="shared" si="42"/>
        <v>0</v>
      </c>
      <c r="S43" s="351">
        <f t="shared" si="56"/>
        <v>0</v>
      </c>
      <c r="T43" s="351">
        <f t="shared" si="43"/>
        <v>0</v>
      </c>
      <c r="U43" s="287">
        <f>'Table 5C1A-Madison Prep'!U43</f>
        <v>3424</v>
      </c>
      <c r="V43" s="328">
        <f t="shared" si="57"/>
        <v>0</v>
      </c>
      <c r="W43" s="995">
        <f>'[1]Oct midyear Northshore'!E40</f>
        <v>0</v>
      </c>
      <c r="X43" s="290">
        <f t="shared" si="44"/>
        <v>0</v>
      </c>
      <c r="Y43" s="289">
        <f>'[1]Feb midyear Northshore'!E40</f>
        <v>0</v>
      </c>
      <c r="Z43" s="290">
        <f t="shared" si="31"/>
        <v>0</v>
      </c>
      <c r="AA43" s="288">
        <f t="shared" si="45"/>
        <v>0</v>
      </c>
      <c r="AB43" s="324">
        <f t="shared" si="46"/>
        <v>0</v>
      </c>
      <c r="AC43" s="292">
        <f t="shared" si="47"/>
        <v>0</v>
      </c>
      <c r="AD43" s="324">
        <f t="shared" si="48"/>
        <v>0</v>
      </c>
      <c r="AE43" s="293">
        <v>0</v>
      </c>
      <c r="AF43" s="324">
        <f t="shared" si="49"/>
        <v>0</v>
      </c>
      <c r="AG43" s="293">
        <f>'[2]Table 5C1L-Northshore Charter'!AI43+'[14]Table 5C1L-Northshore Charter'!AI43+(6*'[20]Table 5C1L-Northshore Charter'!AI43)</f>
        <v>0</v>
      </c>
      <c r="AH43" s="293">
        <f t="shared" si="50"/>
        <v>0</v>
      </c>
      <c r="AI43" s="324">
        <f t="shared" si="58"/>
        <v>0</v>
      </c>
      <c r="AJ43" s="321">
        <f t="shared" si="51"/>
        <v>0</v>
      </c>
      <c r="AK43" s="342">
        <f t="shared" si="52"/>
        <v>0</v>
      </c>
      <c r="AM43" s="286">
        <v>0</v>
      </c>
      <c r="AN43" s="286">
        <f t="shared" si="53"/>
        <v>0</v>
      </c>
      <c r="AO43" s="286">
        <f t="shared" si="54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2.1.14'!U40</f>
        <v>0</v>
      </c>
      <c r="D44" s="201">
        <f>+'Table 5C1A-Madison Prep'!D44</f>
        <v>2088.8017552916881</v>
      </c>
      <c r="E44" s="202">
        <f t="shared" si="34"/>
        <v>0</v>
      </c>
      <c r="F44" s="202">
        <f>+'Table 5C1A-Madison Prep'!F44</f>
        <v>829.92000000000007</v>
      </c>
      <c r="G44" s="202">
        <f t="shared" si="35"/>
        <v>0</v>
      </c>
      <c r="H44" s="345">
        <f t="shared" si="36"/>
        <v>0</v>
      </c>
      <c r="I44" s="991">
        <f>'[1]Oct midyear Northshore'!K41</f>
        <v>0</v>
      </c>
      <c r="J44" s="203">
        <f>'[1]Feb midyear Northshore'!K41</f>
        <v>0</v>
      </c>
      <c r="K44" s="204">
        <f t="shared" si="37"/>
        <v>0</v>
      </c>
      <c r="L44" s="345">
        <f t="shared" si="55"/>
        <v>0</v>
      </c>
      <c r="M44" s="286">
        <f t="shared" si="39"/>
        <v>0</v>
      </c>
      <c r="N44" s="345">
        <f t="shared" si="40"/>
        <v>0</v>
      </c>
      <c r="O44" s="201">
        <v>0</v>
      </c>
      <c r="P44" s="351">
        <f t="shared" si="41"/>
        <v>0</v>
      </c>
      <c r="Q44" s="203">
        <f>'[2]Table 5C1L-Northshore Charter'!S44+'[14]Table 5C1L-Northshore Charter'!S44+(6*'[20]Table 5C1L-Northshore Charter'!S44)</f>
        <v>0</v>
      </c>
      <c r="R44" s="203">
        <f t="shared" si="42"/>
        <v>0</v>
      </c>
      <c r="S44" s="351">
        <f t="shared" si="56"/>
        <v>0</v>
      </c>
      <c r="T44" s="351">
        <f t="shared" si="43"/>
        <v>0</v>
      </c>
      <c r="U44" s="287">
        <f>'Table 5C1A-Madison Prep'!U44</f>
        <v>11060</v>
      </c>
      <c r="V44" s="328">
        <f t="shared" si="57"/>
        <v>0</v>
      </c>
      <c r="W44" s="995">
        <f>'[1]Oct midyear Northshore'!E41</f>
        <v>0</v>
      </c>
      <c r="X44" s="290">
        <f t="shared" si="44"/>
        <v>0</v>
      </c>
      <c r="Y44" s="289">
        <f>'[1]Feb midyear Northshore'!E41</f>
        <v>0</v>
      </c>
      <c r="Z44" s="290">
        <f t="shared" si="31"/>
        <v>0</v>
      </c>
      <c r="AA44" s="288">
        <f t="shared" si="45"/>
        <v>0</v>
      </c>
      <c r="AB44" s="324">
        <f t="shared" si="46"/>
        <v>0</v>
      </c>
      <c r="AC44" s="292">
        <f t="shared" si="47"/>
        <v>0</v>
      </c>
      <c r="AD44" s="324">
        <f t="shared" si="48"/>
        <v>0</v>
      </c>
      <c r="AE44" s="293">
        <v>0</v>
      </c>
      <c r="AF44" s="324">
        <f t="shared" si="49"/>
        <v>0</v>
      </c>
      <c r="AG44" s="293">
        <f>'[2]Table 5C1L-Northshore Charter'!AI44+'[14]Table 5C1L-Northshore Charter'!AI44+(6*'[20]Table 5C1L-Northshore Charter'!AI44)</f>
        <v>0</v>
      </c>
      <c r="AH44" s="293">
        <f t="shared" si="50"/>
        <v>0</v>
      </c>
      <c r="AI44" s="324">
        <f t="shared" si="58"/>
        <v>0</v>
      </c>
      <c r="AJ44" s="321">
        <f t="shared" si="51"/>
        <v>0</v>
      </c>
      <c r="AK44" s="342">
        <f t="shared" si="52"/>
        <v>0</v>
      </c>
      <c r="AM44" s="286">
        <v>0</v>
      </c>
      <c r="AN44" s="286">
        <f t="shared" si="53"/>
        <v>0</v>
      </c>
      <c r="AO44" s="286">
        <f t="shared" si="54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2.1.14'!U41</f>
        <v>0</v>
      </c>
      <c r="D45" s="201">
        <f>+'Table 5C1A-Madison Prep'!D45</f>
        <v>3656.9056809295676</v>
      </c>
      <c r="E45" s="202">
        <f t="shared" si="34"/>
        <v>0</v>
      </c>
      <c r="F45" s="202">
        <f>+'Table 5C1A-Madison Prep'!F45</f>
        <v>779.65573042776396</v>
      </c>
      <c r="G45" s="202">
        <f t="shared" si="35"/>
        <v>0</v>
      </c>
      <c r="H45" s="345">
        <f t="shared" si="36"/>
        <v>0</v>
      </c>
      <c r="I45" s="991">
        <f>'[1]Oct midyear Northshore'!K42</f>
        <v>0</v>
      </c>
      <c r="J45" s="203">
        <f>'[1]Feb midyear Northshore'!K42</f>
        <v>0</v>
      </c>
      <c r="K45" s="204">
        <f t="shared" si="37"/>
        <v>0</v>
      </c>
      <c r="L45" s="345">
        <f t="shared" si="55"/>
        <v>0</v>
      </c>
      <c r="M45" s="286">
        <f t="shared" si="39"/>
        <v>0</v>
      </c>
      <c r="N45" s="345">
        <f t="shared" si="40"/>
        <v>0</v>
      </c>
      <c r="O45" s="201">
        <v>0</v>
      </c>
      <c r="P45" s="351">
        <f t="shared" si="41"/>
        <v>0</v>
      </c>
      <c r="Q45" s="203">
        <f>'[2]Table 5C1L-Northshore Charter'!S45+'[14]Table 5C1L-Northshore Charter'!S45+(6*'[20]Table 5C1L-Northshore Charter'!S45)</f>
        <v>0</v>
      </c>
      <c r="R45" s="203">
        <f t="shared" si="42"/>
        <v>0</v>
      </c>
      <c r="S45" s="351">
        <f t="shared" si="56"/>
        <v>0</v>
      </c>
      <c r="T45" s="351">
        <f t="shared" si="43"/>
        <v>0</v>
      </c>
      <c r="U45" s="287">
        <f>'Table 5C1A-Madison Prep'!U45</f>
        <v>4922</v>
      </c>
      <c r="V45" s="328">
        <f t="shared" si="57"/>
        <v>0</v>
      </c>
      <c r="W45" s="995">
        <f>'[1]Oct midyear Northshore'!E42</f>
        <v>0</v>
      </c>
      <c r="X45" s="290">
        <f t="shared" si="44"/>
        <v>0</v>
      </c>
      <c r="Y45" s="289">
        <f>'[1]Feb midyear Northshore'!E42</f>
        <v>0</v>
      </c>
      <c r="Z45" s="290">
        <f t="shared" si="31"/>
        <v>0</v>
      </c>
      <c r="AA45" s="288">
        <f t="shared" si="45"/>
        <v>0</v>
      </c>
      <c r="AB45" s="324">
        <f t="shared" si="46"/>
        <v>0</v>
      </c>
      <c r="AC45" s="292">
        <f t="shared" si="47"/>
        <v>0</v>
      </c>
      <c r="AD45" s="324">
        <f t="shared" si="48"/>
        <v>0</v>
      </c>
      <c r="AE45" s="293">
        <v>0</v>
      </c>
      <c r="AF45" s="324">
        <f t="shared" si="49"/>
        <v>0</v>
      </c>
      <c r="AG45" s="293">
        <f>'[2]Table 5C1L-Northshore Charter'!AI45+'[14]Table 5C1L-Northshore Charter'!AI45+(6*'[20]Table 5C1L-Northshore Charter'!AI45)</f>
        <v>0</v>
      </c>
      <c r="AH45" s="293">
        <f t="shared" si="50"/>
        <v>0</v>
      </c>
      <c r="AI45" s="324">
        <f t="shared" si="58"/>
        <v>0</v>
      </c>
      <c r="AJ45" s="321">
        <f t="shared" si="51"/>
        <v>0</v>
      </c>
      <c r="AK45" s="342">
        <f t="shared" si="52"/>
        <v>0</v>
      </c>
      <c r="AM45" s="286">
        <v>0</v>
      </c>
      <c r="AN45" s="286">
        <f t="shared" si="53"/>
        <v>0</v>
      </c>
      <c r="AO45" s="286">
        <f t="shared" si="54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2.1.14'!U42</f>
        <v>0</v>
      </c>
      <c r="D46" s="194">
        <f>+'Table 5C1A-Madison Prep'!D46</f>
        <v>5121.8110285698403</v>
      </c>
      <c r="E46" s="195">
        <f t="shared" si="34"/>
        <v>0</v>
      </c>
      <c r="F46" s="195">
        <f>+'Table 5C1A-Madison Prep'!F46</f>
        <v>700.2700000000001</v>
      </c>
      <c r="G46" s="195">
        <f t="shared" si="35"/>
        <v>0</v>
      </c>
      <c r="H46" s="346">
        <f t="shared" si="36"/>
        <v>0</v>
      </c>
      <c r="I46" s="992">
        <f>'[1]Oct midyear Northshore'!K43</f>
        <v>0</v>
      </c>
      <c r="J46" s="196">
        <f>'[1]Feb midyear Northshore'!K43</f>
        <v>0</v>
      </c>
      <c r="K46" s="197">
        <f t="shared" si="37"/>
        <v>0</v>
      </c>
      <c r="L46" s="346">
        <f t="shared" si="55"/>
        <v>0</v>
      </c>
      <c r="M46" s="296">
        <f t="shared" si="39"/>
        <v>0</v>
      </c>
      <c r="N46" s="346">
        <f t="shared" si="40"/>
        <v>0</v>
      </c>
      <c r="O46" s="194">
        <v>0</v>
      </c>
      <c r="P46" s="352">
        <f t="shared" si="41"/>
        <v>0</v>
      </c>
      <c r="Q46" s="622">
        <f>'[2]Table 5C1L-Northshore Charter'!S46+'[14]Table 5C1L-Northshore Charter'!S46+(6*'[20]Table 5C1L-Northshore Charter'!S46)</f>
        <v>0</v>
      </c>
      <c r="R46" s="196">
        <f t="shared" si="42"/>
        <v>0</v>
      </c>
      <c r="S46" s="356">
        <f t="shared" si="56"/>
        <v>0</v>
      </c>
      <c r="T46" s="356">
        <f t="shared" si="43"/>
        <v>0</v>
      </c>
      <c r="U46" s="281">
        <f>'Table 5C1A-Madison Prep'!U46</f>
        <v>3152</v>
      </c>
      <c r="V46" s="329">
        <f t="shared" si="57"/>
        <v>0</v>
      </c>
      <c r="W46" s="996">
        <f>'[1]Oct midyear Northshore'!E43</f>
        <v>0</v>
      </c>
      <c r="X46" s="282">
        <f t="shared" si="44"/>
        <v>0</v>
      </c>
      <c r="Y46" s="884">
        <f>'[1]Feb midyear Northshore'!E43</f>
        <v>0</v>
      </c>
      <c r="Z46" s="282">
        <f t="shared" si="31"/>
        <v>0</v>
      </c>
      <c r="AA46" s="283">
        <f t="shared" si="45"/>
        <v>0</v>
      </c>
      <c r="AB46" s="325">
        <f t="shared" si="46"/>
        <v>0</v>
      </c>
      <c r="AC46" s="298">
        <f t="shared" si="47"/>
        <v>0</v>
      </c>
      <c r="AD46" s="325">
        <f t="shared" si="48"/>
        <v>0</v>
      </c>
      <c r="AE46" s="284">
        <v>0</v>
      </c>
      <c r="AF46" s="325">
        <f t="shared" si="49"/>
        <v>0</v>
      </c>
      <c r="AG46" s="284">
        <f>'[2]Table 5C1L-Northshore Charter'!AI46+'[14]Table 5C1L-Northshore Charter'!AI46+(6*'[20]Table 5C1L-Northshore Charter'!AI46)</f>
        <v>0</v>
      </c>
      <c r="AH46" s="284">
        <f t="shared" si="50"/>
        <v>0</v>
      </c>
      <c r="AI46" s="325">
        <f t="shared" si="58"/>
        <v>0</v>
      </c>
      <c r="AJ46" s="338">
        <f t="shared" si="51"/>
        <v>0</v>
      </c>
      <c r="AK46" s="343">
        <f t="shared" si="52"/>
        <v>0</v>
      </c>
      <c r="AM46" s="296">
        <v>0</v>
      </c>
      <c r="AN46" s="296">
        <f t="shared" si="53"/>
        <v>0</v>
      </c>
      <c r="AO46" s="296">
        <f t="shared" si="54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2.1.14'!U43</f>
        <v>0</v>
      </c>
      <c r="D47" s="208">
        <f>+'Table 5C1A-Madison Prep'!D47</f>
        <v>3291.1948574716475</v>
      </c>
      <c r="E47" s="209">
        <f t="shared" si="34"/>
        <v>0</v>
      </c>
      <c r="F47" s="209">
        <f>+'Table 5C1A-Madison Prep'!F47</f>
        <v>886.22</v>
      </c>
      <c r="G47" s="209">
        <f t="shared" si="35"/>
        <v>0</v>
      </c>
      <c r="H47" s="344">
        <f t="shared" si="36"/>
        <v>0</v>
      </c>
      <c r="I47" s="990">
        <f>'[1]Oct midyear Northshore'!K44</f>
        <v>0</v>
      </c>
      <c r="J47" s="210">
        <f>'[1]Feb midyear Northshore'!K44</f>
        <v>0</v>
      </c>
      <c r="K47" s="211">
        <f t="shared" si="37"/>
        <v>0</v>
      </c>
      <c r="L47" s="344">
        <f t="shared" si="55"/>
        <v>0</v>
      </c>
      <c r="M47" s="273">
        <f t="shared" si="39"/>
        <v>0</v>
      </c>
      <c r="N47" s="344">
        <f t="shared" si="40"/>
        <v>0</v>
      </c>
      <c r="O47" s="208">
        <v>0</v>
      </c>
      <c r="P47" s="350">
        <f t="shared" si="41"/>
        <v>0</v>
      </c>
      <c r="Q47" s="210">
        <f>'[2]Table 5C1L-Northshore Charter'!S47+'[14]Table 5C1L-Northshore Charter'!S47+(6*'[20]Table 5C1L-Northshore Charter'!S47)</f>
        <v>0</v>
      </c>
      <c r="R47" s="210">
        <f t="shared" si="42"/>
        <v>0</v>
      </c>
      <c r="S47" s="350">
        <f t="shared" si="56"/>
        <v>0</v>
      </c>
      <c r="T47" s="350">
        <f t="shared" si="43"/>
        <v>0</v>
      </c>
      <c r="U47" s="274">
        <f>'Table 5C1A-Madison Prep'!U47</f>
        <v>9422</v>
      </c>
      <c r="V47" s="327">
        <f t="shared" si="57"/>
        <v>0</v>
      </c>
      <c r="W47" s="994">
        <f>'[1]Oct midyear Northshore'!E44</f>
        <v>0</v>
      </c>
      <c r="X47" s="276">
        <f t="shared" si="44"/>
        <v>0</v>
      </c>
      <c r="Y47" s="883">
        <f>'[1]Feb midyear Northshore'!E44</f>
        <v>0</v>
      </c>
      <c r="Z47" s="276">
        <f t="shared" si="31"/>
        <v>0</v>
      </c>
      <c r="AA47" s="275">
        <f t="shared" si="45"/>
        <v>0</v>
      </c>
      <c r="AB47" s="323">
        <f t="shared" si="46"/>
        <v>0</v>
      </c>
      <c r="AC47" s="278">
        <f t="shared" si="47"/>
        <v>0</v>
      </c>
      <c r="AD47" s="323">
        <f t="shared" si="48"/>
        <v>0</v>
      </c>
      <c r="AE47" s="279">
        <v>0</v>
      </c>
      <c r="AF47" s="323">
        <f t="shared" si="49"/>
        <v>0</v>
      </c>
      <c r="AG47" s="279">
        <f>'[2]Table 5C1L-Northshore Charter'!AI47+'[14]Table 5C1L-Northshore Charter'!AI47+(6*'[20]Table 5C1L-Northshore Charter'!AI47)</f>
        <v>0</v>
      </c>
      <c r="AH47" s="279">
        <f t="shared" si="50"/>
        <v>0</v>
      </c>
      <c r="AI47" s="323">
        <f t="shared" si="58"/>
        <v>0</v>
      </c>
      <c r="AJ47" s="337">
        <f t="shared" si="51"/>
        <v>0</v>
      </c>
      <c r="AK47" s="341">
        <f t="shared" si="52"/>
        <v>0</v>
      </c>
      <c r="AM47" s="273">
        <v>0</v>
      </c>
      <c r="AN47" s="273">
        <f t="shared" si="53"/>
        <v>0</v>
      </c>
      <c r="AO47" s="273">
        <f t="shared" si="54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2.1.14'!U44</f>
        <v>0</v>
      </c>
      <c r="D48" s="201">
        <f>+'Table 5C1A-Madison Prep'!D48</f>
        <v>5113.6077751368684</v>
      </c>
      <c r="E48" s="202">
        <f t="shared" si="34"/>
        <v>0</v>
      </c>
      <c r="F48" s="202">
        <f>+'Table 5C1A-Madison Prep'!F48</f>
        <v>534.28</v>
      </c>
      <c r="G48" s="202">
        <f t="shared" si="35"/>
        <v>0</v>
      </c>
      <c r="H48" s="345">
        <f t="shared" si="36"/>
        <v>0</v>
      </c>
      <c r="I48" s="991">
        <f>'[1]Oct midyear Northshore'!K45</f>
        <v>0</v>
      </c>
      <c r="J48" s="203">
        <f>'[1]Feb midyear Northshore'!K45</f>
        <v>0</v>
      </c>
      <c r="K48" s="204">
        <f t="shared" si="37"/>
        <v>0</v>
      </c>
      <c r="L48" s="345">
        <f t="shared" si="55"/>
        <v>0</v>
      </c>
      <c r="M48" s="286">
        <f t="shared" si="39"/>
        <v>0</v>
      </c>
      <c r="N48" s="345">
        <f t="shared" si="40"/>
        <v>0</v>
      </c>
      <c r="O48" s="201">
        <v>0</v>
      </c>
      <c r="P48" s="351">
        <f t="shared" si="41"/>
        <v>0</v>
      </c>
      <c r="Q48" s="203">
        <f>'[2]Table 5C1L-Northshore Charter'!S48+'[14]Table 5C1L-Northshore Charter'!S48+(6*'[20]Table 5C1L-Northshore Charter'!S48)</f>
        <v>0</v>
      </c>
      <c r="R48" s="203">
        <f t="shared" si="42"/>
        <v>0</v>
      </c>
      <c r="S48" s="351">
        <f t="shared" si="56"/>
        <v>0</v>
      </c>
      <c r="T48" s="351">
        <f t="shared" si="43"/>
        <v>0</v>
      </c>
      <c r="U48" s="287">
        <f>'Table 5C1A-Madison Prep'!U48</f>
        <v>3415</v>
      </c>
      <c r="V48" s="328">
        <f t="shared" si="57"/>
        <v>0</v>
      </c>
      <c r="W48" s="995">
        <f>'[1]Oct midyear Northshore'!E45</f>
        <v>0</v>
      </c>
      <c r="X48" s="290">
        <f t="shared" si="44"/>
        <v>0</v>
      </c>
      <c r="Y48" s="289">
        <f>'[1]Feb midyear Northshore'!E45</f>
        <v>0</v>
      </c>
      <c r="Z48" s="290">
        <f t="shared" si="31"/>
        <v>0</v>
      </c>
      <c r="AA48" s="288">
        <f t="shared" si="45"/>
        <v>0</v>
      </c>
      <c r="AB48" s="324">
        <f t="shared" si="46"/>
        <v>0</v>
      </c>
      <c r="AC48" s="292">
        <f t="shared" si="47"/>
        <v>0</v>
      </c>
      <c r="AD48" s="324">
        <f t="shared" si="48"/>
        <v>0</v>
      </c>
      <c r="AE48" s="293">
        <v>0</v>
      </c>
      <c r="AF48" s="324">
        <f t="shared" si="49"/>
        <v>0</v>
      </c>
      <c r="AG48" s="293">
        <f>'[2]Table 5C1L-Northshore Charter'!AI48+'[14]Table 5C1L-Northshore Charter'!AI48+(6*'[20]Table 5C1L-Northshore Charter'!AI48)</f>
        <v>0</v>
      </c>
      <c r="AH48" s="293">
        <f t="shared" si="50"/>
        <v>0</v>
      </c>
      <c r="AI48" s="324">
        <f t="shared" si="58"/>
        <v>0</v>
      </c>
      <c r="AJ48" s="321">
        <f t="shared" si="51"/>
        <v>0</v>
      </c>
      <c r="AK48" s="342">
        <f t="shared" si="52"/>
        <v>0</v>
      </c>
      <c r="AM48" s="286">
        <v>0</v>
      </c>
      <c r="AN48" s="286">
        <f t="shared" si="53"/>
        <v>0</v>
      </c>
      <c r="AO48" s="286">
        <f t="shared" si="54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2.1.14'!U45</f>
        <v>0</v>
      </c>
      <c r="D49" s="201">
        <f>+'Table 5C1A-Madison Prep'!D49</f>
        <v>5788.74387205947</v>
      </c>
      <c r="E49" s="202">
        <f t="shared" si="34"/>
        <v>0</v>
      </c>
      <c r="F49" s="202">
        <f>+'Table 5C1A-Madison Prep'!F49</f>
        <v>574.6099999999999</v>
      </c>
      <c r="G49" s="202">
        <f t="shared" si="35"/>
        <v>0</v>
      </c>
      <c r="H49" s="345">
        <f t="shared" si="36"/>
        <v>0</v>
      </c>
      <c r="I49" s="991">
        <f>'[1]Oct midyear Northshore'!K46</f>
        <v>0</v>
      </c>
      <c r="J49" s="203">
        <f>'[1]Feb midyear Northshore'!K46</f>
        <v>0</v>
      </c>
      <c r="K49" s="204">
        <f t="shared" si="37"/>
        <v>0</v>
      </c>
      <c r="L49" s="345">
        <f t="shared" si="55"/>
        <v>0</v>
      </c>
      <c r="M49" s="286">
        <f t="shared" si="39"/>
        <v>0</v>
      </c>
      <c r="N49" s="345">
        <f t="shared" si="40"/>
        <v>0</v>
      </c>
      <c r="O49" s="201">
        <v>0</v>
      </c>
      <c r="P49" s="351">
        <f t="shared" si="41"/>
        <v>0</v>
      </c>
      <c r="Q49" s="203">
        <f>'[2]Table 5C1L-Northshore Charter'!S49+'[14]Table 5C1L-Northshore Charter'!S49+(6*'[20]Table 5C1L-Northshore Charter'!S49)</f>
        <v>0</v>
      </c>
      <c r="R49" s="203">
        <f t="shared" si="42"/>
        <v>0</v>
      </c>
      <c r="S49" s="351">
        <f t="shared" si="56"/>
        <v>0</v>
      </c>
      <c r="T49" s="351">
        <f t="shared" si="43"/>
        <v>0</v>
      </c>
      <c r="U49" s="287">
        <f>'Table 5C1A-Madison Prep'!U49</f>
        <v>3334</v>
      </c>
      <c r="V49" s="328">
        <f t="shared" si="57"/>
        <v>0</v>
      </c>
      <c r="W49" s="995">
        <f>'[1]Oct midyear Northshore'!E46</f>
        <v>0</v>
      </c>
      <c r="X49" s="290">
        <f t="shared" si="44"/>
        <v>0</v>
      </c>
      <c r="Y49" s="289">
        <f>'[1]Feb midyear Northshore'!E46</f>
        <v>0</v>
      </c>
      <c r="Z49" s="290">
        <f t="shared" si="31"/>
        <v>0</v>
      </c>
      <c r="AA49" s="288">
        <f t="shared" si="45"/>
        <v>0</v>
      </c>
      <c r="AB49" s="324">
        <f t="shared" si="46"/>
        <v>0</v>
      </c>
      <c r="AC49" s="292">
        <f t="shared" si="47"/>
        <v>0</v>
      </c>
      <c r="AD49" s="324">
        <f t="shared" si="48"/>
        <v>0</v>
      </c>
      <c r="AE49" s="293">
        <v>0</v>
      </c>
      <c r="AF49" s="324">
        <f t="shared" si="49"/>
        <v>0</v>
      </c>
      <c r="AG49" s="293">
        <f>'[2]Table 5C1L-Northshore Charter'!AI49+'[14]Table 5C1L-Northshore Charter'!AI49+(6*'[20]Table 5C1L-Northshore Charter'!AI49)</f>
        <v>0</v>
      </c>
      <c r="AH49" s="293">
        <f t="shared" si="50"/>
        <v>0</v>
      </c>
      <c r="AI49" s="324">
        <f t="shared" si="58"/>
        <v>0</v>
      </c>
      <c r="AJ49" s="321">
        <f t="shared" si="51"/>
        <v>0</v>
      </c>
      <c r="AK49" s="342">
        <f t="shared" si="52"/>
        <v>0</v>
      </c>
      <c r="AM49" s="286">
        <v>0</v>
      </c>
      <c r="AN49" s="286">
        <f t="shared" si="53"/>
        <v>0</v>
      </c>
      <c r="AO49" s="286">
        <f t="shared" si="54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2.1.14'!U46</f>
        <v>0</v>
      </c>
      <c r="D50" s="201">
        <f>+'Table 5C1A-Madison Prep'!D50</f>
        <v>4897.5958151820359</v>
      </c>
      <c r="E50" s="202">
        <f t="shared" si="34"/>
        <v>0</v>
      </c>
      <c r="F50" s="202">
        <f>+'Table 5C1A-Madison Prep'!F50</f>
        <v>663.16000000000008</v>
      </c>
      <c r="G50" s="202">
        <f t="shared" si="35"/>
        <v>0</v>
      </c>
      <c r="H50" s="345">
        <f t="shared" si="36"/>
        <v>0</v>
      </c>
      <c r="I50" s="991">
        <f>'[1]Oct midyear Northshore'!K47</f>
        <v>0</v>
      </c>
      <c r="J50" s="203">
        <f>'[1]Feb midyear Northshore'!K47</f>
        <v>0</v>
      </c>
      <c r="K50" s="204">
        <f t="shared" si="37"/>
        <v>0</v>
      </c>
      <c r="L50" s="345">
        <f t="shared" si="55"/>
        <v>0</v>
      </c>
      <c r="M50" s="286">
        <f t="shared" si="39"/>
        <v>0</v>
      </c>
      <c r="N50" s="345">
        <f t="shared" si="40"/>
        <v>0</v>
      </c>
      <c r="O50" s="201">
        <v>0</v>
      </c>
      <c r="P50" s="351">
        <f t="shared" si="41"/>
        <v>0</v>
      </c>
      <c r="Q50" s="203">
        <f>'[2]Table 5C1L-Northshore Charter'!S50+'[14]Table 5C1L-Northshore Charter'!S50+(6*'[20]Table 5C1L-Northshore Charter'!S50)</f>
        <v>0</v>
      </c>
      <c r="R50" s="203">
        <f t="shared" si="42"/>
        <v>0</v>
      </c>
      <c r="S50" s="351">
        <f t="shared" si="56"/>
        <v>0</v>
      </c>
      <c r="T50" s="351">
        <f t="shared" si="43"/>
        <v>0</v>
      </c>
      <c r="U50" s="287">
        <f>'Table 5C1A-Madison Prep'!U50</f>
        <v>3587</v>
      </c>
      <c r="V50" s="328">
        <f t="shared" si="57"/>
        <v>0</v>
      </c>
      <c r="W50" s="995">
        <f>'[1]Oct midyear Northshore'!E47</f>
        <v>0</v>
      </c>
      <c r="X50" s="290">
        <f t="shared" si="44"/>
        <v>0</v>
      </c>
      <c r="Y50" s="289">
        <f>'[1]Feb midyear Northshore'!E47</f>
        <v>0</v>
      </c>
      <c r="Z50" s="290">
        <f t="shared" si="31"/>
        <v>0</v>
      </c>
      <c r="AA50" s="288">
        <f t="shared" si="45"/>
        <v>0</v>
      </c>
      <c r="AB50" s="324">
        <f t="shared" si="46"/>
        <v>0</v>
      </c>
      <c r="AC50" s="292">
        <f t="shared" si="47"/>
        <v>0</v>
      </c>
      <c r="AD50" s="324">
        <f t="shared" si="48"/>
        <v>0</v>
      </c>
      <c r="AE50" s="293">
        <v>0</v>
      </c>
      <c r="AF50" s="324">
        <f t="shared" si="49"/>
        <v>0</v>
      </c>
      <c r="AG50" s="293">
        <f>'[2]Table 5C1L-Northshore Charter'!AI50+'[14]Table 5C1L-Northshore Charter'!AI50+(6*'[20]Table 5C1L-Northshore Charter'!AI50)</f>
        <v>0</v>
      </c>
      <c r="AH50" s="293">
        <f t="shared" si="50"/>
        <v>0</v>
      </c>
      <c r="AI50" s="324">
        <f t="shared" si="58"/>
        <v>0</v>
      </c>
      <c r="AJ50" s="321">
        <f t="shared" si="51"/>
        <v>0</v>
      </c>
      <c r="AK50" s="342">
        <f t="shared" si="52"/>
        <v>0</v>
      </c>
      <c r="AM50" s="286">
        <v>0</v>
      </c>
      <c r="AN50" s="286">
        <f t="shared" si="53"/>
        <v>0</v>
      </c>
      <c r="AO50" s="286">
        <f t="shared" si="54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2.1.14'!U47</f>
        <v>0</v>
      </c>
      <c r="D51" s="194">
        <f>+'Table 5C1A-Madison Prep'!D51</f>
        <v>2054.0472499469101</v>
      </c>
      <c r="E51" s="195">
        <f t="shared" si="34"/>
        <v>0</v>
      </c>
      <c r="F51" s="195">
        <f>+'Table 5C1A-Madison Prep'!F51</f>
        <v>753.96000000000015</v>
      </c>
      <c r="G51" s="195">
        <f t="shared" si="35"/>
        <v>0</v>
      </c>
      <c r="H51" s="346">
        <f t="shared" si="36"/>
        <v>0</v>
      </c>
      <c r="I51" s="992">
        <f>'[1]Oct midyear Northshore'!K48</f>
        <v>0</v>
      </c>
      <c r="J51" s="196">
        <f>'[1]Feb midyear Northshore'!K48</f>
        <v>0</v>
      </c>
      <c r="K51" s="197">
        <f t="shared" si="37"/>
        <v>0</v>
      </c>
      <c r="L51" s="346">
        <f t="shared" si="55"/>
        <v>0</v>
      </c>
      <c r="M51" s="296">
        <f t="shared" si="39"/>
        <v>0</v>
      </c>
      <c r="N51" s="346">
        <f t="shared" si="40"/>
        <v>0</v>
      </c>
      <c r="O51" s="194">
        <v>0</v>
      </c>
      <c r="P51" s="352">
        <f t="shared" si="41"/>
        <v>0</v>
      </c>
      <c r="Q51" s="622">
        <f>'[2]Table 5C1L-Northshore Charter'!S51+'[14]Table 5C1L-Northshore Charter'!S51+(6*'[20]Table 5C1L-Northshore Charter'!S51)</f>
        <v>0</v>
      </c>
      <c r="R51" s="196">
        <f t="shared" si="42"/>
        <v>0</v>
      </c>
      <c r="S51" s="356">
        <f t="shared" si="56"/>
        <v>0</v>
      </c>
      <c r="T51" s="356">
        <f t="shared" si="43"/>
        <v>0</v>
      </c>
      <c r="U51" s="281">
        <f>'Table 5C1A-Madison Prep'!U51</f>
        <v>12134</v>
      </c>
      <c r="V51" s="329">
        <f t="shared" si="57"/>
        <v>0</v>
      </c>
      <c r="W51" s="996">
        <f>'[1]Oct midyear Northshore'!E48</f>
        <v>0</v>
      </c>
      <c r="X51" s="282">
        <f t="shared" si="44"/>
        <v>0</v>
      </c>
      <c r="Y51" s="884">
        <f>'[1]Feb midyear Northshore'!E48</f>
        <v>0</v>
      </c>
      <c r="Z51" s="282">
        <f t="shared" si="31"/>
        <v>0</v>
      </c>
      <c r="AA51" s="283">
        <f t="shared" si="45"/>
        <v>0</v>
      </c>
      <c r="AB51" s="325">
        <f t="shared" si="46"/>
        <v>0</v>
      </c>
      <c r="AC51" s="298">
        <f t="shared" si="47"/>
        <v>0</v>
      </c>
      <c r="AD51" s="325">
        <f t="shared" si="48"/>
        <v>0</v>
      </c>
      <c r="AE51" s="284">
        <v>0</v>
      </c>
      <c r="AF51" s="325">
        <f t="shared" si="49"/>
        <v>0</v>
      </c>
      <c r="AG51" s="284">
        <f>'[2]Table 5C1L-Northshore Charter'!AI51+'[14]Table 5C1L-Northshore Charter'!AI51+(6*'[20]Table 5C1L-Northshore Charter'!AI51)</f>
        <v>0</v>
      </c>
      <c r="AH51" s="284">
        <f t="shared" si="50"/>
        <v>0</v>
      </c>
      <c r="AI51" s="325">
        <f t="shared" si="58"/>
        <v>0</v>
      </c>
      <c r="AJ51" s="338">
        <f t="shared" si="51"/>
        <v>0</v>
      </c>
      <c r="AK51" s="343">
        <f t="shared" si="52"/>
        <v>0</v>
      </c>
      <c r="AM51" s="296">
        <v>0</v>
      </c>
      <c r="AN51" s="296">
        <f t="shared" si="53"/>
        <v>0</v>
      </c>
      <c r="AO51" s="296">
        <f t="shared" si="54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2.1.14'!U48</f>
        <v>0</v>
      </c>
      <c r="D52" s="208">
        <f>+'Table 5C1A-Madison Prep'!D52</f>
        <v>6051.2144468088381</v>
      </c>
      <c r="E52" s="209">
        <f t="shared" si="34"/>
        <v>0</v>
      </c>
      <c r="F52" s="209">
        <f>+'Table 5C1A-Madison Prep'!F52</f>
        <v>728.06</v>
      </c>
      <c r="G52" s="209">
        <f t="shared" si="35"/>
        <v>0</v>
      </c>
      <c r="H52" s="344">
        <f t="shared" si="36"/>
        <v>0</v>
      </c>
      <c r="I52" s="990">
        <f>'[1]Oct midyear Northshore'!K49</f>
        <v>0</v>
      </c>
      <c r="J52" s="210">
        <f>'[1]Feb midyear Northshore'!K49</f>
        <v>0</v>
      </c>
      <c r="K52" s="211">
        <f t="shared" si="37"/>
        <v>0</v>
      </c>
      <c r="L52" s="344">
        <f t="shared" si="55"/>
        <v>0</v>
      </c>
      <c r="M52" s="273">
        <f t="shared" si="39"/>
        <v>0</v>
      </c>
      <c r="N52" s="344">
        <f t="shared" si="40"/>
        <v>0</v>
      </c>
      <c r="O52" s="208">
        <v>0</v>
      </c>
      <c r="P52" s="350">
        <f t="shared" si="41"/>
        <v>0</v>
      </c>
      <c r="Q52" s="210">
        <f>'[2]Table 5C1L-Northshore Charter'!S52+'[14]Table 5C1L-Northshore Charter'!S52+(6*'[20]Table 5C1L-Northshore Charter'!S52)</f>
        <v>0</v>
      </c>
      <c r="R52" s="210">
        <f t="shared" si="42"/>
        <v>0</v>
      </c>
      <c r="S52" s="350">
        <f t="shared" si="56"/>
        <v>0</v>
      </c>
      <c r="T52" s="350">
        <f t="shared" si="43"/>
        <v>0</v>
      </c>
      <c r="U52" s="274">
        <f>'Table 5C1A-Madison Prep'!U52</f>
        <v>2554</v>
      </c>
      <c r="V52" s="327">
        <f t="shared" si="57"/>
        <v>0</v>
      </c>
      <c r="W52" s="994">
        <f>'[1]Oct midyear Northshore'!E49</f>
        <v>0</v>
      </c>
      <c r="X52" s="276">
        <f t="shared" si="44"/>
        <v>0</v>
      </c>
      <c r="Y52" s="883">
        <f>'[1]Feb midyear Northshore'!E49</f>
        <v>0</v>
      </c>
      <c r="Z52" s="276">
        <f t="shared" si="31"/>
        <v>0</v>
      </c>
      <c r="AA52" s="275">
        <f t="shared" si="45"/>
        <v>0</v>
      </c>
      <c r="AB52" s="323">
        <f t="shared" si="46"/>
        <v>0</v>
      </c>
      <c r="AC52" s="278">
        <f t="shared" si="47"/>
        <v>0</v>
      </c>
      <c r="AD52" s="323">
        <f t="shared" si="48"/>
        <v>0</v>
      </c>
      <c r="AE52" s="279">
        <v>0</v>
      </c>
      <c r="AF52" s="323">
        <f t="shared" si="49"/>
        <v>0</v>
      </c>
      <c r="AG52" s="279">
        <f>'[2]Table 5C1L-Northshore Charter'!AI52+'[14]Table 5C1L-Northshore Charter'!AI52+(6*'[20]Table 5C1L-Northshore Charter'!AI52)</f>
        <v>0</v>
      </c>
      <c r="AH52" s="279">
        <f t="shared" si="50"/>
        <v>0</v>
      </c>
      <c r="AI52" s="323">
        <f t="shared" si="58"/>
        <v>0</v>
      </c>
      <c r="AJ52" s="337">
        <f t="shared" si="51"/>
        <v>0</v>
      </c>
      <c r="AK52" s="341">
        <f t="shared" si="52"/>
        <v>0</v>
      </c>
      <c r="AM52" s="273">
        <v>0</v>
      </c>
      <c r="AN52" s="273">
        <f t="shared" si="53"/>
        <v>0</v>
      </c>
      <c r="AO52" s="273">
        <f t="shared" si="54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2.1.14'!U49</f>
        <v>0</v>
      </c>
      <c r="D53" s="201">
        <f>+'Table 5C1A-Madison Prep'!D53</f>
        <v>2524.1485257646736</v>
      </c>
      <c r="E53" s="202">
        <f t="shared" si="34"/>
        <v>0</v>
      </c>
      <c r="F53" s="202">
        <f>+'Table 5C1A-Madison Prep'!F53</f>
        <v>910.76</v>
      </c>
      <c r="G53" s="202">
        <f t="shared" si="35"/>
        <v>0</v>
      </c>
      <c r="H53" s="345">
        <f t="shared" si="36"/>
        <v>0</v>
      </c>
      <c r="I53" s="991">
        <f>'[1]Oct midyear Northshore'!K50</f>
        <v>0</v>
      </c>
      <c r="J53" s="203">
        <f>'[1]Feb midyear Northshore'!K50</f>
        <v>0</v>
      </c>
      <c r="K53" s="204">
        <f t="shared" si="37"/>
        <v>0</v>
      </c>
      <c r="L53" s="345">
        <f t="shared" si="55"/>
        <v>0</v>
      </c>
      <c r="M53" s="286">
        <f t="shared" si="39"/>
        <v>0</v>
      </c>
      <c r="N53" s="345">
        <f t="shared" si="40"/>
        <v>0</v>
      </c>
      <c r="O53" s="201">
        <v>0</v>
      </c>
      <c r="P53" s="351">
        <f t="shared" si="41"/>
        <v>0</v>
      </c>
      <c r="Q53" s="203">
        <f>'[2]Table 5C1L-Northshore Charter'!S53+'[14]Table 5C1L-Northshore Charter'!S53+(6*'[20]Table 5C1L-Northshore Charter'!S53)</f>
        <v>0</v>
      </c>
      <c r="R53" s="203">
        <f t="shared" si="42"/>
        <v>0</v>
      </c>
      <c r="S53" s="351">
        <f t="shared" si="56"/>
        <v>0</v>
      </c>
      <c r="T53" s="351">
        <f t="shared" si="43"/>
        <v>0</v>
      </c>
      <c r="U53" s="287">
        <f>'Table 5C1A-Madison Prep'!U53</f>
        <v>11506</v>
      </c>
      <c r="V53" s="328">
        <f t="shared" si="57"/>
        <v>0</v>
      </c>
      <c r="W53" s="995">
        <f>'[1]Oct midyear Northshore'!E50</f>
        <v>0</v>
      </c>
      <c r="X53" s="290">
        <f t="shared" si="44"/>
        <v>0</v>
      </c>
      <c r="Y53" s="289">
        <f>'[1]Feb midyear Northshore'!E50</f>
        <v>0</v>
      </c>
      <c r="Z53" s="290">
        <f t="shared" si="31"/>
        <v>0</v>
      </c>
      <c r="AA53" s="288">
        <f t="shared" si="45"/>
        <v>0</v>
      </c>
      <c r="AB53" s="324">
        <f t="shared" si="46"/>
        <v>0</v>
      </c>
      <c r="AC53" s="292">
        <f t="shared" si="47"/>
        <v>0</v>
      </c>
      <c r="AD53" s="324">
        <f t="shared" si="48"/>
        <v>0</v>
      </c>
      <c r="AE53" s="293">
        <v>0</v>
      </c>
      <c r="AF53" s="324">
        <f t="shared" si="49"/>
        <v>0</v>
      </c>
      <c r="AG53" s="293">
        <f>'[2]Table 5C1L-Northshore Charter'!AI53+'[14]Table 5C1L-Northshore Charter'!AI53+(6*'[20]Table 5C1L-Northshore Charter'!AI53)</f>
        <v>0</v>
      </c>
      <c r="AH53" s="293">
        <f t="shared" si="50"/>
        <v>0</v>
      </c>
      <c r="AI53" s="324">
        <f t="shared" si="58"/>
        <v>0</v>
      </c>
      <c r="AJ53" s="321">
        <f t="shared" si="51"/>
        <v>0</v>
      </c>
      <c r="AK53" s="342">
        <f t="shared" si="52"/>
        <v>0</v>
      </c>
      <c r="AM53" s="286">
        <v>0</v>
      </c>
      <c r="AN53" s="286">
        <f t="shared" si="53"/>
        <v>0</v>
      </c>
      <c r="AO53" s="286">
        <f t="shared" si="54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2.1.14'!U50</f>
        <v>0</v>
      </c>
      <c r="D54" s="201">
        <f>+'Table 5C1A-Madison Prep'!D54</f>
        <v>3983.3582529800719</v>
      </c>
      <c r="E54" s="202">
        <f t="shared" si="34"/>
        <v>0</v>
      </c>
      <c r="F54" s="202">
        <f>+'Table 5C1A-Madison Prep'!F54</f>
        <v>871.07</v>
      </c>
      <c r="G54" s="202">
        <f t="shared" si="35"/>
        <v>0</v>
      </c>
      <c r="H54" s="345">
        <f t="shared" si="36"/>
        <v>0</v>
      </c>
      <c r="I54" s="991">
        <f>'[1]Oct midyear Northshore'!K51</f>
        <v>0</v>
      </c>
      <c r="J54" s="203">
        <f>'[1]Feb midyear Northshore'!K51</f>
        <v>0</v>
      </c>
      <c r="K54" s="204">
        <f t="shared" si="37"/>
        <v>0</v>
      </c>
      <c r="L54" s="345">
        <f t="shared" si="55"/>
        <v>0</v>
      </c>
      <c r="M54" s="286">
        <f t="shared" si="39"/>
        <v>0</v>
      </c>
      <c r="N54" s="345">
        <f t="shared" si="40"/>
        <v>0</v>
      </c>
      <c r="O54" s="201">
        <v>0</v>
      </c>
      <c r="P54" s="351">
        <f t="shared" si="41"/>
        <v>0</v>
      </c>
      <c r="Q54" s="203">
        <f>'[2]Table 5C1L-Northshore Charter'!S54+'[14]Table 5C1L-Northshore Charter'!S54+(6*'[20]Table 5C1L-Northshore Charter'!S54)</f>
        <v>0</v>
      </c>
      <c r="R54" s="203">
        <f t="shared" si="42"/>
        <v>0</v>
      </c>
      <c r="S54" s="351">
        <f t="shared" si="56"/>
        <v>0</v>
      </c>
      <c r="T54" s="351">
        <f t="shared" si="43"/>
        <v>0</v>
      </c>
      <c r="U54" s="287">
        <f>'Table 5C1A-Madison Prep'!U54</f>
        <v>6827</v>
      </c>
      <c r="V54" s="328">
        <f t="shared" si="57"/>
        <v>0</v>
      </c>
      <c r="W54" s="995">
        <f>'[1]Oct midyear Northshore'!E51</f>
        <v>0</v>
      </c>
      <c r="X54" s="290">
        <f t="shared" si="44"/>
        <v>0</v>
      </c>
      <c r="Y54" s="289">
        <f>'[1]Feb midyear Northshore'!E51</f>
        <v>0</v>
      </c>
      <c r="Z54" s="290">
        <f t="shared" si="31"/>
        <v>0</v>
      </c>
      <c r="AA54" s="288">
        <f t="shared" si="45"/>
        <v>0</v>
      </c>
      <c r="AB54" s="324">
        <f t="shared" si="46"/>
        <v>0</v>
      </c>
      <c r="AC54" s="292">
        <f t="shared" si="47"/>
        <v>0</v>
      </c>
      <c r="AD54" s="324">
        <f t="shared" si="48"/>
        <v>0</v>
      </c>
      <c r="AE54" s="293">
        <v>0</v>
      </c>
      <c r="AF54" s="324">
        <f t="shared" si="49"/>
        <v>0</v>
      </c>
      <c r="AG54" s="293">
        <f>'[2]Table 5C1L-Northshore Charter'!AI54+'[14]Table 5C1L-Northshore Charter'!AI54+(6*'[20]Table 5C1L-Northshore Charter'!AI54)</f>
        <v>0</v>
      </c>
      <c r="AH54" s="293">
        <f t="shared" si="50"/>
        <v>0</v>
      </c>
      <c r="AI54" s="324">
        <f t="shared" si="58"/>
        <v>0</v>
      </c>
      <c r="AJ54" s="321">
        <f t="shared" si="51"/>
        <v>0</v>
      </c>
      <c r="AK54" s="342">
        <f t="shared" si="52"/>
        <v>0</v>
      </c>
      <c r="AM54" s="286">
        <v>0</v>
      </c>
      <c r="AN54" s="286">
        <f t="shared" si="53"/>
        <v>0</v>
      </c>
      <c r="AO54" s="286">
        <f t="shared" si="54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2.1.14'!U51</f>
        <v>0</v>
      </c>
      <c r="D55" s="201">
        <f>+'Table 5C1A-Madison Prep'!D55</f>
        <v>4995.8755315659191</v>
      </c>
      <c r="E55" s="202">
        <f t="shared" si="34"/>
        <v>0</v>
      </c>
      <c r="F55" s="202">
        <f>+'Table 5C1A-Madison Prep'!F55</f>
        <v>574.43999999999994</v>
      </c>
      <c r="G55" s="202">
        <f t="shared" si="35"/>
        <v>0</v>
      </c>
      <c r="H55" s="345">
        <f t="shared" si="36"/>
        <v>0</v>
      </c>
      <c r="I55" s="991">
        <f>'[1]Oct midyear Northshore'!K52</f>
        <v>0</v>
      </c>
      <c r="J55" s="203">
        <f>'[1]Feb midyear Northshore'!K52</f>
        <v>0</v>
      </c>
      <c r="K55" s="204">
        <f t="shared" si="37"/>
        <v>0</v>
      </c>
      <c r="L55" s="345">
        <f t="shared" si="55"/>
        <v>0</v>
      </c>
      <c r="M55" s="286">
        <f t="shared" si="39"/>
        <v>0</v>
      </c>
      <c r="N55" s="345">
        <f t="shared" si="40"/>
        <v>0</v>
      </c>
      <c r="O55" s="201">
        <v>0</v>
      </c>
      <c r="P55" s="351">
        <f t="shared" si="41"/>
        <v>0</v>
      </c>
      <c r="Q55" s="203">
        <f>'[2]Table 5C1L-Northshore Charter'!S55+'[14]Table 5C1L-Northshore Charter'!S55+(6*'[20]Table 5C1L-Northshore Charter'!S55)</f>
        <v>0</v>
      </c>
      <c r="R55" s="203">
        <f t="shared" si="42"/>
        <v>0</v>
      </c>
      <c r="S55" s="351">
        <f t="shared" si="56"/>
        <v>0</v>
      </c>
      <c r="T55" s="351">
        <f t="shared" si="43"/>
        <v>0</v>
      </c>
      <c r="U55" s="287">
        <f>'Table 5C1A-Madison Prep'!U55</f>
        <v>2399</v>
      </c>
      <c r="V55" s="328">
        <f t="shared" si="57"/>
        <v>0</v>
      </c>
      <c r="W55" s="995">
        <f>'[1]Oct midyear Northshore'!E52</f>
        <v>0</v>
      </c>
      <c r="X55" s="290">
        <f t="shared" si="44"/>
        <v>0</v>
      </c>
      <c r="Y55" s="289">
        <f>'[1]Feb midyear Northshore'!E52</f>
        <v>0</v>
      </c>
      <c r="Z55" s="290">
        <f t="shared" si="31"/>
        <v>0</v>
      </c>
      <c r="AA55" s="288">
        <f t="shared" si="45"/>
        <v>0</v>
      </c>
      <c r="AB55" s="324">
        <f t="shared" si="46"/>
        <v>0</v>
      </c>
      <c r="AC55" s="292">
        <f t="shared" si="47"/>
        <v>0</v>
      </c>
      <c r="AD55" s="324">
        <f t="shared" si="48"/>
        <v>0</v>
      </c>
      <c r="AE55" s="293">
        <v>0</v>
      </c>
      <c r="AF55" s="324">
        <f t="shared" si="49"/>
        <v>0</v>
      </c>
      <c r="AG55" s="293">
        <f>'[2]Table 5C1L-Northshore Charter'!AI55+'[14]Table 5C1L-Northshore Charter'!AI55+(6*'[20]Table 5C1L-Northshore Charter'!AI55)</f>
        <v>0</v>
      </c>
      <c r="AH55" s="293">
        <f t="shared" si="50"/>
        <v>0</v>
      </c>
      <c r="AI55" s="324">
        <f t="shared" si="58"/>
        <v>0</v>
      </c>
      <c r="AJ55" s="321">
        <f t="shared" si="51"/>
        <v>0</v>
      </c>
      <c r="AK55" s="342">
        <f t="shared" si="52"/>
        <v>0</v>
      </c>
      <c r="AM55" s="286">
        <v>0</v>
      </c>
      <c r="AN55" s="286">
        <f t="shared" si="53"/>
        <v>0</v>
      </c>
      <c r="AO55" s="286">
        <f t="shared" si="54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2.1.14'!U52</f>
        <v>0</v>
      </c>
      <c r="D56" s="194">
        <f>+'Table 5C1A-Madison Prep'!D56</f>
        <v>5177.6892722701677</v>
      </c>
      <c r="E56" s="195">
        <f t="shared" si="34"/>
        <v>0</v>
      </c>
      <c r="F56" s="195">
        <f>+'Table 5C1A-Madison Prep'!F56</f>
        <v>634.46</v>
      </c>
      <c r="G56" s="195">
        <f t="shared" si="35"/>
        <v>0</v>
      </c>
      <c r="H56" s="346">
        <f t="shared" si="36"/>
        <v>0</v>
      </c>
      <c r="I56" s="992">
        <f>'[1]Oct midyear Northshore'!K53</f>
        <v>0</v>
      </c>
      <c r="J56" s="196">
        <f>'[1]Feb midyear Northshore'!K53</f>
        <v>0</v>
      </c>
      <c r="K56" s="197">
        <f t="shared" si="37"/>
        <v>0</v>
      </c>
      <c r="L56" s="346">
        <f t="shared" si="55"/>
        <v>0</v>
      </c>
      <c r="M56" s="296">
        <f t="shared" si="39"/>
        <v>0</v>
      </c>
      <c r="N56" s="346">
        <f t="shared" si="40"/>
        <v>0</v>
      </c>
      <c r="O56" s="194">
        <v>0</v>
      </c>
      <c r="P56" s="352">
        <f t="shared" si="41"/>
        <v>0</v>
      </c>
      <c r="Q56" s="622">
        <f>'[2]Table 5C1L-Northshore Charter'!S56+'[14]Table 5C1L-Northshore Charter'!S56+(6*'[20]Table 5C1L-Northshore Charter'!S56)</f>
        <v>0</v>
      </c>
      <c r="R56" s="196">
        <f t="shared" si="42"/>
        <v>0</v>
      </c>
      <c r="S56" s="356">
        <f t="shared" si="56"/>
        <v>0</v>
      </c>
      <c r="T56" s="356">
        <f t="shared" si="43"/>
        <v>0</v>
      </c>
      <c r="U56" s="281">
        <f>'Table 5C1A-Madison Prep'!U56</f>
        <v>3413</v>
      </c>
      <c r="V56" s="329">
        <f t="shared" si="57"/>
        <v>0</v>
      </c>
      <c r="W56" s="996">
        <f>'[1]Oct midyear Northshore'!E53</f>
        <v>0</v>
      </c>
      <c r="X56" s="282">
        <f t="shared" si="44"/>
        <v>0</v>
      </c>
      <c r="Y56" s="884">
        <f>'[1]Feb midyear Northshore'!E53</f>
        <v>0</v>
      </c>
      <c r="Z56" s="282">
        <f t="shared" si="31"/>
        <v>0</v>
      </c>
      <c r="AA56" s="283">
        <f t="shared" si="45"/>
        <v>0</v>
      </c>
      <c r="AB56" s="325">
        <f t="shared" si="46"/>
        <v>0</v>
      </c>
      <c r="AC56" s="298">
        <f t="shared" si="47"/>
        <v>0</v>
      </c>
      <c r="AD56" s="325">
        <f t="shared" si="48"/>
        <v>0</v>
      </c>
      <c r="AE56" s="284">
        <v>0</v>
      </c>
      <c r="AF56" s="325">
        <f t="shared" si="49"/>
        <v>0</v>
      </c>
      <c r="AG56" s="284">
        <f>'[2]Table 5C1L-Northshore Charter'!AI56+'[14]Table 5C1L-Northshore Charter'!AI56+(6*'[20]Table 5C1L-Northshore Charter'!AI56)</f>
        <v>0</v>
      </c>
      <c r="AH56" s="284">
        <f t="shared" si="50"/>
        <v>0</v>
      </c>
      <c r="AI56" s="325">
        <f t="shared" si="58"/>
        <v>0</v>
      </c>
      <c r="AJ56" s="338">
        <f t="shared" si="51"/>
        <v>0</v>
      </c>
      <c r="AK56" s="343">
        <f t="shared" si="52"/>
        <v>0</v>
      </c>
      <c r="AM56" s="296">
        <v>0</v>
      </c>
      <c r="AN56" s="296">
        <f t="shared" si="53"/>
        <v>0</v>
      </c>
      <c r="AO56" s="296">
        <f t="shared" si="54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2.1.14'!U53</f>
        <v>0</v>
      </c>
      <c r="D57" s="208">
        <f>+'Table 5C1A-Madison Prep'!D57</f>
        <v>4154.1928602178996</v>
      </c>
      <c r="E57" s="209">
        <f t="shared" si="34"/>
        <v>0</v>
      </c>
      <c r="F57" s="209">
        <f>+'Table 5C1A-Madison Prep'!F57</f>
        <v>706.66</v>
      </c>
      <c r="G57" s="209">
        <f t="shared" si="35"/>
        <v>0</v>
      </c>
      <c r="H57" s="344">
        <f t="shared" si="36"/>
        <v>0</v>
      </c>
      <c r="I57" s="990">
        <f>'[1]Oct midyear Northshore'!K54</f>
        <v>0</v>
      </c>
      <c r="J57" s="210">
        <f>'[1]Feb midyear Northshore'!K54</f>
        <v>0</v>
      </c>
      <c r="K57" s="211">
        <f t="shared" si="37"/>
        <v>0</v>
      </c>
      <c r="L57" s="344">
        <f t="shared" si="55"/>
        <v>0</v>
      </c>
      <c r="M57" s="273">
        <f t="shared" si="39"/>
        <v>0</v>
      </c>
      <c r="N57" s="344">
        <f t="shared" si="40"/>
        <v>0</v>
      </c>
      <c r="O57" s="208">
        <v>0</v>
      </c>
      <c r="P57" s="350">
        <f t="shared" si="41"/>
        <v>0</v>
      </c>
      <c r="Q57" s="210">
        <f>'[2]Table 5C1L-Northshore Charter'!S57+'[14]Table 5C1L-Northshore Charter'!S57+(6*'[20]Table 5C1L-Northshore Charter'!S57)</f>
        <v>0</v>
      </c>
      <c r="R57" s="210">
        <f t="shared" si="42"/>
        <v>0</v>
      </c>
      <c r="S57" s="350">
        <f t="shared" si="56"/>
        <v>0</v>
      </c>
      <c r="T57" s="350">
        <f t="shared" si="43"/>
        <v>0</v>
      </c>
      <c r="U57" s="274">
        <f>'Table 5C1A-Madison Prep'!U57</f>
        <v>4512</v>
      </c>
      <c r="V57" s="327">
        <f t="shared" si="57"/>
        <v>0</v>
      </c>
      <c r="W57" s="994">
        <f>'[1]Oct midyear Northshore'!E54</f>
        <v>0</v>
      </c>
      <c r="X57" s="276">
        <f t="shared" si="44"/>
        <v>0</v>
      </c>
      <c r="Y57" s="883">
        <f>'[1]Feb midyear Northshore'!E54</f>
        <v>0</v>
      </c>
      <c r="Z57" s="276">
        <f t="shared" si="31"/>
        <v>0</v>
      </c>
      <c r="AA57" s="275">
        <f t="shared" si="45"/>
        <v>0</v>
      </c>
      <c r="AB57" s="323">
        <f t="shared" si="46"/>
        <v>0</v>
      </c>
      <c r="AC57" s="278">
        <f t="shared" si="47"/>
        <v>0</v>
      </c>
      <c r="AD57" s="323">
        <f t="shared" si="48"/>
        <v>0</v>
      </c>
      <c r="AE57" s="279">
        <v>0</v>
      </c>
      <c r="AF57" s="323">
        <f t="shared" si="49"/>
        <v>0</v>
      </c>
      <c r="AG57" s="279">
        <f>'[2]Table 5C1L-Northshore Charter'!AI57+'[14]Table 5C1L-Northshore Charter'!AI57+(6*'[20]Table 5C1L-Northshore Charter'!AI57)</f>
        <v>0</v>
      </c>
      <c r="AH57" s="279">
        <f t="shared" si="50"/>
        <v>0</v>
      </c>
      <c r="AI57" s="323">
        <f t="shared" si="58"/>
        <v>0</v>
      </c>
      <c r="AJ57" s="337">
        <f t="shared" si="51"/>
        <v>0</v>
      </c>
      <c r="AK57" s="341">
        <f t="shared" si="52"/>
        <v>0</v>
      </c>
      <c r="AM57" s="273">
        <v>0</v>
      </c>
      <c r="AN57" s="273">
        <f t="shared" si="53"/>
        <v>0</v>
      </c>
      <c r="AO57" s="273">
        <f t="shared" si="54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2.1.14'!U54</f>
        <v>0</v>
      </c>
      <c r="D58" s="201">
        <f>+'Table 5C1A-Madison Prep'!D58</f>
        <v>5062.2745845228173</v>
      </c>
      <c r="E58" s="202">
        <f t="shared" si="34"/>
        <v>0</v>
      </c>
      <c r="F58" s="202">
        <f>+'Table 5C1A-Madison Prep'!F58</f>
        <v>658.37</v>
      </c>
      <c r="G58" s="202">
        <f t="shared" si="35"/>
        <v>0</v>
      </c>
      <c r="H58" s="345">
        <f t="shared" si="36"/>
        <v>0</v>
      </c>
      <c r="I58" s="991">
        <f>'[1]Oct midyear Northshore'!K55</f>
        <v>5720.6445845228172</v>
      </c>
      <c r="J58" s="203">
        <f>'[1]Feb midyear Northshore'!K55</f>
        <v>0</v>
      </c>
      <c r="K58" s="204">
        <f t="shared" si="37"/>
        <v>5720.6445845228172</v>
      </c>
      <c r="L58" s="345">
        <f t="shared" si="55"/>
        <v>5720.6445845228172</v>
      </c>
      <c r="M58" s="286">
        <f t="shared" si="39"/>
        <v>-14.301611461307044</v>
      </c>
      <c r="N58" s="345">
        <f t="shared" si="40"/>
        <v>5706.3429730615098</v>
      </c>
      <c r="O58" s="201">
        <v>0</v>
      </c>
      <c r="P58" s="351">
        <f t="shared" si="41"/>
        <v>5706.3429730615098</v>
      </c>
      <c r="Q58" s="203">
        <f>'[2]Table 5C1L-Northshore Charter'!S58+'[14]Table 5C1L-Northshore Charter'!S58+(6*'[20]Table 5C1L-Northshore Charter'!S58)</f>
        <v>3426</v>
      </c>
      <c r="R58" s="203">
        <f t="shared" si="42"/>
        <v>2280.3429730615098</v>
      </c>
      <c r="S58" s="351">
        <f t="shared" si="56"/>
        <v>570</v>
      </c>
      <c r="T58" s="351">
        <f t="shared" si="43"/>
        <v>5706.3429730615098</v>
      </c>
      <c r="U58" s="287">
        <f>'Table 5C1A-Madison Prep'!U58</f>
        <v>5289</v>
      </c>
      <c r="V58" s="328">
        <f t="shared" si="57"/>
        <v>0</v>
      </c>
      <c r="W58" s="995">
        <f>'[1]Oct midyear Northshore'!E55</f>
        <v>1</v>
      </c>
      <c r="X58" s="290">
        <f t="shared" si="44"/>
        <v>5289</v>
      </c>
      <c r="Y58" s="289">
        <f>'[1]Feb midyear Northshore'!E55</f>
        <v>0</v>
      </c>
      <c r="Z58" s="290">
        <f t="shared" si="31"/>
        <v>0</v>
      </c>
      <c r="AA58" s="288">
        <f t="shared" si="45"/>
        <v>5289</v>
      </c>
      <c r="AB58" s="324">
        <f t="shared" si="46"/>
        <v>5289</v>
      </c>
      <c r="AC58" s="292">
        <f t="shared" si="47"/>
        <v>-13.2225</v>
      </c>
      <c r="AD58" s="324">
        <f t="shared" si="48"/>
        <v>5275.7775000000001</v>
      </c>
      <c r="AE58" s="293">
        <v>0</v>
      </c>
      <c r="AF58" s="324">
        <f t="shared" si="49"/>
        <v>5275.7775000000001</v>
      </c>
      <c r="AG58" s="293">
        <f>'[2]Table 5C1L-Northshore Charter'!AI58+'[14]Table 5C1L-Northshore Charter'!AI58+(6*'[20]Table 5C1L-Northshore Charter'!AI58)</f>
        <v>3120</v>
      </c>
      <c r="AH58" s="293">
        <f t="shared" si="50"/>
        <v>2155.7775000000001</v>
      </c>
      <c r="AI58" s="324">
        <f t="shared" si="58"/>
        <v>539</v>
      </c>
      <c r="AJ58" s="321">
        <f t="shared" si="51"/>
        <v>10982.12047306151</v>
      </c>
      <c r="AK58" s="342">
        <f t="shared" si="52"/>
        <v>1109</v>
      </c>
      <c r="AM58" s="286">
        <v>0</v>
      </c>
      <c r="AN58" s="286">
        <f t="shared" si="53"/>
        <v>-13.2225</v>
      </c>
      <c r="AO58" s="286">
        <f t="shared" si="54"/>
        <v>-13.2225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2.1.14'!U55</f>
        <v>0</v>
      </c>
      <c r="D59" s="201">
        <f>+'Table 5C1A-Madison Prep'!D59</f>
        <v>5060.1508194045482</v>
      </c>
      <c r="E59" s="202">
        <f t="shared" si="34"/>
        <v>0</v>
      </c>
      <c r="F59" s="202">
        <f>+'Table 5C1A-Madison Prep'!F59</f>
        <v>689.74</v>
      </c>
      <c r="G59" s="202">
        <f t="shared" si="35"/>
        <v>0</v>
      </c>
      <c r="H59" s="345">
        <f t="shared" si="36"/>
        <v>0</v>
      </c>
      <c r="I59" s="991">
        <f>'[1]Oct midyear Northshore'!K56</f>
        <v>0</v>
      </c>
      <c r="J59" s="203">
        <f>'[1]Feb midyear Northshore'!K56</f>
        <v>0</v>
      </c>
      <c r="K59" s="204">
        <f t="shared" si="37"/>
        <v>0</v>
      </c>
      <c r="L59" s="345">
        <f t="shared" si="55"/>
        <v>0</v>
      </c>
      <c r="M59" s="286">
        <f t="shared" si="39"/>
        <v>0</v>
      </c>
      <c r="N59" s="345">
        <f t="shared" si="40"/>
        <v>0</v>
      </c>
      <c r="O59" s="201">
        <v>0</v>
      </c>
      <c r="P59" s="351">
        <f t="shared" si="41"/>
        <v>0</v>
      </c>
      <c r="Q59" s="203">
        <f>'[2]Table 5C1L-Northshore Charter'!S59+'[14]Table 5C1L-Northshore Charter'!S59+(6*'[20]Table 5C1L-Northshore Charter'!S59)</f>
        <v>0</v>
      </c>
      <c r="R59" s="203">
        <f t="shared" si="42"/>
        <v>0</v>
      </c>
      <c r="S59" s="351">
        <f t="shared" si="56"/>
        <v>0</v>
      </c>
      <c r="T59" s="351">
        <f t="shared" si="43"/>
        <v>0</v>
      </c>
      <c r="U59" s="287">
        <f>'Table 5C1A-Madison Prep'!U59</f>
        <v>2101</v>
      </c>
      <c r="V59" s="328">
        <f t="shared" si="57"/>
        <v>0</v>
      </c>
      <c r="W59" s="995">
        <f>'[1]Oct midyear Northshore'!E56</f>
        <v>0</v>
      </c>
      <c r="X59" s="290">
        <f t="shared" si="44"/>
        <v>0</v>
      </c>
      <c r="Y59" s="289">
        <f>'[1]Feb midyear Northshore'!E56</f>
        <v>0</v>
      </c>
      <c r="Z59" s="290">
        <f t="shared" si="31"/>
        <v>0</v>
      </c>
      <c r="AA59" s="288">
        <f t="shared" si="45"/>
        <v>0</v>
      </c>
      <c r="AB59" s="324">
        <f t="shared" si="46"/>
        <v>0</v>
      </c>
      <c r="AC59" s="292">
        <f t="shared" si="47"/>
        <v>0</v>
      </c>
      <c r="AD59" s="324">
        <f t="shared" si="48"/>
        <v>0</v>
      </c>
      <c r="AE59" s="293">
        <v>0</v>
      </c>
      <c r="AF59" s="324">
        <f t="shared" si="49"/>
        <v>0</v>
      </c>
      <c r="AG59" s="293">
        <f>'[2]Table 5C1L-Northshore Charter'!AI59+'[14]Table 5C1L-Northshore Charter'!AI59+(6*'[20]Table 5C1L-Northshore Charter'!AI59)</f>
        <v>0</v>
      </c>
      <c r="AH59" s="293">
        <f t="shared" si="50"/>
        <v>0</v>
      </c>
      <c r="AI59" s="324">
        <f t="shared" si="58"/>
        <v>0</v>
      </c>
      <c r="AJ59" s="321">
        <f t="shared" si="51"/>
        <v>0</v>
      </c>
      <c r="AK59" s="342">
        <f t="shared" si="52"/>
        <v>0</v>
      </c>
      <c r="AM59" s="286">
        <v>0</v>
      </c>
      <c r="AN59" s="286">
        <f t="shared" si="53"/>
        <v>0</v>
      </c>
      <c r="AO59" s="286">
        <f t="shared" si="54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2.1.14'!U56</f>
        <v>0</v>
      </c>
      <c r="D60" s="201">
        <f>+'Table 5C1A-Madison Prep'!D60</f>
        <v>5867.0798370516713</v>
      </c>
      <c r="E60" s="202">
        <f t="shared" si="34"/>
        <v>0</v>
      </c>
      <c r="F60" s="202">
        <f>+'Table 5C1A-Madison Prep'!F60</f>
        <v>951.45</v>
      </c>
      <c r="G60" s="202">
        <f t="shared" si="35"/>
        <v>0</v>
      </c>
      <c r="H60" s="345">
        <f t="shared" si="36"/>
        <v>0</v>
      </c>
      <c r="I60" s="991">
        <f>'[1]Oct midyear Northshore'!K57</f>
        <v>0</v>
      </c>
      <c r="J60" s="203">
        <f>'[1]Feb midyear Northshore'!K57</f>
        <v>0</v>
      </c>
      <c r="K60" s="204">
        <f t="shared" si="37"/>
        <v>0</v>
      </c>
      <c r="L60" s="345">
        <f t="shared" si="55"/>
        <v>0</v>
      </c>
      <c r="M60" s="286">
        <f t="shared" si="39"/>
        <v>0</v>
      </c>
      <c r="N60" s="345">
        <f t="shared" si="40"/>
        <v>0</v>
      </c>
      <c r="O60" s="201">
        <v>0</v>
      </c>
      <c r="P60" s="351">
        <f t="shared" si="41"/>
        <v>0</v>
      </c>
      <c r="Q60" s="203">
        <f>'[2]Table 5C1L-Northshore Charter'!S60+'[14]Table 5C1L-Northshore Charter'!S60+(6*'[20]Table 5C1L-Northshore Charter'!S60)</f>
        <v>0</v>
      </c>
      <c r="R60" s="203">
        <f t="shared" si="42"/>
        <v>0</v>
      </c>
      <c r="S60" s="351">
        <f t="shared" si="56"/>
        <v>0</v>
      </c>
      <c r="T60" s="351">
        <f t="shared" si="43"/>
        <v>0</v>
      </c>
      <c r="U60" s="287">
        <f>'Table 5C1A-Madison Prep'!U60</f>
        <v>4150</v>
      </c>
      <c r="V60" s="328">
        <f t="shared" si="57"/>
        <v>0</v>
      </c>
      <c r="W60" s="995">
        <f>'[1]Oct midyear Northshore'!E57</f>
        <v>0</v>
      </c>
      <c r="X60" s="290">
        <f t="shared" si="44"/>
        <v>0</v>
      </c>
      <c r="Y60" s="289">
        <f>'[1]Feb midyear Northshore'!E57</f>
        <v>0</v>
      </c>
      <c r="Z60" s="290">
        <f t="shared" si="31"/>
        <v>0</v>
      </c>
      <c r="AA60" s="288">
        <f t="shared" si="45"/>
        <v>0</v>
      </c>
      <c r="AB60" s="324">
        <f t="shared" si="46"/>
        <v>0</v>
      </c>
      <c r="AC60" s="292">
        <f t="shared" si="47"/>
        <v>0</v>
      </c>
      <c r="AD60" s="324">
        <f t="shared" si="48"/>
        <v>0</v>
      </c>
      <c r="AE60" s="293">
        <v>0</v>
      </c>
      <c r="AF60" s="324">
        <f t="shared" si="49"/>
        <v>0</v>
      </c>
      <c r="AG60" s="293">
        <f>'[2]Table 5C1L-Northshore Charter'!AI60+'[14]Table 5C1L-Northshore Charter'!AI60+(6*'[20]Table 5C1L-Northshore Charter'!AI60)</f>
        <v>0</v>
      </c>
      <c r="AH60" s="293">
        <f t="shared" si="50"/>
        <v>0</v>
      </c>
      <c r="AI60" s="324">
        <f t="shared" si="58"/>
        <v>0</v>
      </c>
      <c r="AJ60" s="321">
        <f t="shared" si="51"/>
        <v>0</v>
      </c>
      <c r="AK60" s="342">
        <f t="shared" si="52"/>
        <v>0</v>
      </c>
      <c r="AM60" s="286">
        <v>0</v>
      </c>
      <c r="AN60" s="286">
        <f t="shared" si="53"/>
        <v>0</v>
      </c>
      <c r="AO60" s="286">
        <f t="shared" si="54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2.1.14'!U57</f>
        <v>0</v>
      </c>
      <c r="D61" s="194">
        <f>+'Table 5C1A-Madison Prep'!D61</f>
        <v>4266.8225491298481</v>
      </c>
      <c r="E61" s="195">
        <f t="shared" si="34"/>
        <v>0</v>
      </c>
      <c r="F61" s="195">
        <f>+'Table 5C1A-Madison Prep'!F61</f>
        <v>795.14</v>
      </c>
      <c r="G61" s="195">
        <f t="shared" si="35"/>
        <v>0</v>
      </c>
      <c r="H61" s="346">
        <f t="shared" si="36"/>
        <v>0</v>
      </c>
      <c r="I61" s="992">
        <f>'[1]Oct midyear Northshore'!K58</f>
        <v>0</v>
      </c>
      <c r="J61" s="196">
        <f>'[1]Feb midyear Northshore'!K58</f>
        <v>0</v>
      </c>
      <c r="K61" s="197">
        <f t="shared" si="37"/>
        <v>0</v>
      </c>
      <c r="L61" s="346">
        <f t="shared" si="55"/>
        <v>0</v>
      </c>
      <c r="M61" s="296">
        <f t="shared" si="39"/>
        <v>0</v>
      </c>
      <c r="N61" s="346">
        <f t="shared" si="40"/>
        <v>0</v>
      </c>
      <c r="O61" s="194">
        <v>0</v>
      </c>
      <c r="P61" s="352">
        <f t="shared" si="41"/>
        <v>0</v>
      </c>
      <c r="Q61" s="622">
        <f>'[2]Table 5C1L-Northshore Charter'!S61+'[14]Table 5C1L-Northshore Charter'!S61+(6*'[20]Table 5C1L-Northshore Charter'!S61)</f>
        <v>0</v>
      </c>
      <c r="R61" s="196">
        <f t="shared" si="42"/>
        <v>0</v>
      </c>
      <c r="S61" s="356">
        <f t="shared" si="56"/>
        <v>0</v>
      </c>
      <c r="T61" s="356">
        <f t="shared" si="43"/>
        <v>0</v>
      </c>
      <c r="U61" s="281">
        <f>'Table 5C1A-Madison Prep'!U61</f>
        <v>3637</v>
      </c>
      <c r="V61" s="329">
        <f t="shared" si="57"/>
        <v>0</v>
      </c>
      <c r="W61" s="996">
        <f>'[1]Oct midyear Northshore'!E58</f>
        <v>0</v>
      </c>
      <c r="X61" s="282">
        <f t="shared" si="44"/>
        <v>0</v>
      </c>
      <c r="Y61" s="884">
        <f>'[1]Feb midyear Northshore'!E58</f>
        <v>0</v>
      </c>
      <c r="Z61" s="282">
        <f t="shared" si="31"/>
        <v>0</v>
      </c>
      <c r="AA61" s="283">
        <f t="shared" si="45"/>
        <v>0</v>
      </c>
      <c r="AB61" s="325">
        <f t="shared" si="46"/>
        <v>0</v>
      </c>
      <c r="AC61" s="298">
        <f t="shared" si="47"/>
        <v>0</v>
      </c>
      <c r="AD61" s="325">
        <f t="shared" si="48"/>
        <v>0</v>
      </c>
      <c r="AE61" s="284">
        <v>0</v>
      </c>
      <c r="AF61" s="325">
        <f t="shared" si="49"/>
        <v>0</v>
      </c>
      <c r="AG61" s="284">
        <f>'[2]Table 5C1L-Northshore Charter'!AI61+'[14]Table 5C1L-Northshore Charter'!AI61+(6*'[20]Table 5C1L-Northshore Charter'!AI61)</f>
        <v>0</v>
      </c>
      <c r="AH61" s="284">
        <f t="shared" si="50"/>
        <v>0</v>
      </c>
      <c r="AI61" s="325">
        <f t="shared" si="58"/>
        <v>0</v>
      </c>
      <c r="AJ61" s="338">
        <f t="shared" si="51"/>
        <v>0</v>
      </c>
      <c r="AK61" s="343">
        <f t="shared" si="52"/>
        <v>0</v>
      </c>
      <c r="AM61" s="296">
        <v>0</v>
      </c>
      <c r="AN61" s="296">
        <f t="shared" si="53"/>
        <v>0</v>
      </c>
      <c r="AO61" s="296">
        <f t="shared" si="54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2.1.14'!U58</f>
        <v>0</v>
      </c>
      <c r="D62" s="208">
        <f>+'Table 5C1A-Madison Prep'!D62</f>
        <v>5028.4909408288286</v>
      </c>
      <c r="E62" s="209">
        <f t="shared" si="34"/>
        <v>0</v>
      </c>
      <c r="F62" s="209">
        <f>+'Table 5C1A-Madison Prep'!F62</f>
        <v>614.66000000000008</v>
      </c>
      <c r="G62" s="209">
        <f t="shared" si="35"/>
        <v>0</v>
      </c>
      <c r="H62" s="344">
        <f t="shared" si="36"/>
        <v>0</v>
      </c>
      <c r="I62" s="990">
        <f>'[1]Oct midyear Northshore'!K59</f>
        <v>0</v>
      </c>
      <c r="J62" s="210">
        <f>'[1]Feb midyear Northshore'!K59</f>
        <v>0</v>
      </c>
      <c r="K62" s="211">
        <f t="shared" si="37"/>
        <v>0</v>
      </c>
      <c r="L62" s="344">
        <f t="shared" si="55"/>
        <v>0</v>
      </c>
      <c r="M62" s="273">
        <f t="shared" si="39"/>
        <v>0</v>
      </c>
      <c r="N62" s="344">
        <f t="shared" si="40"/>
        <v>0</v>
      </c>
      <c r="O62" s="208">
        <v>0</v>
      </c>
      <c r="P62" s="350">
        <f t="shared" si="41"/>
        <v>0</v>
      </c>
      <c r="Q62" s="210">
        <f>'[2]Table 5C1L-Northshore Charter'!S62+'[14]Table 5C1L-Northshore Charter'!S62+(6*'[20]Table 5C1L-Northshore Charter'!S62)</f>
        <v>0</v>
      </c>
      <c r="R62" s="210">
        <f t="shared" si="42"/>
        <v>0</v>
      </c>
      <c r="S62" s="350">
        <f t="shared" si="56"/>
        <v>0</v>
      </c>
      <c r="T62" s="350">
        <f t="shared" si="43"/>
        <v>0</v>
      </c>
      <c r="U62" s="274">
        <f>'Table 5C1A-Madison Prep'!U62</f>
        <v>2857</v>
      </c>
      <c r="V62" s="327">
        <f t="shared" si="57"/>
        <v>0</v>
      </c>
      <c r="W62" s="994">
        <f>'[1]Oct midyear Northshore'!E59</f>
        <v>0</v>
      </c>
      <c r="X62" s="276">
        <f t="shared" si="44"/>
        <v>0</v>
      </c>
      <c r="Y62" s="883">
        <f>'[1]Feb midyear Northshore'!E59</f>
        <v>0</v>
      </c>
      <c r="Z62" s="276">
        <f t="shared" si="31"/>
        <v>0</v>
      </c>
      <c r="AA62" s="275">
        <f t="shared" si="45"/>
        <v>0</v>
      </c>
      <c r="AB62" s="323">
        <f t="shared" si="46"/>
        <v>0</v>
      </c>
      <c r="AC62" s="278">
        <f t="shared" si="47"/>
        <v>0</v>
      </c>
      <c r="AD62" s="323">
        <f t="shared" si="48"/>
        <v>0</v>
      </c>
      <c r="AE62" s="279">
        <v>0</v>
      </c>
      <c r="AF62" s="323">
        <f t="shared" si="49"/>
        <v>0</v>
      </c>
      <c r="AG62" s="279">
        <f>'[2]Table 5C1L-Northshore Charter'!AI62+'[14]Table 5C1L-Northshore Charter'!AI62+(6*'[20]Table 5C1L-Northshore Charter'!AI62)</f>
        <v>0</v>
      </c>
      <c r="AH62" s="279">
        <f t="shared" si="50"/>
        <v>0</v>
      </c>
      <c r="AI62" s="323">
        <f t="shared" si="58"/>
        <v>0</v>
      </c>
      <c r="AJ62" s="337">
        <f t="shared" si="51"/>
        <v>0</v>
      </c>
      <c r="AK62" s="341">
        <f t="shared" si="52"/>
        <v>0</v>
      </c>
      <c r="AM62" s="273">
        <v>0</v>
      </c>
      <c r="AN62" s="273">
        <f t="shared" si="53"/>
        <v>0</v>
      </c>
      <c r="AO62" s="273">
        <f t="shared" si="54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2.1.14'!U59</f>
        <v>0</v>
      </c>
      <c r="D63" s="201">
        <f>+'Table 5C1A-Madison Prep'!D63</f>
        <v>4625.9922979230687</v>
      </c>
      <c r="E63" s="202">
        <f t="shared" si="34"/>
        <v>0</v>
      </c>
      <c r="F63" s="202">
        <f>+'Table 5C1A-Madison Prep'!F63</f>
        <v>764.51</v>
      </c>
      <c r="G63" s="202">
        <f t="shared" si="35"/>
        <v>0</v>
      </c>
      <c r="H63" s="345">
        <f t="shared" si="36"/>
        <v>0</v>
      </c>
      <c r="I63" s="991">
        <f>'[1]Oct midyear Northshore'!K60</f>
        <v>0</v>
      </c>
      <c r="J63" s="203">
        <f>'[1]Feb midyear Northshore'!K60</f>
        <v>0</v>
      </c>
      <c r="K63" s="204">
        <f t="shared" si="37"/>
        <v>0</v>
      </c>
      <c r="L63" s="345">
        <f t="shared" si="55"/>
        <v>0</v>
      </c>
      <c r="M63" s="286">
        <f t="shared" si="39"/>
        <v>0</v>
      </c>
      <c r="N63" s="345">
        <f t="shared" si="40"/>
        <v>0</v>
      </c>
      <c r="O63" s="201">
        <v>0</v>
      </c>
      <c r="P63" s="351">
        <f t="shared" si="41"/>
        <v>0</v>
      </c>
      <c r="Q63" s="203">
        <f>'[2]Table 5C1L-Northshore Charter'!S63+'[14]Table 5C1L-Northshore Charter'!S63+(6*'[20]Table 5C1L-Northshore Charter'!S63)</f>
        <v>0</v>
      </c>
      <c r="R63" s="203">
        <f t="shared" si="42"/>
        <v>0</v>
      </c>
      <c r="S63" s="351">
        <f t="shared" si="56"/>
        <v>0</v>
      </c>
      <c r="T63" s="351">
        <f t="shared" si="43"/>
        <v>0</v>
      </c>
      <c r="U63" s="287">
        <f>'Table 5C1A-Madison Prep'!U63</f>
        <v>3465</v>
      </c>
      <c r="V63" s="328">
        <f t="shared" si="57"/>
        <v>0</v>
      </c>
      <c r="W63" s="995">
        <f>'[1]Oct midyear Northshore'!E60</f>
        <v>0</v>
      </c>
      <c r="X63" s="290">
        <f t="shared" si="44"/>
        <v>0</v>
      </c>
      <c r="Y63" s="289">
        <f>'[1]Feb midyear Northshore'!E60</f>
        <v>0</v>
      </c>
      <c r="Z63" s="290">
        <f t="shared" si="31"/>
        <v>0</v>
      </c>
      <c r="AA63" s="288">
        <f t="shared" si="45"/>
        <v>0</v>
      </c>
      <c r="AB63" s="324">
        <f t="shared" si="46"/>
        <v>0</v>
      </c>
      <c r="AC63" s="292">
        <f t="shared" si="47"/>
        <v>0</v>
      </c>
      <c r="AD63" s="324">
        <f t="shared" si="48"/>
        <v>0</v>
      </c>
      <c r="AE63" s="293">
        <v>0</v>
      </c>
      <c r="AF63" s="324">
        <f t="shared" si="49"/>
        <v>0</v>
      </c>
      <c r="AG63" s="293">
        <f>'[2]Table 5C1L-Northshore Charter'!AI63+'[14]Table 5C1L-Northshore Charter'!AI63+(6*'[20]Table 5C1L-Northshore Charter'!AI63)</f>
        <v>0</v>
      </c>
      <c r="AH63" s="293">
        <f t="shared" si="50"/>
        <v>0</v>
      </c>
      <c r="AI63" s="324">
        <f t="shared" si="58"/>
        <v>0</v>
      </c>
      <c r="AJ63" s="321">
        <f t="shared" si="51"/>
        <v>0</v>
      </c>
      <c r="AK63" s="342">
        <f t="shared" si="52"/>
        <v>0</v>
      </c>
      <c r="AM63" s="286">
        <v>0</v>
      </c>
      <c r="AN63" s="286">
        <f t="shared" si="53"/>
        <v>0</v>
      </c>
      <c r="AO63" s="286">
        <f t="shared" si="54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2.1.14'!U60</f>
        <v>0</v>
      </c>
      <c r="D64" s="201">
        <f>+'Table 5C1A-Madison Prep'!D64</f>
        <v>5673.1129637882123</v>
      </c>
      <c r="E64" s="202">
        <f t="shared" si="34"/>
        <v>0</v>
      </c>
      <c r="F64" s="202">
        <f>+'Table 5C1A-Madison Prep'!F64</f>
        <v>697.04</v>
      </c>
      <c r="G64" s="202">
        <f t="shared" si="35"/>
        <v>0</v>
      </c>
      <c r="H64" s="345">
        <f t="shared" si="36"/>
        <v>0</v>
      </c>
      <c r="I64" s="991">
        <f>'[1]Oct midyear Northshore'!K61</f>
        <v>0</v>
      </c>
      <c r="J64" s="203">
        <f>'[1]Feb midyear Northshore'!K61</f>
        <v>0</v>
      </c>
      <c r="K64" s="204">
        <f t="shared" si="37"/>
        <v>0</v>
      </c>
      <c r="L64" s="345">
        <f t="shared" si="55"/>
        <v>0</v>
      </c>
      <c r="M64" s="286">
        <f t="shared" si="39"/>
        <v>0</v>
      </c>
      <c r="N64" s="345">
        <f t="shared" si="40"/>
        <v>0</v>
      </c>
      <c r="O64" s="201">
        <v>0</v>
      </c>
      <c r="P64" s="351">
        <f t="shared" si="41"/>
        <v>0</v>
      </c>
      <c r="Q64" s="203">
        <f>'[2]Table 5C1L-Northshore Charter'!S64+'[14]Table 5C1L-Northshore Charter'!S64+(6*'[20]Table 5C1L-Northshore Charter'!S64)</f>
        <v>0</v>
      </c>
      <c r="R64" s="203">
        <f t="shared" si="42"/>
        <v>0</v>
      </c>
      <c r="S64" s="351">
        <f t="shared" si="56"/>
        <v>0</v>
      </c>
      <c r="T64" s="351">
        <f t="shared" si="43"/>
        <v>0</v>
      </c>
      <c r="U64" s="287">
        <f>'Table 5C1A-Madison Prep'!U64</f>
        <v>2167</v>
      </c>
      <c r="V64" s="328">
        <f t="shared" si="57"/>
        <v>0</v>
      </c>
      <c r="W64" s="995">
        <f>'[1]Oct midyear Northshore'!E61</f>
        <v>0</v>
      </c>
      <c r="X64" s="290">
        <f t="shared" si="44"/>
        <v>0</v>
      </c>
      <c r="Y64" s="289">
        <f>'[1]Feb midyear Northshore'!E61</f>
        <v>0</v>
      </c>
      <c r="Z64" s="290">
        <f t="shared" si="31"/>
        <v>0</v>
      </c>
      <c r="AA64" s="288">
        <f t="shared" si="45"/>
        <v>0</v>
      </c>
      <c r="AB64" s="324">
        <f t="shared" si="46"/>
        <v>0</v>
      </c>
      <c r="AC64" s="292">
        <f t="shared" si="47"/>
        <v>0</v>
      </c>
      <c r="AD64" s="324">
        <f t="shared" si="48"/>
        <v>0</v>
      </c>
      <c r="AE64" s="293">
        <v>0</v>
      </c>
      <c r="AF64" s="324">
        <f t="shared" si="49"/>
        <v>0</v>
      </c>
      <c r="AG64" s="293">
        <f>'[2]Table 5C1L-Northshore Charter'!AI64+'[14]Table 5C1L-Northshore Charter'!AI64+(6*'[20]Table 5C1L-Northshore Charter'!AI64)</f>
        <v>0</v>
      </c>
      <c r="AH64" s="293">
        <f t="shared" si="50"/>
        <v>0</v>
      </c>
      <c r="AI64" s="324">
        <f t="shared" si="58"/>
        <v>0</v>
      </c>
      <c r="AJ64" s="321">
        <f t="shared" si="51"/>
        <v>0</v>
      </c>
      <c r="AK64" s="342">
        <f t="shared" si="52"/>
        <v>0</v>
      </c>
      <c r="AM64" s="286">
        <v>0</v>
      </c>
      <c r="AN64" s="286">
        <f t="shared" si="53"/>
        <v>0</v>
      </c>
      <c r="AO64" s="286">
        <f t="shared" si="54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2.1.14'!U61</f>
        <v>12</v>
      </c>
      <c r="D65" s="201">
        <f>+'Table 5C1A-Madison Prep'!D65</f>
        <v>6621.946293521848</v>
      </c>
      <c r="E65" s="202">
        <f t="shared" si="34"/>
        <v>79463.35552226218</v>
      </c>
      <c r="F65" s="202">
        <f>+'Table 5C1A-Madison Prep'!F65</f>
        <v>689.52</v>
      </c>
      <c r="G65" s="202">
        <f t="shared" si="35"/>
        <v>8274.24</v>
      </c>
      <c r="H65" s="345">
        <f t="shared" si="36"/>
        <v>87737.595522262185</v>
      </c>
      <c r="I65" s="991">
        <f>'[1]Oct midyear Northshore'!K62</f>
        <v>29245.86517408739</v>
      </c>
      <c r="J65" s="203">
        <f>'[1]Feb midyear Northshore'!K62</f>
        <v>-3655.7331467609238</v>
      </c>
      <c r="K65" s="204">
        <f t="shared" si="37"/>
        <v>25590.132027326465</v>
      </c>
      <c r="L65" s="345">
        <f t="shared" si="55"/>
        <v>113327.72754958866</v>
      </c>
      <c r="M65" s="286">
        <f t="shared" si="39"/>
        <v>-283.31931887397167</v>
      </c>
      <c r="N65" s="345">
        <f t="shared" si="40"/>
        <v>113044.40823071469</v>
      </c>
      <c r="O65" s="201">
        <v>0</v>
      </c>
      <c r="P65" s="351">
        <f t="shared" si="41"/>
        <v>113044.40823071469</v>
      </c>
      <c r="Q65" s="203">
        <f>'[2]Table 5C1L-Northshore Charter'!S65+'[14]Table 5C1L-Northshore Charter'!S65+(6*'[20]Table 5C1L-Northshore Charter'!S65)</f>
        <v>66303</v>
      </c>
      <c r="R65" s="203">
        <f t="shared" si="42"/>
        <v>46741.408230714689</v>
      </c>
      <c r="S65" s="351">
        <f t="shared" si="56"/>
        <v>11685</v>
      </c>
      <c r="T65" s="351">
        <f t="shared" si="43"/>
        <v>113044.40823071469</v>
      </c>
      <c r="U65" s="287">
        <f>'Table 5C1A-Madison Prep'!U65</f>
        <v>1521</v>
      </c>
      <c r="V65" s="328">
        <f t="shared" si="57"/>
        <v>18252</v>
      </c>
      <c r="W65" s="995">
        <f>'[1]Oct midyear Northshore'!E62</f>
        <v>4</v>
      </c>
      <c r="X65" s="290">
        <f t="shared" si="44"/>
        <v>6084</v>
      </c>
      <c r="Y65" s="289">
        <f>'[1]Feb midyear Northshore'!E62</f>
        <v>-1</v>
      </c>
      <c r="Z65" s="290">
        <f t="shared" si="31"/>
        <v>-760.5</v>
      </c>
      <c r="AA65" s="288">
        <f t="shared" si="45"/>
        <v>5323.5</v>
      </c>
      <c r="AB65" s="324">
        <f t="shared" si="46"/>
        <v>23575.5</v>
      </c>
      <c r="AC65" s="292">
        <f t="shared" si="47"/>
        <v>-58.938749999999999</v>
      </c>
      <c r="AD65" s="324">
        <f t="shared" si="48"/>
        <v>23516.561249999999</v>
      </c>
      <c r="AE65" s="293">
        <v>0</v>
      </c>
      <c r="AF65" s="324">
        <f t="shared" si="49"/>
        <v>23516.561249999999</v>
      </c>
      <c r="AG65" s="293">
        <f>'[2]Table 5C1L-Northshore Charter'!AI65+'[14]Table 5C1L-Northshore Charter'!AI65+(6*'[20]Table 5C1L-Northshore Charter'!AI65)</f>
        <v>14303</v>
      </c>
      <c r="AH65" s="293">
        <f t="shared" si="50"/>
        <v>9213.5612499999988</v>
      </c>
      <c r="AI65" s="324">
        <f t="shared" si="58"/>
        <v>2303</v>
      </c>
      <c r="AJ65" s="321">
        <f t="shared" si="51"/>
        <v>136560.9694807147</v>
      </c>
      <c r="AK65" s="342">
        <f t="shared" si="52"/>
        <v>13988</v>
      </c>
      <c r="AM65" s="286">
        <v>-47.31</v>
      </c>
      <c r="AN65" s="286">
        <f t="shared" si="53"/>
        <v>-58.938749999999999</v>
      </c>
      <c r="AO65" s="286">
        <f t="shared" si="54"/>
        <v>-11.628749999999997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2.1.14'!U62</f>
        <v>0</v>
      </c>
      <c r="D66" s="194">
        <f>+'Table 5C1A-Madison Prep'!D66</f>
        <v>5301.224090063828</v>
      </c>
      <c r="E66" s="195">
        <f t="shared" si="34"/>
        <v>0</v>
      </c>
      <c r="F66" s="195">
        <f>+'Table 5C1A-Madison Prep'!F66</f>
        <v>594.04</v>
      </c>
      <c r="G66" s="195">
        <f t="shared" si="35"/>
        <v>0</v>
      </c>
      <c r="H66" s="346">
        <f t="shared" si="36"/>
        <v>0</v>
      </c>
      <c r="I66" s="992">
        <f>'[1]Oct midyear Northshore'!K63</f>
        <v>0</v>
      </c>
      <c r="J66" s="196">
        <f>'[1]Feb midyear Northshore'!K63</f>
        <v>0</v>
      </c>
      <c r="K66" s="197">
        <f t="shared" si="37"/>
        <v>0</v>
      </c>
      <c r="L66" s="346">
        <f t="shared" si="55"/>
        <v>0</v>
      </c>
      <c r="M66" s="296">
        <f t="shared" si="39"/>
        <v>0</v>
      </c>
      <c r="N66" s="346">
        <f t="shared" si="40"/>
        <v>0</v>
      </c>
      <c r="O66" s="194">
        <v>0</v>
      </c>
      <c r="P66" s="352">
        <f t="shared" si="41"/>
        <v>0</v>
      </c>
      <c r="Q66" s="622">
        <f>'[2]Table 5C1L-Northshore Charter'!S66+'[14]Table 5C1L-Northshore Charter'!S66+(6*'[20]Table 5C1L-Northshore Charter'!S66)</f>
        <v>0</v>
      </c>
      <c r="R66" s="196">
        <f t="shared" si="42"/>
        <v>0</v>
      </c>
      <c r="S66" s="356">
        <f t="shared" si="56"/>
        <v>0</v>
      </c>
      <c r="T66" s="356">
        <f t="shared" si="43"/>
        <v>0</v>
      </c>
      <c r="U66" s="281">
        <f>'Table 5C1A-Madison Prep'!U66</f>
        <v>4024</v>
      </c>
      <c r="V66" s="329">
        <f t="shared" si="57"/>
        <v>0</v>
      </c>
      <c r="W66" s="996">
        <f>'[1]Oct midyear Northshore'!E63</f>
        <v>0</v>
      </c>
      <c r="X66" s="282">
        <f t="shared" si="44"/>
        <v>0</v>
      </c>
      <c r="Y66" s="884">
        <f>'[1]Feb midyear Northshore'!E63</f>
        <v>0</v>
      </c>
      <c r="Z66" s="282">
        <f t="shared" si="31"/>
        <v>0</v>
      </c>
      <c r="AA66" s="283">
        <f t="shared" si="45"/>
        <v>0</v>
      </c>
      <c r="AB66" s="325">
        <f t="shared" si="46"/>
        <v>0</v>
      </c>
      <c r="AC66" s="298">
        <f t="shared" si="47"/>
        <v>0</v>
      </c>
      <c r="AD66" s="325">
        <f t="shared" si="48"/>
        <v>0</v>
      </c>
      <c r="AE66" s="284">
        <v>0</v>
      </c>
      <c r="AF66" s="325">
        <f t="shared" si="49"/>
        <v>0</v>
      </c>
      <c r="AG66" s="284">
        <f>'[2]Table 5C1L-Northshore Charter'!AI66+'[14]Table 5C1L-Northshore Charter'!AI66+(6*'[20]Table 5C1L-Northshore Charter'!AI66)</f>
        <v>0</v>
      </c>
      <c r="AH66" s="284">
        <f t="shared" si="50"/>
        <v>0</v>
      </c>
      <c r="AI66" s="325">
        <f t="shared" si="58"/>
        <v>0</v>
      </c>
      <c r="AJ66" s="338">
        <f t="shared" si="51"/>
        <v>0</v>
      </c>
      <c r="AK66" s="343">
        <f t="shared" si="52"/>
        <v>0</v>
      </c>
      <c r="AM66" s="296">
        <v>0</v>
      </c>
      <c r="AN66" s="296">
        <f t="shared" si="53"/>
        <v>0</v>
      </c>
      <c r="AO66" s="296">
        <f t="shared" si="54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2.1.14'!U63</f>
        <v>0</v>
      </c>
      <c r="D67" s="208">
        <f>+'Table 5C1A-Madison Prep'!D67</f>
        <v>2854.1575356369185</v>
      </c>
      <c r="E67" s="209">
        <f t="shared" si="34"/>
        <v>0</v>
      </c>
      <c r="F67" s="209">
        <f>+'Table 5C1A-Madison Prep'!F67</f>
        <v>833.70999999999992</v>
      </c>
      <c r="G67" s="209">
        <f t="shared" si="35"/>
        <v>0</v>
      </c>
      <c r="H67" s="344">
        <f t="shared" si="36"/>
        <v>0</v>
      </c>
      <c r="I67" s="990">
        <f>'[1]Oct midyear Northshore'!K64</f>
        <v>0</v>
      </c>
      <c r="J67" s="210">
        <f>'[1]Feb midyear Northshore'!K64</f>
        <v>0</v>
      </c>
      <c r="K67" s="211">
        <f t="shared" si="37"/>
        <v>0</v>
      </c>
      <c r="L67" s="344">
        <f t="shared" si="55"/>
        <v>0</v>
      </c>
      <c r="M67" s="273">
        <f t="shared" si="39"/>
        <v>0</v>
      </c>
      <c r="N67" s="344">
        <f t="shared" si="40"/>
        <v>0</v>
      </c>
      <c r="O67" s="208">
        <v>0</v>
      </c>
      <c r="P67" s="350">
        <f t="shared" si="41"/>
        <v>0</v>
      </c>
      <c r="Q67" s="210">
        <f>'[2]Table 5C1L-Northshore Charter'!S67+'[14]Table 5C1L-Northshore Charter'!S67+(6*'[20]Table 5C1L-Northshore Charter'!S67)</f>
        <v>0</v>
      </c>
      <c r="R67" s="210">
        <f t="shared" si="42"/>
        <v>0</v>
      </c>
      <c r="S67" s="350">
        <f t="shared" si="56"/>
        <v>0</v>
      </c>
      <c r="T67" s="350">
        <f t="shared" si="43"/>
        <v>0</v>
      </c>
      <c r="U67" s="274">
        <f>'Table 5C1A-Madison Prep'!U67</f>
        <v>6739</v>
      </c>
      <c r="V67" s="327">
        <f t="shared" si="57"/>
        <v>0</v>
      </c>
      <c r="W67" s="994">
        <f>'[1]Oct midyear Northshore'!E64</f>
        <v>0</v>
      </c>
      <c r="X67" s="276">
        <f t="shared" si="44"/>
        <v>0</v>
      </c>
      <c r="Y67" s="883">
        <f>'[1]Feb midyear Northshore'!E64</f>
        <v>0</v>
      </c>
      <c r="Z67" s="276">
        <f t="shared" si="31"/>
        <v>0</v>
      </c>
      <c r="AA67" s="275">
        <f t="shared" si="45"/>
        <v>0</v>
      </c>
      <c r="AB67" s="323">
        <f t="shared" si="46"/>
        <v>0</v>
      </c>
      <c r="AC67" s="278">
        <f t="shared" si="47"/>
        <v>0</v>
      </c>
      <c r="AD67" s="323">
        <f t="shared" si="48"/>
        <v>0</v>
      </c>
      <c r="AE67" s="279">
        <v>0</v>
      </c>
      <c r="AF67" s="323">
        <f t="shared" si="49"/>
        <v>0</v>
      </c>
      <c r="AG67" s="279">
        <f>'[2]Table 5C1L-Northshore Charter'!AI67+'[14]Table 5C1L-Northshore Charter'!AI67+(6*'[20]Table 5C1L-Northshore Charter'!AI67)</f>
        <v>0</v>
      </c>
      <c r="AH67" s="279">
        <f t="shared" si="50"/>
        <v>0</v>
      </c>
      <c r="AI67" s="323">
        <f t="shared" si="58"/>
        <v>0</v>
      </c>
      <c r="AJ67" s="337">
        <f t="shared" si="51"/>
        <v>0</v>
      </c>
      <c r="AK67" s="341">
        <f t="shared" si="52"/>
        <v>0</v>
      </c>
      <c r="AM67" s="273">
        <v>0</v>
      </c>
      <c r="AN67" s="273">
        <f t="shared" si="53"/>
        <v>0</v>
      </c>
      <c r="AO67" s="273">
        <f t="shared" si="54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2.1.14'!U64</f>
        <v>0</v>
      </c>
      <c r="D68" s="201">
        <f>+'Table 5C1A-Madison Prep'!D68</f>
        <v>5901.074538516008</v>
      </c>
      <c r="E68" s="202">
        <f t="shared" si="34"/>
        <v>0</v>
      </c>
      <c r="F68" s="202">
        <f>+'Table 5C1A-Madison Prep'!F68</f>
        <v>516.08000000000004</v>
      </c>
      <c r="G68" s="202">
        <f t="shared" si="35"/>
        <v>0</v>
      </c>
      <c r="H68" s="345">
        <f t="shared" si="36"/>
        <v>0</v>
      </c>
      <c r="I68" s="991">
        <f>'[1]Oct midyear Northshore'!K65</f>
        <v>0</v>
      </c>
      <c r="J68" s="203">
        <f>'[1]Feb midyear Northshore'!K65</f>
        <v>0</v>
      </c>
      <c r="K68" s="204">
        <f t="shared" si="37"/>
        <v>0</v>
      </c>
      <c r="L68" s="345">
        <f t="shared" si="55"/>
        <v>0</v>
      </c>
      <c r="M68" s="286">
        <f t="shared" si="39"/>
        <v>0</v>
      </c>
      <c r="N68" s="345">
        <f t="shared" si="40"/>
        <v>0</v>
      </c>
      <c r="O68" s="201">
        <v>0</v>
      </c>
      <c r="P68" s="351">
        <f t="shared" si="41"/>
        <v>0</v>
      </c>
      <c r="Q68" s="203">
        <f>'[2]Table 5C1L-Northshore Charter'!S68+'[14]Table 5C1L-Northshore Charter'!S68+(6*'[20]Table 5C1L-Northshore Charter'!S68)</f>
        <v>0</v>
      </c>
      <c r="R68" s="203">
        <f t="shared" si="42"/>
        <v>0</v>
      </c>
      <c r="S68" s="351">
        <f t="shared" si="56"/>
        <v>0</v>
      </c>
      <c r="T68" s="351">
        <f t="shared" si="43"/>
        <v>0</v>
      </c>
      <c r="U68" s="287">
        <f>'Table 5C1A-Madison Prep'!U68</f>
        <v>2089</v>
      </c>
      <c r="V68" s="328">
        <f t="shared" si="57"/>
        <v>0</v>
      </c>
      <c r="W68" s="995">
        <f>'[1]Oct midyear Northshore'!E65</f>
        <v>0</v>
      </c>
      <c r="X68" s="290">
        <f t="shared" si="44"/>
        <v>0</v>
      </c>
      <c r="Y68" s="289">
        <f>'[1]Feb midyear Northshore'!E65</f>
        <v>0</v>
      </c>
      <c r="Z68" s="290">
        <f t="shared" si="31"/>
        <v>0</v>
      </c>
      <c r="AA68" s="288">
        <f t="shared" si="45"/>
        <v>0</v>
      </c>
      <c r="AB68" s="324">
        <f t="shared" si="46"/>
        <v>0</v>
      </c>
      <c r="AC68" s="292">
        <f t="shared" si="47"/>
        <v>0</v>
      </c>
      <c r="AD68" s="324">
        <f t="shared" si="48"/>
        <v>0</v>
      </c>
      <c r="AE68" s="293">
        <v>0</v>
      </c>
      <c r="AF68" s="324">
        <f t="shared" si="49"/>
        <v>0</v>
      </c>
      <c r="AG68" s="293">
        <f>'[2]Table 5C1L-Northshore Charter'!AI68+'[14]Table 5C1L-Northshore Charter'!AI68+(6*'[20]Table 5C1L-Northshore Charter'!AI68)</f>
        <v>0</v>
      </c>
      <c r="AH68" s="293">
        <f t="shared" si="50"/>
        <v>0</v>
      </c>
      <c r="AI68" s="324">
        <f t="shared" si="58"/>
        <v>0</v>
      </c>
      <c r="AJ68" s="321">
        <f t="shared" si="51"/>
        <v>0</v>
      </c>
      <c r="AK68" s="342">
        <f t="shared" si="52"/>
        <v>0</v>
      </c>
      <c r="AM68" s="286">
        <v>0</v>
      </c>
      <c r="AN68" s="286">
        <f t="shared" si="53"/>
        <v>0</v>
      </c>
      <c r="AO68" s="286">
        <f t="shared" si="54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2.1.14'!U65</f>
        <v>0</v>
      </c>
      <c r="D69" s="201">
        <f>+'Table 5C1A-Madison Prep'!D69</f>
        <v>4124.3813481848092</v>
      </c>
      <c r="E69" s="202">
        <f t="shared" si="34"/>
        <v>0</v>
      </c>
      <c r="F69" s="202">
        <f>+'Table 5C1A-Madison Prep'!F69</f>
        <v>756.79</v>
      </c>
      <c r="G69" s="202">
        <f t="shared" si="35"/>
        <v>0</v>
      </c>
      <c r="H69" s="345">
        <f t="shared" si="36"/>
        <v>0</v>
      </c>
      <c r="I69" s="991">
        <f>'[1]Oct midyear Northshore'!K66</f>
        <v>0</v>
      </c>
      <c r="J69" s="203">
        <f>'[1]Feb midyear Northshore'!K66</f>
        <v>0</v>
      </c>
      <c r="K69" s="204">
        <f t="shared" si="37"/>
        <v>0</v>
      </c>
      <c r="L69" s="345">
        <f t="shared" si="55"/>
        <v>0</v>
      </c>
      <c r="M69" s="286">
        <f t="shared" si="39"/>
        <v>0</v>
      </c>
      <c r="N69" s="345">
        <f t="shared" si="40"/>
        <v>0</v>
      </c>
      <c r="O69" s="201">
        <v>0</v>
      </c>
      <c r="P69" s="351">
        <f t="shared" si="41"/>
        <v>0</v>
      </c>
      <c r="Q69" s="203">
        <f>'[2]Table 5C1L-Northshore Charter'!S69+'[14]Table 5C1L-Northshore Charter'!S69+(6*'[20]Table 5C1L-Northshore Charter'!S69)</f>
        <v>0</v>
      </c>
      <c r="R69" s="203">
        <f t="shared" si="42"/>
        <v>0</v>
      </c>
      <c r="S69" s="351">
        <f t="shared" si="56"/>
        <v>0</v>
      </c>
      <c r="T69" s="351">
        <f t="shared" si="43"/>
        <v>0</v>
      </c>
      <c r="U69" s="287">
        <f>'Table 5C1A-Madison Prep'!U69</f>
        <v>7403</v>
      </c>
      <c r="V69" s="328">
        <f t="shared" si="57"/>
        <v>0</v>
      </c>
      <c r="W69" s="995">
        <f>'[1]Oct midyear Northshore'!E66</f>
        <v>0</v>
      </c>
      <c r="X69" s="290">
        <f t="shared" si="44"/>
        <v>0</v>
      </c>
      <c r="Y69" s="289">
        <f>'[1]Feb midyear Northshore'!E66</f>
        <v>0</v>
      </c>
      <c r="Z69" s="290">
        <f t="shared" si="31"/>
        <v>0</v>
      </c>
      <c r="AA69" s="288">
        <f t="shared" si="45"/>
        <v>0</v>
      </c>
      <c r="AB69" s="324">
        <f t="shared" si="46"/>
        <v>0</v>
      </c>
      <c r="AC69" s="292">
        <f t="shared" si="47"/>
        <v>0</v>
      </c>
      <c r="AD69" s="324">
        <f t="shared" si="48"/>
        <v>0</v>
      </c>
      <c r="AE69" s="293">
        <v>0</v>
      </c>
      <c r="AF69" s="324">
        <f t="shared" si="49"/>
        <v>0</v>
      </c>
      <c r="AG69" s="293">
        <f>'[2]Table 5C1L-Northshore Charter'!AI69+'[14]Table 5C1L-Northshore Charter'!AI69+(6*'[20]Table 5C1L-Northshore Charter'!AI69)</f>
        <v>0</v>
      </c>
      <c r="AH69" s="293">
        <f t="shared" si="50"/>
        <v>0</v>
      </c>
      <c r="AI69" s="324">
        <f t="shared" si="58"/>
        <v>0</v>
      </c>
      <c r="AJ69" s="321">
        <f t="shared" si="51"/>
        <v>0</v>
      </c>
      <c r="AK69" s="342">
        <f t="shared" si="52"/>
        <v>0</v>
      </c>
      <c r="AM69" s="286">
        <v>0</v>
      </c>
      <c r="AN69" s="286">
        <f t="shared" si="53"/>
        <v>0</v>
      </c>
      <c r="AO69" s="286">
        <f t="shared" si="54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2.1.14'!U66</f>
        <v>0</v>
      </c>
      <c r="D70" s="201">
        <f>+'Table 5C1A-Madison Prep'!D70</f>
        <v>6277.8307532778254</v>
      </c>
      <c r="E70" s="202">
        <f t="shared" si="34"/>
        <v>0</v>
      </c>
      <c r="F70" s="202">
        <f>+'Table 5C1A-Madison Prep'!F70</f>
        <v>592.66</v>
      </c>
      <c r="G70" s="202">
        <f t="shared" si="35"/>
        <v>0</v>
      </c>
      <c r="H70" s="345">
        <f t="shared" si="36"/>
        <v>0</v>
      </c>
      <c r="I70" s="991">
        <f>'[1]Oct midyear Northshore'!K67</f>
        <v>0</v>
      </c>
      <c r="J70" s="203">
        <f>'[1]Feb midyear Northshore'!K67</f>
        <v>0</v>
      </c>
      <c r="K70" s="204">
        <f t="shared" si="37"/>
        <v>0</v>
      </c>
      <c r="L70" s="345">
        <f t="shared" si="55"/>
        <v>0</v>
      </c>
      <c r="M70" s="286">
        <f t="shared" si="39"/>
        <v>0</v>
      </c>
      <c r="N70" s="345">
        <f t="shared" si="40"/>
        <v>0</v>
      </c>
      <c r="O70" s="201">
        <v>0</v>
      </c>
      <c r="P70" s="351">
        <f t="shared" si="41"/>
        <v>0</v>
      </c>
      <c r="Q70" s="203">
        <f>'[2]Table 5C1L-Northshore Charter'!S70+'[14]Table 5C1L-Northshore Charter'!S70+(6*'[20]Table 5C1L-Northshore Charter'!S70)</f>
        <v>0</v>
      </c>
      <c r="R70" s="203">
        <f t="shared" si="42"/>
        <v>0</v>
      </c>
      <c r="S70" s="351">
        <f t="shared" si="56"/>
        <v>0</v>
      </c>
      <c r="T70" s="351">
        <f t="shared" si="43"/>
        <v>0</v>
      </c>
      <c r="U70" s="287">
        <f>'Table 5C1A-Madison Prep'!U70</f>
        <v>2802</v>
      </c>
      <c r="V70" s="328">
        <f t="shared" si="57"/>
        <v>0</v>
      </c>
      <c r="W70" s="995">
        <f>'[1]Oct midyear Northshore'!E67</f>
        <v>0</v>
      </c>
      <c r="X70" s="290">
        <f t="shared" si="44"/>
        <v>0</v>
      </c>
      <c r="Y70" s="289">
        <f>'[1]Feb midyear Northshore'!E67</f>
        <v>0</v>
      </c>
      <c r="Z70" s="290">
        <f t="shared" si="31"/>
        <v>0</v>
      </c>
      <c r="AA70" s="288">
        <f t="shared" si="45"/>
        <v>0</v>
      </c>
      <c r="AB70" s="324">
        <f t="shared" si="46"/>
        <v>0</v>
      </c>
      <c r="AC70" s="292">
        <f t="shared" si="47"/>
        <v>0</v>
      </c>
      <c r="AD70" s="324">
        <f t="shared" si="48"/>
        <v>0</v>
      </c>
      <c r="AE70" s="293">
        <v>0</v>
      </c>
      <c r="AF70" s="324">
        <f t="shared" si="49"/>
        <v>0</v>
      </c>
      <c r="AG70" s="293">
        <f>'[2]Table 5C1L-Northshore Charter'!AI70+'[14]Table 5C1L-Northshore Charter'!AI70+(6*'[20]Table 5C1L-Northshore Charter'!AI70)</f>
        <v>0</v>
      </c>
      <c r="AH70" s="293">
        <f t="shared" si="50"/>
        <v>0</v>
      </c>
      <c r="AI70" s="324">
        <f t="shared" si="58"/>
        <v>0</v>
      </c>
      <c r="AJ70" s="321">
        <f t="shared" si="51"/>
        <v>0</v>
      </c>
      <c r="AK70" s="342">
        <f t="shared" si="52"/>
        <v>0</v>
      </c>
      <c r="AM70" s="286">
        <v>0</v>
      </c>
      <c r="AN70" s="286">
        <f t="shared" si="53"/>
        <v>0</v>
      </c>
      <c r="AO70" s="286">
        <f t="shared" si="54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2.1.14'!U67</f>
        <v>0</v>
      </c>
      <c r="D71" s="194">
        <f>+'Table 5C1A-Madison Prep'!D71</f>
        <v>4775.1605543943642</v>
      </c>
      <c r="E71" s="195">
        <f t="shared" si="34"/>
        <v>0</v>
      </c>
      <c r="F71" s="195">
        <f>+'Table 5C1A-Madison Prep'!F71</f>
        <v>829.12</v>
      </c>
      <c r="G71" s="195">
        <f t="shared" si="35"/>
        <v>0</v>
      </c>
      <c r="H71" s="346">
        <f t="shared" si="36"/>
        <v>0</v>
      </c>
      <c r="I71" s="992">
        <f>'[1]Oct midyear Northshore'!K68</f>
        <v>0</v>
      </c>
      <c r="J71" s="196">
        <f>'[1]Feb midyear Northshore'!K68</f>
        <v>0</v>
      </c>
      <c r="K71" s="197">
        <f t="shared" si="37"/>
        <v>0</v>
      </c>
      <c r="L71" s="346">
        <f t="shared" ref="L71:L75" si="59">H71+K71</f>
        <v>0</v>
      </c>
      <c r="M71" s="296">
        <f t="shared" si="39"/>
        <v>0</v>
      </c>
      <c r="N71" s="346">
        <f t="shared" si="40"/>
        <v>0</v>
      </c>
      <c r="O71" s="194">
        <v>0</v>
      </c>
      <c r="P71" s="352">
        <f t="shared" si="41"/>
        <v>0</v>
      </c>
      <c r="Q71" s="622">
        <f>'[2]Table 5C1L-Northshore Charter'!S71+'[14]Table 5C1L-Northshore Charter'!S71+(6*'[20]Table 5C1L-Northshore Charter'!S71)</f>
        <v>0</v>
      </c>
      <c r="R71" s="196">
        <f t="shared" si="42"/>
        <v>0</v>
      </c>
      <c r="S71" s="356">
        <f t="shared" ref="S71:S75" si="60">ROUND(R71/$S$88,0)</f>
        <v>0</v>
      </c>
      <c r="T71" s="356">
        <f t="shared" si="43"/>
        <v>0</v>
      </c>
      <c r="U71" s="281">
        <f>'Table 5C1A-Madison Prep'!U71</f>
        <v>5215</v>
      </c>
      <c r="V71" s="329">
        <f t="shared" ref="V71:V75" si="61">C71*U71</f>
        <v>0</v>
      </c>
      <c r="W71" s="996">
        <f>'[1]Oct midyear Northshore'!E68</f>
        <v>0</v>
      </c>
      <c r="X71" s="282">
        <f t="shared" si="44"/>
        <v>0</v>
      </c>
      <c r="Y71" s="884">
        <f>'[1]Feb midyear Northshore'!E68</f>
        <v>0</v>
      </c>
      <c r="Z71" s="282">
        <f t="shared" ref="Z71:Z74" si="62">+U71*Y71*0.5</f>
        <v>0</v>
      </c>
      <c r="AA71" s="283">
        <f t="shared" si="45"/>
        <v>0</v>
      </c>
      <c r="AB71" s="325">
        <f t="shared" si="46"/>
        <v>0</v>
      </c>
      <c r="AC71" s="298">
        <f t="shared" si="47"/>
        <v>0</v>
      </c>
      <c r="AD71" s="325">
        <f t="shared" si="48"/>
        <v>0</v>
      </c>
      <c r="AE71" s="284">
        <v>0</v>
      </c>
      <c r="AF71" s="325">
        <f t="shared" si="49"/>
        <v>0</v>
      </c>
      <c r="AG71" s="284">
        <f>'[2]Table 5C1L-Northshore Charter'!AI71+'[14]Table 5C1L-Northshore Charter'!AI71+(6*'[20]Table 5C1L-Northshore Charter'!AI71)</f>
        <v>0</v>
      </c>
      <c r="AH71" s="284">
        <f t="shared" si="50"/>
        <v>0</v>
      </c>
      <c r="AI71" s="325">
        <f t="shared" ref="AI71:AI75" si="63">ROUND(AH71/$AI$88,0)</f>
        <v>0</v>
      </c>
      <c r="AJ71" s="338">
        <f t="shared" si="51"/>
        <v>0</v>
      </c>
      <c r="AK71" s="343">
        <f t="shared" si="52"/>
        <v>0</v>
      </c>
      <c r="AM71" s="296">
        <v>0</v>
      </c>
      <c r="AN71" s="296">
        <f t="shared" si="53"/>
        <v>0</v>
      </c>
      <c r="AO71" s="296">
        <f t="shared" si="54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2.1.14'!U68</f>
        <v>158</v>
      </c>
      <c r="D72" s="208">
        <f>+'Table 5C1A-Madison Prep'!D72</f>
        <v>6564.0085433910035</v>
      </c>
      <c r="E72" s="209">
        <f t="shared" ref="E72:E75" si="64">C72*D72</f>
        <v>1037113.3498557785</v>
      </c>
      <c r="F72" s="209">
        <f>+'Table 5C1A-Madison Prep'!F72</f>
        <v>730.06</v>
      </c>
      <c r="G72" s="209">
        <f t="shared" ref="G72:G75" si="65">C72*F72</f>
        <v>115349.48</v>
      </c>
      <c r="H72" s="344">
        <f t="shared" ref="H72:H75" si="66">E72+G72</f>
        <v>1152462.8298557785</v>
      </c>
      <c r="I72" s="990">
        <f>'[1]Oct midyear Northshore'!K69</f>
        <v>1692223.902066713</v>
      </c>
      <c r="J72" s="210">
        <f>'[1]Feb midyear Northshore'!K69</f>
        <v>65646.616890519042</v>
      </c>
      <c r="K72" s="211">
        <f t="shared" ref="K72:K75" si="67">I72+J72</f>
        <v>1757870.5189572321</v>
      </c>
      <c r="L72" s="344">
        <f t="shared" si="59"/>
        <v>2910333.3488130104</v>
      </c>
      <c r="M72" s="273">
        <f t="shared" ref="M72:M75" si="68">-(0.25%*L72)</f>
        <v>-7275.8333720325263</v>
      </c>
      <c r="N72" s="344">
        <f t="shared" ref="N72:N75" si="69">SUM(L72:M72)</f>
        <v>2903057.5154409776</v>
      </c>
      <c r="O72" s="208">
        <v>0</v>
      </c>
      <c r="P72" s="350">
        <f t="shared" ref="P72:P75" si="70">SUM(N72:O72)</f>
        <v>2903057.5154409776</v>
      </c>
      <c r="Q72" s="210">
        <f>'[2]Table 5C1L-Northshore Charter'!S72+'[14]Table 5C1L-Northshore Charter'!S72+(6*'[20]Table 5C1L-Northshore Charter'!S72)</f>
        <v>1814506</v>
      </c>
      <c r="R72" s="210">
        <f t="shared" ref="R72:R75" si="71">P72-Q72</f>
        <v>1088551.5154409776</v>
      </c>
      <c r="S72" s="350">
        <f t="shared" si="60"/>
        <v>272138</v>
      </c>
      <c r="T72" s="350">
        <f t="shared" ref="T72:T75" si="72">+P72</f>
        <v>2903057.5154409776</v>
      </c>
      <c r="U72" s="274">
        <f>'Table 5C1A-Madison Prep'!U72</f>
        <v>3609</v>
      </c>
      <c r="V72" s="327">
        <f t="shared" si="61"/>
        <v>570222</v>
      </c>
      <c r="W72" s="994">
        <f>'[1]Oct midyear Northshore'!E69</f>
        <v>232</v>
      </c>
      <c r="X72" s="276">
        <f t="shared" ref="X72:X75" si="73">W72*U72</f>
        <v>837288</v>
      </c>
      <c r="Y72" s="883">
        <f>'[1]Feb midyear Northshore'!E69</f>
        <v>18</v>
      </c>
      <c r="Z72" s="276">
        <f t="shared" si="62"/>
        <v>32481</v>
      </c>
      <c r="AA72" s="275">
        <f t="shared" ref="AA72:AA75" si="74">+X72+Z72</f>
        <v>869769</v>
      </c>
      <c r="AB72" s="323">
        <f t="shared" ref="AB72:AB75" si="75">AA72+V72</f>
        <v>1439991</v>
      </c>
      <c r="AC72" s="278">
        <f t="shared" ref="AC72:AC75" si="76">-(0.25%*AB72)</f>
        <v>-3599.9775</v>
      </c>
      <c r="AD72" s="323">
        <f t="shared" ref="AD72:AD75" si="77">SUM(AB72:AC72)</f>
        <v>1436391.0225</v>
      </c>
      <c r="AE72" s="279">
        <v>0</v>
      </c>
      <c r="AF72" s="323">
        <f t="shared" ref="AF72:AF75" si="78">SUM(AD72:AE72)</f>
        <v>1436391.0225</v>
      </c>
      <c r="AG72" s="279">
        <f>'[2]Table 5C1L-Northshore Charter'!AI72+'[14]Table 5C1L-Northshore Charter'!AI72+(6*'[20]Table 5C1L-Northshore Charter'!AI72)</f>
        <v>838087</v>
      </c>
      <c r="AH72" s="279">
        <f t="shared" ref="AH72:AH75" si="79">AF72-AG72</f>
        <v>598304.02249999996</v>
      </c>
      <c r="AI72" s="323">
        <f t="shared" si="63"/>
        <v>149576</v>
      </c>
      <c r="AJ72" s="337">
        <f t="shared" ref="AJ72:AJ75" si="80">T72+AF72</f>
        <v>4339448.5379409771</v>
      </c>
      <c r="AK72" s="341">
        <f t="shared" ref="AK72:AK75" si="81">S72+AI72</f>
        <v>421714</v>
      </c>
      <c r="AM72" s="310">
        <v>-1330.7550000000001</v>
      </c>
      <c r="AN72" s="310">
        <f t="shared" ref="AN72:AN75" si="82">+AC72</f>
        <v>-3599.9775</v>
      </c>
      <c r="AO72" s="310">
        <f t="shared" si="54"/>
        <v>-2269.2224999999999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2.1.14'!U69</f>
        <v>0</v>
      </c>
      <c r="D73" s="201">
        <f>+'Table 5C1A-Madison Prep'!D73</f>
        <v>5029.1467736134118</v>
      </c>
      <c r="E73" s="202">
        <f t="shared" si="64"/>
        <v>0</v>
      </c>
      <c r="F73" s="202">
        <f>+'Table 5C1A-Madison Prep'!F73</f>
        <v>715.61</v>
      </c>
      <c r="G73" s="202">
        <f t="shared" si="65"/>
        <v>0</v>
      </c>
      <c r="H73" s="345">
        <f t="shared" si="66"/>
        <v>0</v>
      </c>
      <c r="I73" s="991">
        <f>'[1]Oct midyear Northshore'!K70</f>
        <v>0</v>
      </c>
      <c r="J73" s="203">
        <f>'[1]Feb midyear Northshore'!K70</f>
        <v>0</v>
      </c>
      <c r="K73" s="204">
        <f t="shared" si="67"/>
        <v>0</v>
      </c>
      <c r="L73" s="345">
        <f t="shared" si="59"/>
        <v>0</v>
      </c>
      <c r="M73" s="286">
        <f t="shared" si="68"/>
        <v>0</v>
      </c>
      <c r="N73" s="345">
        <f t="shared" si="69"/>
        <v>0</v>
      </c>
      <c r="O73" s="201">
        <v>0</v>
      </c>
      <c r="P73" s="351">
        <f t="shared" si="70"/>
        <v>0</v>
      </c>
      <c r="Q73" s="203">
        <f>'[2]Table 5C1L-Northshore Charter'!S73+'[14]Table 5C1L-Northshore Charter'!S73+(6*'[20]Table 5C1L-Northshore Charter'!S73)</f>
        <v>0</v>
      </c>
      <c r="R73" s="203">
        <f t="shared" si="71"/>
        <v>0</v>
      </c>
      <c r="S73" s="351">
        <f t="shared" si="60"/>
        <v>0</v>
      </c>
      <c r="T73" s="351">
        <f t="shared" si="72"/>
        <v>0</v>
      </c>
      <c r="U73" s="287">
        <f>'Table 5C1A-Madison Prep'!U73</f>
        <v>5069</v>
      </c>
      <c r="V73" s="328">
        <f t="shared" si="61"/>
        <v>0</v>
      </c>
      <c r="W73" s="995">
        <f>'[1]Oct midyear Northshore'!E70</f>
        <v>0</v>
      </c>
      <c r="X73" s="290">
        <f t="shared" si="73"/>
        <v>0</v>
      </c>
      <c r="Y73" s="289">
        <f>'[1]Feb midyear Northshore'!E70</f>
        <v>0</v>
      </c>
      <c r="Z73" s="290">
        <f t="shared" si="62"/>
        <v>0</v>
      </c>
      <c r="AA73" s="288">
        <f t="shared" si="74"/>
        <v>0</v>
      </c>
      <c r="AB73" s="324">
        <f t="shared" si="75"/>
        <v>0</v>
      </c>
      <c r="AC73" s="292">
        <f t="shared" si="76"/>
        <v>0</v>
      </c>
      <c r="AD73" s="324">
        <f t="shared" si="77"/>
        <v>0</v>
      </c>
      <c r="AE73" s="293">
        <v>0</v>
      </c>
      <c r="AF73" s="324">
        <f t="shared" si="78"/>
        <v>0</v>
      </c>
      <c r="AG73" s="293">
        <f>'[2]Table 5C1L-Northshore Charter'!AI73+'[14]Table 5C1L-Northshore Charter'!AI73+(6*'[20]Table 5C1L-Northshore Charter'!AI73)</f>
        <v>0</v>
      </c>
      <c r="AH73" s="293">
        <f t="shared" si="79"/>
        <v>0</v>
      </c>
      <c r="AI73" s="324">
        <f t="shared" si="63"/>
        <v>0</v>
      </c>
      <c r="AJ73" s="321">
        <f t="shared" si="80"/>
        <v>0</v>
      </c>
      <c r="AK73" s="342">
        <f t="shared" si="81"/>
        <v>0</v>
      </c>
      <c r="AM73" s="310">
        <v>0</v>
      </c>
      <c r="AN73" s="310">
        <f t="shared" si="82"/>
        <v>0</v>
      </c>
      <c r="AO73" s="310">
        <f t="shared" si="54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2.1.14'!U70</f>
        <v>0</v>
      </c>
      <c r="D74" s="201">
        <f>+'Table 5C1A-Madison Prep'!D74</f>
        <v>6390.1644202560601</v>
      </c>
      <c r="E74" s="202">
        <f t="shared" si="64"/>
        <v>0</v>
      </c>
      <c r="F74" s="202">
        <f>+'Table 5C1A-Madison Prep'!F74</f>
        <v>798.7</v>
      </c>
      <c r="G74" s="202">
        <f t="shared" si="65"/>
        <v>0</v>
      </c>
      <c r="H74" s="345">
        <f t="shared" si="66"/>
        <v>0</v>
      </c>
      <c r="I74" s="991">
        <f>'[1]Oct midyear Northshore'!K71</f>
        <v>0</v>
      </c>
      <c r="J74" s="203">
        <f>'[1]Feb midyear Northshore'!K71</f>
        <v>0</v>
      </c>
      <c r="K74" s="204">
        <f t="shared" si="67"/>
        <v>0</v>
      </c>
      <c r="L74" s="345">
        <f t="shared" si="59"/>
        <v>0</v>
      </c>
      <c r="M74" s="286">
        <f t="shared" si="68"/>
        <v>0</v>
      </c>
      <c r="N74" s="345">
        <f t="shared" si="69"/>
        <v>0</v>
      </c>
      <c r="O74" s="201">
        <v>0</v>
      </c>
      <c r="P74" s="351">
        <f t="shared" si="70"/>
        <v>0</v>
      </c>
      <c r="Q74" s="203">
        <f>'[2]Table 5C1L-Northshore Charter'!S74+'[14]Table 5C1L-Northshore Charter'!S74+(6*'[20]Table 5C1L-Northshore Charter'!S74)</f>
        <v>0</v>
      </c>
      <c r="R74" s="203">
        <f t="shared" si="71"/>
        <v>0</v>
      </c>
      <c r="S74" s="351">
        <f t="shared" si="60"/>
        <v>0</v>
      </c>
      <c r="T74" s="351">
        <f t="shared" si="72"/>
        <v>0</v>
      </c>
      <c r="U74" s="287">
        <f>'Table 5C1A-Madison Prep'!U74</f>
        <v>2880</v>
      </c>
      <c r="V74" s="328">
        <f t="shared" si="61"/>
        <v>0</v>
      </c>
      <c r="W74" s="995">
        <f>'[1]Oct midyear Northshore'!E71</f>
        <v>0</v>
      </c>
      <c r="X74" s="290">
        <f t="shared" si="73"/>
        <v>0</v>
      </c>
      <c r="Y74" s="289">
        <f>'[1]Feb midyear Northshore'!E71</f>
        <v>0</v>
      </c>
      <c r="Z74" s="290">
        <f t="shared" si="62"/>
        <v>0</v>
      </c>
      <c r="AA74" s="288">
        <f t="shared" si="74"/>
        <v>0</v>
      </c>
      <c r="AB74" s="324">
        <f t="shared" si="75"/>
        <v>0</v>
      </c>
      <c r="AC74" s="292">
        <f t="shared" si="76"/>
        <v>0</v>
      </c>
      <c r="AD74" s="324">
        <f t="shared" si="77"/>
        <v>0</v>
      </c>
      <c r="AE74" s="293">
        <v>0</v>
      </c>
      <c r="AF74" s="324">
        <f t="shared" si="78"/>
        <v>0</v>
      </c>
      <c r="AG74" s="293">
        <f>'[2]Table 5C1L-Northshore Charter'!AI74+'[14]Table 5C1L-Northshore Charter'!AI74+(6*'[20]Table 5C1L-Northshore Charter'!AI74)</f>
        <v>0</v>
      </c>
      <c r="AH74" s="293">
        <f t="shared" si="79"/>
        <v>0</v>
      </c>
      <c r="AI74" s="324">
        <f t="shared" si="63"/>
        <v>0</v>
      </c>
      <c r="AJ74" s="321">
        <f t="shared" si="80"/>
        <v>0</v>
      </c>
      <c r="AK74" s="342">
        <f t="shared" si="81"/>
        <v>0</v>
      </c>
      <c r="AM74" s="310">
        <v>0</v>
      </c>
      <c r="AN74" s="310">
        <f t="shared" si="82"/>
        <v>0</v>
      </c>
      <c r="AO74" s="310">
        <f t="shared" si="54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2.1.14'!U71</f>
        <v>0</v>
      </c>
      <c r="D75" s="201">
        <f>+'Table 5C1A-Madison Prep'!D75</f>
        <v>5722.4947921281337</v>
      </c>
      <c r="E75" s="202">
        <f t="shared" si="64"/>
        <v>0</v>
      </c>
      <c r="F75" s="202">
        <f>+'Table 5C1A-Madison Prep'!F75</f>
        <v>705.67</v>
      </c>
      <c r="G75" s="202">
        <f t="shared" si="65"/>
        <v>0</v>
      </c>
      <c r="H75" s="345">
        <f t="shared" si="66"/>
        <v>0</v>
      </c>
      <c r="I75" s="991">
        <f>'[1]Oct midyear Northshore'!K72</f>
        <v>0</v>
      </c>
      <c r="J75" s="203">
        <f>'[1]Feb midyear Northshore'!K72</f>
        <v>0</v>
      </c>
      <c r="K75" s="204">
        <f t="shared" si="67"/>
        <v>0</v>
      </c>
      <c r="L75" s="345">
        <f t="shared" si="59"/>
        <v>0</v>
      </c>
      <c r="M75" s="286">
        <f t="shared" si="68"/>
        <v>0</v>
      </c>
      <c r="N75" s="345">
        <f t="shared" si="69"/>
        <v>0</v>
      </c>
      <c r="O75" s="201">
        <v>0</v>
      </c>
      <c r="P75" s="351">
        <f t="shared" si="70"/>
        <v>0</v>
      </c>
      <c r="Q75" s="203">
        <f>'[2]Table 5C1L-Northshore Charter'!S75+'[14]Table 5C1L-Northshore Charter'!S75+(6*'[20]Table 5C1L-Northshore Charter'!S75)</f>
        <v>0</v>
      </c>
      <c r="R75" s="203">
        <f t="shared" si="71"/>
        <v>0</v>
      </c>
      <c r="S75" s="351">
        <f t="shared" si="60"/>
        <v>0</v>
      </c>
      <c r="T75" s="351">
        <f t="shared" si="72"/>
        <v>0</v>
      </c>
      <c r="U75" s="287">
        <f>'Table 5C1A-Madison Prep'!U75</f>
        <v>3330</v>
      </c>
      <c r="V75" s="328">
        <f t="shared" si="61"/>
        <v>0</v>
      </c>
      <c r="W75" s="995">
        <f>'[1]Oct midyear Northshore'!E72</f>
        <v>0</v>
      </c>
      <c r="X75" s="290">
        <f t="shared" si="73"/>
        <v>0</v>
      </c>
      <c r="Y75" s="289">
        <f>'[1]Feb midyear Northshore'!E72</f>
        <v>0</v>
      </c>
      <c r="Z75" s="290">
        <f>+U75*Y75*0.5</f>
        <v>0</v>
      </c>
      <c r="AA75" s="288">
        <f t="shared" si="74"/>
        <v>0</v>
      </c>
      <c r="AB75" s="324">
        <f t="shared" si="75"/>
        <v>0</v>
      </c>
      <c r="AC75" s="292">
        <f t="shared" si="76"/>
        <v>0</v>
      </c>
      <c r="AD75" s="324">
        <f t="shared" si="77"/>
        <v>0</v>
      </c>
      <c r="AE75" s="293">
        <v>0</v>
      </c>
      <c r="AF75" s="324">
        <f t="shared" si="78"/>
        <v>0</v>
      </c>
      <c r="AG75" s="293">
        <f>'[2]Table 5C1L-Northshore Charter'!AI75+'[14]Table 5C1L-Northshore Charter'!AI75+(6*'[20]Table 5C1L-Northshore Charter'!AI75)</f>
        <v>0</v>
      </c>
      <c r="AH75" s="293">
        <f t="shared" si="79"/>
        <v>0</v>
      </c>
      <c r="AI75" s="324">
        <f t="shared" si="63"/>
        <v>0</v>
      </c>
      <c r="AJ75" s="321">
        <f t="shared" si="80"/>
        <v>0</v>
      </c>
      <c r="AK75" s="342">
        <f t="shared" si="81"/>
        <v>0</v>
      </c>
      <c r="AM75" s="300">
        <v>0</v>
      </c>
      <c r="AN75" s="300">
        <f t="shared" si="82"/>
        <v>0</v>
      </c>
      <c r="AO75" s="300">
        <f t="shared" si="54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170</v>
      </c>
      <c r="D76" s="28">
        <f>+'Table 5C1A-Madison Prep'!D76</f>
        <v>4479.9292126977662</v>
      </c>
      <c r="E76" s="35">
        <f>SUM(E7:E75)</f>
        <v>1116576.7053780407</v>
      </c>
      <c r="F76" s="35">
        <f>+'Table 5C1A-Madison Prep'!F76</f>
        <v>704.64781030742063</v>
      </c>
      <c r="G76" s="35">
        <f>SUM(G7:G75)</f>
        <v>123623.72</v>
      </c>
      <c r="H76" s="348">
        <f>SUM(H7:H75)</f>
        <v>1240200.4253780406</v>
      </c>
      <c r="I76" s="37">
        <f>SUM(I7:I75)</f>
        <v>1727190.4118253232</v>
      </c>
      <c r="J76" s="70">
        <f>SUM(J7:J75)</f>
        <v>61990.883743758117</v>
      </c>
      <c r="K76" s="56">
        <f t="shared" ref="K76:T76" si="83">SUM(K7:K75)</f>
        <v>1789181.2955690813</v>
      </c>
      <c r="L76" s="364">
        <f t="shared" si="83"/>
        <v>3029381.7209471217</v>
      </c>
      <c r="M76" s="36">
        <f t="shared" si="83"/>
        <v>-7573.4543023678052</v>
      </c>
      <c r="N76" s="348">
        <f t="shared" si="83"/>
        <v>3021808.266644754</v>
      </c>
      <c r="O76" s="28">
        <f t="shared" si="83"/>
        <v>0</v>
      </c>
      <c r="P76" s="354">
        <f t="shared" si="83"/>
        <v>3021808.266644754</v>
      </c>
      <c r="Q76" s="66">
        <f t="shared" si="83"/>
        <v>1884235</v>
      </c>
      <c r="R76" s="66">
        <f t="shared" si="83"/>
        <v>1137573.2666447537</v>
      </c>
      <c r="S76" s="354">
        <f t="shared" si="83"/>
        <v>284393</v>
      </c>
      <c r="T76" s="354">
        <f t="shared" si="83"/>
        <v>3021808.266644754</v>
      </c>
      <c r="U76" s="83">
        <f>'Table 5C1A-Madison Prep'!U76</f>
        <v>4703</v>
      </c>
      <c r="V76" s="330">
        <f t="shared" ref="V76:AK76" si="84">SUM(V7:V75)</f>
        <v>588474</v>
      </c>
      <c r="W76" s="1001">
        <f t="shared" si="84"/>
        <v>237</v>
      </c>
      <c r="X76" s="75">
        <f t="shared" si="84"/>
        <v>848661</v>
      </c>
      <c r="Y76" s="74">
        <f t="shared" si="84"/>
        <v>17</v>
      </c>
      <c r="Z76" s="75">
        <f t="shared" si="84"/>
        <v>31720.5</v>
      </c>
      <c r="AA76" s="63">
        <f t="shared" si="84"/>
        <v>880381.5</v>
      </c>
      <c r="AB76" s="332">
        <f t="shared" si="84"/>
        <v>1468855.5</v>
      </c>
      <c r="AC76" s="37">
        <f t="shared" si="84"/>
        <v>-3672.1387500000001</v>
      </c>
      <c r="AD76" s="330">
        <f t="shared" si="84"/>
        <v>1465183.3612500001</v>
      </c>
      <c r="AE76" s="85">
        <f t="shared" si="84"/>
        <v>0</v>
      </c>
      <c r="AF76" s="330">
        <f t="shared" si="84"/>
        <v>1465183.3612500001</v>
      </c>
      <c r="AG76" s="85">
        <f t="shared" si="84"/>
        <v>855510</v>
      </c>
      <c r="AH76" s="85">
        <f t="shared" si="84"/>
        <v>609673.36124999996</v>
      </c>
      <c r="AI76" s="330">
        <f t="shared" si="84"/>
        <v>152418</v>
      </c>
      <c r="AJ76" s="339">
        <f t="shared" si="84"/>
        <v>4486991.6278947536</v>
      </c>
      <c r="AK76" s="339">
        <f t="shared" si="84"/>
        <v>436811</v>
      </c>
      <c r="AM76" s="36">
        <f>SUM(AM7:AM75)</f>
        <v>-1378.0650000000001</v>
      </c>
      <c r="AN76" s="36">
        <f>SUM(AN7:AN75)</f>
        <v>-3672.1387500000001</v>
      </c>
      <c r="AO76" s="36">
        <f>SUM(AO7:AO75)</f>
        <v>-2294.07375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90"/>
      <c r="J77" s="222"/>
      <c r="K77" s="222"/>
      <c r="L77" s="220"/>
      <c r="M77" s="222"/>
      <c r="N77" s="220"/>
      <c r="O77" s="220"/>
      <c r="P77" s="295">
        <f>'Table 4 Level 4'!$E110</f>
        <v>0</v>
      </c>
      <c r="Q77" s="203">
        <f>'[2]Table 5C1L-Northshore Charter'!S77+'[14]Table 5C1L-Northshore Charter'!S77+(6*'[20]Table 5C1L-Northshore Charter'!S77)</f>
        <v>0</v>
      </c>
      <c r="R77" s="222">
        <f t="shared" ref="R77" si="85">P77-Q77</f>
        <v>0</v>
      </c>
      <c r="S77" s="351">
        <f t="shared" ref="S77:S81" si="86">ROUND(R77/$S$88,0)</f>
        <v>0</v>
      </c>
      <c r="T77" s="351">
        <f>'Table 4 Level 4'!$E110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87">T77+AF77</f>
        <v>0</v>
      </c>
      <c r="AK77" s="321">
        <f t="shared" ref="AK77:AK81" si="88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90"/>
      <c r="J78" s="222"/>
      <c r="K78" s="222"/>
      <c r="L78" s="220"/>
      <c r="M78" s="222"/>
      <c r="N78" s="220"/>
      <c r="O78" s="220"/>
      <c r="P78" s="222"/>
      <c r="Q78" s="203"/>
      <c r="R78" s="222"/>
      <c r="S78" s="203"/>
      <c r="T78" s="351">
        <f>'Table 4 Level 4'!$J110</f>
        <v>6000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87"/>
        <v>6000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90"/>
      <c r="J79" s="222"/>
      <c r="K79" s="222"/>
      <c r="L79" s="220"/>
      <c r="M79" s="222"/>
      <c r="N79" s="220"/>
      <c r="O79" s="220"/>
      <c r="P79" s="222"/>
      <c r="Q79" s="203"/>
      <c r="R79" s="222"/>
      <c r="S79" s="203"/>
      <c r="T79" s="351">
        <f>'Table 4 Level 4'!$L110</f>
        <v>10000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87"/>
        <v>10000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90"/>
      <c r="J80" s="222"/>
      <c r="K80" s="222"/>
      <c r="L80" s="220"/>
      <c r="M80" s="222"/>
      <c r="N80" s="220"/>
      <c r="O80" s="220"/>
      <c r="P80" s="222"/>
      <c r="Q80" s="203"/>
      <c r="R80" s="222"/>
      <c r="S80" s="203"/>
      <c r="T80" s="351">
        <f>'Table 4 Level 4'!$M110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87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302"/>
      <c r="J81" s="217"/>
      <c r="K81" s="217"/>
      <c r="L81" s="215"/>
      <c r="M81" s="217"/>
      <c r="N81" s="215"/>
      <c r="O81" s="215"/>
      <c r="P81" s="353">
        <f>'Table 4 Level 4'!O110</f>
        <v>702</v>
      </c>
      <c r="Q81" s="885">
        <f>'[2]Table 5C1L-Northshore Charter'!S81+'[14]Table 5C1L-Northshore Charter'!S81+(6*'[20]Table 5C1L-Northshore Charter'!S81)</f>
        <v>471</v>
      </c>
      <c r="R81" s="217">
        <f t="shared" ref="R81" si="89">P81-Q81</f>
        <v>231</v>
      </c>
      <c r="S81" s="358">
        <f t="shared" si="86"/>
        <v>58</v>
      </c>
      <c r="T81" s="358">
        <f>P81</f>
        <v>702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87"/>
        <v>702</v>
      </c>
      <c r="AK81" s="322">
        <f t="shared" si="88"/>
        <v>58</v>
      </c>
    </row>
    <row r="82" spans="1:37" ht="16.149999999999999" customHeight="1" thickBot="1">
      <c r="A82" s="1442" t="s">
        <v>710</v>
      </c>
      <c r="B82" s="1415"/>
      <c r="C82" s="136">
        <f>SUM(C76:C81)</f>
        <v>170</v>
      </c>
      <c r="D82" s="128">
        <f t="shared" ref="D82:AK82" si="90">SUM(D76:D81)</f>
        <v>4479.9292126977662</v>
      </c>
      <c r="E82" s="128">
        <f t="shared" si="90"/>
        <v>1116576.7053780407</v>
      </c>
      <c r="F82" s="128">
        <f t="shared" si="90"/>
        <v>704.64781030742063</v>
      </c>
      <c r="G82" s="128">
        <f t="shared" si="90"/>
        <v>123623.72</v>
      </c>
      <c r="H82" s="128">
        <f t="shared" si="90"/>
        <v>1240200.4253780406</v>
      </c>
      <c r="I82" s="134">
        <f t="shared" si="90"/>
        <v>1727190.4118253232</v>
      </c>
      <c r="J82" s="133">
        <f t="shared" si="90"/>
        <v>61990.883743758117</v>
      </c>
      <c r="K82" s="133">
        <f t="shared" si="90"/>
        <v>1789181.2955690813</v>
      </c>
      <c r="L82" s="128">
        <f t="shared" si="90"/>
        <v>3029381.7209471217</v>
      </c>
      <c r="M82" s="133">
        <f t="shared" si="90"/>
        <v>-7573.4543023678052</v>
      </c>
      <c r="N82" s="128">
        <f t="shared" si="90"/>
        <v>3021808.266644754</v>
      </c>
      <c r="O82" s="128">
        <f t="shared" si="90"/>
        <v>0</v>
      </c>
      <c r="P82" s="355">
        <f t="shared" si="90"/>
        <v>3022510.266644754</v>
      </c>
      <c r="Q82" s="133">
        <f t="shared" si="90"/>
        <v>1884706</v>
      </c>
      <c r="R82" s="133">
        <f t="shared" si="90"/>
        <v>1137804.2666447537</v>
      </c>
      <c r="S82" s="355">
        <f t="shared" si="90"/>
        <v>284451</v>
      </c>
      <c r="T82" s="355">
        <f t="shared" si="90"/>
        <v>3038510.266644754</v>
      </c>
      <c r="U82" s="137">
        <f t="shared" si="90"/>
        <v>4703</v>
      </c>
      <c r="V82" s="134">
        <f t="shared" si="90"/>
        <v>588474</v>
      </c>
      <c r="W82" s="136">
        <f t="shared" si="90"/>
        <v>237</v>
      </c>
      <c r="X82" s="134">
        <f t="shared" si="90"/>
        <v>848661</v>
      </c>
      <c r="Y82" s="136">
        <f t="shared" si="90"/>
        <v>17</v>
      </c>
      <c r="Z82" s="134">
        <f t="shared" si="90"/>
        <v>31720.5</v>
      </c>
      <c r="AA82" s="134">
        <f t="shared" si="90"/>
        <v>880381.5</v>
      </c>
      <c r="AB82" s="134">
        <f t="shared" si="90"/>
        <v>1468855.5</v>
      </c>
      <c r="AC82" s="134">
        <f t="shared" si="90"/>
        <v>-3672.1387500000001</v>
      </c>
      <c r="AD82" s="134">
        <f t="shared" si="90"/>
        <v>1465183.3612500001</v>
      </c>
      <c r="AE82" s="134">
        <f t="shared" si="90"/>
        <v>0</v>
      </c>
      <c r="AF82" s="134">
        <f t="shared" si="90"/>
        <v>1465183.3612500001</v>
      </c>
      <c r="AG82" s="134">
        <f t="shared" si="90"/>
        <v>855510</v>
      </c>
      <c r="AH82" s="134">
        <f t="shared" si="90"/>
        <v>609673.36124999996</v>
      </c>
      <c r="AI82" s="134">
        <f t="shared" si="90"/>
        <v>152418</v>
      </c>
      <c r="AJ82" s="320">
        <f t="shared" si="90"/>
        <v>4503693.6278947536</v>
      </c>
      <c r="AK82" s="320">
        <f t="shared" si="90"/>
        <v>436869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-3100.5010634451019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-4472.9532389227033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15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hidden="1" customHeight="1">
      <c r="AH89" s="1584"/>
    </row>
    <row r="90" spans="1:37" ht="16.149999999999999" hidden="1" customHeight="1">
      <c r="AH90" s="1584"/>
    </row>
    <row r="91" spans="1:37" ht="13.5" thickTop="1"/>
    <row r="98" ht="13.9" customHeight="1"/>
  </sheetData>
  <mergeCells count="44">
    <mergeCell ref="AI3:AI4"/>
    <mergeCell ref="M1:T1"/>
    <mergeCell ref="C1:L1"/>
    <mergeCell ref="AC1:AI1"/>
    <mergeCell ref="W2:AA2"/>
    <mergeCell ref="AJ1:AJ4"/>
    <mergeCell ref="AK1:AK4"/>
    <mergeCell ref="C3:C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AG3:AG4"/>
    <mergeCell ref="AH3:AH4"/>
    <mergeCell ref="U1:AB1"/>
    <mergeCell ref="A1:B4"/>
    <mergeCell ref="L3:L4"/>
    <mergeCell ref="W3:W4"/>
    <mergeCell ref="X3:X4"/>
    <mergeCell ref="AB3:AB4"/>
    <mergeCell ref="P3:P4"/>
    <mergeCell ref="S3:S4"/>
    <mergeCell ref="U3:U4"/>
    <mergeCell ref="J3:J4"/>
    <mergeCell ref="K3:K4"/>
    <mergeCell ref="I2:K2"/>
    <mergeCell ref="Y3:Y4"/>
    <mergeCell ref="Z3:Z4"/>
    <mergeCell ref="T3:T4"/>
    <mergeCell ref="I3:I4"/>
    <mergeCell ref="AH88:AH90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5C1-L: FY2014-15 MFP Budget Letter (March 2015)
Northshore Charter School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O98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bestFit="1" customWidth="1"/>
    <col min="4" max="4" width="13.7109375" style="784" bestFit="1" customWidth="1"/>
    <col min="5" max="5" width="10.140625" style="784" bestFit="1" customWidth="1"/>
    <col min="6" max="7" width="12.28515625" style="784" bestFit="1" customWidth="1"/>
    <col min="8" max="8" width="11.5703125" style="784" bestFit="1" customWidth="1"/>
    <col min="9" max="12" width="11.85546875" style="784" bestFit="1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4.5703125" style="784" customWidth="1"/>
    <col min="23" max="23" width="11.7109375" style="784" customWidth="1"/>
    <col min="24" max="24" width="14.42578125" style="784" bestFit="1" customWidth="1"/>
    <col min="25" max="27" width="11.7109375" style="784" customWidth="1"/>
    <col min="28" max="28" width="14.42578125" style="784" bestFit="1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4" width="10.7109375" style="784" bestFit="1" customWidth="1"/>
    <col min="35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410</v>
      </c>
      <c r="B1" s="1577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578"/>
      <c r="B2" s="1579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ref="J5" si="2">I5+1</f>
        <v>8</v>
      </c>
      <c r="K5" s="23">
        <f t="shared" ref="K5" si="3">J5+1</f>
        <v>9</v>
      </c>
      <c r="L5" s="23">
        <f t="shared" ref="L5" si="4">K5+1</f>
        <v>10</v>
      </c>
      <c r="M5" s="23">
        <f t="shared" ref="M5" si="5">L5+1</f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ref="Q5" si="6">P5+1</f>
        <v>15</v>
      </c>
      <c r="R5" s="23">
        <f t="shared" ref="R5" si="7">Q5+1</f>
        <v>16</v>
      </c>
      <c r="S5" s="23">
        <f t="shared" ref="S5" si="8">R5+1</f>
        <v>17</v>
      </c>
      <c r="T5" s="23">
        <f t="shared" ref="T5" si="9">S5+1</f>
        <v>18</v>
      </c>
      <c r="U5" s="23">
        <f t="shared" ref="U5" si="10">T5+1</f>
        <v>19</v>
      </c>
      <c r="V5" s="23">
        <f t="shared" si="1"/>
        <v>20</v>
      </c>
      <c r="W5" s="23">
        <f t="shared" ref="W5" si="11">V5+1</f>
        <v>21</v>
      </c>
      <c r="X5" s="23">
        <f t="shared" ref="X5" si="12">W5+1</f>
        <v>22</v>
      </c>
      <c r="Y5" s="23">
        <f t="shared" ref="Y5" si="13">X5+1</f>
        <v>23</v>
      </c>
      <c r="Z5" s="23">
        <f t="shared" ref="Z5" si="14">Y5+1</f>
        <v>24</v>
      </c>
      <c r="AA5" s="23">
        <f t="shared" ref="AA5:AB5" si="15">Z5+1</f>
        <v>25</v>
      </c>
      <c r="AB5" s="23">
        <f t="shared" si="15"/>
        <v>26</v>
      </c>
      <c r="AC5" s="23">
        <f t="shared" ref="AC5" si="16">AB5+1</f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ref="AG5" si="17">AF5+1</f>
        <v>31</v>
      </c>
      <c r="AH5" s="23">
        <f t="shared" ref="AH5" si="18">AG5+1</f>
        <v>32</v>
      </c>
      <c r="AI5" s="23">
        <f t="shared" ref="AI5" si="19">AH5+1</f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2.1.14'!S3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990">
        <f>'[1]Oct midyear B.R. Charter'!K4</f>
        <v>0</v>
      </c>
      <c r="J7" s="210">
        <f>'[1]Feb midyear B.R. Charter'!K4</f>
        <v>0</v>
      </c>
      <c r="K7" s="211">
        <f>I7+J7</f>
        <v>0</v>
      </c>
      <c r="L7" s="350">
        <f t="shared" ref="L7:L38" si="20">H7+K7</f>
        <v>0</v>
      </c>
      <c r="M7" s="273">
        <f>-(0.25%*L7)</f>
        <v>0</v>
      </c>
      <c r="N7" s="350">
        <f>SUM(L7:M7)</f>
        <v>0</v>
      </c>
      <c r="O7" s="210">
        <v>0</v>
      </c>
      <c r="P7" s="350">
        <f t="shared" ref="P7:P71" si="21">SUM(N7:O7)</f>
        <v>0</v>
      </c>
      <c r="Q7" s="210">
        <f>'[2]Table 5C1M-B.R. Charter'!S7+'[14]Table 5C1M-B.R. Charter'!S7+(6*'[20]Table 5C1M-B.R. Charter'!S7)</f>
        <v>0</v>
      </c>
      <c r="R7" s="210">
        <f>P7-Q7</f>
        <v>0</v>
      </c>
      <c r="S7" s="350">
        <f t="shared" ref="S7:S38" si="22">ROUND(R7/$S$88,0)</f>
        <v>0</v>
      </c>
      <c r="T7" s="350">
        <f>+P7</f>
        <v>0</v>
      </c>
      <c r="U7" s="274">
        <f>'Table 5C1A-Madison Prep'!U7</f>
        <v>2424</v>
      </c>
      <c r="V7" s="327">
        <f t="shared" ref="V7:V38" si="23">C7*U7</f>
        <v>0</v>
      </c>
      <c r="W7" s="994">
        <f>'[1]Oct midyear B.R. Charter'!E4</f>
        <v>0</v>
      </c>
      <c r="X7" s="276">
        <f>W7*U7</f>
        <v>0</v>
      </c>
      <c r="Y7" s="883">
        <f>'[1]Feb midyear B.R. Charter'!E4</f>
        <v>0</v>
      </c>
      <c r="Z7" s="276">
        <f t="shared" ref="Z7:Z70" si="24">+U7*Y7*0.5</f>
        <v>0</v>
      </c>
      <c r="AA7" s="275">
        <f>+X7+Z7</f>
        <v>0</v>
      </c>
      <c r="AB7" s="323">
        <f>V7+AA7</f>
        <v>0</v>
      </c>
      <c r="AC7" s="278">
        <f>-(0.25%*AB7)</f>
        <v>0</v>
      </c>
      <c r="AD7" s="323">
        <f>SUM(AB7:AC7)</f>
        <v>0</v>
      </c>
      <c r="AE7" s="276">
        <v>0</v>
      </c>
      <c r="AF7" s="327">
        <f>SUM(AD7:AE7)</f>
        <v>0</v>
      </c>
      <c r="AG7" s="276">
        <f>'[2]Table 5C1M-B.R. Charter'!AI7+'[14]Table 5C1M-B.R. Charter'!AI7+(6*'[20]Table 5C1M-B.R. Charter'!AI7)</f>
        <v>0</v>
      </c>
      <c r="AH7" s="276">
        <f>AF7-AG7</f>
        <v>0</v>
      </c>
      <c r="AI7" s="327">
        <f t="shared" ref="AI7:AI38" si="25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26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2.1.14'!S4</f>
        <v>0</v>
      </c>
      <c r="D8" s="201">
        <f>+'Table 5C1A-Madison Prep'!D8</f>
        <v>6316.6266417386641</v>
      </c>
      <c r="E8" s="202">
        <f t="shared" ref="E8:E71" si="27">C8*D8</f>
        <v>0</v>
      </c>
      <c r="F8" s="202">
        <f>+'Table 5C1A-Madison Prep'!F8</f>
        <v>842.32</v>
      </c>
      <c r="G8" s="202">
        <f t="shared" ref="G8:G71" si="28">C8*F8</f>
        <v>0</v>
      </c>
      <c r="H8" s="345">
        <f t="shared" ref="H8:H71" si="29">E8+G8</f>
        <v>0</v>
      </c>
      <c r="I8" s="991">
        <f>'[1]Oct midyear B.R. Charter'!K5</f>
        <v>0</v>
      </c>
      <c r="J8" s="203">
        <f>'[1]Feb midyear B.R. Charter'!K5</f>
        <v>0</v>
      </c>
      <c r="K8" s="204">
        <f t="shared" ref="K8:K71" si="30">I8+J8</f>
        <v>0</v>
      </c>
      <c r="L8" s="351">
        <f t="shared" si="20"/>
        <v>0</v>
      </c>
      <c r="M8" s="286">
        <f t="shared" ref="M8:M71" si="31">-(0.25%*L8)</f>
        <v>0</v>
      </c>
      <c r="N8" s="351">
        <f t="shared" ref="N8:N71" si="32">SUM(L8:M8)</f>
        <v>0</v>
      </c>
      <c r="O8" s="203">
        <v>0</v>
      </c>
      <c r="P8" s="351">
        <f t="shared" si="21"/>
        <v>0</v>
      </c>
      <c r="Q8" s="203">
        <f>'[2]Table 5C1M-B.R. Charter'!S8+'[14]Table 5C1M-B.R. Charter'!S8+(6*'[20]Table 5C1M-B.R. Charter'!S8)</f>
        <v>0</v>
      </c>
      <c r="R8" s="203">
        <f t="shared" ref="R8:R71" si="33">P8-Q8</f>
        <v>0</v>
      </c>
      <c r="S8" s="351">
        <f t="shared" si="22"/>
        <v>0</v>
      </c>
      <c r="T8" s="351">
        <f t="shared" ref="T8:T71" si="34">+P8</f>
        <v>0</v>
      </c>
      <c r="U8" s="287">
        <f>'Table 5C1A-Madison Prep'!U8</f>
        <v>2786</v>
      </c>
      <c r="V8" s="328">
        <f t="shared" si="23"/>
        <v>0</v>
      </c>
      <c r="W8" s="995">
        <f>'[1]Oct midyear B.R. Charter'!E5</f>
        <v>0</v>
      </c>
      <c r="X8" s="290">
        <f t="shared" ref="X8:X71" si="35">W8*U8</f>
        <v>0</v>
      </c>
      <c r="Y8" s="289">
        <f>'[1]Feb midyear B.R. Charter'!E5</f>
        <v>0</v>
      </c>
      <c r="Z8" s="290">
        <f t="shared" si="24"/>
        <v>0</v>
      </c>
      <c r="AA8" s="288">
        <f t="shared" ref="AA8:AA71" si="36">+X8+Z8</f>
        <v>0</v>
      </c>
      <c r="AB8" s="324">
        <f t="shared" ref="AB8:AB71" si="37">V8+AA8</f>
        <v>0</v>
      </c>
      <c r="AC8" s="292">
        <f t="shared" ref="AC8:AC71" si="38">-(0.25%*AB8)</f>
        <v>0</v>
      </c>
      <c r="AD8" s="324">
        <f t="shared" ref="AD8:AD71" si="39">SUM(AB8:AC8)</f>
        <v>0</v>
      </c>
      <c r="AE8" s="290">
        <v>0</v>
      </c>
      <c r="AF8" s="328">
        <f t="shared" ref="AF8:AF71" si="40">SUM(AD8:AE8)</f>
        <v>0</v>
      </c>
      <c r="AG8" s="290">
        <f>'[2]Table 5C1M-B.R. Charter'!AI8+'[14]Table 5C1M-B.R. Charter'!AI8+(6*'[20]Table 5C1M-B.R. Charter'!AI8)</f>
        <v>0</v>
      </c>
      <c r="AH8" s="290">
        <f t="shared" ref="AH8:AH71" si="41">AF8-AG8</f>
        <v>0</v>
      </c>
      <c r="AI8" s="328">
        <f t="shared" si="25"/>
        <v>0</v>
      </c>
      <c r="AJ8" s="321">
        <f t="shared" ref="AJ8:AJ71" si="42">T8+AF8</f>
        <v>0</v>
      </c>
      <c r="AK8" s="342">
        <f t="shared" ref="AK8:AK38" si="43">S8+AI8</f>
        <v>0</v>
      </c>
      <c r="AM8" s="286">
        <v>0</v>
      </c>
      <c r="AN8" s="286">
        <f t="shared" ref="AN8:AN71" si="44">+AC8</f>
        <v>0</v>
      </c>
      <c r="AO8" s="286">
        <f t="shared" si="26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2.1.14'!S5</f>
        <v>1</v>
      </c>
      <c r="D9" s="201">
        <f>+'Table 5C1A-Madison Prep'!D9</f>
        <v>4155.1862027396819</v>
      </c>
      <c r="E9" s="202">
        <f t="shared" si="27"/>
        <v>4155.1862027396819</v>
      </c>
      <c r="F9" s="202">
        <f>+'Table 5C1A-Madison Prep'!F9</f>
        <v>596.84</v>
      </c>
      <c r="G9" s="202">
        <f t="shared" si="28"/>
        <v>596.84</v>
      </c>
      <c r="H9" s="345">
        <f t="shared" si="29"/>
        <v>4752.026202739682</v>
      </c>
      <c r="I9" s="991">
        <f>'[1]Oct midyear B.R. Charter'!K6</f>
        <v>0</v>
      </c>
      <c r="J9" s="203">
        <f>'[1]Feb midyear B.R. Charter'!K6</f>
        <v>0</v>
      </c>
      <c r="K9" s="204">
        <f t="shared" si="30"/>
        <v>0</v>
      </c>
      <c r="L9" s="351">
        <f t="shared" si="20"/>
        <v>4752.026202739682</v>
      </c>
      <c r="M9" s="286">
        <f t="shared" si="31"/>
        <v>-11.880065506849204</v>
      </c>
      <c r="N9" s="351">
        <f t="shared" si="32"/>
        <v>4740.1461372328331</v>
      </c>
      <c r="O9" s="203">
        <v>0</v>
      </c>
      <c r="P9" s="351">
        <f t="shared" si="21"/>
        <v>4740.1461372328331</v>
      </c>
      <c r="Q9" s="203">
        <f>'[2]Table 5C1M-B.R. Charter'!S9+'[14]Table 5C1M-B.R. Charter'!S9+(6*'[20]Table 5C1M-B.R. Charter'!S9)</f>
        <v>143</v>
      </c>
      <c r="R9" s="203">
        <f t="shared" si="33"/>
        <v>4597.1461372328331</v>
      </c>
      <c r="S9" s="351">
        <f t="shared" si="22"/>
        <v>1149</v>
      </c>
      <c r="T9" s="351">
        <f t="shared" si="34"/>
        <v>4740.1461372328331</v>
      </c>
      <c r="U9" s="287">
        <f>'Table 5C1A-Madison Prep'!U9</f>
        <v>5927</v>
      </c>
      <c r="V9" s="328">
        <f t="shared" si="23"/>
        <v>5927</v>
      </c>
      <c r="W9" s="995">
        <f>'[1]Oct midyear B.R. Charter'!E6</f>
        <v>0</v>
      </c>
      <c r="X9" s="290">
        <f t="shared" si="35"/>
        <v>0</v>
      </c>
      <c r="Y9" s="289">
        <f>'[1]Feb midyear B.R. Charter'!E6</f>
        <v>0</v>
      </c>
      <c r="Z9" s="290">
        <f t="shared" si="24"/>
        <v>0</v>
      </c>
      <c r="AA9" s="288">
        <f t="shared" si="36"/>
        <v>0</v>
      </c>
      <c r="AB9" s="324">
        <f t="shared" si="37"/>
        <v>5927</v>
      </c>
      <c r="AC9" s="292">
        <f t="shared" si="38"/>
        <v>-14.817500000000001</v>
      </c>
      <c r="AD9" s="324">
        <f t="shared" si="39"/>
        <v>5912.1824999999999</v>
      </c>
      <c r="AE9" s="290">
        <v>0</v>
      </c>
      <c r="AF9" s="328">
        <f t="shared" si="40"/>
        <v>5912.1824999999999</v>
      </c>
      <c r="AG9" s="290">
        <f>'[2]Table 5C1M-B.R. Charter'!AI9+'[14]Table 5C1M-B.R. Charter'!AI9+(6*'[20]Table 5C1M-B.R. Charter'!AI9)</f>
        <v>172</v>
      </c>
      <c r="AH9" s="290">
        <f t="shared" si="41"/>
        <v>5740.1824999999999</v>
      </c>
      <c r="AI9" s="328">
        <f t="shared" si="25"/>
        <v>1435</v>
      </c>
      <c r="AJ9" s="321">
        <f t="shared" si="42"/>
        <v>10652.328637232833</v>
      </c>
      <c r="AK9" s="342">
        <f t="shared" si="43"/>
        <v>2584</v>
      </c>
      <c r="AM9" s="286">
        <v>-14.425000000000001</v>
      </c>
      <c r="AN9" s="286">
        <f t="shared" si="44"/>
        <v>-14.817500000000001</v>
      </c>
      <c r="AO9" s="286">
        <f t="shared" si="26"/>
        <v>-0.39250000000000007</v>
      </c>
    </row>
    <row r="10" spans="1:41" ht="16.149999999999999" customHeight="1">
      <c r="A10" s="198">
        <v>4</v>
      </c>
      <c r="B10" s="199" t="s">
        <v>76</v>
      </c>
      <c r="C10" s="995">
        <f>+'Table 8 Membership 2.1.14'!S6</f>
        <v>0</v>
      </c>
      <c r="D10" s="201">
        <f>+'Table 5C1A-Madison Prep'!D10</f>
        <v>6119.0581446878568</v>
      </c>
      <c r="E10" s="202">
        <f t="shared" si="27"/>
        <v>0</v>
      </c>
      <c r="F10" s="202">
        <f>+'Table 5C1A-Madison Prep'!F10</f>
        <v>585.76</v>
      </c>
      <c r="G10" s="202">
        <f t="shared" si="28"/>
        <v>0</v>
      </c>
      <c r="H10" s="345">
        <f t="shared" si="29"/>
        <v>0</v>
      </c>
      <c r="I10" s="991">
        <f>'[1]Oct midyear B.R. Charter'!K7</f>
        <v>0</v>
      </c>
      <c r="J10" s="203">
        <f>'[1]Feb midyear B.R. Charter'!K7</f>
        <v>0</v>
      </c>
      <c r="K10" s="204">
        <f t="shared" si="30"/>
        <v>0</v>
      </c>
      <c r="L10" s="351">
        <f t="shared" si="20"/>
        <v>0</v>
      </c>
      <c r="M10" s="286">
        <f t="shared" si="31"/>
        <v>0</v>
      </c>
      <c r="N10" s="351">
        <f t="shared" si="32"/>
        <v>0</v>
      </c>
      <c r="O10" s="203">
        <v>0</v>
      </c>
      <c r="P10" s="351">
        <f t="shared" si="21"/>
        <v>0</v>
      </c>
      <c r="Q10" s="203">
        <f>'[2]Table 5C1M-B.R. Charter'!S10+'[14]Table 5C1M-B.R. Charter'!S10+(6*'[20]Table 5C1M-B.R. Charter'!S10)</f>
        <v>0</v>
      </c>
      <c r="R10" s="203">
        <f t="shared" si="33"/>
        <v>0</v>
      </c>
      <c r="S10" s="351">
        <f t="shared" si="22"/>
        <v>0</v>
      </c>
      <c r="T10" s="351">
        <f t="shared" si="34"/>
        <v>0</v>
      </c>
      <c r="U10" s="287">
        <f>'Table 5C1A-Madison Prep'!U10</f>
        <v>4203</v>
      </c>
      <c r="V10" s="328">
        <f t="shared" si="23"/>
        <v>0</v>
      </c>
      <c r="W10" s="995">
        <f>'[1]Oct midyear B.R. Charter'!E7</f>
        <v>0</v>
      </c>
      <c r="X10" s="290">
        <f t="shared" si="35"/>
        <v>0</v>
      </c>
      <c r="Y10" s="289">
        <f>'[1]Feb midyear B.R. Charter'!E7</f>
        <v>0</v>
      </c>
      <c r="Z10" s="290">
        <f t="shared" si="24"/>
        <v>0</v>
      </c>
      <c r="AA10" s="288">
        <f t="shared" si="36"/>
        <v>0</v>
      </c>
      <c r="AB10" s="324">
        <f t="shared" si="37"/>
        <v>0</v>
      </c>
      <c r="AC10" s="292">
        <f t="shared" si="38"/>
        <v>0</v>
      </c>
      <c r="AD10" s="324">
        <f t="shared" si="39"/>
        <v>0</v>
      </c>
      <c r="AE10" s="290">
        <v>0</v>
      </c>
      <c r="AF10" s="328">
        <f t="shared" si="40"/>
        <v>0</v>
      </c>
      <c r="AG10" s="290">
        <f>'[2]Table 5C1M-B.R. Charter'!AI10+'[14]Table 5C1M-B.R. Charter'!AI10+(6*'[20]Table 5C1M-B.R. Charter'!AI10)</f>
        <v>0</v>
      </c>
      <c r="AH10" s="290">
        <f t="shared" si="41"/>
        <v>0</v>
      </c>
      <c r="AI10" s="328">
        <f t="shared" si="25"/>
        <v>0</v>
      </c>
      <c r="AJ10" s="321">
        <f t="shared" si="42"/>
        <v>0</v>
      </c>
      <c r="AK10" s="342">
        <f t="shared" si="43"/>
        <v>0</v>
      </c>
      <c r="AM10" s="286">
        <v>0</v>
      </c>
      <c r="AN10" s="286">
        <f t="shared" si="44"/>
        <v>0</v>
      </c>
      <c r="AO10" s="286">
        <f t="shared" si="26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2.1.14'!S7</f>
        <v>0</v>
      </c>
      <c r="D11" s="194">
        <f>+'Table 5C1A-Madison Prep'!D11</f>
        <v>5268.940566009911</v>
      </c>
      <c r="E11" s="195">
        <f t="shared" si="27"/>
        <v>0</v>
      </c>
      <c r="F11" s="195">
        <f>+'Table 5C1A-Madison Prep'!F11</f>
        <v>555.91</v>
      </c>
      <c r="G11" s="195">
        <f t="shared" si="28"/>
        <v>0</v>
      </c>
      <c r="H11" s="346">
        <f t="shared" si="29"/>
        <v>0</v>
      </c>
      <c r="I11" s="992">
        <f>'[1]Oct midyear B.R. Charter'!K8</f>
        <v>0</v>
      </c>
      <c r="J11" s="196">
        <f>'[1]Feb midyear B.R. Charter'!K8</f>
        <v>0</v>
      </c>
      <c r="K11" s="197">
        <f t="shared" si="30"/>
        <v>0</v>
      </c>
      <c r="L11" s="352">
        <f t="shared" si="20"/>
        <v>0</v>
      </c>
      <c r="M11" s="296">
        <f t="shared" si="31"/>
        <v>0</v>
      </c>
      <c r="N11" s="352">
        <f t="shared" si="32"/>
        <v>0</v>
      </c>
      <c r="O11" s="196">
        <v>0</v>
      </c>
      <c r="P11" s="352">
        <f t="shared" si="21"/>
        <v>0</v>
      </c>
      <c r="Q11" s="196">
        <f>'[2]Table 5C1M-B.R. Charter'!S11+'[14]Table 5C1M-B.R. Charter'!S11+(6*'[20]Table 5C1M-B.R. Charter'!S11)</f>
        <v>0</v>
      </c>
      <c r="R11" s="196">
        <f t="shared" si="33"/>
        <v>0</v>
      </c>
      <c r="S11" s="352">
        <f t="shared" si="22"/>
        <v>0</v>
      </c>
      <c r="T11" s="352">
        <f t="shared" si="34"/>
        <v>0</v>
      </c>
      <c r="U11" s="281">
        <f>'Table 5C1A-Madison Prep'!U11</f>
        <v>1923</v>
      </c>
      <c r="V11" s="329">
        <f t="shared" si="23"/>
        <v>0</v>
      </c>
      <c r="W11" s="996">
        <f>'[1]Oct midyear B.R. Charter'!E8</f>
        <v>0</v>
      </c>
      <c r="X11" s="282">
        <f t="shared" si="35"/>
        <v>0</v>
      </c>
      <c r="Y11" s="884">
        <f>'[1]Feb midyear B.R. Charter'!E8</f>
        <v>0</v>
      </c>
      <c r="Z11" s="282">
        <f t="shared" si="24"/>
        <v>0</v>
      </c>
      <c r="AA11" s="283">
        <f t="shared" si="36"/>
        <v>0</v>
      </c>
      <c r="AB11" s="325">
        <f t="shared" si="37"/>
        <v>0</v>
      </c>
      <c r="AC11" s="298">
        <f t="shared" si="38"/>
        <v>0</v>
      </c>
      <c r="AD11" s="325">
        <f t="shared" si="39"/>
        <v>0</v>
      </c>
      <c r="AE11" s="282">
        <v>0</v>
      </c>
      <c r="AF11" s="329">
        <f t="shared" si="40"/>
        <v>0</v>
      </c>
      <c r="AG11" s="282">
        <f>'[2]Table 5C1M-B.R. Charter'!AI11+'[14]Table 5C1M-B.R. Charter'!AI11+(6*'[20]Table 5C1M-B.R. Charter'!AI11)</f>
        <v>0</v>
      </c>
      <c r="AH11" s="282">
        <f t="shared" si="41"/>
        <v>0</v>
      </c>
      <c r="AI11" s="329">
        <f t="shared" si="25"/>
        <v>0</v>
      </c>
      <c r="AJ11" s="338">
        <f t="shared" si="42"/>
        <v>0</v>
      </c>
      <c r="AK11" s="343">
        <f t="shared" si="43"/>
        <v>0</v>
      </c>
      <c r="AM11" s="296">
        <v>0</v>
      </c>
      <c r="AN11" s="296">
        <f t="shared" si="44"/>
        <v>0</v>
      </c>
      <c r="AO11" s="296">
        <f t="shared" si="26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2.1.14'!S8</f>
        <v>0</v>
      </c>
      <c r="D12" s="208">
        <f>+'Table 5C1A-Madison Prep'!D12</f>
        <v>5378.5086124955869</v>
      </c>
      <c r="E12" s="209">
        <f t="shared" si="27"/>
        <v>0</v>
      </c>
      <c r="F12" s="209">
        <f>+'Table 5C1A-Madison Prep'!F12</f>
        <v>545.4799999999999</v>
      </c>
      <c r="G12" s="209">
        <f t="shared" si="28"/>
        <v>0</v>
      </c>
      <c r="H12" s="344">
        <f t="shared" si="29"/>
        <v>0</v>
      </c>
      <c r="I12" s="990">
        <f>'[1]Oct midyear B.R. Charter'!K9</f>
        <v>0</v>
      </c>
      <c r="J12" s="210">
        <f>'[1]Feb midyear B.R. Charter'!K9</f>
        <v>0</v>
      </c>
      <c r="K12" s="211">
        <f t="shared" si="30"/>
        <v>0</v>
      </c>
      <c r="L12" s="350">
        <f t="shared" si="20"/>
        <v>0</v>
      </c>
      <c r="M12" s="273">
        <f t="shared" si="31"/>
        <v>0</v>
      </c>
      <c r="N12" s="350">
        <f t="shared" si="32"/>
        <v>0</v>
      </c>
      <c r="O12" s="210">
        <v>0</v>
      </c>
      <c r="P12" s="350">
        <f t="shared" si="21"/>
        <v>0</v>
      </c>
      <c r="Q12" s="210">
        <f>'[2]Table 5C1M-B.R. Charter'!S12+'[14]Table 5C1M-B.R. Charter'!S12+(6*'[20]Table 5C1M-B.R. Charter'!S12)</f>
        <v>0</v>
      </c>
      <c r="R12" s="210">
        <f t="shared" si="33"/>
        <v>0</v>
      </c>
      <c r="S12" s="350">
        <f t="shared" si="22"/>
        <v>0</v>
      </c>
      <c r="T12" s="350">
        <f t="shared" si="34"/>
        <v>0</v>
      </c>
      <c r="U12" s="274">
        <f>'Table 5C1A-Madison Prep'!U12</f>
        <v>4057</v>
      </c>
      <c r="V12" s="327">
        <f t="shared" si="23"/>
        <v>0</v>
      </c>
      <c r="W12" s="994">
        <f>'[1]Oct midyear B.R. Charter'!E9</f>
        <v>0</v>
      </c>
      <c r="X12" s="276">
        <f t="shared" si="35"/>
        <v>0</v>
      </c>
      <c r="Y12" s="883">
        <f>'[1]Feb midyear B.R. Charter'!E9</f>
        <v>0</v>
      </c>
      <c r="Z12" s="276">
        <f t="shared" si="24"/>
        <v>0</v>
      </c>
      <c r="AA12" s="275">
        <f t="shared" si="36"/>
        <v>0</v>
      </c>
      <c r="AB12" s="323">
        <f t="shared" si="37"/>
        <v>0</v>
      </c>
      <c r="AC12" s="278">
        <f t="shared" si="38"/>
        <v>0</v>
      </c>
      <c r="AD12" s="323">
        <f t="shared" si="39"/>
        <v>0</v>
      </c>
      <c r="AE12" s="276">
        <v>0</v>
      </c>
      <c r="AF12" s="327">
        <f t="shared" si="40"/>
        <v>0</v>
      </c>
      <c r="AG12" s="276">
        <f>'[2]Table 5C1M-B.R. Charter'!AI12+'[14]Table 5C1M-B.R. Charter'!AI12+(6*'[20]Table 5C1M-B.R. Charter'!AI12)</f>
        <v>0</v>
      </c>
      <c r="AH12" s="276">
        <f t="shared" si="41"/>
        <v>0</v>
      </c>
      <c r="AI12" s="327">
        <f t="shared" si="25"/>
        <v>0</v>
      </c>
      <c r="AJ12" s="337">
        <f t="shared" si="42"/>
        <v>0</v>
      </c>
      <c r="AK12" s="341">
        <f t="shared" si="43"/>
        <v>0</v>
      </c>
      <c r="AM12" s="273">
        <v>0</v>
      </c>
      <c r="AN12" s="273">
        <f t="shared" si="44"/>
        <v>0</v>
      </c>
      <c r="AO12" s="273">
        <f t="shared" si="26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2.1.14'!S9</f>
        <v>0</v>
      </c>
      <c r="D13" s="201">
        <f>+'Table 5C1A-Madison Prep'!D13</f>
        <v>2243.0031963470319</v>
      </c>
      <c r="E13" s="202">
        <f t="shared" si="27"/>
        <v>0</v>
      </c>
      <c r="F13" s="202">
        <f>+'Table 5C1A-Madison Prep'!F13</f>
        <v>756.91999999999985</v>
      </c>
      <c r="G13" s="202">
        <f t="shared" si="28"/>
        <v>0</v>
      </c>
      <c r="H13" s="345">
        <f t="shared" si="29"/>
        <v>0</v>
      </c>
      <c r="I13" s="991">
        <f>'[1]Oct midyear B.R. Charter'!K10</f>
        <v>0</v>
      </c>
      <c r="J13" s="203">
        <f>'[1]Feb midyear B.R. Charter'!K10</f>
        <v>0</v>
      </c>
      <c r="K13" s="204">
        <f t="shared" si="30"/>
        <v>0</v>
      </c>
      <c r="L13" s="351">
        <f t="shared" si="20"/>
        <v>0</v>
      </c>
      <c r="M13" s="286">
        <f t="shared" si="31"/>
        <v>0</v>
      </c>
      <c r="N13" s="351">
        <f t="shared" si="32"/>
        <v>0</v>
      </c>
      <c r="O13" s="203">
        <v>0</v>
      </c>
      <c r="P13" s="351">
        <f t="shared" si="21"/>
        <v>0</v>
      </c>
      <c r="Q13" s="203">
        <f>'[2]Table 5C1M-B.R. Charter'!S13+'[14]Table 5C1M-B.R. Charter'!S13+(6*'[20]Table 5C1M-B.R. Charter'!S13)</f>
        <v>0</v>
      </c>
      <c r="R13" s="203">
        <f t="shared" si="33"/>
        <v>0</v>
      </c>
      <c r="S13" s="351">
        <f t="shared" si="22"/>
        <v>0</v>
      </c>
      <c r="T13" s="351">
        <f t="shared" si="34"/>
        <v>0</v>
      </c>
      <c r="U13" s="287">
        <f>'Table 5C1A-Madison Prep'!U13</f>
        <v>12112</v>
      </c>
      <c r="V13" s="328">
        <f t="shared" si="23"/>
        <v>0</v>
      </c>
      <c r="W13" s="995">
        <f>'[1]Oct midyear B.R. Charter'!E10</f>
        <v>0</v>
      </c>
      <c r="X13" s="290">
        <f t="shared" si="35"/>
        <v>0</v>
      </c>
      <c r="Y13" s="289">
        <f>'[1]Feb midyear B.R. Charter'!E10</f>
        <v>0</v>
      </c>
      <c r="Z13" s="290">
        <f t="shared" si="24"/>
        <v>0</v>
      </c>
      <c r="AA13" s="288">
        <f t="shared" si="36"/>
        <v>0</v>
      </c>
      <c r="AB13" s="324">
        <f t="shared" si="37"/>
        <v>0</v>
      </c>
      <c r="AC13" s="292">
        <f t="shared" si="38"/>
        <v>0</v>
      </c>
      <c r="AD13" s="324">
        <f t="shared" si="39"/>
        <v>0</v>
      </c>
      <c r="AE13" s="290">
        <v>0</v>
      </c>
      <c r="AF13" s="328">
        <f t="shared" si="40"/>
        <v>0</v>
      </c>
      <c r="AG13" s="290">
        <f>'[2]Table 5C1M-B.R. Charter'!AI13+'[14]Table 5C1M-B.R. Charter'!AI13+(6*'[20]Table 5C1M-B.R. Charter'!AI13)</f>
        <v>0</v>
      </c>
      <c r="AH13" s="290">
        <f t="shared" si="41"/>
        <v>0</v>
      </c>
      <c r="AI13" s="328">
        <f t="shared" si="25"/>
        <v>0</v>
      </c>
      <c r="AJ13" s="321">
        <f t="shared" si="42"/>
        <v>0</v>
      </c>
      <c r="AK13" s="342">
        <f t="shared" si="43"/>
        <v>0</v>
      </c>
      <c r="AM13" s="286">
        <v>0</v>
      </c>
      <c r="AN13" s="286">
        <f t="shared" si="44"/>
        <v>0</v>
      </c>
      <c r="AO13" s="286">
        <f t="shared" si="26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2.1.14'!S10</f>
        <v>0</v>
      </c>
      <c r="D14" s="201">
        <f>+'Table 5C1A-Madison Prep'!D14</f>
        <v>4669.802459558854</v>
      </c>
      <c r="E14" s="202">
        <f t="shared" si="27"/>
        <v>0</v>
      </c>
      <c r="F14" s="202">
        <f>+'Table 5C1A-Madison Prep'!F14</f>
        <v>725.76</v>
      </c>
      <c r="G14" s="202">
        <f t="shared" si="28"/>
        <v>0</v>
      </c>
      <c r="H14" s="345">
        <f t="shared" si="29"/>
        <v>0</v>
      </c>
      <c r="I14" s="991">
        <f>'[1]Oct midyear B.R. Charter'!K11</f>
        <v>0</v>
      </c>
      <c r="J14" s="203">
        <f>'[1]Feb midyear B.R. Charter'!K11</f>
        <v>0</v>
      </c>
      <c r="K14" s="204">
        <f t="shared" si="30"/>
        <v>0</v>
      </c>
      <c r="L14" s="351">
        <f t="shared" si="20"/>
        <v>0</v>
      </c>
      <c r="M14" s="286">
        <f t="shared" si="31"/>
        <v>0</v>
      </c>
      <c r="N14" s="351">
        <f t="shared" si="32"/>
        <v>0</v>
      </c>
      <c r="O14" s="203">
        <v>0</v>
      </c>
      <c r="P14" s="351">
        <f t="shared" si="21"/>
        <v>0</v>
      </c>
      <c r="Q14" s="203">
        <f>'[2]Table 5C1M-B.R. Charter'!S14+'[14]Table 5C1M-B.R. Charter'!S14+(6*'[20]Table 5C1M-B.R. Charter'!S14)</f>
        <v>0</v>
      </c>
      <c r="R14" s="203">
        <f t="shared" si="33"/>
        <v>0</v>
      </c>
      <c r="S14" s="351">
        <f t="shared" si="22"/>
        <v>0</v>
      </c>
      <c r="T14" s="351">
        <f t="shared" si="34"/>
        <v>0</v>
      </c>
      <c r="U14" s="287">
        <f>'Table 5C1A-Madison Prep'!U14</f>
        <v>4124</v>
      </c>
      <c r="V14" s="328">
        <f t="shared" si="23"/>
        <v>0</v>
      </c>
      <c r="W14" s="995">
        <f>'[1]Oct midyear B.R. Charter'!E11</f>
        <v>0</v>
      </c>
      <c r="X14" s="290">
        <f t="shared" si="35"/>
        <v>0</v>
      </c>
      <c r="Y14" s="289">
        <f>'[1]Feb midyear B.R. Charter'!E11</f>
        <v>0</v>
      </c>
      <c r="Z14" s="290">
        <f t="shared" si="24"/>
        <v>0</v>
      </c>
      <c r="AA14" s="288">
        <f t="shared" si="36"/>
        <v>0</v>
      </c>
      <c r="AB14" s="324">
        <f t="shared" si="37"/>
        <v>0</v>
      </c>
      <c r="AC14" s="292">
        <f t="shared" si="38"/>
        <v>0</v>
      </c>
      <c r="AD14" s="324">
        <f t="shared" si="39"/>
        <v>0</v>
      </c>
      <c r="AE14" s="290">
        <v>0</v>
      </c>
      <c r="AF14" s="328">
        <f t="shared" si="40"/>
        <v>0</v>
      </c>
      <c r="AG14" s="290">
        <f>'[2]Table 5C1M-B.R. Charter'!AI14+'[14]Table 5C1M-B.R. Charter'!AI14+(6*'[20]Table 5C1M-B.R. Charter'!AI14)</f>
        <v>0</v>
      </c>
      <c r="AH14" s="290">
        <f t="shared" si="41"/>
        <v>0</v>
      </c>
      <c r="AI14" s="328">
        <f t="shared" si="25"/>
        <v>0</v>
      </c>
      <c r="AJ14" s="321">
        <f t="shared" si="42"/>
        <v>0</v>
      </c>
      <c r="AK14" s="342">
        <f t="shared" si="43"/>
        <v>0</v>
      </c>
      <c r="AM14" s="286">
        <v>0</v>
      </c>
      <c r="AN14" s="286">
        <f t="shared" si="44"/>
        <v>0</v>
      </c>
      <c r="AO14" s="286">
        <f t="shared" si="26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2.1.14'!S11</f>
        <v>0</v>
      </c>
      <c r="D15" s="201">
        <f>+'Table 5C1A-Madison Prep'!D15</f>
        <v>4632.4615072045008</v>
      </c>
      <c r="E15" s="202">
        <f t="shared" si="27"/>
        <v>0</v>
      </c>
      <c r="F15" s="202">
        <f>+'Table 5C1A-Madison Prep'!F15</f>
        <v>744.76</v>
      </c>
      <c r="G15" s="202">
        <f t="shared" si="28"/>
        <v>0</v>
      </c>
      <c r="H15" s="345">
        <f t="shared" si="29"/>
        <v>0</v>
      </c>
      <c r="I15" s="991">
        <f>'[1]Oct midyear B.R. Charter'!K12</f>
        <v>0</v>
      </c>
      <c r="J15" s="203">
        <f>'[1]Feb midyear B.R. Charter'!K12</f>
        <v>0</v>
      </c>
      <c r="K15" s="204">
        <f t="shared" si="30"/>
        <v>0</v>
      </c>
      <c r="L15" s="351">
        <f t="shared" si="20"/>
        <v>0</v>
      </c>
      <c r="M15" s="286">
        <f t="shared" si="31"/>
        <v>0</v>
      </c>
      <c r="N15" s="351">
        <f t="shared" si="32"/>
        <v>0</v>
      </c>
      <c r="O15" s="203">
        <v>0</v>
      </c>
      <c r="P15" s="351">
        <f t="shared" si="21"/>
        <v>0</v>
      </c>
      <c r="Q15" s="203">
        <f>'[2]Table 5C1M-B.R. Charter'!S15+'[14]Table 5C1M-B.R. Charter'!S15+(6*'[20]Table 5C1M-B.R. Charter'!S15)</f>
        <v>0</v>
      </c>
      <c r="R15" s="203">
        <f t="shared" si="33"/>
        <v>0</v>
      </c>
      <c r="S15" s="351">
        <f t="shared" si="22"/>
        <v>0</v>
      </c>
      <c r="T15" s="351">
        <f t="shared" si="34"/>
        <v>0</v>
      </c>
      <c r="U15" s="287">
        <f>'Table 5C1A-Madison Prep'!U15</f>
        <v>4901</v>
      </c>
      <c r="V15" s="328">
        <f t="shared" si="23"/>
        <v>0</v>
      </c>
      <c r="W15" s="995">
        <f>'[1]Oct midyear B.R. Charter'!E12</f>
        <v>0</v>
      </c>
      <c r="X15" s="290">
        <f t="shared" si="35"/>
        <v>0</v>
      </c>
      <c r="Y15" s="289">
        <f>'[1]Feb midyear B.R. Charter'!E12</f>
        <v>0</v>
      </c>
      <c r="Z15" s="290">
        <f t="shared" si="24"/>
        <v>0</v>
      </c>
      <c r="AA15" s="288">
        <f t="shared" si="36"/>
        <v>0</v>
      </c>
      <c r="AB15" s="324">
        <f t="shared" si="37"/>
        <v>0</v>
      </c>
      <c r="AC15" s="292">
        <f t="shared" si="38"/>
        <v>0</v>
      </c>
      <c r="AD15" s="324">
        <f t="shared" si="39"/>
        <v>0</v>
      </c>
      <c r="AE15" s="290">
        <v>0</v>
      </c>
      <c r="AF15" s="328">
        <f t="shared" si="40"/>
        <v>0</v>
      </c>
      <c r="AG15" s="290">
        <f>'[2]Table 5C1M-B.R. Charter'!AI15+'[14]Table 5C1M-B.R. Charter'!AI15+(6*'[20]Table 5C1M-B.R. Charter'!AI15)</f>
        <v>0</v>
      </c>
      <c r="AH15" s="290">
        <f t="shared" si="41"/>
        <v>0</v>
      </c>
      <c r="AI15" s="328">
        <f t="shared" si="25"/>
        <v>0</v>
      </c>
      <c r="AJ15" s="321">
        <f t="shared" si="42"/>
        <v>0</v>
      </c>
      <c r="AK15" s="342">
        <f t="shared" si="43"/>
        <v>0</v>
      </c>
      <c r="AM15" s="286">
        <v>0</v>
      </c>
      <c r="AN15" s="286">
        <f t="shared" si="44"/>
        <v>0</v>
      </c>
      <c r="AO15" s="286">
        <f t="shared" si="26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2.1.14'!S12</f>
        <v>0</v>
      </c>
      <c r="D16" s="194">
        <f>+'Table 5C1A-Madison Prep'!D16</f>
        <v>4384.374733918472</v>
      </c>
      <c r="E16" s="195">
        <f t="shared" si="27"/>
        <v>0</v>
      </c>
      <c r="F16" s="195">
        <f>+'Table 5C1A-Madison Prep'!F16</f>
        <v>608.04000000000008</v>
      </c>
      <c r="G16" s="195">
        <f t="shared" si="28"/>
        <v>0</v>
      </c>
      <c r="H16" s="346">
        <f t="shared" si="29"/>
        <v>0</v>
      </c>
      <c r="I16" s="992">
        <f>'[1]Oct midyear B.R. Charter'!K13</f>
        <v>0</v>
      </c>
      <c r="J16" s="196">
        <f>'[1]Feb midyear B.R. Charter'!K13</f>
        <v>0</v>
      </c>
      <c r="K16" s="197">
        <f t="shared" si="30"/>
        <v>0</v>
      </c>
      <c r="L16" s="352">
        <f t="shared" si="20"/>
        <v>0</v>
      </c>
      <c r="M16" s="296">
        <f t="shared" si="31"/>
        <v>0</v>
      </c>
      <c r="N16" s="352">
        <f t="shared" si="32"/>
        <v>0</v>
      </c>
      <c r="O16" s="196">
        <v>0</v>
      </c>
      <c r="P16" s="352">
        <f t="shared" si="21"/>
        <v>0</v>
      </c>
      <c r="Q16" s="196">
        <f>'[2]Table 5C1M-B.R. Charter'!S16+'[14]Table 5C1M-B.R. Charter'!S16+(6*'[20]Table 5C1M-B.R. Charter'!S16)</f>
        <v>0</v>
      </c>
      <c r="R16" s="196">
        <f t="shared" si="33"/>
        <v>0</v>
      </c>
      <c r="S16" s="352">
        <f t="shared" si="22"/>
        <v>0</v>
      </c>
      <c r="T16" s="352">
        <f t="shared" si="34"/>
        <v>0</v>
      </c>
      <c r="U16" s="281">
        <f>'Table 5C1A-Madison Prep'!U16</f>
        <v>4619</v>
      </c>
      <c r="V16" s="329">
        <f t="shared" si="23"/>
        <v>0</v>
      </c>
      <c r="W16" s="996">
        <f>'[1]Oct midyear B.R. Charter'!E13</f>
        <v>0</v>
      </c>
      <c r="X16" s="282">
        <f t="shared" si="35"/>
        <v>0</v>
      </c>
      <c r="Y16" s="884">
        <f>'[1]Feb midyear B.R. Charter'!E13</f>
        <v>0</v>
      </c>
      <c r="Z16" s="282">
        <f t="shared" si="24"/>
        <v>0</v>
      </c>
      <c r="AA16" s="283">
        <f t="shared" si="36"/>
        <v>0</v>
      </c>
      <c r="AB16" s="325">
        <f t="shared" si="37"/>
        <v>0</v>
      </c>
      <c r="AC16" s="298">
        <f t="shared" si="38"/>
        <v>0</v>
      </c>
      <c r="AD16" s="325">
        <f t="shared" si="39"/>
        <v>0</v>
      </c>
      <c r="AE16" s="282">
        <v>0</v>
      </c>
      <c r="AF16" s="329">
        <f t="shared" si="40"/>
        <v>0</v>
      </c>
      <c r="AG16" s="282">
        <f>'[2]Table 5C1M-B.R. Charter'!AI16+'[14]Table 5C1M-B.R. Charter'!AI16+(6*'[20]Table 5C1M-B.R. Charter'!AI16)</f>
        <v>0</v>
      </c>
      <c r="AH16" s="282">
        <f t="shared" si="41"/>
        <v>0</v>
      </c>
      <c r="AI16" s="329">
        <f t="shared" si="25"/>
        <v>0</v>
      </c>
      <c r="AJ16" s="338">
        <f t="shared" si="42"/>
        <v>0</v>
      </c>
      <c r="AK16" s="343">
        <f t="shared" si="43"/>
        <v>0</v>
      </c>
      <c r="AM16" s="296">
        <v>0</v>
      </c>
      <c r="AN16" s="296">
        <f t="shared" si="44"/>
        <v>0</v>
      </c>
      <c r="AO16" s="296">
        <f t="shared" si="26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2.1.14'!S13</f>
        <v>0</v>
      </c>
      <c r="D17" s="208">
        <f>+'Table 5C1A-Madison Prep'!D17</f>
        <v>7098.5372236353351</v>
      </c>
      <c r="E17" s="209">
        <f t="shared" si="27"/>
        <v>0</v>
      </c>
      <c r="F17" s="209">
        <f>+'Table 5C1A-Madison Prep'!F17</f>
        <v>706.55</v>
      </c>
      <c r="G17" s="209">
        <f t="shared" si="28"/>
        <v>0</v>
      </c>
      <c r="H17" s="344">
        <f t="shared" si="29"/>
        <v>0</v>
      </c>
      <c r="I17" s="990">
        <f>'[1]Oct midyear B.R. Charter'!K14</f>
        <v>0</v>
      </c>
      <c r="J17" s="210">
        <f>'[1]Feb midyear B.R. Charter'!K14</f>
        <v>0</v>
      </c>
      <c r="K17" s="211">
        <f t="shared" si="30"/>
        <v>0</v>
      </c>
      <c r="L17" s="350">
        <f t="shared" si="20"/>
        <v>0</v>
      </c>
      <c r="M17" s="273">
        <f t="shared" si="31"/>
        <v>0</v>
      </c>
      <c r="N17" s="350">
        <f t="shared" si="32"/>
        <v>0</v>
      </c>
      <c r="O17" s="210">
        <v>0</v>
      </c>
      <c r="P17" s="350">
        <f t="shared" si="21"/>
        <v>0</v>
      </c>
      <c r="Q17" s="210">
        <f>'[2]Table 5C1M-B.R. Charter'!S17+'[14]Table 5C1M-B.R. Charter'!S17+(6*'[20]Table 5C1M-B.R. Charter'!S17)</f>
        <v>0</v>
      </c>
      <c r="R17" s="210">
        <f t="shared" si="33"/>
        <v>0</v>
      </c>
      <c r="S17" s="350">
        <f t="shared" si="22"/>
        <v>0</v>
      </c>
      <c r="T17" s="350">
        <f t="shared" si="34"/>
        <v>0</v>
      </c>
      <c r="U17" s="274">
        <f>'Table 5C1A-Madison Prep'!U17</f>
        <v>3580</v>
      </c>
      <c r="V17" s="327">
        <f t="shared" si="23"/>
        <v>0</v>
      </c>
      <c r="W17" s="994">
        <f>'[1]Oct midyear B.R. Charter'!E14</f>
        <v>0</v>
      </c>
      <c r="X17" s="276">
        <f t="shared" si="35"/>
        <v>0</v>
      </c>
      <c r="Y17" s="883">
        <f>'[1]Feb midyear B.R. Charter'!E14</f>
        <v>0</v>
      </c>
      <c r="Z17" s="276">
        <f t="shared" si="24"/>
        <v>0</v>
      </c>
      <c r="AA17" s="275">
        <f t="shared" si="36"/>
        <v>0</v>
      </c>
      <c r="AB17" s="323">
        <f t="shared" si="37"/>
        <v>0</v>
      </c>
      <c r="AC17" s="278">
        <f t="shared" si="38"/>
        <v>0</v>
      </c>
      <c r="AD17" s="323">
        <f t="shared" si="39"/>
        <v>0</v>
      </c>
      <c r="AE17" s="276">
        <v>0</v>
      </c>
      <c r="AF17" s="327">
        <f t="shared" si="40"/>
        <v>0</v>
      </c>
      <c r="AG17" s="276">
        <f>'[2]Table 5C1M-B.R. Charter'!AI17+'[14]Table 5C1M-B.R. Charter'!AI17+(6*'[20]Table 5C1M-B.R. Charter'!AI17)</f>
        <v>0</v>
      </c>
      <c r="AH17" s="276">
        <f t="shared" si="41"/>
        <v>0</v>
      </c>
      <c r="AI17" s="327">
        <f t="shared" si="25"/>
        <v>0</v>
      </c>
      <c r="AJ17" s="337">
        <f t="shared" si="42"/>
        <v>0</v>
      </c>
      <c r="AK17" s="341">
        <f t="shared" si="43"/>
        <v>0</v>
      </c>
      <c r="AM17" s="273">
        <v>0</v>
      </c>
      <c r="AN17" s="273">
        <f t="shared" si="44"/>
        <v>0</v>
      </c>
      <c r="AO17" s="273">
        <f t="shared" si="26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2.1.14'!S14</f>
        <v>0</v>
      </c>
      <c r="D18" s="201">
        <f>+'Table 5C1A-Madison Prep'!D18</f>
        <v>1666.6040983606558</v>
      </c>
      <c r="E18" s="202">
        <f t="shared" si="27"/>
        <v>0</v>
      </c>
      <c r="F18" s="202">
        <f>+'Table 5C1A-Madison Prep'!F18</f>
        <v>1063.31</v>
      </c>
      <c r="G18" s="202">
        <f t="shared" si="28"/>
        <v>0</v>
      </c>
      <c r="H18" s="345">
        <f t="shared" si="29"/>
        <v>0</v>
      </c>
      <c r="I18" s="991">
        <f>'[1]Oct midyear B.R. Charter'!K15</f>
        <v>0</v>
      </c>
      <c r="J18" s="203">
        <f>'[1]Feb midyear B.R. Charter'!K15</f>
        <v>0</v>
      </c>
      <c r="K18" s="204">
        <f t="shared" si="30"/>
        <v>0</v>
      </c>
      <c r="L18" s="351">
        <f t="shared" si="20"/>
        <v>0</v>
      </c>
      <c r="M18" s="286">
        <f t="shared" si="31"/>
        <v>0</v>
      </c>
      <c r="N18" s="351">
        <f t="shared" si="32"/>
        <v>0</v>
      </c>
      <c r="O18" s="203">
        <v>0</v>
      </c>
      <c r="P18" s="351">
        <f t="shared" si="21"/>
        <v>0</v>
      </c>
      <c r="Q18" s="203">
        <f>'[2]Table 5C1M-B.R. Charter'!S18+'[14]Table 5C1M-B.R. Charter'!S18+(6*'[20]Table 5C1M-B.R. Charter'!S18)</f>
        <v>0</v>
      </c>
      <c r="R18" s="203">
        <f t="shared" si="33"/>
        <v>0</v>
      </c>
      <c r="S18" s="351">
        <f t="shared" si="22"/>
        <v>0</v>
      </c>
      <c r="T18" s="351">
        <f t="shared" si="34"/>
        <v>0</v>
      </c>
      <c r="U18" s="287">
        <f>'Table 5C1A-Madison Prep'!U18</f>
        <v>8094</v>
      </c>
      <c r="V18" s="328">
        <f t="shared" si="23"/>
        <v>0</v>
      </c>
      <c r="W18" s="995">
        <f>'[1]Oct midyear B.R. Charter'!E15</f>
        <v>0</v>
      </c>
      <c r="X18" s="290">
        <f t="shared" si="35"/>
        <v>0</v>
      </c>
      <c r="Y18" s="289">
        <f>'[1]Feb midyear B.R. Charter'!E15</f>
        <v>0</v>
      </c>
      <c r="Z18" s="290">
        <f t="shared" si="24"/>
        <v>0</v>
      </c>
      <c r="AA18" s="288">
        <f t="shared" si="36"/>
        <v>0</v>
      </c>
      <c r="AB18" s="324">
        <f t="shared" si="37"/>
        <v>0</v>
      </c>
      <c r="AC18" s="292">
        <f t="shared" si="38"/>
        <v>0</v>
      </c>
      <c r="AD18" s="324">
        <f t="shared" si="39"/>
        <v>0</v>
      </c>
      <c r="AE18" s="290">
        <v>0</v>
      </c>
      <c r="AF18" s="328">
        <f t="shared" si="40"/>
        <v>0</v>
      </c>
      <c r="AG18" s="290">
        <f>'[2]Table 5C1M-B.R. Charter'!AI18+'[14]Table 5C1M-B.R. Charter'!AI18+(6*'[20]Table 5C1M-B.R. Charter'!AI18)</f>
        <v>0</v>
      </c>
      <c r="AH18" s="290">
        <f t="shared" si="41"/>
        <v>0</v>
      </c>
      <c r="AI18" s="328">
        <f t="shared" si="25"/>
        <v>0</v>
      </c>
      <c r="AJ18" s="321">
        <f t="shared" si="42"/>
        <v>0</v>
      </c>
      <c r="AK18" s="342">
        <f t="shared" si="43"/>
        <v>0</v>
      </c>
      <c r="AM18" s="286">
        <v>0</v>
      </c>
      <c r="AN18" s="286">
        <f t="shared" si="44"/>
        <v>0</v>
      </c>
      <c r="AO18" s="286">
        <f t="shared" si="26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2.1.14'!S15</f>
        <v>0</v>
      </c>
      <c r="D19" s="201">
        <f>+'Table 5C1A-Madison Prep'!D19</f>
        <v>6433.6297758332212</v>
      </c>
      <c r="E19" s="202">
        <f t="shared" si="27"/>
        <v>0</v>
      </c>
      <c r="F19" s="202">
        <f>+'Table 5C1A-Madison Prep'!F19</f>
        <v>749.43000000000006</v>
      </c>
      <c r="G19" s="202">
        <f t="shared" si="28"/>
        <v>0</v>
      </c>
      <c r="H19" s="345">
        <f t="shared" si="29"/>
        <v>0</v>
      </c>
      <c r="I19" s="991">
        <f>'[1]Oct midyear B.R. Charter'!K16</f>
        <v>0</v>
      </c>
      <c r="J19" s="203">
        <f>'[1]Feb midyear B.R. Charter'!K16</f>
        <v>0</v>
      </c>
      <c r="K19" s="204">
        <f t="shared" si="30"/>
        <v>0</v>
      </c>
      <c r="L19" s="351">
        <f t="shared" si="20"/>
        <v>0</v>
      </c>
      <c r="M19" s="286">
        <f t="shared" si="31"/>
        <v>0</v>
      </c>
      <c r="N19" s="351">
        <f t="shared" si="32"/>
        <v>0</v>
      </c>
      <c r="O19" s="203">
        <v>0</v>
      </c>
      <c r="P19" s="351">
        <f t="shared" si="21"/>
        <v>0</v>
      </c>
      <c r="Q19" s="203">
        <f>'[2]Table 5C1M-B.R. Charter'!S19+'[14]Table 5C1M-B.R. Charter'!S19+(6*'[20]Table 5C1M-B.R. Charter'!S19)</f>
        <v>0</v>
      </c>
      <c r="R19" s="203">
        <f t="shared" si="33"/>
        <v>0</v>
      </c>
      <c r="S19" s="351">
        <f t="shared" si="22"/>
        <v>0</v>
      </c>
      <c r="T19" s="351">
        <f t="shared" si="34"/>
        <v>0</v>
      </c>
      <c r="U19" s="287">
        <f>'Table 5C1A-Madison Prep'!U19</f>
        <v>2762</v>
      </c>
      <c r="V19" s="328">
        <f t="shared" si="23"/>
        <v>0</v>
      </c>
      <c r="W19" s="995">
        <f>'[1]Oct midyear B.R. Charter'!E16</f>
        <v>0</v>
      </c>
      <c r="X19" s="290">
        <f t="shared" si="35"/>
        <v>0</v>
      </c>
      <c r="Y19" s="289">
        <f>'[1]Feb midyear B.R. Charter'!E16</f>
        <v>0</v>
      </c>
      <c r="Z19" s="290">
        <f t="shared" si="24"/>
        <v>0</v>
      </c>
      <c r="AA19" s="288">
        <f t="shared" si="36"/>
        <v>0</v>
      </c>
      <c r="AB19" s="324">
        <f t="shared" si="37"/>
        <v>0</v>
      </c>
      <c r="AC19" s="292">
        <f t="shared" si="38"/>
        <v>0</v>
      </c>
      <c r="AD19" s="324">
        <f t="shared" si="39"/>
        <v>0</v>
      </c>
      <c r="AE19" s="290">
        <v>0</v>
      </c>
      <c r="AF19" s="328">
        <f t="shared" si="40"/>
        <v>0</v>
      </c>
      <c r="AG19" s="290">
        <f>'[2]Table 5C1M-B.R. Charter'!AI19+'[14]Table 5C1M-B.R. Charter'!AI19+(6*'[20]Table 5C1M-B.R. Charter'!AI19)</f>
        <v>0</v>
      </c>
      <c r="AH19" s="290">
        <f t="shared" si="41"/>
        <v>0</v>
      </c>
      <c r="AI19" s="328">
        <f t="shared" si="25"/>
        <v>0</v>
      </c>
      <c r="AJ19" s="321">
        <f t="shared" si="42"/>
        <v>0</v>
      </c>
      <c r="AK19" s="342">
        <f t="shared" si="43"/>
        <v>0</v>
      </c>
      <c r="AM19" s="286">
        <v>0</v>
      </c>
      <c r="AN19" s="286">
        <f t="shared" si="44"/>
        <v>0</v>
      </c>
      <c r="AO19" s="286">
        <f t="shared" si="26"/>
        <v>0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2.1.14'!S16</f>
        <v>0</v>
      </c>
      <c r="D20" s="201">
        <f>+'Table 5C1A-Madison Prep'!D20</f>
        <v>5334.9509412500001</v>
      </c>
      <c r="E20" s="202">
        <f t="shared" si="27"/>
        <v>0</v>
      </c>
      <c r="F20" s="202">
        <f>+'Table 5C1A-Madison Prep'!F20</f>
        <v>809.9799999999999</v>
      </c>
      <c r="G20" s="202">
        <f t="shared" si="28"/>
        <v>0</v>
      </c>
      <c r="H20" s="345">
        <f t="shared" si="29"/>
        <v>0</v>
      </c>
      <c r="I20" s="991">
        <f>'[1]Oct midyear B.R. Charter'!K17</f>
        <v>0</v>
      </c>
      <c r="J20" s="203">
        <f>'[1]Feb midyear B.R. Charter'!K17</f>
        <v>0</v>
      </c>
      <c r="K20" s="204">
        <f t="shared" si="30"/>
        <v>0</v>
      </c>
      <c r="L20" s="351">
        <f t="shared" si="20"/>
        <v>0</v>
      </c>
      <c r="M20" s="286">
        <f t="shared" si="31"/>
        <v>0</v>
      </c>
      <c r="N20" s="351">
        <f t="shared" si="32"/>
        <v>0</v>
      </c>
      <c r="O20" s="203">
        <v>0</v>
      </c>
      <c r="P20" s="351">
        <f t="shared" si="21"/>
        <v>0</v>
      </c>
      <c r="Q20" s="203">
        <f>'[2]Table 5C1M-B.R. Charter'!S20+'[14]Table 5C1M-B.R. Charter'!S20+(6*'[20]Table 5C1M-B.R. Charter'!S20)</f>
        <v>0</v>
      </c>
      <c r="R20" s="203">
        <f t="shared" si="33"/>
        <v>0</v>
      </c>
      <c r="S20" s="351">
        <f t="shared" si="22"/>
        <v>0</v>
      </c>
      <c r="T20" s="351">
        <f t="shared" si="34"/>
        <v>0</v>
      </c>
      <c r="U20" s="287">
        <f>'Table 5C1A-Madison Prep'!U20</f>
        <v>4171</v>
      </c>
      <c r="V20" s="328">
        <f t="shared" si="23"/>
        <v>0</v>
      </c>
      <c r="W20" s="995">
        <f>'[1]Oct midyear B.R. Charter'!E17</f>
        <v>0</v>
      </c>
      <c r="X20" s="290">
        <f t="shared" si="35"/>
        <v>0</v>
      </c>
      <c r="Y20" s="289">
        <f>'[1]Feb midyear B.R. Charter'!E17</f>
        <v>0</v>
      </c>
      <c r="Z20" s="290">
        <f t="shared" si="24"/>
        <v>0</v>
      </c>
      <c r="AA20" s="288">
        <f t="shared" si="36"/>
        <v>0</v>
      </c>
      <c r="AB20" s="324">
        <f t="shared" si="37"/>
        <v>0</v>
      </c>
      <c r="AC20" s="292">
        <f t="shared" si="38"/>
        <v>0</v>
      </c>
      <c r="AD20" s="324">
        <f t="shared" si="39"/>
        <v>0</v>
      </c>
      <c r="AE20" s="290">
        <v>0</v>
      </c>
      <c r="AF20" s="328">
        <f t="shared" si="40"/>
        <v>0</v>
      </c>
      <c r="AG20" s="290">
        <f>'[2]Table 5C1M-B.R. Charter'!AI20+'[14]Table 5C1M-B.R. Charter'!AI20+(6*'[20]Table 5C1M-B.R. Charter'!AI20)</f>
        <v>0</v>
      </c>
      <c r="AH20" s="290">
        <f t="shared" si="41"/>
        <v>0</v>
      </c>
      <c r="AI20" s="328">
        <f t="shared" si="25"/>
        <v>0</v>
      </c>
      <c r="AJ20" s="321">
        <f t="shared" si="42"/>
        <v>0</v>
      </c>
      <c r="AK20" s="342">
        <f t="shared" si="43"/>
        <v>0</v>
      </c>
      <c r="AM20" s="286">
        <v>0</v>
      </c>
      <c r="AN20" s="286">
        <f t="shared" si="44"/>
        <v>0</v>
      </c>
      <c r="AO20" s="286">
        <f t="shared" si="26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2.1.14'!S17</f>
        <v>0</v>
      </c>
      <c r="D21" s="194">
        <f>+'Table 5C1A-Madison Prep'!D21</f>
        <v>5749.8285214059952</v>
      </c>
      <c r="E21" s="195">
        <f t="shared" si="27"/>
        <v>0</v>
      </c>
      <c r="F21" s="195">
        <f>+'Table 5C1A-Madison Prep'!F21</f>
        <v>553.79999999999995</v>
      </c>
      <c r="G21" s="195">
        <f t="shared" si="28"/>
        <v>0</v>
      </c>
      <c r="H21" s="346">
        <f t="shared" si="29"/>
        <v>0</v>
      </c>
      <c r="I21" s="992">
        <f>'[1]Oct midyear B.R. Charter'!K18</f>
        <v>0</v>
      </c>
      <c r="J21" s="196">
        <f>'[1]Feb midyear B.R. Charter'!K18</f>
        <v>0</v>
      </c>
      <c r="K21" s="197">
        <f t="shared" si="30"/>
        <v>0</v>
      </c>
      <c r="L21" s="352">
        <f t="shared" si="20"/>
        <v>0</v>
      </c>
      <c r="M21" s="296">
        <f t="shared" si="31"/>
        <v>0</v>
      </c>
      <c r="N21" s="352">
        <f t="shared" si="32"/>
        <v>0</v>
      </c>
      <c r="O21" s="196">
        <v>0</v>
      </c>
      <c r="P21" s="352">
        <f t="shared" si="21"/>
        <v>0</v>
      </c>
      <c r="Q21" s="196">
        <f>'[2]Table 5C1M-B.R. Charter'!S21+'[14]Table 5C1M-B.R. Charter'!S21+(6*'[20]Table 5C1M-B.R. Charter'!S21)</f>
        <v>0</v>
      </c>
      <c r="R21" s="196">
        <f t="shared" si="33"/>
        <v>0</v>
      </c>
      <c r="S21" s="352">
        <f t="shared" si="22"/>
        <v>0</v>
      </c>
      <c r="T21" s="352">
        <f t="shared" si="34"/>
        <v>0</v>
      </c>
      <c r="U21" s="281">
        <f>'Table 5C1A-Madison Prep'!U21</f>
        <v>2880</v>
      </c>
      <c r="V21" s="329">
        <f t="shared" si="23"/>
        <v>0</v>
      </c>
      <c r="W21" s="996">
        <f>'[1]Oct midyear B.R. Charter'!E18</f>
        <v>0</v>
      </c>
      <c r="X21" s="282">
        <f t="shared" si="35"/>
        <v>0</v>
      </c>
      <c r="Y21" s="884">
        <f>'[1]Feb midyear B.R. Charter'!E18</f>
        <v>0</v>
      </c>
      <c r="Z21" s="282">
        <f t="shared" si="24"/>
        <v>0</v>
      </c>
      <c r="AA21" s="283">
        <f t="shared" si="36"/>
        <v>0</v>
      </c>
      <c r="AB21" s="325">
        <f t="shared" si="37"/>
        <v>0</v>
      </c>
      <c r="AC21" s="298">
        <f t="shared" si="38"/>
        <v>0</v>
      </c>
      <c r="AD21" s="325">
        <f t="shared" si="39"/>
        <v>0</v>
      </c>
      <c r="AE21" s="282">
        <v>0</v>
      </c>
      <c r="AF21" s="329">
        <f t="shared" si="40"/>
        <v>0</v>
      </c>
      <c r="AG21" s="282">
        <f>'[2]Table 5C1M-B.R. Charter'!AI21+'[14]Table 5C1M-B.R. Charter'!AI21+(6*'[20]Table 5C1M-B.R. Charter'!AI21)</f>
        <v>0</v>
      </c>
      <c r="AH21" s="282">
        <f t="shared" si="41"/>
        <v>0</v>
      </c>
      <c r="AI21" s="329">
        <f t="shared" si="25"/>
        <v>0</v>
      </c>
      <c r="AJ21" s="338">
        <f t="shared" si="42"/>
        <v>0</v>
      </c>
      <c r="AK21" s="343">
        <f t="shared" si="43"/>
        <v>0</v>
      </c>
      <c r="AM21" s="296">
        <v>0</v>
      </c>
      <c r="AN21" s="296">
        <f t="shared" si="44"/>
        <v>0</v>
      </c>
      <c r="AO21" s="296">
        <f t="shared" si="26"/>
        <v>0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2.1.14'!S18</f>
        <v>0</v>
      </c>
      <c r="D22" s="208">
        <f>+'Table 5C1A-Madison Prep'!D22</f>
        <v>1980.2494354342025</v>
      </c>
      <c r="E22" s="209">
        <f t="shared" si="27"/>
        <v>0</v>
      </c>
      <c r="F22" s="209">
        <f>+'Table 5C1A-Madison Prep'!F22</f>
        <v>686.73</v>
      </c>
      <c r="G22" s="209">
        <f t="shared" si="28"/>
        <v>0</v>
      </c>
      <c r="H22" s="344">
        <f t="shared" si="29"/>
        <v>0</v>
      </c>
      <c r="I22" s="990">
        <f>'[1]Oct midyear B.R. Charter'!K19</f>
        <v>0</v>
      </c>
      <c r="J22" s="210">
        <f>'[1]Feb midyear B.R. Charter'!K19</f>
        <v>0</v>
      </c>
      <c r="K22" s="211">
        <f t="shared" si="30"/>
        <v>0</v>
      </c>
      <c r="L22" s="350">
        <f t="shared" si="20"/>
        <v>0</v>
      </c>
      <c r="M22" s="273">
        <f t="shared" si="31"/>
        <v>0</v>
      </c>
      <c r="N22" s="350">
        <f t="shared" si="32"/>
        <v>0</v>
      </c>
      <c r="O22" s="210">
        <v>0</v>
      </c>
      <c r="P22" s="350">
        <f t="shared" si="21"/>
        <v>0</v>
      </c>
      <c r="Q22" s="210">
        <f>'[2]Table 5C1M-B.R. Charter'!S22+'[14]Table 5C1M-B.R. Charter'!S22+(6*'[20]Table 5C1M-B.R. Charter'!S22)</f>
        <v>0</v>
      </c>
      <c r="R22" s="210">
        <f t="shared" si="33"/>
        <v>0</v>
      </c>
      <c r="S22" s="350">
        <f t="shared" si="22"/>
        <v>0</v>
      </c>
      <c r="T22" s="350">
        <f t="shared" si="34"/>
        <v>0</v>
      </c>
      <c r="U22" s="274">
        <f>'Table 5C1A-Madison Prep'!U22</f>
        <v>13021</v>
      </c>
      <c r="V22" s="327">
        <f t="shared" si="23"/>
        <v>0</v>
      </c>
      <c r="W22" s="994">
        <f>'[1]Oct midyear B.R. Charter'!E19</f>
        <v>0</v>
      </c>
      <c r="X22" s="276">
        <f t="shared" si="35"/>
        <v>0</v>
      </c>
      <c r="Y22" s="883">
        <f>'[1]Feb midyear B.R. Charter'!E19</f>
        <v>0</v>
      </c>
      <c r="Z22" s="276">
        <f t="shared" si="24"/>
        <v>0</v>
      </c>
      <c r="AA22" s="275">
        <f t="shared" si="36"/>
        <v>0</v>
      </c>
      <c r="AB22" s="323">
        <f t="shared" si="37"/>
        <v>0</v>
      </c>
      <c r="AC22" s="278">
        <f t="shared" si="38"/>
        <v>0</v>
      </c>
      <c r="AD22" s="323">
        <f t="shared" si="39"/>
        <v>0</v>
      </c>
      <c r="AE22" s="276">
        <v>0</v>
      </c>
      <c r="AF22" s="327">
        <f t="shared" si="40"/>
        <v>0</v>
      </c>
      <c r="AG22" s="276">
        <f>'[2]Table 5C1M-B.R. Charter'!AI22+'[14]Table 5C1M-B.R. Charter'!AI22+(6*'[20]Table 5C1M-B.R. Charter'!AI22)</f>
        <v>0</v>
      </c>
      <c r="AH22" s="276">
        <f t="shared" si="41"/>
        <v>0</v>
      </c>
      <c r="AI22" s="327">
        <f t="shared" si="25"/>
        <v>0</v>
      </c>
      <c r="AJ22" s="337">
        <f t="shared" si="42"/>
        <v>0</v>
      </c>
      <c r="AK22" s="341">
        <f t="shared" si="43"/>
        <v>0</v>
      </c>
      <c r="AM22" s="273">
        <v>0</v>
      </c>
      <c r="AN22" s="273">
        <f t="shared" si="44"/>
        <v>0</v>
      </c>
      <c r="AO22" s="273">
        <f t="shared" si="26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2.1.14'!S19</f>
        <v>432</v>
      </c>
      <c r="D23" s="201">
        <f>+'Table 5C1A-Madison Prep'!D23</f>
        <v>3363.5980368254495</v>
      </c>
      <c r="E23" s="202">
        <f t="shared" si="27"/>
        <v>1453074.3519085941</v>
      </c>
      <c r="F23" s="202">
        <f>+'Table 5C1A-Madison Prep'!F23</f>
        <v>801.47762416806802</v>
      </c>
      <c r="G23" s="202">
        <f t="shared" si="28"/>
        <v>346238.33364060539</v>
      </c>
      <c r="H23" s="345">
        <f t="shared" si="29"/>
        <v>1799312.6855491996</v>
      </c>
      <c r="I23" s="991">
        <f>'[1]Oct midyear B.R. Charter'!K20</f>
        <v>753878.69463982678</v>
      </c>
      <c r="J23" s="203">
        <f>'[1]Feb midyear B.R. Charter'!K20</f>
        <v>-72888.824067386566</v>
      </c>
      <c r="K23" s="204">
        <f t="shared" si="30"/>
        <v>680989.87057244021</v>
      </c>
      <c r="L23" s="351">
        <f t="shared" si="20"/>
        <v>2480302.5561216399</v>
      </c>
      <c r="M23" s="286">
        <f t="shared" si="31"/>
        <v>-6200.7563903041</v>
      </c>
      <c r="N23" s="351">
        <f t="shared" si="32"/>
        <v>2474101.7997313356</v>
      </c>
      <c r="O23" s="203">
        <v>0</v>
      </c>
      <c r="P23" s="351">
        <f t="shared" si="21"/>
        <v>2474101.7997313356</v>
      </c>
      <c r="Q23" s="203">
        <f>'[2]Table 5C1M-B.R. Charter'!S23+'[14]Table 5C1M-B.R. Charter'!S23+(6*'[20]Table 5C1M-B.R. Charter'!S23)</f>
        <v>1739822</v>
      </c>
      <c r="R23" s="203">
        <f t="shared" si="33"/>
        <v>734279.7997313356</v>
      </c>
      <c r="S23" s="351">
        <f t="shared" si="22"/>
        <v>183570</v>
      </c>
      <c r="T23" s="351">
        <f t="shared" si="34"/>
        <v>2474101.7997313356</v>
      </c>
      <c r="U23" s="287">
        <f>'Table 5C1A-Madison Prep'!U23</f>
        <v>6954</v>
      </c>
      <c r="V23" s="328">
        <f t="shared" si="23"/>
        <v>3004128</v>
      </c>
      <c r="W23" s="995">
        <f>'[1]Oct midyear B.R. Charter'!E20</f>
        <v>181</v>
      </c>
      <c r="X23" s="290">
        <f t="shared" si="35"/>
        <v>1258674</v>
      </c>
      <c r="Y23" s="289">
        <f>'[1]Feb midyear B.R. Charter'!E20</f>
        <v>-35</v>
      </c>
      <c r="Z23" s="290">
        <f t="shared" si="24"/>
        <v>-121695</v>
      </c>
      <c r="AA23" s="288">
        <f t="shared" si="36"/>
        <v>1136979</v>
      </c>
      <c r="AB23" s="324">
        <f t="shared" si="37"/>
        <v>4141107</v>
      </c>
      <c r="AC23" s="292">
        <f t="shared" si="38"/>
        <v>-10352.7675</v>
      </c>
      <c r="AD23" s="324">
        <f t="shared" si="39"/>
        <v>4130754.2324999999</v>
      </c>
      <c r="AE23" s="290">
        <v>0</v>
      </c>
      <c r="AF23" s="328">
        <f t="shared" si="40"/>
        <v>4130754.2324999999</v>
      </c>
      <c r="AG23" s="290">
        <f>'[2]Table 5C1M-B.R. Charter'!AI23+'[14]Table 5C1M-B.R. Charter'!AI23+(6*'[20]Table 5C1M-B.R. Charter'!AI23)</f>
        <v>2944904</v>
      </c>
      <c r="AH23" s="290">
        <f t="shared" si="41"/>
        <v>1185850.2324999999</v>
      </c>
      <c r="AI23" s="328">
        <f t="shared" si="25"/>
        <v>296463</v>
      </c>
      <c r="AJ23" s="321">
        <f t="shared" si="42"/>
        <v>6604856.0322313355</v>
      </c>
      <c r="AK23" s="342">
        <f t="shared" si="43"/>
        <v>480033</v>
      </c>
      <c r="AM23" s="286">
        <v>-7614</v>
      </c>
      <c r="AN23" s="286">
        <f t="shared" si="44"/>
        <v>-10352.7675</v>
      </c>
      <c r="AO23" s="286">
        <f t="shared" si="26"/>
        <v>-2738.7674999999999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2.1.14'!S20</f>
        <v>0</v>
      </c>
      <c r="D24" s="201">
        <f>+'Table 5C1A-Madison Prep'!D24</f>
        <v>6354.5533500475731</v>
      </c>
      <c r="E24" s="202">
        <f t="shared" si="27"/>
        <v>0</v>
      </c>
      <c r="F24" s="202">
        <f>+'Table 5C1A-Madison Prep'!F24</f>
        <v>845.94999999999993</v>
      </c>
      <c r="G24" s="202">
        <f t="shared" si="28"/>
        <v>0</v>
      </c>
      <c r="H24" s="345">
        <f t="shared" si="29"/>
        <v>0</v>
      </c>
      <c r="I24" s="991">
        <f>'[1]Oct midyear B.R. Charter'!K21</f>
        <v>0</v>
      </c>
      <c r="J24" s="203">
        <f>'[1]Feb midyear B.R. Charter'!K21</f>
        <v>0</v>
      </c>
      <c r="K24" s="204">
        <f t="shared" si="30"/>
        <v>0</v>
      </c>
      <c r="L24" s="351">
        <f t="shared" si="20"/>
        <v>0</v>
      </c>
      <c r="M24" s="286">
        <f t="shared" si="31"/>
        <v>0</v>
      </c>
      <c r="N24" s="351">
        <f t="shared" si="32"/>
        <v>0</v>
      </c>
      <c r="O24" s="203">
        <v>0</v>
      </c>
      <c r="P24" s="351">
        <f t="shared" si="21"/>
        <v>0</v>
      </c>
      <c r="Q24" s="203">
        <f>'[2]Table 5C1M-B.R. Charter'!S24+'[14]Table 5C1M-B.R. Charter'!S24+(6*'[20]Table 5C1M-B.R. Charter'!S24)</f>
        <v>0</v>
      </c>
      <c r="R24" s="203">
        <f t="shared" si="33"/>
        <v>0</v>
      </c>
      <c r="S24" s="351">
        <f t="shared" si="22"/>
        <v>0</v>
      </c>
      <c r="T24" s="351">
        <f t="shared" si="34"/>
        <v>0</v>
      </c>
      <c r="U24" s="287">
        <f>'Table 5C1A-Madison Prep'!U24</f>
        <v>2442</v>
      </c>
      <c r="V24" s="328">
        <f t="shared" si="23"/>
        <v>0</v>
      </c>
      <c r="W24" s="995">
        <f>'[1]Oct midyear B.R. Charter'!E21</f>
        <v>0</v>
      </c>
      <c r="X24" s="290">
        <f t="shared" si="35"/>
        <v>0</v>
      </c>
      <c r="Y24" s="289">
        <f>'[1]Feb midyear B.R. Charter'!E21</f>
        <v>0</v>
      </c>
      <c r="Z24" s="290">
        <f t="shared" si="24"/>
        <v>0</v>
      </c>
      <c r="AA24" s="288">
        <f t="shared" si="36"/>
        <v>0</v>
      </c>
      <c r="AB24" s="324">
        <f t="shared" si="37"/>
        <v>0</v>
      </c>
      <c r="AC24" s="292">
        <f t="shared" si="38"/>
        <v>0</v>
      </c>
      <c r="AD24" s="324">
        <f t="shared" si="39"/>
        <v>0</v>
      </c>
      <c r="AE24" s="290">
        <v>0</v>
      </c>
      <c r="AF24" s="328">
        <f t="shared" si="40"/>
        <v>0</v>
      </c>
      <c r="AG24" s="290">
        <f>'[2]Table 5C1M-B.R. Charter'!AI24+'[14]Table 5C1M-B.R. Charter'!AI24+(6*'[20]Table 5C1M-B.R. Charter'!AI24)</f>
        <v>0</v>
      </c>
      <c r="AH24" s="290">
        <f t="shared" si="41"/>
        <v>0</v>
      </c>
      <c r="AI24" s="328">
        <f t="shared" si="25"/>
        <v>0</v>
      </c>
      <c r="AJ24" s="321">
        <f t="shared" si="42"/>
        <v>0</v>
      </c>
      <c r="AK24" s="342">
        <f t="shared" si="43"/>
        <v>0</v>
      </c>
      <c r="AM24" s="286">
        <v>0</v>
      </c>
      <c r="AN24" s="286">
        <f t="shared" si="44"/>
        <v>0</v>
      </c>
      <c r="AO24" s="286">
        <f t="shared" si="26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2.1.14'!S21</f>
        <v>3</v>
      </c>
      <c r="D25" s="201">
        <f>+'Table 5C1A-Madison Prep'!D25</f>
        <v>5314.3921869460446</v>
      </c>
      <c r="E25" s="202">
        <f t="shared" si="27"/>
        <v>15943.176560838134</v>
      </c>
      <c r="F25" s="202">
        <f>+'Table 5C1A-Madison Prep'!F25</f>
        <v>905.43</v>
      </c>
      <c r="G25" s="202">
        <f t="shared" si="28"/>
        <v>2716.29</v>
      </c>
      <c r="H25" s="345">
        <f t="shared" si="29"/>
        <v>18659.466560838133</v>
      </c>
      <c r="I25" s="991">
        <f>'[1]Oct midyear B.R. Charter'!K22</f>
        <v>0</v>
      </c>
      <c r="J25" s="203">
        <f>'[1]Feb midyear B.R. Charter'!K22</f>
        <v>-6219.8221869460449</v>
      </c>
      <c r="K25" s="204">
        <f t="shared" si="30"/>
        <v>-6219.8221869460449</v>
      </c>
      <c r="L25" s="351">
        <f t="shared" si="20"/>
        <v>12439.644373892088</v>
      </c>
      <c r="M25" s="286">
        <f t="shared" si="31"/>
        <v>-31.09911093473022</v>
      </c>
      <c r="N25" s="351">
        <f t="shared" si="32"/>
        <v>12408.545262957357</v>
      </c>
      <c r="O25" s="203">
        <v>0</v>
      </c>
      <c r="P25" s="351">
        <f t="shared" si="21"/>
        <v>12408.545262957357</v>
      </c>
      <c r="Q25" s="203">
        <f>'[2]Table 5C1M-B.R. Charter'!S25+'[14]Table 5C1M-B.R. Charter'!S25+(6*'[20]Table 5C1M-B.R. Charter'!S25)</f>
        <v>19854</v>
      </c>
      <c r="R25" s="203">
        <f t="shared" si="33"/>
        <v>-7445.4547370426426</v>
      </c>
      <c r="S25" s="351">
        <f t="shared" si="22"/>
        <v>-1861</v>
      </c>
      <c r="T25" s="351">
        <f t="shared" si="34"/>
        <v>12408.545262957357</v>
      </c>
      <c r="U25" s="287">
        <f>'Table 5C1A-Madison Prep'!U25</f>
        <v>3051</v>
      </c>
      <c r="V25" s="328">
        <f t="shared" si="23"/>
        <v>9153</v>
      </c>
      <c r="W25" s="995">
        <f>'[1]Oct midyear B.R. Charter'!E22</f>
        <v>0</v>
      </c>
      <c r="X25" s="290">
        <f t="shared" si="35"/>
        <v>0</v>
      </c>
      <c r="Y25" s="289">
        <f>'[1]Feb midyear B.R. Charter'!E22</f>
        <v>-2</v>
      </c>
      <c r="Z25" s="290">
        <f t="shared" si="24"/>
        <v>-3051</v>
      </c>
      <c r="AA25" s="288">
        <f t="shared" si="36"/>
        <v>-3051</v>
      </c>
      <c r="AB25" s="324">
        <f t="shared" si="37"/>
        <v>6102</v>
      </c>
      <c r="AC25" s="292">
        <f t="shared" si="38"/>
        <v>-15.255000000000001</v>
      </c>
      <c r="AD25" s="324">
        <f t="shared" si="39"/>
        <v>6086.7449999999999</v>
      </c>
      <c r="AE25" s="290">
        <v>0</v>
      </c>
      <c r="AF25" s="328">
        <f t="shared" si="40"/>
        <v>6086.7449999999999</v>
      </c>
      <c r="AG25" s="290">
        <f>'[2]Table 5C1M-B.R. Charter'!AI25+'[14]Table 5C1M-B.R. Charter'!AI25+(6*'[20]Table 5C1M-B.R. Charter'!AI25)</f>
        <v>9280</v>
      </c>
      <c r="AH25" s="290">
        <f t="shared" si="41"/>
        <v>-3193.2550000000001</v>
      </c>
      <c r="AI25" s="328">
        <f t="shared" si="25"/>
        <v>-798</v>
      </c>
      <c r="AJ25" s="321">
        <f t="shared" si="42"/>
        <v>18495.290262957358</v>
      </c>
      <c r="AK25" s="342">
        <f t="shared" si="43"/>
        <v>-2659</v>
      </c>
      <c r="AM25" s="286">
        <v>-21.81</v>
      </c>
      <c r="AN25" s="286">
        <f t="shared" si="44"/>
        <v>-15.255000000000001</v>
      </c>
      <c r="AO25" s="286">
        <f t="shared" si="26"/>
        <v>6.5549999999999979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2.1.14'!S22</f>
        <v>0</v>
      </c>
      <c r="D26" s="194">
        <f>+'Table 5C1A-Madison Prep'!D26</f>
        <v>5278.5201565562011</v>
      </c>
      <c r="E26" s="195">
        <f t="shared" si="27"/>
        <v>0</v>
      </c>
      <c r="F26" s="195">
        <f>+'Table 5C1A-Madison Prep'!F26</f>
        <v>586.16999999999996</v>
      </c>
      <c r="G26" s="195">
        <f t="shared" si="28"/>
        <v>0</v>
      </c>
      <c r="H26" s="346">
        <f t="shared" si="29"/>
        <v>0</v>
      </c>
      <c r="I26" s="992">
        <f>'[1]Oct midyear B.R. Charter'!K23</f>
        <v>0</v>
      </c>
      <c r="J26" s="196">
        <f>'[1]Feb midyear B.R. Charter'!K23</f>
        <v>0</v>
      </c>
      <c r="K26" s="197">
        <f t="shared" si="30"/>
        <v>0</v>
      </c>
      <c r="L26" s="352">
        <f t="shared" si="20"/>
        <v>0</v>
      </c>
      <c r="M26" s="296">
        <f t="shared" si="31"/>
        <v>0</v>
      </c>
      <c r="N26" s="352">
        <f t="shared" si="32"/>
        <v>0</v>
      </c>
      <c r="O26" s="196">
        <v>0</v>
      </c>
      <c r="P26" s="352">
        <f t="shared" si="21"/>
        <v>0</v>
      </c>
      <c r="Q26" s="196">
        <f>'[2]Table 5C1M-B.R. Charter'!S26+'[14]Table 5C1M-B.R. Charter'!S26+(6*'[20]Table 5C1M-B.R. Charter'!S26)</f>
        <v>0</v>
      </c>
      <c r="R26" s="196">
        <f t="shared" si="33"/>
        <v>0</v>
      </c>
      <c r="S26" s="352">
        <f t="shared" si="22"/>
        <v>0</v>
      </c>
      <c r="T26" s="352">
        <f t="shared" si="34"/>
        <v>0</v>
      </c>
      <c r="U26" s="281">
        <f>'Table 5C1A-Madison Prep'!U26</f>
        <v>2484</v>
      </c>
      <c r="V26" s="329">
        <f t="shared" si="23"/>
        <v>0</v>
      </c>
      <c r="W26" s="996">
        <f>'[1]Oct midyear B.R. Charter'!E23</f>
        <v>0</v>
      </c>
      <c r="X26" s="282">
        <f t="shared" si="35"/>
        <v>0</v>
      </c>
      <c r="Y26" s="884">
        <f>'[1]Feb midyear B.R. Charter'!E23</f>
        <v>0</v>
      </c>
      <c r="Z26" s="282">
        <f t="shared" si="24"/>
        <v>0</v>
      </c>
      <c r="AA26" s="283">
        <f t="shared" si="36"/>
        <v>0</v>
      </c>
      <c r="AB26" s="325">
        <f t="shared" si="37"/>
        <v>0</v>
      </c>
      <c r="AC26" s="298">
        <f t="shared" si="38"/>
        <v>0</v>
      </c>
      <c r="AD26" s="325">
        <f t="shared" si="39"/>
        <v>0</v>
      </c>
      <c r="AE26" s="282">
        <v>0</v>
      </c>
      <c r="AF26" s="329">
        <f t="shared" si="40"/>
        <v>0</v>
      </c>
      <c r="AG26" s="282">
        <f>'[2]Table 5C1M-B.R. Charter'!AI26+'[14]Table 5C1M-B.R. Charter'!AI26+(6*'[20]Table 5C1M-B.R. Charter'!AI26)</f>
        <v>0</v>
      </c>
      <c r="AH26" s="282">
        <f t="shared" si="41"/>
        <v>0</v>
      </c>
      <c r="AI26" s="329">
        <f t="shared" si="25"/>
        <v>0</v>
      </c>
      <c r="AJ26" s="338">
        <f t="shared" si="42"/>
        <v>0</v>
      </c>
      <c r="AK26" s="343">
        <f t="shared" si="43"/>
        <v>0</v>
      </c>
      <c r="AM26" s="296">
        <v>0</v>
      </c>
      <c r="AN26" s="296">
        <f t="shared" si="44"/>
        <v>0</v>
      </c>
      <c r="AO26" s="296">
        <f t="shared" si="26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2.1.14'!S23</f>
        <v>0</v>
      </c>
      <c r="D27" s="208">
        <f>+'Table 5C1A-Madison Prep'!D27</f>
        <v>6082.3042295867763</v>
      </c>
      <c r="E27" s="209">
        <f t="shared" si="27"/>
        <v>0</v>
      </c>
      <c r="F27" s="209">
        <f>+'Table 5C1A-Madison Prep'!F27</f>
        <v>610.35</v>
      </c>
      <c r="G27" s="209">
        <f t="shared" si="28"/>
        <v>0</v>
      </c>
      <c r="H27" s="344">
        <f t="shared" si="29"/>
        <v>0</v>
      </c>
      <c r="I27" s="990">
        <f>'[1]Oct midyear B.R. Charter'!K24</f>
        <v>0</v>
      </c>
      <c r="J27" s="210">
        <f>'[1]Feb midyear B.R. Charter'!K24</f>
        <v>0</v>
      </c>
      <c r="K27" s="211">
        <f t="shared" si="30"/>
        <v>0</v>
      </c>
      <c r="L27" s="350">
        <f t="shared" si="20"/>
        <v>0</v>
      </c>
      <c r="M27" s="273">
        <f t="shared" si="31"/>
        <v>0</v>
      </c>
      <c r="N27" s="350">
        <f t="shared" si="32"/>
        <v>0</v>
      </c>
      <c r="O27" s="210">
        <v>0</v>
      </c>
      <c r="P27" s="350">
        <f t="shared" si="21"/>
        <v>0</v>
      </c>
      <c r="Q27" s="210">
        <f>'[2]Table 5C1M-B.R. Charter'!S27+'[14]Table 5C1M-B.R. Charter'!S27+(6*'[20]Table 5C1M-B.R. Charter'!S27)</f>
        <v>0</v>
      </c>
      <c r="R27" s="210">
        <f t="shared" si="33"/>
        <v>0</v>
      </c>
      <c r="S27" s="350">
        <f t="shared" si="22"/>
        <v>0</v>
      </c>
      <c r="T27" s="350">
        <f t="shared" si="34"/>
        <v>0</v>
      </c>
      <c r="U27" s="274">
        <f>'Table 5C1A-Madison Prep'!U27</f>
        <v>2487</v>
      </c>
      <c r="V27" s="327">
        <f t="shared" si="23"/>
        <v>0</v>
      </c>
      <c r="W27" s="994">
        <f>'[1]Oct midyear B.R. Charter'!E24</f>
        <v>0</v>
      </c>
      <c r="X27" s="276">
        <f t="shared" si="35"/>
        <v>0</v>
      </c>
      <c r="Y27" s="883">
        <f>'[1]Feb midyear B.R. Charter'!E24</f>
        <v>0</v>
      </c>
      <c r="Z27" s="276">
        <f t="shared" si="24"/>
        <v>0</v>
      </c>
      <c r="AA27" s="275">
        <f t="shared" si="36"/>
        <v>0</v>
      </c>
      <c r="AB27" s="323">
        <f t="shared" si="37"/>
        <v>0</v>
      </c>
      <c r="AC27" s="278">
        <f t="shared" si="38"/>
        <v>0</v>
      </c>
      <c r="AD27" s="323">
        <f t="shared" si="39"/>
        <v>0</v>
      </c>
      <c r="AE27" s="276">
        <v>0</v>
      </c>
      <c r="AF27" s="327">
        <f t="shared" si="40"/>
        <v>0</v>
      </c>
      <c r="AG27" s="276">
        <f>'[2]Table 5C1M-B.R. Charter'!AI27+'[14]Table 5C1M-B.R. Charter'!AI27+(6*'[20]Table 5C1M-B.R. Charter'!AI27)</f>
        <v>0</v>
      </c>
      <c r="AH27" s="276">
        <f t="shared" si="41"/>
        <v>0</v>
      </c>
      <c r="AI27" s="327">
        <f t="shared" si="25"/>
        <v>0</v>
      </c>
      <c r="AJ27" s="337">
        <f t="shared" si="42"/>
        <v>0</v>
      </c>
      <c r="AK27" s="341">
        <f t="shared" si="43"/>
        <v>0</v>
      </c>
      <c r="AM27" s="273">
        <v>0</v>
      </c>
      <c r="AN27" s="273">
        <f t="shared" si="44"/>
        <v>0</v>
      </c>
      <c r="AO27" s="273">
        <f t="shared" si="26"/>
        <v>0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2.1.14'!S24</f>
        <v>0</v>
      </c>
      <c r="D28" s="201">
        <f>+'Table 5C1A-Madison Prep'!D28</f>
        <v>6416.1099808195995</v>
      </c>
      <c r="E28" s="202">
        <f t="shared" si="27"/>
        <v>0</v>
      </c>
      <c r="F28" s="202">
        <f>+'Table 5C1A-Madison Prep'!F28</f>
        <v>496.36</v>
      </c>
      <c r="G28" s="202">
        <f t="shared" si="28"/>
        <v>0</v>
      </c>
      <c r="H28" s="345">
        <f t="shared" si="29"/>
        <v>0</v>
      </c>
      <c r="I28" s="991">
        <f>'[1]Oct midyear B.R. Charter'!K25</f>
        <v>0</v>
      </c>
      <c r="J28" s="203">
        <f>'[1]Feb midyear B.R. Charter'!K25</f>
        <v>0</v>
      </c>
      <c r="K28" s="204">
        <f t="shared" si="30"/>
        <v>0</v>
      </c>
      <c r="L28" s="351">
        <f t="shared" si="20"/>
        <v>0</v>
      </c>
      <c r="M28" s="286">
        <f t="shared" si="31"/>
        <v>0</v>
      </c>
      <c r="N28" s="351">
        <f t="shared" si="32"/>
        <v>0</v>
      </c>
      <c r="O28" s="203">
        <v>0</v>
      </c>
      <c r="P28" s="351">
        <f t="shared" si="21"/>
        <v>0</v>
      </c>
      <c r="Q28" s="203">
        <f>'[2]Table 5C1M-B.R. Charter'!S28+'[14]Table 5C1M-B.R. Charter'!S28+(6*'[20]Table 5C1M-B.R. Charter'!S28)</f>
        <v>0</v>
      </c>
      <c r="R28" s="203">
        <f t="shared" si="33"/>
        <v>0</v>
      </c>
      <c r="S28" s="351">
        <f t="shared" si="22"/>
        <v>0</v>
      </c>
      <c r="T28" s="351">
        <f t="shared" si="34"/>
        <v>0</v>
      </c>
      <c r="U28" s="287">
        <f>'Table 5C1A-Madison Prep'!U28</f>
        <v>1584</v>
      </c>
      <c r="V28" s="328">
        <f t="shared" si="23"/>
        <v>0</v>
      </c>
      <c r="W28" s="995">
        <f>'[1]Oct midyear B.R. Charter'!E25</f>
        <v>0</v>
      </c>
      <c r="X28" s="290">
        <f t="shared" si="35"/>
        <v>0</v>
      </c>
      <c r="Y28" s="289">
        <f>'[1]Feb midyear B.R. Charter'!E25</f>
        <v>0</v>
      </c>
      <c r="Z28" s="290">
        <f t="shared" si="24"/>
        <v>0</v>
      </c>
      <c r="AA28" s="288">
        <f t="shared" si="36"/>
        <v>0</v>
      </c>
      <c r="AB28" s="324">
        <f t="shared" si="37"/>
        <v>0</v>
      </c>
      <c r="AC28" s="292">
        <f t="shared" si="38"/>
        <v>0</v>
      </c>
      <c r="AD28" s="324">
        <f t="shared" si="39"/>
        <v>0</v>
      </c>
      <c r="AE28" s="290">
        <v>0</v>
      </c>
      <c r="AF28" s="328">
        <f t="shared" si="40"/>
        <v>0</v>
      </c>
      <c r="AG28" s="290">
        <f>'[2]Table 5C1M-B.R. Charter'!AI28+'[14]Table 5C1M-B.R. Charter'!AI28+(6*'[20]Table 5C1M-B.R. Charter'!AI28)</f>
        <v>0</v>
      </c>
      <c r="AH28" s="290">
        <f t="shared" si="41"/>
        <v>0</v>
      </c>
      <c r="AI28" s="328">
        <f t="shared" si="25"/>
        <v>0</v>
      </c>
      <c r="AJ28" s="321">
        <f t="shared" si="42"/>
        <v>0</v>
      </c>
      <c r="AK28" s="342">
        <f t="shared" si="43"/>
        <v>0</v>
      </c>
      <c r="AM28" s="286">
        <v>0</v>
      </c>
      <c r="AN28" s="286">
        <f t="shared" si="44"/>
        <v>0</v>
      </c>
      <c r="AO28" s="286">
        <f t="shared" si="26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2.1.14'!S25</f>
        <v>0</v>
      </c>
      <c r="D29" s="201">
        <f>+'Table 5C1A-Madison Prep'!D29</f>
        <v>5011.0215265979159</v>
      </c>
      <c r="E29" s="202">
        <f t="shared" si="27"/>
        <v>0</v>
      </c>
      <c r="F29" s="202">
        <f>+'Table 5C1A-Madison Prep'!F29</f>
        <v>688.58</v>
      </c>
      <c r="G29" s="202">
        <f t="shared" si="28"/>
        <v>0</v>
      </c>
      <c r="H29" s="345">
        <f t="shared" si="29"/>
        <v>0</v>
      </c>
      <c r="I29" s="991">
        <f>'[1]Oct midyear B.R. Charter'!K26</f>
        <v>0</v>
      </c>
      <c r="J29" s="203">
        <f>'[1]Feb midyear B.R. Charter'!K26</f>
        <v>0</v>
      </c>
      <c r="K29" s="204">
        <f t="shared" si="30"/>
        <v>0</v>
      </c>
      <c r="L29" s="351">
        <f t="shared" si="20"/>
        <v>0</v>
      </c>
      <c r="M29" s="286">
        <f t="shared" si="31"/>
        <v>0</v>
      </c>
      <c r="N29" s="351">
        <f t="shared" si="32"/>
        <v>0</v>
      </c>
      <c r="O29" s="203">
        <v>0</v>
      </c>
      <c r="P29" s="351">
        <f t="shared" si="21"/>
        <v>0</v>
      </c>
      <c r="Q29" s="203">
        <f>'[2]Table 5C1M-B.R. Charter'!S29+'[14]Table 5C1M-B.R. Charter'!S29+(6*'[20]Table 5C1M-B.R. Charter'!S29)</f>
        <v>0</v>
      </c>
      <c r="R29" s="203">
        <f t="shared" si="33"/>
        <v>0</v>
      </c>
      <c r="S29" s="351">
        <f t="shared" si="22"/>
        <v>0</v>
      </c>
      <c r="T29" s="351">
        <f t="shared" si="34"/>
        <v>0</v>
      </c>
      <c r="U29" s="287">
        <f>'Table 5C1A-Madison Prep'!U29</f>
        <v>3500</v>
      </c>
      <c r="V29" s="328">
        <f t="shared" si="23"/>
        <v>0</v>
      </c>
      <c r="W29" s="995">
        <f>'[1]Oct midyear B.R. Charter'!E26</f>
        <v>0</v>
      </c>
      <c r="X29" s="290">
        <f t="shared" si="35"/>
        <v>0</v>
      </c>
      <c r="Y29" s="289">
        <f>'[1]Feb midyear B.R. Charter'!E26</f>
        <v>0</v>
      </c>
      <c r="Z29" s="290">
        <f t="shared" si="24"/>
        <v>0</v>
      </c>
      <c r="AA29" s="288">
        <f t="shared" si="36"/>
        <v>0</v>
      </c>
      <c r="AB29" s="324">
        <f t="shared" si="37"/>
        <v>0</v>
      </c>
      <c r="AC29" s="292">
        <f t="shared" si="38"/>
        <v>0</v>
      </c>
      <c r="AD29" s="324">
        <f t="shared" si="39"/>
        <v>0</v>
      </c>
      <c r="AE29" s="290">
        <v>0</v>
      </c>
      <c r="AF29" s="328">
        <f t="shared" si="40"/>
        <v>0</v>
      </c>
      <c r="AG29" s="290">
        <f>'[2]Table 5C1M-B.R. Charter'!AI29+'[14]Table 5C1M-B.R. Charter'!AI29+(6*'[20]Table 5C1M-B.R. Charter'!AI29)</f>
        <v>0</v>
      </c>
      <c r="AH29" s="290">
        <f t="shared" si="41"/>
        <v>0</v>
      </c>
      <c r="AI29" s="328">
        <f t="shared" si="25"/>
        <v>0</v>
      </c>
      <c r="AJ29" s="321">
        <f t="shared" si="42"/>
        <v>0</v>
      </c>
      <c r="AK29" s="342">
        <f t="shared" si="43"/>
        <v>0</v>
      </c>
      <c r="AM29" s="286">
        <v>0</v>
      </c>
      <c r="AN29" s="286">
        <f t="shared" si="44"/>
        <v>0</v>
      </c>
      <c r="AO29" s="286">
        <f t="shared" si="26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2.1.14'!S26</f>
        <v>4</v>
      </c>
      <c r="D30" s="201">
        <f>+'Table 5C1A-Madison Prep'!D30</f>
        <v>2611.6740361576999</v>
      </c>
      <c r="E30" s="202">
        <f t="shared" si="27"/>
        <v>10446.6961446308</v>
      </c>
      <c r="F30" s="202">
        <f>+'Table 5C1A-Madison Prep'!F30</f>
        <v>854.24999999999989</v>
      </c>
      <c r="G30" s="202">
        <f t="shared" si="28"/>
        <v>3416.9999999999995</v>
      </c>
      <c r="H30" s="345">
        <f t="shared" si="29"/>
        <v>13863.6961446308</v>
      </c>
      <c r="I30" s="991">
        <f>'[1]Oct midyear B.R. Charter'!K27</f>
        <v>-3465.9240361576999</v>
      </c>
      <c r="J30" s="203">
        <f>'[1]Feb midyear B.R. Charter'!K27</f>
        <v>-1732.96201807885</v>
      </c>
      <c r="K30" s="204">
        <f t="shared" si="30"/>
        <v>-5198.8860542365501</v>
      </c>
      <c r="L30" s="351">
        <f t="shared" si="20"/>
        <v>8664.8100903942504</v>
      </c>
      <c r="M30" s="286">
        <f t="shared" si="31"/>
        <v>-21.662025225985627</v>
      </c>
      <c r="N30" s="351">
        <f t="shared" si="32"/>
        <v>8643.148065168265</v>
      </c>
      <c r="O30" s="203">
        <v>0</v>
      </c>
      <c r="P30" s="351">
        <f t="shared" si="21"/>
        <v>8643.148065168265</v>
      </c>
      <c r="Q30" s="203">
        <f>'[2]Table 5C1M-B.R. Charter'!S30+'[14]Table 5C1M-B.R. Charter'!S30+(6*'[20]Table 5C1M-B.R. Charter'!S30)</f>
        <v>6896</v>
      </c>
      <c r="R30" s="203">
        <f t="shared" si="33"/>
        <v>1747.148065168265</v>
      </c>
      <c r="S30" s="351">
        <f t="shared" si="22"/>
        <v>437</v>
      </c>
      <c r="T30" s="351">
        <f t="shared" si="34"/>
        <v>8643.148065168265</v>
      </c>
      <c r="U30" s="287">
        <f>'Table 5C1A-Madison Prep'!U30</f>
        <v>11051</v>
      </c>
      <c r="V30" s="328">
        <f t="shared" si="23"/>
        <v>44204</v>
      </c>
      <c r="W30" s="995">
        <f>'[1]Oct midyear B.R. Charter'!E27</f>
        <v>-1</v>
      </c>
      <c r="X30" s="290">
        <f t="shared" si="35"/>
        <v>-11051</v>
      </c>
      <c r="Y30" s="289">
        <f>'[1]Feb midyear B.R. Charter'!E27</f>
        <v>-1</v>
      </c>
      <c r="Z30" s="290">
        <f t="shared" si="24"/>
        <v>-5525.5</v>
      </c>
      <c r="AA30" s="288">
        <f t="shared" si="36"/>
        <v>-16576.5</v>
      </c>
      <c r="AB30" s="324">
        <f t="shared" si="37"/>
        <v>27627.5</v>
      </c>
      <c r="AC30" s="292">
        <f t="shared" si="38"/>
        <v>-69.068750000000009</v>
      </c>
      <c r="AD30" s="324">
        <f t="shared" si="39"/>
        <v>27558.431250000001</v>
      </c>
      <c r="AE30" s="290">
        <v>0</v>
      </c>
      <c r="AF30" s="328">
        <f t="shared" si="40"/>
        <v>27558.431250000001</v>
      </c>
      <c r="AG30" s="290">
        <f>'[2]Table 5C1M-B.R. Charter'!AI30+'[14]Table 5C1M-B.R. Charter'!AI30+(6*'[20]Table 5C1M-B.R. Charter'!AI30)</f>
        <v>19994</v>
      </c>
      <c r="AH30" s="290">
        <f t="shared" si="41"/>
        <v>7564.4312500000015</v>
      </c>
      <c r="AI30" s="328">
        <f t="shared" si="25"/>
        <v>1891</v>
      </c>
      <c r="AJ30" s="321">
        <f t="shared" si="42"/>
        <v>36201.579315168266</v>
      </c>
      <c r="AK30" s="342">
        <f t="shared" si="43"/>
        <v>2328</v>
      </c>
      <c r="AM30" s="286">
        <v>-100.53</v>
      </c>
      <c r="AN30" s="286">
        <f t="shared" si="44"/>
        <v>-69.068750000000009</v>
      </c>
      <c r="AO30" s="286">
        <f t="shared" si="26"/>
        <v>31.461249999999993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2.1.14'!S27</f>
        <v>0</v>
      </c>
      <c r="D31" s="194">
        <f>+'Table 5C1A-Madison Prep'!D31</f>
        <v>4173.0720274945697</v>
      </c>
      <c r="E31" s="195">
        <f t="shared" si="27"/>
        <v>0</v>
      </c>
      <c r="F31" s="195">
        <f>+'Table 5C1A-Madison Prep'!F31</f>
        <v>653.73</v>
      </c>
      <c r="G31" s="195">
        <f t="shared" si="28"/>
        <v>0</v>
      </c>
      <c r="H31" s="346">
        <f t="shared" si="29"/>
        <v>0</v>
      </c>
      <c r="I31" s="992">
        <f>'[1]Oct midyear B.R. Charter'!K28</f>
        <v>0</v>
      </c>
      <c r="J31" s="196">
        <f>'[1]Feb midyear B.R. Charter'!K28</f>
        <v>0</v>
      </c>
      <c r="K31" s="197">
        <f t="shared" si="30"/>
        <v>0</v>
      </c>
      <c r="L31" s="352">
        <f t="shared" si="20"/>
        <v>0</v>
      </c>
      <c r="M31" s="296">
        <f t="shared" si="31"/>
        <v>0</v>
      </c>
      <c r="N31" s="352">
        <f t="shared" si="32"/>
        <v>0</v>
      </c>
      <c r="O31" s="196">
        <v>0</v>
      </c>
      <c r="P31" s="352">
        <f t="shared" si="21"/>
        <v>0</v>
      </c>
      <c r="Q31" s="196">
        <f>'[2]Table 5C1M-B.R. Charter'!S31+'[14]Table 5C1M-B.R. Charter'!S31+(6*'[20]Table 5C1M-B.R. Charter'!S31)</f>
        <v>0</v>
      </c>
      <c r="R31" s="196">
        <f t="shared" si="33"/>
        <v>0</v>
      </c>
      <c r="S31" s="352">
        <f t="shared" si="22"/>
        <v>0</v>
      </c>
      <c r="T31" s="352">
        <f t="shared" si="34"/>
        <v>0</v>
      </c>
      <c r="U31" s="281">
        <f>'Table 5C1A-Madison Prep'!U31</f>
        <v>5156</v>
      </c>
      <c r="V31" s="329">
        <f t="shared" si="23"/>
        <v>0</v>
      </c>
      <c r="W31" s="996">
        <f>'[1]Oct midyear B.R. Charter'!E28</f>
        <v>0</v>
      </c>
      <c r="X31" s="282">
        <f t="shared" si="35"/>
        <v>0</v>
      </c>
      <c r="Y31" s="884">
        <f>'[1]Feb midyear B.R. Charter'!E28</f>
        <v>0</v>
      </c>
      <c r="Z31" s="282">
        <f t="shared" si="24"/>
        <v>0</v>
      </c>
      <c r="AA31" s="283">
        <f t="shared" si="36"/>
        <v>0</v>
      </c>
      <c r="AB31" s="325">
        <f t="shared" si="37"/>
        <v>0</v>
      </c>
      <c r="AC31" s="298">
        <f t="shared" si="38"/>
        <v>0</v>
      </c>
      <c r="AD31" s="325">
        <f t="shared" si="39"/>
        <v>0</v>
      </c>
      <c r="AE31" s="282">
        <v>0</v>
      </c>
      <c r="AF31" s="329">
        <f t="shared" si="40"/>
        <v>0</v>
      </c>
      <c r="AG31" s="282">
        <f>'[2]Table 5C1M-B.R. Charter'!AI31+'[14]Table 5C1M-B.R. Charter'!AI31+(6*'[20]Table 5C1M-B.R. Charter'!AI31)</f>
        <v>0</v>
      </c>
      <c r="AH31" s="282">
        <f t="shared" si="41"/>
        <v>0</v>
      </c>
      <c r="AI31" s="329">
        <f t="shared" si="25"/>
        <v>0</v>
      </c>
      <c r="AJ31" s="338">
        <f t="shared" si="42"/>
        <v>0</v>
      </c>
      <c r="AK31" s="343">
        <f t="shared" si="43"/>
        <v>0</v>
      </c>
      <c r="AM31" s="296">
        <v>0</v>
      </c>
      <c r="AN31" s="296">
        <f t="shared" si="44"/>
        <v>0</v>
      </c>
      <c r="AO31" s="296">
        <f t="shared" si="26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2.1.14'!S28</f>
        <v>0</v>
      </c>
      <c r="D32" s="208">
        <f>+'Table 5C1A-Madison Prep'!D32</f>
        <v>3424.5649970570835</v>
      </c>
      <c r="E32" s="209">
        <f t="shared" si="27"/>
        <v>0</v>
      </c>
      <c r="F32" s="209">
        <f>+'Table 5C1A-Madison Prep'!F32</f>
        <v>836.83</v>
      </c>
      <c r="G32" s="209">
        <f t="shared" si="28"/>
        <v>0</v>
      </c>
      <c r="H32" s="344">
        <f t="shared" si="29"/>
        <v>0</v>
      </c>
      <c r="I32" s="990">
        <f>'[1]Oct midyear B.R. Charter'!K29</f>
        <v>0</v>
      </c>
      <c r="J32" s="210">
        <f>'[1]Feb midyear B.R. Charter'!K29</f>
        <v>0</v>
      </c>
      <c r="K32" s="211">
        <f t="shared" si="30"/>
        <v>0</v>
      </c>
      <c r="L32" s="350">
        <f t="shared" si="20"/>
        <v>0</v>
      </c>
      <c r="M32" s="273">
        <f t="shared" si="31"/>
        <v>0</v>
      </c>
      <c r="N32" s="350">
        <f t="shared" si="32"/>
        <v>0</v>
      </c>
      <c r="O32" s="210">
        <v>0</v>
      </c>
      <c r="P32" s="350">
        <f t="shared" si="21"/>
        <v>0</v>
      </c>
      <c r="Q32" s="210">
        <f>'[2]Table 5C1M-B.R. Charter'!S32+'[14]Table 5C1M-B.R. Charter'!S32+(6*'[20]Table 5C1M-B.R. Charter'!S32)</f>
        <v>0</v>
      </c>
      <c r="R32" s="210">
        <f t="shared" si="33"/>
        <v>0</v>
      </c>
      <c r="S32" s="350">
        <f t="shared" si="22"/>
        <v>0</v>
      </c>
      <c r="T32" s="350">
        <f t="shared" si="34"/>
        <v>0</v>
      </c>
      <c r="U32" s="274">
        <f>'Table 5C1A-Madison Prep'!U32</f>
        <v>5153</v>
      </c>
      <c r="V32" s="327">
        <f t="shared" si="23"/>
        <v>0</v>
      </c>
      <c r="W32" s="994">
        <f>'[1]Oct midyear B.R. Charter'!E29</f>
        <v>0</v>
      </c>
      <c r="X32" s="276">
        <f t="shared" si="35"/>
        <v>0</v>
      </c>
      <c r="Y32" s="883">
        <f>'[1]Feb midyear B.R. Charter'!E29</f>
        <v>0</v>
      </c>
      <c r="Z32" s="276">
        <f t="shared" si="24"/>
        <v>0</v>
      </c>
      <c r="AA32" s="275">
        <f t="shared" si="36"/>
        <v>0</v>
      </c>
      <c r="AB32" s="323">
        <f t="shared" si="37"/>
        <v>0</v>
      </c>
      <c r="AC32" s="278">
        <f t="shared" si="38"/>
        <v>0</v>
      </c>
      <c r="AD32" s="323">
        <f t="shared" si="39"/>
        <v>0</v>
      </c>
      <c r="AE32" s="276">
        <v>0</v>
      </c>
      <c r="AF32" s="327">
        <f t="shared" si="40"/>
        <v>0</v>
      </c>
      <c r="AG32" s="276">
        <f>'[2]Table 5C1M-B.R. Charter'!AI32+'[14]Table 5C1M-B.R. Charter'!AI32+(6*'[20]Table 5C1M-B.R. Charter'!AI32)</f>
        <v>0</v>
      </c>
      <c r="AH32" s="276">
        <f t="shared" si="41"/>
        <v>0</v>
      </c>
      <c r="AI32" s="327">
        <f t="shared" si="25"/>
        <v>0</v>
      </c>
      <c r="AJ32" s="337">
        <f t="shared" si="42"/>
        <v>0</v>
      </c>
      <c r="AK32" s="341">
        <f t="shared" si="43"/>
        <v>0</v>
      </c>
      <c r="AM32" s="273">
        <v>0</v>
      </c>
      <c r="AN32" s="273">
        <f t="shared" si="44"/>
        <v>0</v>
      </c>
      <c r="AO32" s="273">
        <f t="shared" si="26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2.1.14'!S29</f>
        <v>0</v>
      </c>
      <c r="D33" s="201">
        <f>+'Table 5C1A-Madison Prep'!D33</f>
        <v>5804.9013839977006</v>
      </c>
      <c r="E33" s="202">
        <f t="shared" si="27"/>
        <v>0</v>
      </c>
      <c r="F33" s="202">
        <f>+'Table 5C1A-Madison Prep'!F33</f>
        <v>693.06</v>
      </c>
      <c r="G33" s="202">
        <f t="shared" si="28"/>
        <v>0</v>
      </c>
      <c r="H33" s="345">
        <f t="shared" si="29"/>
        <v>0</v>
      </c>
      <c r="I33" s="991">
        <f>'[1]Oct midyear B.R. Charter'!K30</f>
        <v>0</v>
      </c>
      <c r="J33" s="203">
        <f>'[1]Feb midyear B.R. Charter'!K30</f>
        <v>0</v>
      </c>
      <c r="K33" s="204">
        <f t="shared" si="30"/>
        <v>0</v>
      </c>
      <c r="L33" s="351">
        <f t="shared" si="20"/>
        <v>0</v>
      </c>
      <c r="M33" s="286">
        <f t="shared" si="31"/>
        <v>0</v>
      </c>
      <c r="N33" s="351">
        <f t="shared" si="32"/>
        <v>0</v>
      </c>
      <c r="O33" s="203">
        <v>0</v>
      </c>
      <c r="P33" s="351">
        <f t="shared" si="21"/>
        <v>0</v>
      </c>
      <c r="Q33" s="203">
        <f>'[2]Table 5C1M-B.R. Charter'!S33+'[14]Table 5C1M-B.R. Charter'!S33+(6*'[20]Table 5C1M-B.R. Charter'!S33)</f>
        <v>0</v>
      </c>
      <c r="R33" s="203">
        <f t="shared" si="33"/>
        <v>0</v>
      </c>
      <c r="S33" s="351">
        <f t="shared" si="22"/>
        <v>0</v>
      </c>
      <c r="T33" s="351">
        <f t="shared" si="34"/>
        <v>0</v>
      </c>
      <c r="U33" s="287">
        <f>'Table 5C1A-Madison Prep'!U33</f>
        <v>3225</v>
      </c>
      <c r="V33" s="328">
        <f t="shared" si="23"/>
        <v>0</v>
      </c>
      <c r="W33" s="995">
        <f>'[1]Oct midyear B.R. Charter'!E30</f>
        <v>0</v>
      </c>
      <c r="X33" s="290">
        <f t="shared" si="35"/>
        <v>0</v>
      </c>
      <c r="Y33" s="289">
        <f>'[1]Feb midyear B.R. Charter'!E30</f>
        <v>0</v>
      </c>
      <c r="Z33" s="290">
        <f t="shared" si="24"/>
        <v>0</v>
      </c>
      <c r="AA33" s="288">
        <f t="shared" si="36"/>
        <v>0</v>
      </c>
      <c r="AB33" s="324">
        <f t="shared" si="37"/>
        <v>0</v>
      </c>
      <c r="AC33" s="292">
        <f t="shared" si="38"/>
        <v>0</v>
      </c>
      <c r="AD33" s="324">
        <f t="shared" si="39"/>
        <v>0</v>
      </c>
      <c r="AE33" s="290">
        <v>0</v>
      </c>
      <c r="AF33" s="328">
        <f t="shared" si="40"/>
        <v>0</v>
      </c>
      <c r="AG33" s="290">
        <f>'[2]Table 5C1M-B.R. Charter'!AI33+'[14]Table 5C1M-B.R. Charter'!AI33+(6*'[20]Table 5C1M-B.R. Charter'!AI33)</f>
        <v>0</v>
      </c>
      <c r="AH33" s="290">
        <f t="shared" si="41"/>
        <v>0</v>
      </c>
      <c r="AI33" s="328">
        <f t="shared" si="25"/>
        <v>0</v>
      </c>
      <c r="AJ33" s="321">
        <f t="shared" si="42"/>
        <v>0</v>
      </c>
      <c r="AK33" s="342">
        <f t="shared" si="43"/>
        <v>0</v>
      </c>
      <c r="AM33" s="286">
        <v>0</v>
      </c>
      <c r="AN33" s="286">
        <f t="shared" si="44"/>
        <v>0</v>
      </c>
      <c r="AO33" s="286">
        <f t="shared" si="26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2.1.14'!S30</f>
        <v>0</v>
      </c>
      <c r="D34" s="201">
        <f>+'Table 5C1A-Madison Prep'!D34</f>
        <v>3137.4158846568821</v>
      </c>
      <c r="E34" s="202">
        <f t="shared" si="27"/>
        <v>0</v>
      </c>
      <c r="F34" s="202">
        <f>+'Table 5C1A-Madison Prep'!F34</f>
        <v>694.4</v>
      </c>
      <c r="G34" s="202">
        <f t="shared" si="28"/>
        <v>0</v>
      </c>
      <c r="H34" s="345">
        <f t="shared" si="29"/>
        <v>0</v>
      </c>
      <c r="I34" s="991">
        <f>'[1]Oct midyear B.R. Charter'!K31</f>
        <v>3831.8158846568822</v>
      </c>
      <c r="J34" s="203">
        <f>'[1]Feb midyear B.R. Charter'!K31</f>
        <v>0</v>
      </c>
      <c r="K34" s="204">
        <f t="shared" si="30"/>
        <v>3831.8158846568822</v>
      </c>
      <c r="L34" s="351">
        <f t="shared" si="20"/>
        <v>3831.8158846568822</v>
      </c>
      <c r="M34" s="286">
        <f t="shared" si="31"/>
        <v>-9.5795397116422052</v>
      </c>
      <c r="N34" s="351">
        <f t="shared" si="32"/>
        <v>3822.23634494524</v>
      </c>
      <c r="O34" s="203">
        <v>0</v>
      </c>
      <c r="P34" s="351">
        <f t="shared" si="21"/>
        <v>3822.23634494524</v>
      </c>
      <c r="Q34" s="203">
        <f>'[2]Table 5C1M-B.R. Charter'!S34+'[14]Table 5C1M-B.R. Charter'!S34+(6*'[20]Table 5C1M-B.R. Charter'!S34)</f>
        <v>0</v>
      </c>
      <c r="R34" s="203">
        <f t="shared" si="33"/>
        <v>3822.23634494524</v>
      </c>
      <c r="S34" s="351">
        <f t="shared" si="22"/>
        <v>956</v>
      </c>
      <c r="T34" s="351">
        <f t="shared" si="34"/>
        <v>3822.23634494524</v>
      </c>
      <c r="U34" s="287">
        <f>'Table 5C1A-Madison Prep'!U34</f>
        <v>5816</v>
      </c>
      <c r="V34" s="328">
        <f t="shared" si="23"/>
        <v>0</v>
      </c>
      <c r="W34" s="995">
        <f>'[1]Oct midyear B.R. Charter'!E31</f>
        <v>1</v>
      </c>
      <c r="X34" s="290">
        <f t="shared" si="35"/>
        <v>5816</v>
      </c>
      <c r="Y34" s="289">
        <f>'[1]Feb midyear B.R. Charter'!E31</f>
        <v>0</v>
      </c>
      <c r="Z34" s="290">
        <f t="shared" si="24"/>
        <v>0</v>
      </c>
      <c r="AA34" s="288">
        <f t="shared" si="36"/>
        <v>5816</v>
      </c>
      <c r="AB34" s="324">
        <f t="shared" si="37"/>
        <v>5816</v>
      </c>
      <c r="AC34" s="292">
        <f t="shared" si="38"/>
        <v>-14.540000000000001</v>
      </c>
      <c r="AD34" s="324">
        <f t="shared" si="39"/>
        <v>5801.46</v>
      </c>
      <c r="AE34" s="290">
        <v>0</v>
      </c>
      <c r="AF34" s="328">
        <f t="shared" si="40"/>
        <v>5801.46</v>
      </c>
      <c r="AG34" s="290">
        <f>'[2]Table 5C1M-B.R. Charter'!AI34+'[14]Table 5C1M-B.R. Charter'!AI34+(6*'[20]Table 5C1M-B.R. Charter'!AI34)</f>
        <v>0</v>
      </c>
      <c r="AH34" s="290">
        <f t="shared" si="41"/>
        <v>5801.46</v>
      </c>
      <c r="AI34" s="328">
        <f t="shared" si="25"/>
        <v>1450</v>
      </c>
      <c r="AJ34" s="321">
        <f t="shared" si="42"/>
        <v>9623.6963449452396</v>
      </c>
      <c r="AK34" s="342">
        <f t="shared" si="43"/>
        <v>2406</v>
      </c>
      <c r="AM34" s="286">
        <v>0</v>
      </c>
      <c r="AN34" s="286">
        <f t="shared" si="44"/>
        <v>-14.540000000000001</v>
      </c>
      <c r="AO34" s="286">
        <f>+AN34-AM34</f>
        <v>-14.540000000000001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2.1.14'!S31</f>
        <v>0</v>
      </c>
      <c r="D35" s="201">
        <f>+'Table 5C1A-Madison Prep'!D35</f>
        <v>3839.0123210173724</v>
      </c>
      <c r="E35" s="202">
        <f t="shared" si="27"/>
        <v>0</v>
      </c>
      <c r="F35" s="202">
        <f>+'Table 5C1A-Madison Prep'!F35</f>
        <v>754.94999999999993</v>
      </c>
      <c r="G35" s="202">
        <f t="shared" si="28"/>
        <v>0</v>
      </c>
      <c r="H35" s="345">
        <f t="shared" si="29"/>
        <v>0</v>
      </c>
      <c r="I35" s="991">
        <f>'[1]Oct midyear B.R. Charter'!K32</f>
        <v>0</v>
      </c>
      <c r="J35" s="203">
        <f>'[1]Feb midyear B.R. Charter'!K32</f>
        <v>0</v>
      </c>
      <c r="K35" s="204">
        <f t="shared" si="30"/>
        <v>0</v>
      </c>
      <c r="L35" s="351">
        <f t="shared" si="20"/>
        <v>0</v>
      </c>
      <c r="M35" s="286">
        <f t="shared" si="31"/>
        <v>0</v>
      </c>
      <c r="N35" s="351">
        <f t="shared" si="32"/>
        <v>0</v>
      </c>
      <c r="O35" s="203">
        <v>0</v>
      </c>
      <c r="P35" s="351">
        <f t="shared" si="21"/>
        <v>0</v>
      </c>
      <c r="Q35" s="203">
        <f>'[2]Table 5C1M-B.R. Charter'!S35+'[14]Table 5C1M-B.R. Charter'!S35+(6*'[20]Table 5C1M-B.R. Charter'!S35)</f>
        <v>0</v>
      </c>
      <c r="R35" s="203">
        <f t="shared" si="33"/>
        <v>0</v>
      </c>
      <c r="S35" s="351">
        <f t="shared" si="22"/>
        <v>0</v>
      </c>
      <c r="T35" s="351">
        <f t="shared" si="34"/>
        <v>0</v>
      </c>
      <c r="U35" s="287">
        <f>'Table 5C1A-Madison Prep'!U35</f>
        <v>5046</v>
      </c>
      <c r="V35" s="328">
        <f t="shared" si="23"/>
        <v>0</v>
      </c>
      <c r="W35" s="995">
        <f>'[1]Oct midyear B.R. Charter'!E32</f>
        <v>0</v>
      </c>
      <c r="X35" s="290">
        <f t="shared" si="35"/>
        <v>0</v>
      </c>
      <c r="Y35" s="289">
        <f>'[1]Feb midyear B.R. Charter'!E32</f>
        <v>0</v>
      </c>
      <c r="Z35" s="290">
        <f t="shared" si="24"/>
        <v>0</v>
      </c>
      <c r="AA35" s="288">
        <f t="shared" si="36"/>
        <v>0</v>
      </c>
      <c r="AB35" s="324">
        <f t="shared" si="37"/>
        <v>0</v>
      </c>
      <c r="AC35" s="292">
        <f t="shared" si="38"/>
        <v>0</v>
      </c>
      <c r="AD35" s="324">
        <f t="shared" si="39"/>
        <v>0</v>
      </c>
      <c r="AE35" s="290">
        <v>0</v>
      </c>
      <c r="AF35" s="328">
        <f t="shared" si="40"/>
        <v>0</v>
      </c>
      <c r="AG35" s="290">
        <f>'[2]Table 5C1M-B.R. Charter'!AI35+'[14]Table 5C1M-B.R. Charter'!AI35+(6*'[20]Table 5C1M-B.R. Charter'!AI35)</f>
        <v>0</v>
      </c>
      <c r="AH35" s="290">
        <f t="shared" si="41"/>
        <v>0</v>
      </c>
      <c r="AI35" s="328">
        <f t="shared" si="25"/>
        <v>0</v>
      </c>
      <c r="AJ35" s="321">
        <f t="shared" si="42"/>
        <v>0</v>
      </c>
      <c r="AK35" s="342">
        <f t="shared" si="43"/>
        <v>0</v>
      </c>
      <c r="AM35" s="286">
        <v>0</v>
      </c>
      <c r="AN35" s="286">
        <f t="shared" si="44"/>
        <v>0</v>
      </c>
      <c r="AO35" s="286">
        <f t="shared" ref="AO35:AO75" si="45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2.1.14'!S32</f>
        <v>0</v>
      </c>
      <c r="D36" s="194">
        <f>+'Table 5C1A-Madison Prep'!D36</f>
        <v>5804.5327273996763</v>
      </c>
      <c r="E36" s="195">
        <f t="shared" si="27"/>
        <v>0</v>
      </c>
      <c r="F36" s="195">
        <f>+'Table 5C1A-Madison Prep'!F36</f>
        <v>727.17</v>
      </c>
      <c r="G36" s="195">
        <f t="shared" si="28"/>
        <v>0</v>
      </c>
      <c r="H36" s="346">
        <f t="shared" si="29"/>
        <v>0</v>
      </c>
      <c r="I36" s="992">
        <f>'[1]Oct midyear B.R. Charter'!K33</f>
        <v>0</v>
      </c>
      <c r="J36" s="196">
        <f>'[1]Feb midyear B.R. Charter'!K33</f>
        <v>0</v>
      </c>
      <c r="K36" s="197">
        <f t="shared" si="30"/>
        <v>0</v>
      </c>
      <c r="L36" s="352">
        <f t="shared" si="20"/>
        <v>0</v>
      </c>
      <c r="M36" s="296">
        <f t="shared" si="31"/>
        <v>0</v>
      </c>
      <c r="N36" s="352">
        <f t="shared" si="32"/>
        <v>0</v>
      </c>
      <c r="O36" s="196">
        <v>0</v>
      </c>
      <c r="P36" s="352">
        <f t="shared" si="21"/>
        <v>0</v>
      </c>
      <c r="Q36" s="196">
        <f>'[2]Table 5C1M-B.R. Charter'!S36+'[14]Table 5C1M-B.R. Charter'!S36+(6*'[20]Table 5C1M-B.R. Charter'!S36)</f>
        <v>0</v>
      </c>
      <c r="R36" s="196">
        <f t="shared" si="33"/>
        <v>0</v>
      </c>
      <c r="S36" s="352">
        <f t="shared" si="22"/>
        <v>0</v>
      </c>
      <c r="T36" s="352">
        <f t="shared" si="34"/>
        <v>0</v>
      </c>
      <c r="U36" s="281">
        <f>'Table 5C1A-Madison Prep'!U36</f>
        <v>3999</v>
      </c>
      <c r="V36" s="329">
        <f t="shared" si="23"/>
        <v>0</v>
      </c>
      <c r="W36" s="996">
        <f>'[1]Oct midyear B.R. Charter'!E33</f>
        <v>0</v>
      </c>
      <c r="X36" s="282">
        <f t="shared" si="35"/>
        <v>0</v>
      </c>
      <c r="Y36" s="884">
        <f>'[1]Feb midyear B.R. Charter'!E33</f>
        <v>0</v>
      </c>
      <c r="Z36" s="282">
        <f t="shared" si="24"/>
        <v>0</v>
      </c>
      <c r="AA36" s="283">
        <f t="shared" si="36"/>
        <v>0</v>
      </c>
      <c r="AB36" s="325">
        <f t="shared" si="37"/>
        <v>0</v>
      </c>
      <c r="AC36" s="298">
        <f t="shared" si="38"/>
        <v>0</v>
      </c>
      <c r="AD36" s="325">
        <f t="shared" si="39"/>
        <v>0</v>
      </c>
      <c r="AE36" s="282">
        <v>0</v>
      </c>
      <c r="AF36" s="329">
        <f t="shared" si="40"/>
        <v>0</v>
      </c>
      <c r="AG36" s="282">
        <f>'[2]Table 5C1M-B.R. Charter'!AI36+'[14]Table 5C1M-B.R. Charter'!AI36+(6*'[20]Table 5C1M-B.R. Charter'!AI36)</f>
        <v>0</v>
      </c>
      <c r="AH36" s="282">
        <f t="shared" si="41"/>
        <v>0</v>
      </c>
      <c r="AI36" s="329">
        <f t="shared" si="25"/>
        <v>0</v>
      </c>
      <c r="AJ36" s="338">
        <f t="shared" si="42"/>
        <v>0</v>
      </c>
      <c r="AK36" s="343">
        <f t="shared" si="43"/>
        <v>0</v>
      </c>
      <c r="AM36" s="296">
        <v>0</v>
      </c>
      <c r="AN36" s="296">
        <f t="shared" si="44"/>
        <v>0</v>
      </c>
      <c r="AO36" s="296">
        <f t="shared" si="45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2.1.14'!S33</f>
        <v>0</v>
      </c>
      <c r="D37" s="208">
        <f>+'Table 5C1A-Madison Prep'!D37</f>
        <v>4520.6176716868531</v>
      </c>
      <c r="E37" s="209">
        <f t="shared" si="27"/>
        <v>0</v>
      </c>
      <c r="F37" s="209">
        <f>+'Table 5C1A-Madison Prep'!F37</f>
        <v>620.83000000000004</v>
      </c>
      <c r="G37" s="209">
        <f t="shared" si="28"/>
        <v>0</v>
      </c>
      <c r="H37" s="344">
        <f t="shared" si="29"/>
        <v>0</v>
      </c>
      <c r="I37" s="990">
        <f>'[1]Oct midyear B.R. Charter'!K34</f>
        <v>0</v>
      </c>
      <c r="J37" s="210">
        <f>'[1]Feb midyear B.R. Charter'!K34</f>
        <v>0</v>
      </c>
      <c r="K37" s="211">
        <f t="shared" si="30"/>
        <v>0</v>
      </c>
      <c r="L37" s="350">
        <f t="shared" si="20"/>
        <v>0</v>
      </c>
      <c r="M37" s="273">
        <f t="shared" si="31"/>
        <v>0</v>
      </c>
      <c r="N37" s="350">
        <f t="shared" si="32"/>
        <v>0</v>
      </c>
      <c r="O37" s="210">
        <v>0</v>
      </c>
      <c r="P37" s="350">
        <f t="shared" si="21"/>
        <v>0</v>
      </c>
      <c r="Q37" s="210">
        <f>'[2]Table 5C1M-B.R. Charter'!S37+'[14]Table 5C1M-B.R. Charter'!S37+(6*'[20]Table 5C1M-B.R. Charter'!S37)</f>
        <v>0</v>
      </c>
      <c r="R37" s="210">
        <f t="shared" si="33"/>
        <v>0</v>
      </c>
      <c r="S37" s="350">
        <f t="shared" si="22"/>
        <v>0</v>
      </c>
      <c r="T37" s="350">
        <f t="shared" si="34"/>
        <v>0</v>
      </c>
      <c r="U37" s="274">
        <f>'Table 5C1A-Madison Prep'!U37</f>
        <v>5028</v>
      </c>
      <c r="V37" s="327">
        <f t="shared" si="23"/>
        <v>0</v>
      </c>
      <c r="W37" s="994">
        <f>'[1]Oct midyear B.R. Charter'!E34</f>
        <v>0</v>
      </c>
      <c r="X37" s="276">
        <f t="shared" si="35"/>
        <v>0</v>
      </c>
      <c r="Y37" s="883">
        <f>'[1]Feb midyear B.R. Charter'!E34</f>
        <v>0</v>
      </c>
      <c r="Z37" s="276">
        <f t="shared" si="24"/>
        <v>0</v>
      </c>
      <c r="AA37" s="275">
        <f t="shared" si="36"/>
        <v>0</v>
      </c>
      <c r="AB37" s="323">
        <f t="shared" si="37"/>
        <v>0</v>
      </c>
      <c r="AC37" s="278">
        <f t="shared" si="38"/>
        <v>0</v>
      </c>
      <c r="AD37" s="323">
        <f t="shared" si="39"/>
        <v>0</v>
      </c>
      <c r="AE37" s="276">
        <v>0</v>
      </c>
      <c r="AF37" s="327">
        <f t="shared" si="40"/>
        <v>0</v>
      </c>
      <c r="AG37" s="276">
        <f>'[2]Table 5C1M-B.R. Charter'!AI37+'[14]Table 5C1M-B.R. Charter'!AI37+(6*'[20]Table 5C1M-B.R. Charter'!AI37)</f>
        <v>0</v>
      </c>
      <c r="AH37" s="276">
        <f t="shared" si="41"/>
        <v>0</v>
      </c>
      <c r="AI37" s="327">
        <f t="shared" si="25"/>
        <v>0</v>
      </c>
      <c r="AJ37" s="337">
        <f t="shared" si="42"/>
        <v>0</v>
      </c>
      <c r="AK37" s="341">
        <f t="shared" si="43"/>
        <v>0</v>
      </c>
      <c r="AM37" s="273">
        <v>0</v>
      </c>
      <c r="AN37" s="273">
        <f t="shared" si="44"/>
        <v>0</v>
      </c>
      <c r="AO37" s="273">
        <f t="shared" si="45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2.1.14'!S34</f>
        <v>1</v>
      </c>
      <c r="D38" s="201">
        <f>+'Table 5C1A-Madison Prep'!D38</f>
        <v>5652.819189061127</v>
      </c>
      <c r="E38" s="202">
        <f t="shared" si="27"/>
        <v>5652.819189061127</v>
      </c>
      <c r="F38" s="202">
        <f>+'Table 5C1A-Madison Prep'!F38</f>
        <v>559.77</v>
      </c>
      <c r="G38" s="202">
        <f t="shared" si="28"/>
        <v>559.77</v>
      </c>
      <c r="H38" s="345">
        <f t="shared" si="29"/>
        <v>6212.5891890611274</v>
      </c>
      <c r="I38" s="991">
        <f>'[1]Oct midyear B.R. Charter'!K35</f>
        <v>-6212.5891890611274</v>
      </c>
      <c r="J38" s="203">
        <f>'[1]Feb midyear B.R. Charter'!K35</f>
        <v>0</v>
      </c>
      <c r="K38" s="204">
        <f t="shared" si="30"/>
        <v>-6212.5891890611274</v>
      </c>
      <c r="L38" s="351">
        <f t="shared" si="20"/>
        <v>0</v>
      </c>
      <c r="M38" s="286">
        <f t="shared" si="31"/>
        <v>0</v>
      </c>
      <c r="N38" s="351">
        <f t="shared" si="32"/>
        <v>0</v>
      </c>
      <c r="O38" s="203">
        <v>0</v>
      </c>
      <c r="P38" s="351">
        <f t="shared" si="21"/>
        <v>0</v>
      </c>
      <c r="Q38" s="203">
        <f>'[2]Table 5C1M-B.R. Charter'!S38+'[14]Table 5C1M-B.R. Charter'!S38+(6*'[20]Table 5C1M-B.R. Charter'!S38)</f>
        <v>3907</v>
      </c>
      <c r="R38" s="203">
        <f t="shared" si="33"/>
        <v>-3907</v>
      </c>
      <c r="S38" s="351">
        <f t="shared" si="22"/>
        <v>-977</v>
      </c>
      <c r="T38" s="351">
        <f t="shared" si="34"/>
        <v>0</v>
      </c>
      <c r="U38" s="287">
        <f>'Table 5C1A-Madison Prep'!U38</f>
        <v>2139</v>
      </c>
      <c r="V38" s="328">
        <f t="shared" si="23"/>
        <v>2139</v>
      </c>
      <c r="W38" s="995">
        <f>'[1]Oct midyear B.R. Charter'!E35</f>
        <v>-1</v>
      </c>
      <c r="X38" s="290">
        <f t="shared" si="35"/>
        <v>-2139</v>
      </c>
      <c r="Y38" s="289">
        <f>'[1]Feb midyear B.R. Charter'!E35</f>
        <v>0</v>
      </c>
      <c r="Z38" s="290">
        <f t="shared" si="24"/>
        <v>0</v>
      </c>
      <c r="AA38" s="288">
        <f t="shared" si="36"/>
        <v>-2139</v>
      </c>
      <c r="AB38" s="324">
        <f t="shared" si="37"/>
        <v>0</v>
      </c>
      <c r="AC38" s="292">
        <f t="shared" si="38"/>
        <v>0</v>
      </c>
      <c r="AD38" s="324">
        <f t="shared" si="39"/>
        <v>0</v>
      </c>
      <c r="AE38" s="290">
        <v>0</v>
      </c>
      <c r="AF38" s="328">
        <f t="shared" si="40"/>
        <v>0</v>
      </c>
      <c r="AG38" s="290">
        <f>'[2]Table 5C1M-B.R. Charter'!AI38+'[14]Table 5C1M-B.R. Charter'!AI38+(6*'[20]Table 5C1M-B.R. Charter'!AI38)</f>
        <v>1336</v>
      </c>
      <c r="AH38" s="290">
        <f t="shared" si="41"/>
        <v>-1336</v>
      </c>
      <c r="AI38" s="328">
        <f t="shared" si="25"/>
        <v>-334</v>
      </c>
      <c r="AJ38" s="321">
        <f t="shared" si="42"/>
        <v>0</v>
      </c>
      <c r="AK38" s="342">
        <f t="shared" si="43"/>
        <v>-1311</v>
      </c>
      <c r="AM38" s="286">
        <v>-5.3025000000000002</v>
      </c>
      <c r="AN38" s="286">
        <f t="shared" si="44"/>
        <v>0</v>
      </c>
      <c r="AO38" s="286">
        <f t="shared" si="45"/>
        <v>5.3025000000000002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2.1.14'!S35</f>
        <v>0</v>
      </c>
      <c r="D39" s="201">
        <f>+'Table 5C1A-Madison Prep'!D39</f>
        <v>5456.2254558085233</v>
      </c>
      <c r="E39" s="202">
        <f t="shared" si="27"/>
        <v>0</v>
      </c>
      <c r="F39" s="202">
        <f>+'Table 5C1A-Madison Prep'!F39</f>
        <v>655.31000000000006</v>
      </c>
      <c r="G39" s="202">
        <f t="shared" si="28"/>
        <v>0</v>
      </c>
      <c r="H39" s="345">
        <f t="shared" si="29"/>
        <v>0</v>
      </c>
      <c r="I39" s="991">
        <f>'[1]Oct midyear B.R. Charter'!K36</f>
        <v>0</v>
      </c>
      <c r="J39" s="203">
        <f>'[1]Feb midyear B.R. Charter'!K36</f>
        <v>0</v>
      </c>
      <c r="K39" s="204">
        <f t="shared" si="30"/>
        <v>0</v>
      </c>
      <c r="L39" s="351">
        <f t="shared" ref="L39:L70" si="46">H39+K39</f>
        <v>0</v>
      </c>
      <c r="M39" s="286">
        <f t="shared" si="31"/>
        <v>0</v>
      </c>
      <c r="N39" s="351">
        <f t="shared" si="32"/>
        <v>0</v>
      </c>
      <c r="O39" s="203">
        <v>0</v>
      </c>
      <c r="P39" s="351">
        <f t="shared" si="21"/>
        <v>0</v>
      </c>
      <c r="Q39" s="203">
        <f>'[2]Table 5C1M-B.R. Charter'!S39+'[14]Table 5C1M-B.R. Charter'!S39+(6*'[20]Table 5C1M-B.R. Charter'!S39)</f>
        <v>0</v>
      </c>
      <c r="R39" s="203">
        <f t="shared" si="33"/>
        <v>0</v>
      </c>
      <c r="S39" s="351">
        <f t="shared" ref="S39:S70" si="47">ROUND(R39/$S$88,0)</f>
        <v>0</v>
      </c>
      <c r="T39" s="351">
        <f t="shared" si="34"/>
        <v>0</v>
      </c>
      <c r="U39" s="287">
        <f>'Table 5C1A-Madison Prep'!U39</f>
        <v>3784</v>
      </c>
      <c r="V39" s="328">
        <f t="shared" ref="V39:V70" si="48">C39*U39</f>
        <v>0</v>
      </c>
      <c r="W39" s="995">
        <f>'[1]Oct midyear B.R. Charter'!E36</f>
        <v>0</v>
      </c>
      <c r="X39" s="290">
        <f t="shared" si="35"/>
        <v>0</v>
      </c>
      <c r="Y39" s="289">
        <f>'[1]Feb midyear B.R. Charter'!E36</f>
        <v>0</v>
      </c>
      <c r="Z39" s="290">
        <f t="shared" si="24"/>
        <v>0</v>
      </c>
      <c r="AA39" s="288">
        <f t="shared" si="36"/>
        <v>0</v>
      </c>
      <c r="AB39" s="324">
        <f t="shared" si="37"/>
        <v>0</v>
      </c>
      <c r="AC39" s="292">
        <f t="shared" si="38"/>
        <v>0</v>
      </c>
      <c r="AD39" s="324">
        <f t="shared" si="39"/>
        <v>0</v>
      </c>
      <c r="AE39" s="290">
        <v>0</v>
      </c>
      <c r="AF39" s="328">
        <f t="shared" si="40"/>
        <v>0</v>
      </c>
      <c r="AG39" s="290">
        <f>'[2]Table 5C1M-B.R. Charter'!AI39+'[14]Table 5C1M-B.R. Charter'!AI39+(6*'[20]Table 5C1M-B.R. Charter'!AI39)</f>
        <v>0</v>
      </c>
      <c r="AH39" s="290">
        <f t="shared" si="41"/>
        <v>0</v>
      </c>
      <c r="AI39" s="328">
        <f t="shared" ref="AI39:AI70" si="49">ROUND(AH39/$AI$88,0)</f>
        <v>0</v>
      </c>
      <c r="AJ39" s="321">
        <f t="shared" si="42"/>
        <v>0</v>
      </c>
      <c r="AK39" s="342">
        <f t="shared" ref="AK39:AK75" si="50">S39+AI39</f>
        <v>0</v>
      </c>
      <c r="AM39" s="286">
        <v>0</v>
      </c>
      <c r="AN39" s="286">
        <f t="shared" si="44"/>
        <v>0</v>
      </c>
      <c r="AO39" s="286">
        <f t="shared" si="45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2.1.14'!S36</f>
        <v>0</v>
      </c>
      <c r="D40" s="201">
        <f>+'Table 5C1A-Madison Prep'!D40</f>
        <v>6292.0976842789005</v>
      </c>
      <c r="E40" s="202">
        <f t="shared" si="27"/>
        <v>0</v>
      </c>
      <c r="F40" s="202">
        <f>+'Table 5C1A-Madison Prep'!F40</f>
        <v>644.11000000000013</v>
      </c>
      <c r="G40" s="202">
        <f t="shared" si="28"/>
        <v>0</v>
      </c>
      <c r="H40" s="345">
        <f t="shared" si="29"/>
        <v>0</v>
      </c>
      <c r="I40" s="991">
        <f>'[1]Oct midyear B.R. Charter'!K37</f>
        <v>0</v>
      </c>
      <c r="J40" s="203">
        <f>'[1]Feb midyear B.R. Charter'!K37</f>
        <v>0</v>
      </c>
      <c r="K40" s="204">
        <f t="shared" si="30"/>
        <v>0</v>
      </c>
      <c r="L40" s="351">
        <f t="shared" si="46"/>
        <v>0</v>
      </c>
      <c r="M40" s="286">
        <f t="shared" si="31"/>
        <v>0</v>
      </c>
      <c r="N40" s="351">
        <f t="shared" si="32"/>
        <v>0</v>
      </c>
      <c r="O40" s="203">
        <v>0</v>
      </c>
      <c r="P40" s="351">
        <f t="shared" si="21"/>
        <v>0</v>
      </c>
      <c r="Q40" s="203">
        <f>'[2]Table 5C1M-B.R. Charter'!S40+'[14]Table 5C1M-B.R. Charter'!S40+(6*'[20]Table 5C1M-B.R. Charter'!S40)</f>
        <v>0</v>
      </c>
      <c r="R40" s="203">
        <f t="shared" si="33"/>
        <v>0</v>
      </c>
      <c r="S40" s="351">
        <f t="shared" si="47"/>
        <v>0</v>
      </c>
      <c r="T40" s="351">
        <f t="shared" si="34"/>
        <v>0</v>
      </c>
      <c r="U40" s="287">
        <f>'Table 5C1A-Madison Prep'!U40</f>
        <v>2911</v>
      </c>
      <c r="V40" s="328">
        <f t="shared" si="48"/>
        <v>0</v>
      </c>
      <c r="W40" s="995">
        <f>'[1]Oct midyear B.R. Charter'!E37</f>
        <v>0</v>
      </c>
      <c r="X40" s="290">
        <f t="shared" si="35"/>
        <v>0</v>
      </c>
      <c r="Y40" s="289">
        <f>'[1]Feb midyear B.R. Charter'!E37</f>
        <v>0</v>
      </c>
      <c r="Z40" s="290">
        <f t="shared" si="24"/>
        <v>0</v>
      </c>
      <c r="AA40" s="288">
        <f t="shared" si="36"/>
        <v>0</v>
      </c>
      <c r="AB40" s="324">
        <f t="shared" si="37"/>
        <v>0</v>
      </c>
      <c r="AC40" s="292">
        <f t="shared" si="38"/>
        <v>0</v>
      </c>
      <c r="AD40" s="324">
        <f t="shared" si="39"/>
        <v>0</v>
      </c>
      <c r="AE40" s="290">
        <v>0</v>
      </c>
      <c r="AF40" s="328">
        <f t="shared" si="40"/>
        <v>0</v>
      </c>
      <c r="AG40" s="290">
        <f>'[2]Table 5C1M-B.R. Charter'!AI40+'[14]Table 5C1M-B.R. Charter'!AI40+(6*'[20]Table 5C1M-B.R. Charter'!AI40)</f>
        <v>0</v>
      </c>
      <c r="AH40" s="290">
        <f t="shared" si="41"/>
        <v>0</v>
      </c>
      <c r="AI40" s="328">
        <f t="shared" si="49"/>
        <v>0</v>
      </c>
      <c r="AJ40" s="321">
        <f t="shared" si="42"/>
        <v>0</v>
      </c>
      <c r="AK40" s="342">
        <f t="shared" si="50"/>
        <v>0</v>
      </c>
      <c r="AM40" s="286">
        <v>0</v>
      </c>
      <c r="AN40" s="286">
        <f t="shared" si="44"/>
        <v>0</v>
      </c>
      <c r="AO40" s="286">
        <f t="shared" si="45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2.1.14'!S37</f>
        <v>0</v>
      </c>
      <c r="D41" s="194">
        <f>+'Table 5C1A-Madison Prep'!D41</f>
        <v>5166.2482060477605</v>
      </c>
      <c r="E41" s="195">
        <f t="shared" si="27"/>
        <v>0</v>
      </c>
      <c r="F41" s="195">
        <f>+'Table 5C1A-Madison Prep'!F41</f>
        <v>537.96</v>
      </c>
      <c r="G41" s="195">
        <f t="shared" si="28"/>
        <v>0</v>
      </c>
      <c r="H41" s="346">
        <f t="shared" si="29"/>
        <v>0</v>
      </c>
      <c r="I41" s="992">
        <f>'[1]Oct midyear B.R. Charter'!K38</f>
        <v>0</v>
      </c>
      <c r="J41" s="196">
        <f>'[1]Feb midyear B.R. Charter'!K38</f>
        <v>0</v>
      </c>
      <c r="K41" s="197">
        <f t="shared" si="30"/>
        <v>0</v>
      </c>
      <c r="L41" s="352">
        <f t="shared" si="46"/>
        <v>0</v>
      </c>
      <c r="M41" s="296">
        <f t="shared" si="31"/>
        <v>0</v>
      </c>
      <c r="N41" s="352">
        <f t="shared" si="32"/>
        <v>0</v>
      </c>
      <c r="O41" s="196">
        <v>0</v>
      </c>
      <c r="P41" s="352">
        <f t="shared" si="21"/>
        <v>0</v>
      </c>
      <c r="Q41" s="196">
        <f>'[2]Table 5C1M-B.R. Charter'!S41+'[14]Table 5C1M-B.R. Charter'!S41+(6*'[20]Table 5C1M-B.R. Charter'!S41)</f>
        <v>0</v>
      </c>
      <c r="R41" s="196">
        <f t="shared" si="33"/>
        <v>0</v>
      </c>
      <c r="S41" s="352">
        <f t="shared" si="47"/>
        <v>0</v>
      </c>
      <c r="T41" s="352">
        <f t="shared" si="34"/>
        <v>0</v>
      </c>
      <c r="U41" s="281">
        <f>'Table 5C1A-Madison Prep'!U41</f>
        <v>3337</v>
      </c>
      <c r="V41" s="329">
        <f t="shared" si="48"/>
        <v>0</v>
      </c>
      <c r="W41" s="996">
        <f>'[1]Oct midyear B.R. Charter'!E38</f>
        <v>0</v>
      </c>
      <c r="X41" s="282">
        <f t="shared" si="35"/>
        <v>0</v>
      </c>
      <c r="Y41" s="884">
        <f>'[1]Feb midyear B.R. Charter'!E38</f>
        <v>0</v>
      </c>
      <c r="Z41" s="282">
        <f t="shared" si="24"/>
        <v>0</v>
      </c>
      <c r="AA41" s="283">
        <f t="shared" si="36"/>
        <v>0</v>
      </c>
      <c r="AB41" s="325">
        <f t="shared" si="37"/>
        <v>0</v>
      </c>
      <c r="AC41" s="298">
        <f t="shared" si="38"/>
        <v>0</v>
      </c>
      <c r="AD41" s="325">
        <f t="shared" si="39"/>
        <v>0</v>
      </c>
      <c r="AE41" s="282">
        <v>0</v>
      </c>
      <c r="AF41" s="329">
        <f t="shared" si="40"/>
        <v>0</v>
      </c>
      <c r="AG41" s="282">
        <f>'[2]Table 5C1M-B.R. Charter'!AI41+'[14]Table 5C1M-B.R. Charter'!AI41+(6*'[20]Table 5C1M-B.R. Charter'!AI41)</f>
        <v>0</v>
      </c>
      <c r="AH41" s="282">
        <f t="shared" si="41"/>
        <v>0</v>
      </c>
      <c r="AI41" s="329">
        <f t="shared" si="49"/>
        <v>0</v>
      </c>
      <c r="AJ41" s="338">
        <f t="shared" si="42"/>
        <v>0</v>
      </c>
      <c r="AK41" s="343">
        <f t="shared" si="50"/>
        <v>0</v>
      </c>
      <c r="AM41" s="296">
        <v>0</v>
      </c>
      <c r="AN41" s="296">
        <f t="shared" si="44"/>
        <v>0</v>
      </c>
      <c r="AO41" s="296">
        <f t="shared" si="45"/>
        <v>0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2.1.14'!S38</f>
        <v>0</v>
      </c>
      <c r="D42" s="208">
        <f>+'Table 5C1A-Madison Prep'!D42</f>
        <v>3602.7009974327857</v>
      </c>
      <c r="E42" s="209">
        <f t="shared" si="27"/>
        <v>0</v>
      </c>
      <c r="F42" s="209">
        <f>+'Table 5C1A-Madison Prep'!F42</f>
        <v>746.0335616438357</v>
      </c>
      <c r="G42" s="209">
        <f t="shared" si="28"/>
        <v>0</v>
      </c>
      <c r="H42" s="344">
        <f t="shared" si="29"/>
        <v>0</v>
      </c>
      <c r="I42" s="990">
        <f>'[1]Oct midyear B.R. Charter'!K39</f>
        <v>0</v>
      </c>
      <c r="J42" s="210">
        <f>'[1]Feb midyear B.R. Charter'!K39</f>
        <v>0</v>
      </c>
      <c r="K42" s="211">
        <f t="shared" si="30"/>
        <v>0</v>
      </c>
      <c r="L42" s="350">
        <f t="shared" si="46"/>
        <v>0</v>
      </c>
      <c r="M42" s="273">
        <f t="shared" si="31"/>
        <v>0</v>
      </c>
      <c r="N42" s="350">
        <f t="shared" si="32"/>
        <v>0</v>
      </c>
      <c r="O42" s="210">
        <v>0</v>
      </c>
      <c r="P42" s="350">
        <f t="shared" si="21"/>
        <v>0</v>
      </c>
      <c r="Q42" s="210">
        <f>'[2]Table 5C1M-B.R. Charter'!S42+'[14]Table 5C1M-B.R. Charter'!S42+(6*'[20]Table 5C1M-B.R. Charter'!S42)</f>
        <v>0</v>
      </c>
      <c r="R42" s="210">
        <f t="shared" si="33"/>
        <v>0</v>
      </c>
      <c r="S42" s="350">
        <f t="shared" si="47"/>
        <v>0</v>
      </c>
      <c r="T42" s="350">
        <f t="shared" si="34"/>
        <v>0</v>
      </c>
      <c r="U42" s="274">
        <f>'Table 5C1A-Madison Prep'!U42</f>
        <v>5469</v>
      </c>
      <c r="V42" s="327">
        <f t="shared" si="48"/>
        <v>0</v>
      </c>
      <c r="W42" s="994">
        <f>'[1]Oct midyear B.R. Charter'!E39</f>
        <v>0</v>
      </c>
      <c r="X42" s="276">
        <f t="shared" si="35"/>
        <v>0</v>
      </c>
      <c r="Y42" s="883">
        <f>'[1]Feb midyear B.R. Charter'!E39</f>
        <v>0</v>
      </c>
      <c r="Z42" s="276">
        <f t="shared" si="24"/>
        <v>0</v>
      </c>
      <c r="AA42" s="275">
        <f t="shared" si="36"/>
        <v>0</v>
      </c>
      <c r="AB42" s="323">
        <f t="shared" si="37"/>
        <v>0</v>
      </c>
      <c r="AC42" s="278">
        <f t="shared" si="38"/>
        <v>0</v>
      </c>
      <c r="AD42" s="323">
        <f t="shared" si="39"/>
        <v>0</v>
      </c>
      <c r="AE42" s="276">
        <v>0</v>
      </c>
      <c r="AF42" s="327">
        <f t="shared" si="40"/>
        <v>0</v>
      </c>
      <c r="AG42" s="276">
        <f>'[2]Table 5C1M-B.R. Charter'!AI42+'[14]Table 5C1M-B.R. Charter'!AI42+(6*'[20]Table 5C1M-B.R. Charter'!AI42)</f>
        <v>0</v>
      </c>
      <c r="AH42" s="276">
        <f t="shared" si="41"/>
        <v>0</v>
      </c>
      <c r="AI42" s="327">
        <f t="shared" si="49"/>
        <v>0</v>
      </c>
      <c r="AJ42" s="337">
        <f t="shared" si="42"/>
        <v>0</v>
      </c>
      <c r="AK42" s="341">
        <f t="shared" si="50"/>
        <v>0</v>
      </c>
      <c r="AM42" s="273">
        <v>0</v>
      </c>
      <c r="AN42" s="273">
        <f t="shared" si="44"/>
        <v>0</v>
      </c>
      <c r="AO42" s="273">
        <f t="shared" si="45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2.1.14'!S39</f>
        <v>0</v>
      </c>
      <c r="D43" s="201">
        <f>+'Table 5C1A-Madison Prep'!D43</f>
        <v>5665.3839260317691</v>
      </c>
      <c r="E43" s="202">
        <f t="shared" si="27"/>
        <v>0</v>
      </c>
      <c r="F43" s="202">
        <f>+'Table 5C1A-Madison Prep'!F43</f>
        <v>653.61</v>
      </c>
      <c r="G43" s="202">
        <f t="shared" si="28"/>
        <v>0</v>
      </c>
      <c r="H43" s="345">
        <f t="shared" si="29"/>
        <v>0</v>
      </c>
      <c r="I43" s="991">
        <f>'[1]Oct midyear B.R. Charter'!K40</f>
        <v>0</v>
      </c>
      <c r="J43" s="203">
        <f>'[1]Feb midyear B.R. Charter'!K40</f>
        <v>0</v>
      </c>
      <c r="K43" s="204">
        <f t="shared" si="30"/>
        <v>0</v>
      </c>
      <c r="L43" s="351">
        <f t="shared" si="46"/>
        <v>0</v>
      </c>
      <c r="M43" s="286">
        <f t="shared" si="31"/>
        <v>0</v>
      </c>
      <c r="N43" s="351">
        <f t="shared" si="32"/>
        <v>0</v>
      </c>
      <c r="O43" s="203">
        <v>0</v>
      </c>
      <c r="P43" s="351">
        <f t="shared" si="21"/>
        <v>0</v>
      </c>
      <c r="Q43" s="203">
        <f>'[2]Table 5C1M-B.R. Charter'!S43+'[14]Table 5C1M-B.R. Charter'!S43+(6*'[20]Table 5C1M-B.R. Charter'!S43)</f>
        <v>0</v>
      </c>
      <c r="R43" s="203">
        <f t="shared" si="33"/>
        <v>0</v>
      </c>
      <c r="S43" s="351">
        <f t="shared" si="47"/>
        <v>0</v>
      </c>
      <c r="T43" s="351">
        <f t="shared" si="34"/>
        <v>0</v>
      </c>
      <c r="U43" s="287">
        <f>'Table 5C1A-Madison Prep'!U43</f>
        <v>3424</v>
      </c>
      <c r="V43" s="328">
        <f t="shared" si="48"/>
        <v>0</v>
      </c>
      <c r="W43" s="995">
        <f>'[1]Oct midyear B.R. Charter'!E40</f>
        <v>0</v>
      </c>
      <c r="X43" s="290">
        <f t="shared" si="35"/>
        <v>0</v>
      </c>
      <c r="Y43" s="289">
        <f>'[1]Feb midyear B.R. Charter'!E40</f>
        <v>0</v>
      </c>
      <c r="Z43" s="290">
        <f t="shared" si="24"/>
        <v>0</v>
      </c>
      <c r="AA43" s="288">
        <f t="shared" si="36"/>
        <v>0</v>
      </c>
      <c r="AB43" s="324">
        <f t="shared" si="37"/>
        <v>0</v>
      </c>
      <c r="AC43" s="292">
        <f t="shared" si="38"/>
        <v>0</v>
      </c>
      <c r="AD43" s="324">
        <f t="shared" si="39"/>
        <v>0</v>
      </c>
      <c r="AE43" s="290">
        <v>0</v>
      </c>
      <c r="AF43" s="328">
        <f t="shared" si="40"/>
        <v>0</v>
      </c>
      <c r="AG43" s="290">
        <f>'[2]Table 5C1M-B.R. Charter'!AI43+'[14]Table 5C1M-B.R. Charter'!AI43+(6*'[20]Table 5C1M-B.R. Charter'!AI43)</f>
        <v>0</v>
      </c>
      <c r="AH43" s="290">
        <f t="shared" si="41"/>
        <v>0</v>
      </c>
      <c r="AI43" s="328">
        <f t="shared" si="49"/>
        <v>0</v>
      </c>
      <c r="AJ43" s="321">
        <f t="shared" si="42"/>
        <v>0</v>
      </c>
      <c r="AK43" s="342">
        <f t="shared" si="50"/>
        <v>0</v>
      </c>
      <c r="AM43" s="286">
        <v>0</v>
      </c>
      <c r="AN43" s="286">
        <f t="shared" si="44"/>
        <v>0</v>
      </c>
      <c r="AO43" s="286">
        <f t="shared" si="45"/>
        <v>0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2.1.14'!S40</f>
        <v>0</v>
      </c>
      <c r="D44" s="201">
        <f>+'Table 5C1A-Madison Prep'!D44</f>
        <v>2088.8017552916881</v>
      </c>
      <c r="E44" s="202">
        <f t="shared" si="27"/>
        <v>0</v>
      </c>
      <c r="F44" s="202">
        <f>+'Table 5C1A-Madison Prep'!F44</f>
        <v>829.92000000000007</v>
      </c>
      <c r="G44" s="202">
        <f t="shared" si="28"/>
        <v>0</v>
      </c>
      <c r="H44" s="345">
        <f t="shared" si="29"/>
        <v>0</v>
      </c>
      <c r="I44" s="991">
        <f>'[1]Oct midyear B.R. Charter'!K41</f>
        <v>0</v>
      </c>
      <c r="J44" s="203">
        <f>'[1]Feb midyear B.R. Charter'!K41</f>
        <v>0</v>
      </c>
      <c r="K44" s="204">
        <f t="shared" si="30"/>
        <v>0</v>
      </c>
      <c r="L44" s="351">
        <f t="shared" si="46"/>
        <v>0</v>
      </c>
      <c r="M44" s="286">
        <f t="shared" si="31"/>
        <v>0</v>
      </c>
      <c r="N44" s="351">
        <f t="shared" si="32"/>
        <v>0</v>
      </c>
      <c r="O44" s="203">
        <v>0</v>
      </c>
      <c r="P44" s="351">
        <f t="shared" si="21"/>
        <v>0</v>
      </c>
      <c r="Q44" s="203">
        <f>'[2]Table 5C1M-B.R. Charter'!S44+'[14]Table 5C1M-B.R. Charter'!S44+(6*'[20]Table 5C1M-B.R. Charter'!S44)</f>
        <v>0</v>
      </c>
      <c r="R44" s="203">
        <f t="shared" si="33"/>
        <v>0</v>
      </c>
      <c r="S44" s="351">
        <f t="shared" si="47"/>
        <v>0</v>
      </c>
      <c r="T44" s="351">
        <f t="shared" si="34"/>
        <v>0</v>
      </c>
      <c r="U44" s="287">
        <f>'Table 5C1A-Madison Prep'!U44</f>
        <v>11060</v>
      </c>
      <c r="V44" s="328">
        <f t="shared" si="48"/>
        <v>0</v>
      </c>
      <c r="W44" s="995">
        <f>'[1]Oct midyear B.R. Charter'!E41</f>
        <v>0</v>
      </c>
      <c r="X44" s="290">
        <f t="shared" si="35"/>
        <v>0</v>
      </c>
      <c r="Y44" s="289">
        <f>'[1]Feb midyear B.R. Charter'!E41</f>
        <v>0</v>
      </c>
      <c r="Z44" s="290">
        <f t="shared" si="24"/>
        <v>0</v>
      </c>
      <c r="AA44" s="288">
        <f t="shared" si="36"/>
        <v>0</v>
      </c>
      <c r="AB44" s="324">
        <f t="shared" si="37"/>
        <v>0</v>
      </c>
      <c r="AC44" s="292">
        <f t="shared" si="38"/>
        <v>0</v>
      </c>
      <c r="AD44" s="324">
        <f t="shared" si="39"/>
        <v>0</v>
      </c>
      <c r="AE44" s="290">
        <v>0</v>
      </c>
      <c r="AF44" s="328">
        <f t="shared" si="40"/>
        <v>0</v>
      </c>
      <c r="AG44" s="290">
        <f>'[2]Table 5C1M-B.R. Charter'!AI44+'[14]Table 5C1M-B.R. Charter'!AI44+(6*'[20]Table 5C1M-B.R. Charter'!AI44)</f>
        <v>0</v>
      </c>
      <c r="AH44" s="290">
        <f t="shared" si="41"/>
        <v>0</v>
      </c>
      <c r="AI44" s="328">
        <f t="shared" si="49"/>
        <v>0</v>
      </c>
      <c r="AJ44" s="321">
        <f t="shared" si="42"/>
        <v>0</v>
      </c>
      <c r="AK44" s="342">
        <f t="shared" si="50"/>
        <v>0</v>
      </c>
      <c r="AM44" s="286">
        <v>0</v>
      </c>
      <c r="AN44" s="286">
        <f t="shared" si="44"/>
        <v>0</v>
      </c>
      <c r="AO44" s="286">
        <f t="shared" si="45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2.1.14'!S41</f>
        <v>0</v>
      </c>
      <c r="D45" s="201">
        <f>+'Table 5C1A-Madison Prep'!D45</f>
        <v>3656.9056809295676</v>
      </c>
      <c r="E45" s="202">
        <f t="shared" si="27"/>
        <v>0</v>
      </c>
      <c r="F45" s="202">
        <f>+'Table 5C1A-Madison Prep'!F45</f>
        <v>779.65573042776396</v>
      </c>
      <c r="G45" s="202">
        <f t="shared" si="28"/>
        <v>0</v>
      </c>
      <c r="H45" s="345">
        <f t="shared" si="29"/>
        <v>0</v>
      </c>
      <c r="I45" s="991">
        <f>'[1]Oct midyear B.R. Charter'!K42</f>
        <v>0</v>
      </c>
      <c r="J45" s="203">
        <f>'[1]Feb midyear B.R. Charter'!K42</f>
        <v>0</v>
      </c>
      <c r="K45" s="204">
        <f t="shared" si="30"/>
        <v>0</v>
      </c>
      <c r="L45" s="351">
        <f t="shared" si="46"/>
        <v>0</v>
      </c>
      <c r="M45" s="286">
        <f t="shared" si="31"/>
        <v>0</v>
      </c>
      <c r="N45" s="351">
        <f t="shared" si="32"/>
        <v>0</v>
      </c>
      <c r="O45" s="203">
        <v>0</v>
      </c>
      <c r="P45" s="351">
        <f t="shared" si="21"/>
        <v>0</v>
      </c>
      <c r="Q45" s="203">
        <f>'[2]Table 5C1M-B.R. Charter'!S45+'[14]Table 5C1M-B.R. Charter'!S45+(6*'[20]Table 5C1M-B.R. Charter'!S45)</f>
        <v>0</v>
      </c>
      <c r="R45" s="203">
        <f t="shared" si="33"/>
        <v>0</v>
      </c>
      <c r="S45" s="351">
        <f t="shared" si="47"/>
        <v>0</v>
      </c>
      <c r="T45" s="351">
        <f t="shared" si="34"/>
        <v>0</v>
      </c>
      <c r="U45" s="287">
        <f>'Table 5C1A-Madison Prep'!U45</f>
        <v>4922</v>
      </c>
      <c r="V45" s="328">
        <f t="shared" si="48"/>
        <v>0</v>
      </c>
      <c r="W45" s="995">
        <f>'[1]Oct midyear B.R. Charter'!E42</f>
        <v>0</v>
      </c>
      <c r="X45" s="290">
        <f t="shared" si="35"/>
        <v>0</v>
      </c>
      <c r="Y45" s="289">
        <f>'[1]Feb midyear B.R. Charter'!E42</f>
        <v>0</v>
      </c>
      <c r="Z45" s="290">
        <f t="shared" si="24"/>
        <v>0</v>
      </c>
      <c r="AA45" s="288">
        <f t="shared" si="36"/>
        <v>0</v>
      </c>
      <c r="AB45" s="324">
        <f t="shared" si="37"/>
        <v>0</v>
      </c>
      <c r="AC45" s="292">
        <f t="shared" si="38"/>
        <v>0</v>
      </c>
      <c r="AD45" s="324">
        <f t="shared" si="39"/>
        <v>0</v>
      </c>
      <c r="AE45" s="290">
        <v>0</v>
      </c>
      <c r="AF45" s="328">
        <f t="shared" si="40"/>
        <v>0</v>
      </c>
      <c r="AG45" s="290">
        <f>'[2]Table 5C1M-B.R. Charter'!AI45+'[14]Table 5C1M-B.R. Charter'!AI45+(6*'[20]Table 5C1M-B.R. Charter'!AI45)</f>
        <v>0</v>
      </c>
      <c r="AH45" s="290">
        <f t="shared" si="41"/>
        <v>0</v>
      </c>
      <c r="AI45" s="328">
        <f t="shared" si="49"/>
        <v>0</v>
      </c>
      <c r="AJ45" s="321">
        <f t="shared" si="42"/>
        <v>0</v>
      </c>
      <c r="AK45" s="342">
        <f t="shared" si="50"/>
        <v>0</v>
      </c>
      <c r="AM45" s="286">
        <v>0</v>
      </c>
      <c r="AN45" s="286">
        <f t="shared" si="44"/>
        <v>0</v>
      </c>
      <c r="AO45" s="286">
        <f t="shared" si="45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2.1.14'!S42</f>
        <v>0</v>
      </c>
      <c r="D46" s="194">
        <f>+'Table 5C1A-Madison Prep'!D46</f>
        <v>5121.8110285698403</v>
      </c>
      <c r="E46" s="195">
        <f t="shared" si="27"/>
        <v>0</v>
      </c>
      <c r="F46" s="195">
        <f>+'Table 5C1A-Madison Prep'!F46</f>
        <v>700.2700000000001</v>
      </c>
      <c r="G46" s="195">
        <f t="shared" si="28"/>
        <v>0</v>
      </c>
      <c r="H46" s="346">
        <f t="shared" si="29"/>
        <v>0</v>
      </c>
      <c r="I46" s="992">
        <f>'[1]Oct midyear B.R. Charter'!K43</f>
        <v>0</v>
      </c>
      <c r="J46" s="196">
        <f>'[1]Feb midyear B.R. Charter'!K43</f>
        <v>0</v>
      </c>
      <c r="K46" s="197">
        <f t="shared" si="30"/>
        <v>0</v>
      </c>
      <c r="L46" s="352">
        <f t="shared" si="46"/>
        <v>0</v>
      </c>
      <c r="M46" s="296">
        <f t="shared" si="31"/>
        <v>0</v>
      </c>
      <c r="N46" s="352">
        <f t="shared" si="32"/>
        <v>0</v>
      </c>
      <c r="O46" s="196">
        <v>0</v>
      </c>
      <c r="P46" s="352">
        <f t="shared" si="21"/>
        <v>0</v>
      </c>
      <c r="Q46" s="196">
        <f>'[2]Table 5C1M-B.R. Charter'!S46+'[14]Table 5C1M-B.R. Charter'!S46+(6*'[20]Table 5C1M-B.R. Charter'!S46)</f>
        <v>0</v>
      </c>
      <c r="R46" s="196">
        <f t="shared" si="33"/>
        <v>0</v>
      </c>
      <c r="S46" s="352">
        <f t="shared" si="47"/>
        <v>0</v>
      </c>
      <c r="T46" s="352">
        <f t="shared" si="34"/>
        <v>0</v>
      </c>
      <c r="U46" s="281">
        <f>'Table 5C1A-Madison Prep'!U46</f>
        <v>3152</v>
      </c>
      <c r="V46" s="329">
        <f t="shared" si="48"/>
        <v>0</v>
      </c>
      <c r="W46" s="996">
        <f>'[1]Oct midyear B.R. Charter'!E43</f>
        <v>0</v>
      </c>
      <c r="X46" s="282">
        <f t="shared" si="35"/>
        <v>0</v>
      </c>
      <c r="Y46" s="884">
        <f>'[1]Feb midyear B.R. Charter'!E43</f>
        <v>0</v>
      </c>
      <c r="Z46" s="282">
        <f t="shared" si="24"/>
        <v>0</v>
      </c>
      <c r="AA46" s="283">
        <f t="shared" si="36"/>
        <v>0</v>
      </c>
      <c r="AB46" s="325">
        <f t="shared" si="37"/>
        <v>0</v>
      </c>
      <c r="AC46" s="298">
        <f t="shared" si="38"/>
        <v>0</v>
      </c>
      <c r="AD46" s="325">
        <f t="shared" si="39"/>
        <v>0</v>
      </c>
      <c r="AE46" s="282">
        <v>0</v>
      </c>
      <c r="AF46" s="329">
        <f t="shared" si="40"/>
        <v>0</v>
      </c>
      <c r="AG46" s="282">
        <f>'[2]Table 5C1M-B.R. Charter'!AI46+'[14]Table 5C1M-B.R. Charter'!AI46+(6*'[20]Table 5C1M-B.R. Charter'!AI46)</f>
        <v>0</v>
      </c>
      <c r="AH46" s="282">
        <f t="shared" si="41"/>
        <v>0</v>
      </c>
      <c r="AI46" s="329">
        <f t="shared" si="49"/>
        <v>0</v>
      </c>
      <c r="AJ46" s="338">
        <f t="shared" si="42"/>
        <v>0</v>
      </c>
      <c r="AK46" s="343">
        <f t="shared" si="50"/>
        <v>0</v>
      </c>
      <c r="AM46" s="296">
        <v>0</v>
      </c>
      <c r="AN46" s="296">
        <f t="shared" si="44"/>
        <v>0</v>
      </c>
      <c r="AO46" s="296">
        <f t="shared" si="45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2.1.14'!S43</f>
        <v>0</v>
      </c>
      <c r="D47" s="208">
        <f>+'Table 5C1A-Madison Prep'!D47</f>
        <v>3291.1948574716475</v>
      </c>
      <c r="E47" s="209">
        <f t="shared" si="27"/>
        <v>0</v>
      </c>
      <c r="F47" s="209">
        <f>+'Table 5C1A-Madison Prep'!F47</f>
        <v>886.22</v>
      </c>
      <c r="G47" s="209">
        <f t="shared" si="28"/>
        <v>0</v>
      </c>
      <c r="H47" s="344">
        <f t="shared" si="29"/>
        <v>0</v>
      </c>
      <c r="I47" s="990">
        <f>'[1]Oct midyear B.R. Charter'!K44</f>
        <v>0</v>
      </c>
      <c r="J47" s="210">
        <f>'[1]Feb midyear B.R. Charter'!K44</f>
        <v>0</v>
      </c>
      <c r="K47" s="211">
        <f t="shared" si="30"/>
        <v>0</v>
      </c>
      <c r="L47" s="350">
        <f t="shared" si="46"/>
        <v>0</v>
      </c>
      <c r="M47" s="273">
        <f t="shared" si="31"/>
        <v>0</v>
      </c>
      <c r="N47" s="350">
        <f t="shared" si="32"/>
        <v>0</v>
      </c>
      <c r="O47" s="210">
        <v>0</v>
      </c>
      <c r="P47" s="350">
        <f t="shared" si="21"/>
        <v>0</v>
      </c>
      <c r="Q47" s="210">
        <f>'[2]Table 5C1M-B.R. Charter'!S47+'[14]Table 5C1M-B.R. Charter'!S47+(6*'[20]Table 5C1M-B.R. Charter'!S47)</f>
        <v>0</v>
      </c>
      <c r="R47" s="210">
        <f t="shared" si="33"/>
        <v>0</v>
      </c>
      <c r="S47" s="350">
        <f t="shared" si="47"/>
        <v>0</v>
      </c>
      <c r="T47" s="350">
        <f t="shared" si="34"/>
        <v>0</v>
      </c>
      <c r="U47" s="274">
        <f>'Table 5C1A-Madison Prep'!U47</f>
        <v>9422</v>
      </c>
      <c r="V47" s="327">
        <f t="shared" si="48"/>
        <v>0</v>
      </c>
      <c r="W47" s="994">
        <f>'[1]Oct midyear B.R. Charter'!E44</f>
        <v>0</v>
      </c>
      <c r="X47" s="276">
        <f t="shared" si="35"/>
        <v>0</v>
      </c>
      <c r="Y47" s="883">
        <f>'[1]Feb midyear B.R. Charter'!E44</f>
        <v>0</v>
      </c>
      <c r="Z47" s="276">
        <f t="shared" si="24"/>
        <v>0</v>
      </c>
      <c r="AA47" s="275">
        <f t="shared" si="36"/>
        <v>0</v>
      </c>
      <c r="AB47" s="323">
        <f t="shared" si="37"/>
        <v>0</v>
      </c>
      <c r="AC47" s="278">
        <f t="shared" si="38"/>
        <v>0</v>
      </c>
      <c r="AD47" s="323">
        <f t="shared" si="39"/>
        <v>0</v>
      </c>
      <c r="AE47" s="276">
        <v>0</v>
      </c>
      <c r="AF47" s="327">
        <f t="shared" si="40"/>
        <v>0</v>
      </c>
      <c r="AG47" s="276">
        <f>'[2]Table 5C1M-B.R. Charter'!AI47+'[14]Table 5C1M-B.R. Charter'!AI47+(6*'[20]Table 5C1M-B.R. Charter'!AI47)</f>
        <v>0</v>
      </c>
      <c r="AH47" s="276">
        <f t="shared" si="41"/>
        <v>0</v>
      </c>
      <c r="AI47" s="327">
        <f t="shared" si="49"/>
        <v>0</v>
      </c>
      <c r="AJ47" s="337">
        <f t="shared" si="42"/>
        <v>0</v>
      </c>
      <c r="AK47" s="341">
        <f t="shared" si="50"/>
        <v>0</v>
      </c>
      <c r="AM47" s="273">
        <v>0</v>
      </c>
      <c r="AN47" s="273">
        <f t="shared" si="44"/>
        <v>0</v>
      </c>
      <c r="AO47" s="273">
        <f t="shared" si="45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2.1.14'!S44</f>
        <v>0</v>
      </c>
      <c r="D48" s="201">
        <f>+'Table 5C1A-Madison Prep'!D48</f>
        <v>5113.6077751368684</v>
      </c>
      <c r="E48" s="202">
        <f t="shared" si="27"/>
        <v>0</v>
      </c>
      <c r="F48" s="202">
        <f>+'Table 5C1A-Madison Prep'!F48</f>
        <v>534.28</v>
      </c>
      <c r="G48" s="202">
        <f t="shared" si="28"/>
        <v>0</v>
      </c>
      <c r="H48" s="345">
        <f t="shared" si="29"/>
        <v>0</v>
      </c>
      <c r="I48" s="991">
        <f>'[1]Oct midyear B.R. Charter'!K45</f>
        <v>0</v>
      </c>
      <c r="J48" s="203">
        <f>'[1]Feb midyear B.R. Charter'!K45</f>
        <v>0</v>
      </c>
      <c r="K48" s="204">
        <f t="shared" si="30"/>
        <v>0</v>
      </c>
      <c r="L48" s="351">
        <f t="shared" si="46"/>
        <v>0</v>
      </c>
      <c r="M48" s="286">
        <f t="shared" si="31"/>
        <v>0</v>
      </c>
      <c r="N48" s="351">
        <f t="shared" si="32"/>
        <v>0</v>
      </c>
      <c r="O48" s="203">
        <v>0</v>
      </c>
      <c r="P48" s="351">
        <f t="shared" si="21"/>
        <v>0</v>
      </c>
      <c r="Q48" s="203">
        <f>'[2]Table 5C1M-B.R. Charter'!S48+'[14]Table 5C1M-B.R. Charter'!S48+(6*'[20]Table 5C1M-B.R. Charter'!S48)</f>
        <v>0</v>
      </c>
      <c r="R48" s="203">
        <f t="shared" si="33"/>
        <v>0</v>
      </c>
      <c r="S48" s="351">
        <f t="shared" si="47"/>
        <v>0</v>
      </c>
      <c r="T48" s="351">
        <f t="shared" si="34"/>
        <v>0</v>
      </c>
      <c r="U48" s="287">
        <f>'Table 5C1A-Madison Prep'!U48</f>
        <v>3415</v>
      </c>
      <c r="V48" s="328">
        <f t="shared" si="48"/>
        <v>0</v>
      </c>
      <c r="W48" s="995">
        <f>'[1]Oct midyear B.R. Charter'!E45</f>
        <v>0</v>
      </c>
      <c r="X48" s="290">
        <f t="shared" si="35"/>
        <v>0</v>
      </c>
      <c r="Y48" s="289">
        <f>'[1]Feb midyear B.R. Charter'!E45</f>
        <v>0</v>
      </c>
      <c r="Z48" s="290">
        <f t="shared" si="24"/>
        <v>0</v>
      </c>
      <c r="AA48" s="288">
        <f t="shared" si="36"/>
        <v>0</v>
      </c>
      <c r="AB48" s="324">
        <f t="shared" si="37"/>
        <v>0</v>
      </c>
      <c r="AC48" s="292">
        <f t="shared" si="38"/>
        <v>0</v>
      </c>
      <c r="AD48" s="324">
        <f t="shared" si="39"/>
        <v>0</v>
      </c>
      <c r="AE48" s="290">
        <v>0</v>
      </c>
      <c r="AF48" s="328">
        <f t="shared" si="40"/>
        <v>0</v>
      </c>
      <c r="AG48" s="290">
        <f>'[2]Table 5C1M-B.R. Charter'!AI48+'[14]Table 5C1M-B.R. Charter'!AI48+(6*'[20]Table 5C1M-B.R. Charter'!AI48)</f>
        <v>0</v>
      </c>
      <c r="AH48" s="290">
        <f t="shared" si="41"/>
        <v>0</v>
      </c>
      <c r="AI48" s="328">
        <f t="shared" si="49"/>
        <v>0</v>
      </c>
      <c r="AJ48" s="321">
        <f t="shared" si="42"/>
        <v>0</v>
      </c>
      <c r="AK48" s="342">
        <f t="shared" si="50"/>
        <v>0</v>
      </c>
      <c r="AM48" s="286">
        <v>0</v>
      </c>
      <c r="AN48" s="286">
        <f t="shared" si="44"/>
        <v>0</v>
      </c>
      <c r="AO48" s="286">
        <f t="shared" si="45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2.1.14'!S45</f>
        <v>0</v>
      </c>
      <c r="D49" s="201">
        <f>+'Table 5C1A-Madison Prep'!D49</f>
        <v>5788.74387205947</v>
      </c>
      <c r="E49" s="202">
        <f t="shared" si="27"/>
        <v>0</v>
      </c>
      <c r="F49" s="202">
        <f>+'Table 5C1A-Madison Prep'!F49</f>
        <v>574.6099999999999</v>
      </c>
      <c r="G49" s="202">
        <f t="shared" si="28"/>
        <v>0</v>
      </c>
      <c r="H49" s="345">
        <f t="shared" si="29"/>
        <v>0</v>
      </c>
      <c r="I49" s="991">
        <f>'[1]Oct midyear B.R. Charter'!K46</f>
        <v>0</v>
      </c>
      <c r="J49" s="203">
        <f>'[1]Feb midyear B.R. Charter'!K46</f>
        <v>0</v>
      </c>
      <c r="K49" s="204">
        <f t="shared" si="30"/>
        <v>0</v>
      </c>
      <c r="L49" s="351">
        <f t="shared" si="46"/>
        <v>0</v>
      </c>
      <c r="M49" s="286">
        <f t="shared" si="31"/>
        <v>0</v>
      </c>
      <c r="N49" s="351">
        <f t="shared" si="32"/>
        <v>0</v>
      </c>
      <c r="O49" s="203">
        <v>0</v>
      </c>
      <c r="P49" s="351">
        <f t="shared" si="21"/>
        <v>0</v>
      </c>
      <c r="Q49" s="203">
        <f>'[2]Table 5C1M-B.R. Charter'!S49+'[14]Table 5C1M-B.R. Charter'!S49+(6*'[20]Table 5C1M-B.R. Charter'!S49)</f>
        <v>0</v>
      </c>
      <c r="R49" s="203">
        <f t="shared" si="33"/>
        <v>0</v>
      </c>
      <c r="S49" s="351">
        <f t="shared" si="47"/>
        <v>0</v>
      </c>
      <c r="T49" s="351">
        <f t="shared" si="34"/>
        <v>0</v>
      </c>
      <c r="U49" s="287">
        <f>'Table 5C1A-Madison Prep'!U49</f>
        <v>3334</v>
      </c>
      <c r="V49" s="328">
        <f t="shared" si="48"/>
        <v>0</v>
      </c>
      <c r="W49" s="995">
        <f>'[1]Oct midyear B.R. Charter'!E46</f>
        <v>0</v>
      </c>
      <c r="X49" s="290">
        <f t="shared" si="35"/>
        <v>0</v>
      </c>
      <c r="Y49" s="289">
        <f>'[1]Feb midyear B.R. Charter'!E46</f>
        <v>0</v>
      </c>
      <c r="Z49" s="290">
        <f t="shared" si="24"/>
        <v>0</v>
      </c>
      <c r="AA49" s="288">
        <f t="shared" si="36"/>
        <v>0</v>
      </c>
      <c r="AB49" s="324">
        <f t="shared" si="37"/>
        <v>0</v>
      </c>
      <c r="AC49" s="292">
        <f t="shared" si="38"/>
        <v>0</v>
      </c>
      <c r="AD49" s="324">
        <f t="shared" si="39"/>
        <v>0</v>
      </c>
      <c r="AE49" s="290">
        <v>0</v>
      </c>
      <c r="AF49" s="328">
        <f t="shared" si="40"/>
        <v>0</v>
      </c>
      <c r="AG49" s="290">
        <f>'[2]Table 5C1M-B.R. Charter'!AI49+'[14]Table 5C1M-B.R. Charter'!AI49+(6*'[20]Table 5C1M-B.R. Charter'!AI49)</f>
        <v>0</v>
      </c>
      <c r="AH49" s="290">
        <f t="shared" si="41"/>
        <v>0</v>
      </c>
      <c r="AI49" s="328">
        <f t="shared" si="49"/>
        <v>0</v>
      </c>
      <c r="AJ49" s="321">
        <f t="shared" si="42"/>
        <v>0</v>
      </c>
      <c r="AK49" s="342">
        <f t="shared" si="50"/>
        <v>0</v>
      </c>
      <c r="AM49" s="286">
        <v>0</v>
      </c>
      <c r="AN49" s="286">
        <f t="shared" si="44"/>
        <v>0</v>
      </c>
      <c r="AO49" s="286">
        <f t="shared" si="45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2.1.14'!S46</f>
        <v>0</v>
      </c>
      <c r="D50" s="201">
        <f>+'Table 5C1A-Madison Prep'!D50</f>
        <v>4897.5958151820359</v>
      </c>
      <c r="E50" s="202">
        <f t="shared" si="27"/>
        <v>0</v>
      </c>
      <c r="F50" s="202">
        <f>+'Table 5C1A-Madison Prep'!F50</f>
        <v>663.16000000000008</v>
      </c>
      <c r="G50" s="202">
        <f t="shared" si="28"/>
        <v>0</v>
      </c>
      <c r="H50" s="345">
        <f t="shared" si="29"/>
        <v>0</v>
      </c>
      <c r="I50" s="991">
        <f>'[1]Oct midyear B.R. Charter'!K47</f>
        <v>0</v>
      </c>
      <c r="J50" s="203">
        <f>'[1]Feb midyear B.R. Charter'!K47</f>
        <v>0</v>
      </c>
      <c r="K50" s="204">
        <f t="shared" si="30"/>
        <v>0</v>
      </c>
      <c r="L50" s="351">
        <f t="shared" si="46"/>
        <v>0</v>
      </c>
      <c r="M50" s="286">
        <f t="shared" si="31"/>
        <v>0</v>
      </c>
      <c r="N50" s="351">
        <f t="shared" si="32"/>
        <v>0</v>
      </c>
      <c r="O50" s="203">
        <v>0</v>
      </c>
      <c r="P50" s="351">
        <f t="shared" si="21"/>
        <v>0</v>
      </c>
      <c r="Q50" s="203">
        <f>'[2]Table 5C1M-B.R. Charter'!S50+'[14]Table 5C1M-B.R. Charter'!S50+(6*'[20]Table 5C1M-B.R. Charter'!S50)</f>
        <v>0</v>
      </c>
      <c r="R50" s="203">
        <f t="shared" si="33"/>
        <v>0</v>
      </c>
      <c r="S50" s="351">
        <f t="shared" si="47"/>
        <v>0</v>
      </c>
      <c r="T50" s="351">
        <f t="shared" si="34"/>
        <v>0</v>
      </c>
      <c r="U50" s="287">
        <f>'Table 5C1A-Madison Prep'!U50</f>
        <v>3587</v>
      </c>
      <c r="V50" s="328">
        <f t="shared" si="48"/>
        <v>0</v>
      </c>
      <c r="W50" s="995">
        <f>'[1]Oct midyear B.R. Charter'!E47</f>
        <v>0</v>
      </c>
      <c r="X50" s="290">
        <f t="shared" si="35"/>
        <v>0</v>
      </c>
      <c r="Y50" s="289">
        <f>'[1]Feb midyear B.R. Charter'!E47</f>
        <v>0</v>
      </c>
      <c r="Z50" s="290">
        <f t="shared" si="24"/>
        <v>0</v>
      </c>
      <c r="AA50" s="288">
        <f t="shared" si="36"/>
        <v>0</v>
      </c>
      <c r="AB50" s="324">
        <f t="shared" si="37"/>
        <v>0</v>
      </c>
      <c r="AC50" s="292">
        <f t="shared" si="38"/>
        <v>0</v>
      </c>
      <c r="AD50" s="324">
        <f t="shared" si="39"/>
        <v>0</v>
      </c>
      <c r="AE50" s="290">
        <v>0</v>
      </c>
      <c r="AF50" s="328">
        <f t="shared" si="40"/>
        <v>0</v>
      </c>
      <c r="AG50" s="290">
        <f>'[2]Table 5C1M-B.R. Charter'!AI50+'[14]Table 5C1M-B.R. Charter'!AI50+(6*'[20]Table 5C1M-B.R. Charter'!AI50)</f>
        <v>0</v>
      </c>
      <c r="AH50" s="290">
        <f t="shared" si="41"/>
        <v>0</v>
      </c>
      <c r="AI50" s="328">
        <f t="shared" si="49"/>
        <v>0</v>
      </c>
      <c r="AJ50" s="321">
        <f t="shared" si="42"/>
        <v>0</v>
      </c>
      <c r="AK50" s="342">
        <f t="shared" si="50"/>
        <v>0</v>
      </c>
      <c r="AM50" s="286">
        <v>0</v>
      </c>
      <c r="AN50" s="286">
        <f t="shared" si="44"/>
        <v>0</v>
      </c>
      <c r="AO50" s="286">
        <f t="shared" si="45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2.1.14'!S47</f>
        <v>0</v>
      </c>
      <c r="D51" s="194">
        <f>+'Table 5C1A-Madison Prep'!D51</f>
        <v>2054.0472499469101</v>
      </c>
      <c r="E51" s="195">
        <f t="shared" si="27"/>
        <v>0</v>
      </c>
      <c r="F51" s="195">
        <f>+'Table 5C1A-Madison Prep'!F51</f>
        <v>753.96000000000015</v>
      </c>
      <c r="G51" s="195">
        <f t="shared" si="28"/>
        <v>0</v>
      </c>
      <c r="H51" s="346">
        <f t="shared" si="29"/>
        <v>0</v>
      </c>
      <c r="I51" s="992">
        <f>'[1]Oct midyear B.R. Charter'!K48</f>
        <v>0</v>
      </c>
      <c r="J51" s="196">
        <f>'[1]Feb midyear B.R. Charter'!K48</f>
        <v>0</v>
      </c>
      <c r="K51" s="197">
        <f t="shared" si="30"/>
        <v>0</v>
      </c>
      <c r="L51" s="352">
        <f t="shared" si="46"/>
        <v>0</v>
      </c>
      <c r="M51" s="296">
        <f t="shared" si="31"/>
        <v>0</v>
      </c>
      <c r="N51" s="352">
        <f t="shared" si="32"/>
        <v>0</v>
      </c>
      <c r="O51" s="196">
        <v>0</v>
      </c>
      <c r="P51" s="352">
        <f t="shared" si="21"/>
        <v>0</v>
      </c>
      <c r="Q51" s="196">
        <f>'[2]Table 5C1M-B.R. Charter'!S51+'[14]Table 5C1M-B.R. Charter'!S51+(6*'[20]Table 5C1M-B.R. Charter'!S51)</f>
        <v>0</v>
      </c>
      <c r="R51" s="196">
        <f t="shared" si="33"/>
        <v>0</v>
      </c>
      <c r="S51" s="352">
        <f t="shared" si="47"/>
        <v>0</v>
      </c>
      <c r="T51" s="352">
        <f t="shared" si="34"/>
        <v>0</v>
      </c>
      <c r="U51" s="281">
        <f>'Table 5C1A-Madison Prep'!U51</f>
        <v>12134</v>
      </c>
      <c r="V51" s="329">
        <f t="shared" si="48"/>
        <v>0</v>
      </c>
      <c r="W51" s="996">
        <f>'[1]Oct midyear B.R. Charter'!E48</f>
        <v>0</v>
      </c>
      <c r="X51" s="282">
        <f t="shared" si="35"/>
        <v>0</v>
      </c>
      <c r="Y51" s="884">
        <f>'[1]Feb midyear B.R. Charter'!E48</f>
        <v>0</v>
      </c>
      <c r="Z51" s="282">
        <f t="shared" si="24"/>
        <v>0</v>
      </c>
      <c r="AA51" s="283">
        <f t="shared" si="36"/>
        <v>0</v>
      </c>
      <c r="AB51" s="325">
        <f t="shared" si="37"/>
        <v>0</v>
      </c>
      <c r="AC51" s="298">
        <f t="shared" si="38"/>
        <v>0</v>
      </c>
      <c r="AD51" s="325">
        <f t="shared" si="39"/>
        <v>0</v>
      </c>
      <c r="AE51" s="282">
        <v>0</v>
      </c>
      <c r="AF51" s="329">
        <f t="shared" si="40"/>
        <v>0</v>
      </c>
      <c r="AG51" s="282">
        <f>'[2]Table 5C1M-B.R. Charter'!AI51+'[14]Table 5C1M-B.R. Charter'!AI51+(6*'[20]Table 5C1M-B.R. Charter'!AI51)</f>
        <v>0</v>
      </c>
      <c r="AH51" s="282">
        <f t="shared" si="41"/>
        <v>0</v>
      </c>
      <c r="AI51" s="329">
        <f t="shared" si="49"/>
        <v>0</v>
      </c>
      <c r="AJ51" s="338">
        <f t="shared" si="42"/>
        <v>0</v>
      </c>
      <c r="AK51" s="343">
        <f t="shared" si="50"/>
        <v>0</v>
      </c>
      <c r="AM51" s="296">
        <v>0</v>
      </c>
      <c r="AN51" s="296">
        <f t="shared" si="44"/>
        <v>0</v>
      </c>
      <c r="AO51" s="296">
        <f t="shared" si="45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2.1.14'!S48</f>
        <v>0</v>
      </c>
      <c r="D52" s="208">
        <f>+'Table 5C1A-Madison Prep'!D52</f>
        <v>6051.2144468088381</v>
      </c>
      <c r="E52" s="209">
        <f t="shared" si="27"/>
        <v>0</v>
      </c>
      <c r="F52" s="209">
        <f>+'Table 5C1A-Madison Prep'!F52</f>
        <v>728.06</v>
      </c>
      <c r="G52" s="209">
        <f t="shared" si="28"/>
        <v>0</v>
      </c>
      <c r="H52" s="344">
        <f t="shared" si="29"/>
        <v>0</v>
      </c>
      <c r="I52" s="990">
        <f>'[1]Oct midyear B.R. Charter'!K49</f>
        <v>0</v>
      </c>
      <c r="J52" s="210">
        <f>'[1]Feb midyear B.R. Charter'!K49</f>
        <v>0</v>
      </c>
      <c r="K52" s="211">
        <f t="shared" si="30"/>
        <v>0</v>
      </c>
      <c r="L52" s="350">
        <f t="shared" si="46"/>
        <v>0</v>
      </c>
      <c r="M52" s="273">
        <f t="shared" si="31"/>
        <v>0</v>
      </c>
      <c r="N52" s="350">
        <f t="shared" si="32"/>
        <v>0</v>
      </c>
      <c r="O52" s="210">
        <v>0</v>
      </c>
      <c r="P52" s="350">
        <f t="shared" si="21"/>
        <v>0</v>
      </c>
      <c r="Q52" s="210">
        <f>'[2]Table 5C1M-B.R. Charter'!S52+'[14]Table 5C1M-B.R. Charter'!S52+(6*'[20]Table 5C1M-B.R. Charter'!S52)</f>
        <v>0</v>
      </c>
      <c r="R52" s="210">
        <f t="shared" si="33"/>
        <v>0</v>
      </c>
      <c r="S52" s="350">
        <f t="shared" si="47"/>
        <v>0</v>
      </c>
      <c r="T52" s="350">
        <f t="shared" si="34"/>
        <v>0</v>
      </c>
      <c r="U52" s="274">
        <f>'Table 5C1A-Madison Prep'!U52</f>
        <v>2554</v>
      </c>
      <c r="V52" s="327">
        <f t="shared" si="48"/>
        <v>0</v>
      </c>
      <c r="W52" s="994">
        <f>'[1]Oct midyear B.R. Charter'!E49</f>
        <v>0</v>
      </c>
      <c r="X52" s="276">
        <f t="shared" si="35"/>
        <v>0</v>
      </c>
      <c r="Y52" s="883">
        <f>'[1]Feb midyear B.R. Charter'!E49</f>
        <v>0</v>
      </c>
      <c r="Z52" s="276">
        <f t="shared" si="24"/>
        <v>0</v>
      </c>
      <c r="AA52" s="275">
        <f t="shared" si="36"/>
        <v>0</v>
      </c>
      <c r="AB52" s="323">
        <f t="shared" si="37"/>
        <v>0</v>
      </c>
      <c r="AC52" s="278">
        <f t="shared" si="38"/>
        <v>0</v>
      </c>
      <c r="AD52" s="323">
        <f t="shared" si="39"/>
        <v>0</v>
      </c>
      <c r="AE52" s="276">
        <v>0</v>
      </c>
      <c r="AF52" s="327">
        <f t="shared" si="40"/>
        <v>0</v>
      </c>
      <c r="AG52" s="276">
        <f>'[2]Table 5C1M-B.R. Charter'!AI52+'[14]Table 5C1M-B.R. Charter'!AI52+(6*'[20]Table 5C1M-B.R. Charter'!AI52)</f>
        <v>0</v>
      </c>
      <c r="AH52" s="276">
        <f t="shared" si="41"/>
        <v>0</v>
      </c>
      <c r="AI52" s="327">
        <f t="shared" si="49"/>
        <v>0</v>
      </c>
      <c r="AJ52" s="337">
        <f t="shared" si="42"/>
        <v>0</v>
      </c>
      <c r="AK52" s="341">
        <f t="shared" si="50"/>
        <v>0</v>
      </c>
      <c r="AM52" s="273">
        <v>0</v>
      </c>
      <c r="AN52" s="273">
        <f t="shared" si="44"/>
        <v>0</v>
      </c>
      <c r="AO52" s="273">
        <f t="shared" si="45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2.1.14'!S49</f>
        <v>0</v>
      </c>
      <c r="D53" s="201">
        <f>+'Table 5C1A-Madison Prep'!D53</f>
        <v>2524.1485257646736</v>
      </c>
      <c r="E53" s="202">
        <f t="shared" si="27"/>
        <v>0</v>
      </c>
      <c r="F53" s="202">
        <f>+'Table 5C1A-Madison Prep'!F53</f>
        <v>910.76</v>
      </c>
      <c r="G53" s="202">
        <f t="shared" si="28"/>
        <v>0</v>
      </c>
      <c r="H53" s="345">
        <f t="shared" si="29"/>
        <v>0</v>
      </c>
      <c r="I53" s="991">
        <f>'[1]Oct midyear B.R. Charter'!K50</f>
        <v>0</v>
      </c>
      <c r="J53" s="203">
        <f>'[1]Feb midyear B.R. Charter'!K50</f>
        <v>0</v>
      </c>
      <c r="K53" s="204">
        <f t="shared" si="30"/>
        <v>0</v>
      </c>
      <c r="L53" s="351">
        <f t="shared" si="46"/>
        <v>0</v>
      </c>
      <c r="M53" s="286">
        <f t="shared" si="31"/>
        <v>0</v>
      </c>
      <c r="N53" s="351">
        <f t="shared" si="32"/>
        <v>0</v>
      </c>
      <c r="O53" s="203">
        <v>0</v>
      </c>
      <c r="P53" s="351">
        <f t="shared" si="21"/>
        <v>0</v>
      </c>
      <c r="Q53" s="203">
        <f>'[2]Table 5C1M-B.R. Charter'!S53+'[14]Table 5C1M-B.R. Charter'!S53+(6*'[20]Table 5C1M-B.R. Charter'!S53)</f>
        <v>0</v>
      </c>
      <c r="R53" s="203">
        <f t="shared" si="33"/>
        <v>0</v>
      </c>
      <c r="S53" s="351">
        <f t="shared" si="47"/>
        <v>0</v>
      </c>
      <c r="T53" s="351">
        <f t="shared" si="34"/>
        <v>0</v>
      </c>
      <c r="U53" s="287">
        <f>'Table 5C1A-Madison Prep'!U53</f>
        <v>11506</v>
      </c>
      <c r="V53" s="328">
        <f t="shared" si="48"/>
        <v>0</v>
      </c>
      <c r="W53" s="995">
        <f>'[1]Oct midyear B.R. Charter'!E50</f>
        <v>0</v>
      </c>
      <c r="X53" s="290">
        <f t="shared" si="35"/>
        <v>0</v>
      </c>
      <c r="Y53" s="289">
        <f>'[1]Feb midyear B.R. Charter'!E50</f>
        <v>0</v>
      </c>
      <c r="Z53" s="290">
        <f t="shared" si="24"/>
        <v>0</v>
      </c>
      <c r="AA53" s="288">
        <f t="shared" si="36"/>
        <v>0</v>
      </c>
      <c r="AB53" s="324">
        <f t="shared" si="37"/>
        <v>0</v>
      </c>
      <c r="AC53" s="292">
        <f t="shared" si="38"/>
        <v>0</v>
      </c>
      <c r="AD53" s="324">
        <f t="shared" si="39"/>
        <v>0</v>
      </c>
      <c r="AE53" s="290">
        <v>0</v>
      </c>
      <c r="AF53" s="328">
        <f t="shared" si="40"/>
        <v>0</v>
      </c>
      <c r="AG53" s="290">
        <f>'[2]Table 5C1M-B.R. Charter'!AI53+'[14]Table 5C1M-B.R. Charter'!AI53+(6*'[20]Table 5C1M-B.R. Charter'!AI53)</f>
        <v>0</v>
      </c>
      <c r="AH53" s="290">
        <f t="shared" si="41"/>
        <v>0</v>
      </c>
      <c r="AI53" s="328">
        <f t="shared" si="49"/>
        <v>0</v>
      </c>
      <c r="AJ53" s="321">
        <f t="shared" si="42"/>
        <v>0</v>
      </c>
      <c r="AK53" s="342">
        <f t="shared" si="50"/>
        <v>0</v>
      </c>
      <c r="AM53" s="286">
        <v>0</v>
      </c>
      <c r="AN53" s="286">
        <f t="shared" si="44"/>
        <v>0</v>
      </c>
      <c r="AO53" s="286">
        <f t="shared" si="45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2.1.14'!S50</f>
        <v>0</v>
      </c>
      <c r="D54" s="201">
        <f>+'Table 5C1A-Madison Prep'!D54</f>
        <v>3983.3582529800719</v>
      </c>
      <c r="E54" s="202">
        <f t="shared" si="27"/>
        <v>0</v>
      </c>
      <c r="F54" s="202">
        <f>+'Table 5C1A-Madison Prep'!F54</f>
        <v>871.07</v>
      </c>
      <c r="G54" s="202">
        <f t="shared" si="28"/>
        <v>0</v>
      </c>
      <c r="H54" s="345">
        <f t="shared" si="29"/>
        <v>0</v>
      </c>
      <c r="I54" s="991">
        <f>'[1]Oct midyear B.R. Charter'!K51</f>
        <v>0</v>
      </c>
      <c r="J54" s="203">
        <f>'[1]Feb midyear B.R. Charter'!K51</f>
        <v>0</v>
      </c>
      <c r="K54" s="204">
        <f t="shared" si="30"/>
        <v>0</v>
      </c>
      <c r="L54" s="351">
        <f t="shared" si="46"/>
        <v>0</v>
      </c>
      <c r="M54" s="286">
        <f t="shared" si="31"/>
        <v>0</v>
      </c>
      <c r="N54" s="351">
        <f t="shared" si="32"/>
        <v>0</v>
      </c>
      <c r="O54" s="203">
        <v>0</v>
      </c>
      <c r="P54" s="351">
        <f t="shared" si="21"/>
        <v>0</v>
      </c>
      <c r="Q54" s="203">
        <f>'[2]Table 5C1M-B.R. Charter'!S54+'[14]Table 5C1M-B.R. Charter'!S54+(6*'[20]Table 5C1M-B.R. Charter'!S54)</f>
        <v>0</v>
      </c>
      <c r="R54" s="203">
        <f t="shared" si="33"/>
        <v>0</v>
      </c>
      <c r="S54" s="351">
        <f t="shared" si="47"/>
        <v>0</v>
      </c>
      <c r="T54" s="351">
        <f t="shared" si="34"/>
        <v>0</v>
      </c>
      <c r="U54" s="287">
        <f>'Table 5C1A-Madison Prep'!U54</f>
        <v>6827</v>
      </c>
      <c r="V54" s="328">
        <f t="shared" si="48"/>
        <v>0</v>
      </c>
      <c r="W54" s="995">
        <f>'[1]Oct midyear B.R. Charter'!E51</f>
        <v>0</v>
      </c>
      <c r="X54" s="290">
        <f t="shared" si="35"/>
        <v>0</v>
      </c>
      <c r="Y54" s="289">
        <f>'[1]Feb midyear B.R. Charter'!E51</f>
        <v>0</v>
      </c>
      <c r="Z54" s="290">
        <f t="shared" si="24"/>
        <v>0</v>
      </c>
      <c r="AA54" s="288">
        <f t="shared" si="36"/>
        <v>0</v>
      </c>
      <c r="AB54" s="324">
        <f t="shared" si="37"/>
        <v>0</v>
      </c>
      <c r="AC54" s="292">
        <f t="shared" si="38"/>
        <v>0</v>
      </c>
      <c r="AD54" s="324">
        <f t="shared" si="39"/>
        <v>0</v>
      </c>
      <c r="AE54" s="290">
        <v>0</v>
      </c>
      <c r="AF54" s="328">
        <f t="shared" si="40"/>
        <v>0</v>
      </c>
      <c r="AG54" s="290">
        <f>'[2]Table 5C1M-B.R. Charter'!AI54+'[14]Table 5C1M-B.R. Charter'!AI54+(6*'[20]Table 5C1M-B.R. Charter'!AI54)</f>
        <v>0</v>
      </c>
      <c r="AH54" s="290">
        <f t="shared" si="41"/>
        <v>0</v>
      </c>
      <c r="AI54" s="328">
        <f t="shared" si="49"/>
        <v>0</v>
      </c>
      <c r="AJ54" s="321">
        <f t="shared" si="42"/>
        <v>0</v>
      </c>
      <c r="AK54" s="342">
        <f t="shared" si="50"/>
        <v>0</v>
      </c>
      <c r="AM54" s="286">
        <v>0</v>
      </c>
      <c r="AN54" s="286">
        <f t="shared" si="44"/>
        <v>0</v>
      </c>
      <c r="AO54" s="286">
        <f t="shared" si="45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2.1.14'!S51</f>
        <v>0</v>
      </c>
      <c r="D55" s="201">
        <f>+'Table 5C1A-Madison Prep'!D55</f>
        <v>4995.8755315659191</v>
      </c>
      <c r="E55" s="202">
        <f t="shared" si="27"/>
        <v>0</v>
      </c>
      <c r="F55" s="202">
        <f>+'Table 5C1A-Madison Prep'!F55</f>
        <v>574.43999999999994</v>
      </c>
      <c r="G55" s="202">
        <f t="shared" si="28"/>
        <v>0</v>
      </c>
      <c r="H55" s="345">
        <f t="shared" si="29"/>
        <v>0</v>
      </c>
      <c r="I55" s="991">
        <f>'[1]Oct midyear B.R. Charter'!K52</f>
        <v>0</v>
      </c>
      <c r="J55" s="203">
        <f>'[1]Feb midyear B.R. Charter'!K52</f>
        <v>0</v>
      </c>
      <c r="K55" s="204">
        <f t="shared" si="30"/>
        <v>0</v>
      </c>
      <c r="L55" s="351">
        <f t="shared" si="46"/>
        <v>0</v>
      </c>
      <c r="M55" s="286">
        <f t="shared" si="31"/>
        <v>0</v>
      </c>
      <c r="N55" s="351">
        <f t="shared" si="32"/>
        <v>0</v>
      </c>
      <c r="O55" s="203">
        <v>0</v>
      </c>
      <c r="P55" s="351">
        <f t="shared" si="21"/>
        <v>0</v>
      </c>
      <c r="Q55" s="203">
        <f>'[2]Table 5C1M-B.R. Charter'!S55+'[14]Table 5C1M-B.R. Charter'!S55+(6*'[20]Table 5C1M-B.R. Charter'!S55)</f>
        <v>0</v>
      </c>
      <c r="R55" s="203">
        <f t="shared" si="33"/>
        <v>0</v>
      </c>
      <c r="S55" s="351">
        <f t="shared" si="47"/>
        <v>0</v>
      </c>
      <c r="T55" s="351">
        <f t="shared" si="34"/>
        <v>0</v>
      </c>
      <c r="U55" s="287">
        <f>'Table 5C1A-Madison Prep'!U55</f>
        <v>2399</v>
      </c>
      <c r="V55" s="328">
        <f t="shared" si="48"/>
        <v>0</v>
      </c>
      <c r="W55" s="995">
        <f>'[1]Oct midyear B.R. Charter'!E52</f>
        <v>0</v>
      </c>
      <c r="X55" s="290">
        <f t="shared" si="35"/>
        <v>0</v>
      </c>
      <c r="Y55" s="289">
        <f>'[1]Feb midyear B.R. Charter'!E52</f>
        <v>0</v>
      </c>
      <c r="Z55" s="290">
        <f t="shared" si="24"/>
        <v>0</v>
      </c>
      <c r="AA55" s="288">
        <f t="shared" si="36"/>
        <v>0</v>
      </c>
      <c r="AB55" s="324">
        <f t="shared" si="37"/>
        <v>0</v>
      </c>
      <c r="AC55" s="292">
        <f t="shared" si="38"/>
        <v>0</v>
      </c>
      <c r="AD55" s="324">
        <f t="shared" si="39"/>
        <v>0</v>
      </c>
      <c r="AE55" s="290">
        <v>0</v>
      </c>
      <c r="AF55" s="328">
        <f t="shared" si="40"/>
        <v>0</v>
      </c>
      <c r="AG55" s="290">
        <f>'[2]Table 5C1M-B.R. Charter'!AI55+'[14]Table 5C1M-B.R. Charter'!AI55+(6*'[20]Table 5C1M-B.R. Charter'!AI55)</f>
        <v>0</v>
      </c>
      <c r="AH55" s="290">
        <f t="shared" si="41"/>
        <v>0</v>
      </c>
      <c r="AI55" s="328">
        <f t="shared" si="49"/>
        <v>0</v>
      </c>
      <c r="AJ55" s="321">
        <f t="shared" si="42"/>
        <v>0</v>
      </c>
      <c r="AK55" s="342">
        <f t="shared" si="50"/>
        <v>0</v>
      </c>
      <c r="AM55" s="286">
        <v>0</v>
      </c>
      <c r="AN55" s="286">
        <f t="shared" si="44"/>
        <v>0</v>
      </c>
      <c r="AO55" s="286">
        <f t="shared" si="45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2.1.14'!S52</f>
        <v>0</v>
      </c>
      <c r="D56" s="194">
        <f>+'Table 5C1A-Madison Prep'!D56</f>
        <v>5177.6892722701677</v>
      </c>
      <c r="E56" s="195">
        <f t="shared" si="27"/>
        <v>0</v>
      </c>
      <c r="F56" s="195">
        <f>+'Table 5C1A-Madison Prep'!F56</f>
        <v>634.46</v>
      </c>
      <c r="G56" s="195">
        <f t="shared" si="28"/>
        <v>0</v>
      </c>
      <c r="H56" s="346">
        <f t="shared" si="29"/>
        <v>0</v>
      </c>
      <c r="I56" s="992">
        <f>'[1]Oct midyear B.R. Charter'!K53</f>
        <v>0</v>
      </c>
      <c r="J56" s="196">
        <f>'[1]Feb midyear B.R. Charter'!K53</f>
        <v>0</v>
      </c>
      <c r="K56" s="197">
        <f t="shared" si="30"/>
        <v>0</v>
      </c>
      <c r="L56" s="352">
        <f t="shared" si="46"/>
        <v>0</v>
      </c>
      <c r="M56" s="296">
        <f t="shared" si="31"/>
        <v>0</v>
      </c>
      <c r="N56" s="352">
        <f t="shared" si="32"/>
        <v>0</v>
      </c>
      <c r="O56" s="196">
        <v>0</v>
      </c>
      <c r="P56" s="352">
        <f t="shared" si="21"/>
        <v>0</v>
      </c>
      <c r="Q56" s="196">
        <f>'[2]Table 5C1M-B.R. Charter'!S56+'[14]Table 5C1M-B.R. Charter'!S56+(6*'[20]Table 5C1M-B.R. Charter'!S56)</f>
        <v>0</v>
      </c>
      <c r="R56" s="196">
        <f t="shared" si="33"/>
        <v>0</v>
      </c>
      <c r="S56" s="352">
        <f t="shared" si="47"/>
        <v>0</v>
      </c>
      <c r="T56" s="352">
        <f t="shared" si="34"/>
        <v>0</v>
      </c>
      <c r="U56" s="281">
        <f>'Table 5C1A-Madison Prep'!U56</f>
        <v>3413</v>
      </c>
      <c r="V56" s="329">
        <f t="shared" si="48"/>
        <v>0</v>
      </c>
      <c r="W56" s="996">
        <f>'[1]Oct midyear B.R. Charter'!E53</f>
        <v>0</v>
      </c>
      <c r="X56" s="282">
        <f t="shared" si="35"/>
        <v>0</v>
      </c>
      <c r="Y56" s="884">
        <f>'[1]Feb midyear B.R. Charter'!E53</f>
        <v>0</v>
      </c>
      <c r="Z56" s="282">
        <f t="shared" si="24"/>
        <v>0</v>
      </c>
      <c r="AA56" s="283">
        <f t="shared" si="36"/>
        <v>0</v>
      </c>
      <c r="AB56" s="325">
        <f t="shared" si="37"/>
        <v>0</v>
      </c>
      <c r="AC56" s="298">
        <f t="shared" si="38"/>
        <v>0</v>
      </c>
      <c r="AD56" s="325">
        <f t="shared" si="39"/>
        <v>0</v>
      </c>
      <c r="AE56" s="282">
        <v>0</v>
      </c>
      <c r="AF56" s="329">
        <f t="shared" si="40"/>
        <v>0</v>
      </c>
      <c r="AG56" s="282">
        <f>'[2]Table 5C1M-B.R. Charter'!AI56+'[14]Table 5C1M-B.R. Charter'!AI56+(6*'[20]Table 5C1M-B.R. Charter'!AI56)</f>
        <v>0</v>
      </c>
      <c r="AH56" s="282">
        <f t="shared" si="41"/>
        <v>0</v>
      </c>
      <c r="AI56" s="329">
        <f t="shared" si="49"/>
        <v>0</v>
      </c>
      <c r="AJ56" s="338">
        <f t="shared" si="42"/>
        <v>0</v>
      </c>
      <c r="AK56" s="343">
        <f t="shared" si="50"/>
        <v>0</v>
      </c>
      <c r="AM56" s="296">
        <v>0</v>
      </c>
      <c r="AN56" s="296">
        <f t="shared" si="44"/>
        <v>0</v>
      </c>
      <c r="AO56" s="296">
        <f t="shared" si="45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2.1.14'!S53</f>
        <v>0</v>
      </c>
      <c r="D57" s="208">
        <f>+'Table 5C1A-Madison Prep'!D57</f>
        <v>4154.1928602178996</v>
      </c>
      <c r="E57" s="209">
        <f t="shared" si="27"/>
        <v>0</v>
      </c>
      <c r="F57" s="209">
        <f>+'Table 5C1A-Madison Prep'!F57</f>
        <v>706.66</v>
      </c>
      <c r="G57" s="209">
        <f t="shared" si="28"/>
        <v>0</v>
      </c>
      <c r="H57" s="344">
        <f t="shared" si="29"/>
        <v>0</v>
      </c>
      <c r="I57" s="990">
        <f>'[1]Oct midyear B.R. Charter'!K54</f>
        <v>0</v>
      </c>
      <c r="J57" s="210">
        <f>'[1]Feb midyear B.R. Charter'!K54</f>
        <v>0</v>
      </c>
      <c r="K57" s="211">
        <f t="shared" si="30"/>
        <v>0</v>
      </c>
      <c r="L57" s="350">
        <f t="shared" si="46"/>
        <v>0</v>
      </c>
      <c r="M57" s="273">
        <f t="shared" si="31"/>
        <v>0</v>
      </c>
      <c r="N57" s="350">
        <f t="shared" si="32"/>
        <v>0</v>
      </c>
      <c r="O57" s="210">
        <v>0</v>
      </c>
      <c r="P57" s="350">
        <f t="shared" si="21"/>
        <v>0</v>
      </c>
      <c r="Q57" s="210">
        <f>'[2]Table 5C1M-B.R. Charter'!S57+'[14]Table 5C1M-B.R. Charter'!S57+(6*'[20]Table 5C1M-B.R. Charter'!S57)</f>
        <v>0</v>
      </c>
      <c r="R57" s="210">
        <f t="shared" si="33"/>
        <v>0</v>
      </c>
      <c r="S57" s="350">
        <f t="shared" si="47"/>
        <v>0</v>
      </c>
      <c r="T57" s="350">
        <f t="shared" si="34"/>
        <v>0</v>
      </c>
      <c r="U57" s="274">
        <f>'Table 5C1A-Madison Prep'!U57</f>
        <v>4512</v>
      </c>
      <c r="V57" s="327">
        <f t="shared" si="48"/>
        <v>0</v>
      </c>
      <c r="W57" s="994">
        <f>'[1]Oct midyear B.R. Charter'!E54</f>
        <v>0</v>
      </c>
      <c r="X57" s="276">
        <f t="shared" si="35"/>
        <v>0</v>
      </c>
      <c r="Y57" s="883">
        <f>'[1]Feb midyear B.R. Charter'!E54</f>
        <v>0</v>
      </c>
      <c r="Z57" s="276">
        <f t="shared" si="24"/>
        <v>0</v>
      </c>
      <c r="AA57" s="275">
        <f t="shared" si="36"/>
        <v>0</v>
      </c>
      <c r="AB57" s="323">
        <f t="shared" si="37"/>
        <v>0</v>
      </c>
      <c r="AC57" s="278">
        <f t="shared" si="38"/>
        <v>0</v>
      </c>
      <c r="AD57" s="323">
        <f t="shared" si="39"/>
        <v>0</v>
      </c>
      <c r="AE57" s="276">
        <v>0</v>
      </c>
      <c r="AF57" s="327">
        <f t="shared" si="40"/>
        <v>0</v>
      </c>
      <c r="AG57" s="276">
        <f>'[2]Table 5C1M-B.R. Charter'!AI57+'[14]Table 5C1M-B.R. Charter'!AI57+(6*'[20]Table 5C1M-B.R. Charter'!AI57)</f>
        <v>0</v>
      </c>
      <c r="AH57" s="276">
        <f t="shared" si="41"/>
        <v>0</v>
      </c>
      <c r="AI57" s="327">
        <f t="shared" si="49"/>
        <v>0</v>
      </c>
      <c r="AJ57" s="337">
        <f t="shared" si="42"/>
        <v>0</v>
      </c>
      <c r="AK57" s="341">
        <f t="shared" si="50"/>
        <v>0</v>
      </c>
      <c r="AM57" s="273">
        <v>0</v>
      </c>
      <c r="AN57" s="273">
        <f t="shared" si="44"/>
        <v>0</v>
      </c>
      <c r="AO57" s="273">
        <f t="shared" si="45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2.1.14'!S54</f>
        <v>0</v>
      </c>
      <c r="D58" s="201">
        <f>+'Table 5C1A-Madison Prep'!D58</f>
        <v>5062.2745845228173</v>
      </c>
      <c r="E58" s="202">
        <f t="shared" si="27"/>
        <v>0</v>
      </c>
      <c r="F58" s="202">
        <f>+'Table 5C1A-Madison Prep'!F58</f>
        <v>658.37</v>
      </c>
      <c r="G58" s="202">
        <f t="shared" si="28"/>
        <v>0</v>
      </c>
      <c r="H58" s="345">
        <f t="shared" si="29"/>
        <v>0</v>
      </c>
      <c r="I58" s="991">
        <f>'[1]Oct midyear B.R. Charter'!K55</f>
        <v>0</v>
      </c>
      <c r="J58" s="203">
        <f>'[1]Feb midyear B.R. Charter'!K55</f>
        <v>0</v>
      </c>
      <c r="K58" s="204">
        <f t="shared" si="30"/>
        <v>0</v>
      </c>
      <c r="L58" s="351">
        <f t="shared" si="46"/>
        <v>0</v>
      </c>
      <c r="M58" s="286">
        <f t="shared" si="31"/>
        <v>0</v>
      </c>
      <c r="N58" s="351">
        <f t="shared" si="32"/>
        <v>0</v>
      </c>
      <c r="O58" s="203">
        <v>0</v>
      </c>
      <c r="P58" s="351">
        <f t="shared" si="21"/>
        <v>0</v>
      </c>
      <c r="Q58" s="203">
        <f>'[2]Table 5C1M-B.R. Charter'!S58+'[14]Table 5C1M-B.R. Charter'!S58+(6*'[20]Table 5C1M-B.R. Charter'!S58)</f>
        <v>0</v>
      </c>
      <c r="R58" s="203">
        <f t="shared" si="33"/>
        <v>0</v>
      </c>
      <c r="S58" s="351">
        <f t="shared" si="47"/>
        <v>0</v>
      </c>
      <c r="T58" s="351">
        <f t="shared" si="34"/>
        <v>0</v>
      </c>
      <c r="U58" s="287">
        <f>'Table 5C1A-Madison Prep'!U58</f>
        <v>5289</v>
      </c>
      <c r="V58" s="328">
        <f t="shared" si="48"/>
        <v>0</v>
      </c>
      <c r="W58" s="995">
        <f>'[1]Oct midyear B.R. Charter'!E55</f>
        <v>0</v>
      </c>
      <c r="X58" s="290">
        <f t="shared" si="35"/>
        <v>0</v>
      </c>
      <c r="Y58" s="289">
        <f>'[1]Feb midyear B.R. Charter'!E55</f>
        <v>0</v>
      </c>
      <c r="Z58" s="290">
        <f t="shared" si="24"/>
        <v>0</v>
      </c>
      <c r="AA58" s="288">
        <f t="shared" si="36"/>
        <v>0</v>
      </c>
      <c r="AB58" s="324">
        <f t="shared" si="37"/>
        <v>0</v>
      </c>
      <c r="AC58" s="292">
        <f t="shared" si="38"/>
        <v>0</v>
      </c>
      <c r="AD58" s="324">
        <f t="shared" si="39"/>
        <v>0</v>
      </c>
      <c r="AE58" s="290">
        <v>0</v>
      </c>
      <c r="AF58" s="328">
        <f t="shared" si="40"/>
        <v>0</v>
      </c>
      <c r="AG58" s="290">
        <f>'[2]Table 5C1M-B.R. Charter'!AI58+'[14]Table 5C1M-B.R. Charter'!AI58+(6*'[20]Table 5C1M-B.R. Charter'!AI58)</f>
        <v>0</v>
      </c>
      <c r="AH58" s="290">
        <f t="shared" si="41"/>
        <v>0</v>
      </c>
      <c r="AI58" s="328">
        <f t="shared" si="49"/>
        <v>0</v>
      </c>
      <c r="AJ58" s="321">
        <f t="shared" si="42"/>
        <v>0</v>
      </c>
      <c r="AK58" s="342">
        <f t="shared" si="50"/>
        <v>0</v>
      </c>
      <c r="AM58" s="286">
        <v>0</v>
      </c>
      <c r="AN58" s="286">
        <f t="shared" si="44"/>
        <v>0</v>
      </c>
      <c r="AO58" s="286">
        <f t="shared" si="45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2.1.14'!S55</f>
        <v>0</v>
      </c>
      <c r="D59" s="201">
        <f>+'Table 5C1A-Madison Prep'!D59</f>
        <v>5060.1508194045482</v>
      </c>
      <c r="E59" s="202">
        <f t="shared" si="27"/>
        <v>0</v>
      </c>
      <c r="F59" s="202">
        <f>+'Table 5C1A-Madison Prep'!F59</f>
        <v>689.74</v>
      </c>
      <c r="G59" s="202">
        <f t="shared" si="28"/>
        <v>0</v>
      </c>
      <c r="H59" s="345">
        <f t="shared" si="29"/>
        <v>0</v>
      </c>
      <c r="I59" s="991">
        <f>'[1]Oct midyear B.R. Charter'!K56</f>
        <v>0</v>
      </c>
      <c r="J59" s="203">
        <f>'[1]Feb midyear B.R. Charter'!K56</f>
        <v>0</v>
      </c>
      <c r="K59" s="204">
        <f t="shared" si="30"/>
        <v>0</v>
      </c>
      <c r="L59" s="351">
        <f t="shared" si="46"/>
        <v>0</v>
      </c>
      <c r="M59" s="286">
        <f t="shared" si="31"/>
        <v>0</v>
      </c>
      <c r="N59" s="351">
        <f t="shared" si="32"/>
        <v>0</v>
      </c>
      <c r="O59" s="203">
        <v>0</v>
      </c>
      <c r="P59" s="351">
        <f t="shared" si="21"/>
        <v>0</v>
      </c>
      <c r="Q59" s="203">
        <f>'[2]Table 5C1M-B.R. Charter'!S59+'[14]Table 5C1M-B.R. Charter'!S59+(6*'[20]Table 5C1M-B.R. Charter'!S59)</f>
        <v>0</v>
      </c>
      <c r="R59" s="203">
        <f t="shared" si="33"/>
        <v>0</v>
      </c>
      <c r="S59" s="351">
        <f t="shared" si="47"/>
        <v>0</v>
      </c>
      <c r="T59" s="351">
        <f t="shared" si="34"/>
        <v>0</v>
      </c>
      <c r="U59" s="287">
        <f>'Table 5C1A-Madison Prep'!U59</f>
        <v>2101</v>
      </c>
      <c r="V59" s="328">
        <f t="shared" si="48"/>
        <v>0</v>
      </c>
      <c r="W59" s="995">
        <f>'[1]Oct midyear B.R. Charter'!E56</f>
        <v>0</v>
      </c>
      <c r="X59" s="290">
        <f t="shared" si="35"/>
        <v>0</v>
      </c>
      <c r="Y59" s="289">
        <f>'[1]Feb midyear B.R. Charter'!E56</f>
        <v>0</v>
      </c>
      <c r="Z59" s="290">
        <f t="shared" si="24"/>
        <v>0</v>
      </c>
      <c r="AA59" s="288">
        <f t="shared" si="36"/>
        <v>0</v>
      </c>
      <c r="AB59" s="324">
        <f t="shared" si="37"/>
        <v>0</v>
      </c>
      <c r="AC59" s="292">
        <f t="shared" si="38"/>
        <v>0</v>
      </c>
      <c r="AD59" s="324">
        <f t="shared" si="39"/>
        <v>0</v>
      </c>
      <c r="AE59" s="290">
        <v>0</v>
      </c>
      <c r="AF59" s="328">
        <f t="shared" si="40"/>
        <v>0</v>
      </c>
      <c r="AG59" s="290">
        <f>'[2]Table 5C1M-B.R. Charter'!AI59+'[14]Table 5C1M-B.R. Charter'!AI59+(6*'[20]Table 5C1M-B.R. Charter'!AI59)</f>
        <v>0</v>
      </c>
      <c r="AH59" s="290">
        <f t="shared" si="41"/>
        <v>0</v>
      </c>
      <c r="AI59" s="328">
        <f t="shared" si="49"/>
        <v>0</v>
      </c>
      <c r="AJ59" s="321">
        <f t="shared" si="42"/>
        <v>0</v>
      </c>
      <c r="AK59" s="342">
        <f t="shared" si="50"/>
        <v>0</v>
      </c>
      <c r="AM59" s="286">
        <v>0</v>
      </c>
      <c r="AN59" s="286">
        <f t="shared" si="44"/>
        <v>0</v>
      </c>
      <c r="AO59" s="286">
        <f t="shared" si="45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2.1.14'!S56</f>
        <v>0</v>
      </c>
      <c r="D60" s="201">
        <f>+'Table 5C1A-Madison Prep'!D60</f>
        <v>5867.0798370516713</v>
      </c>
      <c r="E60" s="202">
        <f t="shared" si="27"/>
        <v>0</v>
      </c>
      <c r="F60" s="202">
        <f>+'Table 5C1A-Madison Prep'!F60</f>
        <v>951.45</v>
      </c>
      <c r="G60" s="202">
        <f t="shared" si="28"/>
        <v>0</v>
      </c>
      <c r="H60" s="345">
        <f t="shared" si="29"/>
        <v>0</v>
      </c>
      <c r="I60" s="991">
        <f>'[1]Oct midyear B.R. Charter'!K57</f>
        <v>0</v>
      </c>
      <c r="J60" s="203">
        <f>'[1]Feb midyear B.R. Charter'!K57</f>
        <v>0</v>
      </c>
      <c r="K60" s="204">
        <f t="shared" si="30"/>
        <v>0</v>
      </c>
      <c r="L60" s="351">
        <f t="shared" si="46"/>
        <v>0</v>
      </c>
      <c r="M60" s="286">
        <f t="shared" si="31"/>
        <v>0</v>
      </c>
      <c r="N60" s="351">
        <f t="shared" si="32"/>
        <v>0</v>
      </c>
      <c r="O60" s="203">
        <v>0</v>
      </c>
      <c r="P60" s="351">
        <f t="shared" si="21"/>
        <v>0</v>
      </c>
      <c r="Q60" s="203">
        <f>'[2]Table 5C1M-B.R. Charter'!S60+'[14]Table 5C1M-B.R. Charter'!S60+(6*'[20]Table 5C1M-B.R. Charter'!S60)</f>
        <v>0</v>
      </c>
      <c r="R60" s="203">
        <f t="shared" si="33"/>
        <v>0</v>
      </c>
      <c r="S60" s="351">
        <f t="shared" si="47"/>
        <v>0</v>
      </c>
      <c r="T60" s="351">
        <f t="shared" si="34"/>
        <v>0</v>
      </c>
      <c r="U60" s="287">
        <f>'Table 5C1A-Madison Prep'!U60</f>
        <v>4150</v>
      </c>
      <c r="V60" s="328">
        <f t="shared" si="48"/>
        <v>0</v>
      </c>
      <c r="W60" s="995">
        <f>'[1]Oct midyear B.R. Charter'!E57</f>
        <v>0</v>
      </c>
      <c r="X60" s="290">
        <f t="shared" si="35"/>
        <v>0</v>
      </c>
      <c r="Y60" s="289">
        <f>'[1]Feb midyear B.R. Charter'!E57</f>
        <v>0</v>
      </c>
      <c r="Z60" s="290">
        <f t="shared" si="24"/>
        <v>0</v>
      </c>
      <c r="AA60" s="288">
        <f t="shared" si="36"/>
        <v>0</v>
      </c>
      <c r="AB60" s="324">
        <f t="shared" si="37"/>
        <v>0</v>
      </c>
      <c r="AC60" s="292">
        <f t="shared" si="38"/>
        <v>0</v>
      </c>
      <c r="AD60" s="324">
        <f t="shared" si="39"/>
        <v>0</v>
      </c>
      <c r="AE60" s="290">
        <v>0</v>
      </c>
      <c r="AF60" s="328">
        <f t="shared" si="40"/>
        <v>0</v>
      </c>
      <c r="AG60" s="290">
        <f>'[2]Table 5C1M-B.R. Charter'!AI60+'[14]Table 5C1M-B.R. Charter'!AI60+(6*'[20]Table 5C1M-B.R. Charter'!AI60)</f>
        <v>0</v>
      </c>
      <c r="AH60" s="290">
        <f t="shared" si="41"/>
        <v>0</v>
      </c>
      <c r="AI60" s="328">
        <f t="shared" si="49"/>
        <v>0</v>
      </c>
      <c r="AJ60" s="321">
        <f t="shared" si="42"/>
        <v>0</v>
      </c>
      <c r="AK60" s="342">
        <f t="shared" si="50"/>
        <v>0</v>
      </c>
      <c r="AM60" s="286">
        <v>0</v>
      </c>
      <c r="AN60" s="286">
        <f t="shared" si="44"/>
        <v>0</v>
      </c>
      <c r="AO60" s="286">
        <f t="shared" si="45"/>
        <v>0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2.1.14'!S57</f>
        <v>0</v>
      </c>
      <c r="D61" s="194">
        <f>+'Table 5C1A-Madison Prep'!D61</f>
        <v>4266.8225491298481</v>
      </c>
      <c r="E61" s="195">
        <f t="shared" si="27"/>
        <v>0</v>
      </c>
      <c r="F61" s="195">
        <f>+'Table 5C1A-Madison Prep'!F61</f>
        <v>795.14</v>
      </c>
      <c r="G61" s="195">
        <f t="shared" si="28"/>
        <v>0</v>
      </c>
      <c r="H61" s="346">
        <f t="shared" si="29"/>
        <v>0</v>
      </c>
      <c r="I61" s="992">
        <f>'[1]Oct midyear B.R. Charter'!K58</f>
        <v>0</v>
      </c>
      <c r="J61" s="196">
        <f>'[1]Feb midyear B.R. Charter'!K58</f>
        <v>0</v>
      </c>
      <c r="K61" s="197">
        <f t="shared" si="30"/>
        <v>0</v>
      </c>
      <c r="L61" s="352">
        <f t="shared" si="46"/>
        <v>0</v>
      </c>
      <c r="M61" s="296">
        <f t="shared" si="31"/>
        <v>0</v>
      </c>
      <c r="N61" s="352">
        <f t="shared" si="32"/>
        <v>0</v>
      </c>
      <c r="O61" s="196">
        <v>0</v>
      </c>
      <c r="P61" s="352">
        <f t="shared" si="21"/>
        <v>0</v>
      </c>
      <c r="Q61" s="196">
        <f>'[2]Table 5C1M-B.R. Charter'!S61+'[14]Table 5C1M-B.R. Charter'!S61+(6*'[20]Table 5C1M-B.R. Charter'!S61)</f>
        <v>0</v>
      </c>
      <c r="R61" s="196">
        <f t="shared" si="33"/>
        <v>0</v>
      </c>
      <c r="S61" s="352">
        <f t="shared" si="47"/>
        <v>0</v>
      </c>
      <c r="T61" s="352">
        <f t="shared" si="34"/>
        <v>0</v>
      </c>
      <c r="U61" s="281">
        <f>'Table 5C1A-Madison Prep'!U61</f>
        <v>3637</v>
      </c>
      <c r="V61" s="329">
        <f t="shared" si="48"/>
        <v>0</v>
      </c>
      <c r="W61" s="996">
        <f>'[1]Oct midyear B.R. Charter'!E58</f>
        <v>0</v>
      </c>
      <c r="X61" s="282">
        <f t="shared" si="35"/>
        <v>0</v>
      </c>
      <c r="Y61" s="884">
        <f>'[1]Feb midyear B.R. Charter'!E58</f>
        <v>0</v>
      </c>
      <c r="Z61" s="282">
        <f t="shared" si="24"/>
        <v>0</v>
      </c>
      <c r="AA61" s="283">
        <f t="shared" si="36"/>
        <v>0</v>
      </c>
      <c r="AB61" s="325">
        <f t="shared" si="37"/>
        <v>0</v>
      </c>
      <c r="AC61" s="298">
        <f t="shared" si="38"/>
        <v>0</v>
      </c>
      <c r="AD61" s="325">
        <f t="shared" si="39"/>
        <v>0</v>
      </c>
      <c r="AE61" s="282">
        <v>0</v>
      </c>
      <c r="AF61" s="329">
        <f t="shared" si="40"/>
        <v>0</v>
      </c>
      <c r="AG61" s="282">
        <f>'[2]Table 5C1M-B.R. Charter'!AI61+'[14]Table 5C1M-B.R. Charter'!AI61+(6*'[20]Table 5C1M-B.R. Charter'!AI61)</f>
        <v>0</v>
      </c>
      <c r="AH61" s="282">
        <f t="shared" si="41"/>
        <v>0</v>
      </c>
      <c r="AI61" s="329">
        <f t="shared" si="49"/>
        <v>0</v>
      </c>
      <c r="AJ61" s="338">
        <f t="shared" si="42"/>
        <v>0</v>
      </c>
      <c r="AK61" s="343">
        <f t="shared" si="50"/>
        <v>0</v>
      </c>
      <c r="AM61" s="296">
        <v>0</v>
      </c>
      <c r="AN61" s="296">
        <f t="shared" si="44"/>
        <v>0</v>
      </c>
      <c r="AO61" s="296">
        <f t="shared" si="45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2.1.14'!S58</f>
        <v>0</v>
      </c>
      <c r="D62" s="208">
        <f>+'Table 5C1A-Madison Prep'!D62</f>
        <v>5028.4909408288286</v>
      </c>
      <c r="E62" s="209">
        <f t="shared" si="27"/>
        <v>0</v>
      </c>
      <c r="F62" s="209">
        <f>+'Table 5C1A-Madison Prep'!F62</f>
        <v>614.66000000000008</v>
      </c>
      <c r="G62" s="209">
        <f t="shared" si="28"/>
        <v>0</v>
      </c>
      <c r="H62" s="344">
        <f t="shared" si="29"/>
        <v>0</v>
      </c>
      <c r="I62" s="990">
        <f>'[1]Oct midyear B.R. Charter'!K59</f>
        <v>0</v>
      </c>
      <c r="J62" s="210">
        <f>'[1]Feb midyear B.R. Charter'!K59</f>
        <v>0</v>
      </c>
      <c r="K62" s="211">
        <f t="shared" si="30"/>
        <v>0</v>
      </c>
      <c r="L62" s="350">
        <f t="shared" si="46"/>
        <v>0</v>
      </c>
      <c r="M62" s="273">
        <f t="shared" si="31"/>
        <v>0</v>
      </c>
      <c r="N62" s="350">
        <f t="shared" si="32"/>
        <v>0</v>
      </c>
      <c r="O62" s="210">
        <v>0</v>
      </c>
      <c r="P62" s="350">
        <f t="shared" si="21"/>
        <v>0</v>
      </c>
      <c r="Q62" s="210">
        <f>'[2]Table 5C1M-B.R. Charter'!S62+'[14]Table 5C1M-B.R. Charter'!S62+(6*'[20]Table 5C1M-B.R. Charter'!S62)</f>
        <v>0</v>
      </c>
      <c r="R62" s="210">
        <f t="shared" si="33"/>
        <v>0</v>
      </c>
      <c r="S62" s="350">
        <f t="shared" si="47"/>
        <v>0</v>
      </c>
      <c r="T62" s="350">
        <f t="shared" si="34"/>
        <v>0</v>
      </c>
      <c r="U62" s="274">
        <f>'Table 5C1A-Madison Prep'!U62</f>
        <v>2857</v>
      </c>
      <c r="V62" s="327">
        <f t="shared" si="48"/>
        <v>0</v>
      </c>
      <c r="W62" s="994">
        <f>'[1]Oct midyear B.R. Charter'!E59</f>
        <v>0</v>
      </c>
      <c r="X62" s="276">
        <f t="shared" si="35"/>
        <v>0</v>
      </c>
      <c r="Y62" s="883">
        <f>'[1]Feb midyear B.R. Charter'!E59</f>
        <v>0</v>
      </c>
      <c r="Z62" s="276">
        <f t="shared" si="24"/>
        <v>0</v>
      </c>
      <c r="AA62" s="275">
        <f t="shared" si="36"/>
        <v>0</v>
      </c>
      <c r="AB62" s="323">
        <f t="shared" si="37"/>
        <v>0</v>
      </c>
      <c r="AC62" s="278">
        <f t="shared" si="38"/>
        <v>0</v>
      </c>
      <c r="AD62" s="323">
        <f t="shared" si="39"/>
        <v>0</v>
      </c>
      <c r="AE62" s="276">
        <v>0</v>
      </c>
      <c r="AF62" s="327">
        <f t="shared" si="40"/>
        <v>0</v>
      </c>
      <c r="AG62" s="276">
        <f>'[2]Table 5C1M-B.R. Charter'!AI62+'[14]Table 5C1M-B.R. Charter'!AI62+(6*'[20]Table 5C1M-B.R. Charter'!AI62)</f>
        <v>0</v>
      </c>
      <c r="AH62" s="276">
        <f t="shared" si="41"/>
        <v>0</v>
      </c>
      <c r="AI62" s="327">
        <f t="shared" si="49"/>
        <v>0</v>
      </c>
      <c r="AJ62" s="337">
        <f t="shared" si="42"/>
        <v>0</v>
      </c>
      <c r="AK62" s="341">
        <f t="shared" si="50"/>
        <v>0</v>
      </c>
      <c r="AM62" s="273">
        <v>0</v>
      </c>
      <c r="AN62" s="273">
        <f t="shared" si="44"/>
        <v>0</v>
      </c>
      <c r="AO62" s="273">
        <f t="shared" si="45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2.1.14'!S59</f>
        <v>0</v>
      </c>
      <c r="D63" s="201">
        <f>+'Table 5C1A-Madison Prep'!D63</f>
        <v>4625.9922979230687</v>
      </c>
      <c r="E63" s="202">
        <f t="shared" si="27"/>
        <v>0</v>
      </c>
      <c r="F63" s="202">
        <f>+'Table 5C1A-Madison Prep'!F63</f>
        <v>764.51</v>
      </c>
      <c r="G63" s="202">
        <f t="shared" si="28"/>
        <v>0</v>
      </c>
      <c r="H63" s="345">
        <f t="shared" si="29"/>
        <v>0</v>
      </c>
      <c r="I63" s="991">
        <f>'[1]Oct midyear B.R. Charter'!K60</f>
        <v>0</v>
      </c>
      <c r="J63" s="203">
        <f>'[1]Feb midyear B.R. Charter'!K60</f>
        <v>0</v>
      </c>
      <c r="K63" s="204">
        <f t="shared" si="30"/>
        <v>0</v>
      </c>
      <c r="L63" s="351">
        <f t="shared" si="46"/>
        <v>0</v>
      </c>
      <c r="M63" s="286">
        <f t="shared" si="31"/>
        <v>0</v>
      </c>
      <c r="N63" s="351">
        <f t="shared" si="32"/>
        <v>0</v>
      </c>
      <c r="O63" s="203">
        <v>0</v>
      </c>
      <c r="P63" s="351">
        <f t="shared" si="21"/>
        <v>0</v>
      </c>
      <c r="Q63" s="203">
        <f>'[2]Table 5C1M-B.R. Charter'!S63+'[14]Table 5C1M-B.R. Charter'!S63+(6*'[20]Table 5C1M-B.R. Charter'!S63)</f>
        <v>0</v>
      </c>
      <c r="R63" s="203">
        <f t="shared" si="33"/>
        <v>0</v>
      </c>
      <c r="S63" s="351">
        <f t="shared" si="47"/>
        <v>0</v>
      </c>
      <c r="T63" s="351">
        <f t="shared" si="34"/>
        <v>0</v>
      </c>
      <c r="U63" s="287">
        <f>'Table 5C1A-Madison Prep'!U63</f>
        <v>3465</v>
      </c>
      <c r="V63" s="328">
        <f t="shared" si="48"/>
        <v>0</v>
      </c>
      <c r="W63" s="995">
        <f>'[1]Oct midyear B.R. Charter'!E60</f>
        <v>0</v>
      </c>
      <c r="X63" s="290">
        <f t="shared" si="35"/>
        <v>0</v>
      </c>
      <c r="Y63" s="289">
        <f>'[1]Feb midyear B.R. Charter'!E60</f>
        <v>0</v>
      </c>
      <c r="Z63" s="290">
        <f t="shared" si="24"/>
        <v>0</v>
      </c>
      <c r="AA63" s="288">
        <f t="shared" si="36"/>
        <v>0</v>
      </c>
      <c r="AB63" s="324">
        <f t="shared" si="37"/>
        <v>0</v>
      </c>
      <c r="AC63" s="292">
        <f t="shared" si="38"/>
        <v>0</v>
      </c>
      <c r="AD63" s="324">
        <f t="shared" si="39"/>
        <v>0</v>
      </c>
      <c r="AE63" s="290">
        <v>0</v>
      </c>
      <c r="AF63" s="328">
        <f t="shared" si="40"/>
        <v>0</v>
      </c>
      <c r="AG63" s="290">
        <f>'[2]Table 5C1M-B.R. Charter'!AI63+'[14]Table 5C1M-B.R. Charter'!AI63+(6*'[20]Table 5C1M-B.R. Charter'!AI63)</f>
        <v>0</v>
      </c>
      <c r="AH63" s="290">
        <f t="shared" si="41"/>
        <v>0</v>
      </c>
      <c r="AI63" s="328">
        <f t="shared" si="49"/>
        <v>0</v>
      </c>
      <c r="AJ63" s="321">
        <f t="shared" si="42"/>
        <v>0</v>
      </c>
      <c r="AK63" s="342">
        <f t="shared" si="50"/>
        <v>0</v>
      </c>
      <c r="AM63" s="286">
        <v>0</v>
      </c>
      <c r="AN63" s="286">
        <f t="shared" si="44"/>
        <v>0</v>
      </c>
      <c r="AO63" s="286">
        <f t="shared" si="45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2.1.14'!S60</f>
        <v>0</v>
      </c>
      <c r="D64" s="201">
        <f>+'Table 5C1A-Madison Prep'!D64</f>
        <v>5673.1129637882123</v>
      </c>
      <c r="E64" s="202">
        <f t="shared" si="27"/>
        <v>0</v>
      </c>
      <c r="F64" s="202">
        <f>+'Table 5C1A-Madison Prep'!F64</f>
        <v>697.04</v>
      </c>
      <c r="G64" s="202">
        <f t="shared" si="28"/>
        <v>0</v>
      </c>
      <c r="H64" s="345">
        <f t="shared" si="29"/>
        <v>0</v>
      </c>
      <c r="I64" s="991">
        <f>'[1]Oct midyear B.R. Charter'!K61</f>
        <v>0</v>
      </c>
      <c r="J64" s="203">
        <f>'[1]Feb midyear B.R. Charter'!K61</f>
        <v>0</v>
      </c>
      <c r="K64" s="204">
        <f t="shared" si="30"/>
        <v>0</v>
      </c>
      <c r="L64" s="351">
        <f t="shared" si="46"/>
        <v>0</v>
      </c>
      <c r="M64" s="286">
        <f t="shared" si="31"/>
        <v>0</v>
      </c>
      <c r="N64" s="351">
        <f t="shared" si="32"/>
        <v>0</v>
      </c>
      <c r="O64" s="203">
        <v>0</v>
      </c>
      <c r="P64" s="351">
        <f t="shared" si="21"/>
        <v>0</v>
      </c>
      <c r="Q64" s="203">
        <f>'[2]Table 5C1M-B.R. Charter'!S64+'[14]Table 5C1M-B.R. Charter'!S64+(6*'[20]Table 5C1M-B.R. Charter'!S64)</f>
        <v>0</v>
      </c>
      <c r="R64" s="203">
        <f t="shared" si="33"/>
        <v>0</v>
      </c>
      <c r="S64" s="351">
        <f t="shared" si="47"/>
        <v>0</v>
      </c>
      <c r="T64" s="351">
        <f t="shared" si="34"/>
        <v>0</v>
      </c>
      <c r="U64" s="287">
        <f>'Table 5C1A-Madison Prep'!U64</f>
        <v>2167</v>
      </c>
      <c r="V64" s="328">
        <f t="shared" si="48"/>
        <v>0</v>
      </c>
      <c r="W64" s="995">
        <f>'[1]Oct midyear B.R. Charter'!E61</f>
        <v>0</v>
      </c>
      <c r="X64" s="290">
        <f t="shared" si="35"/>
        <v>0</v>
      </c>
      <c r="Y64" s="289">
        <f>'[1]Feb midyear B.R. Charter'!E61</f>
        <v>0</v>
      </c>
      <c r="Z64" s="290">
        <f t="shared" si="24"/>
        <v>0</v>
      </c>
      <c r="AA64" s="288">
        <f t="shared" si="36"/>
        <v>0</v>
      </c>
      <c r="AB64" s="324">
        <f t="shared" si="37"/>
        <v>0</v>
      </c>
      <c r="AC64" s="292">
        <f t="shared" si="38"/>
        <v>0</v>
      </c>
      <c r="AD64" s="324">
        <f t="shared" si="39"/>
        <v>0</v>
      </c>
      <c r="AE64" s="290">
        <v>0</v>
      </c>
      <c r="AF64" s="328">
        <f t="shared" si="40"/>
        <v>0</v>
      </c>
      <c r="AG64" s="290">
        <f>'[2]Table 5C1M-B.R. Charter'!AI64+'[14]Table 5C1M-B.R. Charter'!AI64+(6*'[20]Table 5C1M-B.R. Charter'!AI64)</f>
        <v>0</v>
      </c>
      <c r="AH64" s="290">
        <f t="shared" si="41"/>
        <v>0</v>
      </c>
      <c r="AI64" s="328">
        <f t="shared" si="49"/>
        <v>0</v>
      </c>
      <c r="AJ64" s="321">
        <f t="shared" si="42"/>
        <v>0</v>
      </c>
      <c r="AK64" s="342">
        <f t="shared" si="50"/>
        <v>0</v>
      </c>
      <c r="AM64" s="286">
        <v>0</v>
      </c>
      <c r="AN64" s="286">
        <f t="shared" si="44"/>
        <v>0</v>
      </c>
      <c r="AO64" s="286">
        <f t="shared" si="45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2.1.14'!S61</f>
        <v>0</v>
      </c>
      <c r="D65" s="201">
        <f>+'Table 5C1A-Madison Prep'!D65</f>
        <v>6621.946293521848</v>
      </c>
      <c r="E65" s="202">
        <f t="shared" si="27"/>
        <v>0</v>
      </c>
      <c r="F65" s="202">
        <f>+'Table 5C1A-Madison Prep'!F65</f>
        <v>689.52</v>
      </c>
      <c r="G65" s="202">
        <f t="shared" si="28"/>
        <v>0</v>
      </c>
      <c r="H65" s="345">
        <f t="shared" si="29"/>
        <v>0</v>
      </c>
      <c r="I65" s="991">
        <f>'[1]Oct midyear B.R. Charter'!K62</f>
        <v>0</v>
      </c>
      <c r="J65" s="203">
        <f>'[1]Feb midyear B.R. Charter'!K62</f>
        <v>0</v>
      </c>
      <c r="K65" s="204">
        <f t="shared" si="30"/>
        <v>0</v>
      </c>
      <c r="L65" s="351">
        <f t="shared" si="46"/>
        <v>0</v>
      </c>
      <c r="M65" s="286">
        <f t="shared" si="31"/>
        <v>0</v>
      </c>
      <c r="N65" s="351">
        <f t="shared" si="32"/>
        <v>0</v>
      </c>
      <c r="O65" s="203">
        <v>0</v>
      </c>
      <c r="P65" s="351">
        <f t="shared" si="21"/>
        <v>0</v>
      </c>
      <c r="Q65" s="203">
        <f>'[2]Table 5C1M-B.R. Charter'!S65+'[14]Table 5C1M-B.R. Charter'!S65+(6*'[20]Table 5C1M-B.R. Charter'!S65)</f>
        <v>0</v>
      </c>
      <c r="R65" s="203">
        <f t="shared" si="33"/>
        <v>0</v>
      </c>
      <c r="S65" s="351">
        <f t="shared" si="47"/>
        <v>0</v>
      </c>
      <c r="T65" s="351">
        <f t="shared" si="34"/>
        <v>0</v>
      </c>
      <c r="U65" s="287">
        <f>'Table 5C1A-Madison Prep'!U65</f>
        <v>1521</v>
      </c>
      <c r="V65" s="328">
        <f t="shared" si="48"/>
        <v>0</v>
      </c>
      <c r="W65" s="995">
        <f>'[1]Oct midyear B.R. Charter'!E62</f>
        <v>0</v>
      </c>
      <c r="X65" s="290">
        <f t="shared" si="35"/>
        <v>0</v>
      </c>
      <c r="Y65" s="289">
        <f>'[1]Feb midyear B.R. Charter'!E62</f>
        <v>0</v>
      </c>
      <c r="Z65" s="290">
        <f t="shared" si="24"/>
        <v>0</v>
      </c>
      <c r="AA65" s="288">
        <f t="shared" si="36"/>
        <v>0</v>
      </c>
      <c r="AB65" s="324">
        <f t="shared" si="37"/>
        <v>0</v>
      </c>
      <c r="AC65" s="292">
        <f t="shared" si="38"/>
        <v>0</v>
      </c>
      <c r="AD65" s="324">
        <f t="shared" si="39"/>
        <v>0</v>
      </c>
      <c r="AE65" s="290">
        <v>0</v>
      </c>
      <c r="AF65" s="328">
        <f t="shared" si="40"/>
        <v>0</v>
      </c>
      <c r="AG65" s="290">
        <f>'[2]Table 5C1M-B.R. Charter'!AI65+'[14]Table 5C1M-B.R. Charter'!AI65+(6*'[20]Table 5C1M-B.R. Charter'!AI65)</f>
        <v>0</v>
      </c>
      <c r="AH65" s="290">
        <f t="shared" si="41"/>
        <v>0</v>
      </c>
      <c r="AI65" s="328">
        <f t="shared" si="49"/>
        <v>0</v>
      </c>
      <c r="AJ65" s="321">
        <f t="shared" si="42"/>
        <v>0</v>
      </c>
      <c r="AK65" s="342">
        <f t="shared" si="50"/>
        <v>0</v>
      </c>
      <c r="AM65" s="286">
        <v>0</v>
      </c>
      <c r="AN65" s="286">
        <f t="shared" si="44"/>
        <v>0</v>
      </c>
      <c r="AO65" s="286">
        <f t="shared" si="45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2.1.14'!S62</f>
        <v>0</v>
      </c>
      <c r="D66" s="194">
        <f>+'Table 5C1A-Madison Prep'!D66</f>
        <v>5301.224090063828</v>
      </c>
      <c r="E66" s="195">
        <f t="shared" si="27"/>
        <v>0</v>
      </c>
      <c r="F66" s="195">
        <f>+'Table 5C1A-Madison Prep'!F66</f>
        <v>594.04</v>
      </c>
      <c r="G66" s="195">
        <f t="shared" si="28"/>
        <v>0</v>
      </c>
      <c r="H66" s="346">
        <f t="shared" si="29"/>
        <v>0</v>
      </c>
      <c r="I66" s="992">
        <f>'[1]Oct midyear B.R. Charter'!K63</f>
        <v>0</v>
      </c>
      <c r="J66" s="196">
        <f>'[1]Feb midyear B.R. Charter'!K63</f>
        <v>0</v>
      </c>
      <c r="K66" s="197">
        <f t="shared" si="30"/>
        <v>0</v>
      </c>
      <c r="L66" s="352">
        <f t="shared" si="46"/>
        <v>0</v>
      </c>
      <c r="M66" s="296">
        <f t="shared" si="31"/>
        <v>0</v>
      </c>
      <c r="N66" s="352">
        <f t="shared" si="32"/>
        <v>0</v>
      </c>
      <c r="O66" s="196">
        <v>0</v>
      </c>
      <c r="P66" s="352">
        <f t="shared" si="21"/>
        <v>0</v>
      </c>
      <c r="Q66" s="196">
        <f>'[2]Table 5C1M-B.R. Charter'!S66+'[14]Table 5C1M-B.R. Charter'!S66+(6*'[20]Table 5C1M-B.R. Charter'!S66)</f>
        <v>0</v>
      </c>
      <c r="R66" s="196">
        <f t="shared" si="33"/>
        <v>0</v>
      </c>
      <c r="S66" s="352">
        <f t="shared" si="47"/>
        <v>0</v>
      </c>
      <c r="T66" s="352">
        <f t="shared" si="34"/>
        <v>0</v>
      </c>
      <c r="U66" s="281">
        <f>'Table 5C1A-Madison Prep'!U66</f>
        <v>4024</v>
      </c>
      <c r="V66" s="329">
        <f t="shared" si="48"/>
        <v>0</v>
      </c>
      <c r="W66" s="996">
        <f>'[1]Oct midyear B.R. Charter'!E63</f>
        <v>0</v>
      </c>
      <c r="X66" s="282">
        <f t="shared" si="35"/>
        <v>0</v>
      </c>
      <c r="Y66" s="884">
        <f>'[1]Feb midyear B.R. Charter'!E63</f>
        <v>0</v>
      </c>
      <c r="Z66" s="282">
        <f t="shared" si="24"/>
        <v>0</v>
      </c>
      <c r="AA66" s="283">
        <f t="shared" si="36"/>
        <v>0</v>
      </c>
      <c r="AB66" s="325">
        <f t="shared" si="37"/>
        <v>0</v>
      </c>
      <c r="AC66" s="298">
        <f t="shared" si="38"/>
        <v>0</v>
      </c>
      <c r="AD66" s="325">
        <f t="shared" si="39"/>
        <v>0</v>
      </c>
      <c r="AE66" s="282">
        <v>0</v>
      </c>
      <c r="AF66" s="329">
        <f t="shared" si="40"/>
        <v>0</v>
      </c>
      <c r="AG66" s="282">
        <f>'[2]Table 5C1M-B.R. Charter'!AI66+'[14]Table 5C1M-B.R. Charter'!AI66+(6*'[20]Table 5C1M-B.R. Charter'!AI66)</f>
        <v>0</v>
      </c>
      <c r="AH66" s="282">
        <f t="shared" si="41"/>
        <v>0</v>
      </c>
      <c r="AI66" s="329">
        <f t="shared" si="49"/>
        <v>0</v>
      </c>
      <c r="AJ66" s="338">
        <f t="shared" si="42"/>
        <v>0</v>
      </c>
      <c r="AK66" s="343">
        <f t="shared" si="50"/>
        <v>0</v>
      </c>
      <c r="AM66" s="296">
        <v>0</v>
      </c>
      <c r="AN66" s="296">
        <f t="shared" si="44"/>
        <v>0</v>
      </c>
      <c r="AO66" s="296">
        <f t="shared" si="45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2.1.14'!S63</f>
        <v>0</v>
      </c>
      <c r="D67" s="208">
        <f>+'Table 5C1A-Madison Prep'!D67</f>
        <v>2854.1575356369185</v>
      </c>
      <c r="E67" s="209">
        <f t="shared" si="27"/>
        <v>0</v>
      </c>
      <c r="F67" s="209">
        <f>+'Table 5C1A-Madison Prep'!F67</f>
        <v>833.70999999999992</v>
      </c>
      <c r="G67" s="209">
        <f t="shared" si="28"/>
        <v>0</v>
      </c>
      <c r="H67" s="344">
        <f t="shared" si="29"/>
        <v>0</v>
      </c>
      <c r="I67" s="990">
        <f>'[1]Oct midyear B.R. Charter'!K64</f>
        <v>0</v>
      </c>
      <c r="J67" s="210">
        <f>'[1]Feb midyear B.R. Charter'!K64</f>
        <v>3687.8675356369185</v>
      </c>
      <c r="K67" s="211">
        <f t="shared" si="30"/>
        <v>3687.8675356369185</v>
      </c>
      <c r="L67" s="350">
        <f t="shared" si="46"/>
        <v>3687.8675356369185</v>
      </c>
      <c r="M67" s="273">
        <f t="shared" si="31"/>
        <v>-9.2196688390922965</v>
      </c>
      <c r="N67" s="350">
        <f t="shared" si="32"/>
        <v>3678.6478667978263</v>
      </c>
      <c r="O67" s="210">
        <v>0</v>
      </c>
      <c r="P67" s="350">
        <f t="shared" si="21"/>
        <v>3678.6478667978263</v>
      </c>
      <c r="Q67" s="210">
        <f>'[2]Table 5C1M-B.R. Charter'!S67+'[14]Table 5C1M-B.R. Charter'!S67+(6*'[20]Table 5C1M-B.R. Charter'!S67)</f>
        <v>0</v>
      </c>
      <c r="R67" s="210">
        <f t="shared" si="33"/>
        <v>3678.6478667978263</v>
      </c>
      <c r="S67" s="350">
        <f t="shared" si="47"/>
        <v>920</v>
      </c>
      <c r="T67" s="350">
        <f t="shared" si="34"/>
        <v>3678.6478667978263</v>
      </c>
      <c r="U67" s="274">
        <f>'Table 5C1A-Madison Prep'!U67</f>
        <v>6739</v>
      </c>
      <c r="V67" s="327">
        <f t="shared" si="48"/>
        <v>0</v>
      </c>
      <c r="W67" s="994">
        <f>'[1]Oct midyear B.R. Charter'!E64</f>
        <v>0</v>
      </c>
      <c r="X67" s="276">
        <f t="shared" si="35"/>
        <v>0</v>
      </c>
      <c r="Y67" s="883">
        <f>'[1]Feb midyear B.R. Charter'!E64</f>
        <v>2</v>
      </c>
      <c r="Z67" s="276">
        <f t="shared" si="24"/>
        <v>6739</v>
      </c>
      <c r="AA67" s="275">
        <f t="shared" si="36"/>
        <v>6739</v>
      </c>
      <c r="AB67" s="323">
        <f t="shared" si="37"/>
        <v>6739</v>
      </c>
      <c r="AC67" s="278">
        <f t="shared" si="38"/>
        <v>-16.8475</v>
      </c>
      <c r="AD67" s="323">
        <f t="shared" si="39"/>
        <v>6722.1525000000001</v>
      </c>
      <c r="AE67" s="276">
        <v>0</v>
      </c>
      <c r="AF67" s="327">
        <f t="shared" si="40"/>
        <v>6722.1525000000001</v>
      </c>
      <c r="AG67" s="276">
        <f>'[2]Table 5C1M-B.R. Charter'!AI67+'[14]Table 5C1M-B.R. Charter'!AI67+(6*'[20]Table 5C1M-B.R. Charter'!AI67)</f>
        <v>0</v>
      </c>
      <c r="AH67" s="276">
        <f t="shared" si="41"/>
        <v>6722.1525000000001</v>
      </c>
      <c r="AI67" s="327">
        <f t="shared" si="49"/>
        <v>1681</v>
      </c>
      <c r="AJ67" s="337">
        <f t="shared" si="42"/>
        <v>10400.800366797826</v>
      </c>
      <c r="AK67" s="341">
        <f t="shared" si="50"/>
        <v>2601</v>
      </c>
      <c r="AM67" s="273">
        <v>0</v>
      </c>
      <c r="AN67" s="273">
        <f t="shared" si="44"/>
        <v>-16.8475</v>
      </c>
      <c r="AO67" s="273">
        <f t="shared" si="45"/>
        <v>-16.8475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2.1.14'!S64</f>
        <v>0</v>
      </c>
      <c r="D68" s="201">
        <f>+'Table 5C1A-Madison Prep'!D68</f>
        <v>5901.074538516008</v>
      </c>
      <c r="E68" s="202">
        <f t="shared" si="27"/>
        <v>0</v>
      </c>
      <c r="F68" s="202">
        <f>+'Table 5C1A-Madison Prep'!F68</f>
        <v>516.08000000000004</v>
      </c>
      <c r="G68" s="202">
        <f t="shared" si="28"/>
        <v>0</v>
      </c>
      <c r="H68" s="345">
        <f t="shared" si="29"/>
        <v>0</v>
      </c>
      <c r="I68" s="991">
        <f>'[1]Oct midyear B.R. Charter'!K65</f>
        <v>0</v>
      </c>
      <c r="J68" s="203">
        <f>'[1]Feb midyear B.R. Charter'!K65</f>
        <v>0</v>
      </c>
      <c r="K68" s="204">
        <f t="shared" si="30"/>
        <v>0</v>
      </c>
      <c r="L68" s="351">
        <f t="shared" si="46"/>
        <v>0</v>
      </c>
      <c r="M68" s="286">
        <f t="shared" si="31"/>
        <v>0</v>
      </c>
      <c r="N68" s="351">
        <f t="shared" si="32"/>
        <v>0</v>
      </c>
      <c r="O68" s="203">
        <v>0</v>
      </c>
      <c r="P68" s="351">
        <f t="shared" si="21"/>
        <v>0</v>
      </c>
      <c r="Q68" s="203">
        <f>'[2]Table 5C1M-B.R. Charter'!S68+'[14]Table 5C1M-B.R. Charter'!S68+(6*'[20]Table 5C1M-B.R. Charter'!S68)</f>
        <v>0</v>
      </c>
      <c r="R68" s="203">
        <f t="shared" si="33"/>
        <v>0</v>
      </c>
      <c r="S68" s="351">
        <f t="shared" si="47"/>
        <v>0</v>
      </c>
      <c r="T68" s="351">
        <f t="shared" si="34"/>
        <v>0</v>
      </c>
      <c r="U68" s="287">
        <f>'Table 5C1A-Madison Prep'!U68</f>
        <v>2089</v>
      </c>
      <c r="V68" s="328">
        <f t="shared" si="48"/>
        <v>0</v>
      </c>
      <c r="W68" s="995">
        <f>'[1]Oct midyear B.R. Charter'!E65</f>
        <v>0</v>
      </c>
      <c r="X68" s="290">
        <f t="shared" si="35"/>
        <v>0</v>
      </c>
      <c r="Y68" s="289">
        <f>'[1]Feb midyear B.R. Charter'!E65</f>
        <v>0</v>
      </c>
      <c r="Z68" s="290">
        <f t="shared" si="24"/>
        <v>0</v>
      </c>
      <c r="AA68" s="288">
        <f t="shared" si="36"/>
        <v>0</v>
      </c>
      <c r="AB68" s="324">
        <f t="shared" si="37"/>
        <v>0</v>
      </c>
      <c r="AC68" s="292">
        <f t="shared" si="38"/>
        <v>0</v>
      </c>
      <c r="AD68" s="324">
        <f t="shared" si="39"/>
        <v>0</v>
      </c>
      <c r="AE68" s="290">
        <v>0</v>
      </c>
      <c r="AF68" s="328">
        <f t="shared" si="40"/>
        <v>0</v>
      </c>
      <c r="AG68" s="290">
        <f>'[2]Table 5C1M-B.R. Charter'!AI68+'[14]Table 5C1M-B.R. Charter'!AI68+(6*'[20]Table 5C1M-B.R. Charter'!AI68)</f>
        <v>0</v>
      </c>
      <c r="AH68" s="290">
        <f t="shared" si="41"/>
        <v>0</v>
      </c>
      <c r="AI68" s="328">
        <f t="shared" si="49"/>
        <v>0</v>
      </c>
      <c r="AJ68" s="321">
        <f t="shared" si="42"/>
        <v>0</v>
      </c>
      <c r="AK68" s="342">
        <f t="shared" si="50"/>
        <v>0</v>
      </c>
      <c r="AM68" s="286">
        <v>0</v>
      </c>
      <c r="AN68" s="286">
        <f t="shared" si="44"/>
        <v>0</v>
      </c>
      <c r="AO68" s="286">
        <f t="shared" si="45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2.1.14'!S65</f>
        <v>0</v>
      </c>
      <c r="D69" s="201">
        <f>+'Table 5C1A-Madison Prep'!D69</f>
        <v>4124.3813481848092</v>
      </c>
      <c r="E69" s="202">
        <f t="shared" si="27"/>
        <v>0</v>
      </c>
      <c r="F69" s="202">
        <f>+'Table 5C1A-Madison Prep'!F69</f>
        <v>756.79</v>
      </c>
      <c r="G69" s="202">
        <f t="shared" si="28"/>
        <v>0</v>
      </c>
      <c r="H69" s="345">
        <f t="shared" si="29"/>
        <v>0</v>
      </c>
      <c r="I69" s="991">
        <f>'[1]Oct midyear B.R. Charter'!K66</f>
        <v>0</v>
      </c>
      <c r="J69" s="203">
        <f>'[1]Feb midyear B.R. Charter'!K66</f>
        <v>0</v>
      </c>
      <c r="K69" s="204">
        <f t="shared" si="30"/>
        <v>0</v>
      </c>
      <c r="L69" s="351">
        <f t="shared" si="46"/>
        <v>0</v>
      </c>
      <c r="M69" s="286">
        <f t="shared" si="31"/>
        <v>0</v>
      </c>
      <c r="N69" s="351">
        <f t="shared" si="32"/>
        <v>0</v>
      </c>
      <c r="O69" s="203">
        <v>0</v>
      </c>
      <c r="P69" s="351">
        <f t="shared" si="21"/>
        <v>0</v>
      </c>
      <c r="Q69" s="203">
        <f>'[2]Table 5C1M-B.R. Charter'!S69+'[14]Table 5C1M-B.R. Charter'!S69+(6*'[20]Table 5C1M-B.R. Charter'!S69)</f>
        <v>0</v>
      </c>
      <c r="R69" s="203">
        <f t="shared" si="33"/>
        <v>0</v>
      </c>
      <c r="S69" s="351">
        <f t="shared" si="47"/>
        <v>0</v>
      </c>
      <c r="T69" s="351">
        <f t="shared" si="34"/>
        <v>0</v>
      </c>
      <c r="U69" s="287">
        <f>'Table 5C1A-Madison Prep'!U69</f>
        <v>7403</v>
      </c>
      <c r="V69" s="328">
        <f t="shared" si="48"/>
        <v>0</v>
      </c>
      <c r="W69" s="995">
        <f>'[1]Oct midyear B.R. Charter'!E66</f>
        <v>0</v>
      </c>
      <c r="X69" s="290">
        <f t="shared" si="35"/>
        <v>0</v>
      </c>
      <c r="Y69" s="289">
        <f>'[1]Feb midyear B.R. Charter'!E66</f>
        <v>0</v>
      </c>
      <c r="Z69" s="290">
        <f t="shared" si="24"/>
        <v>0</v>
      </c>
      <c r="AA69" s="288">
        <f t="shared" si="36"/>
        <v>0</v>
      </c>
      <c r="AB69" s="324">
        <f t="shared" si="37"/>
        <v>0</v>
      </c>
      <c r="AC69" s="292">
        <f t="shared" si="38"/>
        <v>0</v>
      </c>
      <c r="AD69" s="324">
        <f t="shared" si="39"/>
        <v>0</v>
      </c>
      <c r="AE69" s="290">
        <v>0</v>
      </c>
      <c r="AF69" s="328">
        <f t="shared" si="40"/>
        <v>0</v>
      </c>
      <c r="AG69" s="290">
        <f>'[2]Table 5C1M-B.R. Charter'!AI69+'[14]Table 5C1M-B.R. Charter'!AI69+(6*'[20]Table 5C1M-B.R. Charter'!AI69)</f>
        <v>0</v>
      </c>
      <c r="AH69" s="290">
        <f t="shared" si="41"/>
        <v>0</v>
      </c>
      <c r="AI69" s="328">
        <f t="shared" si="49"/>
        <v>0</v>
      </c>
      <c r="AJ69" s="321">
        <f t="shared" si="42"/>
        <v>0</v>
      </c>
      <c r="AK69" s="342">
        <f t="shared" si="50"/>
        <v>0</v>
      </c>
      <c r="AM69" s="286">
        <v>0</v>
      </c>
      <c r="AN69" s="286">
        <f t="shared" si="44"/>
        <v>0</v>
      </c>
      <c r="AO69" s="286">
        <f t="shared" si="45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2.1.14'!S66</f>
        <v>0</v>
      </c>
      <c r="D70" s="201">
        <f>+'Table 5C1A-Madison Prep'!D70</f>
        <v>6277.8307532778254</v>
      </c>
      <c r="E70" s="202">
        <f t="shared" si="27"/>
        <v>0</v>
      </c>
      <c r="F70" s="202">
        <f>+'Table 5C1A-Madison Prep'!F70</f>
        <v>592.66</v>
      </c>
      <c r="G70" s="202">
        <f t="shared" si="28"/>
        <v>0</v>
      </c>
      <c r="H70" s="345">
        <f t="shared" si="29"/>
        <v>0</v>
      </c>
      <c r="I70" s="991">
        <f>'[1]Oct midyear B.R. Charter'!K67</f>
        <v>0</v>
      </c>
      <c r="J70" s="203">
        <f>'[1]Feb midyear B.R. Charter'!K67</f>
        <v>0</v>
      </c>
      <c r="K70" s="204">
        <f t="shared" si="30"/>
        <v>0</v>
      </c>
      <c r="L70" s="351">
        <f t="shared" si="46"/>
        <v>0</v>
      </c>
      <c r="M70" s="286">
        <f t="shared" si="31"/>
        <v>0</v>
      </c>
      <c r="N70" s="351">
        <f t="shared" si="32"/>
        <v>0</v>
      </c>
      <c r="O70" s="203">
        <v>0</v>
      </c>
      <c r="P70" s="351">
        <f t="shared" si="21"/>
        <v>0</v>
      </c>
      <c r="Q70" s="203">
        <f>'[2]Table 5C1M-B.R. Charter'!S70+'[14]Table 5C1M-B.R. Charter'!S70+(6*'[20]Table 5C1M-B.R. Charter'!S70)</f>
        <v>0</v>
      </c>
      <c r="R70" s="203">
        <f t="shared" si="33"/>
        <v>0</v>
      </c>
      <c r="S70" s="351">
        <f t="shared" si="47"/>
        <v>0</v>
      </c>
      <c r="T70" s="351">
        <f t="shared" si="34"/>
        <v>0</v>
      </c>
      <c r="U70" s="287">
        <f>'Table 5C1A-Madison Prep'!U70</f>
        <v>2802</v>
      </c>
      <c r="V70" s="328">
        <f t="shared" si="48"/>
        <v>0</v>
      </c>
      <c r="W70" s="995">
        <f>'[1]Oct midyear B.R. Charter'!E67</f>
        <v>0</v>
      </c>
      <c r="X70" s="290">
        <f t="shared" si="35"/>
        <v>0</v>
      </c>
      <c r="Y70" s="289">
        <f>'[1]Feb midyear B.R. Charter'!E67</f>
        <v>0</v>
      </c>
      <c r="Z70" s="290">
        <f t="shared" si="24"/>
        <v>0</v>
      </c>
      <c r="AA70" s="288">
        <f t="shared" si="36"/>
        <v>0</v>
      </c>
      <c r="AB70" s="324">
        <f t="shared" si="37"/>
        <v>0</v>
      </c>
      <c r="AC70" s="292">
        <f t="shared" si="38"/>
        <v>0</v>
      </c>
      <c r="AD70" s="324">
        <f t="shared" si="39"/>
        <v>0</v>
      </c>
      <c r="AE70" s="290">
        <v>0</v>
      </c>
      <c r="AF70" s="328">
        <f t="shared" si="40"/>
        <v>0</v>
      </c>
      <c r="AG70" s="290">
        <f>'[2]Table 5C1M-B.R. Charter'!AI70+'[14]Table 5C1M-B.R. Charter'!AI70+(6*'[20]Table 5C1M-B.R. Charter'!AI70)</f>
        <v>0</v>
      </c>
      <c r="AH70" s="290">
        <f t="shared" si="41"/>
        <v>0</v>
      </c>
      <c r="AI70" s="328">
        <f t="shared" si="49"/>
        <v>0</v>
      </c>
      <c r="AJ70" s="321">
        <f t="shared" si="42"/>
        <v>0</v>
      </c>
      <c r="AK70" s="342">
        <f t="shared" si="50"/>
        <v>0</v>
      </c>
      <c r="AM70" s="286">
        <v>0</v>
      </c>
      <c r="AN70" s="286">
        <f t="shared" si="44"/>
        <v>0</v>
      </c>
      <c r="AO70" s="286">
        <f t="shared" si="45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2.1.14'!S67</f>
        <v>0</v>
      </c>
      <c r="D71" s="194">
        <f>+'Table 5C1A-Madison Prep'!D71</f>
        <v>4775.1605543943642</v>
      </c>
      <c r="E71" s="195">
        <f t="shared" si="27"/>
        <v>0</v>
      </c>
      <c r="F71" s="195">
        <f>+'Table 5C1A-Madison Prep'!F71</f>
        <v>829.12</v>
      </c>
      <c r="G71" s="195">
        <f t="shared" si="28"/>
        <v>0</v>
      </c>
      <c r="H71" s="346">
        <f t="shared" si="29"/>
        <v>0</v>
      </c>
      <c r="I71" s="992">
        <f>'[1]Oct midyear B.R. Charter'!K68</f>
        <v>0</v>
      </c>
      <c r="J71" s="196">
        <f>'[1]Feb midyear B.R. Charter'!K68</f>
        <v>0</v>
      </c>
      <c r="K71" s="197">
        <f t="shared" si="30"/>
        <v>0</v>
      </c>
      <c r="L71" s="352">
        <f t="shared" ref="L71:L75" si="51">H71+K71</f>
        <v>0</v>
      </c>
      <c r="M71" s="296">
        <f t="shared" si="31"/>
        <v>0</v>
      </c>
      <c r="N71" s="352">
        <f t="shared" si="32"/>
        <v>0</v>
      </c>
      <c r="O71" s="196">
        <v>0</v>
      </c>
      <c r="P71" s="352">
        <f t="shared" si="21"/>
        <v>0</v>
      </c>
      <c r="Q71" s="196">
        <f>'[2]Table 5C1M-B.R. Charter'!S71+'[14]Table 5C1M-B.R. Charter'!S71+(6*'[20]Table 5C1M-B.R. Charter'!S71)</f>
        <v>0</v>
      </c>
      <c r="R71" s="196">
        <f t="shared" si="33"/>
        <v>0</v>
      </c>
      <c r="S71" s="352">
        <f t="shared" ref="S71:S75" si="52">ROUND(R71/$S$88,0)</f>
        <v>0</v>
      </c>
      <c r="T71" s="352">
        <f t="shared" si="34"/>
        <v>0</v>
      </c>
      <c r="U71" s="281">
        <f>'Table 5C1A-Madison Prep'!U71</f>
        <v>5215</v>
      </c>
      <c r="V71" s="329">
        <f t="shared" ref="V71:V75" si="53">C71*U71</f>
        <v>0</v>
      </c>
      <c r="W71" s="996">
        <f>'[1]Oct midyear B.R. Charter'!E68</f>
        <v>0</v>
      </c>
      <c r="X71" s="282">
        <f t="shared" si="35"/>
        <v>0</v>
      </c>
      <c r="Y71" s="884">
        <f>'[1]Feb midyear B.R. Charter'!E68</f>
        <v>0</v>
      </c>
      <c r="Z71" s="282">
        <f t="shared" ref="Z71:Z74" si="54">+U71*Y71*0.5</f>
        <v>0</v>
      </c>
      <c r="AA71" s="283">
        <f t="shared" si="36"/>
        <v>0</v>
      </c>
      <c r="AB71" s="325">
        <f t="shared" si="37"/>
        <v>0</v>
      </c>
      <c r="AC71" s="298">
        <f t="shared" si="38"/>
        <v>0</v>
      </c>
      <c r="AD71" s="325">
        <f t="shared" si="39"/>
        <v>0</v>
      </c>
      <c r="AE71" s="282">
        <v>0</v>
      </c>
      <c r="AF71" s="329">
        <f t="shared" si="40"/>
        <v>0</v>
      </c>
      <c r="AG71" s="282">
        <f>'[2]Table 5C1M-B.R. Charter'!AI71+'[14]Table 5C1M-B.R. Charter'!AI71+(6*'[20]Table 5C1M-B.R. Charter'!AI71)</f>
        <v>0</v>
      </c>
      <c r="AH71" s="282">
        <f t="shared" si="41"/>
        <v>0</v>
      </c>
      <c r="AI71" s="329">
        <f t="shared" ref="AI71:AI75" si="55">ROUND(AH71/$AI$88,0)</f>
        <v>0</v>
      </c>
      <c r="AJ71" s="338">
        <f t="shared" si="42"/>
        <v>0</v>
      </c>
      <c r="AK71" s="343">
        <f t="shared" si="50"/>
        <v>0</v>
      </c>
      <c r="AM71" s="296">
        <v>0</v>
      </c>
      <c r="AN71" s="296">
        <f t="shared" si="44"/>
        <v>0</v>
      </c>
      <c r="AO71" s="296">
        <f t="shared" si="45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2.1.14'!S68</f>
        <v>0</v>
      </c>
      <c r="D72" s="208">
        <f>+'Table 5C1A-Madison Prep'!D72</f>
        <v>6564.0085433910035</v>
      </c>
      <c r="E72" s="209">
        <f t="shared" ref="E72:E75" si="56">C72*D72</f>
        <v>0</v>
      </c>
      <c r="F72" s="209">
        <f>+'Table 5C1A-Madison Prep'!F72</f>
        <v>730.06</v>
      </c>
      <c r="G72" s="209">
        <f t="shared" ref="G72:G75" si="57">C72*F72</f>
        <v>0</v>
      </c>
      <c r="H72" s="344">
        <f t="shared" ref="H72:H75" si="58">E72+G72</f>
        <v>0</v>
      </c>
      <c r="I72" s="990">
        <f>'[1]Oct midyear B.R. Charter'!K69</f>
        <v>0</v>
      </c>
      <c r="J72" s="210">
        <f>'[1]Feb midyear B.R. Charter'!K69</f>
        <v>0</v>
      </c>
      <c r="K72" s="211">
        <f t="shared" ref="K72:K75" si="59">I72+J72</f>
        <v>0</v>
      </c>
      <c r="L72" s="350">
        <f t="shared" si="51"/>
        <v>0</v>
      </c>
      <c r="M72" s="273">
        <f t="shared" ref="M72:M75" si="60">-(0.25%*L72)</f>
        <v>0</v>
      </c>
      <c r="N72" s="350">
        <f t="shared" ref="N72:N75" si="61">SUM(L72:M72)</f>
        <v>0</v>
      </c>
      <c r="O72" s="210">
        <v>0</v>
      </c>
      <c r="P72" s="350">
        <f t="shared" ref="P72:P75" si="62">SUM(N72:O72)</f>
        <v>0</v>
      </c>
      <c r="Q72" s="210">
        <f>'[2]Table 5C1M-B.R. Charter'!S72+'[14]Table 5C1M-B.R. Charter'!S72+(6*'[20]Table 5C1M-B.R. Charter'!S72)</f>
        <v>0</v>
      </c>
      <c r="R72" s="210">
        <f t="shared" ref="R72:R75" si="63">P72-Q72</f>
        <v>0</v>
      </c>
      <c r="S72" s="350">
        <f t="shared" si="52"/>
        <v>0</v>
      </c>
      <c r="T72" s="350">
        <f t="shared" ref="T72:T75" si="64">+P72</f>
        <v>0</v>
      </c>
      <c r="U72" s="274">
        <f>'Table 5C1A-Madison Prep'!U72</f>
        <v>3609</v>
      </c>
      <c r="V72" s="327">
        <f t="shared" si="53"/>
        <v>0</v>
      </c>
      <c r="W72" s="994">
        <f>'[1]Oct midyear B.R. Charter'!E69</f>
        <v>0</v>
      </c>
      <c r="X72" s="276">
        <f t="shared" ref="X72:X75" si="65">W72*U72</f>
        <v>0</v>
      </c>
      <c r="Y72" s="883">
        <f>'[1]Feb midyear B.R. Charter'!E69</f>
        <v>0</v>
      </c>
      <c r="Z72" s="276">
        <f t="shared" si="54"/>
        <v>0</v>
      </c>
      <c r="AA72" s="275">
        <f t="shared" ref="AA72:AA75" si="66">+X72+Z72</f>
        <v>0</v>
      </c>
      <c r="AB72" s="323">
        <f t="shared" ref="AB72:AB75" si="67">V72+AA72</f>
        <v>0</v>
      </c>
      <c r="AC72" s="278">
        <f t="shared" ref="AC72:AC75" si="68">-(0.25%*AB72)</f>
        <v>0</v>
      </c>
      <c r="AD72" s="323">
        <f t="shared" ref="AD72:AD75" si="69">SUM(AB72:AC72)</f>
        <v>0</v>
      </c>
      <c r="AE72" s="276">
        <v>0</v>
      </c>
      <c r="AF72" s="327">
        <f t="shared" ref="AF72:AF75" si="70">SUM(AD72:AE72)</f>
        <v>0</v>
      </c>
      <c r="AG72" s="276">
        <f>'[2]Table 5C1M-B.R. Charter'!AI72+'[14]Table 5C1M-B.R. Charter'!AI72+(6*'[20]Table 5C1M-B.R. Charter'!AI72)</f>
        <v>0</v>
      </c>
      <c r="AH72" s="276">
        <f t="shared" ref="AH72:AH74" si="71">AF72-AG72</f>
        <v>0</v>
      </c>
      <c r="AI72" s="327">
        <f t="shared" si="55"/>
        <v>0</v>
      </c>
      <c r="AJ72" s="337">
        <f t="shared" ref="AJ72:AJ75" si="72">T72+AF72</f>
        <v>0</v>
      </c>
      <c r="AK72" s="341">
        <f t="shared" si="50"/>
        <v>0</v>
      </c>
      <c r="AM72" s="310">
        <v>0</v>
      </c>
      <c r="AN72" s="310">
        <f t="shared" ref="AN72:AN75" si="73">+AC72</f>
        <v>0</v>
      </c>
      <c r="AO72" s="310">
        <f t="shared" si="45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2.1.14'!S69</f>
        <v>0</v>
      </c>
      <c r="D73" s="201">
        <f>+'Table 5C1A-Madison Prep'!D73</f>
        <v>5029.1467736134118</v>
      </c>
      <c r="E73" s="202">
        <f t="shared" si="56"/>
        <v>0</v>
      </c>
      <c r="F73" s="202">
        <f>+'Table 5C1A-Madison Prep'!F73</f>
        <v>715.61</v>
      </c>
      <c r="G73" s="202">
        <f t="shared" si="57"/>
        <v>0</v>
      </c>
      <c r="H73" s="345">
        <f t="shared" si="58"/>
        <v>0</v>
      </c>
      <c r="I73" s="991">
        <f>'[1]Oct midyear B.R. Charter'!K70</f>
        <v>0</v>
      </c>
      <c r="J73" s="203">
        <f>'[1]Feb midyear B.R. Charter'!K70</f>
        <v>0</v>
      </c>
      <c r="K73" s="204">
        <f t="shared" si="59"/>
        <v>0</v>
      </c>
      <c r="L73" s="351">
        <f t="shared" si="51"/>
        <v>0</v>
      </c>
      <c r="M73" s="286">
        <f t="shared" si="60"/>
        <v>0</v>
      </c>
      <c r="N73" s="351">
        <f t="shared" si="61"/>
        <v>0</v>
      </c>
      <c r="O73" s="203">
        <v>0</v>
      </c>
      <c r="P73" s="351">
        <f t="shared" si="62"/>
        <v>0</v>
      </c>
      <c r="Q73" s="203">
        <f>'[2]Table 5C1M-B.R. Charter'!S73+'[14]Table 5C1M-B.R. Charter'!S73+(6*'[20]Table 5C1M-B.R. Charter'!S73)</f>
        <v>0</v>
      </c>
      <c r="R73" s="203">
        <f t="shared" si="63"/>
        <v>0</v>
      </c>
      <c r="S73" s="351">
        <f t="shared" si="52"/>
        <v>0</v>
      </c>
      <c r="T73" s="351">
        <f t="shared" si="64"/>
        <v>0</v>
      </c>
      <c r="U73" s="287">
        <f>'Table 5C1A-Madison Prep'!U73</f>
        <v>5069</v>
      </c>
      <c r="V73" s="328">
        <f t="shared" si="53"/>
        <v>0</v>
      </c>
      <c r="W73" s="995">
        <f>'[1]Oct midyear B.R. Charter'!E70</f>
        <v>0</v>
      </c>
      <c r="X73" s="290">
        <f t="shared" si="65"/>
        <v>0</v>
      </c>
      <c r="Y73" s="289">
        <f>'[1]Feb midyear B.R. Charter'!E70</f>
        <v>0</v>
      </c>
      <c r="Z73" s="290">
        <f t="shared" si="54"/>
        <v>0</v>
      </c>
      <c r="AA73" s="288">
        <f t="shared" si="66"/>
        <v>0</v>
      </c>
      <c r="AB73" s="324">
        <f t="shared" si="67"/>
        <v>0</v>
      </c>
      <c r="AC73" s="292">
        <f t="shared" si="68"/>
        <v>0</v>
      </c>
      <c r="AD73" s="324">
        <f t="shared" si="69"/>
        <v>0</v>
      </c>
      <c r="AE73" s="290">
        <v>0</v>
      </c>
      <c r="AF73" s="328">
        <f t="shared" si="70"/>
        <v>0</v>
      </c>
      <c r="AG73" s="290">
        <f>'[2]Table 5C1M-B.R. Charter'!AI73+'[14]Table 5C1M-B.R. Charter'!AI73+(6*'[20]Table 5C1M-B.R. Charter'!AI73)</f>
        <v>0</v>
      </c>
      <c r="AH73" s="290">
        <f t="shared" si="71"/>
        <v>0</v>
      </c>
      <c r="AI73" s="328">
        <f t="shared" si="55"/>
        <v>0</v>
      </c>
      <c r="AJ73" s="321">
        <f t="shared" si="72"/>
        <v>0</v>
      </c>
      <c r="AK73" s="342">
        <f t="shared" si="50"/>
        <v>0</v>
      </c>
      <c r="AM73" s="310">
        <v>0</v>
      </c>
      <c r="AN73" s="310">
        <f t="shared" si="73"/>
        <v>0</v>
      </c>
      <c r="AO73" s="310">
        <f t="shared" si="45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2.1.14'!S70</f>
        <v>0</v>
      </c>
      <c r="D74" s="201">
        <f>+'Table 5C1A-Madison Prep'!D74</f>
        <v>6390.1644202560601</v>
      </c>
      <c r="E74" s="202">
        <f t="shared" si="56"/>
        <v>0</v>
      </c>
      <c r="F74" s="202">
        <f>+'Table 5C1A-Madison Prep'!F74</f>
        <v>798.7</v>
      </c>
      <c r="G74" s="202">
        <f t="shared" si="57"/>
        <v>0</v>
      </c>
      <c r="H74" s="345">
        <f t="shared" si="58"/>
        <v>0</v>
      </c>
      <c r="I74" s="991">
        <f>'[1]Oct midyear B.R. Charter'!K71</f>
        <v>0</v>
      </c>
      <c r="J74" s="203">
        <f>'[1]Feb midyear B.R. Charter'!K71</f>
        <v>0</v>
      </c>
      <c r="K74" s="204">
        <f t="shared" si="59"/>
        <v>0</v>
      </c>
      <c r="L74" s="351">
        <f t="shared" si="51"/>
        <v>0</v>
      </c>
      <c r="M74" s="286">
        <f t="shared" si="60"/>
        <v>0</v>
      </c>
      <c r="N74" s="351">
        <f t="shared" si="61"/>
        <v>0</v>
      </c>
      <c r="O74" s="203">
        <v>0</v>
      </c>
      <c r="P74" s="351">
        <f t="shared" si="62"/>
        <v>0</v>
      </c>
      <c r="Q74" s="203">
        <f>'[2]Table 5C1M-B.R. Charter'!S74+'[14]Table 5C1M-B.R. Charter'!S74+(6*'[20]Table 5C1M-B.R. Charter'!S74)</f>
        <v>5214</v>
      </c>
      <c r="R74" s="203">
        <f t="shared" si="63"/>
        <v>-5214</v>
      </c>
      <c r="S74" s="351">
        <f t="shared" si="52"/>
        <v>-1304</v>
      </c>
      <c r="T74" s="351">
        <f t="shared" si="64"/>
        <v>0</v>
      </c>
      <c r="U74" s="287">
        <f>'Table 5C1A-Madison Prep'!U74</f>
        <v>2880</v>
      </c>
      <c r="V74" s="328">
        <f t="shared" si="53"/>
        <v>0</v>
      </c>
      <c r="W74" s="995">
        <f>'[1]Oct midyear B.R. Charter'!E71</f>
        <v>0</v>
      </c>
      <c r="X74" s="290">
        <f t="shared" si="65"/>
        <v>0</v>
      </c>
      <c r="Y74" s="289">
        <f>'[1]Feb midyear B.R. Charter'!E71</f>
        <v>0</v>
      </c>
      <c r="Z74" s="290">
        <f t="shared" si="54"/>
        <v>0</v>
      </c>
      <c r="AA74" s="288">
        <f t="shared" si="66"/>
        <v>0</v>
      </c>
      <c r="AB74" s="324">
        <f t="shared" si="67"/>
        <v>0</v>
      </c>
      <c r="AC74" s="292">
        <f t="shared" si="68"/>
        <v>0</v>
      </c>
      <c r="AD74" s="324">
        <f t="shared" si="69"/>
        <v>0</v>
      </c>
      <c r="AE74" s="290">
        <v>0</v>
      </c>
      <c r="AF74" s="328">
        <f t="shared" si="70"/>
        <v>0</v>
      </c>
      <c r="AG74" s="290">
        <f>'[2]Table 5C1M-B.R. Charter'!AI74+'[14]Table 5C1M-B.R. Charter'!AI74+(6*'[20]Table 5C1M-B.R. Charter'!AI74)</f>
        <v>1937</v>
      </c>
      <c r="AH74" s="290">
        <f t="shared" si="71"/>
        <v>-1937</v>
      </c>
      <c r="AI74" s="328">
        <f t="shared" si="55"/>
        <v>-484</v>
      </c>
      <c r="AJ74" s="321">
        <f t="shared" si="72"/>
        <v>0</v>
      </c>
      <c r="AK74" s="342">
        <f t="shared" si="50"/>
        <v>-1788</v>
      </c>
      <c r="AM74" s="310">
        <v>0</v>
      </c>
      <c r="AN74" s="310">
        <f t="shared" si="73"/>
        <v>0</v>
      </c>
      <c r="AO74" s="310">
        <f t="shared" si="45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2.1.14'!S71</f>
        <v>0</v>
      </c>
      <c r="D75" s="201">
        <f>+'Table 5C1A-Madison Prep'!D75</f>
        <v>5722.4947921281337</v>
      </c>
      <c r="E75" s="202">
        <f t="shared" si="56"/>
        <v>0</v>
      </c>
      <c r="F75" s="202">
        <f>+'Table 5C1A-Madison Prep'!F75</f>
        <v>705.67</v>
      </c>
      <c r="G75" s="202">
        <f t="shared" si="57"/>
        <v>0</v>
      </c>
      <c r="H75" s="345">
        <f t="shared" si="58"/>
        <v>0</v>
      </c>
      <c r="I75" s="991">
        <f>'[1]Oct midyear B.R. Charter'!K72</f>
        <v>0</v>
      </c>
      <c r="J75" s="203">
        <f>'[1]Feb midyear B.R. Charter'!K72</f>
        <v>0</v>
      </c>
      <c r="K75" s="204">
        <f t="shared" si="59"/>
        <v>0</v>
      </c>
      <c r="L75" s="351">
        <f t="shared" si="51"/>
        <v>0</v>
      </c>
      <c r="M75" s="286">
        <f t="shared" si="60"/>
        <v>0</v>
      </c>
      <c r="N75" s="351">
        <f t="shared" si="61"/>
        <v>0</v>
      </c>
      <c r="O75" s="203">
        <v>0</v>
      </c>
      <c r="P75" s="351">
        <f t="shared" si="62"/>
        <v>0</v>
      </c>
      <c r="Q75" s="203">
        <f>'[2]Table 5C1M-B.R. Charter'!S75+'[14]Table 5C1M-B.R. Charter'!S75+(6*'[20]Table 5C1M-B.R. Charter'!S75)</f>
        <v>0</v>
      </c>
      <c r="R75" s="203">
        <f t="shared" si="63"/>
        <v>0</v>
      </c>
      <c r="S75" s="351">
        <f t="shared" si="52"/>
        <v>0</v>
      </c>
      <c r="T75" s="351">
        <f t="shared" si="64"/>
        <v>0</v>
      </c>
      <c r="U75" s="287">
        <f>'Table 5C1A-Madison Prep'!U75</f>
        <v>3330</v>
      </c>
      <c r="V75" s="328">
        <f t="shared" si="53"/>
        <v>0</v>
      </c>
      <c r="W75" s="995">
        <f>'[1]Oct midyear B.R. Charter'!E72</f>
        <v>0</v>
      </c>
      <c r="X75" s="290">
        <f t="shared" si="65"/>
        <v>0</v>
      </c>
      <c r="Y75" s="289">
        <f>'[1]Feb midyear B.R. Charter'!E72</f>
        <v>0</v>
      </c>
      <c r="Z75" s="290">
        <f>+U75*Y75*0.5</f>
        <v>0</v>
      </c>
      <c r="AA75" s="288">
        <f t="shared" si="66"/>
        <v>0</v>
      </c>
      <c r="AB75" s="324">
        <f t="shared" si="67"/>
        <v>0</v>
      </c>
      <c r="AC75" s="292">
        <f t="shared" si="68"/>
        <v>0</v>
      </c>
      <c r="AD75" s="324">
        <f t="shared" si="69"/>
        <v>0</v>
      </c>
      <c r="AE75" s="290">
        <v>0</v>
      </c>
      <c r="AF75" s="328">
        <f t="shared" si="70"/>
        <v>0</v>
      </c>
      <c r="AG75" s="290">
        <f>'[2]Table 5C1M-B.R. Charter'!AI75+'[14]Table 5C1M-B.R. Charter'!AI75+(6*'[20]Table 5C1M-B.R. Charter'!AI75)</f>
        <v>0</v>
      </c>
      <c r="AH75" s="290">
        <f>AF75-AG75</f>
        <v>0</v>
      </c>
      <c r="AI75" s="328">
        <f t="shared" si="55"/>
        <v>0</v>
      </c>
      <c r="AJ75" s="321">
        <f t="shared" si="72"/>
        <v>0</v>
      </c>
      <c r="AK75" s="342">
        <f t="shared" si="50"/>
        <v>0</v>
      </c>
      <c r="AM75" s="300">
        <v>0</v>
      </c>
      <c r="AN75" s="300">
        <f t="shared" si="73"/>
        <v>0</v>
      </c>
      <c r="AO75" s="300">
        <f t="shared" si="45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441</v>
      </c>
      <c r="D76" s="28">
        <f>+'Table 5C1A-Madison Prep'!D76</f>
        <v>4479.9292126977662</v>
      </c>
      <c r="E76" s="35">
        <f>SUM(E7:E75)</f>
        <v>1489272.2300058641</v>
      </c>
      <c r="F76" s="35">
        <f>+'Table 5C1A-Madison Prep'!F76</f>
        <v>704.64781030742063</v>
      </c>
      <c r="G76" s="35">
        <f>SUM(G7:G75)</f>
        <v>353528.23364060541</v>
      </c>
      <c r="H76" s="348">
        <f>SUM(H7:H75)</f>
        <v>1842800.4636464694</v>
      </c>
      <c r="I76" s="37">
        <f>SUM(I7:I75)</f>
        <v>748031.99729926488</v>
      </c>
      <c r="J76" s="70">
        <f>SUM(J7:J75)</f>
        <v>-77153.740736774533</v>
      </c>
      <c r="K76" s="56">
        <f t="shared" ref="K76:T76" si="74">SUM(K7:K75)</f>
        <v>670878.25656249025</v>
      </c>
      <c r="L76" s="365">
        <f t="shared" si="74"/>
        <v>2513678.7202089592</v>
      </c>
      <c r="M76" s="36">
        <f t="shared" si="74"/>
        <v>-6284.1968005223998</v>
      </c>
      <c r="N76" s="348">
        <f t="shared" si="74"/>
        <v>2507394.5234084371</v>
      </c>
      <c r="O76" s="28">
        <f t="shared" si="74"/>
        <v>0</v>
      </c>
      <c r="P76" s="354">
        <f t="shared" si="74"/>
        <v>2507394.5234084371</v>
      </c>
      <c r="Q76" s="66">
        <f t="shared" si="74"/>
        <v>1775836</v>
      </c>
      <c r="R76" s="66">
        <f t="shared" si="74"/>
        <v>731558.52340843715</v>
      </c>
      <c r="S76" s="354">
        <f t="shared" si="74"/>
        <v>182890</v>
      </c>
      <c r="T76" s="354">
        <f t="shared" si="74"/>
        <v>2507394.5234084371</v>
      </c>
      <c r="U76" s="83">
        <f>'Table 5C1A-Madison Prep'!U76</f>
        <v>4703</v>
      </c>
      <c r="V76" s="330">
        <f t="shared" ref="V76:AK76" si="75">SUM(V7:V75)</f>
        <v>3065551</v>
      </c>
      <c r="W76" s="1001">
        <f t="shared" si="75"/>
        <v>180</v>
      </c>
      <c r="X76" s="75">
        <f t="shared" si="75"/>
        <v>1251300</v>
      </c>
      <c r="Y76" s="74">
        <f t="shared" si="75"/>
        <v>-36</v>
      </c>
      <c r="Z76" s="75">
        <f t="shared" si="75"/>
        <v>-123532.5</v>
      </c>
      <c r="AA76" s="63">
        <f t="shared" si="75"/>
        <v>1127767.5</v>
      </c>
      <c r="AB76" s="332">
        <f t="shared" si="75"/>
        <v>4193318.5</v>
      </c>
      <c r="AC76" s="37">
        <f t="shared" si="75"/>
        <v>-10483.296249999999</v>
      </c>
      <c r="AD76" s="330">
        <f t="shared" si="75"/>
        <v>4182835.2037499999</v>
      </c>
      <c r="AE76" s="85">
        <f t="shared" si="75"/>
        <v>0</v>
      </c>
      <c r="AF76" s="330">
        <f t="shared" si="75"/>
        <v>4182835.2037499999</v>
      </c>
      <c r="AG76" s="85">
        <f t="shared" si="75"/>
        <v>2977623</v>
      </c>
      <c r="AH76" s="85">
        <f t="shared" si="75"/>
        <v>1205212.2037500001</v>
      </c>
      <c r="AI76" s="330">
        <f t="shared" si="75"/>
        <v>301304</v>
      </c>
      <c r="AJ76" s="339">
        <f t="shared" si="75"/>
        <v>6690229.7271584366</v>
      </c>
      <c r="AK76" s="339">
        <f t="shared" si="75"/>
        <v>484194</v>
      </c>
      <c r="AM76" s="36">
        <f>SUM(AM7:AM75)</f>
        <v>-7756.0675000000001</v>
      </c>
      <c r="AN76" s="36">
        <f>SUM(AN7:AN75)</f>
        <v>-10483.296249999999</v>
      </c>
      <c r="AO76" s="36">
        <f>SUM(AO7:AO75)</f>
        <v>-2727.2287500000002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90"/>
      <c r="J77" s="222"/>
      <c r="K77" s="222"/>
      <c r="L77" s="222"/>
      <c r="M77" s="222"/>
      <c r="N77" s="222"/>
      <c r="O77" s="222"/>
      <c r="P77" s="295">
        <f>'Table 4 Level 4'!$E107</f>
        <v>0</v>
      </c>
      <c r="Q77" s="222">
        <f>'[2]Table 5C1M-B.R. Charter'!S77+'[14]Table 5C1M-B.R. Charter'!S77+(6*'[20]Table 5C1M-B.R. Charter'!S77)</f>
        <v>0</v>
      </c>
      <c r="R77" s="222">
        <f t="shared" ref="R77" si="76">P77-Q77</f>
        <v>0</v>
      </c>
      <c r="S77" s="295">
        <f t="shared" ref="S77:S81" si="77">ROUND(R77/$S$88,0)</f>
        <v>0</v>
      </c>
      <c r="T77" s="295">
        <f>'Table 4 Level 4'!$E107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0"/>
      <c r="AF77" s="290"/>
      <c r="AG77" s="290"/>
      <c r="AH77" s="290"/>
      <c r="AI77" s="290"/>
      <c r="AJ77" s="321">
        <f t="shared" ref="AJ77:AJ81" si="78">T77+AF77</f>
        <v>0</v>
      </c>
      <c r="AK77" s="321">
        <f t="shared" ref="AK77:AK81" si="79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90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95">
        <f>'Table 4 Level 4'!$J107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0"/>
      <c r="AF78" s="290"/>
      <c r="AG78" s="290"/>
      <c r="AH78" s="290"/>
      <c r="AI78" s="290"/>
      <c r="AJ78" s="321">
        <f t="shared" si="78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90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95">
        <f>'Table 4 Level 4'!$L107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0"/>
      <c r="AF79" s="290"/>
      <c r="AG79" s="290"/>
      <c r="AH79" s="290"/>
      <c r="AI79" s="290"/>
      <c r="AJ79" s="321">
        <f t="shared" si="78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90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95">
        <f>'Table 4 Level 4'!$M107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0"/>
      <c r="AF80" s="290"/>
      <c r="AG80" s="290"/>
      <c r="AH80" s="290"/>
      <c r="AI80" s="290"/>
      <c r="AJ80" s="321">
        <f t="shared" si="78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302"/>
      <c r="J81" s="217"/>
      <c r="K81" s="217"/>
      <c r="L81" s="217"/>
      <c r="M81" s="217"/>
      <c r="N81" s="217"/>
      <c r="O81" s="217"/>
      <c r="P81" s="353">
        <f>'Table 4 Level 4'!O107</f>
        <v>0</v>
      </c>
      <c r="Q81" s="217">
        <f>'[2]Table 5C1M-B.R. Charter'!S81+'[14]Table 5C1M-B.R. Charter'!S81+(6*'[20]Table 5C1M-B.R. Charter'!S81)</f>
        <v>0</v>
      </c>
      <c r="R81" s="217">
        <f t="shared" ref="R81" si="80">P81-Q81</f>
        <v>0</v>
      </c>
      <c r="S81" s="353">
        <f t="shared" si="77"/>
        <v>0</v>
      </c>
      <c r="T81" s="353">
        <f>P81</f>
        <v>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2"/>
      <c r="AF81" s="302"/>
      <c r="AG81" s="302"/>
      <c r="AH81" s="302"/>
      <c r="AI81" s="302"/>
      <c r="AJ81" s="322">
        <f t="shared" si="78"/>
        <v>0</v>
      </c>
      <c r="AK81" s="322">
        <f t="shared" si="79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441</v>
      </c>
      <c r="D82" s="128">
        <f t="shared" ref="D82:AK82" si="81">SUM(D76:D81)</f>
        <v>4479.9292126977662</v>
      </c>
      <c r="E82" s="128">
        <f t="shared" si="81"/>
        <v>1489272.2300058641</v>
      </c>
      <c r="F82" s="128">
        <f t="shared" si="81"/>
        <v>704.64781030742063</v>
      </c>
      <c r="G82" s="128">
        <f t="shared" si="81"/>
        <v>353528.23364060541</v>
      </c>
      <c r="H82" s="128">
        <f t="shared" si="81"/>
        <v>1842800.4636464694</v>
      </c>
      <c r="I82" s="134">
        <f t="shared" si="81"/>
        <v>748031.99729926488</v>
      </c>
      <c r="J82" s="133">
        <f t="shared" si="81"/>
        <v>-77153.740736774533</v>
      </c>
      <c r="K82" s="133">
        <f t="shared" si="81"/>
        <v>670878.25656249025</v>
      </c>
      <c r="L82" s="133">
        <f t="shared" si="81"/>
        <v>2513678.7202089592</v>
      </c>
      <c r="M82" s="133">
        <f t="shared" si="81"/>
        <v>-6284.1968005223998</v>
      </c>
      <c r="N82" s="128">
        <f t="shared" si="81"/>
        <v>2507394.5234084371</v>
      </c>
      <c r="O82" s="128">
        <f t="shared" si="81"/>
        <v>0</v>
      </c>
      <c r="P82" s="355">
        <f t="shared" si="81"/>
        <v>2507394.5234084371</v>
      </c>
      <c r="Q82" s="133">
        <f t="shared" si="81"/>
        <v>1775836</v>
      </c>
      <c r="R82" s="133">
        <f t="shared" si="81"/>
        <v>731558.52340843715</v>
      </c>
      <c r="S82" s="355">
        <f t="shared" si="81"/>
        <v>182890</v>
      </c>
      <c r="T82" s="355">
        <f t="shared" si="81"/>
        <v>2507394.5234084371</v>
      </c>
      <c r="U82" s="137">
        <f t="shared" si="81"/>
        <v>4703</v>
      </c>
      <c r="V82" s="134">
        <f t="shared" si="81"/>
        <v>3065551</v>
      </c>
      <c r="W82" s="136">
        <f t="shared" si="81"/>
        <v>180</v>
      </c>
      <c r="X82" s="134">
        <f t="shared" si="81"/>
        <v>1251300</v>
      </c>
      <c r="Y82" s="136">
        <f t="shared" si="81"/>
        <v>-36</v>
      </c>
      <c r="Z82" s="134">
        <f t="shared" si="81"/>
        <v>-123532.5</v>
      </c>
      <c r="AA82" s="134">
        <f t="shared" si="81"/>
        <v>1127767.5</v>
      </c>
      <c r="AB82" s="134">
        <f t="shared" si="81"/>
        <v>4193318.5</v>
      </c>
      <c r="AC82" s="134">
        <f t="shared" si="81"/>
        <v>-10483.296249999999</v>
      </c>
      <c r="AD82" s="134">
        <f t="shared" si="81"/>
        <v>4182835.2037499999</v>
      </c>
      <c r="AE82" s="134">
        <f t="shared" si="81"/>
        <v>0</v>
      </c>
      <c r="AF82" s="134">
        <f t="shared" si="81"/>
        <v>4182835.2037499999</v>
      </c>
      <c r="AG82" s="134">
        <f t="shared" si="81"/>
        <v>2977623</v>
      </c>
      <c r="AH82" s="134">
        <f t="shared" si="81"/>
        <v>1205212.2037500001</v>
      </c>
      <c r="AI82" s="134">
        <f t="shared" si="81"/>
        <v>301304</v>
      </c>
      <c r="AJ82" s="320">
        <f t="shared" si="81"/>
        <v>6690229.7271584366</v>
      </c>
      <c r="AK82" s="320">
        <f t="shared" si="81"/>
        <v>484194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-4607.0011591161719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-1677.1956414062279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  <row r="98" ht="13.9" customHeight="1"/>
  </sheetData>
  <mergeCells count="43">
    <mergeCell ref="AJ1:AJ4"/>
    <mergeCell ref="L3:L4"/>
    <mergeCell ref="P3:P4"/>
    <mergeCell ref="S3:S4"/>
    <mergeCell ref="U3:U4"/>
    <mergeCell ref="W3:W4"/>
    <mergeCell ref="T3:T4"/>
    <mergeCell ref="AG3:AG4"/>
    <mergeCell ref="AH3:AH4"/>
    <mergeCell ref="AI3:AI4"/>
    <mergeCell ref="M1:T1"/>
    <mergeCell ref="C1:L1"/>
    <mergeCell ref="U1:AB1"/>
    <mergeCell ref="AC1:AI1"/>
    <mergeCell ref="I3:I4"/>
    <mergeCell ref="J3:J4"/>
    <mergeCell ref="AK1:AK4"/>
    <mergeCell ref="C3:C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AB3:AB4"/>
    <mergeCell ref="X3:X4"/>
    <mergeCell ref="Y3:Y4"/>
    <mergeCell ref="Z3:Z4"/>
    <mergeCell ref="W2:AA2"/>
    <mergeCell ref="A82:B82"/>
    <mergeCell ref="A76:B76"/>
    <mergeCell ref="A77:B77"/>
    <mergeCell ref="A78:B78"/>
    <mergeCell ref="A79:B79"/>
    <mergeCell ref="A80:B80"/>
    <mergeCell ref="A81:B81"/>
    <mergeCell ref="A1:B4"/>
    <mergeCell ref="K3:K4"/>
    <mergeCell ref="I2:K2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5C1-M: FY2014-15 MFP Budget Letter (March 2015)
Baton Rouge Charter Academy at Mid-City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O91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bestFit="1" customWidth="1"/>
    <col min="4" max="4" width="13.7109375" style="784" bestFit="1" customWidth="1"/>
    <col min="5" max="5" width="10.140625" style="784" bestFit="1" customWidth="1"/>
    <col min="6" max="7" width="12.28515625" style="784" bestFit="1" customWidth="1"/>
    <col min="8" max="8" width="11.5703125" style="784" bestFit="1" customWidth="1"/>
    <col min="9" max="12" width="11.85546875" style="784" bestFit="1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4.5703125" style="784" customWidth="1"/>
    <col min="23" max="27" width="11.7109375" style="784" customWidth="1"/>
    <col min="28" max="28" width="14.42578125" style="784" bestFit="1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3" width="9.5703125" style="784" bestFit="1" customWidth="1"/>
    <col min="34" max="34" width="9.28515625" style="784" bestFit="1" customWidth="1"/>
    <col min="35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409</v>
      </c>
      <c r="B1" s="1577"/>
      <c r="C1" s="1540" t="s">
        <v>742</v>
      </c>
      <c r="D1" s="1541"/>
      <c r="E1" s="1541"/>
      <c r="F1" s="1541"/>
      <c r="G1" s="1541"/>
      <c r="H1" s="1541"/>
      <c r="I1" s="1541"/>
      <c r="J1" s="1541"/>
      <c r="K1" s="1541"/>
      <c r="L1" s="1542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22.15" customHeight="1">
      <c r="A2" s="1578"/>
      <c r="B2" s="1579"/>
      <c r="C2" s="619"/>
      <c r="D2" s="620"/>
      <c r="E2" s="620"/>
      <c r="F2" s="620"/>
      <c r="G2" s="620"/>
      <c r="H2" s="620"/>
      <c r="I2" s="1532" t="s">
        <v>411</v>
      </c>
      <c r="J2" s="1533"/>
      <c r="K2" s="1534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411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18" t="s">
        <v>555</v>
      </c>
      <c r="J3" s="1518" t="s">
        <v>554</v>
      </c>
      <c r="K3" s="1518" t="s">
        <v>417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07" t="s">
        <v>860</v>
      </c>
      <c r="X3" s="1507" t="s">
        <v>858</v>
      </c>
      <c r="Y3" s="1507" t="s">
        <v>861</v>
      </c>
      <c r="Z3" s="1507" t="s">
        <v>859</v>
      </c>
      <c r="AA3" s="988" t="s">
        <v>430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470"/>
      <c r="J4" s="1470"/>
      <c r="K4" s="1470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470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ref="I5" si="2">H5+1</f>
        <v>7</v>
      </c>
      <c r="J5" s="23">
        <f t="shared" ref="J5" si="3">I5+1</f>
        <v>8</v>
      </c>
      <c r="K5" s="23">
        <f t="shared" ref="K5" si="4">J5+1</f>
        <v>9</v>
      </c>
      <c r="L5" s="23">
        <f t="shared" ref="L5" si="5">K5+1</f>
        <v>10</v>
      </c>
      <c r="M5" s="23">
        <f t="shared" ref="M5" si="6">L5+1</f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ref="Q5" si="7">P5+1</f>
        <v>15</v>
      </c>
      <c r="R5" s="23">
        <f t="shared" ref="R5" si="8">Q5+1</f>
        <v>16</v>
      </c>
      <c r="S5" s="23">
        <f t="shared" ref="S5" si="9">R5+1</f>
        <v>17</v>
      </c>
      <c r="T5" s="23">
        <f t="shared" ref="T5" si="10">S5+1</f>
        <v>18</v>
      </c>
      <c r="U5" s="23">
        <f t="shared" ref="U5" si="11">T5+1</f>
        <v>19</v>
      </c>
      <c r="V5" s="23">
        <f t="shared" si="1"/>
        <v>20</v>
      </c>
      <c r="W5" s="23">
        <f t="shared" ref="W5" si="12">V5+1</f>
        <v>21</v>
      </c>
      <c r="X5" s="23">
        <f t="shared" ref="X5" si="13">W5+1</f>
        <v>22</v>
      </c>
      <c r="Y5" s="23">
        <f t="shared" ref="Y5" si="14">X5+1</f>
        <v>23</v>
      </c>
      <c r="Z5" s="23">
        <f t="shared" ref="Z5" si="15">Y5+1</f>
        <v>24</v>
      </c>
      <c r="AA5" s="23">
        <f t="shared" ref="AA5" si="16">Z5+1</f>
        <v>25</v>
      </c>
      <c r="AB5" s="23">
        <f t="shared" ref="AB5" si="17">AA5+1</f>
        <v>26</v>
      </c>
      <c r="AC5" s="23">
        <f t="shared" ref="AC5" si="18">AB5+1</f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ref="AG5" si="19">AF5+1</f>
        <v>31</v>
      </c>
      <c r="AH5" s="23">
        <f t="shared" ref="AH5" si="20">AG5+1</f>
        <v>32</v>
      </c>
      <c r="AI5" s="23">
        <f t="shared" ref="AI5" si="21">AH5+1</f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f>+'Table 8 Membership 2.1.14'!T3</f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Delta'!K4</f>
        <v>0</v>
      </c>
      <c r="J7" s="210">
        <f>'[1]Feb midyear Delta'!K4</f>
        <v>0</v>
      </c>
      <c r="K7" s="211">
        <f>I7+J7</f>
        <v>0</v>
      </c>
      <c r="L7" s="344">
        <f>+H7+K7</f>
        <v>0</v>
      </c>
      <c r="M7" s="273">
        <f t="shared" ref="M7:M70" si="22"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8*'[2]Table 5C1N-Delta Charter'!S7</f>
        <v>0</v>
      </c>
      <c r="R7" s="210">
        <f>+P7-Q7</f>
        <v>0</v>
      </c>
      <c r="S7" s="350">
        <f t="shared" ref="S7:S38" si="23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Delta'!E4</f>
        <v>0</v>
      </c>
      <c r="X7" s="276">
        <f>+U7*W7</f>
        <v>0</v>
      </c>
      <c r="Y7" s="883">
        <f>'[1]Feb midyear Delta'!E4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8*'[2]Table 5C1N-Delta Charter'!AI7</f>
        <v>0</v>
      </c>
      <c r="AH7" s="279">
        <f>+AF7-AG7</f>
        <v>0</v>
      </c>
      <c r="AI7" s="323">
        <f t="shared" ref="AI7:AI38" si="24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25">+AN7-AM7</f>
        <v>0</v>
      </c>
    </row>
    <row r="8" spans="1:41" ht="16.149999999999999" customHeight="1">
      <c r="A8" s="198">
        <v>2</v>
      </c>
      <c r="B8" s="199" t="s">
        <v>74</v>
      </c>
      <c r="C8" s="995">
        <f>+'Table 8 Membership 2.1.14'!T4</f>
        <v>0</v>
      </c>
      <c r="D8" s="201">
        <f>+'Table 5C1A-Madison Prep'!D8</f>
        <v>6316.6266417386641</v>
      </c>
      <c r="E8" s="202">
        <f t="shared" ref="E8:E71" si="26">C8*D8</f>
        <v>0</v>
      </c>
      <c r="F8" s="202">
        <f>+'Table 5C1A-Madison Prep'!F8</f>
        <v>842.32</v>
      </c>
      <c r="G8" s="202">
        <f t="shared" ref="G8:G71" si="27">C8*F8</f>
        <v>0</v>
      </c>
      <c r="H8" s="345">
        <f t="shared" ref="H8:H71" si="28">E8+G8</f>
        <v>0</v>
      </c>
      <c r="I8" s="203">
        <f>'[1]Oct midyear Delta'!K5</f>
        <v>0</v>
      </c>
      <c r="J8" s="203">
        <f>'[1]Feb midyear Delta'!K5</f>
        <v>0</v>
      </c>
      <c r="K8" s="204">
        <f t="shared" ref="K8:K71" si="29">I8+J8</f>
        <v>0</v>
      </c>
      <c r="L8" s="345">
        <f t="shared" ref="L8:L71" si="30">+H8+K8</f>
        <v>0</v>
      </c>
      <c r="M8" s="286">
        <f t="shared" si="22"/>
        <v>0</v>
      </c>
      <c r="N8" s="345">
        <f t="shared" ref="N8:N71" si="31">SUM(L8:M8)</f>
        <v>0</v>
      </c>
      <c r="O8" s="201">
        <v>0</v>
      </c>
      <c r="P8" s="351">
        <f t="shared" ref="P8:P71" si="32">SUM(N8:O8)</f>
        <v>0</v>
      </c>
      <c r="Q8" s="203">
        <f>8*'[2]Table 5C1N-Delta Charter'!S8</f>
        <v>0</v>
      </c>
      <c r="R8" s="203">
        <f t="shared" ref="R8:R71" si="33">+P8-Q8</f>
        <v>0</v>
      </c>
      <c r="S8" s="351">
        <f t="shared" si="23"/>
        <v>0</v>
      </c>
      <c r="T8" s="351">
        <f t="shared" ref="T8:T71" si="34">+P8</f>
        <v>0</v>
      </c>
      <c r="U8" s="287">
        <f>'Table 5C1A-Madison Prep'!U8</f>
        <v>2786</v>
      </c>
      <c r="V8" s="328">
        <f t="shared" ref="V8:V71" si="35">C8*U8</f>
        <v>0</v>
      </c>
      <c r="W8" s="289">
        <f>'[1]Oct midyear Delta'!E5</f>
        <v>0</v>
      </c>
      <c r="X8" s="290">
        <f t="shared" ref="X8:X71" si="36">+U8*W8</f>
        <v>0</v>
      </c>
      <c r="Y8" s="289">
        <f>'[1]Feb midyear Delta'!E5</f>
        <v>0</v>
      </c>
      <c r="Z8" s="290">
        <f t="shared" ref="Z8:Z71" si="37">+U8*Y8*0.5</f>
        <v>0</v>
      </c>
      <c r="AA8" s="288">
        <f t="shared" ref="AA8:AA71" si="38">+X8+Z8</f>
        <v>0</v>
      </c>
      <c r="AB8" s="324">
        <f t="shared" ref="AB8:AB71" si="39">+V8+AA8</f>
        <v>0</v>
      </c>
      <c r="AC8" s="292">
        <f t="shared" ref="AC8:AC71" si="40">-(0.25%*AB8)</f>
        <v>0</v>
      </c>
      <c r="AD8" s="324">
        <f t="shared" ref="AD8:AD71" si="41">SUM(AB8:AC8)</f>
        <v>0</v>
      </c>
      <c r="AE8" s="293">
        <v>0</v>
      </c>
      <c r="AF8" s="324">
        <f t="shared" ref="AF8:AF71" si="42">SUM(AD8:AE8)</f>
        <v>0</v>
      </c>
      <c r="AG8" s="293">
        <f>8*'[2]Table 5C1N-Delta Charter'!AI8</f>
        <v>0</v>
      </c>
      <c r="AH8" s="293">
        <f t="shared" ref="AH8:AH71" si="43">+AF8-AG8</f>
        <v>0</v>
      </c>
      <c r="AI8" s="324">
        <f t="shared" si="24"/>
        <v>0</v>
      </c>
      <c r="AJ8" s="321">
        <f t="shared" ref="AJ8:AJ71" si="44">T8+AF8</f>
        <v>0</v>
      </c>
      <c r="AK8" s="342">
        <f t="shared" ref="AK8:AK71" si="45">S8+AI8</f>
        <v>0</v>
      </c>
      <c r="AM8" s="286">
        <v>0</v>
      </c>
      <c r="AN8" s="286">
        <f t="shared" ref="AN8:AN71" si="46">+AC8</f>
        <v>0</v>
      </c>
      <c r="AO8" s="286">
        <f t="shared" si="25"/>
        <v>0</v>
      </c>
    </row>
    <row r="9" spans="1:41" ht="16.149999999999999" customHeight="1">
      <c r="A9" s="198">
        <v>3</v>
      </c>
      <c r="B9" s="199" t="s">
        <v>75</v>
      </c>
      <c r="C9" s="995">
        <f>+'Table 8 Membership 2.1.14'!T5</f>
        <v>0</v>
      </c>
      <c r="D9" s="201">
        <f>+'Table 5C1A-Madison Prep'!D9</f>
        <v>4155.1862027396819</v>
      </c>
      <c r="E9" s="202">
        <f t="shared" si="26"/>
        <v>0</v>
      </c>
      <c r="F9" s="202">
        <f>+'Table 5C1A-Madison Prep'!F9</f>
        <v>596.84</v>
      </c>
      <c r="G9" s="202">
        <f t="shared" si="27"/>
        <v>0</v>
      </c>
      <c r="H9" s="345">
        <f t="shared" si="28"/>
        <v>0</v>
      </c>
      <c r="I9" s="203">
        <f>'[1]Oct midyear Delta'!K6</f>
        <v>0</v>
      </c>
      <c r="J9" s="203">
        <f>'[1]Feb midyear Delta'!K6</f>
        <v>0</v>
      </c>
      <c r="K9" s="204">
        <f t="shared" si="29"/>
        <v>0</v>
      </c>
      <c r="L9" s="345">
        <f t="shared" si="30"/>
        <v>0</v>
      </c>
      <c r="M9" s="286">
        <f t="shared" si="22"/>
        <v>0</v>
      </c>
      <c r="N9" s="345">
        <f t="shared" si="31"/>
        <v>0</v>
      </c>
      <c r="O9" s="201">
        <v>0</v>
      </c>
      <c r="P9" s="351">
        <f t="shared" si="32"/>
        <v>0</v>
      </c>
      <c r="Q9" s="203">
        <f>8*'[2]Table 5C1N-Delta Charter'!S9</f>
        <v>0</v>
      </c>
      <c r="R9" s="203">
        <f t="shared" si="33"/>
        <v>0</v>
      </c>
      <c r="S9" s="351">
        <f t="shared" si="23"/>
        <v>0</v>
      </c>
      <c r="T9" s="351">
        <f t="shared" si="34"/>
        <v>0</v>
      </c>
      <c r="U9" s="287">
        <f>'Table 5C1A-Madison Prep'!U9</f>
        <v>5927</v>
      </c>
      <c r="V9" s="328">
        <f t="shared" si="35"/>
        <v>0</v>
      </c>
      <c r="W9" s="289">
        <f>'[1]Oct midyear Delta'!E6</f>
        <v>0</v>
      </c>
      <c r="X9" s="290">
        <f t="shared" si="36"/>
        <v>0</v>
      </c>
      <c r="Y9" s="289">
        <f>'[1]Feb midyear Delta'!E6</f>
        <v>0</v>
      </c>
      <c r="Z9" s="290">
        <f t="shared" si="37"/>
        <v>0</v>
      </c>
      <c r="AA9" s="288">
        <f t="shared" si="38"/>
        <v>0</v>
      </c>
      <c r="AB9" s="324">
        <f t="shared" si="39"/>
        <v>0</v>
      </c>
      <c r="AC9" s="292">
        <f t="shared" si="40"/>
        <v>0</v>
      </c>
      <c r="AD9" s="324">
        <f t="shared" si="41"/>
        <v>0</v>
      </c>
      <c r="AE9" s="293">
        <v>0</v>
      </c>
      <c r="AF9" s="324">
        <f t="shared" si="42"/>
        <v>0</v>
      </c>
      <c r="AG9" s="293">
        <f>8*'[2]Table 5C1N-Delta Charter'!AI9</f>
        <v>0</v>
      </c>
      <c r="AH9" s="293">
        <f t="shared" si="43"/>
        <v>0</v>
      </c>
      <c r="AI9" s="324">
        <f t="shared" si="24"/>
        <v>0</v>
      </c>
      <c r="AJ9" s="321">
        <f t="shared" si="44"/>
        <v>0</v>
      </c>
      <c r="AK9" s="342">
        <f t="shared" si="45"/>
        <v>0</v>
      </c>
      <c r="AM9" s="286">
        <v>0</v>
      </c>
      <c r="AN9" s="286">
        <f t="shared" si="46"/>
        <v>0</v>
      </c>
      <c r="AO9" s="286">
        <f t="shared" si="25"/>
        <v>0</v>
      </c>
    </row>
    <row r="10" spans="1:41" ht="16.149999999999999" customHeight="1">
      <c r="A10" s="198">
        <v>4</v>
      </c>
      <c r="B10" s="199" t="s">
        <v>76</v>
      </c>
      <c r="C10" s="995">
        <f>+'Table 8 Membership 2.1.14'!T6</f>
        <v>0</v>
      </c>
      <c r="D10" s="201">
        <f>+'Table 5C1A-Madison Prep'!D10</f>
        <v>6119.0581446878568</v>
      </c>
      <c r="E10" s="202">
        <f t="shared" si="26"/>
        <v>0</v>
      </c>
      <c r="F10" s="202">
        <f>+'Table 5C1A-Madison Prep'!F10</f>
        <v>585.76</v>
      </c>
      <c r="G10" s="202">
        <f t="shared" si="27"/>
        <v>0</v>
      </c>
      <c r="H10" s="345">
        <f t="shared" si="28"/>
        <v>0</v>
      </c>
      <c r="I10" s="203">
        <f>'[1]Oct midyear Delta'!K7</f>
        <v>0</v>
      </c>
      <c r="J10" s="203">
        <f>'[1]Feb midyear Delta'!K7</f>
        <v>0</v>
      </c>
      <c r="K10" s="204">
        <f t="shared" si="29"/>
        <v>0</v>
      </c>
      <c r="L10" s="345">
        <f t="shared" si="30"/>
        <v>0</v>
      </c>
      <c r="M10" s="286">
        <f t="shared" si="22"/>
        <v>0</v>
      </c>
      <c r="N10" s="345">
        <f t="shared" si="31"/>
        <v>0</v>
      </c>
      <c r="O10" s="201">
        <v>0</v>
      </c>
      <c r="P10" s="351">
        <f t="shared" si="32"/>
        <v>0</v>
      </c>
      <c r="Q10" s="203">
        <f>8*'[2]Table 5C1N-Delta Charter'!S10</f>
        <v>0</v>
      </c>
      <c r="R10" s="203">
        <f t="shared" si="33"/>
        <v>0</v>
      </c>
      <c r="S10" s="351">
        <f t="shared" si="23"/>
        <v>0</v>
      </c>
      <c r="T10" s="351">
        <f t="shared" si="34"/>
        <v>0</v>
      </c>
      <c r="U10" s="287">
        <f>'Table 5C1A-Madison Prep'!U10</f>
        <v>4203</v>
      </c>
      <c r="V10" s="328">
        <f t="shared" si="35"/>
        <v>0</v>
      </c>
      <c r="W10" s="289">
        <f>'[1]Oct midyear Delta'!E7</f>
        <v>0</v>
      </c>
      <c r="X10" s="290">
        <f t="shared" si="36"/>
        <v>0</v>
      </c>
      <c r="Y10" s="289">
        <f>'[1]Feb midyear Delta'!E7</f>
        <v>0</v>
      </c>
      <c r="Z10" s="290">
        <f t="shared" si="37"/>
        <v>0</v>
      </c>
      <c r="AA10" s="288">
        <f t="shared" si="38"/>
        <v>0</v>
      </c>
      <c r="AB10" s="324">
        <f t="shared" si="39"/>
        <v>0</v>
      </c>
      <c r="AC10" s="292">
        <f t="shared" si="40"/>
        <v>0</v>
      </c>
      <c r="AD10" s="324">
        <f t="shared" si="41"/>
        <v>0</v>
      </c>
      <c r="AE10" s="293">
        <v>0</v>
      </c>
      <c r="AF10" s="324">
        <f t="shared" si="42"/>
        <v>0</v>
      </c>
      <c r="AG10" s="293">
        <f>8*'[2]Table 5C1N-Delta Charter'!AI10</f>
        <v>0</v>
      </c>
      <c r="AH10" s="293">
        <f t="shared" si="43"/>
        <v>0</v>
      </c>
      <c r="AI10" s="324">
        <f t="shared" si="24"/>
        <v>0</v>
      </c>
      <c r="AJ10" s="321">
        <f t="shared" si="44"/>
        <v>0</v>
      </c>
      <c r="AK10" s="342">
        <f t="shared" si="45"/>
        <v>0</v>
      </c>
      <c r="AM10" s="286">
        <v>0</v>
      </c>
      <c r="AN10" s="286">
        <f t="shared" si="46"/>
        <v>0</v>
      </c>
      <c r="AO10" s="286">
        <f t="shared" si="25"/>
        <v>0</v>
      </c>
    </row>
    <row r="11" spans="1:41" ht="16.149999999999999" customHeight="1">
      <c r="A11" s="191">
        <v>5</v>
      </c>
      <c r="B11" s="192" t="s">
        <v>77</v>
      </c>
      <c r="C11" s="996">
        <f>+'Table 8 Membership 2.1.14'!T7</f>
        <v>0</v>
      </c>
      <c r="D11" s="194">
        <f>+'Table 5C1A-Madison Prep'!D11</f>
        <v>5268.940566009911</v>
      </c>
      <c r="E11" s="195">
        <f t="shared" si="26"/>
        <v>0</v>
      </c>
      <c r="F11" s="195">
        <f>+'Table 5C1A-Madison Prep'!F11</f>
        <v>555.91</v>
      </c>
      <c r="G11" s="195">
        <f t="shared" si="27"/>
        <v>0</v>
      </c>
      <c r="H11" s="346">
        <f t="shared" si="28"/>
        <v>0</v>
      </c>
      <c r="I11" s="196">
        <f>'[1]Oct midyear Delta'!K8</f>
        <v>0</v>
      </c>
      <c r="J11" s="196">
        <f>'[1]Feb midyear Delta'!K8</f>
        <v>0</v>
      </c>
      <c r="K11" s="197">
        <f t="shared" si="29"/>
        <v>0</v>
      </c>
      <c r="L11" s="346">
        <f t="shared" si="30"/>
        <v>0</v>
      </c>
      <c r="M11" s="296">
        <f t="shared" si="22"/>
        <v>0</v>
      </c>
      <c r="N11" s="346">
        <f t="shared" si="31"/>
        <v>0</v>
      </c>
      <c r="O11" s="194">
        <v>0</v>
      </c>
      <c r="P11" s="352">
        <f t="shared" si="32"/>
        <v>0</v>
      </c>
      <c r="Q11" s="196">
        <f>8*'[2]Table 5C1N-Delta Charter'!S11</f>
        <v>0</v>
      </c>
      <c r="R11" s="196">
        <f t="shared" si="33"/>
        <v>0</v>
      </c>
      <c r="S11" s="352">
        <f t="shared" si="23"/>
        <v>0</v>
      </c>
      <c r="T11" s="352">
        <f t="shared" si="34"/>
        <v>0</v>
      </c>
      <c r="U11" s="281">
        <f>'Table 5C1A-Madison Prep'!U11</f>
        <v>1923</v>
      </c>
      <c r="V11" s="329">
        <f t="shared" si="35"/>
        <v>0</v>
      </c>
      <c r="W11" s="884">
        <f>'[1]Oct midyear Delta'!E8</f>
        <v>0</v>
      </c>
      <c r="X11" s="282">
        <f t="shared" si="36"/>
        <v>0</v>
      </c>
      <c r="Y11" s="884">
        <f>'[1]Feb midyear Delta'!E8</f>
        <v>0</v>
      </c>
      <c r="Z11" s="282">
        <f t="shared" si="37"/>
        <v>0</v>
      </c>
      <c r="AA11" s="283">
        <f t="shared" si="38"/>
        <v>0</v>
      </c>
      <c r="AB11" s="325">
        <f t="shared" si="39"/>
        <v>0</v>
      </c>
      <c r="AC11" s="298">
        <f t="shared" si="40"/>
        <v>0</v>
      </c>
      <c r="AD11" s="325">
        <f t="shared" si="41"/>
        <v>0</v>
      </c>
      <c r="AE11" s="284">
        <v>0</v>
      </c>
      <c r="AF11" s="325">
        <f t="shared" si="42"/>
        <v>0</v>
      </c>
      <c r="AG11" s="284">
        <f>8*'[2]Table 5C1N-Delta Charter'!AI11</f>
        <v>0</v>
      </c>
      <c r="AH11" s="284">
        <f t="shared" si="43"/>
        <v>0</v>
      </c>
      <c r="AI11" s="325">
        <f t="shared" si="24"/>
        <v>0</v>
      </c>
      <c r="AJ11" s="338">
        <f t="shared" si="44"/>
        <v>0</v>
      </c>
      <c r="AK11" s="343">
        <f t="shared" si="45"/>
        <v>0</v>
      </c>
      <c r="AM11" s="296">
        <v>0</v>
      </c>
      <c r="AN11" s="296">
        <f t="shared" si="46"/>
        <v>0</v>
      </c>
      <c r="AO11" s="296">
        <f t="shared" si="25"/>
        <v>0</v>
      </c>
    </row>
    <row r="12" spans="1:41" ht="16.149999999999999" customHeight="1">
      <c r="A12" s="205">
        <v>6</v>
      </c>
      <c r="B12" s="206" t="s">
        <v>78</v>
      </c>
      <c r="C12" s="994">
        <f>+'Table 8 Membership 2.1.14'!T8</f>
        <v>0</v>
      </c>
      <c r="D12" s="208">
        <f>+'Table 5C1A-Madison Prep'!D12</f>
        <v>5378.5086124955869</v>
      </c>
      <c r="E12" s="209">
        <f t="shared" si="26"/>
        <v>0</v>
      </c>
      <c r="F12" s="209">
        <f>+'Table 5C1A-Madison Prep'!F12</f>
        <v>545.4799999999999</v>
      </c>
      <c r="G12" s="209">
        <f t="shared" si="27"/>
        <v>0</v>
      </c>
      <c r="H12" s="344">
        <f t="shared" si="28"/>
        <v>0</v>
      </c>
      <c r="I12" s="210">
        <f>'[1]Oct midyear Delta'!K9</f>
        <v>0</v>
      </c>
      <c r="J12" s="210">
        <f>'[1]Feb midyear Delta'!K9</f>
        <v>0</v>
      </c>
      <c r="K12" s="211">
        <f t="shared" si="29"/>
        <v>0</v>
      </c>
      <c r="L12" s="344">
        <f t="shared" si="30"/>
        <v>0</v>
      </c>
      <c r="M12" s="273">
        <f t="shared" si="22"/>
        <v>0</v>
      </c>
      <c r="N12" s="344">
        <f t="shared" si="31"/>
        <v>0</v>
      </c>
      <c r="O12" s="208">
        <v>0</v>
      </c>
      <c r="P12" s="350">
        <f t="shared" si="32"/>
        <v>0</v>
      </c>
      <c r="Q12" s="210">
        <f>8*'[2]Table 5C1N-Delta Charter'!S12</f>
        <v>0</v>
      </c>
      <c r="R12" s="210">
        <f t="shared" si="33"/>
        <v>0</v>
      </c>
      <c r="S12" s="350">
        <f t="shared" si="23"/>
        <v>0</v>
      </c>
      <c r="T12" s="350">
        <f t="shared" si="34"/>
        <v>0</v>
      </c>
      <c r="U12" s="274">
        <f>'Table 5C1A-Madison Prep'!U12</f>
        <v>4057</v>
      </c>
      <c r="V12" s="327">
        <f t="shared" si="35"/>
        <v>0</v>
      </c>
      <c r="W12" s="883">
        <f>'[1]Oct midyear Delta'!E9</f>
        <v>0</v>
      </c>
      <c r="X12" s="276">
        <f t="shared" si="36"/>
        <v>0</v>
      </c>
      <c r="Y12" s="883">
        <f>'[1]Feb midyear Delta'!E9</f>
        <v>0</v>
      </c>
      <c r="Z12" s="276">
        <f t="shared" si="37"/>
        <v>0</v>
      </c>
      <c r="AA12" s="275">
        <f t="shared" si="38"/>
        <v>0</v>
      </c>
      <c r="AB12" s="323">
        <f t="shared" si="39"/>
        <v>0</v>
      </c>
      <c r="AC12" s="278">
        <f t="shared" si="40"/>
        <v>0</v>
      </c>
      <c r="AD12" s="323">
        <f t="shared" si="41"/>
        <v>0</v>
      </c>
      <c r="AE12" s="279">
        <v>0</v>
      </c>
      <c r="AF12" s="323">
        <f t="shared" si="42"/>
        <v>0</v>
      </c>
      <c r="AG12" s="279">
        <f>8*'[2]Table 5C1N-Delta Charter'!AI12</f>
        <v>0</v>
      </c>
      <c r="AH12" s="279">
        <f t="shared" si="43"/>
        <v>0</v>
      </c>
      <c r="AI12" s="323">
        <f t="shared" si="24"/>
        <v>0</v>
      </c>
      <c r="AJ12" s="337">
        <f t="shared" si="44"/>
        <v>0</v>
      </c>
      <c r="AK12" s="341">
        <f t="shared" si="45"/>
        <v>0</v>
      </c>
      <c r="AM12" s="273">
        <v>0</v>
      </c>
      <c r="AN12" s="273">
        <f t="shared" si="46"/>
        <v>0</v>
      </c>
      <c r="AO12" s="273">
        <f t="shared" si="25"/>
        <v>0</v>
      </c>
    </row>
    <row r="13" spans="1:41" ht="16.149999999999999" customHeight="1">
      <c r="A13" s="198">
        <v>7</v>
      </c>
      <c r="B13" s="199" t="s">
        <v>79</v>
      </c>
      <c r="C13" s="995">
        <f>+'Table 8 Membership 2.1.14'!T9</f>
        <v>0</v>
      </c>
      <c r="D13" s="201">
        <f>+'Table 5C1A-Madison Prep'!D13</f>
        <v>2243.0031963470319</v>
      </c>
      <c r="E13" s="202">
        <f t="shared" si="26"/>
        <v>0</v>
      </c>
      <c r="F13" s="202">
        <f>+'Table 5C1A-Madison Prep'!F13</f>
        <v>756.91999999999985</v>
      </c>
      <c r="G13" s="202">
        <f t="shared" si="27"/>
        <v>0</v>
      </c>
      <c r="H13" s="345">
        <f t="shared" si="28"/>
        <v>0</v>
      </c>
      <c r="I13" s="203">
        <f>'[1]Oct midyear Delta'!K10</f>
        <v>0</v>
      </c>
      <c r="J13" s="203">
        <f>'[1]Feb midyear Delta'!K10</f>
        <v>0</v>
      </c>
      <c r="K13" s="204">
        <f t="shared" si="29"/>
        <v>0</v>
      </c>
      <c r="L13" s="345">
        <f t="shared" si="30"/>
        <v>0</v>
      </c>
      <c r="M13" s="286">
        <f t="shared" si="22"/>
        <v>0</v>
      </c>
      <c r="N13" s="345">
        <f t="shared" si="31"/>
        <v>0</v>
      </c>
      <c r="O13" s="201">
        <v>0</v>
      </c>
      <c r="P13" s="351">
        <f t="shared" si="32"/>
        <v>0</v>
      </c>
      <c r="Q13" s="203">
        <f>8*'[2]Table 5C1N-Delta Charter'!S13</f>
        <v>0</v>
      </c>
      <c r="R13" s="203">
        <f t="shared" si="33"/>
        <v>0</v>
      </c>
      <c r="S13" s="351">
        <f t="shared" si="23"/>
        <v>0</v>
      </c>
      <c r="T13" s="351">
        <f t="shared" si="34"/>
        <v>0</v>
      </c>
      <c r="U13" s="287">
        <f>'Table 5C1A-Madison Prep'!U13</f>
        <v>12112</v>
      </c>
      <c r="V13" s="328">
        <f t="shared" si="35"/>
        <v>0</v>
      </c>
      <c r="W13" s="289">
        <f>'[1]Oct midyear Delta'!E10</f>
        <v>0</v>
      </c>
      <c r="X13" s="290">
        <f t="shared" si="36"/>
        <v>0</v>
      </c>
      <c r="Y13" s="289">
        <f>'[1]Feb midyear Delta'!E10</f>
        <v>0</v>
      </c>
      <c r="Z13" s="290">
        <f t="shared" si="37"/>
        <v>0</v>
      </c>
      <c r="AA13" s="288">
        <f t="shared" si="38"/>
        <v>0</v>
      </c>
      <c r="AB13" s="324">
        <f t="shared" si="39"/>
        <v>0</v>
      </c>
      <c r="AC13" s="292">
        <f t="shared" si="40"/>
        <v>0</v>
      </c>
      <c r="AD13" s="324">
        <f t="shared" si="41"/>
        <v>0</v>
      </c>
      <c r="AE13" s="293">
        <v>0</v>
      </c>
      <c r="AF13" s="324">
        <f t="shared" si="42"/>
        <v>0</v>
      </c>
      <c r="AG13" s="293">
        <f>8*'[2]Table 5C1N-Delta Charter'!AI13</f>
        <v>0</v>
      </c>
      <c r="AH13" s="293">
        <f t="shared" si="43"/>
        <v>0</v>
      </c>
      <c r="AI13" s="324">
        <f t="shared" si="24"/>
        <v>0</v>
      </c>
      <c r="AJ13" s="321">
        <f t="shared" si="44"/>
        <v>0</v>
      </c>
      <c r="AK13" s="342">
        <f t="shared" si="45"/>
        <v>0</v>
      </c>
      <c r="AM13" s="286">
        <v>0</v>
      </c>
      <c r="AN13" s="286">
        <f t="shared" si="46"/>
        <v>0</v>
      </c>
      <c r="AO13" s="286">
        <f t="shared" si="25"/>
        <v>0</v>
      </c>
    </row>
    <row r="14" spans="1:41" ht="16.149999999999999" customHeight="1">
      <c r="A14" s="198">
        <v>8</v>
      </c>
      <c r="B14" s="199" t="s">
        <v>80</v>
      </c>
      <c r="C14" s="995">
        <f>+'Table 8 Membership 2.1.14'!T10</f>
        <v>0</v>
      </c>
      <c r="D14" s="201">
        <f>+'Table 5C1A-Madison Prep'!D14</f>
        <v>4669.802459558854</v>
      </c>
      <c r="E14" s="202">
        <f t="shared" si="26"/>
        <v>0</v>
      </c>
      <c r="F14" s="202">
        <f>+'Table 5C1A-Madison Prep'!F14</f>
        <v>725.76</v>
      </c>
      <c r="G14" s="202">
        <f t="shared" si="27"/>
        <v>0</v>
      </c>
      <c r="H14" s="345">
        <f t="shared" si="28"/>
        <v>0</v>
      </c>
      <c r="I14" s="203">
        <f>'[1]Oct midyear Delta'!K11</f>
        <v>0</v>
      </c>
      <c r="J14" s="203">
        <f>'[1]Feb midyear Delta'!K11</f>
        <v>0</v>
      </c>
      <c r="K14" s="204">
        <f t="shared" si="29"/>
        <v>0</v>
      </c>
      <c r="L14" s="345">
        <f t="shared" si="30"/>
        <v>0</v>
      </c>
      <c r="M14" s="286">
        <f t="shared" si="22"/>
        <v>0</v>
      </c>
      <c r="N14" s="345">
        <f t="shared" si="31"/>
        <v>0</v>
      </c>
      <c r="O14" s="201">
        <v>0</v>
      </c>
      <c r="P14" s="351">
        <f t="shared" si="32"/>
        <v>0</v>
      </c>
      <c r="Q14" s="203">
        <f>8*'[2]Table 5C1N-Delta Charter'!S14</f>
        <v>0</v>
      </c>
      <c r="R14" s="203">
        <f t="shared" si="33"/>
        <v>0</v>
      </c>
      <c r="S14" s="351">
        <f t="shared" si="23"/>
        <v>0</v>
      </c>
      <c r="T14" s="351">
        <f t="shared" si="34"/>
        <v>0</v>
      </c>
      <c r="U14" s="287">
        <f>'Table 5C1A-Madison Prep'!U14</f>
        <v>4124</v>
      </c>
      <c r="V14" s="328">
        <f t="shared" si="35"/>
        <v>0</v>
      </c>
      <c r="W14" s="289">
        <f>'[1]Oct midyear Delta'!E11</f>
        <v>0</v>
      </c>
      <c r="X14" s="290">
        <f t="shared" si="36"/>
        <v>0</v>
      </c>
      <c r="Y14" s="289">
        <f>'[1]Feb midyear Delta'!E11</f>
        <v>0</v>
      </c>
      <c r="Z14" s="290">
        <f t="shared" si="37"/>
        <v>0</v>
      </c>
      <c r="AA14" s="288">
        <f t="shared" si="38"/>
        <v>0</v>
      </c>
      <c r="AB14" s="324">
        <f t="shared" si="39"/>
        <v>0</v>
      </c>
      <c r="AC14" s="292">
        <f t="shared" si="40"/>
        <v>0</v>
      </c>
      <c r="AD14" s="324">
        <f t="shared" si="41"/>
        <v>0</v>
      </c>
      <c r="AE14" s="293">
        <v>0</v>
      </c>
      <c r="AF14" s="324">
        <f t="shared" si="42"/>
        <v>0</v>
      </c>
      <c r="AG14" s="293">
        <f>8*'[2]Table 5C1N-Delta Charter'!AI14</f>
        <v>0</v>
      </c>
      <c r="AH14" s="293">
        <f t="shared" si="43"/>
        <v>0</v>
      </c>
      <c r="AI14" s="324">
        <f t="shared" si="24"/>
        <v>0</v>
      </c>
      <c r="AJ14" s="321">
        <f t="shared" si="44"/>
        <v>0</v>
      </c>
      <c r="AK14" s="342">
        <f t="shared" si="45"/>
        <v>0</v>
      </c>
      <c r="AM14" s="286">
        <v>0</v>
      </c>
      <c r="AN14" s="286">
        <f t="shared" si="46"/>
        <v>0</v>
      </c>
      <c r="AO14" s="286">
        <f t="shared" si="25"/>
        <v>0</v>
      </c>
    </row>
    <row r="15" spans="1:41" ht="16.149999999999999" customHeight="1">
      <c r="A15" s="198">
        <v>9</v>
      </c>
      <c r="B15" s="199" t="s">
        <v>81</v>
      </c>
      <c r="C15" s="995">
        <f>+'Table 8 Membership 2.1.14'!T11</f>
        <v>0</v>
      </c>
      <c r="D15" s="201">
        <f>+'Table 5C1A-Madison Prep'!D15</f>
        <v>4632.4615072045008</v>
      </c>
      <c r="E15" s="202">
        <f t="shared" si="26"/>
        <v>0</v>
      </c>
      <c r="F15" s="202">
        <f>+'Table 5C1A-Madison Prep'!F15</f>
        <v>744.76</v>
      </c>
      <c r="G15" s="202">
        <f t="shared" si="27"/>
        <v>0</v>
      </c>
      <c r="H15" s="345">
        <f t="shared" si="28"/>
        <v>0</v>
      </c>
      <c r="I15" s="203">
        <f>'[1]Oct midyear Delta'!K12</f>
        <v>0</v>
      </c>
      <c r="J15" s="203">
        <f>'[1]Feb midyear Delta'!K12</f>
        <v>0</v>
      </c>
      <c r="K15" s="204">
        <f t="shared" si="29"/>
        <v>0</v>
      </c>
      <c r="L15" s="345">
        <f t="shared" si="30"/>
        <v>0</v>
      </c>
      <c r="M15" s="286">
        <f t="shared" si="22"/>
        <v>0</v>
      </c>
      <c r="N15" s="345">
        <f t="shared" si="31"/>
        <v>0</v>
      </c>
      <c r="O15" s="201">
        <v>0</v>
      </c>
      <c r="P15" s="351">
        <f t="shared" si="32"/>
        <v>0</v>
      </c>
      <c r="Q15" s="203">
        <f>8*'[2]Table 5C1N-Delta Charter'!S15</f>
        <v>0</v>
      </c>
      <c r="R15" s="203">
        <f t="shared" si="33"/>
        <v>0</v>
      </c>
      <c r="S15" s="351">
        <f t="shared" si="23"/>
        <v>0</v>
      </c>
      <c r="T15" s="351">
        <f t="shared" si="34"/>
        <v>0</v>
      </c>
      <c r="U15" s="287">
        <f>'Table 5C1A-Madison Prep'!U15</f>
        <v>4901</v>
      </c>
      <c r="V15" s="328">
        <f t="shared" si="35"/>
        <v>0</v>
      </c>
      <c r="W15" s="289">
        <f>'[1]Oct midyear Delta'!E12</f>
        <v>0</v>
      </c>
      <c r="X15" s="290">
        <f t="shared" si="36"/>
        <v>0</v>
      </c>
      <c r="Y15" s="289">
        <f>'[1]Feb midyear Delta'!E12</f>
        <v>0</v>
      </c>
      <c r="Z15" s="290">
        <f t="shared" si="37"/>
        <v>0</v>
      </c>
      <c r="AA15" s="288">
        <f t="shared" si="38"/>
        <v>0</v>
      </c>
      <c r="AB15" s="324">
        <f t="shared" si="39"/>
        <v>0</v>
      </c>
      <c r="AC15" s="292">
        <f t="shared" si="40"/>
        <v>0</v>
      </c>
      <c r="AD15" s="324">
        <f t="shared" si="41"/>
        <v>0</v>
      </c>
      <c r="AE15" s="293">
        <v>0</v>
      </c>
      <c r="AF15" s="324">
        <f t="shared" si="42"/>
        <v>0</v>
      </c>
      <c r="AG15" s="293">
        <f>8*'[2]Table 5C1N-Delta Charter'!AI15</f>
        <v>0</v>
      </c>
      <c r="AH15" s="293">
        <f t="shared" si="43"/>
        <v>0</v>
      </c>
      <c r="AI15" s="324">
        <f t="shared" si="24"/>
        <v>0</v>
      </c>
      <c r="AJ15" s="321">
        <f t="shared" si="44"/>
        <v>0</v>
      </c>
      <c r="AK15" s="342">
        <f t="shared" si="45"/>
        <v>0</v>
      </c>
      <c r="AM15" s="286">
        <v>0</v>
      </c>
      <c r="AN15" s="286">
        <f t="shared" si="46"/>
        <v>0</v>
      </c>
      <c r="AO15" s="286">
        <f t="shared" si="25"/>
        <v>0</v>
      </c>
    </row>
    <row r="16" spans="1:41" ht="16.149999999999999" customHeight="1">
      <c r="A16" s="191">
        <v>10</v>
      </c>
      <c r="B16" s="192" t="s">
        <v>82</v>
      </c>
      <c r="C16" s="996">
        <f>+'Table 8 Membership 2.1.14'!T12</f>
        <v>0</v>
      </c>
      <c r="D16" s="194">
        <f>+'Table 5C1A-Madison Prep'!D16</f>
        <v>4384.374733918472</v>
      </c>
      <c r="E16" s="195">
        <f t="shared" si="26"/>
        <v>0</v>
      </c>
      <c r="F16" s="195">
        <f>+'Table 5C1A-Madison Prep'!F16</f>
        <v>608.04000000000008</v>
      </c>
      <c r="G16" s="195">
        <f t="shared" si="27"/>
        <v>0</v>
      </c>
      <c r="H16" s="346">
        <f t="shared" si="28"/>
        <v>0</v>
      </c>
      <c r="I16" s="196">
        <f>'[1]Oct midyear Delta'!K13</f>
        <v>0</v>
      </c>
      <c r="J16" s="196">
        <f>'[1]Feb midyear Delta'!K13</f>
        <v>0</v>
      </c>
      <c r="K16" s="197">
        <f t="shared" si="29"/>
        <v>0</v>
      </c>
      <c r="L16" s="346">
        <f t="shared" si="30"/>
        <v>0</v>
      </c>
      <c r="M16" s="296">
        <f t="shared" si="22"/>
        <v>0</v>
      </c>
      <c r="N16" s="346">
        <f t="shared" si="31"/>
        <v>0</v>
      </c>
      <c r="O16" s="194">
        <v>0</v>
      </c>
      <c r="P16" s="352">
        <f t="shared" si="32"/>
        <v>0</v>
      </c>
      <c r="Q16" s="196">
        <f>8*'[2]Table 5C1N-Delta Charter'!S16</f>
        <v>0</v>
      </c>
      <c r="R16" s="196">
        <f t="shared" si="33"/>
        <v>0</v>
      </c>
      <c r="S16" s="352">
        <f t="shared" si="23"/>
        <v>0</v>
      </c>
      <c r="T16" s="352">
        <f t="shared" si="34"/>
        <v>0</v>
      </c>
      <c r="U16" s="281">
        <f>'Table 5C1A-Madison Prep'!U16</f>
        <v>4619</v>
      </c>
      <c r="V16" s="329">
        <f t="shared" si="35"/>
        <v>0</v>
      </c>
      <c r="W16" s="884">
        <f>'[1]Oct midyear Delta'!E13</f>
        <v>0</v>
      </c>
      <c r="X16" s="282">
        <f t="shared" si="36"/>
        <v>0</v>
      </c>
      <c r="Y16" s="884">
        <f>'[1]Feb midyear Delta'!E13</f>
        <v>0</v>
      </c>
      <c r="Z16" s="282">
        <f t="shared" si="37"/>
        <v>0</v>
      </c>
      <c r="AA16" s="283">
        <f t="shared" si="38"/>
        <v>0</v>
      </c>
      <c r="AB16" s="325">
        <f t="shared" si="39"/>
        <v>0</v>
      </c>
      <c r="AC16" s="298">
        <f t="shared" si="40"/>
        <v>0</v>
      </c>
      <c r="AD16" s="325">
        <f t="shared" si="41"/>
        <v>0</v>
      </c>
      <c r="AE16" s="284">
        <v>0</v>
      </c>
      <c r="AF16" s="325">
        <f t="shared" si="42"/>
        <v>0</v>
      </c>
      <c r="AG16" s="284">
        <f>8*'[2]Table 5C1N-Delta Charter'!AI16</f>
        <v>0</v>
      </c>
      <c r="AH16" s="284">
        <f t="shared" si="43"/>
        <v>0</v>
      </c>
      <c r="AI16" s="325">
        <f t="shared" si="24"/>
        <v>0</v>
      </c>
      <c r="AJ16" s="338">
        <f t="shared" si="44"/>
        <v>0</v>
      </c>
      <c r="AK16" s="343">
        <f t="shared" si="45"/>
        <v>0</v>
      </c>
      <c r="AM16" s="296">
        <v>0</v>
      </c>
      <c r="AN16" s="296">
        <f t="shared" si="46"/>
        <v>0</v>
      </c>
      <c r="AO16" s="296">
        <f t="shared" si="25"/>
        <v>0</v>
      </c>
    </row>
    <row r="17" spans="1:41" ht="16.149999999999999" customHeight="1">
      <c r="A17" s="205">
        <v>11</v>
      </c>
      <c r="B17" s="206" t="s">
        <v>83</v>
      </c>
      <c r="C17" s="994">
        <f>+'Table 8 Membership 2.1.14'!T13</f>
        <v>0</v>
      </c>
      <c r="D17" s="208">
        <f>+'Table 5C1A-Madison Prep'!D17</f>
        <v>7098.5372236353351</v>
      </c>
      <c r="E17" s="209">
        <f t="shared" si="26"/>
        <v>0</v>
      </c>
      <c r="F17" s="209">
        <f>+'Table 5C1A-Madison Prep'!F17</f>
        <v>706.55</v>
      </c>
      <c r="G17" s="209">
        <f t="shared" si="27"/>
        <v>0</v>
      </c>
      <c r="H17" s="344">
        <f t="shared" si="28"/>
        <v>0</v>
      </c>
      <c r="I17" s="210">
        <f>'[1]Oct midyear Delta'!K14</f>
        <v>0</v>
      </c>
      <c r="J17" s="210">
        <f>'[1]Feb midyear Delta'!K14</f>
        <v>0</v>
      </c>
      <c r="K17" s="211">
        <f t="shared" si="29"/>
        <v>0</v>
      </c>
      <c r="L17" s="344">
        <f t="shared" si="30"/>
        <v>0</v>
      </c>
      <c r="M17" s="273">
        <f t="shared" si="22"/>
        <v>0</v>
      </c>
      <c r="N17" s="344">
        <f t="shared" si="31"/>
        <v>0</v>
      </c>
      <c r="O17" s="208">
        <v>0</v>
      </c>
      <c r="P17" s="350">
        <f t="shared" si="32"/>
        <v>0</v>
      </c>
      <c r="Q17" s="210">
        <f>8*'[2]Table 5C1N-Delta Charter'!S17</f>
        <v>0</v>
      </c>
      <c r="R17" s="210">
        <f t="shared" si="33"/>
        <v>0</v>
      </c>
      <c r="S17" s="350">
        <f t="shared" si="23"/>
        <v>0</v>
      </c>
      <c r="T17" s="350">
        <f t="shared" si="34"/>
        <v>0</v>
      </c>
      <c r="U17" s="274">
        <f>'Table 5C1A-Madison Prep'!U17</f>
        <v>3580</v>
      </c>
      <c r="V17" s="327">
        <f t="shared" si="35"/>
        <v>0</v>
      </c>
      <c r="W17" s="883">
        <f>'[1]Oct midyear Delta'!E14</f>
        <v>0</v>
      </c>
      <c r="X17" s="276">
        <f t="shared" si="36"/>
        <v>0</v>
      </c>
      <c r="Y17" s="883">
        <f>'[1]Feb midyear Delta'!E14</f>
        <v>0</v>
      </c>
      <c r="Z17" s="276">
        <f t="shared" si="37"/>
        <v>0</v>
      </c>
      <c r="AA17" s="275">
        <f t="shared" si="38"/>
        <v>0</v>
      </c>
      <c r="AB17" s="323">
        <f t="shared" si="39"/>
        <v>0</v>
      </c>
      <c r="AC17" s="278">
        <f t="shared" si="40"/>
        <v>0</v>
      </c>
      <c r="AD17" s="323">
        <f t="shared" si="41"/>
        <v>0</v>
      </c>
      <c r="AE17" s="279">
        <v>0</v>
      </c>
      <c r="AF17" s="323">
        <f t="shared" si="42"/>
        <v>0</v>
      </c>
      <c r="AG17" s="279">
        <f>8*'[2]Table 5C1N-Delta Charter'!AI17</f>
        <v>0</v>
      </c>
      <c r="AH17" s="279">
        <f t="shared" si="43"/>
        <v>0</v>
      </c>
      <c r="AI17" s="323">
        <f t="shared" si="24"/>
        <v>0</v>
      </c>
      <c r="AJ17" s="337">
        <f t="shared" si="44"/>
        <v>0</v>
      </c>
      <c r="AK17" s="341">
        <f t="shared" si="45"/>
        <v>0</v>
      </c>
      <c r="AM17" s="273">
        <v>0</v>
      </c>
      <c r="AN17" s="273">
        <f t="shared" si="46"/>
        <v>0</v>
      </c>
      <c r="AO17" s="273">
        <f t="shared" si="25"/>
        <v>0</v>
      </c>
    </row>
    <row r="18" spans="1:41" ht="16.149999999999999" customHeight="1">
      <c r="A18" s="198">
        <v>12</v>
      </c>
      <c r="B18" s="199" t="s">
        <v>84</v>
      </c>
      <c r="C18" s="995">
        <f>+'Table 8 Membership 2.1.14'!T14</f>
        <v>0</v>
      </c>
      <c r="D18" s="201">
        <f>+'Table 5C1A-Madison Prep'!D18</f>
        <v>1666.6040983606558</v>
      </c>
      <c r="E18" s="202">
        <f t="shared" si="26"/>
        <v>0</v>
      </c>
      <c r="F18" s="202">
        <f>+'Table 5C1A-Madison Prep'!F18</f>
        <v>1063.31</v>
      </c>
      <c r="G18" s="202">
        <f t="shared" si="27"/>
        <v>0</v>
      </c>
      <c r="H18" s="345">
        <f t="shared" si="28"/>
        <v>0</v>
      </c>
      <c r="I18" s="203">
        <f>'[1]Oct midyear Delta'!K15</f>
        <v>0</v>
      </c>
      <c r="J18" s="203">
        <f>'[1]Feb midyear Delta'!K15</f>
        <v>0</v>
      </c>
      <c r="K18" s="204">
        <f t="shared" si="29"/>
        <v>0</v>
      </c>
      <c r="L18" s="345">
        <f t="shared" si="30"/>
        <v>0</v>
      </c>
      <c r="M18" s="286">
        <f t="shared" si="22"/>
        <v>0</v>
      </c>
      <c r="N18" s="345">
        <f t="shared" si="31"/>
        <v>0</v>
      </c>
      <c r="O18" s="201">
        <v>0</v>
      </c>
      <c r="P18" s="351">
        <f t="shared" si="32"/>
        <v>0</v>
      </c>
      <c r="Q18" s="203">
        <f>8*'[2]Table 5C1N-Delta Charter'!S18</f>
        <v>0</v>
      </c>
      <c r="R18" s="203">
        <f t="shared" si="33"/>
        <v>0</v>
      </c>
      <c r="S18" s="351">
        <f t="shared" si="23"/>
        <v>0</v>
      </c>
      <c r="T18" s="351">
        <f t="shared" si="34"/>
        <v>0</v>
      </c>
      <c r="U18" s="287">
        <f>'Table 5C1A-Madison Prep'!U18</f>
        <v>8094</v>
      </c>
      <c r="V18" s="328">
        <f t="shared" si="35"/>
        <v>0</v>
      </c>
      <c r="W18" s="289">
        <f>'[1]Oct midyear Delta'!E15</f>
        <v>0</v>
      </c>
      <c r="X18" s="290">
        <f t="shared" si="36"/>
        <v>0</v>
      </c>
      <c r="Y18" s="289">
        <f>'[1]Feb midyear Delta'!E15</f>
        <v>0</v>
      </c>
      <c r="Z18" s="290">
        <f t="shared" si="37"/>
        <v>0</v>
      </c>
      <c r="AA18" s="288">
        <f t="shared" si="38"/>
        <v>0</v>
      </c>
      <c r="AB18" s="324">
        <f t="shared" si="39"/>
        <v>0</v>
      </c>
      <c r="AC18" s="292">
        <f t="shared" si="40"/>
        <v>0</v>
      </c>
      <c r="AD18" s="324">
        <f t="shared" si="41"/>
        <v>0</v>
      </c>
      <c r="AE18" s="293">
        <v>0</v>
      </c>
      <c r="AF18" s="324">
        <f t="shared" si="42"/>
        <v>0</v>
      </c>
      <c r="AG18" s="293">
        <f>8*'[2]Table 5C1N-Delta Charter'!AI18</f>
        <v>0</v>
      </c>
      <c r="AH18" s="293">
        <f t="shared" si="43"/>
        <v>0</v>
      </c>
      <c r="AI18" s="324">
        <f t="shared" si="24"/>
        <v>0</v>
      </c>
      <c r="AJ18" s="321">
        <f t="shared" si="44"/>
        <v>0</v>
      </c>
      <c r="AK18" s="342">
        <f t="shared" si="45"/>
        <v>0</v>
      </c>
      <c r="AM18" s="286">
        <v>0</v>
      </c>
      <c r="AN18" s="286">
        <f t="shared" si="46"/>
        <v>0</v>
      </c>
      <c r="AO18" s="286">
        <f t="shared" si="25"/>
        <v>0</v>
      </c>
    </row>
    <row r="19" spans="1:41" ht="16.149999999999999" customHeight="1">
      <c r="A19" s="198">
        <v>13</v>
      </c>
      <c r="B19" s="199" t="s">
        <v>85</v>
      </c>
      <c r="C19" s="995">
        <f>+'Table 8 Membership 2.1.14'!T15</f>
        <v>41</v>
      </c>
      <c r="D19" s="201">
        <f>+'Table 5C1A-Madison Prep'!D19</f>
        <v>6433.6297758332212</v>
      </c>
      <c r="E19" s="202">
        <f t="shared" si="26"/>
        <v>263778.82080916205</v>
      </c>
      <c r="F19" s="202">
        <f>+'Table 5C1A-Madison Prep'!F19</f>
        <v>749.43000000000006</v>
      </c>
      <c r="G19" s="202">
        <f t="shared" si="27"/>
        <v>30726.63</v>
      </c>
      <c r="H19" s="345">
        <f t="shared" si="28"/>
        <v>294505.45080916205</v>
      </c>
      <c r="I19" s="203">
        <f>'[1]Oct midyear Delta'!K16</f>
        <v>100562.8368616651</v>
      </c>
      <c r="J19" s="203">
        <f>'[1]Feb midyear Delta'!K16</f>
        <v>14366.119551666443</v>
      </c>
      <c r="K19" s="204">
        <f t="shared" si="29"/>
        <v>114928.95641333154</v>
      </c>
      <c r="L19" s="345">
        <f t="shared" si="30"/>
        <v>409434.40722249361</v>
      </c>
      <c r="M19" s="286">
        <f t="shared" si="22"/>
        <v>-1023.586018056234</v>
      </c>
      <c r="N19" s="345">
        <f t="shared" si="31"/>
        <v>408410.82120443735</v>
      </c>
      <c r="O19" s="201">
        <v>0</v>
      </c>
      <c r="P19" s="351">
        <f t="shared" si="32"/>
        <v>408410.82120443735</v>
      </c>
      <c r="Q19" s="203">
        <f>8*'[2]Table 5C1N-Delta Charter'!S19</f>
        <v>195848</v>
      </c>
      <c r="R19" s="203">
        <f t="shared" si="33"/>
        <v>212562.82120443735</v>
      </c>
      <c r="S19" s="351">
        <f t="shared" si="23"/>
        <v>53141</v>
      </c>
      <c r="T19" s="351">
        <f t="shared" si="34"/>
        <v>408410.82120443735</v>
      </c>
      <c r="U19" s="287">
        <f>'Table 5C1A-Madison Prep'!U19</f>
        <v>2762</v>
      </c>
      <c r="V19" s="328">
        <f t="shared" si="35"/>
        <v>113242</v>
      </c>
      <c r="W19" s="289">
        <f>'[1]Oct midyear Delta'!E16</f>
        <v>14</v>
      </c>
      <c r="X19" s="290">
        <f t="shared" si="36"/>
        <v>38668</v>
      </c>
      <c r="Y19" s="289">
        <f>'[1]Feb midyear Delta'!E16</f>
        <v>4</v>
      </c>
      <c r="Z19" s="290">
        <f t="shared" si="37"/>
        <v>5524</v>
      </c>
      <c r="AA19" s="288">
        <f t="shared" si="38"/>
        <v>44192</v>
      </c>
      <c r="AB19" s="324">
        <f t="shared" si="39"/>
        <v>157434</v>
      </c>
      <c r="AC19" s="292">
        <f t="shared" si="40"/>
        <v>-393.58500000000004</v>
      </c>
      <c r="AD19" s="324">
        <f t="shared" si="41"/>
        <v>157040.41500000001</v>
      </c>
      <c r="AE19" s="293">
        <v>0</v>
      </c>
      <c r="AF19" s="324">
        <f t="shared" si="42"/>
        <v>157040.41500000001</v>
      </c>
      <c r="AG19" s="293">
        <f>8*'[2]Table 5C1N-Delta Charter'!AI19</f>
        <v>77488</v>
      </c>
      <c r="AH19" s="293">
        <f t="shared" si="43"/>
        <v>79552.415000000008</v>
      </c>
      <c r="AI19" s="324">
        <f t="shared" si="24"/>
        <v>19888</v>
      </c>
      <c r="AJ19" s="321">
        <f t="shared" si="44"/>
        <v>565451.23620443733</v>
      </c>
      <c r="AK19" s="342">
        <f t="shared" si="45"/>
        <v>73029</v>
      </c>
      <c r="AM19" s="286">
        <v>-291.30500000000001</v>
      </c>
      <c r="AN19" s="286">
        <f t="shared" si="46"/>
        <v>-393.58500000000004</v>
      </c>
      <c r="AO19" s="286">
        <f t="shared" si="25"/>
        <v>-102.28000000000003</v>
      </c>
    </row>
    <row r="20" spans="1:41" ht="16.149999999999999" customHeight="1">
      <c r="A20" s="198">
        <v>14</v>
      </c>
      <c r="B20" s="199" t="s">
        <v>86</v>
      </c>
      <c r="C20" s="995">
        <f>+'Table 8 Membership 2.1.14'!T16</f>
        <v>0</v>
      </c>
      <c r="D20" s="201">
        <f>+'Table 5C1A-Madison Prep'!D20</f>
        <v>5334.9509412500001</v>
      </c>
      <c r="E20" s="202">
        <f t="shared" si="26"/>
        <v>0</v>
      </c>
      <c r="F20" s="202">
        <f>+'Table 5C1A-Madison Prep'!F20</f>
        <v>809.9799999999999</v>
      </c>
      <c r="G20" s="202">
        <f t="shared" si="27"/>
        <v>0</v>
      </c>
      <c r="H20" s="345">
        <f t="shared" si="28"/>
        <v>0</v>
      </c>
      <c r="I20" s="203">
        <f>'[1]Oct midyear Delta'!K17</f>
        <v>0</v>
      </c>
      <c r="J20" s="203">
        <f>'[1]Feb midyear Delta'!K17</f>
        <v>0</v>
      </c>
      <c r="K20" s="204">
        <f t="shared" si="29"/>
        <v>0</v>
      </c>
      <c r="L20" s="345">
        <f t="shared" si="30"/>
        <v>0</v>
      </c>
      <c r="M20" s="286">
        <f t="shared" si="22"/>
        <v>0</v>
      </c>
      <c r="N20" s="345">
        <f t="shared" si="31"/>
        <v>0</v>
      </c>
      <c r="O20" s="201">
        <v>0</v>
      </c>
      <c r="P20" s="351">
        <f t="shared" si="32"/>
        <v>0</v>
      </c>
      <c r="Q20" s="203">
        <f>8*'[2]Table 5C1N-Delta Charter'!S20</f>
        <v>0</v>
      </c>
      <c r="R20" s="203">
        <f t="shared" si="33"/>
        <v>0</v>
      </c>
      <c r="S20" s="351">
        <f t="shared" si="23"/>
        <v>0</v>
      </c>
      <c r="T20" s="351">
        <f t="shared" si="34"/>
        <v>0</v>
      </c>
      <c r="U20" s="287">
        <f>'Table 5C1A-Madison Prep'!U20</f>
        <v>4171</v>
      </c>
      <c r="V20" s="328">
        <f t="shared" si="35"/>
        <v>0</v>
      </c>
      <c r="W20" s="289">
        <f>'[1]Oct midyear Delta'!E17</f>
        <v>0</v>
      </c>
      <c r="X20" s="290">
        <f t="shared" si="36"/>
        <v>0</v>
      </c>
      <c r="Y20" s="289">
        <f>'[1]Feb midyear Delta'!E17</f>
        <v>0</v>
      </c>
      <c r="Z20" s="290">
        <f t="shared" si="37"/>
        <v>0</v>
      </c>
      <c r="AA20" s="288">
        <f t="shared" si="38"/>
        <v>0</v>
      </c>
      <c r="AB20" s="324">
        <f t="shared" si="39"/>
        <v>0</v>
      </c>
      <c r="AC20" s="292">
        <f t="shared" si="40"/>
        <v>0</v>
      </c>
      <c r="AD20" s="324">
        <f t="shared" si="41"/>
        <v>0</v>
      </c>
      <c r="AE20" s="293">
        <v>0</v>
      </c>
      <c r="AF20" s="324">
        <f t="shared" si="42"/>
        <v>0</v>
      </c>
      <c r="AG20" s="293">
        <f>8*'[2]Table 5C1N-Delta Charter'!AI20</f>
        <v>0</v>
      </c>
      <c r="AH20" s="293">
        <f t="shared" si="43"/>
        <v>0</v>
      </c>
      <c r="AI20" s="324">
        <f t="shared" si="24"/>
        <v>0</v>
      </c>
      <c r="AJ20" s="321">
        <f t="shared" si="44"/>
        <v>0</v>
      </c>
      <c r="AK20" s="342">
        <f t="shared" si="45"/>
        <v>0</v>
      </c>
      <c r="AM20" s="286">
        <v>0</v>
      </c>
      <c r="AN20" s="286">
        <f t="shared" si="46"/>
        <v>0</v>
      </c>
      <c r="AO20" s="286">
        <f t="shared" si="25"/>
        <v>0</v>
      </c>
    </row>
    <row r="21" spans="1:41" ht="16.149999999999999" customHeight="1">
      <c r="A21" s="191">
        <v>15</v>
      </c>
      <c r="B21" s="192" t="s">
        <v>87</v>
      </c>
      <c r="C21" s="996">
        <f>+'Table 8 Membership 2.1.14'!T17</f>
        <v>269</v>
      </c>
      <c r="D21" s="194">
        <f>+'Table 5C1A-Madison Prep'!D21</f>
        <v>5749.8285214059952</v>
      </c>
      <c r="E21" s="195">
        <f t="shared" si="26"/>
        <v>1546703.8722582127</v>
      </c>
      <c r="F21" s="195">
        <f>+'Table 5C1A-Madison Prep'!F21</f>
        <v>553.79999999999995</v>
      </c>
      <c r="G21" s="195">
        <f t="shared" si="27"/>
        <v>148972.19999999998</v>
      </c>
      <c r="H21" s="346">
        <f t="shared" si="28"/>
        <v>1695676.0722582126</v>
      </c>
      <c r="I21" s="196">
        <f>'[1]Oct midyear Delta'!K18</f>
        <v>220626.99824920984</v>
      </c>
      <c r="J21" s="196">
        <f>'[1]Feb midyear Delta'!K18</f>
        <v>-12607.257042811991</v>
      </c>
      <c r="K21" s="197">
        <f t="shared" si="29"/>
        <v>208019.74120639786</v>
      </c>
      <c r="L21" s="346">
        <f t="shared" si="30"/>
        <v>1903695.8134646104</v>
      </c>
      <c r="M21" s="296">
        <f t="shared" si="22"/>
        <v>-4759.2395336615264</v>
      </c>
      <c r="N21" s="346">
        <f t="shared" si="31"/>
        <v>1898936.5739309487</v>
      </c>
      <c r="O21" s="194">
        <v>0</v>
      </c>
      <c r="P21" s="352">
        <f t="shared" si="32"/>
        <v>1898936.5739309487</v>
      </c>
      <c r="Q21" s="196">
        <f>8*'[2]Table 5C1N-Delta Charter'!S21</f>
        <v>1127624</v>
      </c>
      <c r="R21" s="196">
        <f t="shared" si="33"/>
        <v>771312.57393094874</v>
      </c>
      <c r="S21" s="352">
        <f t="shared" si="23"/>
        <v>192828</v>
      </c>
      <c r="T21" s="352">
        <f t="shared" si="34"/>
        <v>1898936.5739309487</v>
      </c>
      <c r="U21" s="281">
        <f>'Table 5C1A-Madison Prep'!U21</f>
        <v>2880</v>
      </c>
      <c r="V21" s="329">
        <f t="shared" si="35"/>
        <v>774720</v>
      </c>
      <c r="W21" s="884">
        <f>'[1]Oct midyear Delta'!E18</f>
        <v>35</v>
      </c>
      <c r="X21" s="282">
        <f t="shared" si="36"/>
        <v>100800</v>
      </c>
      <c r="Y21" s="884">
        <f>'[1]Feb midyear Delta'!E18</f>
        <v>-4</v>
      </c>
      <c r="Z21" s="282">
        <f t="shared" si="37"/>
        <v>-5760</v>
      </c>
      <c r="AA21" s="283">
        <f t="shared" si="38"/>
        <v>95040</v>
      </c>
      <c r="AB21" s="325">
        <f t="shared" si="39"/>
        <v>869760</v>
      </c>
      <c r="AC21" s="298">
        <f t="shared" si="40"/>
        <v>-2174.4</v>
      </c>
      <c r="AD21" s="325">
        <f t="shared" si="41"/>
        <v>867585.6</v>
      </c>
      <c r="AE21" s="284">
        <v>0</v>
      </c>
      <c r="AF21" s="325">
        <f t="shared" si="42"/>
        <v>867585.6</v>
      </c>
      <c r="AG21" s="284">
        <f>8*'[2]Table 5C1N-Delta Charter'!AI21</f>
        <v>453472</v>
      </c>
      <c r="AH21" s="284">
        <f t="shared" si="43"/>
        <v>414113.6</v>
      </c>
      <c r="AI21" s="325">
        <f t="shared" si="24"/>
        <v>103528</v>
      </c>
      <c r="AJ21" s="338">
        <f t="shared" si="44"/>
        <v>2766522.1739309486</v>
      </c>
      <c r="AK21" s="343">
        <f t="shared" si="45"/>
        <v>296356</v>
      </c>
      <c r="AM21" s="296">
        <v>-1704.7875000000001</v>
      </c>
      <c r="AN21" s="296">
        <f t="shared" si="46"/>
        <v>-2174.4</v>
      </c>
      <c r="AO21" s="296">
        <f t="shared" si="25"/>
        <v>-469.61249999999995</v>
      </c>
    </row>
    <row r="22" spans="1:41" ht="16.149999999999999" customHeight="1">
      <c r="A22" s="205">
        <v>16</v>
      </c>
      <c r="B22" s="206" t="s">
        <v>88</v>
      </c>
      <c r="C22" s="994">
        <f>+'Table 8 Membership 2.1.14'!T18</f>
        <v>0</v>
      </c>
      <c r="D22" s="208">
        <f>+'Table 5C1A-Madison Prep'!D22</f>
        <v>1980.2494354342025</v>
      </c>
      <c r="E22" s="209">
        <f t="shared" si="26"/>
        <v>0</v>
      </c>
      <c r="F22" s="209">
        <f>+'Table 5C1A-Madison Prep'!F22</f>
        <v>686.73</v>
      </c>
      <c r="G22" s="209">
        <f t="shared" si="27"/>
        <v>0</v>
      </c>
      <c r="H22" s="344">
        <f t="shared" si="28"/>
        <v>0</v>
      </c>
      <c r="I22" s="210">
        <f>'[1]Oct midyear Delta'!K19</f>
        <v>0</v>
      </c>
      <c r="J22" s="210">
        <f>'[1]Feb midyear Delta'!K19</f>
        <v>0</v>
      </c>
      <c r="K22" s="211">
        <f t="shared" si="29"/>
        <v>0</v>
      </c>
      <c r="L22" s="344">
        <f t="shared" si="30"/>
        <v>0</v>
      </c>
      <c r="M22" s="273">
        <f t="shared" si="22"/>
        <v>0</v>
      </c>
      <c r="N22" s="344">
        <f t="shared" si="31"/>
        <v>0</v>
      </c>
      <c r="O22" s="208">
        <v>0</v>
      </c>
      <c r="P22" s="350">
        <f t="shared" si="32"/>
        <v>0</v>
      </c>
      <c r="Q22" s="210">
        <f>8*'[2]Table 5C1N-Delta Charter'!S22</f>
        <v>0</v>
      </c>
      <c r="R22" s="210">
        <f t="shared" si="33"/>
        <v>0</v>
      </c>
      <c r="S22" s="350">
        <f t="shared" si="23"/>
        <v>0</v>
      </c>
      <c r="T22" s="350">
        <f t="shared" si="34"/>
        <v>0</v>
      </c>
      <c r="U22" s="274">
        <f>'Table 5C1A-Madison Prep'!U22</f>
        <v>13021</v>
      </c>
      <c r="V22" s="327">
        <f t="shared" si="35"/>
        <v>0</v>
      </c>
      <c r="W22" s="883">
        <f>'[1]Oct midyear Delta'!E19</f>
        <v>0</v>
      </c>
      <c r="X22" s="276">
        <f t="shared" si="36"/>
        <v>0</v>
      </c>
      <c r="Y22" s="883">
        <f>'[1]Feb midyear Delta'!E19</f>
        <v>0</v>
      </c>
      <c r="Z22" s="276">
        <f t="shared" si="37"/>
        <v>0</v>
      </c>
      <c r="AA22" s="275">
        <f t="shared" si="38"/>
        <v>0</v>
      </c>
      <c r="AB22" s="323">
        <f t="shared" si="39"/>
        <v>0</v>
      </c>
      <c r="AC22" s="278">
        <f t="shared" si="40"/>
        <v>0</v>
      </c>
      <c r="AD22" s="323">
        <f t="shared" si="41"/>
        <v>0</v>
      </c>
      <c r="AE22" s="279">
        <v>0</v>
      </c>
      <c r="AF22" s="323">
        <f t="shared" si="42"/>
        <v>0</v>
      </c>
      <c r="AG22" s="279">
        <f>8*'[2]Table 5C1N-Delta Charter'!AI22</f>
        <v>0</v>
      </c>
      <c r="AH22" s="279">
        <f t="shared" si="43"/>
        <v>0</v>
      </c>
      <c r="AI22" s="323">
        <f t="shared" si="24"/>
        <v>0</v>
      </c>
      <c r="AJ22" s="337">
        <f t="shared" si="44"/>
        <v>0</v>
      </c>
      <c r="AK22" s="341">
        <f t="shared" si="45"/>
        <v>0</v>
      </c>
      <c r="AM22" s="273">
        <v>0</v>
      </c>
      <c r="AN22" s="273">
        <f t="shared" si="46"/>
        <v>0</v>
      </c>
      <c r="AO22" s="273">
        <f t="shared" si="25"/>
        <v>0</v>
      </c>
    </row>
    <row r="23" spans="1:41" ht="16.149999999999999" customHeight="1">
      <c r="A23" s="198">
        <v>17</v>
      </c>
      <c r="B23" s="199" t="s">
        <v>89</v>
      </c>
      <c r="C23" s="995">
        <f>+'Table 8 Membership 2.1.14'!T19</f>
        <v>0</v>
      </c>
      <c r="D23" s="201">
        <f>+'Table 5C1A-Madison Prep'!D23</f>
        <v>3363.5980368254495</v>
      </c>
      <c r="E23" s="202">
        <f t="shared" si="26"/>
        <v>0</v>
      </c>
      <c r="F23" s="202">
        <f>+'Table 5C1A-Madison Prep'!F23</f>
        <v>801.47762416806802</v>
      </c>
      <c r="G23" s="202">
        <f t="shared" si="27"/>
        <v>0</v>
      </c>
      <c r="H23" s="345">
        <f t="shared" si="28"/>
        <v>0</v>
      </c>
      <c r="I23" s="203">
        <f>'[1]Oct midyear Delta'!K20</f>
        <v>0</v>
      </c>
      <c r="J23" s="203">
        <f>'[1]Feb midyear Delta'!K20</f>
        <v>0</v>
      </c>
      <c r="K23" s="204">
        <f t="shared" si="29"/>
        <v>0</v>
      </c>
      <c r="L23" s="345">
        <f t="shared" si="30"/>
        <v>0</v>
      </c>
      <c r="M23" s="286">
        <f t="shared" si="22"/>
        <v>0</v>
      </c>
      <c r="N23" s="345">
        <f t="shared" si="31"/>
        <v>0</v>
      </c>
      <c r="O23" s="201">
        <v>0</v>
      </c>
      <c r="P23" s="351">
        <f t="shared" si="32"/>
        <v>0</v>
      </c>
      <c r="Q23" s="203">
        <f>8*'[2]Table 5C1N-Delta Charter'!S23</f>
        <v>0</v>
      </c>
      <c r="R23" s="203">
        <f t="shared" si="33"/>
        <v>0</v>
      </c>
      <c r="S23" s="351">
        <f t="shared" si="23"/>
        <v>0</v>
      </c>
      <c r="T23" s="351">
        <f t="shared" si="34"/>
        <v>0</v>
      </c>
      <c r="U23" s="287">
        <f>'Table 5C1A-Madison Prep'!U23</f>
        <v>6954</v>
      </c>
      <c r="V23" s="328">
        <f t="shared" si="35"/>
        <v>0</v>
      </c>
      <c r="W23" s="289">
        <f>'[1]Oct midyear Delta'!E20</f>
        <v>0</v>
      </c>
      <c r="X23" s="290">
        <f t="shared" si="36"/>
        <v>0</v>
      </c>
      <c r="Y23" s="289">
        <f>'[1]Feb midyear Delta'!E20</f>
        <v>0</v>
      </c>
      <c r="Z23" s="290">
        <f t="shared" si="37"/>
        <v>0</v>
      </c>
      <c r="AA23" s="288">
        <f t="shared" si="38"/>
        <v>0</v>
      </c>
      <c r="AB23" s="324">
        <f t="shared" si="39"/>
        <v>0</v>
      </c>
      <c r="AC23" s="292">
        <f t="shared" si="40"/>
        <v>0</v>
      </c>
      <c r="AD23" s="324">
        <f t="shared" si="41"/>
        <v>0</v>
      </c>
      <c r="AE23" s="293">
        <v>0</v>
      </c>
      <c r="AF23" s="324">
        <f t="shared" si="42"/>
        <v>0</v>
      </c>
      <c r="AG23" s="293">
        <f>8*'[2]Table 5C1N-Delta Charter'!AI23</f>
        <v>0</v>
      </c>
      <c r="AH23" s="293">
        <f t="shared" si="43"/>
        <v>0</v>
      </c>
      <c r="AI23" s="324">
        <f t="shared" si="24"/>
        <v>0</v>
      </c>
      <c r="AJ23" s="321">
        <f t="shared" si="44"/>
        <v>0</v>
      </c>
      <c r="AK23" s="342">
        <f t="shared" si="45"/>
        <v>0</v>
      </c>
      <c r="AM23" s="286">
        <v>0</v>
      </c>
      <c r="AN23" s="286">
        <f t="shared" si="46"/>
        <v>0</v>
      </c>
      <c r="AO23" s="286">
        <f t="shared" si="25"/>
        <v>0</v>
      </c>
    </row>
    <row r="24" spans="1:41" ht="16.149999999999999" customHeight="1">
      <c r="A24" s="198">
        <v>18</v>
      </c>
      <c r="B24" s="199" t="s">
        <v>90</v>
      </c>
      <c r="C24" s="995">
        <f>+'Table 8 Membership 2.1.14'!T20</f>
        <v>0</v>
      </c>
      <c r="D24" s="201">
        <f>+'Table 5C1A-Madison Prep'!D24</f>
        <v>6354.5533500475731</v>
      </c>
      <c r="E24" s="202">
        <f t="shared" si="26"/>
        <v>0</v>
      </c>
      <c r="F24" s="202">
        <f>+'Table 5C1A-Madison Prep'!F24</f>
        <v>845.94999999999993</v>
      </c>
      <c r="G24" s="202">
        <f t="shared" si="27"/>
        <v>0</v>
      </c>
      <c r="H24" s="345">
        <f t="shared" si="28"/>
        <v>0</v>
      </c>
      <c r="I24" s="203">
        <f>'[1]Oct midyear Delta'!K21</f>
        <v>0</v>
      </c>
      <c r="J24" s="203">
        <f>'[1]Feb midyear Delta'!K21</f>
        <v>0</v>
      </c>
      <c r="K24" s="204">
        <f t="shared" si="29"/>
        <v>0</v>
      </c>
      <c r="L24" s="345">
        <f t="shared" si="30"/>
        <v>0</v>
      </c>
      <c r="M24" s="286">
        <f t="shared" si="22"/>
        <v>0</v>
      </c>
      <c r="N24" s="345">
        <f t="shared" si="31"/>
        <v>0</v>
      </c>
      <c r="O24" s="201">
        <v>0</v>
      </c>
      <c r="P24" s="351">
        <f t="shared" si="32"/>
        <v>0</v>
      </c>
      <c r="Q24" s="203">
        <f>8*'[2]Table 5C1N-Delta Charter'!S24</f>
        <v>0</v>
      </c>
      <c r="R24" s="203">
        <f t="shared" si="33"/>
        <v>0</v>
      </c>
      <c r="S24" s="351">
        <f t="shared" si="23"/>
        <v>0</v>
      </c>
      <c r="T24" s="351">
        <f t="shared" si="34"/>
        <v>0</v>
      </c>
      <c r="U24" s="287">
        <f>'Table 5C1A-Madison Prep'!U24</f>
        <v>2442</v>
      </c>
      <c r="V24" s="328">
        <f t="shared" si="35"/>
        <v>0</v>
      </c>
      <c r="W24" s="289">
        <f>'[1]Oct midyear Delta'!E21</f>
        <v>0</v>
      </c>
      <c r="X24" s="290">
        <f t="shared" si="36"/>
        <v>0</v>
      </c>
      <c r="Y24" s="289">
        <f>'[1]Feb midyear Delta'!E21</f>
        <v>0</v>
      </c>
      <c r="Z24" s="290">
        <f t="shared" si="37"/>
        <v>0</v>
      </c>
      <c r="AA24" s="288">
        <f t="shared" si="38"/>
        <v>0</v>
      </c>
      <c r="AB24" s="324">
        <f t="shared" si="39"/>
        <v>0</v>
      </c>
      <c r="AC24" s="292">
        <f t="shared" si="40"/>
        <v>0</v>
      </c>
      <c r="AD24" s="324">
        <f t="shared" si="41"/>
        <v>0</v>
      </c>
      <c r="AE24" s="293">
        <v>0</v>
      </c>
      <c r="AF24" s="324">
        <f t="shared" si="42"/>
        <v>0</v>
      </c>
      <c r="AG24" s="293">
        <f>8*'[2]Table 5C1N-Delta Charter'!AI24</f>
        <v>0</v>
      </c>
      <c r="AH24" s="293">
        <f t="shared" si="43"/>
        <v>0</v>
      </c>
      <c r="AI24" s="324">
        <f t="shared" si="24"/>
        <v>0</v>
      </c>
      <c r="AJ24" s="321">
        <f t="shared" si="44"/>
        <v>0</v>
      </c>
      <c r="AK24" s="342">
        <f t="shared" si="45"/>
        <v>0</v>
      </c>
      <c r="AM24" s="286">
        <v>0</v>
      </c>
      <c r="AN24" s="286">
        <f t="shared" si="46"/>
        <v>0</v>
      </c>
      <c r="AO24" s="286">
        <f t="shared" si="25"/>
        <v>0</v>
      </c>
    </row>
    <row r="25" spans="1:41" ht="16.149999999999999" customHeight="1">
      <c r="A25" s="198">
        <v>19</v>
      </c>
      <c r="B25" s="199" t="s">
        <v>91</v>
      </c>
      <c r="C25" s="995">
        <f>+'Table 8 Membership 2.1.14'!T21</f>
        <v>0</v>
      </c>
      <c r="D25" s="201">
        <f>+'Table 5C1A-Madison Prep'!D25</f>
        <v>5314.3921869460446</v>
      </c>
      <c r="E25" s="202">
        <f t="shared" si="26"/>
        <v>0</v>
      </c>
      <c r="F25" s="202">
        <f>+'Table 5C1A-Madison Prep'!F25</f>
        <v>905.43</v>
      </c>
      <c r="G25" s="202">
        <f t="shared" si="27"/>
        <v>0</v>
      </c>
      <c r="H25" s="345">
        <f t="shared" si="28"/>
        <v>0</v>
      </c>
      <c r="I25" s="203">
        <f>'[1]Oct midyear Delta'!K22</f>
        <v>0</v>
      </c>
      <c r="J25" s="203">
        <f>'[1]Feb midyear Delta'!K22</f>
        <v>0</v>
      </c>
      <c r="K25" s="204">
        <f t="shared" si="29"/>
        <v>0</v>
      </c>
      <c r="L25" s="345">
        <f t="shared" si="30"/>
        <v>0</v>
      </c>
      <c r="M25" s="286">
        <f t="shared" si="22"/>
        <v>0</v>
      </c>
      <c r="N25" s="345">
        <f t="shared" si="31"/>
        <v>0</v>
      </c>
      <c r="O25" s="201">
        <v>0</v>
      </c>
      <c r="P25" s="351">
        <f t="shared" si="32"/>
        <v>0</v>
      </c>
      <c r="Q25" s="203">
        <f>8*'[2]Table 5C1N-Delta Charter'!S25</f>
        <v>0</v>
      </c>
      <c r="R25" s="203">
        <f t="shared" si="33"/>
        <v>0</v>
      </c>
      <c r="S25" s="351">
        <f t="shared" si="23"/>
        <v>0</v>
      </c>
      <c r="T25" s="351">
        <f t="shared" si="34"/>
        <v>0</v>
      </c>
      <c r="U25" s="287">
        <f>'Table 5C1A-Madison Prep'!U25</f>
        <v>3051</v>
      </c>
      <c r="V25" s="328">
        <f t="shared" si="35"/>
        <v>0</v>
      </c>
      <c r="W25" s="289">
        <f>'[1]Oct midyear Delta'!E22</f>
        <v>0</v>
      </c>
      <c r="X25" s="290">
        <f t="shared" si="36"/>
        <v>0</v>
      </c>
      <c r="Y25" s="289">
        <f>'[1]Feb midyear Delta'!E22</f>
        <v>0</v>
      </c>
      <c r="Z25" s="290">
        <f t="shared" si="37"/>
        <v>0</v>
      </c>
      <c r="AA25" s="288">
        <f t="shared" si="38"/>
        <v>0</v>
      </c>
      <c r="AB25" s="324">
        <f t="shared" si="39"/>
        <v>0</v>
      </c>
      <c r="AC25" s="292">
        <f t="shared" si="40"/>
        <v>0</v>
      </c>
      <c r="AD25" s="324">
        <f t="shared" si="41"/>
        <v>0</v>
      </c>
      <c r="AE25" s="293">
        <v>0</v>
      </c>
      <c r="AF25" s="324">
        <f t="shared" si="42"/>
        <v>0</v>
      </c>
      <c r="AG25" s="293">
        <f>8*'[2]Table 5C1N-Delta Charter'!AI25</f>
        <v>0</v>
      </c>
      <c r="AH25" s="293">
        <f t="shared" si="43"/>
        <v>0</v>
      </c>
      <c r="AI25" s="324">
        <f t="shared" si="24"/>
        <v>0</v>
      </c>
      <c r="AJ25" s="321">
        <f t="shared" si="44"/>
        <v>0</v>
      </c>
      <c r="AK25" s="342">
        <f t="shared" si="45"/>
        <v>0</v>
      </c>
      <c r="AM25" s="286">
        <v>0</v>
      </c>
      <c r="AN25" s="286">
        <f t="shared" si="46"/>
        <v>0</v>
      </c>
      <c r="AO25" s="286">
        <f t="shared" si="25"/>
        <v>0</v>
      </c>
    </row>
    <row r="26" spans="1:41" ht="16.149999999999999" customHeight="1">
      <c r="A26" s="191">
        <v>20</v>
      </c>
      <c r="B26" s="192" t="s">
        <v>92</v>
      </c>
      <c r="C26" s="996">
        <f>+'Table 8 Membership 2.1.14'!T22</f>
        <v>0</v>
      </c>
      <c r="D26" s="194">
        <f>+'Table 5C1A-Madison Prep'!D26</f>
        <v>5278.5201565562011</v>
      </c>
      <c r="E26" s="195">
        <f t="shared" si="26"/>
        <v>0</v>
      </c>
      <c r="F26" s="195">
        <f>+'Table 5C1A-Madison Prep'!F26</f>
        <v>586.16999999999996</v>
      </c>
      <c r="G26" s="195">
        <f t="shared" si="27"/>
        <v>0</v>
      </c>
      <c r="H26" s="346">
        <f t="shared" si="28"/>
        <v>0</v>
      </c>
      <c r="I26" s="196">
        <f>'[1]Oct midyear Delta'!K23</f>
        <v>0</v>
      </c>
      <c r="J26" s="196">
        <f>'[1]Feb midyear Delta'!K23</f>
        <v>0</v>
      </c>
      <c r="K26" s="197">
        <f t="shared" si="29"/>
        <v>0</v>
      </c>
      <c r="L26" s="346">
        <f t="shared" si="30"/>
        <v>0</v>
      </c>
      <c r="M26" s="296">
        <f t="shared" si="22"/>
        <v>0</v>
      </c>
      <c r="N26" s="346">
        <f t="shared" si="31"/>
        <v>0</v>
      </c>
      <c r="O26" s="194">
        <v>0</v>
      </c>
      <c r="P26" s="352">
        <f t="shared" si="32"/>
        <v>0</v>
      </c>
      <c r="Q26" s="196">
        <f>8*'[2]Table 5C1N-Delta Charter'!S26</f>
        <v>0</v>
      </c>
      <c r="R26" s="196">
        <f t="shared" si="33"/>
        <v>0</v>
      </c>
      <c r="S26" s="352">
        <f t="shared" si="23"/>
        <v>0</v>
      </c>
      <c r="T26" s="352">
        <f t="shared" si="34"/>
        <v>0</v>
      </c>
      <c r="U26" s="281">
        <f>'Table 5C1A-Madison Prep'!U26</f>
        <v>2484</v>
      </c>
      <c r="V26" s="329">
        <f t="shared" si="35"/>
        <v>0</v>
      </c>
      <c r="W26" s="884">
        <f>'[1]Oct midyear Delta'!E23</f>
        <v>0</v>
      </c>
      <c r="X26" s="282">
        <f t="shared" si="36"/>
        <v>0</v>
      </c>
      <c r="Y26" s="884">
        <f>'[1]Feb midyear Delta'!E23</f>
        <v>0</v>
      </c>
      <c r="Z26" s="282">
        <f t="shared" si="37"/>
        <v>0</v>
      </c>
      <c r="AA26" s="283">
        <f t="shared" si="38"/>
        <v>0</v>
      </c>
      <c r="AB26" s="325">
        <f t="shared" si="39"/>
        <v>0</v>
      </c>
      <c r="AC26" s="298">
        <f t="shared" si="40"/>
        <v>0</v>
      </c>
      <c r="AD26" s="325">
        <f t="shared" si="41"/>
        <v>0</v>
      </c>
      <c r="AE26" s="284">
        <v>0</v>
      </c>
      <c r="AF26" s="325">
        <f t="shared" si="42"/>
        <v>0</v>
      </c>
      <c r="AG26" s="284">
        <f>8*'[2]Table 5C1N-Delta Charter'!AI26</f>
        <v>0</v>
      </c>
      <c r="AH26" s="284">
        <f t="shared" si="43"/>
        <v>0</v>
      </c>
      <c r="AI26" s="325">
        <f t="shared" si="24"/>
        <v>0</v>
      </c>
      <c r="AJ26" s="338">
        <f t="shared" si="44"/>
        <v>0</v>
      </c>
      <c r="AK26" s="343">
        <f t="shared" si="45"/>
        <v>0</v>
      </c>
      <c r="AM26" s="296">
        <v>0</v>
      </c>
      <c r="AN26" s="296">
        <f t="shared" si="46"/>
        <v>0</v>
      </c>
      <c r="AO26" s="296">
        <f t="shared" si="25"/>
        <v>0</v>
      </c>
    </row>
    <row r="27" spans="1:41" ht="16.149999999999999" customHeight="1">
      <c r="A27" s="205">
        <v>21</v>
      </c>
      <c r="B27" s="206" t="s">
        <v>93</v>
      </c>
      <c r="C27" s="994">
        <f>+'Table 8 Membership 2.1.14'!T23</f>
        <v>2</v>
      </c>
      <c r="D27" s="208">
        <f>+'Table 5C1A-Madison Prep'!D27</f>
        <v>6082.3042295867763</v>
      </c>
      <c r="E27" s="209">
        <f t="shared" si="26"/>
        <v>12164.608459173553</v>
      </c>
      <c r="F27" s="209">
        <f>+'Table 5C1A-Madison Prep'!F27</f>
        <v>610.35</v>
      </c>
      <c r="G27" s="209">
        <f t="shared" si="27"/>
        <v>1220.7</v>
      </c>
      <c r="H27" s="344">
        <f t="shared" si="28"/>
        <v>13385.308459173553</v>
      </c>
      <c r="I27" s="210">
        <f>'[1]Oct midyear Delta'!K24</f>
        <v>0</v>
      </c>
      <c r="J27" s="210">
        <f>'[1]Feb midyear Delta'!K24</f>
        <v>0</v>
      </c>
      <c r="K27" s="211">
        <f t="shared" si="29"/>
        <v>0</v>
      </c>
      <c r="L27" s="344">
        <f t="shared" si="30"/>
        <v>13385.308459173553</v>
      </c>
      <c r="M27" s="273">
        <f t="shared" si="22"/>
        <v>-33.463271147933881</v>
      </c>
      <c r="N27" s="344">
        <f t="shared" si="31"/>
        <v>13351.84518802562</v>
      </c>
      <c r="O27" s="208">
        <v>0</v>
      </c>
      <c r="P27" s="350">
        <f t="shared" si="32"/>
        <v>13351.84518802562</v>
      </c>
      <c r="Q27" s="210">
        <f>8*'[2]Table 5C1N-Delta Charter'!S27</f>
        <v>8904</v>
      </c>
      <c r="R27" s="210">
        <f t="shared" si="33"/>
        <v>4447.8451880256198</v>
      </c>
      <c r="S27" s="350">
        <f t="shared" si="23"/>
        <v>1112</v>
      </c>
      <c r="T27" s="350">
        <f t="shared" si="34"/>
        <v>13351.84518802562</v>
      </c>
      <c r="U27" s="274">
        <f>'Table 5C1A-Madison Prep'!U27</f>
        <v>2487</v>
      </c>
      <c r="V27" s="327">
        <f t="shared" si="35"/>
        <v>4974</v>
      </c>
      <c r="W27" s="883">
        <f>'[1]Oct midyear Delta'!E24</f>
        <v>0</v>
      </c>
      <c r="X27" s="276">
        <f t="shared" si="36"/>
        <v>0</v>
      </c>
      <c r="Y27" s="883">
        <f>'[1]Feb midyear Delta'!E24</f>
        <v>0</v>
      </c>
      <c r="Z27" s="276">
        <f t="shared" si="37"/>
        <v>0</v>
      </c>
      <c r="AA27" s="275">
        <f t="shared" si="38"/>
        <v>0</v>
      </c>
      <c r="AB27" s="323">
        <f t="shared" si="39"/>
        <v>4974</v>
      </c>
      <c r="AC27" s="278">
        <f t="shared" si="40"/>
        <v>-12.435</v>
      </c>
      <c r="AD27" s="323">
        <f t="shared" si="41"/>
        <v>4961.5649999999996</v>
      </c>
      <c r="AE27" s="279">
        <v>0</v>
      </c>
      <c r="AF27" s="323">
        <f t="shared" si="42"/>
        <v>4961.5649999999996</v>
      </c>
      <c r="AG27" s="279">
        <f>8*'[2]Table 5C1N-Delta Charter'!AI27</f>
        <v>3272</v>
      </c>
      <c r="AH27" s="279">
        <f t="shared" si="43"/>
        <v>1689.5649999999996</v>
      </c>
      <c r="AI27" s="323">
        <f t="shared" si="24"/>
        <v>422</v>
      </c>
      <c r="AJ27" s="337">
        <f t="shared" si="44"/>
        <v>18313.41018802562</v>
      </c>
      <c r="AK27" s="341">
        <f t="shared" si="45"/>
        <v>1534</v>
      </c>
      <c r="AM27" s="273">
        <v>-12.3</v>
      </c>
      <c r="AN27" s="273">
        <f t="shared" si="46"/>
        <v>-12.435</v>
      </c>
      <c r="AO27" s="273">
        <f t="shared" si="25"/>
        <v>-0.13499999999999979</v>
      </c>
    </row>
    <row r="28" spans="1:41" ht="16.149999999999999" customHeight="1">
      <c r="A28" s="198">
        <v>22</v>
      </c>
      <c r="B28" s="199" t="s">
        <v>94</v>
      </c>
      <c r="C28" s="995">
        <f>+'Table 8 Membership 2.1.14'!T24</f>
        <v>0</v>
      </c>
      <c r="D28" s="201">
        <f>+'Table 5C1A-Madison Prep'!D28</f>
        <v>6416.1099808195995</v>
      </c>
      <c r="E28" s="202">
        <f t="shared" si="26"/>
        <v>0</v>
      </c>
      <c r="F28" s="202">
        <f>+'Table 5C1A-Madison Prep'!F28</f>
        <v>496.36</v>
      </c>
      <c r="G28" s="202">
        <f t="shared" si="27"/>
        <v>0</v>
      </c>
      <c r="H28" s="345">
        <f t="shared" si="28"/>
        <v>0</v>
      </c>
      <c r="I28" s="203">
        <f>'[1]Oct midyear Delta'!K25</f>
        <v>0</v>
      </c>
      <c r="J28" s="203">
        <f>'[1]Feb midyear Delta'!K25</f>
        <v>0</v>
      </c>
      <c r="K28" s="204">
        <f t="shared" si="29"/>
        <v>0</v>
      </c>
      <c r="L28" s="345">
        <f t="shared" si="30"/>
        <v>0</v>
      </c>
      <c r="M28" s="286">
        <f t="shared" si="22"/>
        <v>0</v>
      </c>
      <c r="N28" s="345">
        <f t="shared" si="31"/>
        <v>0</v>
      </c>
      <c r="O28" s="201">
        <v>0</v>
      </c>
      <c r="P28" s="351">
        <f t="shared" si="32"/>
        <v>0</v>
      </c>
      <c r="Q28" s="203">
        <f>8*'[2]Table 5C1N-Delta Charter'!S28</f>
        <v>0</v>
      </c>
      <c r="R28" s="203">
        <f t="shared" si="33"/>
        <v>0</v>
      </c>
      <c r="S28" s="351">
        <f t="shared" si="23"/>
        <v>0</v>
      </c>
      <c r="T28" s="351">
        <f t="shared" si="34"/>
        <v>0</v>
      </c>
      <c r="U28" s="287">
        <f>'Table 5C1A-Madison Prep'!U28</f>
        <v>1584</v>
      </c>
      <c r="V28" s="328">
        <f t="shared" si="35"/>
        <v>0</v>
      </c>
      <c r="W28" s="289">
        <f>'[1]Oct midyear Delta'!E25</f>
        <v>0</v>
      </c>
      <c r="X28" s="290">
        <f t="shared" si="36"/>
        <v>0</v>
      </c>
      <c r="Y28" s="289">
        <f>'[1]Feb midyear Delta'!E25</f>
        <v>0</v>
      </c>
      <c r="Z28" s="290">
        <f t="shared" si="37"/>
        <v>0</v>
      </c>
      <c r="AA28" s="288">
        <f t="shared" si="38"/>
        <v>0</v>
      </c>
      <c r="AB28" s="324">
        <f t="shared" si="39"/>
        <v>0</v>
      </c>
      <c r="AC28" s="292">
        <f t="shared" si="40"/>
        <v>0</v>
      </c>
      <c r="AD28" s="324">
        <f t="shared" si="41"/>
        <v>0</v>
      </c>
      <c r="AE28" s="293">
        <v>0</v>
      </c>
      <c r="AF28" s="324">
        <f t="shared" si="42"/>
        <v>0</v>
      </c>
      <c r="AG28" s="293">
        <f>8*'[2]Table 5C1N-Delta Charter'!AI28</f>
        <v>0</v>
      </c>
      <c r="AH28" s="293">
        <f t="shared" si="43"/>
        <v>0</v>
      </c>
      <c r="AI28" s="324">
        <f t="shared" si="24"/>
        <v>0</v>
      </c>
      <c r="AJ28" s="321">
        <f t="shared" si="44"/>
        <v>0</v>
      </c>
      <c r="AK28" s="342">
        <f t="shared" si="45"/>
        <v>0</v>
      </c>
      <c r="AM28" s="286">
        <v>0</v>
      </c>
      <c r="AN28" s="286">
        <f t="shared" si="46"/>
        <v>0</v>
      </c>
      <c r="AO28" s="286">
        <f t="shared" si="25"/>
        <v>0</v>
      </c>
    </row>
    <row r="29" spans="1:41" ht="16.149999999999999" customHeight="1">
      <c r="A29" s="198">
        <v>23</v>
      </c>
      <c r="B29" s="199" t="s">
        <v>95</v>
      </c>
      <c r="C29" s="995">
        <f>+'Table 8 Membership 2.1.14'!T25</f>
        <v>0</v>
      </c>
      <c r="D29" s="201">
        <f>+'Table 5C1A-Madison Prep'!D29</f>
        <v>5011.0215265979159</v>
      </c>
      <c r="E29" s="202">
        <f t="shared" si="26"/>
        <v>0</v>
      </c>
      <c r="F29" s="202">
        <f>+'Table 5C1A-Madison Prep'!F29</f>
        <v>688.58</v>
      </c>
      <c r="G29" s="202">
        <f t="shared" si="27"/>
        <v>0</v>
      </c>
      <c r="H29" s="345">
        <f t="shared" si="28"/>
        <v>0</v>
      </c>
      <c r="I29" s="203">
        <f>'[1]Oct midyear Delta'!K26</f>
        <v>0</v>
      </c>
      <c r="J29" s="203">
        <f>'[1]Feb midyear Delta'!K26</f>
        <v>0</v>
      </c>
      <c r="K29" s="204">
        <f t="shared" si="29"/>
        <v>0</v>
      </c>
      <c r="L29" s="345">
        <f t="shared" si="30"/>
        <v>0</v>
      </c>
      <c r="M29" s="286">
        <f t="shared" si="22"/>
        <v>0</v>
      </c>
      <c r="N29" s="345">
        <f t="shared" si="31"/>
        <v>0</v>
      </c>
      <c r="O29" s="201">
        <v>0</v>
      </c>
      <c r="P29" s="351">
        <f t="shared" si="32"/>
        <v>0</v>
      </c>
      <c r="Q29" s="203">
        <f>8*'[2]Table 5C1N-Delta Charter'!S29</f>
        <v>0</v>
      </c>
      <c r="R29" s="203">
        <f t="shared" si="33"/>
        <v>0</v>
      </c>
      <c r="S29" s="351">
        <f t="shared" si="23"/>
        <v>0</v>
      </c>
      <c r="T29" s="351">
        <f t="shared" si="34"/>
        <v>0</v>
      </c>
      <c r="U29" s="287">
        <f>'Table 5C1A-Madison Prep'!U29</f>
        <v>3500</v>
      </c>
      <c r="V29" s="328">
        <f t="shared" si="35"/>
        <v>0</v>
      </c>
      <c r="W29" s="289">
        <f>'[1]Oct midyear Delta'!E26</f>
        <v>0</v>
      </c>
      <c r="X29" s="290">
        <f t="shared" si="36"/>
        <v>0</v>
      </c>
      <c r="Y29" s="289">
        <f>'[1]Feb midyear Delta'!E26</f>
        <v>0</v>
      </c>
      <c r="Z29" s="290">
        <f t="shared" si="37"/>
        <v>0</v>
      </c>
      <c r="AA29" s="288">
        <f t="shared" si="38"/>
        <v>0</v>
      </c>
      <c r="AB29" s="324">
        <f t="shared" si="39"/>
        <v>0</v>
      </c>
      <c r="AC29" s="292">
        <f t="shared" si="40"/>
        <v>0</v>
      </c>
      <c r="AD29" s="324">
        <f t="shared" si="41"/>
        <v>0</v>
      </c>
      <c r="AE29" s="293">
        <v>0</v>
      </c>
      <c r="AF29" s="324">
        <f t="shared" si="42"/>
        <v>0</v>
      </c>
      <c r="AG29" s="293">
        <f>8*'[2]Table 5C1N-Delta Charter'!AI29</f>
        <v>0</v>
      </c>
      <c r="AH29" s="293">
        <f t="shared" si="43"/>
        <v>0</v>
      </c>
      <c r="AI29" s="324">
        <f t="shared" si="24"/>
        <v>0</v>
      </c>
      <c r="AJ29" s="321">
        <f t="shared" si="44"/>
        <v>0</v>
      </c>
      <c r="AK29" s="342">
        <f t="shared" si="45"/>
        <v>0</v>
      </c>
      <c r="AM29" s="286">
        <v>0</v>
      </c>
      <c r="AN29" s="286">
        <f t="shared" si="46"/>
        <v>0</v>
      </c>
      <c r="AO29" s="286">
        <f t="shared" si="25"/>
        <v>0</v>
      </c>
    </row>
    <row r="30" spans="1:41" ht="16.149999999999999" customHeight="1">
      <c r="A30" s="198">
        <v>24</v>
      </c>
      <c r="B30" s="199" t="s">
        <v>96</v>
      </c>
      <c r="C30" s="995">
        <f>+'Table 8 Membership 2.1.14'!T26</f>
        <v>0</v>
      </c>
      <c r="D30" s="201">
        <f>+'Table 5C1A-Madison Prep'!D30</f>
        <v>2611.6740361576999</v>
      </c>
      <c r="E30" s="202">
        <f t="shared" si="26"/>
        <v>0</v>
      </c>
      <c r="F30" s="202">
        <f>+'Table 5C1A-Madison Prep'!F30</f>
        <v>854.24999999999989</v>
      </c>
      <c r="G30" s="202">
        <f t="shared" si="27"/>
        <v>0</v>
      </c>
      <c r="H30" s="345">
        <f t="shared" si="28"/>
        <v>0</v>
      </c>
      <c r="I30" s="203">
        <f>'[1]Oct midyear Delta'!K27</f>
        <v>0</v>
      </c>
      <c r="J30" s="203">
        <f>'[1]Feb midyear Delta'!K27</f>
        <v>0</v>
      </c>
      <c r="K30" s="204">
        <f t="shared" si="29"/>
        <v>0</v>
      </c>
      <c r="L30" s="345">
        <f t="shared" si="30"/>
        <v>0</v>
      </c>
      <c r="M30" s="286">
        <f t="shared" si="22"/>
        <v>0</v>
      </c>
      <c r="N30" s="345">
        <f t="shared" si="31"/>
        <v>0</v>
      </c>
      <c r="O30" s="201">
        <v>0</v>
      </c>
      <c r="P30" s="351">
        <f t="shared" si="32"/>
        <v>0</v>
      </c>
      <c r="Q30" s="203">
        <f>8*'[2]Table 5C1N-Delta Charter'!S30</f>
        <v>0</v>
      </c>
      <c r="R30" s="203">
        <f t="shared" si="33"/>
        <v>0</v>
      </c>
      <c r="S30" s="351">
        <f t="shared" si="23"/>
        <v>0</v>
      </c>
      <c r="T30" s="351">
        <f t="shared" si="34"/>
        <v>0</v>
      </c>
      <c r="U30" s="287">
        <f>'Table 5C1A-Madison Prep'!U30</f>
        <v>11051</v>
      </c>
      <c r="V30" s="328">
        <f t="shared" si="35"/>
        <v>0</v>
      </c>
      <c r="W30" s="289">
        <f>'[1]Oct midyear Delta'!E27</f>
        <v>0</v>
      </c>
      <c r="X30" s="290">
        <f t="shared" si="36"/>
        <v>0</v>
      </c>
      <c r="Y30" s="289">
        <f>'[1]Feb midyear Delta'!E27</f>
        <v>0</v>
      </c>
      <c r="Z30" s="290">
        <f t="shared" si="37"/>
        <v>0</v>
      </c>
      <c r="AA30" s="288">
        <f t="shared" si="38"/>
        <v>0</v>
      </c>
      <c r="AB30" s="324">
        <f t="shared" si="39"/>
        <v>0</v>
      </c>
      <c r="AC30" s="292">
        <f t="shared" si="40"/>
        <v>0</v>
      </c>
      <c r="AD30" s="324">
        <f t="shared" si="41"/>
        <v>0</v>
      </c>
      <c r="AE30" s="293">
        <v>0</v>
      </c>
      <c r="AF30" s="324">
        <f t="shared" si="42"/>
        <v>0</v>
      </c>
      <c r="AG30" s="293">
        <f>8*'[2]Table 5C1N-Delta Charter'!AI30</f>
        <v>0</v>
      </c>
      <c r="AH30" s="293">
        <f t="shared" si="43"/>
        <v>0</v>
      </c>
      <c r="AI30" s="324">
        <f t="shared" si="24"/>
        <v>0</v>
      </c>
      <c r="AJ30" s="321">
        <f t="shared" si="44"/>
        <v>0</v>
      </c>
      <c r="AK30" s="342">
        <f t="shared" si="45"/>
        <v>0</v>
      </c>
      <c r="AM30" s="286">
        <v>0</v>
      </c>
      <c r="AN30" s="286">
        <f t="shared" si="46"/>
        <v>0</v>
      </c>
      <c r="AO30" s="286">
        <f t="shared" si="25"/>
        <v>0</v>
      </c>
    </row>
    <row r="31" spans="1:41" ht="16.149999999999999" customHeight="1">
      <c r="A31" s="191">
        <v>25</v>
      </c>
      <c r="B31" s="192" t="s">
        <v>97</v>
      </c>
      <c r="C31" s="996">
        <f>+'Table 8 Membership 2.1.14'!T27</f>
        <v>0</v>
      </c>
      <c r="D31" s="194">
        <f>+'Table 5C1A-Madison Prep'!D31</f>
        <v>4173.0720274945697</v>
      </c>
      <c r="E31" s="195">
        <f t="shared" si="26"/>
        <v>0</v>
      </c>
      <c r="F31" s="195">
        <f>+'Table 5C1A-Madison Prep'!F31</f>
        <v>653.73</v>
      </c>
      <c r="G31" s="195">
        <f t="shared" si="27"/>
        <v>0</v>
      </c>
      <c r="H31" s="346">
        <f t="shared" si="28"/>
        <v>0</v>
      </c>
      <c r="I31" s="196">
        <f>'[1]Oct midyear Delta'!K28</f>
        <v>0</v>
      </c>
      <c r="J31" s="196">
        <f>'[1]Feb midyear Delta'!K28</f>
        <v>0</v>
      </c>
      <c r="K31" s="197">
        <f t="shared" si="29"/>
        <v>0</v>
      </c>
      <c r="L31" s="346">
        <f t="shared" si="30"/>
        <v>0</v>
      </c>
      <c r="M31" s="296">
        <f t="shared" si="22"/>
        <v>0</v>
      </c>
      <c r="N31" s="346">
        <f t="shared" si="31"/>
        <v>0</v>
      </c>
      <c r="O31" s="194">
        <v>0</v>
      </c>
      <c r="P31" s="352">
        <f t="shared" si="32"/>
        <v>0</v>
      </c>
      <c r="Q31" s="196">
        <f>8*'[2]Table 5C1N-Delta Charter'!S31</f>
        <v>0</v>
      </c>
      <c r="R31" s="196">
        <f t="shared" si="33"/>
        <v>0</v>
      </c>
      <c r="S31" s="352">
        <f t="shared" si="23"/>
        <v>0</v>
      </c>
      <c r="T31" s="352">
        <f t="shared" si="34"/>
        <v>0</v>
      </c>
      <c r="U31" s="281">
        <f>'Table 5C1A-Madison Prep'!U31</f>
        <v>5156</v>
      </c>
      <c r="V31" s="329">
        <f t="shared" si="35"/>
        <v>0</v>
      </c>
      <c r="W31" s="884">
        <f>'[1]Oct midyear Delta'!E28</f>
        <v>0</v>
      </c>
      <c r="X31" s="282">
        <f t="shared" si="36"/>
        <v>0</v>
      </c>
      <c r="Y31" s="884">
        <f>'[1]Feb midyear Delta'!E28</f>
        <v>0</v>
      </c>
      <c r="Z31" s="282">
        <f t="shared" si="37"/>
        <v>0</v>
      </c>
      <c r="AA31" s="283">
        <f t="shared" si="38"/>
        <v>0</v>
      </c>
      <c r="AB31" s="325">
        <f t="shared" si="39"/>
        <v>0</v>
      </c>
      <c r="AC31" s="298">
        <f t="shared" si="40"/>
        <v>0</v>
      </c>
      <c r="AD31" s="325">
        <f t="shared" si="41"/>
        <v>0</v>
      </c>
      <c r="AE31" s="284">
        <v>0</v>
      </c>
      <c r="AF31" s="325">
        <f t="shared" si="42"/>
        <v>0</v>
      </c>
      <c r="AG31" s="284">
        <f>8*'[2]Table 5C1N-Delta Charter'!AI31</f>
        <v>0</v>
      </c>
      <c r="AH31" s="284">
        <f t="shared" si="43"/>
        <v>0</v>
      </c>
      <c r="AI31" s="325">
        <f t="shared" si="24"/>
        <v>0</v>
      </c>
      <c r="AJ31" s="338">
        <f t="shared" si="44"/>
        <v>0</v>
      </c>
      <c r="AK31" s="343">
        <f t="shared" si="45"/>
        <v>0</v>
      </c>
      <c r="AM31" s="296">
        <v>0</v>
      </c>
      <c r="AN31" s="296">
        <f t="shared" si="46"/>
        <v>0</v>
      </c>
      <c r="AO31" s="296">
        <f t="shared" si="25"/>
        <v>0</v>
      </c>
    </row>
    <row r="32" spans="1:41" ht="16.149999999999999" customHeight="1">
      <c r="A32" s="205">
        <v>26</v>
      </c>
      <c r="B32" s="206" t="s">
        <v>98</v>
      </c>
      <c r="C32" s="994">
        <f>+'Table 8 Membership 2.1.14'!T28</f>
        <v>0</v>
      </c>
      <c r="D32" s="208">
        <f>+'Table 5C1A-Madison Prep'!D32</f>
        <v>3424.5649970570835</v>
      </c>
      <c r="E32" s="209">
        <f t="shared" si="26"/>
        <v>0</v>
      </c>
      <c r="F32" s="209">
        <f>+'Table 5C1A-Madison Prep'!F32</f>
        <v>836.83</v>
      </c>
      <c r="G32" s="209">
        <f t="shared" si="27"/>
        <v>0</v>
      </c>
      <c r="H32" s="344">
        <f t="shared" si="28"/>
        <v>0</v>
      </c>
      <c r="I32" s="210">
        <f>'[1]Oct midyear Delta'!K29</f>
        <v>0</v>
      </c>
      <c r="J32" s="210">
        <f>'[1]Feb midyear Delta'!K29</f>
        <v>0</v>
      </c>
      <c r="K32" s="211">
        <f t="shared" si="29"/>
        <v>0</v>
      </c>
      <c r="L32" s="344">
        <f t="shared" si="30"/>
        <v>0</v>
      </c>
      <c r="M32" s="273">
        <f t="shared" si="22"/>
        <v>0</v>
      </c>
      <c r="N32" s="344">
        <f t="shared" si="31"/>
        <v>0</v>
      </c>
      <c r="O32" s="208">
        <v>0</v>
      </c>
      <c r="P32" s="350">
        <f t="shared" si="32"/>
        <v>0</v>
      </c>
      <c r="Q32" s="210">
        <f>8*'[2]Table 5C1N-Delta Charter'!S32</f>
        <v>0</v>
      </c>
      <c r="R32" s="210">
        <f t="shared" si="33"/>
        <v>0</v>
      </c>
      <c r="S32" s="350">
        <f t="shared" si="23"/>
        <v>0</v>
      </c>
      <c r="T32" s="350">
        <f t="shared" si="34"/>
        <v>0</v>
      </c>
      <c r="U32" s="274">
        <f>'Table 5C1A-Madison Prep'!U32</f>
        <v>5153</v>
      </c>
      <c r="V32" s="327">
        <f t="shared" si="35"/>
        <v>0</v>
      </c>
      <c r="W32" s="883">
        <f>'[1]Oct midyear Delta'!E29</f>
        <v>0</v>
      </c>
      <c r="X32" s="276">
        <f t="shared" si="36"/>
        <v>0</v>
      </c>
      <c r="Y32" s="883">
        <f>'[1]Feb midyear Delta'!E29</f>
        <v>0</v>
      </c>
      <c r="Z32" s="276">
        <f t="shared" si="37"/>
        <v>0</v>
      </c>
      <c r="AA32" s="275">
        <f t="shared" si="38"/>
        <v>0</v>
      </c>
      <c r="AB32" s="323">
        <f t="shared" si="39"/>
        <v>0</v>
      </c>
      <c r="AC32" s="278">
        <f t="shared" si="40"/>
        <v>0</v>
      </c>
      <c r="AD32" s="323">
        <f t="shared" si="41"/>
        <v>0</v>
      </c>
      <c r="AE32" s="279">
        <v>0</v>
      </c>
      <c r="AF32" s="323">
        <f t="shared" si="42"/>
        <v>0</v>
      </c>
      <c r="AG32" s="279">
        <f>8*'[2]Table 5C1N-Delta Charter'!AI32</f>
        <v>0</v>
      </c>
      <c r="AH32" s="279">
        <f t="shared" si="43"/>
        <v>0</v>
      </c>
      <c r="AI32" s="323">
        <f t="shared" si="24"/>
        <v>0</v>
      </c>
      <c r="AJ32" s="337">
        <f t="shared" si="44"/>
        <v>0</v>
      </c>
      <c r="AK32" s="341">
        <f t="shared" si="45"/>
        <v>0</v>
      </c>
      <c r="AM32" s="273">
        <v>0</v>
      </c>
      <c r="AN32" s="273">
        <f t="shared" si="46"/>
        <v>0</v>
      </c>
      <c r="AO32" s="273">
        <f t="shared" si="25"/>
        <v>0</v>
      </c>
    </row>
    <row r="33" spans="1:41" ht="16.149999999999999" customHeight="1">
      <c r="A33" s="198">
        <v>27</v>
      </c>
      <c r="B33" s="199" t="s">
        <v>99</v>
      </c>
      <c r="C33" s="995">
        <f>+'Table 8 Membership 2.1.14'!T29</f>
        <v>0</v>
      </c>
      <c r="D33" s="201">
        <f>+'Table 5C1A-Madison Prep'!D33</f>
        <v>5804.9013839977006</v>
      </c>
      <c r="E33" s="202">
        <f t="shared" si="26"/>
        <v>0</v>
      </c>
      <c r="F33" s="202">
        <f>+'Table 5C1A-Madison Prep'!F33</f>
        <v>693.06</v>
      </c>
      <c r="G33" s="202">
        <f t="shared" si="27"/>
        <v>0</v>
      </c>
      <c r="H33" s="345">
        <f t="shared" si="28"/>
        <v>0</v>
      </c>
      <c r="I33" s="203">
        <f>'[1]Oct midyear Delta'!K30</f>
        <v>0</v>
      </c>
      <c r="J33" s="203">
        <f>'[1]Feb midyear Delta'!K30</f>
        <v>0</v>
      </c>
      <c r="K33" s="204">
        <f t="shared" si="29"/>
        <v>0</v>
      </c>
      <c r="L33" s="345">
        <f t="shared" si="30"/>
        <v>0</v>
      </c>
      <c r="M33" s="286">
        <f t="shared" si="22"/>
        <v>0</v>
      </c>
      <c r="N33" s="345">
        <f t="shared" si="31"/>
        <v>0</v>
      </c>
      <c r="O33" s="201">
        <v>0</v>
      </c>
      <c r="P33" s="351">
        <f t="shared" si="32"/>
        <v>0</v>
      </c>
      <c r="Q33" s="203">
        <f>8*'[2]Table 5C1N-Delta Charter'!S33</f>
        <v>0</v>
      </c>
      <c r="R33" s="203">
        <f t="shared" si="33"/>
        <v>0</v>
      </c>
      <c r="S33" s="351">
        <f t="shared" si="23"/>
        <v>0</v>
      </c>
      <c r="T33" s="351">
        <f t="shared" si="34"/>
        <v>0</v>
      </c>
      <c r="U33" s="287">
        <f>'Table 5C1A-Madison Prep'!U33</f>
        <v>3225</v>
      </c>
      <c r="V33" s="328">
        <f t="shared" si="35"/>
        <v>0</v>
      </c>
      <c r="W33" s="289">
        <f>'[1]Oct midyear Delta'!E30</f>
        <v>0</v>
      </c>
      <c r="X33" s="290">
        <f t="shared" si="36"/>
        <v>0</v>
      </c>
      <c r="Y33" s="289">
        <f>'[1]Feb midyear Delta'!E30</f>
        <v>0</v>
      </c>
      <c r="Z33" s="290">
        <f t="shared" si="37"/>
        <v>0</v>
      </c>
      <c r="AA33" s="288">
        <f t="shared" si="38"/>
        <v>0</v>
      </c>
      <c r="AB33" s="324">
        <f t="shared" si="39"/>
        <v>0</v>
      </c>
      <c r="AC33" s="292">
        <f t="shared" si="40"/>
        <v>0</v>
      </c>
      <c r="AD33" s="324">
        <f t="shared" si="41"/>
        <v>0</v>
      </c>
      <c r="AE33" s="293">
        <v>0</v>
      </c>
      <c r="AF33" s="324">
        <f t="shared" si="42"/>
        <v>0</v>
      </c>
      <c r="AG33" s="293">
        <f>8*'[2]Table 5C1N-Delta Charter'!AI33</f>
        <v>0</v>
      </c>
      <c r="AH33" s="293">
        <f t="shared" si="43"/>
        <v>0</v>
      </c>
      <c r="AI33" s="324">
        <f t="shared" si="24"/>
        <v>0</v>
      </c>
      <c r="AJ33" s="321">
        <f t="shared" si="44"/>
        <v>0</v>
      </c>
      <c r="AK33" s="342">
        <f t="shared" si="45"/>
        <v>0</v>
      </c>
      <c r="AM33" s="286">
        <v>0</v>
      </c>
      <c r="AN33" s="286">
        <f t="shared" si="46"/>
        <v>0</v>
      </c>
      <c r="AO33" s="286">
        <f t="shared" si="25"/>
        <v>0</v>
      </c>
    </row>
    <row r="34" spans="1:41" ht="16.149999999999999" customHeight="1">
      <c r="A34" s="198">
        <v>28</v>
      </c>
      <c r="B34" s="199" t="s">
        <v>100</v>
      </c>
      <c r="C34" s="995">
        <f>+'Table 8 Membership 2.1.14'!T30</f>
        <v>0</v>
      </c>
      <c r="D34" s="201">
        <f>+'Table 5C1A-Madison Prep'!D34</f>
        <v>3137.4158846568821</v>
      </c>
      <c r="E34" s="202">
        <f t="shared" si="26"/>
        <v>0</v>
      </c>
      <c r="F34" s="202">
        <f>+'Table 5C1A-Madison Prep'!F34</f>
        <v>694.4</v>
      </c>
      <c r="G34" s="202">
        <f t="shared" si="27"/>
        <v>0</v>
      </c>
      <c r="H34" s="345">
        <f t="shared" si="28"/>
        <v>0</v>
      </c>
      <c r="I34" s="203">
        <f>'[1]Oct midyear Delta'!K31</f>
        <v>0</v>
      </c>
      <c r="J34" s="203">
        <f>'[1]Feb midyear Delta'!K31</f>
        <v>0</v>
      </c>
      <c r="K34" s="204">
        <f t="shared" si="29"/>
        <v>0</v>
      </c>
      <c r="L34" s="345">
        <f t="shared" si="30"/>
        <v>0</v>
      </c>
      <c r="M34" s="286">
        <f t="shared" si="22"/>
        <v>0</v>
      </c>
      <c r="N34" s="345">
        <f t="shared" si="31"/>
        <v>0</v>
      </c>
      <c r="O34" s="201">
        <v>0</v>
      </c>
      <c r="P34" s="351">
        <f t="shared" si="32"/>
        <v>0</v>
      </c>
      <c r="Q34" s="203">
        <f>8*'[2]Table 5C1N-Delta Charter'!S34</f>
        <v>0</v>
      </c>
      <c r="R34" s="203">
        <f t="shared" si="33"/>
        <v>0</v>
      </c>
      <c r="S34" s="351">
        <f t="shared" si="23"/>
        <v>0</v>
      </c>
      <c r="T34" s="351">
        <f t="shared" si="34"/>
        <v>0</v>
      </c>
      <c r="U34" s="287">
        <f>'Table 5C1A-Madison Prep'!U34</f>
        <v>5816</v>
      </c>
      <c r="V34" s="328">
        <f t="shared" si="35"/>
        <v>0</v>
      </c>
      <c r="W34" s="289">
        <f>'[1]Oct midyear Delta'!E31</f>
        <v>0</v>
      </c>
      <c r="X34" s="290">
        <f t="shared" si="36"/>
        <v>0</v>
      </c>
      <c r="Y34" s="289">
        <f>'[1]Feb midyear Delta'!E31</f>
        <v>0</v>
      </c>
      <c r="Z34" s="290">
        <f t="shared" si="37"/>
        <v>0</v>
      </c>
      <c r="AA34" s="288">
        <f t="shared" si="38"/>
        <v>0</v>
      </c>
      <c r="AB34" s="324">
        <f t="shared" si="39"/>
        <v>0</v>
      </c>
      <c r="AC34" s="292">
        <f t="shared" si="40"/>
        <v>0</v>
      </c>
      <c r="AD34" s="324">
        <f t="shared" si="41"/>
        <v>0</v>
      </c>
      <c r="AE34" s="293">
        <v>0</v>
      </c>
      <c r="AF34" s="324">
        <f t="shared" si="42"/>
        <v>0</v>
      </c>
      <c r="AG34" s="293">
        <f>8*'[2]Table 5C1N-Delta Charter'!AI34</f>
        <v>0</v>
      </c>
      <c r="AH34" s="293">
        <f t="shared" si="43"/>
        <v>0</v>
      </c>
      <c r="AI34" s="324">
        <f t="shared" si="24"/>
        <v>0</v>
      </c>
      <c r="AJ34" s="321">
        <f t="shared" si="44"/>
        <v>0</v>
      </c>
      <c r="AK34" s="342">
        <f t="shared" si="45"/>
        <v>0</v>
      </c>
      <c r="AM34" s="286">
        <v>0</v>
      </c>
      <c r="AN34" s="286">
        <f t="shared" si="46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f>+'Table 8 Membership 2.1.14'!T31</f>
        <v>0</v>
      </c>
      <c r="D35" s="201">
        <f>+'Table 5C1A-Madison Prep'!D35</f>
        <v>3839.0123210173724</v>
      </c>
      <c r="E35" s="202">
        <f t="shared" si="26"/>
        <v>0</v>
      </c>
      <c r="F35" s="202">
        <f>+'Table 5C1A-Madison Prep'!F35</f>
        <v>754.94999999999993</v>
      </c>
      <c r="G35" s="202">
        <f t="shared" si="27"/>
        <v>0</v>
      </c>
      <c r="H35" s="345">
        <f t="shared" si="28"/>
        <v>0</v>
      </c>
      <c r="I35" s="203">
        <f>'[1]Oct midyear Delta'!K32</f>
        <v>0</v>
      </c>
      <c r="J35" s="203">
        <f>'[1]Feb midyear Delta'!K32</f>
        <v>0</v>
      </c>
      <c r="K35" s="204">
        <f t="shared" si="29"/>
        <v>0</v>
      </c>
      <c r="L35" s="345">
        <f t="shared" si="30"/>
        <v>0</v>
      </c>
      <c r="M35" s="286">
        <f t="shared" si="22"/>
        <v>0</v>
      </c>
      <c r="N35" s="345">
        <f t="shared" si="31"/>
        <v>0</v>
      </c>
      <c r="O35" s="201">
        <v>0</v>
      </c>
      <c r="P35" s="351">
        <f t="shared" si="32"/>
        <v>0</v>
      </c>
      <c r="Q35" s="203">
        <f>8*'[2]Table 5C1N-Delta Charter'!S35</f>
        <v>0</v>
      </c>
      <c r="R35" s="203">
        <f t="shared" si="33"/>
        <v>0</v>
      </c>
      <c r="S35" s="351">
        <f t="shared" si="23"/>
        <v>0</v>
      </c>
      <c r="T35" s="351">
        <f t="shared" si="34"/>
        <v>0</v>
      </c>
      <c r="U35" s="287">
        <f>'Table 5C1A-Madison Prep'!U35</f>
        <v>5046</v>
      </c>
      <c r="V35" s="328">
        <f t="shared" si="35"/>
        <v>0</v>
      </c>
      <c r="W35" s="289">
        <f>'[1]Oct midyear Delta'!E32</f>
        <v>0</v>
      </c>
      <c r="X35" s="290">
        <f t="shared" si="36"/>
        <v>0</v>
      </c>
      <c r="Y35" s="289">
        <f>'[1]Feb midyear Delta'!E32</f>
        <v>0</v>
      </c>
      <c r="Z35" s="290">
        <f t="shared" si="37"/>
        <v>0</v>
      </c>
      <c r="AA35" s="288">
        <f t="shared" si="38"/>
        <v>0</v>
      </c>
      <c r="AB35" s="324">
        <f t="shared" si="39"/>
        <v>0</v>
      </c>
      <c r="AC35" s="292">
        <f t="shared" si="40"/>
        <v>0</v>
      </c>
      <c r="AD35" s="324">
        <f t="shared" si="41"/>
        <v>0</v>
      </c>
      <c r="AE35" s="293">
        <v>0</v>
      </c>
      <c r="AF35" s="324">
        <f t="shared" si="42"/>
        <v>0</v>
      </c>
      <c r="AG35" s="293">
        <f>8*'[2]Table 5C1N-Delta Charter'!AI35</f>
        <v>0</v>
      </c>
      <c r="AH35" s="293">
        <f t="shared" si="43"/>
        <v>0</v>
      </c>
      <c r="AI35" s="324">
        <f t="shared" si="24"/>
        <v>0</v>
      </c>
      <c r="AJ35" s="321">
        <f t="shared" si="44"/>
        <v>0</v>
      </c>
      <c r="AK35" s="342">
        <f t="shared" si="45"/>
        <v>0</v>
      </c>
      <c r="AM35" s="286">
        <v>0</v>
      </c>
      <c r="AN35" s="286">
        <f t="shared" si="46"/>
        <v>0</v>
      </c>
      <c r="AO35" s="286">
        <f t="shared" ref="AO35:AO75" si="47">+AN35-AM35</f>
        <v>0</v>
      </c>
    </row>
    <row r="36" spans="1:41" ht="16.149999999999999" customHeight="1">
      <c r="A36" s="191">
        <v>30</v>
      </c>
      <c r="B36" s="192" t="s">
        <v>102</v>
      </c>
      <c r="C36" s="996">
        <f>+'Table 8 Membership 2.1.14'!T32</f>
        <v>0</v>
      </c>
      <c r="D36" s="194">
        <f>+'Table 5C1A-Madison Prep'!D36</f>
        <v>5804.5327273996763</v>
      </c>
      <c r="E36" s="195">
        <f t="shared" si="26"/>
        <v>0</v>
      </c>
      <c r="F36" s="195">
        <f>+'Table 5C1A-Madison Prep'!F36</f>
        <v>727.17</v>
      </c>
      <c r="G36" s="195">
        <f t="shared" si="27"/>
        <v>0</v>
      </c>
      <c r="H36" s="346">
        <f t="shared" si="28"/>
        <v>0</v>
      </c>
      <c r="I36" s="196">
        <f>'[1]Oct midyear Delta'!K33</f>
        <v>0</v>
      </c>
      <c r="J36" s="196">
        <f>'[1]Feb midyear Delta'!K33</f>
        <v>0</v>
      </c>
      <c r="K36" s="197">
        <f t="shared" si="29"/>
        <v>0</v>
      </c>
      <c r="L36" s="346">
        <f t="shared" si="30"/>
        <v>0</v>
      </c>
      <c r="M36" s="296">
        <f t="shared" si="22"/>
        <v>0</v>
      </c>
      <c r="N36" s="346">
        <f t="shared" si="31"/>
        <v>0</v>
      </c>
      <c r="O36" s="194">
        <v>0</v>
      </c>
      <c r="P36" s="352">
        <f t="shared" si="32"/>
        <v>0</v>
      </c>
      <c r="Q36" s="196">
        <f>8*'[2]Table 5C1N-Delta Charter'!S36</f>
        <v>0</v>
      </c>
      <c r="R36" s="196">
        <f t="shared" si="33"/>
        <v>0</v>
      </c>
      <c r="S36" s="352">
        <f t="shared" si="23"/>
        <v>0</v>
      </c>
      <c r="T36" s="352">
        <f t="shared" si="34"/>
        <v>0</v>
      </c>
      <c r="U36" s="281">
        <f>'Table 5C1A-Madison Prep'!U36</f>
        <v>3999</v>
      </c>
      <c r="V36" s="329">
        <f t="shared" si="35"/>
        <v>0</v>
      </c>
      <c r="W36" s="884">
        <f>'[1]Oct midyear Delta'!E33</f>
        <v>0</v>
      </c>
      <c r="X36" s="282">
        <f t="shared" si="36"/>
        <v>0</v>
      </c>
      <c r="Y36" s="884">
        <f>'[1]Feb midyear Delta'!E33</f>
        <v>0</v>
      </c>
      <c r="Z36" s="282">
        <f t="shared" si="37"/>
        <v>0</v>
      </c>
      <c r="AA36" s="283">
        <f t="shared" si="38"/>
        <v>0</v>
      </c>
      <c r="AB36" s="325">
        <f t="shared" si="39"/>
        <v>0</v>
      </c>
      <c r="AC36" s="298">
        <f t="shared" si="40"/>
        <v>0</v>
      </c>
      <c r="AD36" s="325">
        <f t="shared" si="41"/>
        <v>0</v>
      </c>
      <c r="AE36" s="284">
        <v>0</v>
      </c>
      <c r="AF36" s="325">
        <f t="shared" si="42"/>
        <v>0</v>
      </c>
      <c r="AG36" s="284">
        <f>8*'[2]Table 5C1N-Delta Charter'!AI36</f>
        <v>0</v>
      </c>
      <c r="AH36" s="284">
        <f t="shared" si="43"/>
        <v>0</v>
      </c>
      <c r="AI36" s="325">
        <f t="shared" si="24"/>
        <v>0</v>
      </c>
      <c r="AJ36" s="338">
        <f t="shared" si="44"/>
        <v>0</v>
      </c>
      <c r="AK36" s="343">
        <f t="shared" si="45"/>
        <v>0</v>
      </c>
      <c r="AM36" s="296">
        <v>0</v>
      </c>
      <c r="AN36" s="296">
        <f t="shared" si="46"/>
        <v>0</v>
      </c>
      <c r="AO36" s="296">
        <f t="shared" si="47"/>
        <v>0</v>
      </c>
    </row>
    <row r="37" spans="1:41" ht="16.149999999999999" customHeight="1">
      <c r="A37" s="205">
        <v>31</v>
      </c>
      <c r="B37" s="206" t="s">
        <v>103</v>
      </c>
      <c r="C37" s="994">
        <f>+'Table 8 Membership 2.1.14'!T33</f>
        <v>0</v>
      </c>
      <c r="D37" s="208">
        <f>+'Table 5C1A-Madison Prep'!D37</f>
        <v>4520.6176716868531</v>
      </c>
      <c r="E37" s="209">
        <f t="shared" si="26"/>
        <v>0</v>
      </c>
      <c r="F37" s="209">
        <f>+'Table 5C1A-Madison Prep'!F37</f>
        <v>620.83000000000004</v>
      </c>
      <c r="G37" s="209">
        <f t="shared" si="27"/>
        <v>0</v>
      </c>
      <c r="H37" s="344">
        <f t="shared" si="28"/>
        <v>0</v>
      </c>
      <c r="I37" s="210">
        <f>'[1]Oct midyear Delta'!K34</f>
        <v>0</v>
      </c>
      <c r="J37" s="210">
        <f>'[1]Feb midyear Delta'!K34</f>
        <v>0</v>
      </c>
      <c r="K37" s="211">
        <f t="shared" si="29"/>
        <v>0</v>
      </c>
      <c r="L37" s="344">
        <f t="shared" si="30"/>
        <v>0</v>
      </c>
      <c r="M37" s="273">
        <f t="shared" si="22"/>
        <v>0</v>
      </c>
      <c r="N37" s="344">
        <f t="shared" si="31"/>
        <v>0</v>
      </c>
      <c r="O37" s="208">
        <v>0</v>
      </c>
      <c r="P37" s="350">
        <f t="shared" si="32"/>
        <v>0</v>
      </c>
      <c r="Q37" s="210">
        <f>8*'[2]Table 5C1N-Delta Charter'!S37</f>
        <v>0</v>
      </c>
      <c r="R37" s="210">
        <f t="shared" si="33"/>
        <v>0</v>
      </c>
      <c r="S37" s="350">
        <f t="shared" si="23"/>
        <v>0</v>
      </c>
      <c r="T37" s="350">
        <f t="shared" si="34"/>
        <v>0</v>
      </c>
      <c r="U37" s="274">
        <f>'Table 5C1A-Madison Prep'!U37</f>
        <v>5028</v>
      </c>
      <c r="V37" s="327">
        <f t="shared" si="35"/>
        <v>0</v>
      </c>
      <c r="W37" s="883">
        <f>'[1]Oct midyear Delta'!E34</f>
        <v>0</v>
      </c>
      <c r="X37" s="276">
        <f t="shared" si="36"/>
        <v>0</v>
      </c>
      <c r="Y37" s="883">
        <f>'[1]Feb midyear Delta'!E34</f>
        <v>0</v>
      </c>
      <c r="Z37" s="276">
        <f t="shared" si="37"/>
        <v>0</v>
      </c>
      <c r="AA37" s="275">
        <f t="shared" si="38"/>
        <v>0</v>
      </c>
      <c r="AB37" s="323">
        <f t="shared" si="39"/>
        <v>0</v>
      </c>
      <c r="AC37" s="278">
        <f t="shared" si="40"/>
        <v>0</v>
      </c>
      <c r="AD37" s="323">
        <f t="shared" si="41"/>
        <v>0</v>
      </c>
      <c r="AE37" s="279">
        <v>0</v>
      </c>
      <c r="AF37" s="323">
        <f t="shared" si="42"/>
        <v>0</v>
      </c>
      <c r="AG37" s="279">
        <f>8*'[2]Table 5C1N-Delta Charter'!AI37</f>
        <v>0</v>
      </c>
      <c r="AH37" s="279">
        <f t="shared" si="43"/>
        <v>0</v>
      </c>
      <c r="AI37" s="323">
        <f t="shared" si="24"/>
        <v>0</v>
      </c>
      <c r="AJ37" s="337">
        <f t="shared" si="44"/>
        <v>0</v>
      </c>
      <c r="AK37" s="341">
        <f t="shared" si="45"/>
        <v>0</v>
      </c>
      <c r="AM37" s="273">
        <v>0</v>
      </c>
      <c r="AN37" s="273">
        <f t="shared" si="46"/>
        <v>0</v>
      </c>
      <c r="AO37" s="273">
        <f t="shared" si="47"/>
        <v>0</v>
      </c>
    </row>
    <row r="38" spans="1:41" ht="16.149999999999999" customHeight="1">
      <c r="A38" s="198">
        <v>32</v>
      </c>
      <c r="B38" s="199" t="s">
        <v>104</v>
      </c>
      <c r="C38" s="995">
        <f>+'Table 8 Membership 2.1.14'!T34</f>
        <v>0</v>
      </c>
      <c r="D38" s="201">
        <f>+'Table 5C1A-Madison Prep'!D38</f>
        <v>5652.819189061127</v>
      </c>
      <c r="E38" s="202">
        <f t="shared" si="26"/>
        <v>0</v>
      </c>
      <c r="F38" s="202">
        <f>+'Table 5C1A-Madison Prep'!F38</f>
        <v>559.77</v>
      </c>
      <c r="G38" s="202">
        <f t="shared" si="27"/>
        <v>0</v>
      </c>
      <c r="H38" s="345">
        <f t="shared" si="28"/>
        <v>0</v>
      </c>
      <c r="I38" s="203">
        <f>'[1]Oct midyear Delta'!K35</f>
        <v>0</v>
      </c>
      <c r="J38" s="203">
        <f>'[1]Feb midyear Delta'!K35</f>
        <v>0</v>
      </c>
      <c r="K38" s="204">
        <f t="shared" si="29"/>
        <v>0</v>
      </c>
      <c r="L38" s="345">
        <f t="shared" si="30"/>
        <v>0</v>
      </c>
      <c r="M38" s="286">
        <f t="shared" si="22"/>
        <v>0</v>
      </c>
      <c r="N38" s="345">
        <f t="shared" si="31"/>
        <v>0</v>
      </c>
      <c r="O38" s="201">
        <v>0</v>
      </c>
      <c r="P38" s="351">
        <f t="shared" si="32"/>
        <v>0</v>
      </c>
      <c r="Q38" s="203">
        <f>8*'[2]Table 5C1N-Delta Charter'!S38</f>
        <v>0</v>
      </c>
      <c r="R38" s="203">
        <f t="shared" si="33"/>
        <v>0</v>
      </c>
      <c r="S38" s="351">
        <f t="shared" si="23"/>
        <v>0</v>
      </c>
      <c r="T38" s="351">
        <f t="shared" si="34"/>
        <v>0</v>
      </c>
      <c r="U38" s="287">
        <f>'Table 5C1A-Madison Prep'!U38</f>
        <v>2139</v>
      </c>
      <c r="V38" s="328">
        <f t="shared" si="35"/>
        <v>0</v>
      </c>
      <c r="W38" s="289">
        <f>'[1]Oct midyear Delta'!E35</f>
        <v>0</v>
      </c>
      <c r="X38" s="290">
        <f t="shared" si="36"/>
        <v>0</v>
      </c>
      <c r="Y38" s="289">
        <f>'[1]Feb midyear Delta'!E35</f>
        <v>0</v>
      </c>
      <c r="Z38" s="290">
        <f t="shared" si="37"/>
        <v>0</v>
      </c>
      <c r="AA38" s="288">
        <f t="shared" si="38"/>
        <v>0</v>
      </c>
      <c r="AB38" s="324">
        <f t="shared" si="39"/>
        <v>0</v>
      </c>
      <c r="AC38" s="292">
        <f t="shared" si="40"/>
        <v>0</v>
      </c>
      <c r="AD38" s="324">
        <f t="shared" si="41"/>
        <v>0</v>
      </c>
      <c r="AE38" s="293">
        <v>0</v>
      </c>
      <c r="AF38" s="324">
        <f t="shared" si="42"/>
        <v>0</v>
      </c>
      <c r="AG38" s="293">
        <f>8*'[2]Table 5C1N-Delta Charter'!AI38</f>
        <v>0</v>
      </c>
      <c r="AH38" s="293">
        <f t="shared" si="43"/>
        <v>0</v>
      </c>
      <c r="AI38" s="324">
        <f t="shared" si="24"/>
        <v>0</v>
      </c>
      <c r="AJ38" s="321">
        <f t="shared" si="44"/>
        <v>0</v>
      </c>
      <c r="AK38" s="342">
        <f t="shared" si="45"/>
        <v>0</v>
      </c>
      <c r="AM38" s="286">
        <v>0</v>
      </c>
      <c r="AN38" s="286">
        <f t="shared" si="46"/>
        <v>0</v>
      </c>
      <c r="AO38" s="286">
        <f t="shared" si="47"/>
        <v>0</v>
      </c>
    </row>
    <row r="39" spans="1:41" ht="16.149999999999999" customHeight="1">
      <c r="A39" s="198">
        <v>33</v>
      </c>
      <c r="B39" s="199" t="s">
        <v>105</v>
      </c>
      <c r="C39" s="995">
        <f>+'Table 8 Membership 2.1.14'!T35</f>
        <v>0</v>
      </c>
      <c r="D39" s="201">
        <f>+'Table 5C1A-Madison Prep'!D39</f>
        <v>5456.2254558085233</v>
      </c>
      <c r="E39" s="202">
        <f t="shared" si="26"/>
        <v>0</v>
      </c>
      <c r="F39" s="202">
        <f>+'Table 5C1A-Madison Prep'!F39</f>
        <v>655.31000000000006</v>
      </c>
      <c r="G39" s="202">
        <f t="shared" si="27"/>
        <v>0</v>
      </c>
      <c r="H39" s="345">
        <f t="shared" si="28"/>
        <v>0</v>
      </c>
      <c r="I39" s="203">
        <f>'[1]Oct midyear Delta'!K36</f>
        <v>0</v>
      </c>
      <c r="J39" s="203">
        <f>'[1]Feb midyear Delta'!K36</f>
        <v>0</v>
      </c>
      <c r="K39" s="204">
        <f t="shared" si="29"/>
        <v>0</v>
      </c>
      <c r="L39" s="345">
        <f t="shared" si="30"/>
        <v>0</v>
      </c>
      <c r="M39" s="286">
        <f t="shared" si="22"/>
        <v>0</v>
      </c>
      <c r="N39" s="345">
        <f t="shared" si="31"/>
        <v>0</v>
      </c>
      <c r="O39" s="201">
        <v>0</v>
      </c>
      <c r="P39" s="351">
        <f t="shared" si="32"/>
        <v>0</v>
      </c>
      <c r="Q39" s="203">
        <f>8*'[2]Table 5C1N-Delta Charter'!S39</f>
        <v>0</v>
      </c>
      <c r="R39" s="203">
        <f t="shared" si="33"/>
        <v>0</v>
      </c>
      <c r="S39" s="351">
        <f t="shared" ref="S39:S70" si="48">ROUND(R39/$S$88,0)</f>
        <v>0</v>
      </c>
      <c r="T39" s="351">
        <f t="shared" si="34"/>
        <v>0</v>
      </c>
      <c r="U39" s="287">
        <f>'Table 5C1A-Madison Prep'!U39</f>
        <v>3784</v>
      </c>
      <c r="V39" s="328">
        <f t="shared" si="35"/>
        <v>0</v>
      </c>
      <c r="W39" s="289">
        <f>'[1]Oct midyear Delta'!E36</f>
        <v>0</v>
      </c>
      <c r="X39" s="290">
        <f t="shared" si="36"/>
        <v>0</v>
      </c>
      <c r="Y39" s="289">
        <f>'[1]Feb midyear Delta'!E36</f>
        <v>0</v>
      </c>
      <c r="Z39" s="290">
        <f t="shared" si="37"/>
        <v>0</v>
      </c>
      <c r="AA39" s="288">
        <f t="shared" si="38"/>
        <v>0</v>
      </c>
      <c r="AB39" s="324">
        <f t="shared" si="39"/>
        <v>0</v>
      </c>
      <c r="AC39" s="292">
        <f t="shared" si="40"/>
        <v>0</v>
      </c>
      <c r="AD39" s="324">
        <f t="shared" si="41"/>
        <v>0</v>
      </c>
      <c r="AE39" s="293">
        <v>0</v>
      </c>
      <c r="AF39" s="324">
        <f t="shared" si="42"/>
        <v>0</v>
      </c>
      <c r="AG39" s="293">
        <f>8*'[2]Table 5C1N-Delta Charter'!AI39</f>
        <v>0</v>
      </c>
      <c r="AH39" s="293">
        <f t="shared" si="43"/>
        <v>0</v>
      </c>
      <c r="AI39" s="324">
        <f t="shared" ref="AI39:AI70" si="49">ROUND(AH39/$AI$88,0)</f>
        <v>0</v>
      </c>
      <c r="AJ39" s="321">
        <f t="shared" si="44"/>
        <v>0</v>
      </c>
      <c r="AK39" s="342">
        <f t="shared" si="45"/>
        <v>0</v>
      </c>
      <c r="AM39" s="286">
        <v>0</v>
      </c>
      <c r="AN39" s="286">
        <f t="shared" si="46"/>
        <v>0</v>
      </c>
      <c r="AO39" s="286">
        <f t="shared" si="47"/>
        <v>0</v>
      </c>
    </row>
    <row r="40" spans="1:41" ht="16.149999999999999" customHeight="1">
      <c r="A40" s="198">
        <v>34</v>
      </c>
      <c r="B40" s="199" t="s">
        <v>106</v>
      </c>
      <c r="C40" s="995">
        <f>+'Table 8 Membership 2.1.14'!T36</f>
        <v>0</v>
      </c>
      <c r="D40" s="201">
        <f>+'Table 5C1A-Madison Prep'!D40</f>
        <v>6292.0976842789005</v>
      </c>
      <c r="E40" s="202">
        <f t="shared" si="26"/>
        <v>0</v>
      </c>
      <c r="F40" s="202">
        <f>+'Table 5C1A-Madison Prep'!F40</f>
        <v>644.11000000000013</v>
      </c>
      <c r="G40" s="202">
        <f t="shared" si="27"/>
        <v>0</v>
      </c>
      <c r="H40" s="345">
        <f t="shared" si="28"/>
        <v>0</v>
      </c>
      <c r="I40" s="203">
        <f>'[1]Oct midyear Delta'!K37</f>
        <v>0</v>
      </c>
      <c r="J40" s="203">
        <f>'[1]Feb midyear Delta'!K37</f>
        <v>0</v>
      </c>
      <c r="K40" s="204">
        <f t="shared" si="29"/>
        <v>0</v>
      </c>
      <c r="L40" s="345">
        <f t="shared" si="30"/>
        <v>0</v>
      </c>
      <c r="M40" s="286">
        <f t="shared" si="22"/>
        <v>0</v>
      </c>
      <c r="N40" s="345">
        <f t="shared" si="31"/>
        <v>0</v>
      </c>
      <c r="O40" s="201">
        <v>0</v>
      </c>
      <c r="P40" s="351">
        <f t="shared" si="32"/>
        <v>0</v>
      </c>
      <c r="Q40" s="203">
        <f>8*'[2]Table 5C1N-Delta Charter'!S40</f>
        <v>0</v>
      </c>
      <c r="R40" s="203">
        <f t="shared" si="33"/>
        <v>0</v>
      </c>
      <c r="S40" s="351">
        <f t="shared" si="48"/>
        <v>0</v>
      </c>
      <c r="T40" s="351">
        <f t="shared" si="34"/>
        <v>0</v>
      </c>
      <c r="U40" s="287">
        <f>'Table 5C1A-Madison Prep'!U40</f>
        <v>2911</v>
      </c>
      <c r="V40" s="328">
        <f t="shared" si="35"/>
        <v>0</v>
      </c>
      <c r="W40" s="289">
        <f>'[1]Oct midyear Delta'!E37</f>
        <v>0</v>
      </c>
      <c r="X40" s="290">
        <f t="shared" si="36"/>
        <v>0</v>
      </c>
      <c r="Y40" s="289">
        <f>'[1]Feb midyear Delta'!E37</f>
        <v>0</v>
      </c>
      <c r="Z40" s="290">
        <f t="shared" si="37"/>
        <v>0</v>
      </c>
      <c r="AA40" s="288">
        <f t="shared" si="38"/>
        <v>0</v>
      </c>
      <c r="AB40" s="324">
        <f t="shared" si="39"/>
        <v>0</v>
      </c>
      <c r="AC40" s="292">
        <f t="shared" si="40"/>
        <v>0</v>
      </c>
      <c r="AD40" s="324">
        <f t="shared" si="41"/>
        <v>0</v>
      </c>
      <c r="AE40" s="293">
        <v>0</v>
      </c>
      <c r="AF40" s="324">
        <f t="shared" si="42"/>
        <v>0</v>
      </c>
      <c r="AG40" s="293">
        <f>8*'[2]Table 5C1N-Delta Charter'!AI40</f>
        <v>0</v>
      </c>
      <c r="AH40" s="293">
        <f t="shared" si="43"/>
        <v>0</v>
      </c>
      <c r="AI40" s="324">
        <f t="shared" si="49"/>
        <v>0</v>
      </c>
      <c r="AJ40" s="321">
        <f t="shared" si="44"/>
        <v>0</v>
      </c>
      <c r="AK40" s="342">
        <f t="shared" si="45"/>
        <v>0</v>
      </c>
      <c r="AM40" s="286">
        <v>0</v>
      </c>
      <c r="AN40" s="286">
        <f t="shared" si="46"/>
        <v>0</v>
      </c>
      <c r="AO40" s="286">
        <f t="shared" si="47"/>
        <v>0</v>
      </c>
    </row>
    <row r="41" spans="1:41" ht="16.149999999999999" customHeight="1">
      <c r="A41" s="191">
        <v>35</v>
      </c>
      <c r="B41" s="192" t="s">
        <v>107</v>
      </c>
      <c r="C41" s="996">
        <f>+'Table 8 Membership 2.1.14'!T37</f>
        <v>1</v>
      </c>
      <c r="D41" s="194">
        <f>+'Table 5C1A-Madison Prep'!D41</f>
        <v>5166.2482060477605</v>
      </c>
      <c r="E41" s="195">
        <f t="shared" si="26"/>
        <v>5166.2482060477605</v>
      </c>
      <c r="F41" s="195">
        <f>+'Table 5C1A-Madison Prep'!F41</f>
        <v>537.96</v>
      </c>
      <c r="G41" s="195">
        <f t="shared" si="27"/>
        <v>537.96</v>
      </c>
      <c r="H41" s="346">
        <f t="shared" si="28"/>
        <v>5704.2082060477605</v>
      </c>
      <c r="I41" s="196">
        <f>'[1]Oct midyear Delta'!K38</f>
        <v>0</v>
      </c>
      <c r="J41" s="196">
        <f>'[1]Feb midyear Delta'!K38</f>
        <v>0</v>
      </c>
      <c r="K41" s="197">
        <f t="shared" si="29"/>
        <v>0</v>
      </c>
      <c r="L41" s="346">
        <f t="shared" si="30"/>
        <v>5704.2082060477605</v>
      </c>
      <c r="M41" s="296">
        <f t="shared" si="22"/>
        <v>-14.260520515119401</v>
      </c>
      <c r="N41" s="346">
        <f t="shared" si="31"/>
        <v>5689.9476855326411</v>
      </c>
      <c r="O41" s="194">
        <v>0</v>
      </c>
      <c r="P41" s="352">
        <f t="shared" si="32"/>
        <v>5689.9476855326411</v>
      </c>
      <c r="Q41" s="196">
        <f>8*'[2]Table 5C1N-Delta Charter'!S41</f>
        <v>3792</v>
      </c>
      <c r="R41" s="196">
        <f t="shared" si="33"/>
        <v>1897.9476855326411</v>
      </c>
      <c r="S41" s="352">
        <f t="shared" si="48"/>
        <v>474</v>
      </c>
      <c r="T41" s="352">
        <f t="shared" si="34"/>
        <v>5689.9476855326411</v>
      </c>
      <c r="U41" s="281">
        <f>'Table 5C1A-Madison Prep'!U41</f>
        <v>3337</v>
      </c>
      <c r="V41" s="329">
        <f t="shared" si="35"/>
        <v>3337</v>
      </c>
      <c r="W41" s="884">
        <f>'[1]Oct midyear Delta'!E38</f>
        <v>0</v>
      </c>
      <c r="X41" s="282">
        <f t="shared" si="36"/>
        <v>0</v>
      </c>
      <c r="Y41" s="884">
        <f>'[1]Feb midyear Delta'!E38</f>
        <v>0</v>
      </c>
      <c r="Z41" s="282">
        <f t="shared" si="37"/>
        <v>0</v>
      </c>
      <c r="AA41" s="283">
        <f t="shared" si="38"/>
        <v>0</v>
      </c>
      <c r="AB41" s="325">
        <f t="shared" si="39"/>
        <v>3337</v>
      </c>
      <c r="AC41" s="298">
        <f t="shared" si="40"/>
        <v>-8.3424999999999994</v>
      </c>
      <c r="AD41" s="325">
        <f t="shared" si="41"/>
        <v>3328.6574999999998</v>
      </c>
      <c r="AE41" s="284">
        <v>0</v>
      </c>
      <c r="AF41" s="325">
        <f t="shared" si="42"/>
        <v>3328.6574999999998</v>
      </c>
      <c r="AG41" s="284">
        <f>8*'[2]Table 5C1N-Delta Charter'!AI41</f>
        <v>2168</v>
      </c>
      <c r="AH41" s="284">
        <f t="shared" si="43"/>
        <v>1160.6574999999998</v>
      </c>
      <c r="AI41" s="325">
        <f t="shared" si="49"/>
        <v>290</v>
      </c>
      <c r="AJ41" s="338">
        <f t="shared" si="44"/>
        <v>9018.6051855326405</v>
      </c>
      <c r="AK41" s="343">
        <f t="shared" si="45"/>
        <v>764</v>
      </c>
      <c r="AM41" s="296">
        <v>-8.1374999999999993</v>
      </c>
      <c r="AN41" s="296">
        <f t="shared" si="46"/>
        <v>-8.3424999999999994</v>
      </c>
      <c r="AO41" s="296">
        <f t="shared" si="47"/>
        <v>-0.20500000000000007</v>
      </c>
    </row>
    <row r="42" spans="1:41" ht="16.149999999999999" customHeight="1">
      <c r="A42" s="205">
        <v>36</v>
      </c>
      <c r="B42" s="206" t="s">
        <v>108</v>
      </c>
      <c r="C42" s="994">
        <f>+'Table 8 Membership 2.1.14'!T38</f>
        <v>0</v>
      </c>
      <c r="D42" s="208">
        <f>+'Table 5C1A-Madison Prep'!D42</f>
        <v>3602.7009974327857</v>
      </c>
      <c r="E42" s="209">
        <f t="shared" si="26"/>
        <v>0</v>
      </c>
      <c r="F42" s="209">
        <f>+'Table 5C1A-Madison Prep'!F42</f>
        <v>746.0335616438357</v>
      </c>
      <c r="G42" s="209">
        <f t="shared" si="27"/>
        <v>0</v>
      </c>
      <c r="H42" s="344">
        <f t="shared" si="28"/>
        <v>0</v>
      </c>
      <c r="I42" s="210">
        <f>'[1]Oct midyear Delta'!K39</f>
        <v>0</v>
      </c>
      <c r="J42" s="210">
        <f>'[1]Feb midyear Delta'!K39</f>
        <v>0</v>
      </c>
      <c r="K42" s="211">
        <f t="shared" si="29"/>
        <v>0</v>
      </c>
      <c r="L42" s="344">
        <f t="shared" si="30"/>
        <v>0</v>
      </c>
      <c r="M42" s="273">
        <f t="shared" si="22"/>
        <v>0</v>
      </c>
      <c r="N42" s="344">
        <f t="shared" si="31"/>
        <v>0</v>
      </c>
      <c r="O42" s="208">
        <v>0</v>
      </c>
      <c r="P42" s="350">
        <f t="shared" si="32"/>
        <v>0</v>
      </c>
      <c r="Q42" s="210">
        <f>8*'[2]Table 5C1N-Delta Charter'!S42</f>
        <v>0</v>
      </c>
      <c r="R42" s="210">
        <f t="shared" si="33"/>
        <v>0</v>
      </c>
      <c r="S42" s="350">
        <f t="shared" si="48"/>
        <v>0</v>
      </c>
      <c r="T42" s="350">
        <f t="shared" si="34"/>
        <v>0</v>
      </c>
      <c r="U42" s="274">
        <f>'Table 5C1A-Madison Prep'!U42</f>
        <v>5469</v>
      </c>
      <c r="V42" s="327">
        <f t="shared" si="35"/>
        <v>0</v>
      </c>
      <c r="W42" s="883">
        <f>'[1]Oct midyear Delta'!E39</f>
        <v>0</v>
      </c>
      <c r="X42" s="276">
        <f t="shared" si="36"/>
        <v>0</v>
      </c>
      <c r="Y42" s="883">
        <f>'[1]Feb midyear Delta'!E39</f>
        <v>0</v>
      </c>
      <c r="Z42" s="276">
        <f t="shared" si="37"/>
        <v>0</v>
      </c>
      <c r="AA42" s="275">
        <f t="shared" si="38"/>
        <v>0</v>
      </c>
      <c r="AB42" s="323">
        <f t="shared" si="39"/>
        <v>0</v>
      </c>
      <c r="AC42" s="278">
        <f t="shared" si="40"/>
        <v>0</v>
      </c>
      <c r="AD42" s="323">
        <f t="shared" si="41"/>
        <v>0</v>
      </c>
      <c r="AE42" s="279">
        <v>0</v>
      </c>
      <c r="AF42" s="323">
        <f t="shared" si="42"/>
        <v>0</v>
      </c>
      <c r="AG42" s="279">
        <f>8*'[2]Table 5C1N-Delta Charter'!AI42</f>
        <v>0</v>
      </c>
      <c r="AH42" s="279">
        <f t="shared" si="43"/>
        <v>0</v>
      </c>
      <c r="AI42" s="323">
        <f t="shared" si="49"/>
        <v>0</v>
      </c>
      <c r="AJ42" s="337">
        <f t="shared" si="44"/>
        <v>0</v>
      </c>
      <c r="AK42" s="341">
        <f t="shared" si="45"/>
        <v>0</v>
      </c>
      <c r="AM42" s="273">
        <v>0</v>
      </c>
      <c r="AN42" s="273">
        <f t="shared" si="46"/>
        <v>0</v>
      </c>
      <c r="AO42" s="273">
        <f t="shared" si="47"/>
        <v>0</v>
      </c>
    </row>
    <row r="43" spans="1:41" ht="16.149999999999999" customHeight="1">
      <c r="A43" s="198">
        <v>37</v>
      </c>
      <c r="B43" s="199" t="s">
        <v>109</v>
      </c>
      <c r="C43" s="995">
        <f>+'Table 8 Membership 2.1.14'!T39</f>
        <v>2</v>
      </c>
      <c r="D43" s="201">
        <f>+'Table 5C1A-Madison Prep'!D43</f>
        <v>5665.3839260317691</v>
      </c>
      <c r="E43" s="202">
        <f t="shared" si="26"/>
        <v>11330.767852063538</v>
      </c>
      <c r="F43" s="202">
        <f>+'Table 5C1A-Madison Prep'!F43</f>
        <v>653.61</v>
      </c>
      <c r="G43" s="202">
        <f t="shared" si="27"/>
        <v>1307.22</v>
      </c>
      <c r="H43" s="345">
        <f t="shared" si="28"/>
        <v>12637.987852063538</v>
      </c>
      <c r="I43" s="203">
        <f>'[1]Oct midyear Delta'!K40</f>
        <v>-6318.9939260317688</v>
      </c>
      <c r="J43" s="203">
        <f>'[1]Feb midyear Delta'!K40</f>
        <v>0</v>
      </c>
      <c r="K43" s="204">
        <f t="shared" si="29"/>
        <v>-6318.9939260317688</v>
      </c>
      <c r="L43" s="345">
        <f t="shared" si="30"/>
        <v>6318.9939260317688</v>
      </c>
      <c r="M43" s="286">
        <f t="shared" si="22"/>
        <v>-15.797484815079422</v>
      </c>
      <c r="N43" s="345">
        <f t="shared" si="31"/>
        <v>6303.196441216689</v>
      </c>
      <c r="O43" s="201">
        <v>0</v>
      </c>
      <c r="P43" s="351">
        <f t="shared" si="32"/>
        <v>6303.196441216689</v>
      </c>
      <c r="Q43" s="203">
        <f>8*'[2]Table 5C1N-Delta Charter'!S43</f>
        <v>8408</v>
      </c>
      <c r="R43" s="203">
        <f t="shared" si="33"/>
        <v>-2104.803558783311</v>
      </c>
      <c r="S43" s="351">
        <f t="shared" si="48"/>
        <v>-526</v>
      </c>
      <c r="T43" s="351">
        <f t="shared" si="34"/>
        <v>6303.196441216689</v>
      </c>
      <c r="U43" s="287">
        <f>'Table 5C1A-Madison Prep'!U43</f>
        <v>3424</v>
      </c>
      <c r="V43" s="328">
        <f t="shared" si="35"/>
        <v>6848</v>
      </c>
      <c r="W43" s="289">
        <f>'[1]Oct midyear Delta'!E40</f>
        <v>-1</v>
      </c>
      <c r="X43" s="290">
        <f t="shared" si="36"/>
        <v>-3424</v>
      </c>
      <c r="Y43" s="289">
        <f>'[1]Feb midyear Delta'!E40</f>
        <v>0</v>
      </c>
      <c r="Z43" s="290">
        <f t="shared" si="37"/>
        <v>0</v>
      </c>
      <c r="AA43" s="288">
        <f t="shared" si="38"/>
        <v>-3424</v>
      </c>
      <c r="AB43" s="324">
        <f t="shared" si="39"/>
        <v>3424</v>
      </c>
      <c r="AC43" s="292">
        <f t="shared" si="40"/>
        <v>-8.56</v>
      </c>
      <c r="AD43" s="324">
        <f t="shared" si="41"/>
        <v>3415.44</v>
      </c>
      <c r="AE43" s="293">
        <v>0</v>
      </c>
      <c r="AF43" s="324">
        <f t="shared" si="42"/>
        <v>3415.44</v>
      </c>
      <c r="AG43" s="293">
        <f>8*'[2]Table 5C1N-Delta Charter'!AI43</f>
        <v>4680</v>
      </c>
      <c r="AH43" s="293">
        <f t="shared" si="43"/>
        <v>-1264.56</v>
      </c>
      <c r="AI43" s="324">
        <f t="shared" si="49"/>
        <v>-316</v>
      </c>
      <c r="AJ43" s="321">
        <f t="shared" si="44"/>
        <v>9718.6364412166895</v>
      </c>
      <c r="AK43" s="342">
        <f t="shared" si="45"/>
        <v>-842</v>
      </c>
      <c r="AM43" s="286">
        <v>-17.600000000000001</v>
      </c>
      <c r="AN43" s="286">
        <f t="shared" si="46"/>
        <v>-8.56</v>
      </c>
      <c r="AO43" s="286">
        <f t="shared" si="47"/>
        <v>9.0400000000000009</v>
      </c>
    </row>
    <row r="44" spans="1:41" ht="16.149999999999999" customHeight="1">
      <c r="A44" s="198">
        <v>38</v>
      </c>
      <c r="B44" s="199" t="s">
        <v>110</v>
      </c>
      <c r="C44" s="995">
        <f>+'Table 8 Membership 2.1.14'!T40</f>
        <v>0</v>
      </c>
      <c r="D44" s="201">
        <f>+'Table 5C1A-Madison Prep'!D44</f>
        <v>2088.8017552916881</v>
      </c>
      <c r="E44" s="202">
        <f t="shared" si="26"/>
        <v>0</v>
      </c>
      <c r="F44" s="202">
        <f>+'Table 5C1A-Madison Prep'!F44</f>
        <v>829.92000000000007</v>
      </c>
      <c r="G44" s="202">
        <f t="shared" si="27"/>
        <v>0</v>
      </c>
      <c r="H44" s="345">
        <f t="shared" si="28"/>
        <v>0</v>
      </c>
      <c r="I44" s="203">
        <f>'[1]Oct midyear Delta'!K41</f>
        <v>0</v>
      </c>
      <c r="J44" s="203">
        <f>'[1]Feb midyear Delta'!K41</f>
        <v>0</v>
      </c>
      <c r="K44" s="204">
        <f t="shared" si="29"/>
        <v>0</v>
      </c>
      <c r="L44" s="345">
        <f t="shared" si="30"/>
        <v>0</v>
      </c>
      <c r="M44" s="286">
        <f t="shared" si="22"/>
        <v>0</v>
      </c>
      <c r="N44" s="345">
        <f t="shared" si="31"/>
        <v>0</v>
      </c>
      <c r="O44" s="201">
        <v>0</v>
      </c>
      <c r="P44" s="351">
        <f t="shared" si="32"/>
        <v>0</v>
      </c>
      <c r="Q44" s="203">
        <f>8*'[2]Table 5C1N-Delta Charter'!S44</f>
        <v>0</v>
      </c>
      <c r="R44" s="203">
        <f t="shared" si="33"/>
        <v>0</v>
      </c>
      <c r="S44" s="351">
        <f t="shared" si="48"/>
        <v>0</v>
      </c>
      <c r="T44" s="351">
        <f t="shared" si="34"/>
        <v>0</v>
      </c>
      <c r="U44" s="287">
        <f>'Table 5C1A-Madison Prep'!U44</f>
        <v>11060</v>
      </c>
      <c r="V44" s="328">
        <f t="shared" si="35"/>
        <v>0</v>
      </c>
      <c r="W44" s="289">
        <f>'[1]Oct midyear Delta'!E41</f>
        <v>0</v>
      </c>
      <c r="X44" s="290">
        <f t="shared" si="36"/>
        <v>0</v>
      </c>
      <c r="Y44" s="289">
        <f>'[1]Feb midyear Delta'!E41</f>
        <v>0</v>
      </c>
      <c r="Z44" s="290">
        <f t="shared" si="37"/>
        <v>0</v>
      </c>
      <c r="AA44" s="288">
        <f t="shared" si="38"/>
        <v>0</v>
      </c>
      <c r="AB44" s="324">
        <f t="shared" si="39"/>
        <v>0</v>
      </c>
      <c r="AC44" s="292">
        <f t="shared" si="40"/>
        <v>0</v>
      </c>
      <c r="AD44" s="324">
        <f t="shared" si="41"/>
        <v>0</v>
      </c>
      <c r="AE44" s="293">
        <v>0</v>
      </c>
      <c r="AF44" s="324">
        <f t="shared" si="42"/>
        <v>0</v>
      </c>
      <c r="AG44" s="293">
        <f>8*'[2]Table 5C1N-Delta Charter'!AI44</f>
        <v>0</v>
      </c>
      <c r="AH44" s="293">
        <f t="shared" si="43"/>
        <v>0</v>
      </c>
      <c r="AI44" s="324">
        <f t="shared" si="49"/>
        <v>0</v>
      </c>
      <c r="AJ44" s="321">
        <f t="shared" si="44"/>
        <v>0</v>
      </c>
      <c r="AK44" s="342">
        <f t="shared" si="45"/>
        <v>0</v>
      </c>
      <c r="AM44" s="286">
        <v>0</v>
      </c>
      <c r="AN44" s="286">
        <f t="shared" si="46"/>
        <v>0</v>
      </c>
      <c r="AO44" s="286">
        <f t="shared" si="47"/>
        <v>0</v>
      </c>
    </row>
    <row r="45" spans="1:41" ht="16.149999999999999" customHeight="1">
      <c r="A45" s="198">
        <v>39</v>
      </c>
      <c r="B45" s="199" t="s">
        <v>111</v>
      </c>
      <c r="C45" s="995">
        <f>+'Table 8 Membership 2.1.14'!T41</f>
        <v>0</v>
      </c>
      <c r="D45" s="201">
        <f>+'Table 5C1A-Madison Prep'!D45</f>
        <v>3656.9056809295676</v>
      </c>
      <c r="E45" s="202">
        <f t="shared" si="26"/>
        <v>0</v>
      </c>
      <c r="F45" s="202">
        <f>+'Table 5C1A-Madison Prep'!F45</f>
        <v>779.65573042776396</v>
      </c>
      <c r="G45" s="202">
        <f t="shared" si="27"/>
        <v>0</v>
      </c>
      <c r="H45" s="345">
        <f t="shared" si="28"/>
        <v>0</v>
      </c>
      <c r="I45" s="203">
        <f>'[1]Oct midyear Delta'!K42</f>
        <v>0</v>
      </c>
      <c r="J45" s="203">
        <f>'[1]Feb midyear Delta'!K42</f>
        <v>0</v>
      </c>
      <c r="K45" s="204">
        <f t="shared" si="29"/>
        <v>0</v>
      </c>
      <c r="L45" s="345">
        <f t="shared" si="30"/>
        <v>0</v>
      </c>
      <c r="M45" s="286">
        <f t="shared" si="22"/>
        <v>0</v>
      </c>
      <c r="N45" s="345">
        <f t="shared" si="31"/>
        <v>0</v>
      </c>
      <c r="O45" s="201">
        <v>0</v>
      </c>
      <c r="P45" s="351">
        <f t="shared" si="32"/>
        <v>0</v>
      </c>
      <c r="Q45" s="203">
        <f>8*'[2]Table 5C1N-Delta Charter'!S45</f>
        <v>0</v>
      </c>
      <c r="R45" s="203">
        <f t="shared" si="33"/>
        <v>0</v>
      </c>
      <c r="S45" s="351">
        <f t="shared" si="48"/>
        <v>0</v>
      </c>
      <c r="T45" s="351">
        <f t="shared" si="34"/>
        <v>0</v>
      </c>
      <c r="U45" s="287">
        <f>'Table 5C1A-Madison Prep'!U45</f>
        <v>4922</v>
      </c>
      <c r="V45" s="328">
        <f t="shared" si="35"/>
        <v>0</v>
      </c>
      <c r="W45" s="289">
        <f>'[1]Oct midyear Delta'!E42</f>
        <v>0</v>
      </c>
      <c r="X45" s="290">
        <f t="shared" si="36"/>
        <v>0</v>
      </c>
      <c r="Y45" s="289">
        <f>'[1]Feb midyear Delta'!E42</f>
        <v>0</v>
      </c>
      <c r="Z45" s="290">
        <f t="shared" si="37"/>
        <v>0</v>
      </c>
      <c r="AA45" s="288">
        <f t="shared" si="38"/>
        <v>0</v>
      </c>
      <c r="AB45" s="324">
        <f t="shared" si="39"/>
        <v>0</v>
      </c>
      <c r="AC45" s="292">
        <f t="shared" si="40"/>
        <v>0</v>
      </c>
      <c r="AD45" s="324">
        <f t="shared" si="41"/>
        <v>0</v>
      </c>
      <c r="AE45" s="293">
        <v>0</v>
      </c>
      <c r="AF45" s="324">
        <f t="shared" si="42"/>
        <v>0</v>
      </c>
      <c r="AG45" s="293">
        <f>8*'[2]Table 5C1N-Delta Charter'!AI45</f>
        <v>0</v>
      </c>
      <c r="AH45" s="293">
        <f t="shared" si="43"/>
        <v>0</v>
      </c>
      <c r="AI45" s="324">
        <f t="shared" si="49"/>
        <v>0</v>
      </c>
      <c r="AJ45" s="321">
        <f t="shared" si="44"/>
        <v>0</v>
      </c>
      <c r="AK45" s="342">
        <f t="shared" si="45"/>
        <v>0</v>
      </c>
      <c r="AM45" s="286">
        <v>0</v>
      </c>
      <c r="AN45" s="286">
        <f t="shared" si="46"/>
        <v>0</v>
      </c>
      <c r="AO45" s="286">
        <f t="shared" si="47"/>
        <v>0</v>
      </c>
    </row>
    <row r="46" spans="1:41" ht="16.149999999999999" customHeight="1">
      <c r="A46" s="191">
        <v>40</v>
      </c>
      <c r="B46" s="192" t="s">
        <v>112</v>
      </c>
      <c r="C46" s="996">
        <f>+'Table 8 Membership 2.1.14'!T42</f>
        <v>0</v>
      </c>
      <c r="D46" s="194">
        <f>+'Table 5C1A-Madison Prep'!D46</f>
        <v>5121.8110285698403</v>
      </c>
      <c r="E46" s="195">
        <f t="shared" si="26"/>
        <v>0</v>
      </c>
      <c r="F46" s="195">
        <f>+'Table 5C1A-Madison Prep'!F46</f>
        <v>700.2700000000001</v>
      </c>
      <c r="G46" s="195">
        <f t="shared" si="27"/>
        <v>0</v>
      </c>
      <c r="H46" s="346">
        <f t="shared" si="28"/>
        <v>0</v>
      </c>
      <c r="I46" s="196">
        <f>'[1]Oct midyear Delta'!K43</f>
        <v>0</v>
      </c>
      <c r="J46" s="196">
        <f>'[1]Feb midyear Delta'!K43</f>
        <v>0</v>
      </c>
      <c r="K46" s="197">
        <f t="shared" si="29"/>
        <v>0</v>
      </c>
      <c r="L46" s="346">
        <f t="shared" si="30"/>
        <v>0</v>
      </c>
      <c r="M46" s="296">
        <f t="shared" si="22"/>
        <v>0</v>
      </c>
      <c r="N46" s="346">
        <f t="shared" si="31"/>
        <v>0</v>
      </c>
      <c r="O46" s="194">
        <v>0</v>
      </c>
      <c r="P46" s="352">
        <f t="shared" si="32"/>
        <v>0</v>
      </c>
      <c r="Q46" s="196">
        <f>8*'[2]Table 5C1N-Delta Charter'!S46</f>
        <v>0</v>
      </c>
      <c r="R46" s="196">
        <f t="shared" si="33"/>
        <v>0</v>
      </c>
      <c r="S46" s="352">
        <f t="shared" si="48"/>
        <v>0</v>
      </c>
      <c r="T46" s="352">
        <f t="shared" si="34"/>
        <v>0</v>
      </c>
      <c r="U46" s="281">
        <f>'Table 5C1A-Madison Prep'!U46</f>
        <v>3152</v>
      </c>
      <c r="V46" s="329">
        <f t="shared" si="35"/>
        <v>0</v>
      </c>
      <c r="W46" s="884">
        <f>'[1]Oct midyear Delta'!E43</f>
        <v>0</v>
      </c>
      <c r="X46" s="282">
        <f t="shared" si="36"/>
        <v>0</v>
      </c>
      <c r="Y46" s="884">
        <f>'[1]Feb midyear Delta'!E43</f>
        <v>0</v>
      </c>
      <c r="Z46" s="282">
        <f t="shared" si="37"/>
        <v>0</v>
      </c>
      <c r="AA46" s="283">
        <f t="shared" si="38"/>
        <v>0</v>
      </c>
      <c r="AB46" s="325">
        <f t="shared" si="39"/>
        <v>0</v>
      </c>
      <c r="AC46" s="298">
        <f t="shared" si="40"/>
        <v>0</v>
      </c>
      <c r="AD46" s="325">
        <f t="shared" si="41"/>
        <v>0</v>
      </c>
      <c r="AE46" s="284">
        <v>0</v>
      </c>
      <c r="AF46" s="325">
        <f t="shared" si="42"/>
        <v>0</v>
      </c>
      <c r="AG46" s="284">
        <f>8*'[2]Table 5C1N-Delta Charter'!AI46</f>
        <v>0</v>
      </c>
      <c r="AH46" s="284">
        <f t="shared" si="43"/>
        <v>0</v>
      </c>
      <c r="AI46" s="325">
        <f t="shared" si="49"/>
        <v>0</v>
      </c>
      <c r="AJ46" s="338">
        <f t="shared" si="44"/>
        <v>0</v>
      </c>
      <c r="AK46" s="343">
        <f t="shared" si="45"/>
        <v>0</v>
      </c>
      <c r="AM46" s="296">
        <v>0</v>
      </c>
      <c r="AN46" s="296">
        <f t="shared" si="46"/>
        <v>0</v>
      </c>
      <c r="AO46" s="296">
        <f t="shared" si="47"/>
        <v>0</v>
      </c>
    </row>
    <row r="47" spans="1:41" ht="16.149999999999999" customHeight="1">
      <c r="A47" s="205">
        <v>41</v>
      </c>
      <c r="B47" s="206" t="s">
        <v>113</v>
      </c>
      <c r="C47" s="994">
        <f>+'Table 8 Membership 2.1.14'!T43</f>
        <v>0</v>
      </c>
      <c r="D47" s="208">
        <f>+'Table 5C1A-Madison Prep'!D47</f>
        <v>3291.1948574716475</v>
      </c>
      <c r="E47" s="209">
        <f t="shared" si="26"/>
        <v>0</v>
      </c>
      <c r="F47" s="209">
        <f>+'Table 5C1A-Madison Prep'!F47</f>
        <v>886.22</v>
      </c>
      <c r="G47" s="209">
        <f t="shared" si="27"/>
        <v>0</v>
      </c>
      <c r="H47" s="344">
        <f t="shared" si="28"/>
        <v>0</v>
      </c>
      <c r="I47" s="210">
        <f>'[1]Oct midyear Delta'!K44</f>
        <v>0</v>
      </c>
      <c r="J47" s="210">
        <f>'[1]Feb midyear Delta'!K44</f>
        <v>0</v>
      </c>
      <c r="K47" s="211">
        <f t="shared" si="29"/>
        <v>0</v>
      </c>
      <c r="L47" s="344">
        <f t="shared" si="30"/>
        <v>0</v>
      </c>
      <c r="M47" s="273">
        <f t="shared" si="22"/>
        <v>0</v>
      </c>
      <c r="N47" s="344">
        <f t="shared" si="31"/>
        <v>0</v>
      </c>
      <c r="O47" s="208">
        <v>0</v>
      </c>
      <c r="P47" s="350">
        <f t="shared" si="32"/>
        <v>0</v>
      </c>
      <c r="Q47" s="210">
        <f>8*'[2]Table 5C1N-Delta Charter'!S47</f>
        <v>0</v>
      </c>
      <c r="R47" s="210">
        <f t="shared" si="33"/>
        <v>0</v>
      </c>
      <c r="S47" s="350">
        <f t="shared" si="48"/>
        <v>0</v>
      </c>
      <c r="T47" s="350">
        <f t="shared" si="34"/>
        <v>0</v>
      </c>
      <c r="U47" s="274">
        <f>'Table 5C1A-Madison Prep'!U47</f>
        <v>9422</v>
      </c>
      <c r="V47" s="327">
        <f t="shared" si="35"/>
        <v>0</v>
      </c>
      <c r="W47" s="883">
        <f>'[1]Oct midyear Delta'!E44</f>
        <v>0</v>
      </c>
      <c r="X47" s="276">
        <f t="shared" si="36"/>
        <v>0</v>
      </c>
      <c r="Y47" s="883">
        <f>'[1]Feb midyear Delta'!E44</f>
        <v>0</v>
      </c>
      <c r="Z47" s="276">
        <f t="shared" si="37"/>
        <v>0</v>
      </c>
      <c r="AA47" s="275">
        <f t="shared" si="38"/>
        <v>0</v>
      </c>
      <c r="AB47" s="323">
        <f t="shared" si="39"/>
        <v>0</v>
      </c>
      <c r="AC47" s="278">
        <f t="shared" si="40"/>
        <v>0</v>
      </c>
      <c r="AD47" s="323">
        <f t="shared" si="41"/>
        <v>0</v>
      </c>
      <c r="AE47" s="279">
        <v>0</v>
      </c>
      <c r="AF47" s="323">
        <f t="shared" si="42"/>
        <v>0</v>
      </c>
      <c r="AG47" s="279">
        <f>8*'[2]Table 5C1N-Delta Charter'!AI47</f>
        <v>0</v>
      </c>
      <c r="AH47" s="279">
        <f t="shared" si="43"/>
        <v>0</v>
      </c>
      <c r="AI47" s="323">
        <f t="shared" si="49"/>
        <v>0</v>
      </c>
      <c r="AJ47" s="337">
        <f t="shared" si="44"/>
        <v>0</v>
      </c>
      <c r="AK47" s="341">
        <f t="shared" si="45"/>
        <v>0</v>
      </c>
      <c r="AM47" s="273">
        <v>0</v>
      </c>
      <c r="AN47" s="273">
        <f t="shared" si="46"/>
        <v>0</v>
      </c>
      <c r="AO47" s="273">
        <f t="shared" si="47"/>
        <v>0</v>
      </c>
    </row>
    <row r="48" spans="1:41" ht="16.149999999999999" customHeight="1">
      <c r="A48" s="198">
        <v>42</v>
      </c>
      <c r="B48" s="199" t="s">
        <v>114</v>
      </c>
      <c r="C48" s="995">
        <f>+'Table 8 Membership 2.1.14'!T44</f>
        <v>0</v>
      </c>
      <c r="D48" s="201">
        <f>+'Table 5C1A-Madison Prep'!D48</f>
        <v>5113.6077751368684</v>
      </c>
      <c r="E48" s="202">
        <f t="shared" si="26"/>
        <v>0</v>
      </c>
      <c r="F48" s="202">
        <f>+'Table 5C1A-Madison Prep'!F48</f>
        <v>534.28</v>
      </c>
      <c r="G48" s="202">
        <f t="shared" si="27"/>
        <v>0</v>
      </c>
      <c r="H48" s="345">
        <f t="shared" si="28"/>
        <v>0</v>
      </c>
      <c r="I48" s="203">
        <f>'[1]Oct midyear Delta'!K45</f>
        <v>0</v>
      </c>
      <c r="J48" s="203">
        <f>'[1]Feb midyear Delta'!K45</f>
        <v>0</v>
      </c>
      <c r="K48" s="204">
        <f t="shared" si="29"/>
        <v>0</v>
      </c>
      <c r="L48" s="345">
        <f t="shared" si="30"/>
        <v>0</v>
      </c>
      <c r="M48" s="286">
        <f t="shared" si="22"/>
        <v>0</v>
      </c>
      <c r="N48" s="345">
        <f t="shared" si="31"/>
        <v>0</v>
      </c>
      <c r="O48" s="201">
        <v>0</v>
      </c>
      <c r="P48" s="351">
        <f t="shared" si="32"/>
        <v>0</v>
      </c>
      <c r="Q48" s="203">
        <f>8*'[2]Table 5C1N-Delta Charter'!S48</f>
        <v>0</v>
      </c>
      <c r="R48" s="203">
        <f t="shared" si="33"/>
        <v>0</v>
      </c>
      <c r="S48" s="351">
        <f t="shared" si="48"/>
        <v>0</v>
      </c>
      <c r="T48" s="351">
        <f t="shared" si="34"/>
        <v>0</v>
      </c>
      <c r="U48" s="287">
        <f>'Table 5C1A-Madison Prep'!U48</f>
        <v>3415</v>
      </c>
      <c r="V48" s="328">
        <f t="shared" si="35"/>
        <v>0</v>
      </c>
      <c r="W48" s="289">
        <f>'[1]Oct midyear Delta'!E45</f>
        <v>0</v>
      </c>
      <c r="X48" s="290">
        <f t="shared" si="36"/>
        <v>0</v>
      </c>
      <c r="Y48" s="289">
        <f>'[1]Feb midyear Delta'!E45</f>
        <v>0</v>
      </c>
      <c r="Z48" s="290">
        <f t="shared" si="37"/>
        <v>0</v>
      </c>
      <c r="AA48" s="288">
        <f t="shared" si="38"/>
        <v>0</v>
      </c>
      <c r="AB48" s="324">
        <f t="shared" si="39"/>
        <v>0</v>
      </c>
      <c r="AC48" s="292">
        <f t="shared" si="40"/>
        <v>0</v>
      </c>
      <c r="AD48" s="324">
        <f t="shared" si="41"/>
        <v>0</v>
      </c>
      <c r="AE48" s="293">
        <v>0</v>
      </c>
      <c r="AF48" s="324">
        <f t="shared" si="42"/>
        <v>0</v>
      </c>
      <c r="AG48" s="293">
        <f>8*'[2]Table 5C1N-Delta Charter'!AI48</f>
        <v>0</v>
      </c>
      <c r="AH48" s="293">
        <f t="shared" si="43"/>
        <v>0</v>
      </c>
      <c r="AI48" s="324">
        <f t="shared" si="49"/>
        <v>0</v>
      </c>
      <c r="AJ48" s="321">
        <f t="shared" si="44"/>
        <v>0</v>
      </c>
      <c r="AK48" s="342">
        <f t="shared" si="45"/>
        <v>0</v>
      </c>
      <c r="AM48" s="286">
        <v>0</v>
      </c>
      <c r="AN48" s="286">
        <f t="shared" si="46"/>
        <v>0</v>
      </c>
      <c r="AO48" s="286">
        <f t="shared" si="47"/>
        <v>0</v>
      </c>
    </row>
    <row r="49" spans="1:41" ht="16.149999999999999" customHeight="1">
      <c r="A49" s="198">
        <v>43</v>
      </c>
      <c r="B49" s="199" t="s">
        <v>115</v>
      </c>
      <c r="C49" s="995">
        <f>+'Table 8 Membership 2.1.14'!T45</f>
        <v>0</v>
      </c>
      <c r="D49" s="201">
        <f>+'Table 5C1A-Madison Prep'!D49</f>
        <v>5788.74387205947</v>
      </c>
      <c r="E49" s="202">
        <f t="shared" si="26"/>
        <v>0</v>
      </c>
      <c r="F49" s="202">
        <f>+'Table 5C1A-Madison Prep'!F49</f>
        <v>574.6099999999999</v>
      </c>
      <c r="G49" s="202">
        <f t="shared" si="27"/>
        <v>0</v>
      </c>
      <c r="H49" s="345">
        <f t="shared" si="28"/>
        <v>0</v>
      </c>
      <c r="I49" s="203">
        <f>'[1]Oct midyear Delta'!K46</f>
        <v>0</v>
      </c>
      <c r="J49" s="203">
        <f>'[1]Feb midyear Delta'!K46</f>
        <v>0</v>
      </c>
      <c r="K49" s="204">
        <f t="shared" si="29"/>
        <v>0</v>
      </c>
      <c r="L49" s="345">
        <f t="shared" si="30"/>
        <v>0</v>
      </c>
      <c r="M49" s="286">
        <f t="shared" si="22"/>
        <v>0</v>
      </c>
      <c r="N49" s="345">
        <f t="shared" si="31"/>
        <v>0</v>
      </c>
      <c r="O49" s="201">
        <v>0</v>
      </c>
      <c r="P49" s="351">
        <f t="shared" si="32"/>
        <v>0</v>
      </c>
      <c r="Q49" s="203">
        <f>8*'[2]Table 5C1N-Delta Charter'!S49</f>
        <v>0</v>
      </c>
      <c r="R49" s="203">
        <f t="shared" si="33"/>
        <v>0</v>
      </c>
      <c r="S49" s="351">
        <f t="shared" si="48"/>
        <v>0</v>
      </c>
      <c r="T49" s="351">
        <f t="shared" si="34"/>
        <v>0</v>
      </c>
      <c r="U49" s="287">
        <f>'Table 5C1A-Madison Prep'!U49</f>
        <v>3334</v>
      </c>
      <c r="V49" s="328">
        <f t="shared" si="35"/>
        <v>0</v>
      </c>
      <c r="W49" s="289">
        <f>'[1]Oct midyear Delta'!E46</f>
        <v>0</v>
      </c>
      <c r="X49" s="290">
        <f t="shared" si="36"/>
        <v>0</v>
      </c>
      <c r="Y49" s="289">
        <f>'[1]Feb midyear Delta'!E46</f>
        <v>0</v>
      </c>
      <c r="Z49" s="290">
        <f t="shared" si="37"/>
        <v>0</v>
      </c>
      <c r="AA49" s="288">
        <f t="shared" si="38"/>
        <v>0</v>
      </c>
      <c r="AB49" s="324">
        <f t="shared" si="39"/>
        <v>0</v>
      </c>
      <c r="AC49" s="292">
        <f t="shared" si="40"/>
        <v>0</v>
      </c>
      <c r="AD49" s="324">
        <f t="shared" si="41"/>
        <v>0</v>
      </c>
      <c r="AE49" s="293">
        <v>0</v>
      </c>
      <c r="AF49" s="324">
        <f t="shared" si="42"/>
        <v>0</v>
      </c>
      <c r="AG49" s="293">
        <f>8*'[2]Table 5C1N-Delta Charter'!AI49</f>
        <v>0</v>
      </c>
      <c r="AH49" s="293">
        <f t="shared" si="43"/>
        <v>0</v>
      </c>
      <c r="AI49" s="324">
        <f t="shared" si="49"/>
        <v>0</v>
      </c>
      <c r="AJ49" s="321">
        <f t="shared" si="44"/>
        <v>0</v>
      </c>
      <c r="AK49" s="342">
        <f t="shared" si="45"/>
        <v>0</v>
      </c>
      <c r="AM49" s="286">
        <v>0</v>
      </c>
      <c r="AN49" s="286">
        <f t="shared" si="46"/>
        <v>0</v>
      </c>
      <c r="AO49" s="286">
        <f t="shared" si="47"/>
        <v>0</v>
      </c>
    </row>
    <row r="50" spans="1:41" ht="16.149999999999999" customHeight="1">
      <c r="A50" s="198">
        <v>44</v>
      </c>
      <c r="B50" s="199" t="s">
        <v>116</v>
      </c>
      <c r="C50" s="995">
        <f>+'Table 8 Membership 2.1.14'!T46</f>
        <v>0</v>
      </c>
      <c r="D50" s="201">
        <f>+'Table 5C1A-Madison Prep'!D50</f>
        <v>4897.5958151820359</v>
      </c>
      <c r="E50" s="202">
        <f t="shared" si="26"/>
        <v>0</v>
      </c>
      <c r="F50" s="202">
        <f>+'Table 5C1A-Madison Prep'!F50</f>
        <v>663.16000000000008</v>
      </c>
      <c r="G50" s="202">
        <f t="shared" si="27"/>
        <v>0</v>
      </c>
      <c r="H50" s="345">
        <f t="shared" si="28"/>
        <v>0</v>
      </c>
      <c r="I50" s="203">
        <f>'[1]Oct midyear Delta'!K47</f>
        <v>0</v>
      </c>
      <c r="J50" s="203">
        <f>'[1]Feb midyear Delta'!K47</f>
        <v>0</v>
      </c>
      <c r="K50" s="204">
        <f t="shared" si="29"/>
        <v>0</v>
      </c>
      <c r="L50" s="345">
        <f t="shared" si="30"/>
        <v>0</v>
      </c>
      <c r="M50" s="286">
        <f t="shared" si="22"/>
        <v>0</v>
      </c>
      <c r="N50" s="345">
        <f t="shared" si="31"/>
        <v>0</v>
      </c>
      <c r="O50" s="201">
        <v>0</v>
      </c>
      <c r="P50" s="351">
        <f t="shared" si="32"/>
        <v>0</v>
      </c>
      <c r="Q50" s="203">
        <f>8*'[2]Table 5C1N-Delta Charter'!S50</f>
        <v>0</v>
      </c>
      <c r="R50" s="203">
        <f t="shared" si="33"/>
        <v>0</v>
      </c>
      <c r="S50" s="351">
        <f t="shared" si="48"/>
        <v>0</v>
      </c>
      <c r="T50" s="351">
        <f t="shared" si="34"/>
        <v>0</v>
      </c>
      <c r="U50" s="287">
        <f>'Table 5C1A-Madison Prep'!U50</f>
        <v>3587</v>
      </c>
      <c r="V50" s="328">
        <f t="shared" si="35"/>
        <v>0</v>
      </c>
      <c r="W50" s="289">
        <f>'[1]Oct midyear Delta'!E47</f>
        <v>0</v>
      </c>
      <c r="X50" s="290">
        <f t="shared" si="36"/>
        <v>0</v>
      </c>
      <c r="Y50" s="289">
        <f>'[1]Feb midyear Delta'!E47</f>
        <v>0</v>
      </c>
      <c r="Z50" s="290">
        <f t="shared" si="37"/>
        <v>0</v>
      </c>
      <c r="AA50" s="288">
        <f t="shared" si="38"/>
        <v>0</v>
      </c>
      <c r="AB50" s="324">
        <f t="shared" si="39"/>
        <v>0</v>
      </c>
      <c r="AC50" s="292">
        <f t="shared" si="40"/>
        <v>0</v>
      </c>
      <c r="AD50" s="324">
        <f t="shared" si="41"/>
        <v>0</v>
      </c>
      <c r="AE50" s="293">
        <v>0</v>
      </c>
      <c r="AF50" s="324">
        <f t="shared" si="42"/>
        <v>0</v>
      </c>
      <c r="AG50" s="293">
        <f>8*'[2]Table 5C1N-Delta Charter'!AI50</f>
        <v>0</v>
      </c>
      <c r="AH50" s="293">
        <f t="shared" si="43"/>
        <v>0</v>
      </c>
      <c r="AI50" s="324">
        <f t="shared" si="49"/>
        <v>0</v>
      </c>
      <c r="AJ50" s="321">
        <f t="shared" si="44"/>
        <v>0</v>
      </c>
      <c r="AK50" s="342">
        <f t="shared" si="45"/>
        <v>0</v>
      </c>
      <c r="AM50" s="286">
        <v>0</v>
      </c>
      <c r="AN50" s="286">
        <f t="shared" si="46"/>
        <v>0</v>
      </c>
      <c r="AO50" s="286">
        <f t="shared" si="47"/>
        <v>0</v>
      </c>
    </row>
    <row r="51" spans="1:41" ht="16.149999999999999" customHeight="1">
      <c r="A51" s="191">
        <v>45</v>
      </c>
      <c r="B51" s="192" t="s">
        <v>117</v>
      </c>
      <c r="C51" s="996">
        <f>+'Table 8 Membership 2.1.14'!T47</f>
        <v>0</v>
      </c>
      <c r="D51" s="194">
        <f>+'Table 5C1A-Madison Prep'!D51</f>
        <v>2054.0472499469101</v>
      </c>
      <c r="E51" s="195">
        <f t="shared" si="26"/>
        <v>0</v>
      </c>
      <c r="F51" s="195">
        <f>+'Table 5C1A-Madison Prep'!F51</f>
        <v>753.96000000000015</v>
      </c>
      <c r="G51" s="195">
        <f t="shared" si="27"/>
        <v>0</v>
      </c>
      <c r="H51" s="346">
        <f t="shared" si="28"/>
        <v>0</v>
      </c>
      <c r="I51" s="196">
        <f>'[1]Oct midyear Delta'!K48</f>
        <v>0</v>
      </c>
      <c r="J51" s="196">
        <f>'[1]Feb midyear Delta'!K48</f>
        <v>0</v>
      </c>
      <c r="K51" s="197">
        <f t="shared" si="29"/>
        <v>0</v>
      </c>
      <c r="L51" s="346">
        <f t="shared" si="30"/>
        <v>0</v>
      </c>
      <c r="M51" s="296">
        <f t="shared" si="22"/>
        <v>0</v>
      </c>
      <c r="N51" s="346">
        <f t="shared" si="31"/>
        <v>0</v>
      </c>
      <c r="O51" s="194">
        <v>0</v>
      </c>
      <c r="P51" s="352">
        <f t="shared" si="32"/>
        <v>0</v>
      </c>
      <c r="Q51" s="196">
        <f>8*'[2]Table 5C1N-Delta Charter'!S51</f>
        <v>0</v>
      </c>
      <c r="R51" s="196">
        <f t="shared" si="33"/>
        <v>0</v>
      </c>
      <c r="S51" s="352">
        <f t="shared" si="48"/>
        <v>0</v>
      </c>
      <c r="T51" s="352">
        <f t="shared" si="34"/>
        <v>0</v>
      </c>
      <c r="U51" s="281">
        <f>'Table 5C1A-Madison Prep'!U51</f>
        <v>12134</v>
      </c>
      <c r="V51" s="329">
        <f t="shared" si="35"/>
        <v>0</v>
      </c>
      <c r="W51" s="884">
        <f>'[1]Oct midyear Delta'!E48</f>
        <v>0</v>
      </c>
      <c r="X51" s="282">
        <f t="shared" si="36"/>
        <v>0</v>
      </c>
      <c r="Y51" s="884">
        <f>'[1]Feb midyear Delta'!E48</f>
        <v>0</v>
      </c>
      <c r="Z51" s="282">
        <f t="shared" si="37"/>
        <v>0</v>
      </c>
      <c r="AA51" s="283">
        <f t="shared" si="38"/>
        <v>0</v>
      </c>
      <c r="AB51" s="325">
        <f t="shared" si="39"/>
        <v>0</v>
      </c>
      <c r="AC51" s="298">
        <f t="shared" si="40"/>
        <v>0</v>
      </c>
      <c r="AD51" s="325">
        <f t="shared" si="41"/>
        <v>0</v>
      </c>
      <c r="AE51" s="284">
        <v>0</v>
      </c>
      <c r="AF51" s="325">
        <f t="shared" si="42"/>
        <v>0</v>
      </c>
      <c r="AG51" s="284">
        <f>8*'[2]Table 5C1N-Delta Charter'!AI51</f>
        <v>0</v>
      </c>
      <c r="AH51" s="284">
        <f t="shared" si="43"/>
        <v>0</v>
      </c>
      <c r="AI51" s="325">
        <f t="shared" si="49"/>
        <v>0</v>
      </c>
      <c r="AJ51" s="338">
        <f t="shared" si="44"/>
        <v>0</v>
      </c>
      <c r="AK51" s="343">
        <f t="shared" si="45"/>
        <v>0</v>
      </c>
      <c r="AM51" s="296">
        <v>0</v>
      </c>
      <c r="AN51" s="296">
        <f t="shared" si="46"/>
        <v>0</v>
      </c>
      <c r="AO51" s="296">
        <f t="shared" si="47"/>
        <v>0</v>
      </c>
    </row>
    <row r="52" spans="1:41" ht="16.149999999999999" customHeight="1">
      <c r="A52" s="205">
        <v>46</v>
      </c>
      <c r="B52" s="206" t="s">
        <v>118</v>
      </c>
      <c r="C52" s="994">
        <f>+'Table 8 Membership 2.1.14'!T48</f>
        <v>0</v>
      </c>
      <c r="D52" s="208">
        <f>+'Table 5C1A-Madison Prep'!D52</f>
        <v>6051.2144468088381</v>
      </c>
      <c r="E52" s="209">
        <f t="shared" si="26"/>
        <v>0</v>
      </c>
      <c r="F52" s="209">
        <f>+'Table 5C1A-Madison Prep'!F52</f>
        <v>728.06</v>
      </c>
      <c r="G52" s="209">
        <f t="shared" si="27"/>
        <v>0</v>
      </c>
      <c r="H52" s="344">
        <f t="shared" si="28"/>
        <v>0</v>
      </c>
      <c r="I52" s="210">
        <f>'[1]Oct midyear Delta'!K49</f>
        <v>0</v>
      </c>
      <c r="J52" s="210">
        <f>'[1]Feb midyear Delta'!K49</f>
        <v>0</v>
      </c>
      <c r="K52" s="211">
        <f t="shared" si="29"/>
        <v>0</v>
      </c>
      <c r="L52" s="344">
        <f t="shared" si="30"/>
        <v>0</v>
      </c>
      <c r="M52" s="273">
        <f t="shared" si="22"/>
        <v>0</v>
      </c>
      <c r="N52" s="344">
        <f t="shared" si="31"/>
        <v>0</v>
      </c>
      <c r="O52" s="208">
        <v>0</v>
      </c>
      <c r="P52" s="350">
        <f t="shared" si="32"/>
        <v>0</v>
      </c>
      <c r="Q52" s="210">
        <f>8*'[2]Table 5C1N-Delta Charter'!S52</f>
        <v>0</v>
      </c>
      <c r="R52" s="210">
        <f t="shared" si="33"/>
        <v>0</v>
      </c>
      <c r="S52" s="350">
        <f t="shared" si="48"/>
        <v>0</v>
      </c>
      <c r="T52" s="350">
        <f t="shared" si="34"/>
        <v>0</v>
      </c>
      <c r="U52" s="274">
        <f>'Table 5C1A-Madison Prep'!U52</f>
        <v>2554</v>
      </c>
      <c r="V52" s="327">
        <f t="shared" si="35"/>
        <v>0</v>
      </c>
      <c r="W52" s="883">
        <f>'[1]Oct midyear Delta'!E49</f>
        <v>0</v>
      </c>
      <c r="X52" s="276">
        <f t="shared" si="36"/>
        <v>0</v>
      </c>
      <c r="Y52" s="883">
        <f>'[1]Feb midyear Delta'!E49</f>
        <v>0</v>
      </c>
      <c r="Z52" s="276">
        <f t="shared" si="37"/>
        <v>0</v>
      </c>
      <c r="AA52" s="275">
        <f t="shared" si="38"/>
        <v>0</v>
      </c>
      <c r="AB52" s="323">
        <f t="shared" si="39"/>
        <v>0</v>
      </c>
      <c r="AC52" s="278">
        <f t="shared" si="40"/>
        <v>0</v>
      </c>
      <c r="AD52" s="323">
        <f t="shared" si="41"/>
        <v>0</v>
      </c>
      <c r="AE52" s="279">
        <v>0</v>
      </c>
      <c r="AF52" s="323">
        <f t="shared" si="42"/>
        <v>0</v>
      </c>
      <c r="AG52" s="279">
        <f>8*'[2]Table 5C1N-Delta Charter'!AI52</f>
        <v>0</v>
      </c>
      <c r="AH52" s="279">
        <f t="shared" si="43"/>
        <v>0</v>
      </c>
      <c r="AI52" s="323">
        <f t="shared" si="49"/>
        <v>0</v>
      </c>
      <c r="AJ52" s="337">
        <f t="shared" si="44"/>
        <v>0</v>
      </c>
      <c r="AK52" s="341">
        <f t="shared" si="45"/>
        <v>0</v>
      </c>
      <c r="AM52" s="273">
        <v>0</v>
      </c>
      <c r="AN52" s="273">
        <f t="shared" si="46"/>
        <v>0</v>
      </c>
      <c r="AO52" s="273">
        <f t="shared" si="47"/>
        <v>0</v>
      </c>
    </row>
    <row r="53" spans="1:41" ht="16.149999999999999" customHeight="1">
      <c r="A53" s="198">
        <v>47</v>
      </c>
      <c r="B53" s="199" t="s">
        <v>119</v>
      </c>
      <c r="C53" s="995">
        <f>+'Table 8 Membership 2.1.14'!T49</f>
        <v>0</v>
      </c>
      <c r="D53" s="201">
        <f>+'Table 5C1A-Madison Prep'!D53</f>
        <v>2524.1485257646736</v>
      </c>
      <c r="E53" s="202">
        <f t="shared" si="26"/>
        <v>0</v>
      </c>
      <c r="F53" s="202">
        <f>+'Table 5C1A-Madison Prep'!F53</f>
        <v>910.76</v>
      </c>
      <c r="G53" s="202">
        <f t="shared" si="27"/>
        <v>0</v>
      </c>
      <c r="H53" s="345">
        <f t="shared" si="28"/>
        <v>0</v>
      </c>
      <c r="I53" s="203">
        <f>'[1]Oct midyear Delta'!K50</f>
        <v>0</v>
      </c>
      <c r="J53" s="203">
        <f>'[1]Feb midyear Delta'!K50</f>
        <v>0</v>
      </c>
      <c r="K53" s="204">
        <f t="shared" si="29"/>
        <v>0</v>
      </c>
      <c r="L53" s="345">
        <f t="shared" si="30"/>
        <v>0</v>
      </c>
      <c r="M53" s="286">
        <f t="shared" si="22"/>
        <v>0</v>
      </c>
      <c r="N53" s="345">
        <f t="shared" si="31"/>
        <v>0</v>
      </c>
      <c r="O53" s="201">
        <v>0</v>
      </c>
      <c r="P53" s="351">
        <f t="shared" si="32"/>
        <v>0</v>
      </c>
      <c r="Q53" s="203">
        <f>8*'[2]Table 5C1N-Delta Charter'!S53</f>
        <v>0</v>
      </c>
      <c r="R53" s="203">
        <f t="shared" si="33"/>
        <v>0</v>
      </c>
      <c r="S53" s="351">
        <f t="shared" si="48"/>
        <v>0</v>
      </c>
      <c r="T53" s="351">
        <f t="shared" si="34"/>
        <v>0</v>
      </c>
      <c r="U53" s="287">
        <f>'Table 5C1A-Madison Prep'!U53</f>
        <v>11506</v>
      </c>
      <c r="V53" s="328">
        <f t="shared" si="35"/>
        <v>0</v>
      </c>
      <c r="W53" s="289">
        <f>'[1]Oct midyear Delta'!E50</f>
        <v>0</v>
      </c>
      <c r="X53" s="290">
        <f t="shared" si="36"/>
        <v>0</v>
      </c>
      <c r="Y53" s="289">
        <f>'[1]Feb midyear Delta'!E50</f>
        <v>0</v>
      </c>
      <c r="Z53" s="290">
        <f t="shared" si="37"/>
        <v>0</v>
      </c>
      <c r="AA53" s="288">
        <f t="shared" si="38"/>
        <v>0</v>
      </c>
      <c r="AB53" s="324">
        <f t="shared" si="39"/>
        <v>0</v>
      </c>
      <c r="AC53" s="292">
        <f t="shared" si="40"/>
        <v>0</v>
      </c>
      <c r="AD53" s="324">
        <f t="shared" si="41"/>
        <v>0</v>
      </c>
      <c r="AE53" s="293">
        <v>0</v>
      </c>
      <c r="AF53" s="324">
        <f t="shared" si="42"/>
        <v>0</v>
      </c>
      <c r="AG53" s="293">
        <f>8*'[2]Table 5C1N-Delta Charter'!AI53</f>
        <v>0</v>
      </c>
      <c r="AH53" s="293">
        <f t="shared" si="43"/>
        <v>0</v>
      </c>
      <c r="AI53" s="324">
        <f t="shared" si="49"/>
        <v>0</v>
      </c>
      <c r="AJ53" s="321">
        <f t="shared" si="44"/>
        <v>0</v>
      </c>
      <c r="AK53" s="342">
        <f t="shared" si="45"/>
        <v>0</v>
      </c>
      <c r="AM53" s="286">
        <v>0</v>
      </c>
      <c r="AN53" s="286">
        <f t="shared" si="46"/>
        <v>0</v>
      </c>
      <c r="AO53" s="286">
        <f t="shared" si="47"/>
        <v>0</v>
      </c>
    </row>
    <row r="54" spans="1:41" ht="16.149999999999999" customHeight="1">
      <c r="A54" s="198">
        <v>48</v>
      </c>
      <c r="B54" s="199" t="s">
        <v>144</v>
      </c>
      <c r="C54" s="995">
        <f>+'Table 8 Membership 2.1.14'!T50</f>
        <v>0</v>
      </c>
      <c r="D54" s="201">
        <f>+'Table 5C1A-Madison Prep'!D54</f>
        <v>3983.3582529800719</v>
      </c>
      <c r="E54" s="202">
        <f t="shared" si="26"/>
        <v>0</v>
      </c>
      <c r="F54" s="202">
        <f>+'Table 5C1A-Madison Prep'!F54</f>
        <v>871.07</v>
      </c>
      <c r="G54" s="202">
        <f t="shared" si="27"/>
        <v>0</v>
      </c>
      <c r="H54" s="345">
        <f t="shared" si="28"/>
        <v>0</v>
      </c>
      <c r="I54" s="203">
        <f>'[1]Oct midyear Delta'!K51</f>
        <v>0</v>
      </c>
      <c r="J54" s="203">
        <f>'[1]Feb midyear Delta'!K51</f>
        <v>0</v>
      </c>
      <c r="K54" s="204">
        <f t="shared" si="29"/>
        <v>0</v>
      </c>
      <c r="L54" s="345">
        <f t="shared" si="30"/>
        <v>0</v>
      </c>
      <c r="M54" s="286">
        <f t="shared" si="22"/>
        <v>0</v>
      </c>
      <c r="N54" s="345">
        <f t="shared" si="31"/>
        <v>0</v>
      </c>
      <c r="O54" s="201">
        <v>0</v>
      </c>
      <c r="P54" s="351">
        <f t="shared" si="32"/>
        <v>0</v>
      </c>
      <c r="Q54" s="203">
        <f>8*'[2]Table 5C1N-Delta Charter'!S54</f>
        <v>0</v>
      </c>
      <c r="R54" s="203">
        <f t="shared" si="33"/>
        <v>0</v>
      </c>
      <c r="S54" s="351">
        <f t="shared" si="48"/>
        <v>0</v>
      </c>
      <c r="T54" s="351">
        <f t="shared" si="34"/>
        <v>0</v>
      </c>
      <c r="U54" s="287">
        <f>'Table 5C1A-Madison Prep'!U54</f>
        <v>6827</v>
      </c>
      <c r="V54" s="328">
        <f t="shared" si="35"/>
        <v>0</v>
      </c>
      <c r="W54" s="289">
        <f>'[1]Oct midyear Delta'!E51</f>
        <v>0</v>
      </c>
      <c r="X54" s="290">
        <f t="shared" si="36"/>
        <v>0</v>
      </c>
      <c r="Y54" s="289">
        <f>'[1]Feb midyear Delta'!E51</f>
        <v>0</v>
      </c>
      <c r="Z54" s="290">
        <f t="shared" si="37"/>
        <v>0</v>
      </c>
      <c r="AA54" s="288">
        <f t="shared" si="38"/>
        <v>0</v>
      </c>
      <c r="AB54" s="324">
        <f t="shared" si="39"/>
        <v>0</v>
      </c>
      <c r="AC54" s="292">
        <f t="shared" si="40"/>
        <v>0</v>
      </c>
      <c r="AD54" s="324">
        <f t="shared" si="41"/>
        <v>0</v>
      </c>
      <c r="AE54" s="293">
        <v>0</v>
      </c>
      <c r="AF54" s="324">
        <f t="shared" si="42"/>
        <v>0</v>
      </c>
      <c r="AG54" s="293">
        <f>8*'[2]Table 5C1N-Delta Charter'!AI54</f>
        <v>0</v>
      </c>
      <c r="AH54" s="293">
        <f t="shared" si="43"/>
        <v>0</v>
      </c>
      <c r="AI54" s="324">
        <f t="shared" si="49"/>
        <v>0</v>
      </c>
      <c r="AJ54" s="321">
        <f t="shared" si="44"/>
        <v>0</v>
      </c>
      <c r="AK54" s="342">
        <f t="shared" si="45"/>
        <v>0</v>
      </c>
      <c r="AM54" s="286">
        <v>0</v>
      </c>
      <c r="AN54" s="286">
        <f t="shared" si="46"/>
        <v>0</v>
      </c>
      <c r="AO54" s="286">
        <f t="shared" si="47"/>
        <v>0</v>
      </c>
    </row>
    <row r="55" spans="1:41" ht="16.149999999999999" customHeight="1">
      <c r="A55" s="198">
        <v>49</v>
      </c>
      <c r="B55" s="199" t="s">
        <v>120</v>
      </c>
      <c r="C55" s="995">
        <f>+'Table 8 Membership 2.1.14'!T51</f>
        <v>0</v>
      </c>
      <c r="D55" s="201">
        <f>+'Table 5C1A-Madison Prep'!D55</f>
        <v>4995.8755315659191</v>
      </c>
      <c r="E55" s="202">
        <f t="shared" si="26"/>
        <v>0</v>
      </c>
      <c r="F55" s="202">
        <f>+'Table 5C1A-Madison Prep'!F55</f>
        <v>574.43999999999994</v>
      </c>
      <c r="G55" s="202">
        <f t="shared" si="27"/>
        <v>0</v>
      </c>
      <c r="H55" s="345">
        <f t="shared" si="28"/>
        <v>0</v>
      </c>
      <c r="I55" s="203">
        <f>'[1]Oct midyear Delta'!K52</f>
        <v>0</v>
      </c>
      <c r="J55" s="203">
        <f>'[1]Feb midyear Delta'!K52</f>
        <v>0</v>
      </c>
      <c r="K55" s="204">
        <f t="shared" si="29"/>
        <v>0</v>
      </c>
      <c r="L55" s="345">
        <f t="shared" si="30"/>
        <v>0</v>
      </c>
      <c r="M55" s="286">
        <f t="shared" si="22"/>
        <v>0</v>
      </c>
      <c r="N55" s="345">
        <f t="shared" si="31"/>
        <v>0</v>
      </c>
      <c r="O55" s="201">
        <v>0</v>
      </c>
      <c r="P55" s="351">
        <f t="shared" si="32"/>
        <v>0</v>
      </c>
      <c r="Q55" s="203">
        <f>8*'[2]Table 5C1N-Delta Charter'!S55</f>
        <v>0</v>
      </c>
      <c r="R55" s="203">
        <f t="shared" si="33"/>
        <v>0</v>
      </c>
      <c r="S55" s="351">
        <f t="shared" si="48"/>
        <v>0</v>
      </c>
      <c r="T55" s="351">
        <f t="shared" si="34"/>
        <v>0</v>
      </c>
      <c r="U55" s="287">
        <f>'Table 5C1A-Madison Prep'!U55</f>
        <v>2399</v>
      </c>
      <c r="V55" s="328">
        <f t="shared" si="35"/>
        <v>0</v>
      </c>
      <c r="W55" s="289">
        <f>'[1]Oct midyear Delta'!E52</f>
        <v>0</v>
      </c>
      <c r="X55" s="290">
        <f t="shared" si="36"/>
        <v>0</v>
      </c>
      <c r="Y55" s="289">
        <f>'[1]Feb midyear Delta'!E52</f>
        <v>0</v>
      </c>
      <c r="Z55" s="290">
        <f t="shared" si="37"/>
        <v>0</v>
      </c>
      <c r="AA55" s="288">
        <f t="shared" si="38"/>
        <v>0</v>
      </c>
      <c r="AB55" s="324">
        <f t="shared" si="39"/>
        <v>0</v>
      </c>
      <c r="AC55" s="292">
        <f t="shared" si="40"/>
        <v>0</v>
      </c>
      <c r="AD55" s="324">
        <f t="shared" si="41"/>
        <v>0</v>
      </c>
      <c r="AE55" s="293">
        <v>0</v>
      </c>
      <c r="AF55" s="324">
        <f t="shared" si="42"/>
        <v>0</v>
      </c>
      <c r="AG55" s="293">
        <f>8*'[2]Table 5C1N-Delta Charter'!AI55</f>
        <v>0</v>
      </c>
      <c r="AH55" s="293">
        <f t="shared" si="43"/>
        <v>0</v>
      </c>
      <c r="AI55" s="324">
        <f t="shared" si="49"/>
        <v>0</v>
      </c>
      <c r="AJ55" s="321">
        <f t="shared" si="44"/>
        <v>0</v>
      </c>
      <c r="AK55" s="342">
        <f t="shared" si="45"/>
        <v>0</v>
      </c>
      <c r="AM55" s="286">
        <v>0</v>
      </c>
      <c r="AN55" s="286">
        <f t="shared" si="46"/>
        <v>0</v>
      </c>
      <c r="AO55" s="286">
        <f t="shared" si="47"/>
        <v>0</v>
      </c>
    </row>
    <row r="56" spans="1:41" ht="16.149999999999999" customHeight="1">
      <c r="A56" s="191">
        <v>50</v>
      </c>
      <c r="B56" s="192" t="s">
        <v>121</v>
      </c>
      <c r="C56" s="996">
        <f>+'Table 8 Membership 2.1.14'!T52</f>
        <v>0</v>
      </c>
      <c r="D56" s="194">
        <f>+'Table 5C1A-Madison Prep'!D56</f>
        <v>5177.6892722701677</v>
      </c>
      <c r="E56" s="195">
        <f t="shared" si="26"/>
        <v>0</v>
      </c>
      <c r="F56" s="195">
        <f>+'Table 5C1A-Madison Prep'!F56</f>
        <v>634.46</v>
      </c>
      <c r="G56" s="195">
        <f t="shared" si="27"/>
        <v>0</v>
      </c>
      <c r="H56" s="346">
        <f t="shared" si="28"/>
        <v>0</v>
      </c>
      <c r="I56" s="196">
        <f>'[1]Oct midyear Delta'!K53</f>
        <v>0</v>
      </c>
      <c r="J56" s="196">
        <f>'[1]Feb midyear Delta'!K53</f>
        <v>0</v>
      </c>
      <c r="K56" s="197">
        <f t="shared" si="29"/>
        <v>0</v>
      </c>
      <c r="L56" s="346">
        <f t="shared" si="30"/>
        <v>0</v>
      </c>
      <c r="M56" s="296">
        <f t="shared" si="22"/>
        <v>0</v>
      </c>
      <c r="N56" s="346">
        <f t="shared" si="31"/>
        <v>0</v>
      </c>
      <c r="O56" s="194">
        <v>0</v>
      </c>
      <c r="P56" s="352">
        <f t="shared" si="32"/>
        <v>0</v>
      </c>
      <c r="Q56" s="196">
        <f>8*'[2]Table 5C1N-Delta Charter'!S56</f>
        <v>0</v>
      </c>
      <c r="R56" s="196">
        <f t="shared" si="33"/>
        <v>0</v>
      </c>
      <c r="S56" s="352">
        <f t="shared" si="48"/>
        <v>0</v>
      </c>
      <c r="T56" s="352">
        <f t="shared" si="34"/>
        <v>0</v>
      </c>
      <c r="U56" s="281">
        <f>'Table 5C1A-Madison Prep'!U56</f>
        <v>3413</v>
      </c>
      <c r="V56" s="329">
        <f t="shared" si="35"/>
        <v>0</v>
      </c>
      <c r="W56" s="884">
        <f>'[1]Oct midyear Delta'!E53</f>
        <v>0</v>
      </c>
      <c r="X56" s="282">
        <f t="shared" si="36"/>
        <v>0</v>
      </c>
      <c r="Y56" s="884">
        <f>'[1]Feb midyear Delta'!E53</f>
        <v>0</v>
      </c>
      <c r="Z56" s="282">
        <f t="shared" si="37"/>
        <v>0</v>
      </c>
      <c r="AA56" s="283">
        <f t="shared" si="38"/>
        <v>0</v>
      </c>
      <c r="AB56" s="325">
        <f t="shared" si="39"/>
        <v>0</v>
      </c>
      <c r="AC56" s="298">
        <f t="shared" si="40"/>
        <v>0</v>
      </c>
      <c r="AD56" s="325">
        <f t="shared" si="41"/>
        <v>0</v>
      </c>
      <c r="AE56" s="284">
        <v>0</v>
      </c>
      <c r="AF56" s="325">
        <f t="shared" si="42"/>
        <v>0</v>
      </c>
      <c r="AG56" s="284">
        <f>8*'[2]Table 5C1N-Delta Charter'!AI56</f>
        <v>0</v>
      </c>
      <c r="AH56" s="284">
        <f t="shared" si="43"/>
        <v>0</v>
      </c>
      <c r="AI56" s="325">
        <f t="shared" si="49"/>
        <v>0</v>
      </c>
      <c r="AJ56" s="338">
        <f t="shared" si="44"/>
        <v>0</v>
      </c>
      <c r="AK56" s="343">
        <f t="shared" si="45"/>
        <v>0</v>
      </c>
      <c r="AM56" s="296">
        <v>0</v>
      </c>
      <c r="AN56" s="296">
        <f t="shared" si="46"/>
        <v>0</v>
      </c>
      <c r="AO56" s="296">
        <f t="shared" si="47"/>
        <v>0</v>
      </c>
    </row>
    <row r="57" spans="1:41" ht="16.149999999999999" customHeight="1">
      <c r="A57" s="205">
        <v>51</v>
      </c>
      <c r="B57" s="206" t="s">
        <v>122</v>
      </c>
      <c r="C57" s="994">
        <f>+'Table 8 Membership 2.1.14'!T53</f>
        <v>0</v>
      </c>
      <c r="D57" s="208">
        <f>+'Table 5C1A-Madison Prep'!D57</f>
        <v>4154.1928602178996</v>
      </c>
      <c r="E57" s="209">
        <f t="shared" si="26"/>
        <v>0</v>
      </c>
      <c r="F57" s="209">
        <f>+'Table 5C1A-Madison Prep'!F57</f>
        <v>706.66</v>
      </c>
      <c r="G57" s="209">
        <f t="shared" si="27"/>
        <v>0</v>
      </c>
      <c r="H57" s="344">
        <f t="shared" si="28"/>
        <v>0</v>
      </c>
      <c r="I57" s="210">
        <f>'[1]Oct midyear Delta'!K54</f>
        <v>0</v>
      </c>
      <c r="J57" s="210">
        <f>'[1]Feb midyear Delta'!K54</f>
        <v>0</v>
      </c>
      <c r="K57" s="211">
        <f t="shared" si="29"/>
        <v>0</v>
      </c>
      <c r="L57" s="344">
        <f t="shared" si="30"/>
        <v>0</v>
      </c>
      <c r="M57" s="273">
        <f t="shared" si="22"/>
        <v>0</v>
      </c>
      <c r="N57" s="344">
        <f t="shared" si="31"/>
        <v>0</v>
      </c>
      <c r="O57" s="208">
        <v>0</v>
      </c>
      <c r="P57" s="350">
        <f t="shared" si="32"/>
        <v>0</v>
      </c>
      <c r="Q57" s="210">
        <f>8*'[2]Table 5C1N-Delta Charter'!S57</f>
        <v>0</v>
      </c>
      <c r="R57" s="210">
        <f t="shared" si="33"/>
        <v>0</v>
      </c>
      <c r="S57" s="350">
        <f t="shared" si="48"/>
        <v>0</v>
      </c>
      <c r="T57" s="350">
        <f t="shared" si="34"/>
        <v>0</v>
      </c>
      <c r="U57" s="274">
        <f>'Table 5C1A-Madison Prep'!U57</f>
        <v>4512</v>
      </c>
      <c r="V57" s="327">
        <f t="shared" si="35"/>
        <v>0</v>
      </c>
      <c r="W57" s="883">
        <f>'[1]Oct midyear Delta'!E54</f>
        <v>0</v>
      </c>
      <c r="X57" s="276">
        <f t="shared" si="36"/>
        <v>0</v>
      </c>
      <c r="Y57" s="883">
        <f>'[1]Feb midyear Delta'!E54</f>
        <v>0</v>
      </c>
      <c r="Z57" s="276">
        <f t="shared" si="37"/>
        <v>0</v>
      </c>
      <c r="AA57" s="275">
        <f t="shared" si="38"/>
        <v>0</v>
      </c>
      <c r="AB57" s="323">
        <f t="shared" si="39"/>
        <v>0</v>
      </c>
      <c r="AC57" s="278">
        <f t="shared" si="40"/>
        <v>0</v>
      </c>
      <c r="AD57" s="323">
        <f t="shared" si="41"/>
        <v>0</v>
      </c>
      <c r="AE57" s="279">
        <v>0</v>
      </c>
      <c r="AF57" s="323">
        <f t="shared" si="42"/>
        <v>0</v>
      </c>
      <c r="AG57" s="279">
        <f>8*'[2]Table 5C1N-Delta Charter'!AI57</f>
        <v>0</v>
      </c>
      <c r="AH57" s="279">
        <f t="shared" si="43"/>
        <v>0</v>
      </c>
      <c r="AI57" s="323">
        <f t="shared" si="49"/>
        <v>0</v>
      </c>
      <c r="AJ57" s="337">
        <f t="shared" si="44"/>
        <v>0</v>
      </c>
      <c r="AK57" s="341">
        <f t="shared" si="45"/>
        <v>0</v>
      </c>
      <c r="AM57" s="273">
        <v>0</v>
      </c>
      <c r="AN57" s="273">
        <f t="shared" si="46"/>
        <v>0</v>
      </c>
      <c r="AO57" s="273">
        <f t="shared" si="47"/>
        <v>0</v>
      </c>
    </row>
    <row r="58" spans="1:41" ht="16.149999999999999" customHeight="1">
      <c r="A58" s="198">
        <v>52</v>
      </c>
      <c r="B58" s="199" t="s">
        <v>123</v>
      </c>
      <c r="C58" s="995">
        <f>+'Table 8 Membership 2.1.14'!T54</f>
        <v>0</v>
      </c>
      <c r="D58" s="201">
        <f>+'Table 5C1A-Madison Prep'!D58</f>
        <v>5062.2745845228173</v>
      </c>
      <c r="E58" s="202">
        <f t="shared" si="26"/>
        <v>0</v>
      </c>
      <c r="F58" s="202">
        <f>+'Table 5C1A-Madison Prep'!F58</f>
        <v>658.37</v>
      </c>
      <c r="G58" s="202">
        <f t="shared" si="27"/>
        <v>0</v>
      </c>
      <c r="H58" s="345">
        <f t="shared" si="28"/>
        <v>0</v>
      </c>
      <c r="I58" s="203">
        <f>'[1]Oct midyear Delta'!K55</f>
        <v>0</v>
      </c>
      <c r="J58" s="203">
        <f>'[1]Feb midyear Delta'!K55</f>
        <v>0</v>
      </c>
      <c r="K58" s="204">
        <f t="shared" si="29"/>
        <v>0</v>
      </c>
      <c r="L58" s="345">
        <f t="shared" si="30"/>
        <v>0</v>
      </c>
      <c r="M58" s="286">
        <f t="shared" si="22"/>
        <v>0</v>
      </c>
      <c r="N58" s="345">
        <f t="shared" si="31"/>
        <v>0</v>
      </c>
      <c r="O58" s="201">
        <v>0</v>
      </c>
      <c r="P58" s="351">
        <f t="shared" si="32"/>
        <v>0</v>
      </c>
      <c r="Q58" s="203">
        <f>8*'[2]Table 5C1N-Delta Charter'!S58</f>
        <v>0</v>
      </c>
      <c r="R58" s="203">
        <f t="shared" si="33"/>
        <v>0</v>
      </c>
      <c r="S58" s="351">
        <f t="shared" si="48"/>
        <v>0</v>
      </c>
      <c r="T58" s="351">
        <f t="shared" si="34"/>
        <v>0</v>
      </c>
      <c r="U58" s="287">
        <f>'Table 5C1A-Madison Prep'!U58</f>
        <v>5289</v>
      </c>
      <c r="V58" s="328">
        <f t="shared" si="35"/>
        <v>0</v>
      </c>
      <c r="W58" s="289">
        <f>'[1]Oct midyear Delta'!E55</f>
        <v>0</v>
      </c>
      <c r="X58" s="290">
        <f t="shared" si="36"/>
        <v>0</v>
      </c>
      <c r="Y58" s="289">
        <f>'[1]Feb midyear Delta'!E55</f>
        <v>0</v>
      </c>
      <c r="Z58" s="290">
        <f t="shared" si="37"/>
        <v>0</v>
      </c>
      <c r="AA58" s="288">
        <f t="shared" si="38"/>
        <v>0</v>
      </c>
      <c r="AB58" s="324">
        <f t="shared" si="39"/>
        <v>0</v>
      </c>
      <c r="AC58" s="292">
        <f t="shared" si="40"/>
        <v>0</v>
      </c>
      <c r="AD58" s="324">
        <f t="shared" si="41"/>
        <v>0</v>
      </c>
      <c r="AE58" s="293">
        <v>0</v>
      </c>
      <c r="AF58" s="324">
        <f t="shared" si="42"/>
        <v>0</v>
      </c>
      <c r="AG58" s="293">
        <f>8*'[2]Table 5C1N-Delta Charter'!AI58</f>
        <v>0</v>
      </c>
      <c r="AH58" s="293">
        <f t="shared" si="43"/>
        <v>0</v>
      </c>
      <c r="AI58" s="324">
        <f t="shared" si="49"/>
        <v>0</v>
      </c>
      <c r="AJ58" s="321">
        <f t="shared" si="44"/>
        <v>0</v>
      </c>
      <c r="AK58" s="342">
        <f t="shared" si="45"/>
        <v>0</v>
      </c>
      <c r="AM58" s="286">
        <v>0</v>
      </c>
      <c r="AN58" s="286">
        <f t="shared" si="46"/>
        <v>0</v>
      </c>
      <c r="AO58" s="286">
        <f t="shared" si="47"/>
        <v>0</v>
      </c>
    </row>
    <row r="59" spans="1:41" ht="16.149999999999999" customHeight="1">
      <c r="A59" s="198">
        <v>53</v>
      </c>
      <c r="B59" s="199" t="s">
        <v>124</v>
      </c>
      <c r="C59" s="995">
        <f>+'Table 8 Membership 2.1.14'!T55</f>
        <v>0</v>
      </c>
      <c r="D59" s="201">
        <f>+'Table 5C1A-Madison Prep'!D59</f>
        <v>5060.1508194045482</v>
      </c>
      <c r="E59" s="202">
        <f t="shared" si="26"/>
        <v>0</v>
      </c>
      <c r="F59" s="202">
        <f>+'Table 5C1A-Madison Prep'!F59</f>
        <v>689.74</v>
      </c>
      <c r="G59" s="202">
        <f t="shared" si="27"/>
        <v>0</v>
      </c>
      <c r="H59" s="345">
        <f t="shared" si="28"/>
        <v>0</v>
      </c>
      <c r="I59" s="203">
        <f>'[1]Oct midyear Delta'!K56</f>
        <v>0</v>
      </c>
      <c r="J59" s="203">
        <f>'[1]Feb midyear Delta'!K56</f>
        <v>0</v>
      </c>
      <c r="K59" s="204">
        <f t="shared" si="29"/>
        <v>0</v>
      </c>
      <c r="L59" s="345">
        <f t="shared" si="30"/>
        <v>0</v>
      </c>
      <c r="M59" s="286">
        <f t="shared" si="22"/>
        <v>0</v>
      </c>
      <c r="N59" s="345">
        <f t="shared" si="31"/>
        <v>0</v>
      </c>
      <c r="O59" s="201">
        <v>0</v>
      </c>
      <c r="P59" s="351">
        <f t="shared" si="32"/>
        <v>0</v>
      </c>
      <c r="Q59" s="203">
        <f>8*'[2]Table 5C1N-Delta Charter'!S59</f>
        <v>0</v>
      </c>
      <c r="R59" s="203">
        <f t="shared" si="33"/>
        <v>0</v>
      </c>
      <c r="S59" s="351">
        <f t="shared" si="48"/>
        <v>0</v>
      </c>
      <c r="T59" s="351">
        <f t="shared" si="34"/>
        <v>0</v>
      </c>
      <c r="U59" s="287">
        <f>'Table 5C1A-Madison Prep'!U59</f>
        <v>2101</v>
      </c>
      <c r="V59" s="328">
        <f t="shared" si="35"/>
        <v>0</v>
      </c>
      <c r="W59" s="289">
        <f>'[1]Oct midyear Delta'!E56</f>
        <v>0</v>
      </c>
      <c r="X59" s="290">
        <f t="shared" si="36"/>
        <v>0</v>
      </c>
      <c r="Y59" s="289">
        <f>'[1]Feb midyear Delta'!E56</f>
        <v>0</v>
      </c>
      <c r="Z59" s="290">
        <f t="shared" si="37"/>
        <v>0</v>
      </c>
      <c r="AA59" s="288">
        <f t="shared" si="38"/>
        <v>0</v>
      </c>
      <c r="AB59" s="324">
        <f t="shared" si="39"/>
        <v>0</v>
      </c>
      <c r="AC59" s="292">
        <f t="shared" si="40"/>
        <v>0</v>
      </c>
      <c r="AD59" s="324">
        <f t="shared" si="41"/>
        <v>0</v>
      </c>
      <c r="AE59" s="293">
        <v>0</v>
      </c>
      <c r="AF59" s="324">
        <f t="shared" si="42"/>
        <v>0</v>
      </c>
      <c r="AG59" s="293">
        <f>8*'[2]Table 5C1N-Delta Charter'!AI59</f>
        <v>0</v>
      </c>
      <c r="AH59" s="293">
        <f t="shared" si="43"/>
        <v>0</v>
      </c>
      <c r="AI59" s="324">
        <f t="shared" si="49"/>
        <v>0</v>
      </c>
      <c r="AJ59" s="321">
        <f t="shared" si="44"/>
        <v>0</v>
      </c>
      <c r="AK59" s="342">
        <f t="shared" si="45"/>
        <v>0</v>
      </c>
      <c r="AM59" s="286">
        <v>0</v>
      </c>
      <c r="AN59" s="286">
        <f t="shared" si="46"/>
        <v>0</v>
      </c>
      <c r="AO59" s="286">
        <f t="shared" si="47"/>
        <v>0</v>
      </c>
    </row>
    <row r="60" spans="1:41" ht="16.149999999999999" customHeight="1">
      <c r="A60" s="198">
        <v>54</v>
      </c>
      <c r="B60" s="199" t="s">
        <v>125</v>
      </c>
      <c r="C60" s="995">
        <f>+'Table 8 Membership 2.1.14'!T56</f>
        <v>8</v>
      </c>
      <c r="D60" s="201">
        <f>+'Table 5C1A-Madison Prep'!D60</f>
        <v>5867.0798370516713</v>
      </c>
      <c r="E60" s="202">
        <f t="shared" si="26"/>
        <v>46936.638696413371</v>
      </c>
      <c r="F60" s="202">
        <f>+'Table 5C1A-Madison Prep'!F60</f>
        <v>951.45</v>
      </c>
      <c r="G60" s="202">
        <f t="shared" si="27"/>
        <v>7611.6</v>
      </c>
      <c r="H60" s="345">
        <f t="shared" si="28"/>
        <v>54548.238696413369</v>
      </c>
      <c r="I60" s="203">
        <f>'[1]Oct midyear Delta'!K57</f>
        <v>0</v>
      </c>
      <c r="J60" s="203">
        <f>'[1]Feb midyear Delta'!K57</f>
        <v>0</v>
      </c>
      <c r="K60" s="204">
        <f t="shared" si="29"/>
        <v>0</v>
      </c>
      <c r="L60" s="345">
        <f t="shared" si="30"/>
        <v>54548.238696413369</v>
      </c>
      <c r="M60" s="286">
        <f t="shared" si="22"/>
        <v>-136.37059674103344</v>
      </c>
      <c r="N60" s="345">
        <f t="shared" si="31"/>
        <v>54411.868099672334</v>
      </c>
      <c r="O60" s="201">
        <v>0</v>
      </c>
      <c r="P60" s="351">
        <f t="shared" si="32"/>
        <v>54411.868099672334</v>
      </c>
      <c r="Q60" s="203">
        <f>8*'[2]Table 5C1N-Delta Charter'!S60</f>
        <v>36272</v>
      </c>
      <c r="R60" s="203">
        <f t="shared" si="33"/>
        <v>18139.868099672334</v>
      </c>
      <c r="S60" s="351">
        <f t="shared" si="48"/>
        <v>4535</v>
      </c>
      <c r="T60" s="351">
        <f t="shared" si="34"/>
        <v>54411.868099672334</v>
      </c>
      <c r="U60" s="287">
        <f>'Table 5C1A-Madison Prep'!U60</f>
        <v>4150</v>
      </c>
      <c r="V60" s="328">
        <f t="shared" si="35"/>
        <v>33200</v>
      </c>
      <c r="W60" s="289">
        <f>'[1]Oct midyear Delta'!E57</f>
        <v>0</v>
      </c>
      <c r="X60" s="290">
        <f t="shared" si="36"/>
        <v>0</v>
      </c>
      <c r="Y60" s="289">
        <f>'[1]Feb midyear Delta'!E57</f>
        <v>0</v>
      </c>
      <c r="Z60" s="290">
        <f t="shared" si="37"/>
        <v>0</v>
      </c>
      <c r="AA60" s="288">
        <f t="shared" si="38"/>
        <v>0</v>
      </c>
      <c r="AB60" s="324">
        <f t="shared" si="39"/>
        <v>33200</v>
      </c>
      <c r="AC60" s="292">
        <f t="shared" si="40"/>
        <v>-83</v>
      </c>
      <c r="AD60" s="324">
        <f t="shared" si="41"/>
        <v>33117</v>
      </c>
      <c r="AE60" s="293">
        <v>0</v>
      </c>
      <c r="AF60" s="324">
        <f t="shared" si="42"/>
        <v>33117</v>
      </c>
      <c r="AG60" s="293">
        <f>8*'[2]Table 5C1N-Delta Charter'!AI60</f>
        <v>21896</v>
      </c>
      <c r="AH60" s="293">
        <f t="shared" si="43"/>
        <v>11221</v>
      </c>
      <c r="AI60" s="324">
        <f t="shared" si="49"/>
        <v>2805</v>
      </c>
      <c r="AJ60" s="321">
        <f t="shared" si="44"/>
        <v>87528.868099672341</v>
      </c>
      <c r="AK60" s="342">
        <f t="shared" si="45"/>
        <v>7340</v>
      </c>
      <c r="AM60" s="286">
        <v>-82.320000000000007</v>
      </c>
      <c r="AN60" s="286">
        <f t="shared" si="46"/>
        <v>-83</v>
      </c>
      <c r="AO60" s="286">
        <f t="shared" si="47"/>
        <v>-0.67999999999999261</v>
      </c>
    </row>
    <row r="61" spans="1:41" ht="16.149999999999999" customHeight="1">
      <c r="A61" s="191">
        <v>55</v>
      </c>
      <c r="B61" s="192" t="s">
        <v>126</v>
      </c>
      <c r="C61" s="996">
        <f>+'Table 8 Membership 2.1.14'!T57</f>
        <v>0</v>
      </c>
      <c r="D61" s="194">
        <f>+'Table 5C1A-Madison Prep'!D61</f>
        <v>4266.8225491298481</v>
      </c>
      <c r="E61" s="195">
        <f t="shared" si="26"/>
        <v>0</v>
      </c>
      <c r="F61" s="195">
        <f>+'Table 5C1A-Madison Prep'!F61</f>
        <v>795.14</v>
      </c>
      <c r="G61" s="195">
        <f t="shared" si="27"/>
        <v>0</v>
      </c>
      <c r="H61" s="346">
        <f t="shared" si="28"/>
        <v>0</v>
      </c>
      <c r="I61" s="196">
        <f>'[1]Oct midyear Delta'!K58</f>
        <v>0</v>
      </c>
      <c r="J61" s="196">
        <f>'[1]Feb midyear Delta'!K58</f>
        <v>0</v>
      </c>
      <c r="K61" s="197">
        <f t="shared" si="29"/>
        <v>0</v>
      </c>
      <c r="L61" s="346">
        <f t="shared" si="30"/>
        <v>0</v>
      </c>
      <c r="M61" s="296">
        <f t="shared" si="22"/>
        <v>0</v>
      </c>
      <c r="N61" s="346">
        <f t="shared" si="31"/>
        <v>0</v>
      </c>
      <c r="O61" s="194">
        <v>0</v>
      </c>
      <c r="P61" s="352">
        <f t="shared" si="32"/>
        <v>0</v>
      </c>
      <c r="Q61" s="196">
        <f>8*'[2]Table 5C1N-Delta Charter'!S61</f>
        <v>0</v>
      </c>
      <c r="R61" s="196">
        <f t="shared" si="33"/>
        <v>0</v>
      </c>
      <c r="S61" s="352">
        <f t="shared" si="48"/>
        <v>0</v>
      </c>
      <c r="T61" s="352">
        <f t="shared" si="34"/>
        <v>0</v>
      </c>
      <c r="U61" s="281">
        <f>'Table 5C1A-Madison Prep'!U61</f>
        <v>3637</v>
      </c>
      <c r="V61" s="329">
        <f t="shared" si="35"/>
        <v>0</v>
      </c>
      <c r="W61" s="884">
        <f>'[1]Oct midyear Delta'!E58</f>
        <v>0</v>
      </c>
      <c r="X61" s="282">
        <f t="shared" si="36"/>
        <v>0</v>
      </c>
      <c r="Y61" s="884">
        <f>'[1]Feb midyear Delta'!E58</f>
        <v>0</v>
      </c>
      <c r="Z61" s="282">
        <f t="shared" si="37"/>
        <v>0</v>
      </c>
      <c r="AA61" s="283">
        <f t="shared" si="38"/>
        <v>0</v>
      </c>
      <c r="AB61" s="325">
        <f t="shared" si="39"/>
        <v>0</v>
      </c>
      <c r="AC61" s="298">
        <f t="shared" si="40"/>
        <v>0</v>
      </c>
      <c r="AD61" s="325">
        <f t="shared" si="41"/>
        <v>0</v>
      </c>
      <c r="AE61" s="284">
        <v>0</v>
      </c>
      <c r="AF61" s="325">
        <f t="shared" si="42"/>
        <v>0</v>
      </c>
      <c r="AG61" s="284">
        <f>8*'[2]Table 5C1N-Delta Charter'!AI61</f>
        <v>0</v>
      </c>
      <c r="AH61" s="284">
        <f t="shared" si="43"/>
        <v>0</v>
      </c>
      <c r="AI61" s="325">
        <f t="shared" si="49"/>
        <v>0</v>
      </c>
      <c r="AJ61" s="338">
        <f t="shared" si="44"/>
        <v>0</v>
      </c>
      <c r="AK61" s="343">
        <f t="shared" si="45"/>
        <v>0</v>
      </c>
      <c r="AM61" s="296">
        <v>0</v>
      </c>
      <c r="AN61" s="296">
        <f t="shared" si="46"/>
        <v>0</v>
      </c>
      <c r="AO61" s="296">
        <f t="shared" si="47"/>
        <v>0</v>
      </c>
    </row>
    <row r="62" spans="1:41" ht="16.149999999999999" customHeight="1">
      <c r="A62" s="205">
        <v>56</v>
      </c>
      <c r="B62" s="206" t="s">
        <v>127</v>
      </c>
      <c r="C62" s="994">
        <f>+'Table 8 Membership 2.1.14'!T58</f>
        <v>0</v>
      </c>
      <c r="D62" s="208">
        <f>+'Table 5C1A-Madison Prep'!D62</f>
        <v>5028.4909408288286</v>
      </c>
      <c r="E62" s="209">
        <f t="shared" si="26"/>
        <v>0</v>
      </c>
      <c r="F62" s="209">
        <f>+'Table 5C1A-Madison Prep'!F62</f>
        <v>614.66000000000008</v>
      </c>
      <c r="G62" s="209">
        <f t="shared" si="27"/>
        <v>0</v>
      </c>
      <c r="H62" s="344">
        <f t="shared" si="28"/>
        <v>0</v>
      </c>
      <c r="I62" s="210">
        <f>'[1]Oct midyear Delta'!K59</f>
        <v>0</v>
      </c>
      <c r="J62" s="210">
        <f>'[1]Feb midyear Delta'!K59</f>
        <v>0</v>
      </c>
      <c r="K62" s="211">
        <f t="shared" si="29"/>
        <v>0</v>
      </c>
      <c r="L62" s="344">
        <f t="shared" si="30"/>
        <v>0</v>
      </c>
      <c r="M62" s="273">
        <f t="shared" si="22"/>
        <v>0</v>
      </c>
      <c r="N62" s="344">
        <f t="shared" si="31"/>
        <v>0</v>
      </c>
      <c r="O62" s="208">
        <v>0</v>
      </c>
      <c r="P62" s="350">
        <f t="shared" si="32"/>
        <v>0</v>
      </c>
      <c r="Q62" s="210">
        <f>8*'[2]Table 5C1N-Delta Charter'!S62</f>
        <v>0</v>
      </c>
      <c r="R62" s="210">
        <f t="shared" si="33"/>
        <v>0</v>
      </c>
      <c r="S62" s="350">
        <f t="shared" si="48"/>
        <v>0</v>
      </c>
      <c r="T62" s="350">
        <f t="shared" si="34"/>
        <v>0</v>
      </c>
      <c r="U62" s="274">
        <f>'Table 5C1A-Madison Prep'!U62</f>
        <v>2857</v>
      </c>
      <c r="V62" s="327">
        <f t="shared" si="35"/>
        <v>0</v>
      </c>
      <c r="W62" s="883">
        <f>'[1]Oct midyear Delta'!E59</f>
        <v>0</v>
      </c>
      <c r="X62" s="276">
        <f t="shared" si="36"/>
        <v>0</v>
      </c>
      <c r="Y62" s="883">
        <f>'[1]Feb midyear Delta'!E59</f>
        <v>0</v>
      </c>
      <c r="Z62" s="276">
        <f t="shared" si="37"/>
        <v>0</v>
      </c>
      <c r="AA62" s="275">
        <f t="shared" si="38"/>
        <v>0</v>
      </c>
      <c r="AB62" s="323">
        <f t="shared" si="39"/>
        <v>0</v>
      </c>
      <c r="AC62" s="278">
        <f t="shared" si="40"/>
        <v>0</v>
      </c>
      <c r="AD62" s="323">
        <f t="shared" si="41"/>
        <v>0</v>
      </c>
      <c r="AE62" s="279">
        <v>0</v>
      </c>
      <c r="AF62" s="323">
        <f t="shared" si="42"/>
        <v>0</v>
      </c>
      <c r="AG62" s="279">
        <f>8*'[2]Table 5C1N-Delta Charter'!AI62</f>
        <v>0</v>
      </c>
      <c r="AH62" s="279">
        <f t="shared" si="43"/>
        <v>0</v>
      </c>
      <c r="AI62" s="323">
        <f t="shared" si="49"/>
        <v>0</v>
      </c>
      <c r="AJ62" s="337">
        <f t="shared" si="44"/>
        <v>0</v>
      </c>
      <c r="AK62" s="341">
        <f t="shared" si="45"/>
        <v>0</v>
      </c>
      <c r="AM62" s="273">
        <v>0</v>
      </c>
      <c r="AN62" s="273">
        <f t="shared" si="46"/>
        <v>0</v>
      </c>
      <c r="AO62" s="273">
        <f t="shared" si="47"/>
        <v>0</v>
      </c>
    </row>
    <row r="63" spans="1:41" ht="16.149999999999999" customHeight="1">
      <c r="A63" s="198">
        <v>57</v>
      </c>
      <c r="B63" s="199" t="s">
        <v>128</v>
      </c>
      <c r="C63" s="995">
        <f>+'Table 8 Membership 2.1.14'!T59</f>
        <v>0</v>
      </c>
      <c r="D63" s="201">
        <f>+'Table 5C1A-Madison Prep'!D63</f>
        <v>4625.9922979230687</v>
      </c>
      <c r="E63" s="202">
        <f t="shared" si="26"/>
        <v>0</v>
      </c>
      <c r="F63" s="202">
        <f>+'Table 5C1A-Madison Prep'!F63</f>
        <v>764.51</v>
      </c>
      <c r="G63" s="202">
        <f t="shared" si="27"/>
        <v>0</v>
      </c>
      <c r="H63" s="345">
        <f t="shared" si="28"/>
        <v>0</v>
      </c>
      <c r="I63" s="203">
        <f>'[1]Oct midyear Delta'!K60</f>
        <v>0</v>
      </c>
      <c r="J63" s="203">
        <f>'[1]Feb midyear Delta'!K60</f>
        <v>0</v>
      </c>
      <c r="K63" s="204">
        <f t="shared" si="29"/>
        <v>0</v>
      </c>
      <c r="L63" s="345">
        <f t="shared" si="30"/>
        <v>0</v>
      </c>
      <c r="M63" s="286">
        <f t="shared" si="22"/>
        <v>0</v>
      </c>
      <c r="N63" s="345">
        <f t="shared" si="31"/>
        <v>0</v>
      </c>
      <c r="O63" s="201">
        <v>0</v>
      </c>
      <c r="P63" s="351">
        <f t="shared" si="32"/>
        <v>0</v>
      </c>
      <c r="Q63" s="203">
        <f>8*'[2]Table 5C1N-Delta Charter'!S63</f>
        <v>0</v>
      </c>
      <c r="R63" s="203">
        <f t="shared" si="33"/>
        <v>0</v>
      </c>
      <c r="S63" s="351">
        <f t="shared" si="48"/>
        <v>0</v>
      </c>
      <c r="T63" s="351">
        <f t="shared" si="34"/>
        <v>0</v>
      </c>
      <c r="U63" s="287">
        <f>'Table 5C1A-Madison Prep'!U63</f>
        <v>3465</v>
      </c>
      <c r="V63" s="328">
        <f t="shared" si="35"/>
        <v>0</v>
      </c>
      <c r="W63" s="289">
        <f>'[1]Oct midyear Delta'!E60</f>
        <v>0</v>
      </c>
      <c r="X63" s="290">
        <f t="shared" si="36"/>
        <v>0</v>
      </c>
      <c r="Y63" s="289">
        <f>'[1]Feb midyear Delta'!E60</f>
        <v>0</v>
      </c>
      <c r="Z63" s="290">
        <f t="shared" si="37"/>
        <v>0</v>
      </c>
      <c r="AA63" s="288">
        <f t="shared" si="38"/>
        <v>0</v>
      </c>
      <c r="AB63" s="324">
        <f t="shared" si="39"/>
        <v>0</v>
      </c>
      <c r="AC63" s="292">
        <f t="shared" si="40"/>
        <v>0</v>
      </c>
      <c r="AD63" s="324">
        <f t="shared" si="41"/>
        <v>0</v>
      </c>
      <c r="AE63" s="293">
        <v>0</v>
      </c>
      <c r="AF63" s="324">
        <f t="shared" si="42"/>
        <v>0</v>
      </c>
      <c r="AG63" s="293">
        <f>8*'[2]Table 5C1N-Delta Charter'!AI63</f>
        <v>0</v>
      </c>
      <c r="AH63" s="293">
        <f t="shared" si="43"/>
        <v>0</v>
      </c>
      <c r="AI63" s="324">
        <f t="shared" si="49"/>
        <v>0</v>
      </c>
      <c r="AJ63" s="321">
        <f t="shared" si="44"/>
        <v>0</v>
      </c>
      <c r="AK63" s="342">
        <f t="shared" si="45"/>
        <v>0</v>
      </c>
      <c r="AM63" s="286">
        <v>0</v>
      </c>
      <c r="AN63" s="286">
        <f t="shared" si="46"/>
        <v>0</v>
      </c>
      <c r="AO63" s="286">
        <f t="shared" si="47"/>
        <v>0</v>
      </c>
    </row>
    <row r="64" spans="1:41" ht="16.149999999999999" customHeight="1">
      <c r="A64" s="198">
        <v>58</v>
      </c>
      <c r="B64" s="199" t="s">
        <v>129</v>
      </c>
      <c r="C64" s="995">
        <f>+'Table 8 Membership 2.1.14'!T60</f>
        <v>0</v>
      </c>
      <c r="D64" s="201">
        <f>+'Table 5C1A-Madison Prep'!D64</f>
        <v>5673.1129637882123</v>
      </c>
      <c r="E64" s="202">
        <f t="shared" si="26"/>
        <v>0</v>
      </c>
      <c r="F64" s="202">
        <f>+'Table 5C1A-Madison Prep'!F64</f>
        <v>697.04</v>
      </c>
      <c r="G64" s="202">
        <f t="shared" si="27"/>
        <v>0</v>
      </c>
      <c r="H64" s="345">
        <f t="shared" si="28"/>
        <v>0</v>
      </c>
      <c r="I64" s="203">
        <f>'[1]Oct midyear Delta'!K61</f>
        <v>0</v>
      </c>
      <c r="J64" s="203">
        <f>'[1]Feb midyear Delta'!K61</f>
        <v>0</v>
      </c>
      <c r="K64" s="204">
        <f t="shared" si="29"/>
        <v>0</v>
      </c>
      <c r="L64" s="345">
        <f t="shared" si="30"/>
        <v>0</v>
      </c>
      <c r="M64" s="286">
        <f t="shared" si="22"/>
        <v>0</v>
      </c>
      <c r="N64" s="345">
        <f t="shared" si="31"/>
        <v>0</v>
      </c>
      <c r="O64" s="201">
        <v>0</v>
      </c>
      <c r="P64" s="351">
        <f t="shared" si="32"/>
        <v>0</v>
      </c>
      <c r="Q64" s="203">
        <f>8*'[2]Table 5C1N-Delta Charter'!S64</f>
        <v>0</v>
      </c>
      <c r="R64" s="203">
        <f t="shared" si="33"/>
        <v>0</v>
      </c>
      <c r="S64" s="351">
        <f t="shared" si="48"/>
        <v>0</v>
      </c>
      <c r="T64" s="351">
        <f t="shared" si="34"/>
        <v>0</v>
      </c>
      <c r="U64" s="287">
        <f>'Table 5C1A-Madison Prep'!U64</f>
        <v>2167</v>
      </c>
      <c r="V64" s="328">
        <f t="shared" si="35"/>
        <v>0</v>
      </c>
      <c r="W64" s="289">
        <f>'[1]Oct midyear Delta'!E61</f>
        <v>0</v>
      </c>
      <c r="X64" s="290">
        <f t="shared" si="36"/>
        <v>0</v>
      </c>
      <c r="Y64" s="289">
        <f>'[1]Feb midyear Delta'!E61</f>
        <v>0</v>
      </c>
      <c r="Z64" s="290">
        <f t="shared" si="37"/>
        <v>0</v>
      </c>
      <c r="AA64" s="288">
        <f t="shared" si="38"/>
        <v>0</v>
      </c>
      <c r="AB64" s="324">
        <f t="shared" si="39"/>
        <v>0</v>
      </c>
      <c r="AC64" s="292">
        <f t="shared" si="40"/>
        <v>0</v>
      </c>
      <c r="AD64" s="324">
        <f t="shared" si="41"/>
        <v>0</v>
      </c>
      <c r="AE64" s="293">
        <v>0</v>
      </c>
      <c r="AF64" s="324">
        <f t="shared" si="42"/>
        <v>0</v>
      </c>
      <c r="AG64" s="293">
        <f>8*'[2]Table 5C1N-Delta Charter'!AI64</f>
        <v>0</v>
      </c>
      <c r="AH64" s="293">
        <f t="shared" si="43"/>
        <v>0</v>
      </c>
      <c r="AI64" s="324">
        <f t="shared" si="49"/>
        <v>0</v>
      </c>
      <c r="AJ64" s="321">
        <f t="shared" si="44"/>
        <v>0</v>
      </c>
      <c r="AK64" s="342">
        <f t="shared" si="45"/>
        <v>0</v>
      </c>
      <c r="AM64" s="286">
        <v>0</v>
      </c>
      <c r="AN64" s="286">
        <f t="shared" si="46"/>
        <v>0</v>
      </c>
      <c r="AO64" s="286">
        <f t="shared" si="47"/>
        <v>0</v>
      </c>
    </row>
    <row r="65" spans="1:41" ht="16.149999999999999" customHeight="1">
      <c r="A65" s="198">
        <v>59</v>
      </c>
      <c r="B65" s="199" t="s">
        <v>130</v>
      </c>
      <c r="C65" s="995">
        <f>+'Table 8 Membership 2.1.14'!T61</f>
        <v>0</v>
      </c>
      <c r="D65" s="201">
        <f>+'Table 5C1A-Madison Prep'!D65</f>
        <v>6621.946293521848</v>
      </c>
      <c r="E65" s="202">
        <f t="shared" si="26"/>
        <v>0</v>
      </c>
      <c r="F65" s="202">
        <f>+'Table 5C1A-Madison Prep'!F65</f>
        <v>689.52</v>
      </c>
      <c r="G65" s="202">
        <f t="shared" si="27"/>
        <v>0</v>
      </c>
      <c r="H65" s="345">
        <f t="shared" si="28"/>
        <v>0</v>
      </c>
      <c r="I65" s="203">
        <f>'[1]Oct midyear Delta'!K62</f>
        <v>0</v>
      </c>
      <c r="J65" s="203">
        <f>'[1]Feb midyear Delta'!K62</f>
        <v>0</v>
      </c>
      <c r="K65" s="204">
        <f t="shared" si="29"/>
        <v>0</v>
      </c>
      <c r="L65" s="345">
        <f t="shared" si="30"/>
        <v>0</v>
      </c>
      <c r="M65" s="286">
        <f t="shared" si="22"/>
        <v>0</v>
      </c>
      <c r="N65" s="345">
        <f t="shared" si="31"/>
        <v>0</v>
      </c>
      <c r="O65" s="201">
        <v>0</v>
      </c>
      <c r="P65" s="351">
        <f t="shared" si="32"/>
        <v>0</v>
      </c>
      <c r="Q65" s="203">
        <f>8*'[2]Table 5C1N-Delta Charter'!S65</f>
        <v>0</v>
      </c>
      <c r="R65" s="203">
        <f t="shared" si="33"/>
        <v>0</v>
      </c>
      <c r="S65" s="351">
        <f t="shared" si="48"/>
        <v>0</v>
      </c>
      <c r="T65" s="351">
        <f t="shared" si="34"/>
        <v>0</v>
      </c>
      <c r="U65" s="287">
        <f>'Table 5C1A-Madison Prep'!U65</f>
        <v>1521</v>
      </c>
      <c r="V65" s="328">
        <f t="shared" si="35"/>
        <v>0</v>
      </c>
      <c r="W65" s="289">
        <f>'[1]Oct midyear Delta'!E62</f>
        <v>0</v>
      </c>
      <c r="X65" s="290">
        <f t="shared" si="36"/>
        <v>0</v>
      </c>
      <c r="Y65" s="289">
        <f>'[1]Feb midyear Delta'!E62</f>
        <v>0</v>
      </c>
      <c r="Z65" s="290">
        <f t="shared" si="37"/>
        <v>0</v>
      </c>
      <c r="AA65" s="288">
        <f t="shared" si="38"/>
        <v>0</v>
      </c>
      <c r="AB65" s="324">
        <f t="shared" si="39"/>
        <v>0</v>
      </c>
      <c r="AC65" s="292">
        <f t="shared" si="40"/>
        <v>0</v>
      </c>
      <c r="AD65" s="324">
        <f t="shared" si="41"/>
        <v>0</v>
      </c>
      <c r="AE65" s="293">
        <v>0</v>
      </c>
      <c r="AF65" s="324">
        <f t="shared" si="42"/>
        <v>0</v>
      </c>
      <c r="AG65" s="293">
        <f>8*'[2]Table 5C1N-Delta Charter'!AI65</f>
        <v>0</v>
      </c>
      <c r="AH65" s="293">
        <f t="shared" si="43"/>
        <v>0</v>
      </c>
      <c r="AI65" s="324">
        <f t="shared" si="49"/>
        <v>0</v>
      </c>
      <c r="AJ65" s="321">
        <f t="shared" si="44"/>
        <v>0</v>
      </c>
      <c r="AK65" s="342">
        <f t="shared" si="45"/>
        <v>0</v>
      </c>
      <c r="AM65" s="286">
        <v>0</v>
      </c>
      <c r="AN65" s="286">
        <f t="shared" si="46"/>
        <v>0</v>
      </c>
      <c r="AO65" s="286">
        <f t="shared" si="47"/>
        <v>0</v>
      </c>
    </row>
    <row r="66" spans="1:41" ht="16.149999999999999" customHeight="1">
      <c r="A66" s="191">
        <v>60</v>
      </c>
      <c r="B66" s="192" t="s">
        <v>131</v>
      </c>
      <c r="C66" s="996">
        <f>+'Table 8 Membership 2.1.14'!T62</f>
        <v>0</v>
      </c>
      <c r="D66" s="194">
        <f>+'Table 5C1A-Madison Prep'!D66</f>
        <v>5301.224090063828</v>
      </c>
      <c r="E66" s="195">
        <f t="shared" si="26"/>
        <v>0</v>
      </c>
      <c r="F66" s="195">
        <f>+'Table 5C1A-Madison Prep'!F66</f>
        <v>594.04</v>
      </c>
      <c r="G66" s="195">
        <f t="shared" si="27"/>
        <v>0</v>
      </c>
      <c r="H66" s="346">
        <f t="shared" si="28"/>
        <v>0</v>
      </c>
      <c r="I66" s="196">
        <f>'[1]Oct midyear Delta'!K63</f>
        <v>0</v>
      </c>
      <c r="J66" s="196">
        <f>'[1]Feb midyear Delta'!K63</f>
        <v>0</v>
      </c>
      <c r="K66" s="197">
        <f t="shared" si="29"/>
        <v>0</v>
      </c>
      <c r="L66" s="346">
        <f t="shared" si="30"/>
        <v>0</v>
      </c>
      <c r="M66" s="296">
        <f t="shared" si="22"/>
        <v>0</v>
      </c>
      <c r="N66" s="346">
        <f t="shared" si="31"/>
        <v>0</v>
      </c>
      <c r="O66" s="194">
        <v>0</v>
      </c>
      <c r="P66" s="352">
        <f t="shared" si="32"/>
        <v>0</v>
      </c>
      <c r="Q66" s="196">
        <f>8*'[2]Table 5C1N-Delta Charter'!S66</f>
        <v>0</v>
      </c>
      <c r="R66" s="196">
        <f t="shared" si="33"/>
        <v>0</v>
      </c>
      <c r="S66" s="352">
        <f t="shared" si="48"/>
        <v>0</v>
      </c>
      <c r="T66" s="352">
        <f t="shared" si="34"/>
        <v>0</v>
      </c>
      <c r="U66" s="281">
        <f>'Table 5C1A-Madison Prep'!U66</f>
        <v>4024</v>
      </c>
      <c r="V66" s="329">
        <f t="shared" si="35"/>
        <v>0</v>
      </c>
      <c r="W66" s="884">
        <f>'[1]Oct midyear Delta'!E63</f>
        <v>0</v>
      </c>
      <c r="X66" s="282">
        <f t="shared" si="36"/>
        <v>0</v>
      </c>
      <c r="Y66" s="884">
        <f>'[1]Feb midyear Delta'!E63</f>
        <v>0</v>
      </c>
      <c r="Z66" s="282">
        <f t="shared" si="37"/>
        <v>0</v>
      </c>
      <c r="AA66" s="283">
        <f t="shared" si="38"/>
        <v>0</v>
      </c>
      <c r="AB66" s="325">
        <f t="shared" si="39"/>
        <v>0</v>
      </c>
      <c r="AC66" s="298">
        <f t="shared" si="40"/>
        <v>0</v>
      </c>
      <c r="AD66" s="325">
        <f t="shared" si="41"/>
        <v>0</v>
      </c>
      <c r="AE66" s="284">
        <v>0</v>
      </c>
      <c r="AF66" s="325">
        <f t="shared" si="42"/>
        <v>0</v>
      </c>
      <c r="AG66" s="284">
        <f>8*'[2]Table 5C1N-Delta Charter'!AI66</f>
        <v>0</v>
      </c>
      <c r="AH66" s="284">
        <f t="shared" si="43"/>
        <v>0</v>
      </c>
      <c r="AI66" s="325">
        <f t="shared" si="49"/>
        <v>0</v>
      </c>
      <c r="AJ66" s="338">
        <f t="shared" si="44"/>
        <v>0</v>
      </c>
      <c r="AK66" s="343">
        <f t="shared" si="45"/>
        <v>0</v>
      </c>
      <c r="AM66" s="296">
        <v>0</v>
      </c>
      <c r="AN66" s="296">
        <f t="shared" si="46"/>
        <v>0</v>
      </c>
      <c r="AO66" s="296">
        <f t="shared" si="47"/>
        <v>0</v>
      </c>
    </row>
    <row r="67" spans="1:41" ht="16.149999999999999" customHeight="1">
      <c r="A67" s="205">
        <v>61</v>
      </c>
      <c r="B67" s="206" t="s">
        <v>132</v>
      </c>
      <c r="C67" s="994">
        <f>+'Table 8 Membership 2.1.14'!T63</f>
        <v>0</v>
      </c>
      <c r="D67" s="208">
        <f>+'Table 5C1A-Madison Prep'!D67</f>
        <v>2854.1575356369185</v>
      </c>
      <c r="E67" s="209">
        <f t="shared" si="26"/>
        <v>0</v>
      </c>
      <c r="F67" s="209">
        <f>+'Table 5C1A-Madison Prep'!F67</f>
        <v>833.70999999999992</v>
      </c>
      <c r="G67" s="209">
        <f t="shared" si="27"/>
        <v>0</v>
      </c>
      <c r="H67" s="344">
        <f t="shared" si="28"/>
        <v>0</v>
      </c>
      <c r="I67" s="210">
        <f>'[1]Oct midyear Delta'!K64</f>
        <v>0</v>
      </c>
      <c r="J67" s="210">
        <f>'[1]Feb midyear Delta'!K64</f>
        <v>0</v>
      </c>
      <c r="K67" s="211">
        <f t="shared" si="29"/>
        <v>0</v>
      </c>
      <c r="L67" s="344">
        <f t="shared" si="30"/>
        <v>0</v>
      </c>
      <c r="M67" s="273">
        <f t="shared" si="22"/>
        <v>0</v>
      </c>
      <c r="N67" s="344">
        <f t="shared" si="31"/>
        <v>0</v>
      </c>
      <c r="O67" s="208">
        <v>0</v>
      </c>
      <c r="P67" s="350">
        <f t="shared" si="32"/>
        <v>0</v>
      </c>
      <c r="Q67" s="210">
        <f>8*'[2]Table 5C1N-Delta Charter'!S67</f>
        <v>0</v>
      </c>
      <c r="R67" s="210">
        <f t="shared" si="33"/>
        <v>0</v>
      </c>
      <c r="S67" s="350">
        <f t="shared" si="48"/>
        <v>0</v>
      </c>
      <c r="T67" s="350">
        <f t="shared" si="34"/>
        <v>0</v>
      </c>
      <c r="U67" s="274">
        <f>'Table 5C1A-Madison Prep'!U67</f>
        <v>6739</v>
      </c>
      <c r="V67" s="327">
        <f t="shared" si="35"/>
        <v>0</v>
      </c>
      <c r="W67" s="883">
        <f>'[1]Oct midyear Delta'!E64</f>
        <v>0</v>
      </c>
      <c r="X67" s="276">
        <f t="shared" si="36"/>
        <v>0</v>
      </c>
      <c r="Y67" s="883">
        <f>'[1]Feb midyear Delta'!E64</f>
        <v>0</v>
      </c>
      <c r="Z67" s="276">
        <f t="shared" si="37"/>
        <v>0</v>
      </c>
      <c r="AA67" s="275">
        <f t="shared" si="38"/>
        <v>0</v>
      </c>
      <c r="AB67" s="323">
        <f t="shared" si="39"/>
        <v>0</v>
      </c>
      <c r="AC67" s="278">
        <f t="shared" si="40"/>
        <v>0</v>
      </c>
      <c r="AD67" s="323">
        <f t="shared" si="41"/>
        <v>0</v>
      </c>
      <c r="AE67" s="279">
        <v>0</v>
      </c>
      <c r="AF67" s="323">
        <f t="shared" si="42"/>
        <v>0</v>
      </c>
      <c r="AG67" s="279">
        <f>8*'[2]Table 5C1N-Delta Charter'!AI67</f>
        <v>0</v>
      </c>
      <c r="AH67" s="279">
        <f t="shared" si="43"/>
        <v>0</v>
      </c>
      <c r="AI67" s="323">
        <f t="shared" si="49"/>
        <v>0</v>
      </c>
      <c r="AJ67" s="337">
        <f t="shared" si="44"/>
        <v>0</v>
      </c>
      <c r="AK67" s="341">
        <f t="shared" si="45"/>
        <v>0</v>
      </c>
      <c r="AM67" s="273">
        <v>0</v>
      </c>
      <c r="AN67" s="273">
        <f t="shared" si="46"/>
        <v>0</v>
      </c>
      <c r="AO67" s="273">
        <f t="shared" si="47"/>
        <v>0</v>
      </c>
    </row>
    <row r="68" spans="1:41" ht="16.149999999999999" customHeight="1">
      <c r="A68" s="198">
        <v>62</v>
      </c>
      <c r="B68" s="199" t="s">
        <v>133</v>
      </c>
      <c r="C68" s="995">
        <f>+'Table 8 Membership 2.1.14'!T64</f>
        <v>0</v>
      </c>
      <c r="D68" s="201">
        <f>+'Table 5C1A-Madison Prep'!D68</f>
        <v>5901.074538516008</v>
      </c>
      <c r="E68" s="202">
        <f t="shared" si="26"/>
        <v>0</v>
      </c>
      <c r="F68" s="202">
        <f>+'Table 5C1A-Madison Prep'!F68</f>
        <v>516.08000000000004</v>
      </c>
      <c r="G68" s="202">
        <f t="shared" si="27"/>
        <v>0</v>
      </c>
      <c r="H68" s="345">
        <f t="shared" si="28"/>
        <v>0</v>
      </c>
      <c r="I68" s="203">
        <f>'[1]Oct midyear Delta'!K65</f>
        <v>0</v>
      </c>
      <c r="J68" s="203">
        <f>'[1]Feb midyear Delta'!K65</f>
        <v>0</v>
      </c>
      <c r="K68" s="204">
        <f t="shared" si="29"/>
        <v>0</v>
      </c>
      <c r="L68" s="345">
        <f t="shared" si="30"/>
        <v>0</v>
      </c>
      <c r="M68" s="286">
        <f t="shared" si="22"/>
        <v>0</v>
      </c>
      <c r="N68" s="345">
        <f t="shared" si="31"/>
        <v>0</v>
      </c>
      <c r="O68" s="201">
        <v>0</v>
      </c>
      <c r="P68" s="351">
        <f t="shared" si="32"/>
        <v>0</v>
      </c>
      <c r="Q68" s="203">
        <f>8*'[2]Table 5C1N-Delta Charter'!S68</f>
        <v>0</v>
      </c>
      <c r="R68" s="203">
        <f t="shared" si="33"/>
        <v>0</v>
      </c>
      <c r="S68" s="351">
        <f t="shared" si="48"/>
        <v>0</v>
      </c>
      <c r="T68" s="351">
        <f t="shared" si="34"/>
        <v>0</v>
      </c>
      <c r="U68" s="287">
        <f>'Table 5C1A-Madison Prep'!U68</f>
        <v>2089</v>
      </c>
      <c r="V68" s="328">
        <f t="shared" si="35"/>
        <v>0</v>
      </c>
      <c r="W68" s="289">
        <f>'[1]Oct midyear Delta'!E65</f>
        <v>0</v>
      </c>
      <c r="X68" s="290">
        <f t="shared" si="36"/>
        <v>0</v>
      </c>
      <c r="Y68" s="289">
        <f>'[1]Feb midyear Delta'!E65</f>
        <v>0</v>
      </c>
      <c r="Z68" s="290">
        <f t="shared" si="37"/>
        <v>0</v>
      </c>
      <c r="AA68" s="288">
        <f t="shared" si="38"/>
        <v>0</v>
      </c>
      <c r="AB68" s="324">
        <f t="shared" si="39"/>
        <v>0</v>
      </c>
      <c r="AC68" s="292">
        <f t="shared" si="40"/>
        <v>0</v>
      </c>
      <c r="AD68" s="324">
        <f t="shared" si="41"/>
        <v>0</v>
      </c>
      <c r="AE68" s="293">
        <v>0</v>
      </c>
      <c r="AF68" s="324">
        <f t="shared" si="42"/>
        <v>0</v>
      </c>
      <c r="AG68" s="293">
        <f>8*'[2]Table 5C1N-Delta Charter'!AI68</f>
        <v>0</v>
      </c>
      <c r="AH68" s="293">
        <f t="shared" si="43"/>
        <v>0</v>
      </c>
      <c r="AI68" s="324">
        <f t="shared" si="49"/>
        <v>0</v>
      </c>
      <c r="AJ68" s="321">
        <f t="shared" si="44"/>
        <v>0</v>
      </c>
      <c r="AK68" s="342">
        <f t="shared" si="45"/>
        <v>0</v>
      </c>
      <c r="AM68" s="286">
        <v>0</v>
      </c>
      <c r="AN68" s="286">
        <f t="shared" si="46"/>
        <v>0</v>
      </c>
      <c r="AO68" s="286">
        <f t="shared" si="47"/>
        <v>0</v>
      </c>
    </row>
    <row r="69" spans="1:41" ht="16.149999999999999" customHeight="1">
      <c r="A69" s="198">
        <v>63</v>
      </c>
      <c r="B69" s="199" t="s">
        <v>134</v>
      </c>
      <c r="C69" s="995">
        <f>+'Table 8 Membership 2.1.14'!T65</f>
        <v>0</v>
      </c>
      <c r="D69" s="201">
        <f>+'Table 5C1A-Madison Prep'!D69</f>
        <v>4124.3813481848092</v>
      </c>
      <c r="E69" s="202">
        <f t="shared" si="26"/>
        <v>0</v>
      </c>
      <c r="F69" s="202">
        <f>+'Table 5C1A-Madison Prep'!F69</f>
        <v>756.79</v>
      </c>
      <c r="G69" s="202">
        <f t="shared" si="27"/>
        <v>0</v>
      </c>
      <c r="H69" s="345">
        <f t="shared" si="28"/>
        <v>0</v>
      </c>
      <c r="I69" s="203">
        <f>'[1]Oct midyear Delta'!K66</f>
        <v>0</v>
      </c>
      <c r="J69" s="203">
        <f>'[1]Feb midyear Delta'!K66</f>
        <v>0</v>
      </c>
      <c r="K69" s="204">
        <f t="shared" si="29"/>
        <v>0</v>
      </c>
      <c r="L69" s="345">
        <f t="shared" si="30"/>
        <v>0</v>
      </c>
      <c r="M69" s="286">
        <f t="shared" si="22"/>
        <v>0</v>
      </c>
      <c r="N69" s="345">
        <f t="shared" si="31"/>
        <v>0</v>
      </c>
      <c r="O69" s="201">
        <v>0</v>
      </c>
      <c r="P69" s="351">
        <f t="shared" si="32"/>
        <v>0</v>
      </c>
      <c r="Q69" s="203">
        <f>8*'[2]Table 5C1N-Delta Charter'!S69</f>
        <v>0</v>
      </c>
      <c r="R69" s="203">
        <f t="shared" si="33"/>
        <v>0</v>
      </c>
      <c r="S69" s="351">
        <f t="shared" si="48"/>
        <v>0</v>
      </c>
      <c r="T69" s="351">
        <f t="shared" si="34"/>
        <v>0</v>
      </c>
      <c r="U69" s="287">
        <f>'Table 5C1A-Madison Prep'!U69</f>
        <v>7403</v>
      </c>
      <c r="V69" s="328">
        <f t="shared" si="35"/>
        <v>0</v>
      </c>
      <c r="W69" s="289">
        <f>'[1]Oct midyear Delta'!E66</f>
        <v>0</v>
      </c>
      <c r="X69" s="290">
        <f t="shared" si="36"/>
        <v>0</v>
      </c>
      <c r="Y69" s="289">
        <f>'[1]Feb midyear Delta'!E66</f>
        <v>0</v>
      </c>
      <c r="Z69" s="290">
        <f t="shared" si="37"/>
        <v>0</v>
      </c>
      <c r="AA69" s="288">
        <f t="shared" si="38"/>
        <v>0</v>
      </c>
      <c r="AB69" s="324">
        <f t="shared" si="39"/>
        <v>0</v>
      </c>
      <c r="AC69" s="292">
        <f t="shared" si="40"/>
        <v>0</v>
      </c>
      <c r="AD69" s="324">
        <f t="shared" si="41"/>
        <v>0</v>
      </c>
      <c r="AE69" s="293">
        <v>0</v>
      </c>
      <c r="AF69" s="324">
        <f t="shared" si="42"/>
        <v>0</v>
      </c>
      <c r="AG69" s="293">
        <f>8*'[2]Table 5C1N-Delta Charter'!AI69</f>
        <v>0</v>
      </c>
      <c r="AH69" s="293">
        <f t="shared" si="43"/>
        <v>0</v>
      </c>
      <c r="AI69" s="324">
        <f t="shared" si="49"/>
        <v>0</v>
      </c>
      <c r="AJ69" s="321">
        <f t="shared" si="44"/>
        <v>0</v>
      </c>
      <c r="AK69" s="342">
        <f t="shared" si="45"/>
        <v>0</v>
      </c>
      <c r="AM69" s="286">
        <v>0</v>
      </c>
      <c r="AN69" s="286">
        <f t="shared" si="46"/>
        <v>0</v>
      </c>
      <c r="AO69" s="286">
        <f t="shared" si="47"/>
        <v>0</v>
      </c>
    </row>
    <row r="70" spans="1:41" ht="16.149999999999999" customHeight="1">
      <c r="A70" s="198">
        <v>64</v>
      </c>
      <c r="B70" s="199" t="s">
        <v>135</v>
      </c>
      <c r="C70" s="995">
        <f>+'Table 8 Membership 2.1.14'!T66</f>
        <v>0</v>
      </c>
      <c r="D70" s="201">
        <f>+'Table 5C1A-Madison Prep'!D70</f>
        <v>6277.8307532778254</v>
      </c>
      <c r="E70" s="202">
        <f t="shared" si="26"/>
        <v>0</v>
      </c>
      <c r="F70" s="202">
        <f>+'Table 5C1A-Madison Prep'!F70</f>
        <v>592.66</v>
      </c>
      <c r="G70" s="202">
        <f t="shared" si="27"/>
        <v>0</v>
      </c>
      <c r="H70" s="345">
        <f t="shared" si="28"/>
        <v>0</v>
      </c>
      <c r="I70" s="203">
        <f>'[1]Oct midyear Delta'!K67</f>
        <v>0</v>
      </c>
      <c r="J70" s="203">
        <f>'[1]Feb midyear Delta'!K67</f>
        <v>0</v>
      </c>
      <c r="K70" s="204">
        <f t="shared" si="29"/>
        <v>0</v>
      </c>
      <c r="L70" s="345">
        <f t="shared" si="30"/>
        <v>0</v>
      </c>
      <c r="M70" s="286">
        <f t="shared" si="22"/>
        <v>0</v>
      </c>
      <c r="N70" s="345">
        <f t="shared" si="31"/>
        <v>0</v>
      </c>
      <c r="O70" s="201">
        <v>0</v>
      </c>
      <c r="P70" s="351">
        <f t="shared" si="32"/>
        <v>0</v>
      </c>
      <c r="Q70" s="203">
        <f>8*'[2]Table 5C1N-Delta Charter'!S70</f>
        <v>0</v>
      </c>
      <c r="R70" s="203">
        <f t="shared" si="33"/>
        <v>0</v>
      </c>
      <c r="S70" s="351">
        <f t="shared" si="48"/>
        <v>0</v>
      </c>
      <c r="T70" s="351">
        <f t="shared" si="34"/>
        <v>0</v>
      </c>
      <c r="U70" s="287">
        <f>'Table 5C1A-Madison Prep'!U70</f>
        <v>2802</v>
      </c>
      <c r="V70" s="328">
        <f t="shared" si="35"/>
        <v>0</v>
      </c>
      <c r="W70" s="289">
        <f>'[1]Oct midyear Delta'!E67</f>
        <v>0</v>
      </c>
      <c r="X70" s="290">
        <f t="shared" si="36"/>
        <v>0</v>
      </c>
      <c r="Y70" s="289">
        <f>'[1]Feb midyear Delta'!E67</f>
        <v>0</v>
      </c>
      <c r="Z70" s="290">
        <f t="shared" si="37"/>
        <v>0</v>
      </c>
      <c r="AA70" s="288">
        <f t="shared" si="38"/>
        <v>0</v>
      </c>
      <c r="AB70" s="324">
        <f t="shared" si="39"/>
        <v>0</v>
      </c>
      <c r="AC70" s="292">
        <f t="shared" si="40"/>
        <v>0</v>
      </c>
      <c r="AD70" s="324">
        <f t="shared" si="41"/>
        <v>0</v>
      </c>
      <c r="AE70" s="293">
        <v>0</v>
      </c>
      <c r="AF70" s="324">
        <f t="shared" si="42"/>
        <v>0</v>
      </c>
      <c r="AG70" s="293">
        <f>8*'[2]Table 5C1N-Delta Charter'!AI70</f>
        <v>0</v>
      </c>
      <c r="AH70" s="293">
        <f t="shared" si="43"/>
        <v>0</v>
      </c>
      <c r="AI70" s="324">
        <f t="shared" si="49"/>
        <v>0</v>
      </c>
      <c r="AJ70" s="321">
        <f t="shared" si="44"/>
        <v>0</v>
      </c>
      <c r="AK70" s="342">
        <f t="shared" si="45"/>
        <v>0</v>
      </c>
      <c r="AM70" s="286">
        <v>0</v>
      </c>
      <c r="AN70" s="286">
        <f t="shared" si="46"/>
        <v>0</v>
      </c>
      <c r="AO70" s="286">
        <f t="shared" si="47"/>
        <v>0</v>
      </c>
    </row>
    <row r="71" spans="1:41" ht="16.149999999999999" customHeight="1">
      <c r="A71" s="191">
        <v>65</v>
      </c>
      <c r="B71" s="192" t="s">
        <v>136</v>
      </c>
      <c r="C71" s="996">
        <f>+'Table 8 Membership 2.1.14'!T67</f>
        <v>0</v>
      </c>
      <c r="D71" s="194">
        <f>+'Table 5C1A-Madison Prep'!D71</f>
        <v>4775.1605543943642</v>
      </c>
      <c r="E71" s="195">
        <f t="shared" si="26"/>
        <v>0</v>
      </c>
      <c r="F71" s="195">
        <f>+'Table 5C1A-Madison Prep'!F71</f>
        <v>829.12</v>
      </c>
      <c r="G71" s="195">
        <f t="shared" si="27"/>
        <v>0</v>
      </c>
      <c r="H71" s="346">
        <f t="shared" si="28"/>
        <v>0</v>
      </c>
      <c r="I71" s="196">
        <f>'[1]Oct midyear Delta'!K68</f>
        <v>0</v>
      </c>
      <c r="J71" s="196">
        <f>'[1]Feb midyear Delta'!K68</f>
        <v>0</v>
      </c>
      <c r="K71" s="197">
        <f t="shared" si="29"/>
        <v>0</v>
      </c>
      <c r="L71" s="346">
        <f t="shared" si="30"/>
        <v>0</v>
      </c>
      <c r="M71" s="296">
        <f t="shared" ref="M71:M74" si="50">-(0.25%*L71)</f>
        <v>0</v>
      </c>
      <c r="N71" s="346">
        <f t="shared" si="31"/>
        <v>0</v>
      </c>
      <c r="O71" s="194">
        <v>0</v>
      </c>
      <c r="P71" s="352">
        <f t="shared" si="32"/>
        <v>0</v>
      </c>
      <c r="Q71" s="196">
        <f>8*'[2]Table 5C1N-Delta Charter'!S71</f>
        <v>0</v>
      </c>
      <c r="R71" s="196">
        <f t="shared" si="33"/>
        <v>0</v>
      </c>
      <c r="S71" s="352">
        <f t="shared" ref="S71:S75" si="51">ROUND(R71/$S$88,0)</f>
        <v>0</v>
      </c>
      <c r="T71" s="352">
        <f t="shared" si="34"/>
        <v>0</v>
      </c>
      <c r="U71" s="281">
        <f>'Table 5C1A-Madison Prep'!U71</f>
        <v>5215</v>
      </c>
      <c r="V71" s="329">
        <f t="shared" si="35"/>
        <v>0</v>
      </c>
      <c r="W71" s="884">
        <f>'[1]Oct midyear Delta'!E68</f>
        <v>0</v>
      </c>
      <c r="X71" s="282">
        <f t="shared" si="36"/>
        <v>0</v>
      </c>
      <c r="Y71" s="884">
        <f>'[1]Feb midyear Delta'!E68</f>
        <v>0</v>
      </c>
      <c r="Z71" s="282">
        <f t="shared" si="37"/>
        <v>0</v>
      </c>
      <c r="AA71" s="283">
        <f t="shared" si="38"/>
        <v>0</v>
      </c>
      <c r="AB71" s="325">
        <f t="shared" si="39"/>
        <v>0</v>
      </c>
      <c r="AC71" s="298">
        <f t="shared" si="40"/>
        <v>0</v>
      </c>
      <c r="AD71" s="325">
        <f t="shared" si="41"/>
        <v>0</v>
      </c>
      <c r="AE71" s="284">
        <v>0</v>
      </c>
      <c r="AF71" s="325">
        <f t="shared" si="42"/>
        <v>0</v>
      </c>
      <c r="AG71" s="284">
        <f>8*'[2]Table 5C1N-Delta Charter'!AI71</f>
        <v>0</v>
      </c>
      <c r="AH71" s="284">
        <f t="shared" si="43"/>
        <v>0</v>
      </c>
      <c r="AI71" s="325">
        <f t="shared" ref="AI71:AI75" si="52">ROUND(AH71/$AI$88,0)</f>
        <v>0</v>
      </c>
      <c r="AJ71" s="338">
        <f t="shared" si="44"/>
        <v>0</v>
      </c>
      <c r="AK71" s="343">
        <f t="shared" si="45"/>
        <v>0</v>
      </c>
      <c r="AM71" s="296">
        <v>0</v>
      </c>
      <c r="AN71" s="296">
        <f t="shared" si="46"/>
        <v>0</v>
      </c>
      <c r="AO71" s="296">
        <f t="shared" si="47"/>
        <v>0</v>
      </c>
    </row>
    <row r="72" spans="1:41" ht="16.149999999999999" customHeight="1">
      <c r="A72" s="205">
        <v>66</v>
      </c>
      <c r="B72" s="206" t="s">
        <v>137</v>
      </c>
      <c r="C72" s="994">
        <f>+'Table 8 Membership 2.1.14'!T68</f>
        <v>0</v>
      </c>
      <c r="D72" s="208">
        <f>+'Table 5C1A-Madison Prep'!D72</f>
        <v>6564.0085433910035</v>
      </c>
      <c r="E72" s="209">
        <f t="shared" ref="E72:E75" si="53">C72*D72</f>
        <v>0</v>
      </c>
      <c r="F72" s="209">
        <f>+'Table 5C1A-Madison Prep'!F72</f>
        <v>730.06</v>
      </c>
      <c r="G72" s="209">
        <f t="shared" ref="G72:G75" si="54">C72*F72</f>
        <v>0</v>
      </c>
      <c r="H72" s="344">
        <f t="shared" ref="H72:H75" si="55">E72+G72</f>
        <v>0</v>
      </c>
      <c r="I72" s="210">
        <f>'[1]Oct midyear Delta'!K69</f>
        <v>0</v>
      </c>
      <c r="J72" s="210">
        <f>'[1]Feb midyear Delta'!K69</f>
        <v>0</v>
      </c>
      <c r="K72" s="211">
        <f t="shared" ref="K72:K75" si="56">I72+J72</f>
        <v>0</v>
      </c>
      <c r="L72" s="344">
        <f t="shared" ref="L72:L75" si="57">+H72+K72</f>
        <v>0</v>
      </c>
      <c r="M72" s="273">
        <f t="shared" si="50"/>
        <v>0</v>
      </c>
      <c r="N72" s="344">
        <f t="shared" ref="N72:N75" si="58">SUM(L72:M72)</f>
        <v>0</v>
      </c>
      <c r="O72" s="208">
        <v>0</v>
      </c>
      <c r="P72" s="350">
        <f t="shared" ref="P72:P75" si="59">SUM(N72:O72)</f>
        <v>0</v>
      </c>
      <c r="Q72" s="210">
        <f>8*'[2]Table 5C1N-Delta Charter'!S72</f>
        <v>0</v>
      </c>
      <c r="R72" s="210">
        <f t="shared" ref="R72:R75" si="60">+P72-Q72</f>
        <v>0</v>
      </c>
      <c r="S72" s="350">
        <f t="shared" si="51"/>
        <v>0</v>
      </c>
      <c r="T72" s="350">
        <f t="shared" ref="T72:T75" si="61">+P72</f>
        <v>0</v>
      </c>
      <c r="U72" s="274">
        <f>'Table 5C1A-Madison Prep'!U72</f>
        <v>3609</v>
      </c>
      <c r="V72" s="327">
        <f t="shared" ref="V72:V75" si="62">C72*U72</f>
        <v>0</v>
      </c>
      <c r="W72" s="883">
        <f>'[1]Oct midyear Delta'!E69</f>
        <v>0</v>
      </c>
      <c r="X72" s="276">
        <f t="shared" ref="X72:X75" si="63">+U72*W72</f>
        <v>0</v>
      </c>
      <c r="Y72" s="883">
        <f>'[1]Feb midyear Delta'!E69</f>
        <v>0</v>
      </c>
      <c r="Z72" s="276">
        <f t="shared" ref="Z72:Z75" si="64">+U72*Y72*0.5</f>
        <v>0</v>
      </c>
      <c r="AA72" s="275">
        <f t="shared" ref="AA72:AA75" si="65">+X72+Z72</f>
        <v>0</v>
      </c>
      <c r="AB72" s="323">
        <f t="shared" ref="AB72:AB75" si="66">+V72+AA72</f>
        <v>0</v>
      </c>
      <c r="AC72" s="278">
        <f t="shared" ref="AC72:AC75" si="67">-(0.25%*AB72)</f>
        <v>0</v>
      </c>
      <c r="AD72" s="323">
        <f t="shared" ref="AD72:AD75" si="68">SUM(AB72:AC72)</f>
        <v>0</v>
      </c>
      <c r="AE72" s="279">
        <v>0</v>
      </c>
      <c r="AF72" s="323">
        <f t="shared" ref="AF72:AF75" si="69">SUM(AD72:AE72)</f>
        <v>0</v>
      </c>
      <c r="AG72" s="279">
        <f>8*'[2]Table 5C1N-Delta Charter'!AI72</f>
        <v>0</v>
      </c>
      <c r="AH72" s="279">
        <f t="shared" ref="AH72:AH75" si="70">+AF72-AG72</f>
        <v>0</v>
      </c>
      <c r="AI72" s="323">
        <f t="shared" si="52"/>
        <v>0</v>
      </c>
      <c r="AJ72" s="337">
        <f t="shared" ref="AJ72:AJ75" si="71">T72+AF72</f>
        <v>0</v>
      </c>
      <c r="AK72" s="341">
        <f t="shared" ref="AK72:AK75" si="72">S72+AI72</f>
        <v>0</v>
      </c>
      <c r="AM72" s="310">
        <v>0</v>
      </c>
      <c r="AN72" s="310">
        <f t="shared" ref="AN72:AN75" si="73">+AC72</f>
        <v>0</v>
      </c>
      <c r="AO72" s="310">
        <f t="shared" si="47"/>
        <v>0</v>
      </c>
    </row>
    <row r="73" spans="1:41" ht="16.149999999999999" customHeight="1">
      <c r="A73" s="198">
        <v>67</v>
      </c>
      <c r="B73" s="199" t="s">
        <v>28</v>
      </c>
      <c r="C73" s="995">
        <f>+'Table 8 Membership 2.1.14'!T69</f>
        <v>0</v>
      </c>
      <c r="D73" s="201">
        <f>+'Table 5C1A-Madison Prep'!D73</f>
        <v>5029.1467736134118</v>
      </c>
      <c r="E73" s="202">
        <f t="shared" si="53"/>
        <v>0</v>
      </c>
      <c r="F73" s="202">
        <f>+'Table 5C1A-Madison Prep'!F73</f>
        <v>715.61</v>
      </c>
      <c r="G73" s="202">
        <f t="shared" si="54"/>
        <v>0</v>
      </c>
      <c r="H73" s="345">
        <f t="shared" si="55"/>
        <v>0</v>
      </c>
      <c r="I73" s="203">
        <f>'[1]Oct midyear Delta'!K70</f>
        <v>0</v>
      </c>
      <c r="J73" s="203">
        <f>'[1]Feb midyear Delta'!K70</f>
        <v>0</v>
      </c>
      <c r="K73" s="204">
        <f t="shared" si="56"/>
        <v>0</v>
      </c>
      <c r="L73" s="345">
        <f t="shared" si="57"/>
        <v>0</v>
      </c>
      <c r="M73" s="286">
        <f t="shared" si="50"/>
        <v>0</v>
      </c>
      <c r="N73" s="345">
        <f t="shared" si="58"/>
        <v>0</v>
      </c>
      <c r="O73" s="201">
        <v>0</v>
      </c>
      <c r="P73" s="351">
        <f t="shared" si="59"/>
        <v>0</v>
      </c>
      <c r="Q73" s="203">
        <f>8*'[2]Table 5C1N-Delta Charter'!S73</f>
        <v>0</v>
      </c>
      <c r="R73" s="203">
        <f t="shared" si="60"/>
        <v>0</v>
      </c>
      <c r="S73" s="351">
        <f t="shared" si="51"/>
        <v>0</v>
      </c>
      <c r="T73" s="351">
        <f t="shared" si="61"/>
        <v>0</v>
      </c>
      <c r="U73" s="287">
        <f>'Table 5C1A-Madison Prep'!U73</f>
        <v>5069</v>
      </c>
      <c r="V73" s="328">
        <f t="shared" si="62"/>
        <v>0</v>
      </c>
      <c r="W73" s="289">
        <f>'[1]Oct midyear Delta'!E70</f>
        <v>0</v>
      </c>
      <c r="X73" s="290">
        <f t="shared" si="63"/>
        <v>0</v>
      </c>
      <c r="Y73" s="289">
        <f>'[1]Feb midyear Delta'!E70</f>
        <v>0</v>
      </c>
      <c r="Z73" s="290">
        <f t="shared" si="64"/>
        <v>0</v>
      </c>
      <c r="AA73" s="288">
        <f t="shared" si="65"/>
        <v>0</v>
      </c>
      <c r="AB73" s="324">
        <f t="shared" si="66"/>
        <v>0</v>
      </c>
      <c r="AC73" s="292">
        <f t="shared" si="67"/>
        <v>0</v>
      </c>
      <c r="AD73" s="324">
        <f t="shared" si="68"/>
        <v>0</v>
      </c>
      <c r="AE73" s="293">
        <v>0</v>
      </c>
      <c r="AF73" s="324">
        <f t="shared" si="69"/>
        <v>0</v>
      </c>
      <c r="AG73" s="293">
        <f>8*'[2]Table 5C1N-Delta Charter'!AI73</f>
        <v>0</v>
      </c>
      <c r="AH73" s="293">
        <f t="shared" si="70"/>
        <v>0</v>
      </c>
      <c r="AI73" s="324">
        <f t="shared" si="52"/>
        <v>0</v>
      </c>
      <c r="AJ73" s="321">
        <f t="shared" si="71"/>
        <v>0</v>
      </c>
      <c r="AK73" s="342">
        <f t="shared" si="72"/>
        <v>0</v>
      </c>
      <c r="AM73" s="310">
        <v>0</v>
      </c>
      <c r="AN73" s="310">
        <f t="shared" si="73"/>
        <v>0</v>
      </c>
      <c r="AO73" s="310">
        <f t="shared" si="47"/>
        <v>0</v>
      </c>
    </row>
    <row r="74" spans="1:41" ht="16.149999999999999" customHeight="1">
      <c r="A74" s="198">
        <v>68</v>
      </c>
      <c r="B74" s="199" t="s">
        <v>27</v>
      </c>
      <c r="C74" s="995">
        <f>+'Table 8 Membership 2.1.14'!T70</f>
        <v>0</v>
      </c>
      <c r="D74" s="201">
        <f>+'Table 5C1A-Madison Prep'!D74</f>
        <v>6390.1644202560601</v>
      </c>
      <c r="E74" s="202">
        <f t="shared" si="53"/>
        <v>0</v>
      </c>
      <c r="F74" s="202">
        <f>+'Table 5C1A-Madison Prep'!F74</f>
        <v>798.7</v>
      </c>
      <c r="G74" s="202">
        <f t="shared" si="54"/>
        <v>0</v>
      </c>
      <c r="H74" s="345">
        <f t="shared" si="55"/>
        <v>0</v>
      </c>
      <c r="I74" s="203">
        <f>'[1]Oct midyear Delta'!K71</f>
        <v>0</v>
      </c>
      <c r="J74" s="203">
        <f>'[1]Feb midyear Delta'!K71</f>
        <v>0</v>
      </c>
      <c r="K74" s="204">
        <f t="shared" si="56"/>
        <v>0</v>
      </c>
      <c r="L74" s="345">
        <f t="shared" si="57"/>
        <v>0</v>
      </c>
      <c r="M74" s="286">
        <f t="shared" si="50"/>
        <v>0</v>
      </c>
      <c r="N74" s="345">
        <f t="shared" si="58"/>
        <v>0</v>
      </c>
      <c r="O74" s="201">
        <v>0</v>
      </c>
      <c r="P74" s="351">
        <f t="shared" si="59"/>
        <v>0</v>
      </c>
      <c r="Q74" s="203">
        <f>8*'[2]Table 5C1N-Delta Charter'!S74</f>
        <v>0</v>
      </c>
      <c r="R74" s="203">
        <f t="shared" si="60"/>
        <v>0</v>
      </c>
      <c r="S74" s="351">
        <f t="shared" si="51"/>
        <v>0</v>
      </c>
      <c r="T74" s="351">
        <f t="shared" si="61"/>
        <v>0</v>
      </c>
      <c r="U74" s="287">
        <f>'Table 5C1A-Madison Prep'!U74</f>
        <v>2880</v>
      </c>
      <c r="V74" s="328">
        <f t="shared" si="62"/>
        <v>0</v>
      </c>
      <c r="W74" s="289">
        <f>'[1]Oct midyear Delta'!E71</f>
        <v>0</v>
      </c>
      <c r="X74" s="290">
        <f t="shared" si="63"/>
        <v>0</v>
      </c>
      <c r="Y74" s="289">
        <f>'[1]Feb midyear Delta'!E71</f>
        <v>0</v>
      </c>
      <c r="Z74" s="290">
        <f t="shared" si="64"/>
        <v>0</v>
      </c>
      <c r="AA74" s="288">
        <f t="shared" si="65"/>
        <v>0</v>
      </c>
      <c r="AB74" s="324">
        <f t="shared" si="66"/>
        <v>0</v>
      </c>
      <c r="AC74" s="292">
        <f t="shared" si="67"/>
        <v>0</v>
      </c>
      <c r="AD74" s="324">
        <f t="shared" si="68"/>
        <v>0</v>
      </c>
      <c r="AE74" s="293">
        <v>0</v>
      </c>
      <c r="AF74" s="324">
        <f t="shared" si="69"/>
        <v>0</v>
      </c>
      <c r="AG74" s="293">
        <f>8*'[2]Table 5C1N-Delta Charter'!AI74</f>
        <v>0</v>
      </c>
      <c r="AH74" s="293">
        <f t="shared" si="70"/>
        <v>0</v>
      </c>
      <c r="AI74" s="324">
        <f t="shared" si="52"/>
        <v>0</v>
      </c>
      <c r="AJ74" s="321">
        <f t="shared" si="71"/>
        <v>0</v>
      </c>
      <c r="AK74" s="342">
        <f t="shared" si="72"/>
        <v>0</v>
      </c>
      <c r="AM74" s="310">
        <v>0</v>
      </c>
      <c r="AN74" s="310">
        <f t="shared" si="73"/>
        <v>0</v>
      </c>
      <c r="AO74" s="310">
        <f t="shared" si="47"/>
        <v>0</v>
      </c>
    </row>
    <row r="75" spans="1:41" ht="16.149999999999999" customHeight="1">
      <c r="A75" s="198">
        <v>69</v>
      </c>
      <c r="B75" s="199" t="s">
        <v>147</v>
      </c>
      <c r="C75" s="995">
        <f>+'Table 8 Membership 2.1.14'!T71</f>
        <v>0</v>
      </c>
      <c r="D75" s="201">
        <f>+'Table 5C1A-Madison Prep'!D75</f>
        <v>5722.4947921281337</v>
      </c>
      <c r="E75" s="202">
        <f t="shared" si="53"/>
        <v>0</v>
      </c>
      <c r="F75" s="202">
        <f>+'Table 5C1A-Madison Prep'!F75</f>
        <v>705.67</v>
      </c>
      <c r="G75" s="202">
        <f t="shared" si="54"/>
        <v>0</v>
      </c>
      <c r="H75" s="345">
        <f t="shared" si="55"/>
        <v>0</v>
      </c>
      <c r="I75" s="203">
        <f>'[1]Oct midyear Delta'!K72</f>
        <v>0</v>
      </c>
      <c r="J75" s="203">
        <f>'[1]Feb midyear Delta'!K72</f>
        <v>0</v>
      </c>
      <c r="K75" s="204">
        <f t="shared" si="56"/>
        <v>0</v>
      </c>
      <c r="L75" s="345">
        <f t="shared" si="57"/>
        <v>0</v>
      </c>
      <c r="M75" s="286">
        <f>-(0.25%*L75)</f>
        <v>0</v>
      </c>
      <c r="N75" s="345">
        <f t="shared" si="58"/>
        <v>0</v>
      </c>
      <c r="O75" s="201">
        <v>0</v>
      </c>
      <c r="P75" s="351">
        <f t="shared" si="59"/>
        <v>0</v>
      </c>
      <c r="Q75" s="203">
        <f>8*'[2]Table 5C1N-Delta Charter'!S75</f>
        <v>0</v>
      </c>
      <c r="R75" s="203">
        <f t="shared" si="60"/>
        <v>0</v>
      </c>
      <c r="S75" s="351">
        <f t="shared" si="51"/>
        <v>0</v>
      </c>
      <c r="T75" s="351">
        <f t="shared" si="61"/>
        <v>0</v>
      </c>
      <c r="U75" s="287">
        <f>'Table 5C1A-Madison Prep'!U75</f>
        <v>3330</v>
      </c>
      <c r="V75" s="328">
        <f t="shared" si="62"/>
        <v>0</v>
      </c>
      <c r="W75" s="289">
        <f>'[1]Oct midyear Delta'!E72</f>
        <v>0</v>
      </c>
      <c r="X75" s="290">
        <f t="shared" si="63"/>
        <v>0</v>
      </c>
      <c r="Y75" s="289">
        <f>'[1]Feb midyear Delta'!E72</f>
        <v>0</v>
      </c>
      <c r="Z75" s="290">
        <f t="shared" si="64"/>
        <v>0</v>
      </c>
      <c r="AA75" s="288">
        <f t="shared" si="65"/>
        <v>0</v>
      </c>
      <c r="AB75" s="324">
        <f t="shared" si="66"/>
        <v>0</v>
      </c>
      <c r="AC75" s="292">
        <f t="shared" si="67"/>
        <v>0</v>
      </c>
      <c r="AD75" s="324">
        <f t="shared" si="68"/>
        <v>0</v>
      </c>
      <c r="AE75" s="293">
        <v>0</v>
      </c>
      <c r="AF75" s="324">
        <f t="shared" si="69"/>
        <v>0</v>
      </c>
      <c r="AG75" s="293">
        <f>8*'[2]Table 5C1N-Delta Charter'!AI75</f>
        <v>0</v>
      </c>
      <c r="AH75" s="293">
        <f t="shared" si="70"/>
        <v>0</v>
      </c>
      <c r="AI75" s="324">
        <f t="shared" si="52"/>
        <v>0</v>
      </c>
      <c r="AJ75" s="321">
        <f t="shared" si="71"/>
        <v>0</v>
      </c>
      <c r="AK75" s="342">
        <f t="shared" si="72"/>
        <v>0</v>
      </c>
      <c r="AM75" s="300">
        <v>0</v>
      </c>
      <c r="AN75" s="300">
        <f t="shared" si="73"/>
        <v>0</v>
      </c>
      <c r="AO75" s="300">
        <f t="shared" si="47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323</v>
      </c>
      <c r="D76" s="28">
        <f>+'Table 5C1A-Madison Prep'!D76</f>
        <v>4479.9292126977662</v>
      </c>
      <c r="E76" s="35">
        <f>SUM(E7:E75)</f>
        <v>1886080.9562810729</v>
      </c>
      <c r="F76" s="35">
        <f>+'Table 5C1A-Madison Prep'!F76</f>
        <v>704.64781030742063</v>
      </c>
      <c r="G76" s="35">
        <f t="shared" ref="G76:T76" si="74">SUM(G7:G75)</f>
        <v>190376.31</v>
      </c>
      <c r="H76" s="348">
        <f t="shared" si="74"/>
        <v>2076457.266281073</v>
      </c>
      <c r="I76" s="70">
        <f t="shared" si="74"/>
        <v>314870.84118484322</v>
      </c>
      <c r="J76" s="70">
        <f t="shared" si="74"/>
        <v>1758.8625088544522</v>
      </c>
      <c r="K76" s="56">
        <f t="shared" si="74"/>
        <v>316629.70369369764</v>
      </c>
      <c r="L76" s="364">
        <f t="shared" si="74"/>
        <v>2393086.9699747707</v>
      </c>
      <c r="M76" s="36">
        <f t="shared" si="74"/>
        <v>-5982.7174249369264</v>
      </c>
      <c r="N76" s="348">
        <f t="shared" si="74"/>
        <v>2387104.2525498336</v>
      </c>
      <c r="O76" s="28">
        <f t="shared" si="74"/>
        <v>0</v>
      </c>
      <c r="P76" s="354">
        <f t="shared" si="74"/>
        <v>2387104.2525498336</v>
      </c>
      <c r="Q76" s="70">
        <f t="shared" si="74"/>
        <v>1380848</v>
      </c>
      <c r="R76" s="70">
        <f t="shared" si="74"/>
        <v>1006256.2525498335</v>
      </c>
      <c r="S76" s="354">
        <f t="shared" si="74"/>
        <v>251564</v>
      </c>
      <c r="T76" s="354">
        <f t="shared" si="74"/>
        <v>2387104.2525498336</v>
      </c>
      <c r="U76" s="83">
        <f>'Table 5C1A-Madison Prep'!U76</f>
        <v>4703</v>
      </c>
      <c r="V76" s="330">
        <f t="shared" ref="V76:AK76" si="75">SUM(V7:V75)</f>
        <v>936321</v>
      </c>
      <c r="W76" s="74">
        <f t="shared" si="75"/>
        <v>48</v>
      </c>
      <c r="X76" s="75">
        <f t="shared" si="75"/>
        <v>136044</v>
      </c>
      <c r="Y76" s="74">
        <f t="shared" si="75"/>
        <v>0</v>
      </c>
      <c r="Z76" s="75">
        <f t="shared" si="75"/>
        <v>-236</v>
      </c>
      <c r="AA76" s="63">
        <f t="shared" si="75"/>
        <v>135808</v>
      </c>
      <c r="AB76" s="332">
        <f t="shared" si="75"/>
        <v>1072129</v>
      </c>
      <c r="AC76" s="37">
        <f t="shared" si="75"/>
        <v>-2680.3225000000002</v>
      </c>
      <c r="AD76" s="330">
        <f t="shared" si="75"/>
        <v>1069448.6774999998</v>
      </c>
      <c r="AE76" s="85">
        <f t="shared" si="75"/>
        <v>0</v>
      </c>
      <c r="AF76" s="330">
        <f t="shared" si="75"/>
        <v>1069448.6774999998</v>
      </c>
      <c r="AG76" s="75">
        <f t="shared" si="75"/>
        <v>562976</v>
      </c>
      <c r="AH76" s="75">
        <f t="shared" si="75"/>
        <v>506472.67749999999</v>
      </c>
      <c r="AI76" s="330">
        <f t="shared" si="75"/>
        <v>126617</v>
      </c>
      <c r="AJ76" s="339">
        <f t="shared" si="75"/>
        <v>3456552.9300498334</v>
      </c>
      <c r="AK76" s="339">
        <f t="shared" si="75"/>
        <v>378181</v>
      </c>
      <c r="AM76" s="36">
        <f>SUM(AM7:AM75)</f>
        <v>-2116.4500000000003</v>
      </c>
      <c r="AN76" s="36">
        <f>SUM(AN7:AN75)</f>
        <v>-2680.3225000000002</v>
      </c>
      <c r="AO76" s="36">
        <f>SUM(AO7:AO75)</f>
        <v>-563.87249999999995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4'!$E109</f>
        <v>0</v>
      </c>
      <c r="Q77" s="222">
        <f>8*'[2]Table 5C1N-Delta Charter'!S77</f>
        <v>0</v>
      </c>
      <c r="R77" s="222">
        <f t="shared" ref="R77" si="76">+P77-Q77</f>
        <v>0</v>
      </c>
      <c r="S77" s="295">
        <f t="shared" ref="S77:S81" si="77">ROUND(R77/$S$88,0)</f>
        <v>0</v>
      </c>
      <c r="T77" s="295">
        <f>'Table 4 Level 4'!$E109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78">T77+AF77</f>
        <v>0</v>
      </c>
      <c r="AK77" s="321">
        <f t="shared" ref="AK77:AK81" si="79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4'!$J109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78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4'!$L109</f>
        <v>10000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78"/>
        <v>10000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4'!$M109</f>
        <v>6718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78"/>
        <v>6718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4'!$O109</f>
        <v>2444</v>
      </c>
      <c r="Q81" s="217">
        <f>8*'[2]Table 5C1N-Delta Charter'!S81</f>
        <v>1632</v>
      </c>
      <c r="R81" s="217">
        <f t="shared" ref="R81" si="80">+P81-Q81</f>
        <v>812</v>
      </c>
      <c r="S81" s="353">
        <f t="shared" si="77"/>
        <v>203</v>
      </c>
      <c r="T81" s="353">
        <f>P81</f>
        <v>2444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78"/>
        <v>2444</v>
      </c>
      <c r="AK81" s="322">
        <f t="shared" si="79"/>
        <v>203</v>
      </c>
    </row>
    <row r="82" spans="1:37" ht="16.149999999999999" customHeight="1" thickBot="1">
      <c r="A82" s="1442" t="s">
        <v>710</v>
      </c>
      <c r="B82" s="1415"/>
      <c r="C82" s="136">
        <f>SUM(C76:C81)</f>
        <v>323</v>
      </c>
      <c r="D82" s="128">
        <f t="shared" ref="D82:AK82" si="81">SUM(D76:D81)</f>
        <v>4479.9292126977662</v>
      </c>
      <c r="E82" s="128">
        <f t="shared" si="81"/>
        <v>1886080.9562810729</v>
      </c>
      <c r="F82" s="128">
        <f t="shared" si="81"/>
        <v>704.64781030742063</v>
      </c>
      <c r="G82" s="128">
        <f t="shared" si="81"/>
        <v>190376.31</v>
      </c>
      <c r="H82" s="128">
        <f t="shared" si="81"/>
        <v>2076457.266281073</v>
      </c>
      <c r="I82" s="133">
        <f t="shared" si="81"/>
        <v>314870.84118484322</v>
      </c>
      <c r="J82" s="133">
        <f t="shared" si="81"/>
        <v>1758.8625088544522</v>
      </c>
      <c r="K82" s="133">
        <f t="shared" si="81"/>
        <v>316629.70369369764</v>
      </c>
      <c r="L82" s="128">
        <f t="shared" si="81"/>
        <v>2393086.9699747707</v>
      </c>
      <c r="M82" s="133">
        <f t="shared" si="81"/>
        <v>-5982.7174249369264</v>
      </c>
      <c r="N82" s="128">
        <f t="shared" si="81"/>
        <v>2387104.2525498336</v>
      </c>
      <c r="O82" s="128">
        <f t="shared" si="81"/>
        <v>0</v>
      </c>
      <c r="P82" s="355">
        <f t="shared" si="81"/>
        <v>2389548.2525498336</v>
      </c>
      <c r="Q82" s="133">
        <f t="shared" si="81"/>
        <v>1382480</v>
      </c>
      <c r="R82" s="133">
        <f t="shared" si="81"/>
        <v>1007068.2525498335</v>
      </c>
      <c r="S82" s="355">
        <f t="shared" si="81"/>
        <v>251767</v>
      </c>
      <c r="T82" s="355">
        <f t="shared" si="81"/>
        <v>2406266.2525498336</v>
      </c>
      <c r="U82" s="137">
        <f t="shared" si="81"/>
        <v>4703</v>
      </c>
      <c r="V82" s="134">
        <f t="shared" si="81"/>
        <v>936321</v>
      </c>
      <c r="W82" s="136">
        <f t="shared" si="81"/>
        <v>48</v>
      </c>
      <c r="X82" s="134">
        <f t="shared" si="81"/>
        <v>136044</v>
      </c>
      <c r="Y82" s="136">
        <f t="shared" si="81"/>
        <v>0</v>
      </c>
      <c r="Z82" s="134">
        <f t="shared" si="81"/>
        <v>-236</v>
      </c>
      <c r="AA82" s="134">
        <f t="shared" si="81"/>
        <v>135808</v>
      </c>
      <c r="AB82" s="134">
        <f t="shared" si="81"/>
        <v>1072129</v>
      </c>
      <c r="AC82" s="134">
        <f t="shared" si="81"/>
        <v>-2680.3225000000002</v>
      </c>
      <c r="AD82" s="134">
        <f t="shared" si="81"/>
        <v>1069448.6774999998</v>
      </c>
      <c r="AE82" s="134">
        <f t="shared" si="81"/>
        <v>0</v>
      </c>
      <c r="AF82" s="134">
        <f t="shared" si="81"/>
        <v>1069448.6774999998</v>
      </c>
      <c r="AG82" s="134">
        <f t="shared" si="81"/>
        <v>562976</v>
      </c>
      <c r="AH82" s="134">
        <f t="shared" si="81"/>
        <v>506472.67749999999</v>
      </c>
      <c r="AI82" s="134">
        <f t="shared" si="81"/>
        <v>126617</v>
      </c>
      <c r="AJ82" s="320">
        <f t="shared" si="81"/>
        <v>3475714.9300498334</v>
      </c>
      <c r="AK82" s="320">
        <f t="shared" si="81"/>
        <v>378384</v>
      </c>
    </row>
    <row r="83" spans="1:37" ht="16.149999999999999" hidden="1" customHeight="1" thickTop="1">
      <c r="C83" s="1004"/>
      <c r="I83" s="989"/>
      <c r="J83" s="989"/>
      <c r="K83" s="989"/>
      <c r="M83" s="989"/>
    </row>
    <row r="84" spans="1:37" ht="16.149999999999999" hidden="1" customHeight="1">
      <c r="C84" s="1004"/>
      <c r="I84" s="989"/>
      <c r="J84" s="989"/>
      <c r="K84" s="989"/>
      <c r="M84" s="989">
        <v>-5191.1431657026815</v>
      </c>
      <c r="N84" s="784" t="s">
        <v>1044</v>
      </c>
    </row>
    <row r="85" spans="1:37" ht="16.149999999999999" hidden="1" customHeight="1">
      <c r="C85" s="1004"/>
      <c r="I85" s="989"/>
      <c r="J85" s="989"/>
      <c r="K85" s="989"/>
      <c r="M85" s="989">
        <f>M82-M84</f>
        <v>-791.57425923424489</v>
      </c>
      <c r="N85" s="784" t="s">
        <v>1045</v>
      </c>
    </row>
    <row r="86" spans="1:37" ht="16.149999999999999" hidden="1" customHeight="1">
      <c r="C86" s="1004"/>
      <c r="I86" s="989"/>
      <c r="J86" s="989"/>
      <c r="K86" s="989"/>
      <c r="M86" s="989"/>
    </row>
    <row r="87" spans="1:37" ht="16.149999999999999" hidden="1" customHeight="1">
      <c r="C87" s="1004"/>
      <c r="I87" s="989"/>
      <c r="J87" s="989"/>
      <c r="K87" s="989"/>
      <c r="M87" s="989"/>
    </row>
    <row r="88" spans="1:37" ht="16.149999999999999" hidden="1" customHeight="1"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hidden="1" customHeight="1"/>
    <row r="90" spans="1:37" ht="16.149999999999999" hidden="1" customHeight="1"/>
    <row r="91" spans="1:37" ht="13.5" thickTop="1"/>
  </sheetData>
  <mergeCells count="43">
    <mergeCell ref="AC1:AI1"/>
    <mergeCell ref="T3:T4"/>
    <mergeCell ref="M1:T1"/>
    <mergeCell ref="C1:L1"/>
    <mergeCell ref="L3:L4"/>
    <mergeCell ref="AB3:AB4"/>
    <mergeCell ref="W2:AA2"/>
    <mergeCell ref="W3:W4"/>
    <mergeCell ref="X3:X4"/>
    <mergeCell ref="Y3:Y4"/>
    <mergeCell ref="Z3:Z4"/>
    <mergeCell ref="AG3:AG4"/>
    <mergeCell ref="AH3:AH4"/>
    <mergeCell ref="AI3:AI4"/>
    <mergeCell ref="U1:AB1"/>
    <mergeCell ref="A1:B4"/>
    <mergeCell ref="I2:K2"/>
    <mergeCell ref="I3:I4"/>
    <mergeCell ref="J3:J4"/>
    <mergeCell ref="K3:K4"/>
    <mergeCell ref="AJ1:AJ4"/>
    <mergeCell ref="AK1:AK4"/>
    <mergeCell ref="C3:C4"/>
    <mergeCell ref="D3:D4"/>
    <mergeCell ref="E3:E4"/>
    <mergeCell ref="F3:F4"/>
    <mergeCell ref="G3:G4"/>
    <mergeCell ref="AD3:AD4"/>
    <mergeCell ref="AE3:AE4"/>
    <mergeCell ref="AF3:AF4"/>
    <mergeCell ref="H3:H4"/>
    <mergeCell ref="N3:N4"/>
    <mergeCell ref="O3:O4"/>
    <mergeCell ref="P3:P4"/>
    <mergeCell ref="S3:S4"/>
    <mergeCell ref="U3:U4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5C1-N: FY2014-15 MFP Budget Letter (March 2015)
Delta Charter School</oddHeader>
    <oddFooter>&amp;R&amp;P</oddFooter>
  </headerFooter>
  <colBreaks count="3" manualBreakCount="3">
    <brk id="12" max="1048575" man="1"/>
    <brk id="20" max="1048575" man="1"/>
    <brk id="28" max="8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customWidth="1"/>
    <col min="4" max="4" width="13.7109375" style="784" customWidth="1"/>
    <col min="5" max="5" width="9.85546875" style="784" customWidth="1"/>
    <col min="6" max="7" width="12.28515625" style="784" customWidth="1"/>
    <col min="8" max="8" width="11.5703125" style="784" customWidth="1"/>
    <col min="9" max="12" width="12" style="784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5.28515625" style="784" customWidth="1"/>
    <col min="23" max="23" width="14.28515625" style="784" customWidth="1"/>
    <col min="24" max="24" width="15.28515625" style="784" customWidth="1"/>
    <col min="25" max="25" width="13.28515625" style="784" customWidth="1"/>
    <col min="26" max="26" width="12.28515625" style="784" customWidth="1"/>
    <col min="27" max="28" width="15.7109375" style="784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3" width="9.5703125" style="784" bestFit="1" customWidth="1"/>
    <col min="34" max="34" width="9.28515625" style="784" bestFit="1" customWidth="1"/>
    <col min="35" max="35" width="14.42578125" style="784" bestFit="1" customWidth="1"/>
    <col min="36" max="36" width="14.28515625" style="784" customWidth="1"/>
    <col min="37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674</v>
      </c>
      <c r="B1" s="1577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33" customHeight="1">
      <c r="A2" s="1578"/>
      <c r="B2" s="1579"/>
      <c r="C2" s="619"/>
      <c r="D2" s="620"/>
      <c r="E2" s="620"/>
      <c r="F2" s="620"/>
      <c r="G2" s="620"/>
      <c r="H2" s="620"/>
      <c r="I2" s="1411" t="s">
        <v>1036</v>
      </c>
      <c r="J2" s="1411"/>
      <c r="K2" s="1411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1035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85" t="s">
        <v>1037</v>
      </c>
      <c r="J3" s="1518" t="s">
        <v>554</v>
      </c>
      <c r="K3" s="1585" t="s">
        <v>1033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1543" t="s">
        <v>871</v>
      </c>
      <c r="W3" s="1587" t="s">
        <v>906</v>
      </c>
      <c r="X3" s="1507" t="s">
        <v>1038</v>
      </c>
      <c r="Y3" s="1507" t="s">
        <v>861</v>
      </c>
      <c r="Z3" s="1507" t="s">
        <v>859</v>
      </c>
      <c r="AA3" s="988" t="s">
        <v>1034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586"/>
      <c r="J4" s="1470"/>
      <c r="K4" s="1586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1544"/>
      <c r="W4" s="1588"/>
      <c r="X4" s="1470"/>
      <c r="Y4" s="1470"/>
      <c r="Z4" s="1470"/>
      <c r="AA4" s="987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si="1"/>
        <v>8</v>
      </c>
      <c r="K5" s="23">
        <f t="shared" si="1"/>
        <v>9</v>
      </c>
      <c r="L5" s="23">
        <f t="shared" si="1"/>
        <v>10</v>
      </c>
      <c r="M5" s="23">
        <f t="shared" si="1"/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si="1"/>
        <v>15</v>
      </c>
      <c r="R5" s="23">
        <f t="shared" si="1"/>
        <v>16</v>
      </c>
      <c r="S5" s="23">
        <f t="shared" si="1"/>
        <v>17</v>
      </c>
      <c r="T5" s="23">
        <f t="shared" ref="T5" si="2">S5+1</f>
        <v>18</v>
      </c>
      <c r="U5" s="23">
        <f t="shared" ref="U5" si="3">T5+1</f>
        <v>19</v>
      </c>
      <c r="V5" s="23">
        <f t="shared" si="1"/>
        <v>20</v>
      </c>
      <c r="W5" s="23">
        <f t="shared" si="1"/>
        <v>21</v>
      </c>
      <c r="X5" s="23">
        <f t="shared" si="1"/>
        <v>22</v>
      </c>
      <c r="Y5" s="23">
        <f t="shared" si="1"/>
        <v>23</v>
      </c>
      <c r="Z5" s="23">
        <f t="shared" si="1"/>
        <v>24</v>
      </c>
      <c r="AA5" s="23">
        <f t="shared" si="1"/>
        <v>25</v>
      </c>
      <c r="AB5" s="23">
        <f t="shared" si="1"/>
        <v>26</v>
      </c>
      <c r="AC5" s="23">
        <f t="shared" si="1"/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si="1"/>
        <v>31</v>
      </c>
      <c r="AH5" s="23">
        <f t="shared" si="1"/>
        <v>32</v>
      </c>
      <c r="AI5" s="23">
        <f t="shared" si="1"/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Impact'!K4</f>
        <v>0</v>
      </c>
      <c r="J7" s="210">
        <f>'[1]Feb midyear Impact'!K4</f>
        <v>0</v>
      </c>
      <c r="K7" s="211">
        <f>I7+J7</f>
        <v>0</v>
      </c>
      <c r="L7" s="344">
        <f>+H7+K7</f>
        <v>0</v>
      </c>
      <c r="M7" s="273">
        <f t="shared" ref="M7:M70" si="4"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(4*'[2]Table 5C1O-Impact'!S7)+(4*'[3]Table 5C1O-Impact'!S7)</f>
        <v>0</v>
      </c>
      <c r="R7" s="210">
        <f>+P7-Q7</f>
        <v>0</v>
      </c>
      <c r="S7" s="350">
        <f t="shared" ref="S7:S38" si="5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Impact'!E4</f>
        <v>0</v>
      </c>
      <c r="X7" s="276">
        <f>+U7*W7</f>
        <v>0</v>
      </c>
      <c r="Y7" s="883">
        <f>'[1]Feb midyear Impact'!E4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(4*'[2]Table 5C1O-Impact'!AI7)+(4*'[3]Table 5C1O-Impact'!AI7)</f>
        <v>0</v>
      </c>
      <c r="AH7" s="279">
        <f>+AF7-AG7</f>
        <v>0</v>
      </c>
      <c r="AI7" s="323">
        <f t="shared" ref="AI7:AI38" si="6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7">+AN7-AM7</f>
        <v>0</v>
      </c>
    </row>
    <row r="8" spans="1:41" ht="16.149999999999999" customHeight="1">
      <c r="A8" s="198">
        <v>2</v>
      </c>
      <c r="B8" s="199" t="s">
        <v>74</v>
      </c>
      <c r="C8" s="995">
        <v>0</v>
      </c>
      <c r="D8" s="201">
        <f>+'Table 5C1A-Madison Prep'!D8</f>
        <v>6316.6266417386641</v>
      </c>
      <c r="E8" s="202">
        <f t="shared" ref="E8:E71" si="8">C8*D8</f>
        <v>0</v>
      </c>
      <c r="F8" s="202">
        <f>+'Table 5C1A-Madison Prep'!F8</f>
        <v>842.32</v>
      </c>
      <c r="G8" s="202">
        <f t="shared" ref="G8:G71" si="9">C8*F8</f>
        <v>0</v>
      </c>
      <c r="H8" s="345">
        <f t="shared" ref="H8:H71" si="10">E8+G8</f>
        <v>0</v>
      </c>
      <c r="I8" s="203">
        <f>'[1]Oct midyear Impact'!K5</f>
        <v>0</v>
      </c>
      <c r="J8" s="203">
        <f>'[1]Feb midyear Impact'!K5</f>
        <v>0</v>
      </c>
      <c r="K8" s="204">
        <f t="shared" ref="K8:K71" si="11">I8+J8</f>
        <v>0</v>
      </c>
      <c r="L8" s="345">
        <f t="shared" ref="L8:L71" si="12">+H8+K8</f>
        <v>0</v>
      </c>
      <c r="M8" s="286">
        <f t="shared" si="4"/>
        <v>0</v>
      </c>
      <c r="N8" s="345">
        <f t="shared" ref="N8:N71" si="13">SUM(L8:M8)</f>
        <v>0</v>
      </c>
      <c r="O8" s="201">
        <v>0</v>
      </c>
      <c r="P8" s="351">
        <f t="shared" ref="P8:P71" si="14">SUM(N8:O8)</f>
        <v>0</v>
      </c>
      <c r="Q8" s="203">
        <f>(4*'[2]Table 5C1O-Impact'!S8)+(4*'[3]Table 5C1O-Impact'!S8)</f>
        <v>0</v>
      </c>
      <c r="R8" s="203">
        <f t="shared" ref="R8:R71" si="15">+P8-Q8</f>
        <v>0</v>
      </c>
      <c r="S8" s="351">
        <f t="shared" si="5"/>
        <v>0</v>
      </c>
      <c r="T8" s="351">
        <f t="shared" ref="T8:T71" si="16">+P8</f>
        <v>0</v>
      </c>
      <c r="U8" s="287">
        <f>'Table 5C1A-Madison Prep'!U8</f>
        <v>2786</v>
      </c>
      <c r="V8" s="328">
        <f t="shared" ref="V8:V71" si="17">C8*U8</f>
        <v>0</v>
      </c>
      <c r="W8" s="289">
        <f>'[1]Oct midyear Impact'!E5</f>
        <v>0</v>
      </c>
      <c r="X8" s="290">
        <f t="shared" ref="X8:X71" si="18">+U8*W8</f>
        <v>0</v>
      </c>
      <c r="Y8" s="289">
        <f>'[1]Feb midyear Impact'!E5</f>
        <v>0</v>
      </c>
      <c r="Z8" s="290">
        <f t="shared" ref="Z8:Z71" si="19">+U8*Y8*0.5</f>
        <v>0</v>
      </c>
      <c r="AA8" s="288">
        <f t="shared" ref="AA8:AA71" si="20">+X8+Z8</f>
        <v>0</v>
      </c>
      <c r="AB8" s="324">
        <f t="shared" ref="AB8:AB71" si="21">+V8+AA8</f>
        <v>0</v>
      </c>
      <c r="AC8" s="292">
        <f t="shared" ref="AC8:AC71" si="22">-(0.25%*AB8)</f>
        <v>0</v>
      </c>
      <c r="AD8" s="324">
        <f t="shared" ref="AD8:AD71" si="23">SUM(AB8:AC8)</f>
        <v>0</v>
      </c>
      <c r="AE8" s="293">
        <v>0</v>
      </c>
      <c r="AF8" s="324">
        <f t="shared" ref="AF8:AF71" si="24">SUM(AD8:AE8)</f>
        <v>0</v>
      </c>
      <c r="AG8" s="293">
        <f>(4*'[2]Table 5C1O-Impact'!AI8)+(4*'[3]Table 5C1O-Impact'!AI8)</f>
        <v>0</v>
      </c>
      <c r="AH8" s="293">
        <f t="shared" ref="AH8:AH71" si="25">+AF8-AG8</f>
        <v>0</v>
      </c>
      <c r="AI8" s="324">
        <f t="shared" si="6"/>
        <v>0</v>
      </c>
      <c r="AJ8" s="321">
        <f t="shared" ref="AJ8:AJ71" si="26">T8+AF8</f>
        <v>0</v>
      </c>
      <c r="AK8" s="342">
        <f t="shared" ref="AK8:AK71" si="27">S8+AI8</f>
        <v>0</v>
      </c>
      <c r="AM8" s="286">
        <v>0</v>
      </c>
      <c r="AN8" s="286">
        <f t="shared" ref="AN8:AN71" si="28">+AC8</f>
        <v>0</v>
      </c>
      <c r="AO8" s="286">
        <f t="shared" si="7"/>
        <v>0</v>
      </c>
    </row>
    <row r="9" spans="1:41" ht="16.149999999999999" customHeight="1">
      <c r="A9" s="198">
        <v>3</v>
      </c>
      <c r="B9" s="199" t="s">
        <v>75</v>
      </c>
      <c r="C9" s="995">
        <v>0</v>
      </c>
      <c r="D9" s="201">
        <f>+'Table 5C1A-Madison Prep'!D9</f>
        <v>4155.1862027396819</v>
      </c>
      <c r="E9" s="202">
        <f t="shared" si="8"/>
        <v>0</v>
      </c>
      <c r="F9" s="202">
        <f>+'Table 5C1A-Madison Prep'!F9</f>
        <v>596.84</v>
      </c>
      <c r="G9" s="202">
        <f t="shared" si="9"/>
        <v>0</v>
      </c>
      <c r="H9" s="345">
        <f t="shared" si="10"/>
        <v>0</v>
      </c>
      <c r="I9" s="203">
        <f>'[1]Oct midyear Impact'!K6</f>
        <v>0</v>
      </c>
      <c r="J9" s="203">
        <f>'[1]Feb midyear Impact'!K6</f>
        <v>0</v>
      </c>
      <c r="K9" s="204">
        <f t="shared" si="11"/>
        <v>0</v>
      </c>
      <c r="L9" s="345">
        <f t="shared" si="12"/>
        <v>0</v>
      </c>
      <c r="M9" s="286">
        <f t="shared" si="4"/>
        <v>0</v>
      </c>
      <c r="N9" s="345">
        <f t="shared" si="13"/>
        <v>0</v>
      </c>
      <c r="O9" s="201">
        <v>0</v>
      </c>
      <c r="P9" s="351">
        <f t="shared" si="14"/>
        <v>0</v>
      </c>
      <c r="Q9" s="203">
        <f>(4*'[2]Table 5C1O-Impact'!S9)+(4*'[3]Table 5C1O-Impact'!S9)</f>
        <v>0</v>
      </c>
      <c r="R9" s="203">
        <f t="shared" si="15"/>
        <v>0</v>
      </c>
      <c r="S9" s="351">
        <f t="shared" si="5"/>
        <v>0</v>
      </c>
      <c r="T9" s="351">
        <f t="shared" si="16"/>
        <v>0</v>
      </c>
      <c r="U9" s="287">
        <f>'Table 5C1A-Madison Prep'!U9</f>
        <v>5927</v>
      </c>
      <c r="V9" s="328">
        <f t="shared" si="17"/>
        <v>0</v>
      </c>
      <c r="W9" s="289">
        <f>'[1]Oct midyear Impact'!E6</f>
        <v>0</v>
      </c>
      <c r="X9" s="290">
        <f t="shared" si="18"/>
        <v>0</v>
      </c>
      <c r="Y9" s="289">
        <f>'[1]Feb midyear Impact'!E6</f>
        <v>0</v>
      </c>
      <c r="Z9" s="290">
        <f t="shared" si="19"/>
        <v>0</v>
      </c>
      <c r="AA9" s="288">
        <f t="shared" si="20"/>
        <v>0</v>
      </c>
      <c r="AB9" s="324">
        <f t="shared" si="21"/>
        <v>0</v>
      </c>
      <c r="AC9" s="292">
        <f t="shared" si="22"/>
        <v>0</v>
      </c>
      <c r="AD9" s="324">
        <f t="shared" si="23"/>
        <v>0</v>
      </c>
      <c r="AE9" s="293">
        <v>0</v>
      </c>
      <c r="AF9" s="324">
        <f t="shared" si="24"/>
        <v>0</v>
      </c>
      <c r="AG9" s="293">
        <f>(4*'[2]Table 5C1O-Impact'!AI9)+(4*'[3]Table 5C1O-Impact'!AI9)</f>
        <v>0</v>
      </c>
      <c r="AH9" s="293">
        <f t="shared" si="25"/>
        <v>0</v>
      </c>
      <c r="AI9" s="324">
        <f t="shared" si="6"/>
        <v>0</v>
      </c>
      <c r="AJ9" s="321">
        <f t="shared" si="26"/>
        <v>0</v>
      </c>
      <c r="AK9" s="342">
        <f t="shared" si="27"/>
        <v>0</v>
      </c>
      <c r="AM9" s="286">
        <v>0</v>
      </c>
      <c r="AN9" s="286">
        <f t="shared" si="28"/>
        <v>0</v>
      </c>
      <c r="AO9" s="286">
        <f t="shared" si="7"/>
        <v>0</v>
      </c>
    </row>
    <row r="10" spans="1:41" ht="16.149999999999999" customHeight="1">
      <c r="A10" s="198">
        <v>4</v>
      </c>
      <c r="B10" s="199" t="s">
        <v>76</v>
      </c>
      <c r="C10" s="995">
        <v>0</v>
      </c>
      <c r="D10" s="201">
        <f>+'Table 5C1A-Madison Prep'!D10</f>
        <v>6119.0581446878568</v>
      </c>
      <c r="E10" s="202">
        <f t="shared" si="8"/>
        <v>0</v>
      </c>
      <c r="F10" s="202">
        <f>+'Table 5C1A-Madison Prep'!F10</f>
        <v>585.76</v>
      </c>
      <c r="G10" s="202">
        <f t="shared" si="9"/>
        <v>0</v>
      </c>
      <c r="H10" s="345">
        <f t="shared" si="10"/>
        <v>0</v>
      </c>
      <c r="I10" s="203">
        <f>'[1]Oct midyear Impact'!K7</f>
        <v>0</v>
      </c>
      <c r="J10" s="203">
        <f>'[1]Feb midyear Impact'!K7</f>
        <v>0</v>
      </c>
      <c r="K10" s="204">
        <f t="shared" si="11"/>
        <v>0</v>
      </c>
      <c r="L10" s="345">
        <f t="shared" si="12"/>
        <v>0</v>
      </c>
      <c r="M10" s="286">
        <f t="shared" si="4"/>
        <v>0</v>
      </c>
      <c r="N10" s="345">
        <f t="shared" si="13"/>
        <v>0</v>
      </c>
      <c r="O10" s="201">
        <v>0</v>
      </c>
      <c r="P10" s="351">
        <f t="shared" si="14"/>
        <v>0</v>
      </c>
      <c r="Q10" s="203">
        <f>(4*'[2]Table 5C1O-Impact'!S10)+(4*'[3]Table 5C1O-Impact'!S10)</f>
        <v>0</v>
      </c>
      <c r="R10" s="203">
        <f t="shared" si="15"/>
        <v>0</v>
      </c>
      <c r="S10" s="351">
        <f t="shared" si="5"/>
        <v>0</v>
      </c>
      <c r="T10" s="351">
        <f t="shared" si="16"/>
        <v>0</v>
      </c>
      <c r="U10" s="287">
        <f>'Table 5C1A-Madison Prep'!U10</f>
        <v>4203</v>
      </c>
      <c r="V10" s="328">
        <f t="shared" si="17"/>
        <v>0</v>
      </c>
      <c r="W10" s="289">
        <f>'[1]Oct midyear Impact'!E7</f>
        <v>0</v>
      </c>
      <c r="X10" s="290">
        <f t="shared" si="18"/>
        <v>0</v>
      </c>
      <c r="Y10" s="289">
        <f>'[1]Feb midyear Impact'!E7</f>
        <v>0</v>
      </c>
      <c r="Z10" s="290">
        <f t="shared" si="19"/>
        <v>0</v>
      </c>
      <c r="AA10" s="288">
        <f t="shared" si="20"/>
        <v>0</v>
      </c>
      <c r="AB10" s="324">
        <f t="shared" si="21"/>
        <v>0</v>
      </c>
      <c r="AC10" s="292">
        <f t="shared" si="22"/>
        <v>0</v>
      </c>
      <c r="AD10" s="324">
        <f t="shared" si="23"/>
        <v>0</v>
      </c>
      <c r="AE10" s="293">
        <v>0</v>
      </c>
      <c r="AF10" s="324">
        <f t="shared" si="24"/>
        <v>0</v>
      </c>
      <c r="AG10" s="293">
        <f>(4*'[2]Table 5C1O-Impact'!AI10)+(4*'[3]Table 5C1O-Impact'!AI10)</f>
        <v>0</v>
      </c>
      <c r="AH10" s="293">
        <f t="shared" si="25"/>
        <v>0</v>
      </c>
      <c r="AI10" s="324">
        <f t="shared" si="6"/>
        <v>0</v>
      </c>
      <c r="AJ10" s="321">
        <f t="shared" si="26"/>
        <v>0</v>
      </c>
      <c r="AK10" s="342">
        <f t="shared" si="27"/>
        <v>0</v>
      </c>
      <c r="AM10" s="286">
        <v>0</v>
      </c>
      <c r="AN10" s="286">
        <f t="shared" si="28"/>
        <v>0</v>
      </c>
      <c r="AO10" s="286">
        <f t="shared" si="7"/>
        <v>0</v>
      </c>
    </row>
    <row r="11" spans="1:41" ht="16.149999999999999" customHeight="1">
      <c r="A11" s="191">
        <v>5</v>
      </c>
      <c r="B11" s="192" t="s">
        <v>77</v>
      </c>
      <c r="C11" s="996">
        <v>0</v>
      </c>
      <c r="D11" s="194">
        <f>+'Table 5C1A-Madison Prep'!D11</f>
        <v>5268.940566009911</v>
      </c>
      <c r="E11" s="195">
        <f t="shared" si="8"/>
        <v>0</v>
      </c>
      <c r="F11" s="195">
        <f>+'Table 5C1A-Madison Prep'!F11</f>
        <v>555.91</v>
      </c>
      <c r="G11" s="195">
        <f t="shared" si="9"/>
        <v>0</v>
      </c>
      <c r="H11" s="346">
        <f t="shared" si="10"/>
        <v>0</v>
      </c>
      <c r="I11" s="196">
        <f>'[1]Oct midyear Impact'!K8</f>
        <v>0</v>
      </c>
      <c r="J11" s="196">
        <f>'[1]Feb midyear Impact'!K8</f>
        <v>0</v>
      </c>
      <c r="K11" s="197">
        <f t="shared" si="11"/>
        <v>0</v>
      </c>
      <c r="L11" s="346">
        <f t="shared" si="12"/>
        <v>0</v>
      </c>
      <c r="M11" s="296">
        <f t="shared" si="4"/>
        <v>0</v>
      </c>
      <c r="N11" s="346">
        <f t="shared" si="13"/>
        <v>0</v>
      </c>
      <c r="O11" s="194">
        <v>0</v>
      </c>
      <c r="P11" s="352">
        <f t="shared" si="14"/>
        <v>0</v>
      </c>
      <c r="Q11" s="196">
        <f>(4*'[2]Table 5C1O-Impact'!S11)+(4*'[3]Table 5C1O-Impact'!S11)</f>
        <v>0</v>
      </c>
      <c r="R11" s="196">
        <f t="shared" si="15"/>
        <v>0</v>
      </c>
      <c r="S11" s="352">
        <f t="shared" si="5"/>
        <v>0</v>
      </c>
      <c r="T11" s="352">
        <f t="shared" si="16"/>
        <v>0</v>
      </c>
      <c r="U11" s="281">
        <f>'Table 5C1A-Madison Prep'!U11</f>
        <v>1923</v>
      </c>
      <c r="V11" s="329">
        <f t="shared" si="17"/>
        <v>0</v>
      </c>
      <c r="W11" s="884">
        <f>'[1]Oct midyear Impact'!E8</f>
        <v>0</v>
      </c>
      <c r="X11" s="282">
        <f t="shared" si="18"/>
        <v>0</v>
      </c>
      <c r="Y11" s="884">
        <f>'[1]Feb midyear Impact'!E8</f>
        <v>0</v>
      </c>
      <c r="Z11" s="282">
        <f t="shared" si="19"/>
        <v>0</v>
      </c>
      <c r="AA11" s="283">
        <f t="shared" si="20"/>
        <v>0</v>
      </c>
      <c r="AB11" s="325">
        <f t="shared" si="21"/>
        <v>0</v>
      </c>
      <c r="AC11" s="298">
        <f t="shared" si="22"/>
        <v>0</v>
      </c>
      <c r="AD11" s="325">
        <f t="shared" si="23"/>
        <v>0</v>
      </c>
      <c r="AE11" s="284">
        <v>0</v>
      </c>
      <c r="AF11" s="325">
        <f t="shared" si="24"/>
        <v>0</v>
      </c>
      <c r="AG11" s="284">
        <f>(4*'[2]Table 5C1O-Impact'!AI11)+(4*'[3]Table 5C1O-Impact'!AI11)</f>
        <v>0</v>
      </c>
      <c r="AH11" s="284">
        <f t="shared" si="25"/>
        <v>0</v>
      </c>
      <c r="AI11" s="325">
        <f t="shared" si="6"/>
        <v>0</v>
      </c>
      <c r="AJ11" s="338">
        <f t="shared" si="26"/>
        <v>0</v>
      </c>
      <c r="AK11" s="343">
        <f t="shared" si="27"/>
        <v>0</v>
      </c>
      <c r="AM11" s="296">
        <v>0</v>
      </c>
      <c r="AN11" s="296">
        <f t="shared" si="28"/>
        <v>0</v>
      </c>
      <c r="AO11" s="296">
        <f t="shared" si="7"/>
        <v>0</v>
      </c>
    </row>
    <row r="12" spans="1:41" ht="16.149999999999999" customHeight="1">
      <c r="A12" s="205">
        <v>6</v>
      </c>
      <c r="B12" s="206" t="s">
        <v>78</v>
      </c>
      <c r="C12" s="994">
        <v>0</v>
      </c>
      <c r="D12" s="208">
        <f>+'Table 5C1A-Madison Prep'!D12</f>
        <v>5378.5086124955869</v>
      </c>
      <c r="E12" s="209">
        <f t="shared" si="8"/>
        <v>0</v>
      </c>
      <c r="F12" s="209">
        <f>+'Table 5C1A-Madison Prep'!F12</f>
        <v>545.4799999999999</v>
      </c>
      <c r="G12" s="209">
        <f t="shared" si="9"/>
        <v>0</v>
      </c>
      <c r="H12" s="344">
        <f t="shared" si="10"/>
        <v>0</v>
      </c>
      <c r="I12" s="210">
        <f>'[1]Oct midyear Impact'!K9</f>
        <v>0</v>
      </c>
      <c r="J12" s="210">
        <f>'[1]Feb midyear Impact'!K9</f>
        <v>0</v>
      </c>
      <c r="K12" s="211">
        <f t="shared" si="11"/>
        <v>0</v>
      </c>
      <c r="L12" s="344">
        <f t="shared" si="12"/>
        <v>0</v>
      </c>
      <c r="M12" s="273">
        <f t="shared" si="4"/>
        <v>0</v>
      </c>
      <c r="N12" s="344">
        <f t="shared" si="13"/>
        <v>0</v>
      </c>
      <c r="O12" s="208">
        <v>0</v>
      </c>
      <c r="P12" s="350">
        <f t="shared" si="14"/>
        <v>0</v>
      </c>
      <c r="Q12" s="210">
        <f>(4*'[2]Table 5C1O-Impact'!S12)+(4*'[3]Table 5C1O-Impact'!S12)</f>
        <v>0</v>
      </c>
      <c r="R12" s="210">
        <f t="shared" si="15"/>
        <v>0</v>
      </c>
      <c r="S12" s="350">
        <f t="shared" si="5"/>
        <v>0</v>
      </c>
      <c r="T12" s="350">
        <f t="shared" si="16"/>
        <v>0</v>
      </c>
      <c r="U12" s="274">
        <f>'Table 5C1A-Madison Prep'!U12</f>
        <v>4057</v>
      </c>
      <c r="V12" s="327">
        <f t="shared" si="17"/>
        <v>0</v>
      </c>
      <c r="W12" s="883">
        <f>'[1]Oct midyear Impact'!E9</f>
        <v>0</v>
      </c>
      <c r="X12" s="276">
        <f t="shared" si="18"/>
        <v>0</v>
      </c>
      <c r="Y12" s="883">
        <f>'[1]Feb midyear Impact'!E9</f>
        <v>0</v>
      </c>
      <c r="Z12" s="276">
        <f t="shared" si="19"/>
        <v>0</v>
      </c>
      <c r="AA12" s="275">
        <f t="shared" si="20"/>
        <v>0</v>
      </c>
      <c r="AB12" s="323">
        <f t="shared" si="21"/>
        <v>0</v>
      </c>
      <c r="AC12" s="278">
        <f t="shared" si="22"/>
        <v>0</v>
      </c>
      <c r="AD12" s="323">
        <f t="shared" si="23"/>
        <v>0</v>
      </c>
      <c r="AE12" s="279">
        <v>0</v>
      </c>
      <c r="AF12" s="323">
        <f t="shared" si="24"/>
        <v>0</v>
      </c>
      <c r="AG12" s="279">
        <f>(4*'[2]Table 5C1O-Impact'!AI12)+(4*'[3]Table 5C1O-Impact'!AI12)</f>
        <v>0</v>
      </c>
      <c r="AH12" s="279">
        <f t="shared" si="25"/>
        <v>0</v>
      </c>
      <c r="AI12" s="323">
        <f t="shared" si="6"/>
        <v>0</v>
      </c>
      <c r="AJ12" s="337">
        <f t="shared" si="26"/>
        <v>0</v>
      </c>
      <c r="AK12" s="341">
        <f t="shared" si="27"/>
        <v>0</v>
      </c>
      <c r="AM12" s="273">
        <v>0</v>
      </c>
      <c r="AN12" s="273">
        <f t="shared" si="28"/>
        <v>0</v>
      </c>
      <c r="AO12" s="273">
        <f t="shared" si="7"/>
        <v>0</v>
      </c>
    </row>
    <row r="13" spans="1:41" ht="16.149999999999999" customHeight="1">
      <c r="A13" s="198">
        <v>7</v>
      </c>
      <c r="B13" s="199" t="s">
        <v>79</v>
      </c>
      <c r="C13" s="995">
        <v>0</v>
      </c>
      <c r="D13" s="201">
        <f>+'Table 5C1A-Madison Prep'!D13</f>
        <v>2243.0031963470319</v>
      </c>
      <c r="E13" s="202">
        <f t="shared" si="8"/>
        <v>0</v>
      </c>
      <c r="F13" s="202">
        <f>+'Table 5C1A-Madison Prep'!F13</f>
        <v>756.91999999999985</v>
      </c>
      <c r="G13" s="202">
        <f t="shared" si="9"/>
        <v>0</v>
      </c>
      <c r="H13" s="345">
        <f t="shared" si="10"/>
        <v>0</v>
      </c>
      <c r="I13" s="203">
        <f>'[1]Oct midyear Impact'!K10</f>
        <v>0</v>
      </c>
      <c r="J13" s="203">
        <f>'[1]Feb midyear Impact'!K10</f>
        <v>0</v>
      </c>
      <c r="K13" s="204">
        <f t="shared" si="11"/>
        <v>0</v>
      </c>
      <c r="L13" s="345">
        <f t="shared" si="12"/>
        <v>0</v>
      </c>
      <c r="M13" s="286">
        <f t="shared" si="4"/>
        <v>0</v>
      </c>
      <c r="N13" s="345">
        <f t="shared" si="13"/>
        <v>0</v>
      </c>
      <c r="O13" s="201">
        <v>0</v>
      </c>
      <c r="P13" s="351">
        <f t="shared" si="14"/>
        <v>0</v>
      </c>
      <c r="Q13" s="203">
        <f>(4*'[2]Table 5C1O-Impact'!S13)+(4*'[3]Table 5C1O-Impact'!S13)</f>
        <v>0</v>
      </c>
      <c r="R13" s="203">
        <f t="shared" si="15"/>
        <v>0</v>
      </c>
      <c r="S13" s="351">
        <f t="shared" si="5"/>
        <v>0</v>
      </c>
      <c r="T13" s="351">
        <f t="shared" si="16"/>
        <v>0</v>
      </c>
      <c r="U13" s="287">
        <f>'Table 5C1A-Madison Prep'!U13</f>
        <v>12112</v>
      </c>
      <c r="V13" s="328">
        <f t="shared" si="17"/>
        <v>0</v>
      </c>
      <c r="W13" s="289">
        <f>'[1]Oct midyear Impact'!E10</f>
        <v>0</v>
      </c>
      <c r="X13" s="290">
        <f t="shared" si="18"/>
        <v>0</v>
      </c>
      <c r="Y13" s="289">
        <f>'[1]Feb midyear Impact'!E10</f>
        <v>0</v>
      </c>
      <c r="Z13" s="290">
        <f t="shared" si="19"/>
        <v>0</v>
      </c>
      <c r="AA13" s="288">
        <f t="shared" si="20"/>
        <v>0</v>
      </c>
      <c r="AB13" s="324">
        <f t="shared" si="21"/>
        <v>0</v>
      </c>
      <c r="AC13" s="292">
        <f t="shared" si="22"/>
        <v>0</v>
      </c>
      <c r="AD13" s="324">
        <f t="shared" si="23"/>
        <v>0</v>
      </c>
      <c r="AE13" s="293">
        <v>0</v>
      </c>
      <c r="AF13" s="324">
        <f t="shared" si="24"/>
        <v>0</v>
      </c>
      <c r="AG13" s="293">
        <f>(4*'[2]Table 5C1O-Impact'!AI13)+(4*'[3]Table 5C1O-Impact'!AI13)</f>
        <v>0</v>
      </c>
      <c r="AH13" s="293">
        <f t="shared" si="25"/>
        <v>0</v>
      </c>
      <c r="AI13" s="324">
        <f t="shared" si="6"/>
        <v>0</v>
      </c>
      <c r="AJ13" s="321">
        <f t="shared" si="26"/>
        <v>0</v>
      </c>
      <c r="AK13" s="342">
        <f t="shared" si="27"/>
        <v>0</v>
      </c>
      <c r="AM13" s="286">
        <v>0</v>
      </c>
      <c r="AN13" s="286">
        <f t="shared" si="28"/>
        <v>0</v>
      </c>
      <c r="AO13" s="286">
        <f t="shared" si="7"/>
        <v>0</v>
      </c>
    </row>
    <row r="14" spans="1:41" ht="16.149999999999999" customHeight="1">
      <c r="A14" s="198">
        <v>8</v>
      </c>
      <c r="B14" s="199" t="s">
        <v>80</v>
      </c>
      <c r="C14" s="995">
        <v>0</v>
      </c>
      <c r="D14" s="201">
        <f>+'Table 5C1A-Madison Prep'!D14</f>
        <v>4669.802459558854</v>
      </c>
      <c r="E14" s="202">
        <f t="shared" si="8"/>
        <v>0</v>
      </c>
      <c r="F14" s="202">
        <f>+'Table 5C1A-Madison Prep'!F14</f>
        <v>725.76</v>
      </c>
      <c r="G14" s="202">
        <f t="shared" si="9"/>
        <v>0</v>
      </c>
      <c r="H14" s="345">
        <f t="shared" si="10"/>
        <v>0</v>
      </c>
      <c r="I14" s="203">
        <f>'[1]Oct midyear Impact'!K11</f>
        <v>0</v>
      </c>
      <c r="J14" s="203">
        <f>'[1]Feb midyear Impact'!K11</f>
        <v>0</v>
      </c>
      <c r="K14" s="204">
        <f t="shared" si="11"/>
        <v>0</v>
      </c>
      <c r="L14" s="345">
        <f t="shared" si="12"/>
        <v>0</v>
      </c>
      <c r="M14" s="286">
        <f t="shared" si="4"/>
        <v>0</v>
      </c>
      <c r="N14" s="345">
        <f t="shared" si="13"/>
        <v>0</v>
      </c>
      <c r="O14" s="201">
        <v>0</v>
      </c>
      <c r="P14" s="351">
        <f t="shared" si="14"/>
        <v>0</v>
      </c>
      <c r="Q14" s="203">
        <f>(4*'[2]Table 5C1O-Impact'!S14)+(4*'[3]Table 5C1O-Impact'!S14)</f>
        <v>0</v>
      </c>
      <c r="R14" s="203">
        <f t="shared" si="15"/>
        <v>0</v>
      </c>
      <c r="S14" s="351">
        <f t="shared" si="5"/>
        <v>0</v>
      </c>
      <c r="T14" s="351">
        <f t="shared" si="16"/>
        <v>0</v>
      </c>
      <c r="U14" s="287">
        <f>'Table 5C1A-Madison Prep'!U14</f>
        <v>4124</v>
      </c>
      <c r="V14" s="328">
        <f t="shared" si="17"/>
        <v>0</v>
      </c>
      <c r="W14" s="289">
        <f>'[1]Oct midyear Impact'!E11</f>
        <v>0</v>
      </c>
      <c r="X14" s="290">
        <f t="shared" si="18"/>
        <v>0</v>
      </c>
      <c r="Y14" s="289">
        <f>'[1]Feb midyear Impact'!E11</f>
        <v>0</v>
      </c>
      <c r="Z14" s="290">
        <f t="shared" si="19"/>
        <v>0</v>
      </c>
      <c r="AA14" s="288">
        <f t="shared" si="20"/>
        <v>0</v>
      </c>
      <c r="AB14" s="324">
        <f t="shared" si="21"/>
        <v>0</v>
      </c>
      <c r="AC14" s="292">
        <f t="shared" si="22"/>
        <v>0</v>
      </c>
      <c r="AD14" s="324">
        <f t="shared" si="23"/>
        <v>0</v>
      </c>
      <c r="AE14" s="293">
        <v>0</v>
      </c>
      <c r="AF14" s="324">
        <f t="shared" si="24"/>
        <v>0</v>
      </c>
      <c r="AG14" s="293">
        <f>(4*'[2]Table 5C1O-Impact'!AI14)+(4*'[3]Table 5C1O-Impact'!AI14)</f>
        <v>0</v>
      </c>
      <c r="AH14" s="293">
        <f t="shared" si="25"/>
        <v>0</v>
      </c>
      <c r="AI14" s="324">
        <f t="shared" si="6"/>
        <v>0</v>
      </c>
      <c r="AJ14" s="321">
        <f t="shared" si="26"/>
        <v>0</v>
      </c>
      <c r="AK14" s="342">
        <f t="shared" si="27"/>
        <v>0</v>
      </c>
      <c r="AM14" s="286">
        <v>0</v>
      </c>
      <c r="AN14" s="286">
        <f t="shared" si="28"/>
        <v>0</v>
      </c>
      <c r="AO14" s="286">
        <f t="shared" si="7"/>
        <v>0</v>
      </c>
    </row>
    <row r="15" spans="1:41" ht="16.149999999999999" customHeight="1">
      <c r="A15" s="198">
        <v>9</v>
      </c>
      <c r="B15" s="199" t="s">
        <v>81</v>
      </c>
      <c r="C15" s="995">
        <v>0</v>
      </c>
      <c r="D15" s="201">
        <f>+'Table 5C1A-Madison Prep'!D15</f>
        <v>4632.4615072045008</v>
      </c>
      <c r="E15" s="202">
        <f t="shared" si="8"/>
        <v>0</v>
      </c>
      <c r="F15" s="202">
        <f>+'Table 5C1A-Madison Prep'!F15</f>
        <v>744.76</v>
      </c>
      <c r="G15" s="202">
        <f t="shared" si="9"/>
        <v>0</v>
      </c>
      <c r="H15" s="345">
        <f t="shared" si="10"/>
        <v>0</v>
      </c>
      <c r="I15" s="203">
        <f>'[1]Oct midyear Impact'!K12</f>
        <v>0</v>
      </c>
      <c r="J15" s="203">
        <f>'[1]Feb midyear Impact'!K12</f>
        <v>0</v>
      </c>
      <c r="K15" s="204">
        <f t="shared" si="11"/>
        <v>0</v>
      </c>
      <c r="L15" s="345">
        <f t="shared" si="12"/>
        <v>0</v>
      </c>
      <c r="M15" s="286">
        <f t="shared" si="4"/>
        <v>0</v>
      </c>
      <c r="N15" s="345">
        <f t="shared" si="13"/>
        <v>0</v>
      </c>
      <c r="O15" s="201">
        <v>0</v>
      </c>
      <c r="P15" s="351">
        <f t="shared" si="14"/>
        <v>0</v>
      </c>
      <c r="Q15" s="203">
        <f>(4*'[2]Table 5C1O-Impact'!S15)+(4*'[3]Table 5C1O-Impact'!S15)</f>
        <v>0</v>
      </c>
      <c r="R15" s="203">
        <f t="shared" si="15"/>
        <v>0</v>
      </c>
      <c r="S15" s="351">
        <f t="shared" si="5"/>
        <v>0</v>
      </c>
      <c r="T15" s="351">
        <f t="shared" si="16"/>
        <v>0</v>
      </c>
      <c r="U15" s="287">
        <f>'Table 5C1A-Madison Prep'!U15</f>
        <v>4901</v>
      </c>
      <c r="V15" s="328">
        <f t="shared" si="17"/>
        <v>0</v>
      </c>
      <c r="W15" s="289">
        <f>'[1]Oct midyear Impact'!E12</f>
        <v>0</v>
      </c>
      <c r="X15" s="290">
        <f t="shared" si="18"/>
        <v>0</v>
      </c>
      <c r="Y15" s="289">
        <f>'[1]Feb midyear Impact'!E12</f>
        <v>0</v>
      </c>
      <c r="Z15" s="290">
        <f t="shared" si="19"/>
        <v>0</v>
      </c>
      <c r="AA15" s="288">
        <f t="shared" si="20"/>
        <v>0</v>
      </c>
      <c r="AB15" s="324">
        <f t="shared" si="21"/>
        <v>0</v>
      </c>
      <c r="AC15" s="292">
        <f t="shared" si="22"/>
        <v>0</v>
      </c>
      <c r="AD15" s="324">
        <f t="shared" si="23"/>
        <v>0</v>
      </c>
      <c r="AE15" s="293">
        <v>0</v>
      </c>
      <c r="AF15" s="324">
        <f t="shared" si="24"/>
        <v>0</v>
      </c>
      <c r="AG15" s="293">
        <f>(4*'[2]Table 5C1O-Impact'!AI15)+(4*'[3]Table 5C1O-Impact'!AI15)</f>
        <v>0</v>
      </c>
      <c r="AH15" s="293">
        <f t="shared" si="25"/>
        <v>0</v>
      </c>
      <c r="AI15" s="324">
        <f t="shared" si="6"/>
        <v>0</v>
      </c>
      <c r="AJ15" s="321">
        <f t="shared" si="26"/>
        <v>0</v>
      </c>
      <c r="AK15" s="342">
        <f t="shared" si="27"/>
        <v>0</v>
      </c>
      <c r="AM15" s="286">
        <v>0</v>
      </c>
      <c r="AN15" s="286">
        <f t="shared" si="28"/>
        <v>0</v>
      </c>
      <c r="AO15" s="286">
        <f t="shared" si="7"/>
        <v>0</v>
      </c>
    </row>
    <row r="16" spans="1:41" ht="16.149999999999999" customHeight="1">
      <c r="A16" s="191">
        <v>10</v>
      </c>
      <c r="B16" s="192" t="s">
        <v>82</v>
      </c>
      <c r="C16" s="996">
        <v>0</v>
      </c>
      <c r="D16" s="194">
        <f>+'Table 5C1A-Madison Prep'!D16</f>
        <v>4384.374733918472</v>
      </c>
      <c r="E16" s="195">
        <f t="shared" si="8"/>
        <v>0</v>
      </c>
      <c r="F16" s="195">
        <f>+'Table 5C1A-Madison Prep'!F16</f>
        <v>608.04000000000008</v>
      </c>
      <c r="G16" s="195">
        <f t="shared" si="9"/>
        <v>0</v>
      </c>
      <c r="H16" s="346">
        <f t="shared" si="10"/>
        <v>0</v>
      </c>
      <c r="I16" s="196">
        <f>'[1]Oct midyear Impact'!K13</f>
        <v>0</v>
      </c>
      <c r="J16" s="196">
        <f>'[1]Feb midyear Impact'!K13</f>
        <v>0</v>
      </c>
      <c r="K16" s="197">
        <f t="shared" si="11"/>
        <v>0</v>
      </c>
      <c r="L16" s="346">
        <f t="shared" si="12"/>
        <v>0</v>
      </c>
      <c r="M16" s="296">
        <f t="shared" si="4"/>
        <v>0</v>
      </c>
      <c r="N16" s="346">
        <f t="shared" si="13"/>
        <v>0</v>
      </c>
      <c r="O16" s="194">
        <v>0</v>
      </c>
      <c r="P16" s="352">
        <f t="shared" si="14"/>
        <v>0</v>
      </c>
      <c r="Q16" s="196">
        <f>(4*'[2]Table 5C1O-Impact'!S16)+(4*'[3]Table 5C1O-Impact'!S16)</f>
        <v>0</v>
      </c>
      <c r="R16" s="196">
        <f t="shared" si="15"/>
        <v>0</v>
      </c>
      <c r="S16" s="352">
        <f t="shared" si="5"/>
        <v>0</v>
      </c>
      <c r="T16" s="352">
        <f t="shared" si="16"/>
        <v>0</v>
      </c>
      <c r="U16" s="281">
        <f>'Table 5C1A-Madison Prep'!U16</f>
        <v>4619</v>
      </c>
      <c r="V16" s="329">
        <f t="shared" si="17"/>
        <v>0</v>
      </c>
      <c r="W16" s="884">
        <f>'[1]Oct midyear Impact'!E13</f>
        <v>0</v>
      </c>
      <c r="X16" s="282">
        <f t="shared" si="18"/>
        <v>0</v>
      </c>
      <c r="Y16" s="884">
        <f>'[1]Feb midyear Impact'!E13</f>
        <v>0</v>
      </c>
      <c r="Z16" s="282">
        <f t="shared" si="19"/>
        <v>0</v>
      </c>
      <c r="AA16" s="283">
        <f t="shared" si="20"/>
        <v>0</v>
      </c>
      <c r="AB16" s="325">
        <f t="shared" si="21"/>
        <v>0</v>
      </c>
      <c r="AC16" s="298">
        <f t="shared" si="22"/>
        <v>0</v>
      </c>
      <c r="AD16" s="325">
        <f t="shared" si="23"/>
        <v>0</v>
      </c>
      <c r="AE16" s="284">
        <v>0</v>
      </c>
      <c r="AF16" s="325">
        <f t="shared" si="24"/>
        <v>0</v>
      </c>
      <c r="AG16" s="284">
        <f>(4*'[2]Table 5C1O-Impact'!AI16)+(4*'[3]Table 5C1O-Impact'!AI16)</f>
        <v>0</v>
      </c>
      <c r="AH16" s="284">
        <f t="shared" si="25"/>
        <v>0</v>
      </c>
      <c r="AI16" s="325">
        <f t="shared" si="6"/>
        <v>0</v>
      </c>
      <c r="AJ16" s="338">
        <f t="shared" si="26"/>
        <v>0</v>
      </c>
      <c r="AK16" s="343">
        <f t="shared" si="27"/>
        <v>0</v>
      </c>
      <c r="AM16" s="296">
        <v>0</v>
      </c>
      <c r="AN16" s="296">
        <f t="shared" si="28"/>
        <v>0</v>
      </c>
      <c r="AO16" s="296">
        <f t="shared" si="7"/>
        <v>0</v>
      </c>
    </row>
    <row r="17" spans="1:41" ht="16.149999999999999" customHeight="1">
      <c r="A17" s="205">
        <v>11</v>
      </c>
      <c r="B17" s="206" t="s">
        <v>83</v>
      </c>
      <c r="C17" s="994">
        <v>0</v>
      </c>
      <c r="D17" s="208">
        <f>+'Table 5C1A-Madison Prep'!D17</f>
        <v>7098.5372236353351</v>
      </c>
      <c r="E17" s="209">
        <f t="shared" si="8"/>
        <v>0</v>
      </c>
      <c r="F17" s="209">
        <f>+'Table 5C1A-Madison Prep'!F17</f>
        <v>706.55</v>
      </c>
      <c r="G17" s="209">
        <f t="shared" si="9"/>
        <v>0</v>
      </c>
      <c r="H17" s="344">
        <f t="shared" si="10"/>
        <v>0</v>
      </c>
      <c r="I17" s="210">
        <f>'[1]Oct midyear Impact'!K14</f>
        <v>0</v>
      </c>
      <c r="J17" s="210">
        <f>'[1]Feb midyear Impact'!K14</f>
        <v>0</v>
      </c>
      <c r="K17" s="211">
        <f t="shared" si="11"/>
        <v>0</v>
      </c>
      <c r="L17" s="344">
        <f t="shared" si="12"/>
        <v>0</v>
      </c>
      <c r="M17" s="273">
        <f t="shared" si="4"/>
        <v>0</v>
      </c>
      <c r="N17" s="344">
        <f t="shared" si="13"/>
        <v>0</v>
      </c>
      <c r="O17" s="208">
        <v>0</v>
      </c>
      <c r="P17" s="350">
        <f t="shared" si="14"/>
        <v>0</v>
      </c>
      <c r="Q17" s="210">
        <f>(4*'[2]Table 5C1O-Impact'!S17)+(4*'[3]Table 5C1O-Impact'!S17)</f>
        <v>0</v>
      </c>
      <c r="R17" s="210">
        <f t="shared" si="15"/>
        <v>0</v>
      </c>
      <c r="S17" s="350">
        <f t="shared" si="5"/>
        <v>0</v>
      </c>
      <c r="T17" s="350">
        <f t="shared" si="16"/>
        <v>0</v>
      </c>
      <c r="U17" s="274">
        <f>'Table 5C1A-Madison Prep'!U17</f>
        <v>3580</v>
      </c>
      <c r="V17" s="327">
        <f t="shared" si="17"/>
        <v>0</v>
      </c>
      <c r="W17" s="883">
        <f>'[1]Oct midyear Impact'!E14</f>
        <v>0</v>
      </c>
      <c r="X17" s="276">
        <f t="shared" si="18"/>
        <v>0</v>
      </c>
      <c r="Y17" s="883">
        <f>'[1]Feb midyear Impact'!E14</f>
        <v>0</v>
      </c>
      <c r="Z17" s="276">
        <f t="shared" si="19"/>
        <v>0</v>
      </c>
      <c r="AA17" s="275">
        <f t="shared" si="20"/>
        <v>0</v>
      </c>
      <c r="AB17" s="323">
        <f t="shared" si="21"/>
        <v>0</v>
      </c>
      <c r="AC17" s="278">
        <f t="shared" si="22"/>
        <v>0</v>
      </c>
      <c r="AD17" s="323">
        <f t="shared" si="23"/>
        <v>0</v>
      </c>
      <c r="AE17" s="279">
        <v>0</v>
      </c>
      <c r="AF17" s="323">
        <f t="shared" si="24"/>
        <v>0</v>
      </c>
      <c r="AG17" s="279">
        <f>(4*'[2]Table 5C1O-Impact'!AI17)+(4*'[3]Table 5C1O-Impact'!AI17)</f>
        <v>0</v>
      </c>
      <c r="AH17" s="279">
        <f t="shared" si="25"/>
        <v>0</v>
      </c>
      <c r="AI17" s="323">
        <f t="shared" si="6"/>
        <v>0</v>
      </c>
      <c r="AJ17" s="337">
        <f t="shared" si="26"/>
        <v>0</v>
      </c>
      <c r="AK17" s="341">
        <f t="shared" si="27"/>
        <v>0</v>
      </c>
      <c r="AM17" s="273">
        <v>0</v>
      </c>
      <c r="AN17" s="273">
        <f t="shared" si="28"/>
        <v>0</v>
      </c>
      <c r="AO17" s="273">
        <f t="shared" si="7"/>
        <v>0</v>
      </c>
    </row>
    <row r="18" spans="1:41" ht="16.149999999999999" customHeight="1">
      <c r="A18" s="198">
        <v>12</v>
      </c>
      <c r="B18" s="199" t="s">
        <v>84</v>
      </c>
      <c r="C18" s="995">
        <v>0</v>
      </c>
      <c r="D18" s="201">
        <f>+'Table 5C1A-Madison Prep'!D18</f>
        <v>1666.6040983606558</v>
      </c>
      <c r="E18" s="202">
        <f t="shared" si="8"/>
        <v>0</v>
      </c>
      <c r="F18" s="202">
        <f>+'Table 5C1A-Madison Prep'!F18</f>
        <v>1063.31</v>
      </c>
      <c r="G18" s="202">
        <f t="shared" si="9"/>
        <v>0</v>
      </c>
      <c r="H18" s="345">
        <f t="shared" si="10"/>
        <v>0</v>
      </c>
      <c r="I18" s="203">
        <f>'[1]Oct midyear Impact'!K15</f>
        <v>0</v>
      </c>
      <c r="J18" s="203">
        <f>'[1]Feb midyear Impact'!K15</f>
        <v>0</v>
      </c>
      <c r="K18" s="204">
        <f t="shared" si="11"/>
        <v>0</v>
      </c>
      <c r="L18" s="345">
        <f t="shared" si="12"/>
        <v>0</v>
      </c>
      <c r="M18" s="286">
        <f t="shared" si="4"/>
        <v>0</v>
      </c>
      <c r="N18" s="345">
        <f t="shared" si="13"/>
        <v>0</v>
      </c>
      <c r="O18" s="201">
        <v>0</v>
      </c>
      <c r="P18" s="351">
        <f t="shared" si="14"/>
        <v>0</v>
      </c>
      <c r="Q18" s="203">
        <f>(4*'[2]Table 5C1O-Impact'!S18)+(4*'[3]Table 5C1O-Impact'!S18)</f>
        <v>0</v>
      </c>
      <c r="R18" s="203">
        <f t="shared" si="15"/>
        <v>0</v>
      </c>
      <c r="S18" s="351">
        <f t="shared" si="5"/>
        <v>0</v>
      </c>
      <c r="T18" s="351">
        <f t="shared" si="16"/>
        <v>0</v>
      </c>
      <c r="U18" s="287">
        <f>'Table 5C1A-Madison Prep'!U18</f>
        <v>8094</v>
      </c>
      <c r="V18" s="328">
        <f t="shared" si="17"/>
        <v>0</v>
      </c>
      <c r="W18" s="289">
        <f>'[1]Oct midyear Impact'!E15</f>
        <v>0</v>
      </c>
      <c r="X18" s="290">
        <f t="shared" si="18"/>
        <v>0</v>
      </c>
      <c r="Y18" s="289">
        <f>'[1]Feb midyear Impact'!E15</f>
        <v>0</v>
      </c>
      <c r="Z18" s="290">
        <f t="shared" si="19"/>
        <v>0</v>
      </c>
      <c r="AA18" s="288">
        <f t="shared" si="20"/>
        <v>0</v>
      </c>
      <c r="AB18" s="324">
        <f t="shared" si="21"/>
        <v>0</v>
      </c>
      <c r="AC18" s="292">
        <f t="shared" si="22"/>
        <v>0</v>
      </c>
      <c r="AD18" s="324">
        <f t="shared" si="23"/>
        <v>0</v>
      </c>
      <c r="AE18" s="293">
        <v>0</v>
      </c>
      <c r="AF18" s="324">
        <f t="shared" si="24"/>
        <v>0</v>
      </c>
      <c r="AG18" s="293">
        <f>(4*'[2]Table 5C1O-Impact'!AI18)+(4*'[3]Table 5C1O-Impact'!AI18)</f>
        <v>0</v>
      </c>
      <c r="AH18" s="293">
        <f t="shared" si="25"/>
        <v>0</v>
      </c>
      <c r="AI18" s="324">
        <f t="shared" si="6"/>
        <v>0</v>
      </c>
      <c r="AJ18" s="321">
        <f t="shared" si="26"/>
        <v>0</v>
      </c>
      <c r="AK18" s="342">
        <f t="shared" si="27"/>
        <v>0</v>
      </c>
      <c r="AM18" s="286">
        <v>0</v>
      </c>
      <c r="AN18" s="286">
        <f t="shared" si="28"/>
        <v>0</v>
      </c>
      <c r="AO18" s="286">
        <f t="shared" si="7"/>
        <v>0</v>
      </c>
    </row>
    <row r="19" spans="1:41" ht="16.149999999999999" customHeight="1">
      <c r="A19" s="198">
        <v>13</v>
      </c>
      <c r="B19" s="199" t="s">
        <v>85</v>
      </c>
      <c r="C19" s="995">
        <v>0</v>
      </c>
      <c r="D19" s="201">
        <f>+'Table 5C1A-Madison Prep'!D19</f>
        <v>6433.6297758332212</v>
      </c>
      <c r="E19" s="202">
        <f t="shared" si="8"/>
        <v>0</v>
      </c>
      <c r="F19" s="202">
        <f>+'Table 5C1A-Madison Prep'!F19</f>
        <v>749.43000000000006</v>
      </c>
      <c r="G19" s="202">
        <f t="shared" si="9"/>
        <v>0</v>
      </c>
      <c r="H19" s="345">
        <f t="shared" si="10"/>
        <v>0</v>
      </c>
      <c r="I19" s="203">
        <f>'[1]Oct midyear Impact'!K16</f>
        <v>0</v>
      </c>
      <c r="J19" s="203">
        <f>'[1]Feb midyear Impact'!K16</f>
        <v>0</v>
      </c>
      <c r="K19" s="204">
        <f t="shared" si="11"/>
        <v>0</v>
      </c>
      <c r="L19" s="345">
        <f t="shared" si="12"/>
        <v>0</v>
      </c>
      <c r="M19" s="286">
        <f t="shared" si="4"/>
        <v>0</v>
      </c>
      <c r="N19" s="345">
        <f t="shared" si="13"/>
        <v>0</v>
      </c>
      <c r="O19" s="201">
        <v>0</v>
      </c>
      <c r="P19" s="351">
        <f t="shared" si="14"/>
        <v>0</v>
      </c>
      <c r="Q19" s="203">
        <f>(4*'[2]Table 5C1O-Impact'!S19)+(4*'[3]Table 5C1O-Impact'!S19)</f>
        <v>0</v>
      </c>
      <c r="R19" s="203">
        <f t="shared" si="15"/>
        <v>0</v>
      </c>
      <c r="S19" s="351">
        <f t="shared" si="5"/>
        <v>0</v>
      </c>
      <c r="T19" s="351">
        <f t="shared" si="16"/>
        <v>0</v>
      </c>
      <c r="U19" s="287">
        <f>'Table 5C1A-Madison Prep'!U19</f>
        <v>2762</v>
      </c>
      <c r="V19" s="328">
        <f t="shared" si="17"/>
        <v>0</v>
      </c>
      <c r="W19" s="289">
        <f>'[1]Oct midyear Impact'!E16</f>
        <v>0</v>
      </c>
      <c r="X19" s="290">
        <f t="shared" si="18"/>
        <v>0</v>
      </c>
      <c r="Y19" s="289">
        <f>'[1]Feb midyear Impact'!E16</f>
        <v>0</v>
      </c>
      <c r="Z19" s="290">
        <f t="shared" si="19"/>
        <v>0</v>
      </c>
      <c r="AA19" s="288">
        <f t="shared" si="20"/>
        <v>0</v>
      </c>
      <c r="AB19" s="324">
        <f t="shared" si="21"/>
        <v>0</v>
      </c>
      <c r="AC19" s="292">
        <f t="shared" si="22"/>
        <v>0</v>
      </c>
      <c r="AD19" s="324">
        <f t="shared" si="23"/>
        <v>0</v>
      </c>
      <c r="AE19" s="293">
        <v>0</v>
      </c>
      <c r="AF19" s="324">
        <f t="shared" si="24"/>
        <v>0</v>
      </c>
      <c r="AG19" s="293">
        <f>(4*'[2]Table 5C1O-Impact'!AI19)+(4*'[3]Table 5C1O-Impact'!AI19)</f>
        <v>0</v>
      </c>
      <c r="AH19" s="293">
        <f t="shared" si="25"/>
        <v>0</v>
      </c>
      <c r="AI19" s="324">
        <f t="shared" si="6"/>
        <v>0</v>
      </c>
      <c r="AJ19" s="321">
        <f t="shared" si="26"/>
        <v>0</v>
      </c>
      <c r="AK19" s="342">
        <f t="shared" si="27"/>
        <v>0</v>
      </c>
      <c r="AM19" s="286">
        <v>0</v>
      </c>
      <c r="AN19" s="286">
        <f t="shared" si="28"/>
        <v>0</v>
      </c>
      <c r="AO19" s="286">
        <f t="shared" si="7"/>
        <v>0</v>
      </c>
    </row>
    <row r="20" spans="1:41" ht="16.149999999999999" customHeight="1">
      <c r="A20" s="198">
        <v>14</v>
      </c>
      <c r="B20" s="199" t="s">
        <v>86</v>
      </c>
      <c r="C20" s="995">
        <v>0</v>
      </c>
      <c r="D20" s="201">
        <f>+'Table 5C1A-Madison Prep'!D20</f>
        <v>5334.9509412500001</v>
      </c>
      <c r="E20" s="202">
        <f t="shared" si="8"/>
        <v>0</v>
      </c>
      <c r="F20" s="202">
        <f>+'Table 5C1A-Madison Prep'!F20</f>
        <v>809.9799999999999</v>
      </c>
      <c r="G20" s="202">
        <f t="shared" si="9"/>
        <v>0</v>
      </c>
      <c r="H20" s="345">
        <f t="shared" si="10"/>
        <v>0</v>
      </c>
      <c r="I20" s="203">
        <f>'[1]Oct midyear Impact'!K17</f>
        <v>0</v>
      </c>
      <c r="J20" s="203">
        <f>'[1]Feb midyear Impact'!K17</f>
        <v>0</v>
      </c>
      <c r="K20" s="204">
        <f t="shared" si="11"/>
        <v>0</v>
      </c>
      <c r="L20" s="345">
        <f t="shared" si="12"/>
        <v>0</v>
      </c>
      <c r="M20" s="286">
        <f t="shared" si="4"/>
        <v>0</v>
      </c>
      <c r="N20" s="345">
        <f t="shared" si="13"/>
        <v>0</v>
      </c>
      <c r="O20" s="201">
        <v>0</v>
      </c>
      <c r="P20" s="351">
        <f t="shared" si="14"/>
        <v>0</v>
      </c>
      <c r="Q20" s="203">
        <f>(4*'[2]Table 5C1O-Impact'!S20)+(4*'[3]Table 5C1O-Impact'!S20)</f>
        <v>0</v>
      </c>
      <c r="R20" s="203">
        <f t="shared" si="15"/>
        <v>0</v>
      </c>
      <c r="S20" s="351">
        <f t="shared" si="5"/>
        <v>0</v>
      </c>
      <c r="T20" s="351">
        <f t="shared" si="16"/>
        <v>0</v>
      </c>
      <c r="U20" s="287">
        <f>'Table 5C1A-Madison Prep'!U20</f>
        <v>4171</v>
      </c>
      <c r="V20" s="328">
        <f t="shared" si="17"/>
        <v>0</v>
      </c>
      <c r="W20" s="289">
        <f>'[1]Oct midyear Impact'!E17</f>
        <v>0</v>
      </c>
      <c r="X20" s="290">
        <f t="shared" si="18"/>
        <v>0</v>
      </c>
      <c r="Y20" s="289">
        <f>'[1]Feb midyear Impact'!E17</f>
        <v>0</v>
      </c>
      <c r="Z20" s="290">
        <f t="shared" si="19"/>
        <v>0</v>
      </c>
      <c r="AA20" s="288">
        <f t="shared" si="20"/>
        <v>0</v>
      </c>
      <c r="AB20" s="324">
        <f t="shared" si="21"/>
        <v>0</v>
      </c>
      <c r="AC20" s="292">
        <f t="shared" si="22"/>
        <v>0</v>
      </c>
      <c r="AD20" s="324">
        <f t="shared" si="23"/>
        <v>0</v>
      </c>
      <c r="AE20" s="293">
        <v>0</v>
      </c>
      <c r="AF20" s="324">
        <f t="shared" si="24"/>
        <v>0</v>
      </c>
      <c r="AG20" s="293">
        <f>(4*'[2]Table 5C1O-Impact'!AI20)+(4*'[3]Table 5C1O-Impact'!AI20)</f>
        <v>0</v>
      </c>
      <c r="AH20" s="293">
        <f t="shared" si="25"/>
        <v>0</v>
      </c>
      <c r="AI20" s="324">
        <f t="shared" si="6"/>
        <v>0</v>
      </c>
      <c r="AJ20" s="321">
        <f t="shared" si="26"/>
        <v>0</v>
      </c>
      <c r="AK20" s="342">
        <f t="shared" si="27"/>
        <v>0</v>
      </c>
      <c r="AM20" s="286">
        <v>0</v>
      </c>
      <c r="AN20" s="286">
        <f t="shared" si="28"/>
        <v>0</v>
      </c>
      <c r="AO20" s="286">
        <f t="shared" si="7"/>
        <v>0</v>
      </c>
    </row>
    <row r="21" spans="1:41" ht="16.149999999999999" customHeight="1">
      <c r="A21" s="191">
        <v>15</v>
      </c>
      <c r="B21" s="192" t="s">
        <v>87</v>
      </c>
      <c r="C21" s="996">
        <v>0</v>
      </c>
      <c r="D21" s="194">
        <f>+'Table 5C1A-Madison Prep'!D21</f>
        <v>5749.8285214059952</v>
      </c>
      <c r="E21" s="195">
        <f t="shared" si="8"/>
        <v>0</v>
      </c>
      <c r="F21" s="195">
        <f>+'Table 5C1A-Madison Prep'!F21</f>
        <v>553.79999999999995</v>
      </c>
      <c r="G21" s="195">
        <f t="shared" si="9"/>
        <v>0</v>
      </c>
      <c r="H21" s="346">
        <f t="shared" si="10"/>
        <v>0</v>
      </c>
      <c r="I21" s="196">
        <f>'[1]Oct midyear Impact'!K18</f>
        <v>0</v>
      </c>
      <c r="J21" s="196">
        <f>'[1]Feb midyear Impact'!K18</f>
        <v>0</v>
      </c>
      <c r="K21" s="197">
        <f t="shared" si="11"/>
        <v>0</v>
      </c>
      <c r="L21" s="346">
        <f t="shared" si="12"/>
        <v>0</v>
      </c>
      <c r="M21" s="296">
        <f t="shared" si="4"/>
        <v>0</v>
      </c>
      <c r="N21" s="346">
        <f t="shared" si="13"/>
        <v>0</v>
      </c>
      <c r="O21" s="194">
        <v>0</v>
      </c>
      <c r="P21" s="352">
        <f t="shared" si="14"/>
        <v>0</v>
      </c>
      <c r="Q21" s="196">
        <f>(4*'[2]Table 5C1O-Impact'!S21)+(4*'[3]Table 5C1O-Impact'!S21)</f>
        <v>0</v>
      </c>
      <c r="R21" s="196">
        <f t="shared" si="15"/>
        <v>0</v>
      </c>
      <c r="S21" s="352">
        <f t="shared" si="5"/>
        <v>0</v>
      </c>
      <c r="T21" s="352">
        <f t="shared" si="16"/>
        <v>0</v>
      </c>
      <c r="U21" s="281">
        <f>'Table 5C1A-Madison Prep'!U21</f>
        <v>2880</v>
      </c>
      <c r="V21" s="329">
        <f t="shared" si="17"/>
        <v>0</v>
      </c>
      <c r="W21" s="884">
        <f>'[1]Oct midyear Impact'!E18</f>
        <v>0</v>
      </c>
      <c r="X21" s="282">
        <f t="shared" si="18"/>
        <v>0</v>
      </c>
      <c r="Y21" s="884">
        <f>'[1]Feb midyear Impact'!E18</f>
        <v>0</v>
      </c>
      <c r="Z21" s="282">
        <f t="shared" si="19"/>
        <v>0</v>
      </c>
      <c r="AA21" s="283">
        <f t="shared" si="20"/>
        <v>0</v>
      </c>
      <c r="AB21" s="325">
        <f t="shared" si="21"/>
        <v>0</v>
      </c>
      <c r="AC21" s="298">
        <f t="shared" si="22"/>
        <v>0</v>
      </c>
      <c r="AD21" s="325">
        <f t="shared" si="23"/>
        <v>0</v>
      </c>
      <c r="AE21" s="284">
        <v>0</v>
      </c>
      <c r="AF21" s="325">
        <f t="shared" si="24"/>
        <v>0</v>
      </c>
      <c r="AG21" s="284">
        <f>(4*'[2]Table 5C1O-Impact'!AI21)+(4*'[3]Table 5C1O-Impact'!AI21)</f>
        <v>0</v>
      </c>
      <c r="AH21" s="284">
        <f t="shared" si="25"/>
        <v>0</v>
      </c>
      <c r="AI21" s="325">
        <f t="shared" si="6"/>
        <v>0</v>
      </c>
      <c r="AJ21" s="338">
        <f t="shared" si="26"/>
        <v>0</v>
      </c>
      <c r="AK21" s="343">
        <f t="shared" si="27"/>
        <v>0</v>
      </c>
      <c r="AM21" s="296">
        <v>0</v>
      </c>
      <c r="AN21" s="296">
        <f t="shared" si="28"/>
        <v>0</v>
      </c>
      <c r="AO21" s="296">
        <f t="shared" si="7"/>
        <v>0</v>
      </c>
    </row>
    <row r="22" spans="1:41" ht="16.149999999999999" customHeight="1">
      <c r="A22" s="205">
        <v>16</v>
      </c>
      <c r="B22" s="206" t="s">
        <v>88</v>
      </c>
      <c r="C22" s="994">
        <v>0</v>
      </c>
      <c r="D22" s="208">
        <f>+'Table 5C1A-Madison Prep'!D22</f>
        <v>1980.2494354342025</v>
      </c>
      <c r="E22" s="209">
        <f t="shared" si="8"/>
        <v>0</v>
      </c>
      <c r="F22" s="209">
        <f>+'Table 5C1A-Madison Prep'!F22</f>
        <v>686.73</v>
      </c>
      <c r="G22" s="209">
        <f t="shared" si="9"/>
        <v>0</v>
      </c>
      <c r="H22" s="344">
        <f t="shared" si="10"/>
        <v>0</v>
      </c>
      <c r="I22" s="210">
        <f>'[1]Oct midyear Impact'!K19</f>
        <v>0</v>
      </c>
      <c r="J22" s="210">
        <f>'[1]Feb midyear Impact'!K19</f>
        <v>0</v>
      </c>
      <c r="K22" s="211">
        <f t="shared" si="11"/>
        <v>0</v>
      </c>
      <c r="L22" s="344">
        <f t="shared" si="12"/>
        <v>0</v>
      </c>
      <c r="M22" s="273">
        <f t="shared" si="4"/>
        <v>0</v>
      </c>
      <c r="N22" s="344">
        <f t="shared" si="13"/>
        <v>0</v>
      </c>
      <c r="O22" s="208">
        <v>0</v>
      </c>
      <c r="P22" s="350">
        <f t="shared" si="14"/>
        <v>0</v>
      </c>
      <c r="Q22" s="210">
        <f>(4*'[2]Table 5C1O-Impact'!S22)+(4*'[3]Table 5C1O-Impact'!S22)</f>
        <v>0</v>
      </c>
      <c r="R22" s="210">
        <f t="shared" si="15"/>
        <v>0</v>
      </c>
      <c r="S22" s="350">
        <f t="shared" si="5"/>
        <v>0</v>
      </c>
      <c r="T22" s="350">
        <f t="shared" si="16"/>
        <v>0</v>
      </c>
      <c r="U22" s="274">
        <f>'Table 5C1A-Madison Prep'!U22</f>
        <v>13021</v>
      </c>
      <c r="V22" s="327">
        <f t="shared" si="17"/>
        <v>0</v>
      </c>
      <c r="W22" s="883">
        <f>'[1]Oct midyear Impact'!E19</f>
        <v>0</v>
      </c>
      <c r="X22" s="276">
        <f t="shared" si="18"/>
        <v>0</v>
      </c>
      <c r="Y22" s="883">
        <f>'[1]Feb midyear Impact'!E19</f>
        <v>0</v>
      </c>
      <c r="Z22" s="276">
        <f t="shared" si="19"/>
        <v>0</v>
      </c>
      <c r="AA22" s="275">
        <f t="shared" si="20"/>
        <v>0</v>
      </c>
      <c r="AB22" s="323">
        <f t="shared" si="21"/>
        <v>0</v>
      </c>
      <c r="AC22" s="278">
        <f t="shared" si="22"/>
        <v>0</v>
      </c>
      <c r="AD22" s="323">
        <f t="shared" si="23"/>
        <v>0</v>
      </c>
      <c r="AE22" s="279">
        <v>0</v>
      </c>
      <c r="AF22" s="323">
        <f t="shared" si="24"/>
        <v>0</v>
      </c>
      <c r="AG22" s="279">
        <f>(4*'[2]Table 5C1O-Impact'!AI22)+(4*'[3]Table 5C1O-Impact'!AI22)</f>
        <v>0</v>
      </c>
      <c r="AH22" s="279">
        <f t="shared" si="25"/>
        <v>0</v>
      </c>
      <c r="AI22" s="323">
        <f t="shared" si="6"/>
        <v>0</v>
      </c>
      <c r="AJ22" s="337">
        <f t="shared" si="26"/>
        <v>0</v>
      </c>
      <c r="AK22" s="341">
        <f t="shared" si="27"/>
        <v>0</v>
      </c>
      <c r="AM22" s="273">
        <v>0</v>
      </c>
      <c r="AN22" s="273">
        <f t="shared" si="28"/>
        <v>0</v>
      </c>
      <c r="AO22" s="273">
        <f t="shared" si="7"/>
        <v>0</v>
      </c>
    </row>
    <row r="23" spans="1:41" ht="16.149999999999999" customHeight="1">
      <c r="A23" s="198">
        <v>17</v>
      </c>
      <c r="B23" s="199" t="s">
        <v>89</v>
      </c>
      <c r="C23" s="995">
        <v>0</v>
      </c>
      <c r="D23" s="201">
        <f>+'Table 5C1A-Madison Prep'!D23</f>
        <v>3363.5980368254495</v>
      </c>
      <c r="E23" s="202">
        <f t="shared" si="8"/>
        <v>0</v>
      </c>
      <c r="F23" s="202">
        <f>+'Table 5C1A-Madison Prep'!F23</f>
        <v>801.47762416806802</v>
      </c>
      <c r="G23" s="202">
        <f t="shared" si="9"/>
        <v>0</v>
      </c>
      <c r="H23" s="345">
        <f t="shared" si="10"/>
        <v>0</v>
      </c>
      <c r="I23" s="203">
        <f>'[1]Oct midyear Impact'!K20</f>
        <v>224914.08569364998</v>
      </c>
      <c r="J23" s="203">
        <f>'[1]Feb midyear Impact'!K20</f>
        <v>49980.907931922215</v>
      </c>
      <c r="K23" s="204">
        <f t="shared" si="11"/>
        <v>274894.99362557218</v>
      </c>
      <c r="L23" s="345">
        <f t="shared" si="12"/>
        <v>274894.99362557218</v>
      </c>
      <c r="M23" s="286">
        <f t="shared" si="4"/>
        <v>-687.23748406393042</v>
      </c>
      <c r="N23" s="345">
        <f t="shared" si="13"/>
        <v>274207.75614150823</v>
      </c>
      <c r="O23" s="201">
        <v>0</v>
      </c>
      <c r="P23" s="351">
        <f t="shared" si="14"/>
        <v>274207.75614150823</v>
      </c>
      <c r="Q23" s="203">
        <f>(4*'[2]Table 5C1O-Impact'!S23)+(4*'[3]Table 5C1O-Impact'!S23)</f>
        <v>137104</v>
      </c>
      <c r="R23" s="203">
        <f t="shared" si="15"/>
        <v>137103.75614150823</v>
      </c>
      <c r="S23" s="351">
        <f t="shared" si="5"/>
        <v>34276</v>
      </c>
      <c r="T23" s="351">
        <f t="shared" si="16"/>
        <v>274207.75614150823</v>
      </c>
      <c r="U23" s="287">
        <f>'Table 5C1A-Madison Prep'!U23</f>
        <v>6954</v>
      </c>
      <c r="V23" s="328">
        <f t="shared" si="17"/>
        <v>0</v>
      </c>
      <c r="W23" s="289">
        <f>'[1]Oct midyear Impact'!E20</f>
        <v>54</v>
      </c>
      <c r="X23" s="290">
        <f t="shared" si="18"/>
        <v>375516</v>
      </c>
      <c r="Y23" s="289">
        <f>'[1]Feb midyear Impact'!E20</f>
        <v>24</v>
      </c>
      <c r="Z23" s="290">
        <f t="shared" si="19"/>
        <v>83448</v>
      </c>
      <c r="AA23" s="288">
        <f t="shared" si="20"/>
        <v>458964</v>
      </c>
      <c r="AB23" s="324">
        <f t="shared" si="21"/>
        <v>458964</v>
      </c>
      <c r="AC23" s="292">
        <f t="shared" si="22"/>
        <v>-1147.4100000000001</v>
      </c>
      <c r="AD23" s="324">
        <f t="shared" si="23"/>
        <v>457816.59</v>
      </c>
      <c r="AE23" s="293">
        <v>0</v>
      </c>
      <c r="AF23" s="324">
        <f t="shared" si="24"/>
        <v>457816.59</v>
      </c>
      <c r="AG23" s="293">
        <f>(4*'[2]Table 5C1O-Impact'!AI23)+(4*'[3]Table 5C1O-Impact'!AI23)</f>
        <v>232068</v>
      </c>
      <c r="AH23" s="293">
        <f t="shared" si="25"/>
        <v>225748.59000000003</v>
      </c>
      <c r="AI23" s="324">
        <f t="shared" si="6"/>
        <v>56437</v>
      </c>
      <c r="AJ23" s="321">
        <f t="shared" si="26"/>
        <v>732024.34614150831</v>
      </c>
      <c r="AK23" s="342">
        <f t="shared" si="27"/>
        <v>90713</v>
      </c>
      <c r="AM23" s="286">
        <v>-634.5</v>
      </c>
      <c r="AN23" s="286">
        <f t="shared" si="28"/>
        <v>-1147.4100000000001</v>
      </c>
      <c r="AO23" s="286">
        <f t="shared" si="7"/>
        <v>-512.91000000000008</v>
      </c>
    </row>
    <row r="24" spans="1:41" ht="16.149999999999999" customHeight="1">
      <c r="A24" s="198">
        <v>18</v>
      </c>
      <c r="B24" s="199" t="s">
        <v>90</v>
      </c>
      <c r="C24" s="995">
        <v>0</v>
      </c>
      <c r="D24" s="201">
        <f>+'Table 5C1A-Madison Prep'!D24</f>
        <v>6354.5533500475731</v>
      </c>
      <c r="E24" s="202">
        <f t="shared" si="8"/>
        <v>0</v>
      </c>
      <c r="F24" s="202">
        <f>+'Table 5C1A-Madison Prep'!F24</f>
        <v>845.94999999999993</v>
      </c>
      <c r="G24" s="202">
        <f t="shared" si="9"/>
        <v>0</v>
      </c>
      <c r="H24" s="345">
        <f t="shared" si="10"/>
        <v>0</v>
      </c>
      <c r="I24" s="203">
        <f>'[1]Oct midyear Impact'!K21</f>
        <v>0</v>
      </c>
      <c r="J24" s="203">
        <f>'[1]Feb midyear Impact'!K21</f>
        <v>0</v>
      </c>
      <c r="K24" s="204">
        <f t="shared" si="11"/>
        <v>0</v>
      </c>
      <c r="L24" s="345">
        <f t="shared" si="12"/>
        <v>0</v>
      </c>
      <c r="M24" s="286">
        <f t="shared" si="4"/>
        <v>0</v>
      </c>
      <c r="N24" s="345">
        <f t="shared" si="13"/>
        <v>0</v>
      </c>
      <c r="O24" s="201">
        <v>0</v>
      </c>
      <c r="P24" s="351">
        <f t="shared" si="14"/>
        <v>0</v>
      </c>
      <c r="Q24" s="203">
        <f>(4*'[2]Table 5C1O-Impact'!S24)+(4*'[3]Table 5C1O-Impact'!S24)</f>
        <v>0</v>
      </c>
      <c r="R24" s="203">
        <f t="shared" si="15"/>
        <v>0</v>
      </c>
      <c r="S24" s="351">
        <f t="shared" si="5"/>
        <v>0</v>
      </c>
      <c r="T24" s="351">
        <f t="shared" si="16"/>
        <v>0</v>
      </c>
      <c r="U24" s="287">
        <f>'Table 5C1A-Madison Prep'!U24</f>
        <v>2442</v>
      </c>
      <c r="V24" s="328">
        <f t="shared" si="17"/>
        <v>0</v>
      </c>
      <c r="W24" s="289">
        <f>'[1]Oct midyear Impact'!E21</f>
        <v>0</v>
      </c>
      <c r="X24" s="290">
        <f t="shared" si="18"/>
        <v>0</v>
      </c>
      <c r="Y24" s="289">
        <f>'[1]Feb midyear Impact'!E21</f>
        <v>0</v>
      </c>
      <c r="Z24" s="290">
        <f t="shared" si="19"/>
        <v>0</v>
      </c>
      <c r="AA24" s="288">
        <f t="shared" si="20"/>
        <v>0</v>
      </c>
      <c r="AB24" s="324">
        <f t="shared" si="21"/>
        <v>0</v>
      </c>
      <c r="AC24" s="292">
        <f t="shared" si="22"/>
        <v>0</v>
      </c>
      <c r="AD24" s="324">
        <f t="shared" si="23"/>
        <v>0</v>
      </c>
      <c r="AE24" s="293">
        <v>0</v>
      </c>
      <c r="AF24" s="324">
        <f t="shared" si="24"/>
        <v>0</v>
      </c>
      <c r="AG24" s="293">
        <f>(4*'[2]Table 5C1O-Impact'!AI24)+(4*'[3]Table 5C1O-Impact'!AI24)</f>
        <v>0</v>
      </c>
      <c r="AH24" s="293">
        <f t="shared" si="25"/>
        <v>0</v>
      </c>
      <c r="AI24" s="324">
        <f t="shared" si="6"/>
        <v>0</v>
      </c>
      <c r="AJ24" s="321">
        <f t="shared" si="26"/>
        <v>0</v>
      </c>
      <c r="AK24" s="342">
        <f t="shared" si="27"/>
        <v>0</v>
      </c>
      <c r="AM24" s="286">
        <v>0</v>
      </c>
      <c r="AN24" s="286">
        <f t="shared" si="28"/>
        <v>0</v>
      </c>
      <c r="AO24" s="286">
        <f t="shared" si="7"/>
        <v>0</v>
      </c>
    </row>
    <row r="25" spans="1:41" ht="16.149999999999999" customHeight="1">
      <c r="A25" s="198">
        <v>19</v>
      </c>
      <c r="B25" s="199" t="s">
        <v>91</v>
      </c>
      <c r="C25" s="995">
        <v>0</v>
      </c>
      <c r="D25" s="201">
        <f>+'Table 5C1A-Madison Prep'!D25</f>
        <v>5314.3921869460446</v>
      </c>
      <c r="E25" s="202">
        <f t="shared" si="8"/>
        <v>0</v>
      </c>
      <c r="F25" s="202">
        <f>+'Table 5C1A-Madison Prep'!F25</f>
        <v>905.43</v>
      </c>
      <c r="G25" s="202">
        <f t="shared" si="9"/>
        <v>0</v>
      </c>
      <c r="H25" s="345">
        <f t="shared" si="10"/>
        <v>0</v>
      </c>
      <c r="I25" s="203">
        <f>'[1]Oct midyear Impact'!K22</f>
        <v>6219.8221869460449</v>
      </c>
      <c r="J25" s="203">
        <f>'[1]Feb midyear Impact'!K22</f>
        <v>0</v>
      </c>
      <c r="K25" s="204">
        <f t="shared" si="11"/>
        <v>6219.8221869460449</v>
      </c>
      <c r="L25" s="345">
        <f t="shared" si="12"/>
        <v>6219.8221869460449</v>
      </c>
      <c r="M25" s="286">
        <f t="shared" si="4"/>
        <v>-15.549555467365112</v>
      </c>
      <c r="N25" s="345">
        <f t="shared" si="13"/>
        <v>6204.2726314786796</v>
      </c>
      <c r="O25" s="201">
        <v>0</v>
      </c>
      <c r="P25" s="351">
        <f t="shared" si="14"/>
        <v>6204.2726314786796</v>
      </c>
      <c r="Q25" s="203">
        <f>(4*'[2]Table 5C1O-Impact'!S25)+(4*'[3]Table 5C1O-Impact'!S25)</f>
        <v>15512</v>
      </c>
      <c r="R25" s="203">
        <f t="shared" si="15"/>
        <v>-9307.7273685213204</v>
      </c>
      <c r="S25" s="351">
        <f t="shared" si="5"/>
        <v>-2327</v>
      </c>
      <c r="T25" s="351">
        <f t="shared" si="16"/>
        <v>6204.2726314786796</v>
      </c>
      <c r="U25" s="287">
        <f>'Table 5C1A-Madison Prep'!U25</f>
        <v>3051</v>
      </c>
      <c r="V25" s="328">
        <f t="shared" si="17"/>
        <v>0</v>
      </c>
      <c r="W25" s="289">
        <f>'[1]Oct midyear Impact'!E22</f>
        <v>1</v>
      </c>
      <c r="X25" s="290">
        <f t="shared" si="18"/>
        <v>3051</v>
      </c>
      <c r="Y25" s="289">
        <f>'[1]Feb midyear Impact'!E22</f>
        <v>0</v>
      </c>
      <c r="Z25" s="290">
        <f t="shared" si="19"/>
        <v>0</v>
      </c>
      <c r="AA25" s="288">
        <f t="shared" si="20"/>
        <v>3051</v>
      </c>
      <c r="AB25" s="324">
        <f t="shared" si="21"/>
        <v>3051</v>
      </c>
      <c r="AC25" s="292">
        <f t="shared" si="22"/>
        <v>-7.6275000000000004</v>
      </c>
      <c r="AD25" s="324">
        <f t="shared" si="23"/>
        <v>3043.3724999999999</v>
      </c>
      <c r="AE25" s="293">
        <v>0</v>
      </c>
      <c r="AF25" s="324">
        <f t="shared" si="24"/>
        <v>3043.3724999999999</v>
      </c>
      <c r="AG25" s="293">
        <f>(4*'[2]Table 5C1O-Impact'!AI25)+(4*'[3]Table 5C1O-Impact'!AI25)</f>
        <v>7252</v>
      </c>
      <c r="AH25" s="293">
        <f t="shared" si="25"/>
        <v>-4208.6275000000005</v>
      </c>
      <c r="AI25" s="324">
        <f t="shared" si="6"/>
        <v>-1052</v>
      </c>
      <c r="AJ25" s="321">
        <f t="shared" si="26"/>
        <v>9247.6451314786791</v>
      </c>
      <c r="AK25" s="342">
        <f t="shared" si="27"/>
        <v>-3379</v>
      </c>
      <c r="AM25" s="286">
        <v>-87.24</v>
      </c>
      <c r="AN25" s="286">
        <f t="shared" si="28"/>
        <v>-7.6275000000000004</v>
      </c>
      <c r="AO25" s="286">
        <f t="shared" si="7"/>
        <v>79.612499999999997</v>
      </c>
    </row>
    <row r="26" spans="1:41" ht="16.149999999999999" customHeight="1">
      <c r="A26" s="191">
        <v>20</v>
      </c>
      <c r="B26" s="192" t="s">
        <v>92</v>
      </c>
      <c r="C26" s="996">
        <v>0</v>
      </c>
      <c r="D26" s="194">
        <f>+'Table 5C1A-Madison Prep'!D26</f>
        <v>5278.5201565562011</v>
      </c>
      <c r="E26" s="195">
        <f t="shared" si="8"/>
        <v>0</v>
      </c>
      <c r="F26" s="195">
        <f>+'Table 5C1A-Madison Prep'!F26</f>
        <v>586.16999999999996</v>
      </c>
      <c r="G26" s="195">
        <f t="shared" si="9"/>
        <v>0</v>
      </c>
      <c r="H26" s="346">
        <f t="shared" si="10"/>
        <v>0</v>
      </c>
      <c r="I26" s="196">
        <f>'[1]Oct midyear Impact'!K23</f>
        <v>0</v>
      </c>
      <c r="J26" s="196">
        <f>'[1]Feb midyear Impact'!K23</f>
        <v>0</v>
      </c>
      <c r="K26" s="197">
        <f t="shared" si="11"/>
        <v>0</v>
      </c>
      <c r="L26" s="346">
        <f t="shared" si="12"/>
        <v>0</v>
      </c>
      <c r="M26" s="296">
        <f t="shared" si="4"/>
        <v>0</v>
      </c>
      <c r="N26" s="346">
        <f t="shared" si="13"/>
        <v>0</v>
      </c>
      <c r="O26" s="194">
        <v>0</v>
      </c>
      <c r="P26" s="352">
        <f t="shared" si="14"/>
        <v>0</v>
      </c>
      <c r="Q26" s="196">
        <f>(4*'[2]Table 5C1O-Impact'!S26)+(4*'[3]Table 5C1O-Impact'!S26)</f>
        <v>0</v>
      </c>
      <c r="R26" s="196">
        <f t="shared" si="15"/>
        <v>0</v>
      </c>
      <c r="S26" s="352">
        <f t="shared" si="5"/>
        <v>0</v>
      </c>
      <c r="T26" s="352">
        <f t="shared" si="16"/>
        <v>0</v>
      </c>
      <c r="U26" s="281">
        <f>'Table 5C1A-Madison Prep'!U26</f>
        <v>2484</v>
      </c>
      <c r="V26" s="329">
        <f t="shared" si="17"/>
        <v>0</v>
      </c>
      <c r="W26" s="884">
        <f>'[1]Oct midyear Impact'!E23</f>
        <v>0</v>
      </c>
      <c r="X26" s="282">
        <f t="shared" si="18"/>
        <v>0</v>
      </c>
      <c r="Y26" s="884">
        <f>'[1]Feb midyear Impact'!E23</f>
        <v>0</v>
      </c>
      <c r="Z26" s="282">
        <f t="shared" si="19"/>
        <v>0</v>
      </c>
      <c r="AA26" s="283">
        <f t="shared" si="20"/>
        <v>0</v>
      </c>
      <c r="AB26" s="325">
        <f t="shared" si="21"/>
        <v>0</v>
      </c>
      <c r="AC26" s="298">
        <f t="shared" si="22"/>
        <v>0</v>
      </c>
      <c r="AD26" s="325">
        <f t="shared" si="23"/>
        <v>0</v>
      </c>
      <c r="AE26" s="284">
        <v>0</v>
      </c>
      <c r="AF26" s="325">
        <f t="shared" si="24"/>
        <v>0</v>
      </c>
      <c r="AG26" s="284">
        <f>(4*'[2]Table 5C1O-Impact'!AI26)+(4*'[3]Table 5C1O-Impact'!AI26)</f>
        <v>0</v>
      </c>
      <c r="AH26" s="284">
        <f t="shared" si="25"/>
        <v>0</v>
      </c>
      <c r="AI26" s="325">
        <f t="shared" si="6"/>
        <v>0</v>
      </c>
      <c r="AJ26" s="338">
        <f t="shared" si="26"/>
        <v>0</v>
      </c>
      <c r="AK26" s="343">
        <f t="shared" si="27"/>
        <v>0</v>
      </c>
      <c r="AM26" s="296">
        <v>0</v>
      </c>
      <c r="AN26" s="296">
        <f t="shared" si="28"/>
        <v>0</v>
      </c>
      <c r="AO26" s="296">
        <f t="shared" si="7"/>
        <v>0</v>
      </c>
    </row>
    <row r="27" spans="1:41" ht="16.149999999999999" customHeight="1">
      <c r="A27" s="205">
        <v>21</v>
      </c>
      <c r="B27" s="206" t="s">
        <v>93</v>
      </c>
      <c r="C27" s="994">
        <v>0</v>
      </c>
      <c r="D27" s="208">
        <f>+'Table 5C1A-Madison Prep'!D27</f>
        <v>6082.3042295867763</v>
      </c>
      <c r="E27" s="209">
        <f t="shared" si="8"/>
        <v>0</v>
      </c>
      <c r="F27" s="209">
        <f>+'Table 5C1A-Madison Prep'!F27</f>
        <v>610.35</v>
      </c>
      <c r="G27" s="209">
        <f t="shared" si="9"/>
        <v>0</v>
      </c>
      <c r="H27" s="344">
        <f t="shared" si="10"/>
        <v>0</v>
      </c>
      <c r="I27" s="210">
        <f>'[1]Oct midyear Impact'!K24</f>
        <v>0</v>
      </c>
      <c r="J27" s="210">
        <f>'[1]Feb midyear Impact'!K24</f>
        <v>0</v>
      </c>
      <c r="K27" s="211">
        <f t="shared" si="11"/>
        <v>0</v>
      </c>
      <c r="L27" s="344">
        <f t="shared" si="12"/>
        <v>0</v>
      </c>
      <c r="M27" s="273">
        <f t="shared" si="4"/>
        <v>0</v>
      </c>
      <c r="N27" s="344">
        <f t="shared" si="13"/>
        <v>0</v>
      </c>
      <c r="O27" s="208">
        <v>0</v>
      </c>
      <c r="P27" s="350">
        <f t="shared" si="14"/>
        <v>0</v>
      </c>
      <c r="Q27" s="210">
        <f>(4*'[2]Table 5C1O-Impact'!S27)+(4*'[3]Table 5C1O-Impact'!S27)</f>
        <v>0</v>
      </c>
      <c r="R27" s="210">
        <f t="shared" si="15"/>
        <v>0</v>
      </c>
      <c r="S27" s="350">
        <f t="shared" si="5"/>
        <v>0</v>
      </c>
      <c r="T27" s="350">
        <f t="shared" si="16"/>
        <v>0</v>
      </c>
      <c r="U27" s="274">
        <f>'Table 5C1A-Madison Prep'!U27</f>
        <v>2487</v>
      </c>
      <c r="V27" s="327">
        <f t="shared" si="17"/>
        <v>0</v>
      </c>
      <c r="W27" s="883">
        <f>'[1]Oct midyear Impact'!E24</f>
        <v>0</v>
      </c>
      <c r="X27" s="276">
        <f t="shared" si="18"/>
        <v>0</v>
      </c>
      <c r="Y27" s="883">
        <f>'[1]Feb midyear Impact'!E24</f>
        <v>0</v>
      </c>
      <c r="Z27" s="276">
        <f t="shared" si="19"/>
        <v>0</v>
      </c>
      <c r="AA27" s="275">
        <f t="shared" si="20"/>
        <v>0</v>
      </c>
      <c r="AB27" s="323">
        <f t="shared" si="21"/>
        <v>0</v>
      </c>
      <c r="AC27" s="278">
        <f t="shared" si="22"/>
        <v>0</v>
      </c>
      <c r="AD27" s="323">
        <f t="shared" si="23"/>
        <v>0</v>
      </c>
      <c r="AE27" s="279">
        <v>0</v>
      </c>
      <c r="AF27" s="323">
        <f t="shared" si="24"/>
        <v>0</v>
      </c>
      <c r="AG27" s="279">
        <f>(4*'[2]Table 5C1O-Impact'!AI27)+(4*'[3]Table 5C1O-Impact'!AI27)</f>
        <v>0</v>
      </c>
      <c r="AH27" s="279">
        <f t="shared" si="25"/>
        <v>0</v>
      </c>
      <c r="AI27" s="323">
        <f t="shared" si="6"/>
        <v>0</v>
      </c>
      <c r="AJ27" s="337">
        <f t="shared" si="26"/>
        <v>0</v>
      </c>
      <c r="AK27" s="341">
        <f t="shared" si="27"/>
        <v>0</v>
      </c>
      <c r="AM27" s="273">
        <v>0</v>
      </c>
      <c r="AN27" s="273">
        <f t="shared" si="28"/>
        <v>0</v>
      </c>
      <c r="AO27" s="273">
        <f t="shared" si="7"/>
        <v>0</v>
      </c>
    </row>
    <row r="28" spans="1:41" ht="16.149999999999999" customHeight="1">
      <c r="A28" s="198">
        <v>22</v>
      </c>
      <c r="B28" s="199" t="s">
        <v>94</v>
      </c>
      <c r="C28" s="995">
        <v>0</v>
      </c>
      <c r="D28" s="201">
        <f>+'Table 5C1A-Madison Prep'!D28</f>
        <v>6416.1099808195995</v>
      </c>
      <c r="E28" s="202">
        <f t="shared" si="8"/>
        <v>0</v>
      </c>
      <c r="F28" s="202">
        <f>+'Table 5C1A-Madison Prep'!F28</f>
        <v>496.36</v>
      </c>
      <c r="G28" s="202">
        <f t="shared" si="9"/>
        <v>0</v>
      </c>
      <c r="H28" s="345">
        <f t="shared" si="10"/>
        <v>0</v>
      </c>
      <c r="I28" s="203">
        <f>'[1]Oct midyear Impact'!K25</f>
        <v>0</v>
      </c>
      <c r="J28" s="203">
        <f>'[1]Feb midyear Impact'!K25</f>
        <v>0</v>
      </c>
      <c r="K28" s="204">
        <f t="shared" si="11"/>
        <v>0</v>
      </c>
      <c r="L28" s="345">
        <f t="shared" si="12"/>
        <v>0</v>
      </c>
      <c r="M28" s="286">
        <f t="shared" si="4"/>
        <v>0</v>
      </c>
      <c r="N28" s="345">
        <f t="shared" si="13"/>
        <v>0</v>
      </c>
      <c r="O28" s="201">
        <v>0</v>
      </c>
      <c r="P28" s="351">
        <f t="shared" si="14"/>
        <v>0</v>
      </c>
      <c r="Q28" s="203">
        <f>(4*'[2]Table 5C1O-Impact'!S28)+(4*'[3]Table 5C1O-Impact'!S28)</f>
        <v>0</v>
      </c>
      <c r="R28" s="203">
        <f t="shared" si="15"/>
        <v>0</v>
      </c>
      <c r="S28" s="351">
        <f t="shared" si="5"/>
        <v>0</v>
      </c>
      <c r="T28" s="351">
        <f t="shared" si="16"/>
        <v>0</v>
      </c>
      <c r="U28" s="287">
        <f>'Table 5C1A-Madison Prep'!U28</f>
        <v>1584</v>
      </c>
      <c r="V28" s="328">
        <f t="shared" si="17"/>
        <v>0</v>
      </c>
      <c r="W28" s="289">
        <f>'[1]Oct midyear Impact'!E25</f>
        <v>0</v>
      </c>
      <c r="X28" s="290">
        <f t="shared" si="18"/>
        <v>0</v>
      </c>
      <c r="Y28" s="289">
        <f>'[1]Feb midyear Impact'!E25</f>
        <v>0</v>
      </c>
      <c r="Z28" s="290">
        <f t="shared" si="19"/>
        <v>0</v>
      </c>
      <c r="AA28" s="288">
        <f t="shared" si="20"/>
        <v>0</v>
      </c>
      <c r="AB28" s="324">
        <f t="shared" si="21"/>
        <v>0</v>
      </c>
      <c r="AC28" s="292">
        <f t="shared" si="22"/>
        <v>0</v>
      </c>
      <c r="AD28" s="324">
        <f t="shared" si="23"/>
        <v>0</v>
      </c>
      <c r="AE28" s="293">
        <v>0</v>
      </c>
      <c r="AF28" s="324">
        <f t="shared" si="24"/>
        <v>0</v>
      </c>
      <c r="AG28" s="293">
        <f>(4*'[2]Table 5C1O-Impact'!AI28)+(4*'[3]Table 5C1O-Impact'!AI28)</f>
        <v>0</v>
      </c>
      <c r="AH28" s="293">
        <f t="shared" si="25"/>
        <v>0</v>
      </c>
      <c r="AI28" s="324">
        <f t="shared" si="6"/>
        <v>0</v>
      </c>
      <c r="AJ28" s="321">
        <f t="shared" si="26"/>
        <v>0</v>
      </c>
      <c r="AK28" s="342">
        <f t="shared" si="27"/>
        <v>0</v>
      </c>
      <c r="AM28" s="286">
        <v>0</v>
      </c>
      <c r="AN28" s="286">
        <f t="shared" si="28"/>
        <v>0</v>
      </c>
      <c r="AO28" s="286">
        <f t="shared" si="7"/>
        <v>0</v>
      </c>
    </row>
    <row r="29" spans="1:41" ht="16.149999999999999" customHeight="1">
      <c r="A29" s="198">
        <v>23</v>
      </c>
      <c r="B29" s="199" t="s">
        <v>95</v>
      </c>
      <c r="C29" s="995">
        <v>0</v>
      </c>
      <c r="D29" s="201">
        <f>+'Table 5C1A-Madison Prep'!D29</f>
        <v>5011.0215265979159</v>
      </c>
      <c r="E29" s="202">
        <f t="shared" si="8"/>
        <v>0</v>
      </c>
      <c r="F29" s="202">
        <f>+'Table 5C1A-Madison Prep'!F29</f>
        <v>688.58</v>
      </c>
      <c r="G29" s="202">
        <f t="shared" si="9"/>
        <v>0</v>
      </c>
      <c r="H29" s="345">
        <f t="shared" si="10"/>
        <v>0</v>
      </c>
      <c r="I29" s="203">
        <f>'[1]Oct midyear Impact'!K26</f>
        <v>0</v>
      </c>
      <c r="J29" s="203">
        <f>'[1]Feb midyear Impact'!K26</f>
        <v>0</v>
      </c>
      <c r="K29" s="204">
        <f t="shared" si="11"/>
        <v>0</v>
      </c>
      <c r="L29" s="345">
        <f t="shared" si="12"/>
        <v>0</v>
      </c>
      <c r="M29" s="286">
        <f t="shared" si="4"/>
        <v>0</v>
      </c>
      <c r="N29" s="345">
        <f t="shared" si="13"/>
        <v>0</v>
      </c>
      <c r="O29" s="201">
        <v>0</v>
      </c>
      <c r="P29" s="351">
        <f t="shared" si="14"/>
        <v>0</v>
      </c>
      <c r="Q29" s="203">
        <f>(4*'[2]Table 5C1O-Impact'!S29)+(4*'[3]Table 5C1O-Impact'!S29)</f>
        <v>0</v>
      </c>
      <c r="R29" s="203">
        <f t="shared" si="15"/>
        <v>0</v>
      </c>
      <c r="S29" s="351">
        <f t="shared" si="5"/>
        <v>0</v>
      </c>
      <c r="T29" s="351">
        <f t="shared" si="16"/>
        <v>0</v>
      </c>
      <c r="U29" s="287">
        <f>'Table 5C1A-Madison Prep'!U29</f>
        <v>3500</v>
      </c>
      <c r="V29" s="328">
        <f t="shared" si="17"/>
        <v>0</v>
      </c>
      <c r="W29" s="289">
        <f>'[1]Oct midyear Impact'!E26</f>
        <v>0</v>
      </c>
      <c r="X29" s="290">
        <f t="shared" si="18"/>
        <v>0</v>
      </c>
      <c r="Y29" s="289">
        <f>'[1]Feb midyear Impact'!E26</f>
        <v>0</v>
      </c>
      <c r="Z29" s="290">
        <f t="shared" si="19"/>
        <v>0</v>
      </c>
      <c r="AA29" s="288">
        <f t="shared" si="20"/>
        <v>0</v>
      </c>
      <c r="AB29" s="324">
        <f t="shared" si="21"/>
        <v>0</v>
      </c>
      <c r="AC29" s="292">
        <f t="shared" si="22"/>
        <v>0</v>
      </c>
      <c r="AD29" s="324">
        <f t="shared" si="23"/>
        <v>0</v>
      </c>
      <c r="AE29" s="293">
        <v>0</v>
      </c>
      <c r="AF29" s="324">
        <f t="shared" si="24"/>
        <v>0</v>
      </c>
      <c r="AG29" s="293">
        <f>(4*'[2]Table 5C1O-Impact'!AI29)+(4*'[3]Table 5C1O-Impact'!AI29)</f>
        <v>0</v>
      </c>
      <c r="AH29" s="293">
        <f t="shared" si="25"/>
        <v>0</v>
      </c>
      <c r="AI29" s="324">
        <f t="shared" si="6"/>
        <v>0</v>
      </c>
      <c r="AJ29" s="321">
        <f t="shared" si="26"/>
        <v>0</v>
      </c>
      <c r="AK29" s="342">
        <f t="shared" si="27"/>
        <v>0</v>
      </c>
      <c r="AM29" s="286">
        <v>0</v>
      </c>
      <c r="AN29" s="286">
        <f t="shared" si="28"/>
        <v>0</v>
      </c>
      <c r="AO29" s="286">
        <f t="shared" si="7"/>
        <v>0</v>
      </c>
    </row>
    <row r="30" spans="1:41" ht="16.149999999999999" customHeight="1">
      <c r="A30" s="198">
        <v>24</v>
      </c>
      <c r="B30" s="199" t="s">
        <v>96</v>
      </c>
      <c r="C30" s="995">
        <v>0</v>
      </c>
      <c r="D30" s="201">
        <f>+'Table 5C1A-Madison Prep'!D30</f>
        <v>2611.6740361576999</v>
      </c>
      <c r="E30" s="202">
        <f t="shared" si="8"/>
        <v>0</v>
      </c>
      <c r="F30" s="202">
        <f>+'Table 5C1A-Madison Prep'!F30</f>
        <v>854.24999999999989</v>
      </c>
      <c r="G30" s="202">
        <f t="shared" si="9"/>
        <v>0</v>
      </c>
      <c r="H30" s="345">
        <f t="shared" si="10"/>
        <v>0</v>
      </c>
      <c r="I30" s="203">
        <f>'[1]Oct midyear Impact'!K27</f>
        <v>0</v>
      </c>
      <c r="J30" s="203">
        <f>'[1]Feb midyear Impact'!K27</f>
        <v>0</v>
      </c>
      <c r="K30" s="204">
        <f t="shared" si="11"/>
        <v>0</v>
      </c>
      <c r="L30" s="345">
        <f t="shared" si="12"/>
        <v>0</v>
      </c>
      <c r="M30" s="286">
        <f t="shared" si="4"/>
        <v>0</v>
      </c>
      <c r="N30" s="345">
        <f t="shared" si="13"/>
        <v>0</v>
      </c>
      <c r="O30" s="201">
        <v>0</v>
      </c>
      <c r="P30" s="351">
        <f t="shared" si="14"/>
        <v>0</v>
      </c>
      <c r="Q30" s="203">
        <f>(4*'[2]Table 5C1O-Impact'!S30)+(4*'[3]Table 5C1O-Impact'!S30)</f>
        <v>0</v>
      </c>
      <c r="R30" s="203">
        <f t="shared" si="15"/>
        <v>0</v>
      </c>
      <c r="S30" s="351">
        <f t="shared" si="5"/>
        <v>0</v>
      </c>
      <c r="T30" s="351">
        <f t="shared" si="16"/>
        <v>0</v>
      </c>
      <c r="U30" s="287">
        <f>'Table 5C1A-Madison Prep'!U30</f>
        <v>11051</v>
      </c>
      <c r="V30" s="328">
        <f t="shared" si="17"/>
        <v>0</v>
      </c>
      <c r="W30" s="289">
        <f>'[1]Oct midyear Impact'!E27</f>
        <v>0</v>
      </c>
      <c r="X30" s="290">
        <f t="shared" si="18"/>
        <v>0</v>
      </c>
      <c r="Y30" s="289">
        <f>'[1]Feb midyear Impact'!E27</f>
        <v>0</v>
      </c>
      <c r="Z30" s="290">
        <f t="shared" si="19"/>
        <v>0</v>
      </c>
      <c r="AA30" s="288">
        <f t="shared" si="20"/>
        <v>0</v>
      </c>
      <c r="AB30" s="324">
        <f t="shared" si="21"/>
        <v>0</v>
      </c>
      <c r="AC30" s="292">
        <f t="shared" si="22"/>
        <v>0</v>
      </c>
      <c r="AD30" s="324">
        <f t="shared" si="23"/>
        <v>0</v>
      </c>
      <c r="AE30" s="293">
        <v>0</v>
      </c>
      <c r="AF30" s="324">
        <f t="shared" si="24"/>
        <v>0</v>
      </c>
      <c r="AG30" s="293">
        <f>(4*'[2]Table 5C1O-Impact'!AI30)+(4*'[3]Table 5C1O-Impact'!AI30)</f>
        <v>0</v>
      </c>
      <c r="AH30" s="293">
        <f t="shared" si="25"/>
        <v>0</v>
      </c>
      <c r="AI30" s="324">
        <f t="shared" si="6"/>
        <v>0</v>
      </c>
      <c r="AJ30" s="321">
        <f t="shared" si="26"/>
        <v>0</v>
      </c>
      <c r="AK30" s="342">
        <f t="shared" si="27"/>
        <v>0</v>
      </c>
      <c r="AM30" s="286">
        <v>0</v>
      </c>
      <c r="AN30" s="286">
        <f t="shared" si="28"/>
        <v>0</v>
      </c>
      <c r="AO30" s="286">
        <f t="shared" si="7"/>
        <v>0</v>
      </c>
    </row>
    <row r="31" spans="1:41" ht="16.149999999999999" customHeight="1">
      <c r="A31" s="191">
        <v>25</v>
      </c>
      <c r="B31" s="192" t="s">
        <v>97</v>
      </c>
      <c r="C31" s="996">
        <v>0</v>
      </c>
      <c r="D31" s="194">
        <f>+'Table 5C1A-Madison Prep'!D31</f>
        <v>4173.0720274945697</v>
      </c>
      <c r="E31" s="195">
        <f t="shared" si="8"/>
        <v>0</v>
      </c>
      <c r="F31" s="195">
        <f>+'Table 5C1A-Madison Prep'!F31</f>
        <v>653.73</v>
      </c>
      <c r="G31" s="195">
        <f t="shared" si="9"/>
        <v>0</v>
      </c>
      <c r="H31" s="346">
        <f t="shared" si="10"/>
        <v>0</v>
      </c>
      <c r="I31" s="196">
        <f>'[1]Oct midyear Impact'!K28</f>
        <v>0</v>
      </c>
      <c r="J31" s="196">
        <f>'[1]Feb midyear Impact'!K28</f>
        <v>0</v>
      </c>
      <c r="K31" s="197">
        <f t="shared" si="11"/>
        <v>0</v>
      </c>
      <c r="L31" s="346">
        <f t="shared" si="12"/>
        <v>0</v>
      </c>
      <c r="M31" s="296">
        <f t="shared" si="4"/>
        <v>0</v>
      </c>
      <c r="N31" s="346">
        <f t="shared" si="13"/>
        <v>0</v>
      </c>
      <c r="O31" s="194">
        <v>0</v>
      </c>
      <c r="P31" s="352">
        <f t="shared" si="14"/>
        <v>0</v>
      </c>
      <c r="Q31" s="196">
        <f>(4*'[2]Table 5C1O-Impact'!S31)+(4*'[3]Table 5C1O-Impact'!S31)</f>
        <v>0</v>
      </c>
      <c r="R31" s="196">
        <f t="shared" si="15"/>
        <v>0</v>
      </c>
      <c r="S31" s="352">
        <f t="shared" si="5"/>
        <v>0</v>
      </c>
      <c r="T31" s="352">
        <f t="shared" si="16"/>
        <v>0</v>
      </c>
      <c r="U31" s="281">
        <f>'Table 5C1A-Madison Prep'!U31</f>
        <v>5156</v>
      </c>
      <c r="V31" s="329">
        <f t="shared" si="17"/>
        <v>0</v>
      </c>
      <c r="W31" s="884">
        <f>'[1]Oct midyear Impact'!E28</f>
        <v>0</v>
      </c>
      <c r="X31" s="282">
        <f t="shared" si="18"/>
        <v>0</v>
      </c>
      <c r="Y31" s="884">
        <f>'[1]Feb midyear Impact'!E28</f>
        <v>0</v>
      </c>
      <c r="Z31" s="282">
        <f t="shared" si="19"/>
        <v>0</v>
      </c>
      <c r="AA31" s="283">
        <f t="shared" si="20"/>
        <v>0</v>
      </c>
      <c r="AB31" s="325">
        <f t="shared" si="21"/>
        <v>0</v>
      </c>
      <c r="AC31" s="298">
        <f t="shared" si="22"/>
        <v>0</v>
      </c>
      <c r="AD31" s="325">
        <f t="shared" si="23"/>
        <v>0</v>
      </c>
      <c r="AE31" s="284">
        <v>0</v>
      </c>
      <c r="AF31" s="325">
        <f t="shared" si="24"/>
        <v>0</v>
      </c>
      <c r="AG31" s="284">
        <f>(4*'[2]Table 5C1O-Impact'!AI31)+(4*'[3]Table 5C1O-Impact'!AI31)</f>
        <v>0</v>
      </c>
      <c r="AH31" s="284">
        <f t="shared" si="25"/>
        <v>0</v>
      </c>
      <c r="AI31" s="325">
        <f t="shared" si="6"/>
        <v>0</v>
      </c>
      <c r="AJ31" s="338">
        <f t="shared" si="26"/>
        <v>0</v>
      </c>
      <c r="AK31" s="343">
        <f t="shared" si="27"/>
        <v>0</v>
      </c>
      <c r="AM31" s="296">
        <v>0</v>
      </c>
      <c r="AN31" s="296">
        <f t="shared" si="28"/>
        <v>0</v>
      </c>
      <c r="AO31" s="296">
        <f t="shared" si="7"/>
        <v>0</v>
      </c>
    </row>
    <row r="32" spans="1:41" ht="16.149999999999999" customHeight="1">
      <c r="A32" s="205">
        <v>26</v>
      </c>
      <c r="B32" s="206" t="s">
        <v>98</v>
      </c>
      <c r="C32" s="994">
        <v>0</v>
      </c>
      <c r="D32" s="208">
        <f>+'Table 5C1A-Madison Prep'!D32</f>
        <v>3424.5649970570835</v>
      </c>
      <c r="E32" s="209">
        <f t="shared" si="8"/>
        <v>0</v>
      </c>
      <c r="F32" s="209">
        <f>+'Table 5C1A-Madison Prep'!F32</f>
        <v>836.83</v>
      </c>
      <c r="G32" s="209">
        <f t="shared" si="9"/>
        <v>0</v>
      </c>
      <c r="H32" s="344">
        <f t="shared" si="10"/>
        <v>0</v>
      </c>
      <c r="I32" s="210">
        <f>'[1]Oct midyear Impact'!K29</f>
        <v>0</v>
      </c>
      <c r="J32" s="210">
        <f>'[1]Feb midyear Impact'!K29</f>
        <v>0</v>
      </c>
      <c r="K32" s="211">
        <f t="shared" si="11"/>
        <v>0</v>
      </c>
      <c r="L32" s="344">
        <f t="shared" si="12"/>
        <v>0</v>
      </c>
      <c r="M32" s="273">
        <f t="shared" si="4"/>
        <v>0</v>
      </c>
      <c r="N32" s="344">
        <f t="shared" si="13"/>
        <v>0</v>
      </c>
      <c r="O32" s="208">
        <v>0</v>
      </c>
      <c r="P32" s="350">
        <f t="shared" si="14"/>
        <v>0</v>
      </c>
      <c r="Q32" s="210">
        <f>(4*'[2]Table 5C1O-Impact'!S32)+(4*'[3]Table 5C1O-Impact'!S32)</f>
        <v>0</v>
      </c>
      <c r="R32" s="210">
        <f t="shared" si="15"/>
        <v>0</v>
      </c>
      <c r="S32" s="350">
        <f t="shared" si="5"/>
        <v>0</v>
      </c>
      <c r="T32" s="350">
        <f t="shared" si="16"/>
        <v>0</v>
      </c>
      <c r="U32" s="274">
        <f>'Table 5C1A-Madison Prep'!U32</f>
        <v>5153</v>
      </c>
      <c r="V32" s="327">
        <f t="shared" si="17"/>
        <v>0</v>
      </c>
      <c r="W32" s="883">
        <f>'[1]Oct midyear Impact'!E29</f>
        <v>0</v>
      </c>
      <c r="X32" s="276">
        <f t="shared" si="18"/>
        <v>0</v>
      </c>
      <c r="Y32" s="883">
        <f>'[1]Feb midyear Impact'!E29</f>
        <v>0</v>
      </c>
      <c r="Z32" s="276">
        <f t="shared" si="19"/>
        <v>0</v>
      </c>
      <c r="AA32" s="275">
        <f t="shared" si="20"/>
        <v>0</v>
      </c>
      <c r="AB32" s="323">
        <f t="shared" si="21"/>
        <v>0</v>
      </c>
      <c r="AC32" s="278">
        <f t="shared" si="22"/>
        <v>0</v>
      </c>
      <c r="AD32" s="323">
        <f t="shared" si="23"/>
        <v>0</v>
      </c>
      <c r="AE32" s="279">
        <v>0</v>
      </c>
      <c r="AF32" s="323">
        <f t="shared" si="24"/>
        <v>0</v>
      </c>
      <c r="AG32" s="279">
        <f>(4*'[2]Table 5C1O-Impact'!AI32)+(4*'[3]Table 5C1O-Impact'!AI32)</f>
        <v>0</v>
      </c>
      <c r="AH32" s="279">
        <f t="shared" si="25"/>
        <v>0</v>
      </c>
      <c r="AI32" s="323">
        <f t="shared" si="6"/>
        <v>0</v>
      </c>
      <c r="AJ32" s="337">
        <f t="shared" si="26"/>
        <v>0</v>
      </c>
      <c r="AK32" s="341">
        <f t="shared" si="27"/>
        <v>0</v>
      </c>
      <c r="AM32" s="273">
        <v>0</v>
      </c>
      <c r="AN32" s="273">
        <f t="shared" si="28"/>
        <v>0</v>
      </c>
      <c r="AO32" s="273">
        <f t="shared" si="7"/>
        <v>0</v>
      </c>
    </row>
    <row r="33" spans="1:41" ht="16.149999999999999" customHeight="1">
      <c r="A33" s="198">
        <v>27</v>
      </c>
      <c r="B33" s="199" t="s">
        <v>99</v>
      </c>
      <c r="C33" s="995">
        <v>0</v>
      </c>
      <c r="D33" s="201">
        <f>+'Table 5C1A-Madison Prep'!D33</f>
        <v>5804.9013839977006</v>
      </c>
      <c r="E33" s="202">
        <f t="shared" si="8"/>
        <v>0</v>
      </c>
      <c r="F33" s="202">
        <f>+'Table 5C1A-Madison Prep'!F33</f>
        <v>693.06</v>
      </c>
      <c r="G33" s="202">
        <f t="shared" si="9"/>
        <v>0</v>
      </c>
      <c r="H33" s="345">
        <f t="shared" si="10"/>
        <v>0</v>
      </c>
      <c r="I33" s="203">
        <f>'[1]Oct midyear Impact'!K30</f>
        <v>0</v>
      </c>
      <c r="J33" s="203">
        <f>'[1]Feb midyear Impact'!K30</f>
        <v>0</v>
      </c>
      <c r="K33" s="204">
        <f t="shared" si="11"/>
        <v>0</v>
      </c>
      <c r="L33" s="345">
        <f t="shared" si="12"/>
        <v>0</v>
      </c>
      <c r="M33" s="286">
        <f t="shared" si="4"/>
        <v>0</v>
      </c>
      <c r="N33" s="345">
        <f t="shared" si="13"/>
        <v>0</v>
      </c>
      <c r="O33" s="201">
        <v>0</v>
      </c>
      <c r="P33" s="351">
        <f t="shared" si="14"/>
        <v>0</v>
      </c>
      <c r="Q33" s="203">
        <f>(4*'[2]Table 5C1O-Impact'!S33)+(4*'[3]Table 5C1O-Impact'!S33)</f>
        <v>0</v>
      </c>
      <c r="R33" s="203">
        <f t="shared" si="15"/>
        <v>0</v>
      </c>
      <c r="S33" s="351">
        <f t="shared" si="5"/>
        <v>0</v>
      </c>
      <c r="T33" s="351">
        <f t="shared" si="16"/>
        <v>0</v>
      </c>
      <c r="U33" s="287">
        <f>'Table 5C1A-Madison Prep'!U33</f>
        <v>3225</v>
      </c>
      <c r="V33" s="328">
        <f t="shared" si="17"/>
        <v>0</v>
      </c>
      <c r="W33" s="289">
        <f>'[1]Oct midyear Impact'!E30</f>
        <v>0</v>
      </c>
      <c r="X33" s="290">
        <f t="shared" si="18"/>
        <v>0</v>
      </c>
      <c r="Y33" s="289">
        <f>'[1]Feb midyear Impact'!E30</f>
        <v>0</v>
      </c>
      <c r="Z33" s="290">
        <f t="shared" si="19"/>
        <v>0</v>
      </c>
      <c r="AA33" s="288">
        <f t="shared" si="20"/>
        <v>0</v>
      </c>
      <c r="AB33" s="324">
        <f t="shared" si="21"/>
        <v>0</v>
      </c>
      <c r="AC33" s="292">
        <f t="shared" si="22"/>
        <v>0</v>
      </c>
      <c r="AD33" s="324">
        <f t="shared" si="23"/>
        <v>0</v>
      </c>
      <c r="AE33" s="293">
        <v>0</v>
      </c>
      <c r="AF33" s="324">
        <f t="shared" si="24"/>
        <v>0</v>
      </c>
      <c r="AG33" s="293">
        <f>(4*'[2]Table 5C1O-Impact'!AI33)+(4*'[3]Table 5C1O-Impact'!AI33)</f>
        <v>0</v>
      </c>
      <c r="AH33" s="293">
        <f t="shared" si="25"/>
        <v>0</v>
      </c>
      <c r="AI33" s="324">
        <f t="shared" si="6"/>
        <v>0</v>
      </c>
      <c r="AJ33" s="321">
        <f t="shared" si="26"/>
        <v>0</v>
      </c>
      <c r="AK33" s="342">
        <f t="shared" si="27"/>
        <v>0</v>
      </c>
      <c r="AM33" s="286">
        <v>0</v>
      </c>
      <c r="AN33" s="286">
        <f t="shared" si="28"/>
        <v>0</v>
      </c>
      <c r="AO33" s="286">
        <f t="shared" si="7"/>
        <v>0</v>
      </c>
    </row>
    <row r="34" spans="1:41" ht="16.149999999999999" customHeight="1">
      <c r="A34" s="198">
        <v>28</v>
      </c>
      <c r="B34" s="199" t="s">
        <v>100</v>
      </c>
      <c r="C34" s="995">
        <v>0</v>
      </c>
      <c r="D34" s="201">
        <f>+'Table 5C1A-Madison Prep'!D34</f>
        <v>3137.4158846568821</v>
      </c>
      <c r="E34" s="202">
        <f t="shared" si="8"/>
        <v>0</v>
      </c>
      <c r="F34" s="202">
        <f>+'Table 5C1A-Madison Prep'!F34</f>
        <v>694.4</v>
      </c>
      <c r="G34" s="202">
        <f t="shared" si="9"/>
        <v>0</v>
      </c>
      <c r="H34" s="345">
        <f t="shared" si="10"/>
        <v>0</v>
      </c>
      <c r="I34" s="203">
        <f>'[1]Oct midyear Impact'!K31</f>
        <v>0</v>
      </c>
      <c r="J34" s="203">
        <f>'[1]Feb midyear Impact'!K31</f>
        <v>0</v>
      </c>
      <c r="K34" s="204">
        <f t="shared" si="11"/>
        <v>0</v>
      </c>
      <c r="L34" s="345">
        <f t="shared" si="12"/>
        <v>0</v>
      </c>
      <c r="M34" s="286">
        <f t="shared" si="4"/>
        <v>0</v>
      </c>
      <c r="N34" s="345">
        <f t="shared" si="13"/>
        <v>0</v>
      </c>
      <c r="O34" s="201">
        <v>0</v>
      </c>
      <c r="P34" s="351">
        <f t="shared" si="14"/>
        <v>0</v>
      </c>
      <c r="Q34" s="203">
        <f>(4*'[2]Table 5C1O-Impact'!S34)+(4*'[3]Table 5C1O-Impact'!S34)</f>
        <v>0</v>
      </c>
      <c r="R34" s="203">
        <f t="shared" si="15"/>
        <v>0</v>
      </c>
      <c r="S34" s="351">
        <f t="shared" si="5"/>
        <v>0</v>
      </c>
      <c r="T34" s="351">
        <f t="shared" si="16"/>
        <v>0</v>
      </c>
      <c r="U34" s="287">
        <f>'Table 5C1A-Madison Prep'!U34</f>
        <v>5816</v>
      </c>
      <c r="V34" s="328">
        <f t="shared" si="17"/>
        <v>0</v>
      </c>
      <c r="W34" s="289">
        <f>'[1]Oct midyear Impact'!E31</f>
        <v>0</v>
      </c>
      <c r="X34" s="290">
        <f t="shared" si="18"/>
        <v>0</v>
      </c>
      <c r="Y34" s="289">
        <f>'[1]Feb midyear Impact'!E31</f>
        <v>0</v>
      </c>
      <c r="Z34" s="290">
        <f t="shared" si="19"/>
        <v>0</v>
      </c>
      <c r="AA34" s="288">
        <f t="shared" si="20"/>
        <v>0</v>
      </c>
      <c r="AB34" s="324">
        <f t="shared" si="21"/>
        <v>0</v>
      </c>
      <c r="AC34" s="292">
        <f t="shared" si="22"/>
        <v>0</v>
      </c>
      <c r="AD34" s="324">
        <f t="shared" si="23"/>
        <v>0</v>
      </c>
      <c r="AE34" s="293">
        <v>0</v>
      </c>
      <c r="AF34" s="324">
        <f t="shared" si="24"/>
        <v>0</v>
      </c>
      <c r="AG34" s="293">
        <f>(4*'[2]Table 5C1O-Impact'!AI34)+(4*'[3]Table 5C1O-Impact'!AI34)</f>
        <v>0</v>
      </c>
      <c r="AH34" s="293">
        <f t="shared" si="25"/>
        <v>0</v>
      </c>
      <c r="AI34" s="324">
        <f t="shared" si="6"/>
        <v>0</v>
      </c>
      <c r="AJ34" s="321">
        <f t="shared" si="26"/>
        <v>0</v>
      </c>
      <c r="AK34" s="342">
        <f t="shared" si="27"/>
        <v>0</v>
      </c>
      <c r="AM34" s="286">
        <v>0</v>
      </c>
      <c r="AN34" s="286">
        <f t="shared" si="28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v>0</v>
      </c>
      <c r="D35" s="201">
        <f>+'Table 5C1A-Madison Prep'!D35</f>
        <v>3839.0123210173724</v>
      </c>
      <c r="E35" s="202">
        <f t="shared" si="8"/>
        <v>0</v>
      </c>
      <c r="F35" s="202">
        <f>+'Table 5C1A-Madison Prep'!F35</f>
        <v>754.94999999999993</v>
      </c>
      <c r="G35" s="202">
        <f t="shared" si="9"/>
        <v>0</v>
      </c>
      <c r="H35" s="345">
        <f t="shared" si="10"/>
        <v>0</v>
      </c>
      <c r="I35" s="203">
        <f>'[1]Oct midyear Impact'!K32</f>
        <v>0</v>
      </c>
      <c r="J35" s="203">
        <f>'[1]Feb midyear Impact'!K32</f>
        <v>0</v>
      </c>
      <c r="K35" s="204">
        <f t="shared" si="11"/>
        <v>0</v>
      </c>
      <c r="L35" s="345">
        <f t="shared" si="12"/>
        <v>0</v>
      </c>
      <c r="M35" s="286">
        <f t="shared" si="4"/>
        <v>0</v>
      </c>
      <c r="N35" s="345">
        <f t="shared" si="13"/>
        <v>0</v>
      </c>
      <c r="O35" s="201">
        <v>0</v>
      </c>
      <c r="P35" s="351">
        <f t="shared" si="14"/>
        <v>0</v>
      </c>
      <c r="Q35" s="203">
        <f>(4*'[2]Table 5C1O-Impact'!S35)+(4*'[3]Table 5C1O-Impact'!S35)</f>
        <v>0</v>
      </c>
      <c r="R35" s="203">
        <f t="shared" si="15"/>
        <v>0</v>
      </c>
      <c r="S35" s="351">
        <f t="shared" si="5"/>
        <v>0</v>
      </c>
      <c r="T35" s="351">
        <f t="shared" si="16"/>
        <v>0</v>
      </c>
      <c r="U35" s="287">
        <f>'Table 5C1A-Madison Prep'!U35</f>
        <v>5046</v>
      </c>
      <c r="V35" s="328">
        <f t="shared" si="17"/>
        <v>0</v>
      </c>
      <c r="W35" s="289">
        <f>'[1]Oct midyear Impact'!E32</f>
        <v>0</v>
      </c>
      <c r="X35" s="290">
        <f t="shared" si="18"/>
        <v>0</v>
      </c>
      <c r="Y35" s="289">
        <f>'[1]Feb midyear Impact'!E32</f>
        <v>0</v>
      </c>
      <c r="Z35" s="290">
        <f t="shared" si="19"/>
        <v>0</v>
      </c>
      <c r="AA35" s="288">
        <f t="shared" si="20"/>
        <v>0</v>
      </c>
      <c r="AB35" s="324">
        <f t="shared" si="21"/>
        <v>0</v>
      </c>
      <c r="AC35" s="292">
        <f t="shared" si="22"/>
        <v>0</v>
      </c>
      <c r="AD35" s="324">
        <f t="shared" si="23"/>
        <v>0</v>
      </c>
      <c r="AE35" s="293">
        <v>0</v>
      </c>
      <c r="AF35" s="324">
        <f t="shared" si="24"/>
        <v>0</v>
      </c>
      <c r="AG35" s="293">
        <f>(4*'[2]Table 5C1O-Impact'!AI35)+(4*'[3]Table 5C1O-Impact'!AI35)</f>
        <v>0</v>
      </c>
      <c r="AH35" s="293">
        <f t="shared" si="25"/>
        <v>0</v>
      </c>
      <c r="AI35" s="324">
        <f t="shared" si="6"/>
        <v>0</v>
      </c>
      <c r="AJ35" s="321">
        <f t="shared" si="26"/>
        <v>0</v>
      </c>
      <c r="AK35" s="342">
        <f t="shared" si="27"/>
        <v>0</v>
      </c>
      <c r="AM35" s="286">
        <v>0</v>
      </c>
      <c r="AN35" s="286">
        <f t="shared" si="28"/>
        <v>0</v>
      </c>
      <c r="AO35" s="286">
        <f t="shared" ref="AO35:AO75" si="29">+AN35-AM35</f>
        <v>0</v>
      </c>
    </row>
    <row r="36" spans="1:41" ht="16.149999999999999" customHeight="1">
      <c r="A36" s="191">
        <v>30</v>
      </c>
      <c r="B36" s="192" t="s">
        <v>102</v>
      </c>
      <c r="C36" s="996">
        <v>0</v>
      </c>
      <c r="D36" s="194">
        <f>+'Table 5C1A-Madison Prep'!D36</f>
        <v>5804.5327273996763</v>
      </c>
      <c r="E36" s="195">
        <f t="shared" si="8"/>
        <v>0</v>
      </c>
      <c r="F36" s="195">
        <f>+'Table 5C1A-Madison Prep'!F36</f>
        <v>727.17</v>
      </c>
      <c r="G36" s="195">
        <f t="shared" si="9"/>
        <v>0</v>
      </c>
      <c r="H36" s="346">
        <f t="shared" si="10"/>
        <v>0</v>
      </c>
      <c r="I36" s="196">
        <f>'[1]Oct midyear Impact'!K33</f>
        <v>0</v>
      </c>
      <c r="J36" s="196">
        <f>'[1]Feb midyear Impact'!K33</f>
        <v>0</v>
      </c>
      <c r="K36" s="197">
        <f t="shared" si="11"/>
        <v>0</v>
      </c>
      <c r="L36" s="346">
        <f t="shared" si="12"/>
        <v>0</v>
      </c>
      <c r="M36" s="296">
        <f t="shared" si="4"/>
        <v>0</v>
      </c>
      <c r="N36" s="346">
        <f t="shared" si="13"/>
        <v>0</v>
      </c>
      <c r="O36" s="194">
        <v>0</v>
      </c>
      <c r="P36" s="352">
        <f t="shared" si="14"/>
        <v>0</v>
      </c>
      <c r="Q36" s="196">
        <f>(4*'[2]Table 5C1O-Impact'!S36)+(4*'[3]Table 5C1O-Impact'!S36)</f>
        <v>0</v>
      </c>
      <c r="R36" s="196">
        <f t="shared" si="15"/>
        <v>0</v>
      </c>
      <c r="S36" s="352">
        <f t="shared" si="5"/>
        <v>0</v>
      </c>
      <c r="T36" s="352">
        <f t="shared" si="16"/>
        <v>0</v>
      </c>
      <c r="U36" s="281">
        <f>'Table 5C1A-Madison Prep'!U36</f>
        <v>3999</v>
      </c>
      <c r="V36" s="329">
        <f t="shared" si="17"/>
        <v>0</v>
      </c>
      <c r="W36" s="884">
        <f>'[1]Oct midyear Impact'!E33</f>
        <v>0</v>
      </c>
      <c r="X36" s="282">
        <f t="shared" si="18"/>
        <v>0</v>
      </c>
      <c r="Y36" s="884">
        <f>'[1]Feb midyear Impact'!E33</f>
        <v>0</v>
      </c>
      <c r="Z36" s="282">
        <f t="shared" si="19"/>
        <v>0</v>
      </c>
      <c r="AA36" s="283">
        <f t="shared" si="20"/>
        <v>0</v>
      </c>
      <c r="AB36" s="325">
        <f t="shared" si="21"/>
        <v>0</v>
      </c>
      <c r="AC36" s="298">
        <f t="shared" si="22"/>
        <v>0</v>
      </c>
      <c r="AD36" s="325">
        <f t="shared" si="23"/>
        <v>0</v>
      </c>
      <c r="AE36" s="284">
        <v>0</v>
      </c>
      <c r="AF36" s="325">
        <f t="shared" si="24"/>
        <v>0</v>
      </c>
      <c r="AG36" s="284">
        <f>(4*'[2]Table 5C1O-Impact'!AI36)+(4*'[3]Table 5C1O-Impact'!AI36)</f>
        <v>0</v>
      </c>
      <c r="AH36" s="284">
        <f t="shared" si="25"/>
        <v>0</v>
      </c>
      <c r="AI36" s="325">
        <f t="shared" si="6"/>
        <v>0</v>
      </c>
      <c r="AJ36" s="338">
        <f t="shared" si="26"/>
        <v>0</v>
      </c>
      <c r="AK36" s="343">
        <f t="shared" si="27"/>
        <v>0</v>
      </c>
      <c r="AM36" s="296">
        <v>0</v>
      </c>
      <c r="AN36" s="296">
        <f t="shared" si="28"/>
        <v>0</v>
      </c>
      <c r="AO36" s="296">
        <f t="shared" si="29"/>
        <v>0</v>
      </c>
    </row>
    <row r="37" spans="1:41" ht="16.149999999999999" customHeight="1">
      <c r="A37" s="205">
        <v>31</v>
      </c>
      <c r="B37" s="206" t="s">
        <v>103</v>
      </c>
      <c r="C37" s="994">
        <v>0</v>
      </c>
      <c r="D37" s="208">
        <f>+'Table 5C1A-Madison Prep'!D37</f>
        <v>4520.6176716868531</v>
      </c>
      <c r="E37" s="209">
        <f t="shared" si="8"/>
        <v>0</v>
      </c>
      <c r="F37" s="209">
        <f>+'Table 5C1A-Madison Prep'!F37</f>
        <v>620.83000000000004</v>
      </c>
      <c r="G37" s="209">
        <f t="shared" si="9"/>
        <v>0</v>
      </c>
      <c r="H37" s="344">
        <f t="shared" si="10"/>
        <v>0</v>
      </c>
      <c r="I37" s="210">
        <f>'[1]Oct midyear Impact'!K34</f>
        <v>0</v>
      </c>
      <c r="J37" s="210">
        <f>'[1]Feb midyear Impact'!K34</f>
        <v>0</v>
      </c>
      <c r="K37" s="211">
        <f t="shared" si="11"/>
        <v>0</v>
      </c>
      <c r="L37" s="344">
        <f t="shared" si="12"/>
        <v>0</v>
      </c>
      <c r="M37" s="273">
        <f t="shared" si="4"/>
        <v>0</v>
      </c>
      <c r="N37" s="344">
        <f t="shared" si="13"/>
        <v>0</v>
      </c>
      <c r="O37" s="208">
        <v>0</v>
      </c>
      <c r="P37" s="350">
        <f t="shared" si="14"/>
        <v>0</v>
      </c>
      <c r="Q37" s="210">
        <f>(4*'[2]Table 5C1O-Impact'!S37)+(4*'[3]Table 5C1O-Impact'!S37)</f>
        <v>0</v>
      </c>
      <c r="R37" s="210">
        <f t="shared" si="15"/>
        <v>0</v>
      </c>
      <c r="S37" s="350">
        <f t="shared" si="5"/>
        <v>0</v>
      </c>
      <c r="T37" s="350">
        <f t="shared" si="16"/>
        <v>0</v>
      </c>
      <c r="U37" s="274">
        <f>'Table 5C1A-Madison Prep'!U37</f>
        <v>5028</v>
      </c>
      <c r="V37" s="327">
        <f t="shared" si="17"/>
        <v>0</v>
      </c>
      <c r="W37" s="883">
        <f>'[1]Oct midyear Impact'!E34</f>
        <v>0</v>
      </c>
      <c r="X37" s="276">
        <f t="shared" si="18"/>
        <v>0</v>
      </c>
      <c r="Y37" s="883">
        <f>'[1]Feb midyear Impact'!E34</f>
        <v>0</v>
      </c>
      <c r="Z37" s="276">
        <f t="shared" si="19"/>
        <v>0</v>
      </c>
      <c r="AA37" s="275">
        <f t="shared" si="20"/>
        <v>0</v>
      </c>
      <c r="AB37" s="323">
        <f t="shared" si="21"/>
        <v>0</v>
      </c>
      <c r="AC37" s="278">
        <f t="shared" si="22"/>
        <v>0</v>
      </c>
      <c r="AD37" s="323">
        <f t="shared" si="23"/>
        <v>0</v>
      </c>
      <c r="AE37" s="279">
        <v>0</v>
      </c>
      <c r="AF37" s="323">
        <f t="shared" si="24"/>
        <v>0</v>
      </c>
      <c r="AG37" s="279">
        <f>(4*'[2]Table 5C1O-Impact'!AI37)+(4*'[3]Table 5C1O-Impact'!AI37)</f>
        <v>0</v>
      </c>
      <c r="AH37" s="279">
        <f t="shared" si="25"/>
        <v>0</v>
      </c>
      <c r="AI37" s="323">
        <f t="shared" si="6"/>
        <v>0</v>
      </c>
      <c r="AJ37" s="337">
        <f t="shared" si="26"/>
        <v>0</v>
      </c>
      <c r="AK37" s="341">
        <f t="shared" si="27"/>
        <v>0</v>
      </c>
      <c r="AM37" s="273">
        <v>0</v>
      </c>
      <c r="AN37" s="273">
        <f t="shared" si="28"/>
        <v>0</v>
      </c>
      <c r="AO37" s="273">
        <f t="shared" si="29"/>
        <v>0</v>
      </c>
    </row>
    <row r="38" spans="1:41" ht="16.149999999999999" customHeight="1">
      <c r="A38" s="198">
        <v>32</v>
      </c>
      <c r="B38" s="199" t="s">
        <v>104</v>
      </c>
      <c r="C38" s="995">
        <v>0</v>
      </c>
      <c r="D38" s="201">
        <f>+'Table 5C1A-Madison Prep'!D38</f>
        <v>5652.819189061127</v>
      </c>
      <c r="E38" s="202">
        <f t="shared" si="8"/>
        <v>0</v>
      </c>
      <c r="F38" s="202">
        <f>+'Table 5C1A-Madison Prep'!F38</f>
        <v>559.77</v>
      </c>
      <c r="G38" s="202">
        <f t="shared" si="9"/>
        <v>0</v>
      </c>
      <c r="H38" s="345">
        <f t="shared" si="10"/>
        <v>0</v>
      </c>
      <c r="I38" s="203">
        <f>'[1]Oct midyear Impact'!K35</f>
        <v>0</v>
      </c>
      <c r="J38" s="203">
        <f>'[1]Feb midyear Impact'!K35</f>
        <v>0</v>
      </c>
      <c r="K38" s="204">
        <f t="shared" si="11"/>
        <v>0</v>
      </c>
      <c r="L38" s="345">
        <f t="shared" si="12"/>
        <v>0</v>
      </c>
      <c r="M38" s="286">
        <f t="shared" si="4"/>
        <v>0</v>
      </c>
      <c r="N38" s="345">
        <f t="shared" si="13"/>
        <v>0</v>
      </c>
      <c r="O38" s="201">
        <v>0</v>
      </c>
      <c r="P38" s="351">
        <f t="shared" si="14"/>
        <v>0</v>
      </c>
      <c r="Q38" s="203">
        <f>(4*'[2]Table 5C1O-Impact'!S38)+(4*'[3]Table 5C1O-Impact'!S38)</f>
        <v>0</v>
      </c>
      <c r="R38" s="203">
        <f t="shared" si="15"/>
        <v>0</v>
      </c>
      <c r="S38" s="351">
        <f t="shared" si="5"/>
        <v>0</v>
      </c>
      <c r="T38" s="351">
        <f t="shared" si="16"/>
        <v>0</v>
      </c>
      <c r="U38" s="287">
        <f>'Table 5C1A-Madison Prep'!U38</f>
        <v>2139</v>
      </c>
      <c r="V38" s="328">
        <f t="shared" si="17"/>
        <v>0</v>
      </c>
      <c r="W38" s="289">
        <f>'[1]Oct midyear Impact'!E35</f>
        <v>0</v>
      </c>
      <c r="X38" s="290">
        <f t="shared" si="18"/>
        <v>0</v>
      </c>
      <c r="Y38" s="289">
        <f>'[1]Feb midyear Impact'!E35</f>
        <v>0</v>
      </c>
      <c r="Z38" s="290">
        <f t="shared" si="19"/>
        <v>0</v>
      </c>
      <c r="AA38" s="288">
        <f t="shared" si="20"/>
        <v>0</v>
      </c>
      <c r="AB38" s="324">
        <f t="shared" si="21"/>
        <v>0</v>
      </c>
      <c r="AC38" s="292">
        <f t="shared" si="22"/>
        <v>0</v>
      </c>
      <c r="AD38" s="324">
        <f t="shared" si="23"/>
        <v>0</v>
      </c>
      <c r="AE38" s="293">
        <v>0</v>
      </c>
      <c r="AF38" s="324">
        <f t="shared" si="24"/>
        <v>0</v>
      </c>
      <c r="AG38" s="293">
        <f>(4*'[2]Table 5C1O-Impact'!AI38)+(4*'[3]Table 5C1O-Impact'!AI38)</f>
        <v>0</v>
      </c>
      <c r="AH38" s="293">
        <f t="shared" si="25"/>
        <v>0</v>
      </c>
      <c r="AI38" s="324">
        <f t="shared" si="6"/>
        <v>0</v>
      </c>
      <c r="AJ38" s="321">
        <f t="shared" si="26"/>
        <v>0</v>
      </c>
      <c r="AK38" s="342">
        <f t="shared" si="27"/>
        <v>0</v>
      </c>
      <c r="AM38" s="286">
        <v>0</v>
      </c>
      <c r="AN38" s="286">
        <f t="shared" si="28"/>
        <v>0</v>
      </c>
      <c r="AO38" s="286">
        <f t="shared" si="29"/>
        <v>0</v>
      </c>
    </row>
    <row r="39" spans="1:41" ht="16.149999999999999" customHeight="1">
      <c r="A39" s="198">
        <v>33</v>
      </c>
      <c r="B39" s="199" t="s">
        <v>105</v>
      </c>
      <c r="C39" s="995">
        <v>0</v>
      </c>
      <c r="D39" s="201">
        <f>+'Table 5C1A-Madison Prep'!D39</f>
        <v>5456.2254558085233</v>
      </c>
      <c r="E39" s="202">
        <f t="shared" si="8"/>
        <v>0</v>
      </c>
      <c r="F39" s="202">
        <f>+'Table 5C1A-Madison Prep'!F39</f>
        <v>655.31000000000006</v>
      </c>
      <c r="G39" s="202">
        <f t="shared" si="9"/>
        <v>0</v>
      </c>
      <c r="H39" s="345">
        <f t="shared" si="10"/>
        <v>0</v>
      </c>
      <c r="I39" s="203">
        <f>'[1]Oct midyear Impact'!K36</f>
        <v>0</v>
      </c>
      <c r="J39" s="203">
        <f>'[1]Feb midyear Impact'!K36</f>
        <v>0</v>
      </c>
      <c r="K39" s="204">
        <f t="shared" si="11"/>
        <v>0</v>
      </c>
      <c r="L39" s="345">
        <f t="shared" si="12"/>
        <v>0</v>
      </c>
      <c r="M39" s="286">
        <f t="shared" si="4"/>
        <v>0</v>
      </c>
      <c r="N39" s="345">
        <f t="shared" si="13"/>
        <v>0</v>
      </c>
      <c r="O39" s="201">
        <v>0</v>
      </c>
      <c r="P39" s="351">
        <f t="shared" si="14"/>
        <v>0</v>
      </c>
      <c r="Q39" s="203">
        <f>(4*'[2]Table 5C1O-Impact'!S39)+(4*'[3]Table 5C1O-Impact'!S39)</f>
        <v>0</v>
      </c>
      <c r="R39" s="203">
        <f t="shared" si="15"/>
        <v>0</v>
      </c>
      <c r="S39" s="351">
        <f t="shared" ref="S39:S70" si="30">ROUND(R39/$S$88,0)</f>
        <v>0</v>
      </c>
      <c r="T39" s="351">
        <f t="shared" si="16"/>
        <v>0</v>
      </c>
      <c r="U39" s="287">
        <f>'Table 5C1A-Madison Prep'!U39</f>
        <v>3784</v>
      </c>
      <c r="V39" s="328">
        <f t="shared" si="17"/>
        <v>0</v>
      </c>
      <c r="W39" s="289">
        <f>'[1]Oct midyear Impact'!E36</f>
        <v>0</v>
      </c>
      <c r="X39" s="290">
        <f t="shared" si="18"/>
        <v>0</v>
      </c>
      <c r="Y39" s="289">
        <f>'[1]Feb midyear Impact'!E36</f>
        <v>0</v>
      </c>
      <c r="Z39" s="290">
        <f t="shared" si="19"/>
        <v>0</v>
      </c>
      <c r="AA39" s="288">
        <f t="shared" si="20"/>
        <v>0</v>
      </c>
      <c r="AB39" s="324">
        <f t="shared" si="21"/>
        <v>0</v>
      </c>
      <c r="AC39" s="292">
        <f t="shared" si="22"/>
        <v>0</v>
      </c>
      <c r="AD39" s="324">
        <f t="shared" si="23"/>
        <v>0</v>
      </c>
      <c r="AE39" s="293">
        <v>0</v>
      </c>
      <c r="AF39" s="324">
        <f t="shared" si="24"/>
        <v>0</v>
      </c>
      <c r="AG39" s="293">
        <f>(4*'[2]Table 5C1O-Impact'!AI39)+(4*'[3]Table 5C1O-Impact'!AI39)</f>
        <v>0</v>
      </c>
      <c r="AH39" s="293">
        <f t="shared" si="25"/>
        <v>0</v>
      </c>
      <c r="AI39" s="324">
        <f t="shared" ref="AI39:AI70" si="31">ROUND(AH39/$AI$88,0)</f>
        <v>0</v>
      </c>
      <c r="AJ39" s="321">
        <f t="shared" si="26"/>
        <v>0</v>
      </c>
      <c r="AK39" s="342">
        <f t="shared" si="27"/>
        <v>0</v>
      </c>
      <c r="AM39" s="286">
        <v>0</v>
      </c>
      <c r="AN39" s="286">
        <f t="shared" si="28"/>
        <v>0</v>
      </c>
      <c r="AO39" s="286">
        <f t="shared" si="29"/>
        <v>0</v>
      </c>
    </row>
    <row r="40" spans="1:41" ht="16.149999999999999" customHeight="1">
      <c r="A40" s="198">
        <v>34</v>
      </c>
      <c r="B40" s="199" t="s">
        <v>106</v>
      </c>
      <c r="C40" s="995">
        <v>0</v>
      </c>
      <c r="D40" s="201">
        <f>+'Table 5C1A-Madison Prep'!D40</f>
        <v>6292.0976842789005</v>
      </c>
      <c r="E40" s="202">
        <f t="shared" si="8"/>
        <v>0</v>
      </c>
      <c r="F40" s="202">
        <f>+'Table 5C1A-Madison Prep'!F40</f>
        <v>644.11000000000013</v>
      </c>
      <c r="G40" s="202">
        <f t="shared" si="9"/>
        <v>0</v>
      </c>
      <c r="H40" s="345">
        <f t="shared" si="10"/>
        <v>0</v>
      </c>
      <c r="I40" s="203">
        <f>'[1]Oct midyear Impact'!K37</f>
        <v>0</v>
      </c>
      <c r="J40" s="203">
        <f>'[1]Feb midyear Impact'!K37</f>
        <v>0</v>
      </c>
      <c r="K40" s="204">
        <f t="shared" si="11"/>
        <v>0</v>
      </c>
      <c r="L40" s="345">
        <f t="shared" si="12"/>
        <v>0</v>
      </c>
      <c r="M40" s="286">
        <f t="shared" si="4"/>
        <v>0</v>
      </c>
      <c r="N40" s="345">
        <f t="shared" si="13"/>
        <v>0</v>
      </c>
      <c r="O40" s="201">
        <v>0</v>
      </c>
      <c r="P40" s="351">
        <f t="shared" si="14"/>
        <v>0</v>
      </c>
      <c r="Q40" s="203">
        <f>(4*'[2]Table 5C1O-Impact'!S40)+(4*'[3]Table 5C1O-Impact'!S40)</f>
        <v>0</v>
      </c>
      <c r="R40" s="203">
        <f t="shared" si="15"/>
        <v>0</v>
      </c>
      <c r="S40" s="351">
        <f t="shared" si="30"/>
        <v>0</v>
      </c>
      <c r="T40" s="351">
        <f t="shared" si="16"/>
        <v>0</v>
      </c>
      <c r="U40" s="287">
        <f>'Table 5C1A-Madison Prep'!U40</f>
        <v>2911</v>
      </c>
      <c r="V40" s="328">
        <f t="shared" si="17"/>
        <v>0</v>
      </c>
      <c r="W40" s="289">
        <f>'[1]Oct midyear Impact'!E37</f>
        <v>0</v>
      </c>
      <c r="X40" s="290">
        <f t="shared" si="18"/>
        <v>0</v>
      </c>
      <c r="Y40" s="289">
        <f>'[1]Feb midyear Impact'!E37</f>
        <v>0</v>
      </c>
      <c r="Z40" s="290">
        <f t="shared" si="19"/>
        <v>0</v>
      </c>
      <c r="AA40" s="288">
        <f t="shared" si="20"/>
        <v>0</v>
      </c>
      <c r="AB40" s="324">
        <f t="shared" si="21"/>
        <v>0</v>
      </c>
      <c r="AC40" s="292">
        <f t="shared" si="22"/>
        <v>0</v>
      </c>
      <c r="AD40" s="324">
        <f t="shared" si="23"/>
        <v>0</v>
      </c>
      <c r="AE40" s="293">
        <v>0</v>
      </c>
      <c r="AF40" s="324">
        <f t="shared" si="24"/>
        <v>0</v>
      </c>
      <c r="AG40" s="293">
        <f>(4*'[2]Table 5C1O-Impact'!AI40)+(4*'[3]Table 5C1O-Impact'!AI40)</f>
        <v>0</v>
      </c>
      <c r="AH40" s="293">
        <f t="shared" si="25"/>
        <v>0</v>
      </c>
      <c r="AI40" s="324">
        <f t="shared" si="31"/>
        <v>0</v>
      </c>
      <c r="AJ40" s="321">
        <f t="shared" si="26"/>
        <v>0</v>
      </c>
      <c r="AK40" s="342">
        <f t="shared" si="27"/>
        <v>0</v>
      </c>
      <c r="AM40" s="286">
        <v>0</v>
      </c>
      <c r="AN40" s="286">
        <f t="shared" si="28"/>
        <v>0</v>
      </c>
      <c r="AO40" s="286">
        <f t="shared" si="29"/>
        <v>0</v>
      </c>
    </row>
    <row r="41" spans="1:41" ht="16.149999999999999" customHeight="1">
      <c r="A41" s="191">
        <v>35</v>
      </c>
      <c r="B41" s="192" t="s">
        <v>107</v>
      </c>
      <c r="C41" s="996">
        <v>0</v>
      </c>
      <c r="D41" s="194">
        <f>+'Table 5C1A-Madison Prep'!D41</f>
        <v>5166.2482060477605</v>
      </c>
      <c r="E41" s="195">
        <f t="shared" si="8"/>
        <v>0</v>
      </c>
      <c r="F41" s="195">
        <f>+'Table 5C1A-Madison Prep'!F41</f>
        <v>537.96</v>
      </c>
      <c r="G41" s="195">
        <f t="shared" si="9"/>
        <v>0</v>
      </c>
      <c r="H41" s="346">
        <f t="shared" si="10"/>
        <v>0</v>
      </c>
      <c r="I41" s="196">
        <f>'[1]Oct midyear Impact'!K38</f>
        <v>0</v>
      </c>
      <c r="J41" s="196">
        <f>'[1]Feb midyear Impact'!K38</f>
        <v>0</v>
      </c>
      <c r="K41" s="197">
        <f t="shared" si="11"/>
        <v>0</v>
      </c>
      <c r="L41" s="346">
        <f t="shared" si="12"/>
        <v>0</v>
      </c>
      <c r="M41" s="296">
        <f t="shared" si="4"/>
        <v>0</v>
      </c>
      <c r="N41" s="346">
        <f t="shared" si="13"/>
        <v>0</v>
      </c>
      <c r="O41" s="194">
        <v>0</v>
      </c>
      <c r="P41" s="352">
        <f t="shared" si="14"/>
        <v>0</v>
      </c>
      <c r="Q41" s="196">
        <f>(4*'[2]Table 5C1O-Impact'!S41)+(4*'[3]Table 5C1O-Impact'!S41)</f>
        <v>0</v>
      </c>
      <c r="R41" s="196">
        <f t="shared" si="15"/>
        <v>0</v>
      </c>
      <c r="S41" s="352">
        <f t="shared" si="30"/>
        <v>0</v>
      </c>
      <c r="T41" s="352">
        <f t="shared" si="16"/>
        <v>0</v>
      </c>
      <c r="U41" s="281">
        <f>'Table 5C1A-Madison Prep'!U41</f>
        <v>3337</v>
      </c>
      <c r="V41" s="329">
        <f t="shared" si="17"/>
        <v>0</v>
      </c>
      <c r="W41" s="884">
        <f>'[1]Oct midyear Impact'!E38</f>
        <v>0</v>
      </c>
      <c r="X41" s="282">
        <f t="shared" si="18"/>
        <v>0</v>
      </c>
      <c r="Y41" s="884">
        <f>'[1]Feb midyear Impact'!E38</f>
        <v>0</v>
      </c>
      <c r="Z41" s="282">
        <f t="shared" si="19"/>
        <v>0</v>
      </c>
      <c r="AA41" s="283">
        <f t="shared" si="20"/>
        <v>0</v>
      </c>
      <c r="AB41" s="325">
        <f t="shared" si="21"/>
        <v>0</v>
      </c>
      <c r="AC41" s="298">
        <f t="shared" si="22"/>
        <v>0</v>
      </c>
      <c r="AD41" s="325">
        <f t="shared" si="23"/>
        <v>0</v>
      </c>
      <c r="AE41" s="284">
        <v>0</v>
      </c>
      <c r="AF41" s="325">
        <f t="shared" si="24"/>
        <v>0</v>
      </c>
      <c r="AG41" s="284">
        <f>(4*'[2]Table 5C1O-Impact'!AI41)+(4*'[3]Table 5C1O-Impact'!AI41)</f>
        <v>0</v>
      </c>
      <c r="AH41" s="284">
        <f t="shared" si="25"/>
        <v>0</v>
      </c>
      <c r="AI41" s="325">
        <f t="shared" si="31"/>
        <v>0</v>
      </c>
      <c r="AJ41" s="338">
        <f t="shared" si="26"/>
        <v>0</v>
      </c>
      <c r="AK41" s="343">
        <f t="shared" si="27"/>
        <v>0</v>
      </c>
      <c r="AM41" s="296">
        <v>0</v>
      </c>
      <c r="AN41" s="296">
        <f t="shared" si="28"/>
        <v>0</v>
      </c>
      <c r="AO41" s="296">
        <f t="shared" si="29"/>
        <v>0</v>
      </c>
    </row>
    <row r="42" spans="1:41" ht="16.149999999999999" customHeight="1">
      <c r="A42" s="205">
        <v>36</v>
      </c>
      <c r="B42" s="206" t="s">
        <v>108</v>
      </c>
      <c r="C42" s="994">
        <v>0</v>
      </c>
      <c r="D42" s="208">
        <f>+'Table 5C1A-Madison Prep'!D42</f>
        <v>3602.7009974327857</v>
      </c>
      <c r="E42" s="209">
        <f t="shared" si="8"/>
        <v>0</v>
      </c>
      <c r="F42" s="209">
        <f>+'Table 5C1A-Madison Prep'!F42</f>
        <v>746.0335616438357</v>
      </c>
      <c r="G42" s="209">
        <f t="shared" si="9"/>
        <v>0</v>
      </c>
      <c r="H42" s="344">
        <f t="shared" si="10"/>
        <v>0</v>
      </c>
      <c r="I42" s="210">
        <f>'[1]Oct midyear Impact'!K39</f>
        <v>0</v>
      </c>
      <c r="J42" s="210">
        <f>'[1]Feb midyear Impact'!K39</f>
        <v>0</v>
      </c>
      <c r="K42" s="211">
        <f t="shared" si="11"/>
        <v>0</v>
      </c>
      <c r="L42" s="344">
        <f t="shared" si="12"/>
        <v>0</v>
      </c>
      <c r="M42" s="273">
        <f t="shared" si="4"/>
        <v>0</v>
      </c>
      <c r="N42" s="344">
        <f t="shared" si="13"/>
        <v>0</v>
      </c>
      <c r="O42" s="208">
        <v>0</v>
      </c>
      <c r="P42" s="350">
        <f t="shared" si="14"/>
        <v>0</v>
      </c>
      <c r="Q42" s="210">
        <f>(4*'[2]Table 5C1O-Impact'!S42)+(4*'[3]Table 5C1O-Impact'!S42)</f>
        <v>0</v>
      </c>
      <c r="R42" s="210">
        <f t="shared" si="15"/>
        <v>0</v>
      </c>
      <c r="S42" s="350">
        <f t="shared" si="30"/>
        <v>0</v>
      </c>
      <c r="T42" s="350">
        <f t="shared" si="16"/>
        <v>0</v>
      </c>
      <c r="U42" s="274">
        <f>'Table 5C1A-Madison Prep'!U42</f>
        <v>5469</v>
      </c>
      <c r="V42" s="327">
        <f t="shared" si="17"/>
        <v>0</v>
      </c>
      <c r="W42" s="883">
        <f>'[1]Oct midyear Impact'!E39</f>
        <v>0</v>
      </c>
      <c r="X42" s="276">
        <f t="shared" si="18"/>
        <v>0</v>
      </c>
      <c r="Y42" s="883">
        <f>'[1]Feb midyear Impact'!E39</f>
        <v>0</v>
      </c>
      <c r="Z42" s="276">
        <f t="shared" si="19"/>
        <v>0</v>
      </c>
      <c r="AA42" s="275">
        <f t="shared" si="20"/>
        <v>0</v>
      </c>
      <c r="AB42" s="323">
        <f t="shared" si="21"/>
        <v>0</v>
      </c>
      <c r="AC42" s="278">
        <f t="shared" si="22"/>
        <v>0</v>
      </c>
      <c r="AD42" s="323">
        <f t="shared" si="23"/>
        <v>0</v>
      </c>
      <c r="AE42" s="279">
        <v>0</v>
      </c>
      <c r="AF42" s="323">
        <f t="shared" si="24"/>
        <v>0</v>
      </c>
      <c r="AG42" s="279">
        <f>(4*'[2]Table 5C1O-Impact'!AI42)+(4*'[3]Table 5C1O-Impact'!AI42)</f>
        <v>0</v>
      </c>
      <c r="AH42" s="279">
        <f t="shared" si="25"/>
        <v>0</v>
      </c>
      <c r="AI42" s="323">
        <f t="shared" si="31"/>
        <v>0</v>
      </c>
      <c r="AJ42" s="337">
        <f t="shared" si="26"/>
        <v>0</v>
      </c>
      <c r="AK42" s="341">
        <f t="shared" si="27"/>
        <v>0</v>
      </c>
      <c r="AM42" s="273">
        <v>0</v>
      </c>
      <c r="AN42" s="273">
        <f t="shared" si="28"/>
        <v>0</v>
      </c>
      <c r="AO42" s="273">
        <f t="shared" si="29"/>
        <v>0</v>
      </c>
    </row>
    <row r="43" spans="1:41" ht="16.149999999999999" customHeight="1">
      <c r="A43" s="198">
        <v>37</v>
      </c>
      <c r="B43" s="199" t="s">
        <v>109</v>
      </c>
      <c r="C43" s="995">
        <v>0</v>
      </c>
      <c r="D43" s="201">
        <f>+'Table 5C1A-Madison Prep'!D43</f>
        <v>5665.3839260317691</v>
      </c>
      <c r="E43" s="202">
        <f t="shared" si="8"/>
        <v>0</v>
      </c>
      <c r="F43" s="202">
        <f>+'Table 5C1A-Madison Prep'!F43</f>
        <v>653.61</v>
      </c>
      <c r="G43" s="202">
        <f t="shared" si="9"/>
        <v>0</v>
      </c>
      <c r="H43" s="345">
        <f t="shared" si="10"/>
        <v>0</v>
      </c>
      <c r="I43" s="203">
        <f>'[1]Oct midyear Impact'!K40</f>
        <v>0</v>
      </c>
      <c r="J43" s="203">
        <f>'[1]Feb midyear Impact'!K40</f>
        <v>0</v>
      </c>
      <c r="K43" s="204">
        <f t="shared" si="11"/>
        <v>0</v>
      </c>
      <c r="L43" s="345">
        <f t="shared" si="12"/>
        <v>0</v>
      </c>
      <c r="M43" s="286">
        <f t="shared" si="4"/>
        <v>0</v>
      </c>
      <c r="N43" s="345">
        <f t="shared" si="13"/>
        <v>0</v>
      </c>
      <c r="O43" s="201">
        <v>0</v>
      </c>
      <c r="P43" s="351">
        <f t="shared" si="14"/>
        <v>0</v>
      </c>
      <c r="Q43" s="203">
        <f>(4*'[2]Table 5C1O-Impact'!S43)+(4*'[3]Table 5C1O-Impact'!S43)</f>
        <v>0</v>
      </c>
      <c r="R43" s="203">
        <f t="shared" si="15"/>
        <v>0</v>
      </c>
      <c r="S43" s="351">
        <f t="shared" si="30"/>
        <v>0</v>
      </c>
      <c r="T43" s="351">
        <f t="shared" si="16"/>
        <v>0</v>
      </c>
      <c r="U43" s="287">
        <f>'Table 5C1A-Madison Prep'!U43</f>
        <v>3424</v>
      </c>
      <c r="V43" s="328">
        <f t="shared" si="17"/>
        <v>0</v>
      </c>
      <c r="W43" s="289">
        <f>'[1]Oct midyear Impact'!E40</f>
        <v>0</v>
      </c>
      <c r="X43" s="290">
        <f t="shared" si="18"/>
        <v>0</v>
      </c>
      <c r="Y43" s="289">
        <f>'[1]Feb midyear Impact'!E40</f>
        <v>0</v>
      </c>
      <c r="Z43" s="290">
        <f t="shared" si="19"/>
        <v>0</v>
      </c>
      <c r="AA43" s="288">
        <f t="shared" si="20"/>
        <v>0</v>
      </c>
      <c r="AB43" s="324">
        <f t="shared" si="21"/>
        <v>0</v>
      </c>
      <c r="AC43" s="292">
        <f t="shared" si="22"/>
        <v>0</v>
      </c>
      <c r="AD43" s="324">
        <f t="shared" si="23"/>
        <v>0</v>
      </c>
      <c r="AE43" s="293">
        <v>0</v>
      </c>
      <c r="AF43" s="324">
        <f t="shared" si="24"/>
        <v>0</v>
      </c>
      <c r="AG43" s="293">
        <f>(4*'[2]Table 5C1O-Impact'!AI43)+(4*'[3]Table 5C1O-Impact'!AI43)</f>
        <v>0</v>
      </c>
      <c r="AH43" s="293">
        <f t="shared" si="25"/>
        <v>0</v>
      </c>
      <c r="AI43" s="324">
        <f t="shared" si="31"/>
        <v>0</v>
      </c>
      <c r="AJ43" s="321">
        <f t="shared" si="26"/>
        <v>0</v>
      </c>
      <c r="AK43" s="342">
        <f t="shared" si="27"/>
        <v>0</v>
      </c>
      <c r="AM43" s="286">
        <v>0</v>
      </c>
      <c r="AN43" s="286">
        <f t="shared" si="28"/>
        <v>0</v>
      </c>
      <c r="AO43" s="286">
        <f t="shared" si="29"/>
        <v>0</v>
      </c>
    </row>
    <row r="44" spans="1:41" ht="16.149999999999999" customHeight="1">
      <c r="A44" s="198">
        <v>38</v>
      </c>
      <c r="B44" s="199" t="s">
        <v>110</v>
      </c>
      <c r="C44" s="995">
        <v>0</v>
      </c>
      <c r="D44" s="201">
        <f>+'Table 5C1A-Madison Prep'!D44</f>
        <v>2088.8017552916881</v>
      </c>
      <c r="E44" s="202">
        <f t="shared" si="8"/>
        <v>0</v>
      </c>
      <c r="F44" s="202">
        <f>+'Table 5C1A-Madison Prep'!F44</f>
        <v>829.92000000000007</v>
      </c>
      <c r="G44" s="202">
        <f t="shared" si="9"/>
        <v>0</v>
      </c>
      <c r="H44" s="345">
        <f t="shared" si="10"/>
        <v>0</v>
      </c>
      <c r="I44" s="203">
        <f>'[1]Oct midyear Impact'!K41</f>
        <v>0</v>
      </c>
      <c r="J44" s="203">
        <f>'[1]Feb midyear Impact'!K41</f>
        <v>0</v>
      </c>
      <c r="K44" s="204">
        <f t="shared" si="11"/>
        <v>0</v>
      </c>
      <c r="L44" s="345">
        <f t="shared" si="12"/>
        <v>0</v>
      </c>
      <c r="M44" s="286">
        <f t="shared" si="4"/>
        <v>0</v>
      </c>
      <c r="N44" s="345">
        <f t="shared" si="13"/>
        <v>0</v>
      </c>
      <c r="O44" s="201">
        <v>0</v>
      </c>
      <c r="P44" s="351">
        <f t="shared" si="14"/>
        <v>0</v>
      </c>
      <c r="Q44" s="203">
        <f>(4*'[2]Table 5C1O-Impact'!S44)+(4*'[3]Table 5C1O-Impact'!S44)</f>
        <v>0</v>
      </c>
      <c r="R44" s="203">
        <f t="shared" si="15"/>
        <v>0</v>
      </c>
      <c r="S44" s="351">
        <f t="shared" si="30"/>
        <v>0</v>
      </c>
      <c r="T44" s="351">
        <f t="shared" si="16"/>
        <v>0</v>
      </c>
      <c r="U44" s="287">
        <f>'Table 5C1A-Madison Prep'!U44</f>
        <v>11060</v>
      </c>
      <c r="V44" s="328">
        <f t="shared" si="17"/>
        <v>0</v>
      </c>
      <c r="W44" s="289">
        <f>'[1]Oct midyear Impact'!E41</f>
        <v>0</v>
      </c>
      <c r="X44" s="290">
        <f t="shared" si="18"/>
        <v>0</v>
      </c>
      <c r="Y44" s="289">
        <f>'[1]Feb midyear Impact'!E41</f>
        <v>0</v>
      </c>
      <c r="Z44" s="290">
        <f t="shared" si="19"/>
        <v>0</v>
      </c>
      <c r="AA44" s="288">
        <f t="shared" si="20"/>
        <v>0</v>
      </c>
      <c r="AB44" s="324">
        <f t="shared" si="21"/>
        <v>0</v>
      </c>
      <c r="AC44" s="292">
        <f t="shared" si="22"/>
        <v>0</v>
      </c>
      <c r="AD44" s="324">
        <f t="shared" si="23"/>
        <v>0</v>
      </c>
      <c r="AE44" s="293">
        <v>0</v>
      </c>
      <c r="AF44" s="324">
        <f t="shared" si="24"/>
        <v>0</v>
      </c>
      <c r="AG44" s="293">
        <f>(4*'[2]Table 5C1O-Impact'!AI44)+(4*'[3]Table 5C1O-Impact'!AI44)</f>
        <v>0</v>
      </c>
      <c r="AH44" s="293">
        <f t="shared" si="25"/>
        <v>0</v>
      </c>
      <c r="AI44" s="324">
        <f t="shared" si="31"/>
        <v>0</v>
      </c>
      <c r="AJ44" s="321">
        <f t="shared" si="26"/>
        <v>0</v>
      </c>
      <c r="AK44" s="342">
        <f t="shared" si="27"/>
        <v>0</v>
      </c>
      <c r="AM44" s="286">
        <v>0</v>
      </c>
      <c r="AN44" s="286">
        <f t="shared" si="28"/>
        <v>0</v>
      </c>
      <c r="AO44" s="286">
        <f t="shared" si="29"/>
        <v>0</v>
      </c>
    </row>
    <row r="45" spans="1:41" ht="16.149999999999999" customHeight="1">
      <c r="A45" s="198">
        <v>39</v>
      </c>
      <c r="B45" s="199" t="s">
        <v>111</v>
      </c>
      <c r="C45" s="995">
        <v>0</v>
      </c>
      <c r="D45" s="201">
        <f>+'Table 5C1A-Madison Prep'!D45</f>
        <v>3656.9056809295676</v>
      </c>
      <c r="E45" s="202">
        <f t="shared" si="8"/>
        <v>0</v>
      </c>
      <c r="F45" s="202">
        <f>+'Table 5C1A-Madison Prep'!F45</f>
        <v>779.65573042776396</v>
      </c>
      <c r="G45" s="202">
        <f t="shared" si="9"/>
        <v>0</v>
      </c>
      <c r="H45" s="345">
        <f t="shared" si="10"/>
        <v>0</v>
      </c>
      <c r="I45" s="203">
        <f>'[1]Oct midyear Impact'!K42</f>
        <v>0</v>
      </c>
      <c r="J45" s="203">
        <f>'[1]Feb midyear Impact'!K42</f>
        <v>0</v>
      </c>
      <c r="K45" s="204">
        <f t="shared" si="11"/>
        <v>0</v>
      </c>
      <c r="L45" s="345">
        <f t="shared" si="12"/>
        <v>0</v>
      </c>
      <c r="M45" s="286">
        <f t="shared" si="4"/>
        <v>0</v>
      </c>
      <c r="N45" s="345">
        <f t="shared" si="13"/>
        <v>0</v>
      </c>
      <c r="O45" s="201">
        <v>0</v>
      </c>
      <c r="P45" s="351">
        <f t="shared" si="14"/>
        <v>0</v>
      </c>
      <c r="Q45" s="203">
        <f>(4*'[2]Table 5C1O-Impact'!S45)+(4*'[3]Table 5C1O-Impact'!S45)</f>
        <v>0</v>
      </c>
      <c r="R45" s="203">
        <f t="shared" si="15"/>
        <v>0</v>
      </c>
      <c r="S45" s="351">
        <f t="shared" si="30"/>
        <v>0</v>
      </c>
      <c r="T45" s="351">
        <f t="shared" si="16"/>
        <v>0</v>
      </c>
      <c r="U45" s="287">
        <f>'Table 5C1A-Madison Prep'!U45</f>
        <v>4922</v>
      </c>
      <c r="V45" s="328">
        <f t="shared" si="17"/>
        <v>0</v>
      </c>
      <c r="W45" s="289">
        <f>'[1]Oct midyear Impact'!E42</f>
        <v>0</v>
      </c>
      <c r="X45" s="290">
        <f t="shared" si="18"/>
        <v>0</v>
      </c>
      <c r="Y45" s="289">
        <f>'[1]Feb midyear Impact'!E42</f>
        <v>0</v>
      </c>
      <c r="Z45" s="290">
        <f t="shared" si="19"/>
        <v>0</v>
      </c>
      <c r="AA45" s="288">
        <f t="shared" si="20"/>
        <v>0</v>
      </c>
      <c r="AB45" s="324">
        <f t="shared" si="21"/>
        <v>0</v>
      </c>
      <c r="AC45" s="292">
        <f t="shared" si="22"/>
        <v>0</v>
      </c>
      <c r="AD45" s="324">
        <f t="shared" si="23"/>
        <v>0</v>
      </c>
      <c r="AE45" s="293">
        <v>0</v>
      </c>
      <c r="AF45" s="324">
        <f t="shared" si="24"/>
        <v>0</v>
      </c>
      <c r="AG45" s="293">
        <f>(4*'[2]Table 5C1O-Impact'!AI45)+(4*'[3]Table 5C1O-Impact'!AI45)</f>
        <v>0</v>
      </c>
      <c r="AH45" s="293">
        <f t="shared" si="25"/>
        <v>0</v>
      </c>
      <c r="AI45" s="324">
        <f t="shared" si="31"/>
        <v>0</v>
      </c>
      <c r="AJ45" s="321">
        <f t="shared" si="26"/>
        <v>0</v>
      </c>
      <c r="AK45" s="342">
        <f t="shared" si="27"/>
        <v>0</v>
      </c>
      <c r="AM45" s="286">
        <v>0</v>
      </c>
      <c r="AN45" s="286">
        <f t="shared" si="28"/>
        <v>0</v>
      </c>
      <c r="AO45" s="286">
        <f t="shared" si="29"/>
        <v>0</v>
      </c>
    </row>
    <row r="46" spans="1:41" ht="16.149999999999999" customHeight="1">
      <c r="A46" s="191">
        <v>40</v>
      </c>
      <c r="B46" s="192" t="s">
        <v>112</v>
      </c>
      <c r="C46" s="996">
        <v>0</v>
      </c>
      <c r="D46" s="194">
        <f>+'Table 5C1A-Madison Prep'!D46</f>
        <v>5121.8110285698403</v>
      </c>
      <c r="E46" s="195">
        <f t="shared" si="8"/>
        <v>0</v>
      </c>
      <c r="F46" s="195">
        <f>+'Table 5C1A-Madison Prep'!F46</f>
        <v>700.2700000000001</v>
      </c>
      <c r="G46" s="195">
        <f t="shared" si="9"/>
        <v>0</v>
      </c>
      <c r="H46" s="346">
        <f t="shared" si="10"/>
        <v>0</v>
      </c>
      <c r="I46" s="196">
        <f>'[1]Oct midyear Impact'!K43</f>
        <v>0</v>
      </c>
      <c r="J46" s="196">
        <f>'[1]Feb midyear Impact'!K43</f>
        <v>0</v>
      </c>
      <c r="K46" s="197">
        <f t="shared" si="11"/>
        <v>0</v>
      </c>
      <c r="L46" s="346">
        <f t="shared" si="12"/>
        <v>0</v>
      </c>
      <c r="M46" s="296">
        <f t="shared" si="4"/>
        <v>0</v>
      </c>
      <c r="N46" s="346">
        <f t="shared" si="13"/>
        <v>0</v>
      </c>
      <c r="O46" s="194">
        <v>0</v>
      </c>
      <c r="P46" s="352">
        <f t="shared" si="14"/>
        <v>0</v>
      </c>
      <c r="Q46" s="196">
        <f>(4*'[2]Table 5C1O-Impact'!S46)+(4*'[3]Table 5C1O-Impact'!S46)</f>
        <v>0</v>
      </c>
      <c r="R46" s="196">
        <f t="shared" si="15"/>
        <v>0</v>
      </c>
      <c r="S46" s="352">
        <f t="shared" si="30"/>
        <v>0</v>
      </c>
      <c r="T46" s="352">
        <f t="shared" si="16"/>
        <v>0</v>
      </c>
      <c r="U46" s="281">
        <f>'Table 5C1A-Madison Prep'!U46</f>
        <v>3152</v>
      </c>
      <c r="V46" s="329">
        <f t="shared" si="17"/>
        <v>0</v>
      </c>
      <c r="W46" s="884">
        <f>'[1]Oct midyear Impact'!E43</f>
        <v>0</v>
      </c>
      <c r="X46" s="282">
        <f t="shared" si="18"/>
        <v>0</v>
      </c>
      <c r="Y46" s="884">
        <f>'[1]Feb midyear Impact'!E43</f>
        <v>0</v>
      </c>
      <c r="Z46" s="282">
        <f t="shared" si="19"/>
        <v>0</v>
      </c>
      <c r="AA46" s="283">
        <f t="shared" si="20"/>
        <v>0</v>
      </c>
      <c r="AB46" s="325">
        <f t="shared" si="21"/>
        <v>0</v>
      </c>
      <c r="AC46" s="298">
        <f t="shared" si="22"/>
        <v>0</v>
      </c>
      <c r="AD46" s="325">
        <f t="shared" si="23"/>
        <v>0</v>
      </c>
      <c r="AE46" s="284">
        <v>0</v>
      </c>
      <c r="AF46" s="325">
        <f t="shared" si="24"/>
        <v>0</v>
      </c>
      <c r="AG46" s="284">
        <f>(4*'[2]Table 5C1O-Impact'!AI46)+(4*'[3]Table 5C1O-Impact'!AI46)</f>
        <v>0</v>
      </c>
      <c r="AH46" s="284">
        <f t="shared" si="25"/>
        <v>0</v>
      </c>
      <c r="AI46" s="325">
        <f t="shared" si="31"/>
        <v>0</v>
      </c>
      <c r="AJ46" s="338">
        <f t="shared" si="26"/>
        <v>0</v>
      </c>
      <c r="AK46" s="343">
        <f t="shared" si="27"/>
        <v>0</v>
      </c>
      <c r="AM46" s="296">
        <v>0</v>
      </c>
      <c r="AN46" s="296">
        <f t="shared" si="28"/>
        <v>0</v>
      </c>
      <c r="AO46" s="296">
        <f t="shared" si="29"/>
        <v>0</v>
      </c>
    </row>
    <row r="47" spans="1:41" ht="16.149999999999999" customHeight="1">
      <c r="A47" s="205">
        <v>41</v>
      </c>
      <c r="B47" s="206" t="s">
        <v>113</v>
      </c>
      <c r="C47" s="994">
        <v>0</v>
      </c>
      <c r="D47" s="208">
        <f>+'Table 5C1A-Madison Prep'!D47</f>
        <v>3291.1948574716475</v>
      </c>
      <c r="E47" s="209">
        <f t="shared" si="8"/>
        <v>0</v>
      </c>
      <c r="F47" s="209">
        <f>+'Table 5C1A-Madison Prep'!F47</f>
        <v>886.22</v>
      </c>
      <c r="G47" s="209">
        <f t="shared" si="9"/>
        <v>0</v>
      </c>
      <c r="H47" s="344">
        <f t="shared" si="10"/>
        <v>0</v>
      </c>
      <c r="I47" s="210">
        <f>'[1]Oct midyear Impact'!K44</f>
        <v>0</v>
      </c>
      <c r="J47" s="210">
        <f>'[1]Feb midyear Impact'!K44</f>
        <v>0</v>
      </c>
      <c r="K47" s="211">
        <f t="shared" si="11"/>
        <v>0</v>
      </c>
      <c r="L47" s="344">
        <f t="shared" si="12"/>
        <v>0</v>
      </c>
      <c r="M47" s="273">
        <f t="shared" si="4"/>
        <v>0</v>
      </c>
      <c r="N47" s="344">
        <f t="shared" si="13"/>
        <v>0</v>
      </c>
      <c r="O47" s="208">
        <v>0</v>
      </c>
      <c r="P47" s="350">
        <f t="shared" si="14"/>
        <v>0</v>
      </c>
      <c r="Q47" s="210">
        <f>(4*'[2]Table 5C1O-Impact'!S47)+(4*'[3]Table 5C1O-Impact'!S47)</f>
        <v>0</v>
      </c>
      <c r="R47" s="210">
        <f t="shared" si="15"/>
        <v>0</v>
      </c>
      <c r="S47" s="350">
        <f t="shared" si="30"/>
        <v>0</v>
      </c>
      <c r="T47" s="350">
        <f t="shared" si="16"/>
        <v>0</v>
      </c>
      <c r="U47" s="274">
        <f>'Table 5C1A-Madison Prep'!U47</f>
        <v>9422</v>
      </c>
      <c r="V47" s="327">
        <f t="shared" si="17"/>
        <v>0</v>
      </c>
      <c r="W47" s="883">
        <f>'[1]Oct midyear Impact'!E44</f>
        <v>0</v>
      </c>
      <c r="X47" s="276">
        <f t="shared" si="18"/>
        <v>0</v>
      </c>
      <c r="Y47" s="883">
        <f>'[1]Feb midyear Impact'!E44</f>
        <v>0</v>
      </c>
      <c r="Z47" s="276">
        <f t="shared" si="19"/>
        <v>0</v>
      </c>
      <c r="AA47" s="275">
        <f t="shared" si="20"/>
        <v>0</v>
      </c>
      <c r="AB47" s="323">
        <f t="shared" si="21"/>
        <v>0</v>
      </c>
      <c r="AC47" s="278">
        <f t="shared" si="22"/>
        <v>0</v>
      </c>
      <c r="AD47" s="323">
        <f t="shared" si="23"/>
        <v>0</v>
      </c>
      <c r="AE47" s="279">
        <v>0</v>
      </c>
      <c r="AF47" s="323">
        <f t="shared" si="24"/>
        <v>0</v>
      </c>
      <c r="AG47" s="279">
        <f>(4*'[2]Table 5C1O-Impact'!AI47)+(4*'[3]Table 5C1O-Impact'!AI47)</f>
        <v>0</v>
      </c>
      <c r="AH47" s="279">
        <f t="shared" si="25"/>
        <v>0</v>
      </c>
      <c r="AI47" s="323">
        <f t="shared" si="31"/>
        <v>0</v>
      </c>
      <c r="AJ47" s="337">
        <f t="shared" si="26"/>
        <v>0</v>
      </c>
      <c r="AK47" s="341">
        <f t="shared" si="27"/>
        <v>0</v>
      </c>
      <c r="AM47" s="273">
        <v>0</v>
      </c>
      <c r="AN47" s="273">
        <f t="shared" si="28"/>
        <v>0</v>
      </c>
      <c r="AO47" s="273">
        <f t="shared" si="29"/>
        <v>0</v>
      </c>
    </row>
    <row r="48" spans="1:41" ht="16.149999999999999" customHeight="1">
      <c r="A48" s="198">
        <v>42</v>
      </c>
      <c r="B48" s="199" t="s">
        <v>114</v>
      </c>
      <c r="C48" s="995">
        <v>0</v>
      </c>
      <c r="D48" s="201">
        <f>+'Table 5C1A-Madison Prep'!D48</f>
        <v>5113.6077751368684</v>
      </c>
      <c r="E48" s="202">
        <f t="shared" si="8"/>
        <v>0</v>
      </c>
      <c r="F48" s="202">
        <f>+'Table 5C1A-Madison Prep'!F48</f>
        <v>534.28</v>
      </c>
      <c r="G48" s="202">
        <f t="shared" si="9"/>
        <v>0</v>
      </c>
      <c r="H48" s="345">
        <f t="shared" si="10"/>
        <v>0</v>
      </c>
      <c r="I48" s="203">
        <f>'[1]Oct midyear Impact'!K45</f>
        <v>0</v>
      </c>
      <c r="J48" s="203">
        <f>'[1]Feb midyear Impact'!K45</f>
        <v>0</v>
      </c>
      <c r="K48" s="204">
        <f t="shared" si="11"/>
        <v>0</v>
      </c>
      <c r="L48" s="345">
        <f t="shared" si="12"/>
        <v>0</v>
      </c>
      <c r="M48" s="286">
        <f t="shared" si="4"/>
        <v>0</v>
      </c>
      <c r="N48" s="345">
        <f t="shared" si="13"/>
        <v>0</v>
      </c>
      <c r="O48" s="201">
        <v>0</v>
      </c>
      <c r="P48" s="351">
        <f t="shared" si="14"/>
        <v>0</v>
      </c>
      <c r="Q48" s="203">
        <f>(4*'[2]Table 5C1O-Impact'!S48)+(4*'[3]Table 5C1O-Impact'!S48)</f>
        <v>0</v>
      </c>
      <c r="R48" s="203">
        <f t="shared" si="15"/>
        <v>0</v>
      </c>
      <c r="S48" s="351">
        <f t="shared" si="30"/>
        <v>0</v>
      </c>
      <c r="T48" s="351">
        <f t="shared" si="16"/>
        <v>0</v>
      </c>
      <c r="U48" s="287">
        <f>'Table 5C1A-Madison Prep'!U48</f>
        <v>3415</v>
      </c>
      <c r="V48" s="328">
        <f t="shared" si="17"/>
        <v>0</v>
      </c>
      <c r="W48" s="289">
        <f>'[1]Oct midyear Impact'!E45</f>
        <v>0</v>
      </c>
      <c r="X48" s="290">
        <f t="shared" si="18"/>
        <v>0</v>
      </c>
      <c r="Y48" s="289">
        <f>'[1]Feb midyear Impact'!E45</f>
        <v>0</v>
      </c>
      <c r="Z48" s="290">
        <f t="shared" si="19"/>
        <v>0</v>
      </c>
      <c r="AA48" s="288">
        <f t="shared" si="20"/>
        <v>0</v>
      </c>
      <c r="AB48" s="324">
        <f t="shared" si="21"/>
        <v>0</v>
      </c>
      <c r="AC48" s="292">
        <f t="shared" si="22"/>
        <v>0</v>
      </c>
      <c r="AD48" s="324">
        <f t="shared" si="23"/>
        <v>0</v>
      </c>
      <c r="AE48" s="293">
        <v>0</v>
      </c>
      <c r="AF48" s="324">
        <f t="shared" si="24"/>
        <v>0</v>
      </c>
      <c r="AG48" s="293">
        <f>(4*'[2]Table 5C1O-Impact'!AI48)+(4*'[3]Table 5C1O-Impact'!AI48)</f>
        <v>0</v>
      </c>
      <c r="AH48" s="293">
        <f t="shared" si="25"/>
        <v>0</v>
      </c>
      <c r="AI48" s="324">
        <f t="shared" si="31"/>
        <v>0</v>
      </c>
      <c r="AJ48" s="321">
        <f t="shared" si="26"/>
        <v>0</v>
      </c>
      <c r="AK48" s="342">
        <f t="shared" si="27"/>
        <v>0</v>
      </c>
      <c r="AM48" s="286">
        <v>0</v>
      </c>
      <c r="AN48" s="286">
        <f t="shared" si="28"/>
        <v>0</v>
      </c>
      <c r="AO48" s="286">
        <f t="shared" si="29"/>
        <v>0</v>
      </c>
    </row>
    <row r="49" spans="1:41" ht="16.149999999999999" customHeight="1">
      <c r="A49" s="198">
        <v>43</v>
      </c>
      <c r="B49" s="199" t="s">
        <v>115</v>
      </c>
      <c r="C49" s="995">
        <v>0</v>
      </c>
      <c r="D49" s="201">
        <f>+'Table 5C1A-Madison Prep'!D49</f>
        <v>5788.74387205947</v>
      </c>
      <c r="E49" s="202">
        <f t="shared" si="8"/>
        <v>0</v>
      </c>
      <c r="F49" s="202">
        <f>+'Table 5C1A-Madison Prep'!F49</f>
        <v>574.6099999999999</v>
      </c>
      <c r="G49" s="202">
        <f t="shared" si="9"/>
        <v>0</v>
      </c>
      <c r="H49" s="345">
        <f t="shared" si="10"/>
        <v>0</v>
      </c>
      <c r="I49" s="203">
        <f>'[1]Oct midyear Impact'!K46</f>
        <v>0</v>
      </c>
      <c r="J49" s="203">
        <f>'[1]Feb midyear Impact'!K46</f>
        <v>0</v>
      </c>
      <c r="K49" s="204">
        <f t="shared" si="11"/>
        <v>0</v>
      </c>
      <c r="L49" s="345">
        <f t="shared" si="12"/>
        <v>0</v>
      </c>
      <c r="M49" s="286">
        <f t="shared" si="4"/>
        <v>0</v>
      </c>
      <c r="N49" s="345">
        <f t="shared" si="13"/>
        <v>0</v>
      </c>
      <c r="O49" s="201">
        <v>0</v>
      </c>
      <c r="P49" s="351">
        <f t="shared" si="14"/>
        <v>0</v>
      </c>
      <c r="Q49" s="203">
        <f>(4*'[2]Table 5C1O-Impact'!S49)+(4*'[3]Table 5C1O-Impact'!S49)</f>
        <v>0</v>
      </c>
      <c r="R49" s="203">
        <f t="shared" si="15"/>
        <v>0</v>
      </c>
      <c r="S49" s="351">
        <f t="shared" si="30"/>
        <v>0</v>
      </c>
      <c r="T49" s="351">
        <f t="shared" si="16"/>
        <v>0</v>
      </c>
      <c r="U49" s="287">
        <f>'Table 5C1A-Madison Prep'!U49</f>
        <v>3334</v>
      </c>
      <c r="V49" s="328">
        <f t="shared" si="17"/>
        <v>0</v>
      </c>
      <c r="W49" s="289">
        <f>'[1]Oct midyear Impact'!E46</f>
        <v>0</v>
      </c>
      <c r="X49" s="290">
        <f t="shared" si="18"/>
        <v>0</v>
      </c>
      <c r="Y49" s="289">
        <f>'[1]Feb midyear Impact'!E46</f>
        <v>0</v>
      </c>
      <c r="Z49" s="290">
        <f t="shared" si="19"/>
        <v>0</v>
      </c>
      <c r="AA49" s="288">
        <f t="shared" si="20"/>
        <v>0</v>
      </c>
      <c r="AB49" s="324">
        <f t="shared" si="21"/>
        <v>0</v>
      </c>
      <c r="AC49" s="292">
        <f t="shared" si="22"/>
        <v>0</v>
      </c>
      <c r="AD49" s="324">
        <f t="shared" si="23"/>
        <v>0</v>
      </c>
      <c r="AE49" s="293">
        <v>0</v>
      </c>
      <c r="AF49" s="324">
        <f t="shared" si="24"/>
        <v>0</v>
      </c>
      <c r="AG49" s="293">
        <f>(4*'[2]Table 5C1O-Impact'!AI49)+(4*'[3]Table 5C1O-Impact'!AI49)</f>
        <v>0</v>
      </c>
      <c r="AH49" s="293">
        <f t="shared" si="25"/>
        <v>0</v>
      </c>
      <c r="AI49" s="324">
        <f t="shared" si="31"/>
        <v>0</v>
      </c>
      <c r="AJ49" s="321">
        <f t="shared" si="26"/>
        <v>0</v>
      </c>
      <c r="AK49" s="342">
        <f t="shared" si="27"/>
        <v>0</v>
      </c>
      <c r="AM49" s="286">
        <v>0</v>
      </c>
      <c r="AN49" s="286">
        <f t="shared" si="28"/>
        <v>0</v>
      </c>
      <c r="AO49" s="286">
        <f t="shared" si="29"/>
        <v>0</v>
      </c>
    </row>
    <row r="50" spans="1:41" ht="16.149999999999999" customHeight="1">
      <c r="A50" s="198">
        <v>44</v>
      </c>
      <c r="B50" s="199" t="s">
        <v>116</v>
      </c>
      <c r="C50" s="995">
        <v>0</v>
      </c>
      <c r="D50" s="201">
        <f>+'Table 5C1A-Madison Prep'!D50</f>
        <v>4897.5958151820359</v>
      </c>
      <c r="E50" s="202">
        <f t="shared" si="8"/>
        <v>0</v>
      </c>
      <c r="F50" s="202">
        <f>+'Table 5C1A-Madison Prep'!F50</f>
        <v>663.16000000000008</v>
      </c>
      <c r="G50" s="202">
        <f t="shared" si="9"/>
        <v>0</v>
      </c>
      <c r="H50" s="345">
        <f t="shared" si="10"/>
        <v>0</v>
      </c>
      <c r="I50" s="203">
        <f>'[1]Oct midyear Impact'!K47</f>
        <v>0</v>
      </c>
      <c r="J50" s="203">
        <f>'[1]Feb midyear Impact'!K47</f>
        <v>0</v>
      </c>
      <c r="K50" s="204">
        <f t="shared" si="11"/>
        <v>0</v>
      </c>
      <c r="L50" s="345">
        <f t="shared" si="12"/>
        <v>0</v>
      </c>
      <c r="M50" s="286">
        <f t="shared" si="4"/>
        <v>0</v>
      </c>
      <c r="N50" s="345">
        <f t="shared" si="13"/>
        <v>0</v>
      </c>
      <c r="O50" s="201">
        <v>0</v>
      </c>
      <c r="P50" s="351">
        <f t="shared" si="14"/>
        <v>0</v>
      </c>
      <c r="Q50" s="203">
        <f>(4*'[2]Table 5C1O-Impact'!S50)+(4*'[3]Table 5C1O-Impact'!S50)</f>
        <v>0</v>
      </c>
      <c r="R50" s="203">
        <f t="shared" si="15"/>
        <v>0</v>
      </c>
      <c r="S50" s="351">
        <f t="shared" si="30"/>
        <v>0</v>
      </c>
      <c r="T50" s="351">
        <f t="shared" si="16"/>
        <v>0</v>
      </c>
      <c r="U50" s="287">
        <f>'Table 5C1A-Madison Prep'!U50</f>
        <v>3587</v>
      </c>
      <c r="V50" s="328">
        <f t="shared" si="17"/>
        <v>0</v>
      </c>
      <c r="W50" s="289">
        <f>'[1]Oct midyear Impact'!E47</f>
        <v>0</v>
      </c>
      <c r="X50" s="290">
        <f t="shared" si="18"/>
        <v>0</v>
      </c>
      <c r="Y50" s="289">
        <f>'[1]Feb midyear Impact'!E47</f>
        <v>0</v>
      </c>
      <c r="Z50" s="290">
        <f t="shared" si="19"/>
        <v>0</v>
      </c>
      <c r="AA50" s="288">
        <f t="shared" si="20"/>
        <v>0</v>
      </c>
      <c r="AB50" s="324">
        <f t="shared" si="21"/>
        <v>0</v>
      </c>
      <c r="AC50" s="292">
        <f t="shared" si="22"/>
        <v>0</v>
      </c>
      <c r="AD50" s="324">
        <f t="shared" si="23"/>
        <v>0</v>
      </c>
      <c r="AE50" s="293">
        <v>0</v>
      </c>
      <c r="AF50" s="324">
        <f t="shared" si="24"/>
        <v>0</v>
      </c>
      <c r="AG50" s="293">
        <f>(4*'[2]Table 5C1O-Impact'!AI50)+(4*'[3]Table 5C1O-Impact'!AI50)</f>
        <v>0</v>
      </c>
      <c r="AH50" s="293">
        <f t="shared" si="25"/>
        <v>0</v>
      </c>
      <c r="AI50" s="324">
        <f t="shared" si="31"/>
        <v>0</v>
      </c>
      <c r="AJ50" s="321">
        <f t="shared" si="26"/>
        <v>0</v>
      </c>
      <c r="AK50" s="342">
        <f t="shared" si="27"/>
        <v>0</v>
      </c>
      <c r="AM50" s="286">
        <v>0</v>
      </c>
      <c r="AN50" s="286">
        <f t="shared" si="28"/>
        <v>0</v>
      </c>
      <c r="AO50" s="286">
        <f t="shared" si="29"/>
        <v>0</v>
      </c>
    </row>
    <row r="51" spans="1:41" ht="16.149999999999999" customHeight="1">
      <c r="A51" s="191">
        <v>45</v>
      </c>
      <c r="B51" s="192" t="s">
        <v>117</v>
      </c>
      <c r="C51" s="996">
        <v>0</v>
      </c>
      <c r="D51" s="194">
        <f>+'Table 5C1A-Madison Prep'!D51</f>
        <v>2054.0472499469101</v>
      </c>
      <c r="E51" s="195">
        <f t="shared" si="8"/>
        <v>0</v>
      </c>
      <c r="F51" s="195">
        <f>+'Table 5C1A-Madison Prep'!F51</f>
        <v>753.96000000000015</v>
      </c>
      <c r="G51" s="195">
        <f t="shared" si="9"/>
        <v>0</v>
      </c>
      <c r="H51" s="346">
        <f t="shared" si="10"/>
        <v>0</v>
      </c>
      <c r="I51" s="196">
        <f>'[1]Oct midyear Impact'!K48</f>
        <v>0</v>
      </c>
      <c r="J51" s="196">
        <f>'[1]Feb midyear Impact'!K48</f>
        <v>0</v>
      </c>
      <c r="K51" s="197">
        <f t="shared" si="11"/>
        <v>0</v>
      </c>
      <c r="L51" s="346">
        <f t="shared" si="12"/>
        <v>0</v>
      </c>
      <c r="M51" s="296">
        <f t="shared" si="4"/>
        <v>0</v>
      </c>
      <c r="N51" s="346">
        <f t="shared" si="13"/>
        <v>0</v>
      </c>
      <c r="O51" s="194">
        <v>0</v>
      </c>
      <c r="P51" s="352">
        <f t="shared" si="14"/>
        <v>0</v>
      </c>
      <c r="Q51" s="196">
        <f>(4*'[2]Table 5C1O-Impact'!S51)+(4*'[3]Table 5C1O-Impact'!S51)</f>
        <v>0</v>
      </c>
      <c r="R51" s="196">
        <f t="shared" si="15"/>
        <v>0</v>
      </c>
      <c r="S51" s="352">
        <f t="shared" si="30"/>
        <v>0</v>
      </c>
      <c r="T51" s="352">
        <f t="shared" si="16"/>
        <v>0</v>
      </c>
      <c r="U51" s="281">
        <f>'Table 5C1A-Madison Prep'!U51</f>
        <v>12134</v>
      </c>
      <c r="V51" s="329">
        <f t="shared" si="17"/>
        <v>0</v>
      </c>
      <c r="W51" s="884">
        <f>'[1]Oct midyear Impact'!E48</f>
        <v>0</v>
      </c>
      <c r="X51" s="282">
        <f t="shared" si="18"/>
        <v>0</v>
      </c>
      <c r="Y51" s="884">
        <f>'[1]Feb midyear Impact'!E48</f>
        <v>0</v>
      </c>
      <c r="Z51" s="282">
        <f t="shared" si="19"/>
        <v>0</v>
      </c>
      <c r="AA51" s="283">
        <f t="shared" si="20"/>
        <v>0</v>
      </c>
      <c r="AB51" s="325">
        <f t="shared" si="21"/>
        <v>0</v>
      </c>
      <c r="AC51" s="298">
        <f t="shared" si="22"/>
        <v>0</v>
      </c>
      <c r="AD51" s="325">
        <f t="shared" si="23"/>
        <v>0</v>
      </c>
      <c r="AE51" s="284">
        <v>0</v>
      </c>
      <c r="AF51" s="325">
        <f t="shared" si="24"/>
        <v>0</v>
      </c>
      <c r="AG51" s="284">
        <f>(4*'[2]Table 5C1O-Impact'!AI51)+(4*'[3]Table 5C1O-Impact'!AI51)</f>
        <v>0</v>
      </c>
      <c r="AH51" s="284">
        <f t="shared" si="25"/>
        <v>0</v>
      </c>
      <c r="AI51" s="325">
        <f t="shared" si="31"/>
        <v>0</v>
      </c>
      <c r="AJ51" s="338">
        <f t="shared" si="26"/>
        <v>0</v>
      </c>
      <c r="AK51" s="343">
        <f t="shared" si="27"/>
        <v>0</v>
      </c>
      <c r="AM51" s="296">
        <v>0</v>
      </c>
      <c r="AN51" s="296">
        <f t="shared" si="28"/>
        <v>0</v>
      </c>
      <c r="AO51" s="296">
        <f t="shared" si="29"/>
        <v>0</v>
      </c>
    </row>
    <row r="52" spans="1:41" ht="16.149999999999999" customHeight="1">
      <c r="A52" s="205">
        <v>46</v>
      </c>
      <c r="B52" s="206" t="s">
        <v>118</v>
      </c>
      <c r="C52" s="994">
        <v>0</v>
      </c>
      <c r="D52" s="208">
        <f>+'Table 5C1A-Madison Prep'!D52</f>
        <v>6051.2144468088381</v>
      </c>
      <c r="E52" s="209">
        <f t="shared" si="8"/>
        <v>0</v>
      </c>
      <c r="F52" s="209">
        <f>+'Table 5C1A-Madison Prep'!F52</f>
        <v>728.06</v>
      </c>
      <c r="G52" s="209">
        <f t="shared" si="9"/>
        <v>0</v>
      </c>
      <c r="H52" s="344">
        <f t="shared" si="10"/>
        <v>0</v>
      </c>
      <c r="I52" s="210">
        <f>'[1]Oct midyear Impact'!K49</f>
        <v>0</v>
      </c>
      <c r="J52" s="210">
        <f>'[1]Feb midyear Impact'!K49</f>
        <v>0</v>
      </c>
      <c r="K52" s="211">
        <f t="shared" si="11"/>
        <v>0</v>
      </c>
      <c r="L52" s="344">
        <f t="shared" si="12"/>
        <v>0</v>
      </c>
      <c r="M52" s="273">
        <f t="shared" si="4"/>
        <v>0</v>
      </c>
      <c r="N52" s="344">
        <f t="shared" si="13"/>
        <v>0</v>
      </c>
      <c r="O52" s="208">
        <v>0</v>
      </c>
      <c r="P52" s="350">
        <f t="shared" si="14"/>
        <v>0</v>
      </c>
      <c r="Q52" s="210">
        <f>(4*'[2]Table 5C1O-Impact'!S52)+(4*'[3]Table 5C1O-Impact'!S52)</f>
        <v>0</v>
      </c>
      <c r="R52" s="210">
        <f t="shared" si="15"/>
        <v>0</v>
      </c>
      <c r="S52" s="350">
        <f t="shared" si="30"/>
        <v>0</v>
      </c>
      <c r="T52" s="350">
        <f t="shared" si="16"/>
        <v>0</v>
      </c>
      <c r="U52" s="274">
        <f>'Table 5C1A-Madison Prep'!U52</f>
        <v>2554</v>
      </c>
      <c r="V52" s="327">
        <f t="shared" si="17"/>
        <v>0</v>
      </c>
      <c r="W52" s="883">
        <f>'[1]Oct midyear Impact'!E49</f>
        <v>0</v>
      </c>
      <c r="X52" s="276">
        <f t="shared" si="18"/>
        <v>0</v>
      </c>
      <c r="Y52" s="883">
        <f>'[1]Feb midyear Impact'!E49</f>
        <v>0</v>
      </c>
      <c r="Z52" s="276">
        <f t="shared" si="19"/>
        <v>0</v>
      </c>
      <c r="AA52" s="275">
        <f t="shared" si="20"/>
        <v>0</v>
      </c>
      <c r="AB52" s="323">
        <f t="shared" si="21"/>
        <v>0</v>
      </c>
      <c r="AC52" s="278">
        <f t="shared" si="22"/>
        <v>0</v>
      </c>
      <c r="AD52" s="323">
        <f t="shared" si="23"/>
        <v>0</v>
      </c>
      <c r="AE52" s="279">
        <v>0</v>
      </c>
      <c r="AF52" s="323">
        <f t="shared" si="24"/>
        <v>0</v>
      </c>
      <c r="AG52" s="279">
        <f>(4*'[2]Table 5C1O-Impact'!AI52)+(4*'[3]Table 5C1O-Impact'!AI52)</f>
        <v>0</v>
      </c>
      <c r="AH52" s="279">
        <f t="shared" si="25"/>
        <v>0</v>
      </c>
      <c r="AI52" s="323">
        <f t="shared" si="31"/>
        <v>0</v>
      </c>
      <c r="AJ52" s="337">
        <f t="shared" si="26"/>
        <v>0</v>
      </c>
      <c r="AK52" s="341">
        <f t="shared" si="27"/>
        <v>0</v>
      </c>
      <c r="AM52" s="273">
        <v>0</v>
      </c>
      <c r="AN52" s="273">
        <f t="shared" si="28"/>
        <v>0</v>
      </c>
      <c r="AO52" s="273">
        <f t="shared" si="29"/>
        <v>0</v>
      </c>
    </row>
    <row r="53" spans="1:41" ht="16.149999999999999" customHeight="1">
      <c r="A53" s="198">
        <v>47</v>
      </c>
      <c r="B53" s="199" t="s">
        <v>119</v>
      </c>
      <c r="C53" s="995">
        <v>0</v>
      </c>
      <c r="D53" s="201">
        <f>+'Table 5C1A-Madison Prep'!D53</f>
        <v>2524.1485257646736</v>
      </c>
      <c r="E53" s="202">
        <f t="shared" si="8"/>
        <v>0</v>
      </c>
      <c r="F53" s="202">
        <f>+'Table 5C1A-Madison Prep'!F53</f>
        <v>910.76</v>
      </c>
      <c r="G53" s="202">
        <f t="shared" si="9"/>
        <v>0</v>
      </c>
      <c r="H53" s="345">
        <f t="shared" si="10"/>
        <v>0</v>
      </c>
      <c r="I53" s="203">
        <f>'[1]Oct midyear Impact'!K50</f>
        <v>0</v>
      </c>
      <c r="J53" s="203">
        <f>'[1]Feb midyear Impact'!K50</f>
        <v>0</v>
      </c>
      <c r="K53" s="204">
        <f t="shared" si="11"/>
        <v>0</v>
      </c>
      <c r="L53" s="345">
        <f t="shared" si="12"/>
        <v>0</v>
      </c>
      <c r="M53" s="286">
        <f t="shared" si="4"/>
        <v>0</v>
      </c>
      <c r="N53" s="345">
        <f t="shared" si="13"/>
        <v>0</v>
      </c>
      <c r="O53" s="201">
        <v>0</v>
      </c>
      <c r="P53" s="351">
        <f t="shared" si="14"/>
        <v>0</v>
      </c>
      <c r="Q53" s="203">
        <f>(4*'[2]Table 5C1O-Impact'!S53)+(4*'[3]Table 5C1O-Impact'!S53)</f>
        <v>0</v>
      </c>
      <c r="R53" s="203">
        <f t="shared" si="15"/>
        <v>0</v>
      </c>
      <c r="S53" s="351">
        <f t="shared" si="30"/>
        <v>0</v>
      </c>
      <c r="T53" s="351">
        <f t="shared" si="16"/>
        <v>0</v>
      </c>
      <c r="U53" s="287">
        <f>'Table 5C1A-Madison Prep'!U53</f>
        <v>11506</v>
      </c>
      <c r="V53" s="328">
        <f t="shared" si="17"/>
        <v>0</v>
      </c>
      <c r="W53" s="289">
        <f>'[1]Oct midyear Impact'!E50</f>
        <v>0</v>
      </c>
      <c r="X53" s="290">
        <f t="shared" si="18"/>
        <v>0</v>
      </c>
      <c r="Y53" s="289">
        <f>'[1]Feb midyear Impact'!E50</f>
        <v>0</v>
      </c>
      <c r="Z53" s="290">
        <f t="shared" si="19"/>
        <v>0</v>
      </c>
      <c r="AA53" s="288">
        <f t="shared" si="20"/>
        <v>0</v>
      </c>
      <c r="AB53" s="324">
        <f t="shared" si="21"/>
        <v>0</v>
      </c>
      <c r="AC53" s="292">
        <f t="shared" si="22"/>
        <v>0</v>
      </c>
      <c r="AD53" s="324">
        <f t="shared" si="23"/>
        <v>0</v>
      </c>
      <c r="AE53" s="293">
        <v>0</v>
      </c>
      <c r="AF53" s="324">
        <f t="shared" si="24"/>
        <v>0</v>
      </c>
      <c r="AG53" s="293">
        <f>(4*'[2]Table 5C1O-Impact'!AI53)+(4*'[3]Table 5C1O-Impact'!AI53)</f>
        <v>0</v>
      </c>
      <c r="AH53" s="293">
        <f t="shared" si="25"/>
        <v>0</v>
      </c>
      <c r="AI53" s="324">
        <f t="shared" si="31"/>
        <v>0</v>
      </c>
      <c r="AJ53" s="321">
        <f t="shared" si="26"/>
        <v>0</v>
      </c>
      <c r="AK53" s="342">
        <f t="shared" si="27"/>
        <v>0</v>
      </c>
      <c r="AM53" s="286">
        <v>0</v>
      </c>
      <c r="AN53" s="286">
        <f t="shared" si="28"/>
        <v>0</v>
      </c>
      <c r="AO53" s="286">
        <f t="shared" si="29"/>
        <v>0</v>
      </c>
    </row>
    <row r="54" spans="1:41" ht="16.149999999999999" customHeight="1">
      <c r="A54" s="198">
        <v>48</v>
      </c>
      <c r="B54" s="199" t="s">
        <v>144</v>
      </c>
      <c r="C54" s="995">
        <v>0</v>
      </c>
      <c r="D54" s="201">
        <f>+'Table 5C1A-Madison Prep'!D54</f>
        <v>3983.3582529800719</v>
      </c>
      <c r="E54" s="202">
        <f t="shared" si="8"/>
        <v>0</v>
      </c>
      <c r="F54" s="202">
        <f>+'Table 5C1A-Madison Prep'!F54</f>
        <v>871.07</v>
      </c>
      <c r="G54" s="202">
        <f t="shared" si="9"/>
        <v>0</v>
      </c>
      <c r="H54" s="345">
        <f t="shared" si="10"/>
        <v>0</v>
      </c>
      <c r="I54" s="203">
        <f>'[1]Oct midyear Impact'!K51</f>
        <v>0</v>
      </c>
      <c r="J54" s="203">
        <f>'[1]Feb midyear Impact'!K51</f>
        <v>0</v>
      </c>
      <c r="K54" s="204">
        <f t="shared" si="11"/>
        <v>0</v>
      </c>
      <c r="L54" s="345">
        <f t="shared" si="12"/>
        <v>0</v>
      </c>
      <c r="M54" s="286">
        <f t="shared" si="4"/>
        <v>0</v>
      </c>
      <c r="N54" s="345">
        <f t="shared" si="13"/>
        <v>0</v>
      </c>
      <c r="O54" s="201">
        <v>0</v>
      </c>
      <c r="P54" s="351">
        <f t="shared" si="14"/>
        <v>0</v>
      </c>
      <c r="Q54" s="203">
        <f>(4*'[2]Table 5C1O-Impact'!S54)+(4*'[3]Table 5C1O-Impact'!S54)</f>
        <v>0</v>
      </c>
      <c r="R54" s="203">
        <f t="shared" si="15"/>
        <v>0</v>
      </c>
      <c r="S54" s="351">
        <f t="shared" si="30"/>
        <v>0</v>
      </c>
      <c r="T54" s="351">
        <f t="shared" si="16"/>
        <v>0</v>
      </c>
      <c r="U54" s="287">
        <f>'Table 5C1A-Madison Prep'!U54</f>
        <v>6827</v>
      </c>
      <c r="V54" s="328">
        <f t="shared" si="17"/>
        <v>0</v>
      </c>
      <c r="W54" s="289">
        <f>'[1]Oct midyear Impact'!E51</f>
        <v>0</v>
      </c>
      <c r="X54" s="290">
        <f t="shared" si="18"/>
        <v>0</v>
      </c>
      <c r="Y54" s="289">
        <f>'[1]Feb midyear Impact'!E51</f>
        <v>0</v>
      </c>
      <c r="Z54" s="290">
        <f t="shared" si="19"/>
        <v>0</v>
      </c>
      <c r="AA54" s="288">
        <f t="shared" si="20"/>
        <v>0</v>
      </c>
      <c r="AB54" s="324">
        <f t="shared" si="21"/>
        <v>0</v>
      </c>
      <c r="AC54" s="292">
        <f t="shared" si="22"/>
        <v>0</v>
      </c>
      <c r="AD54" s="324">
        <f t="shared" si="23"/>
        <v>0</v>
      </c>
      <c r="AE54" s="293">
        <v>0</v>
      </c>
      <c r="AF54" s="324">
        <f t="shared" si="24"/>
        <v>0</v>
      </c>
      <c r="AG54" s="293">
        <f>(4*'[2]Table 5C1O-Impact'!AI54)+(4*'[3]Table 5C1O-Impact'!AI54)</f>
        <v>0</v>
      </c>
      <c r="AH54" s="293">
        <f t="shared" si="25"/>
        <v>0</v>
      </c>
      <c r="AI54" s="324">
        <f t="shared" si="31"/>
        <v>0</v>
      </c>
      <c r="AJ54" s="321">
        <f t="shared" si="26"/>
        <v>0</v>
      </c>
      <c r="AK54" s="342">
        <f t="shared" si="27"/>
        <v>0</v>
      </c>
      <c r="AM54" s="286">
        <v>0</v>
      </c>
      <c r="AN54" s="286">
        <f t="shared" si="28"/>
        <v>0</v>
      </c>
      <c r="AO54" s="286">
        <f t="shared" si="29"/>
        <v>0</v>
      </c>
    </row>
    <row r="55" spans="1:41" ht="16.149999999999999" customHeight="1">
      <c r="A55" s="198">
        <v>49</v>
      </c>
      <c r="B55" s="199" t="s">
        <v>120</v>
      </c>
      <c r="C55" s="995">
        <v>0</v>
      </c>
      <c r="D55" s="201">
        <f>+'Table 5C1A-Madison Prep'!D55</f>
        <v>4995.8755315659191</v>
      </c>
      <c r="E55" s="202">
        <f t="shared" si="8"/>
        <v>0</v>
      </c>
      <c r="F55" s="202">
        <f>+'Table 5C1A-Madison Prep'!F55</f>
        <v>574.43999999999994</v>
      </c>
      <c r="G55" s="202">
        <f t="shared" si="9"/>
        <v>0</v>
      </c>
      <c r="H55" s="345">
        <f t="shared" si="10"/>
        <v>0</v>
      </c>
      <c r="I55" s="203">
        <f>'[1]Oct midyear Impact'!K52</f>
        <v>0</v>
      </c>
      <c r="J55" s="203">
        <f>'[1]Feb midyear Impact'!K52</f>
        <v>0</v>
      </c>
      <c r="K55" s="204">
        <f t="shared" si="11"/>
        <v>0</v>
      </c>
      <c r="L55" s="345">
        <f t="shared" si="12"/>
        <v>0</v>
      </c>
      <c r="M55" s="286">
        <f t="shared" si="4"/>
        <v>0</v>
      </c>
      <c r="N55" s="345">
        <f t="shared" si="13"/>
        <v>0</v>
      </c>
      <c r="O55" s="201">
        <v>0</v>
      </c>
      <c r="P55" s="351">
        <f t="shared" si="14"/>
        <v>0</v>
      </c>
      <c r="Q55" s="203">
        <f>(4*'[2]Table 5C1O-Impact'!S55)+(4*'[3]Table 5C1O-Impact'!S55)</f>
        <v>0</v>
      </c>
      <c r="R55" s="203">
        <f t="shared" si="15"/>
        <v>0</v>
      </c>
      <c r="S55" s="351">
        <f t="shared" si="30"/>
        <v>0</v>
      </c>
      <c r="T55" s="351">
        <f t="shared" si="16"/>
        <v>0</v>
      </c>
      <c r="U55" s="287">
        <f>'Table 5C1A-Madison Prep'!U55</f>
        <v>2399</v>
      </c>
      <c r="V55" s="328">
        <f t="shared" si="17"/>
        <v>0</v>
      </c>
      <c r="W55" s="289">
        <f>'[1]Oct midyear Impact'!E52</f>
        <v>0</v>
      </c>
      <c r="X55" s="290">
        <f t="shared" si="18"/>
        <v>0</v>
      </c>
      <c r="Y55" s="289">
        <f>'[1]Feb midyear Impact'!E52</f>
        <v>0</v>
      </c>
      <c r="Z55" s="290">
        <f t="shared" si="19"/>
        <v>0</v>
      </c>
      <c r="AA55" s="288">
        <f t="shared" si="20"/>
        <v>0</v>
      </c>
      <c r="AB55" s="324">
        <f t="shared" si="21"/>
        <v>0</v>
      </c>
      <c r="AC55" s="292">
        <f t="shared" si="22"/>
        <v>0</v>
      </c>
      <c r="AD55" s="324">
        <f t="shared" si="23"/>
        <v>0</v>
      </c>
      <c r="AE55" s="293">
        <v>0</v>
      </c>
      <c r="AF55" s="324">
        <f t="shared" si="24"/>
        <v>0</v>
      </c>
      <c r="AG55" s="293">
        <f>(4*'[2]Table 5C1O-Impact'!AI55)+(4*'[3]Table 5C1O-Impact'!AI55)</f>
        <v>0</v>
      </c>
      <c r="AH55" s="293">
        <f t="shared" si="25"/>
        <v>0</v>
      </c>
      <c r="AI55" s="324">
        <f t="shared" si="31"/>
        <v>0</v>
      </c>
      <c r="AJ55" s="321">
        <f t="shared" si="26"/>
        <v>0</v>
      </c>
      <c r="AK55" s="342">
        <f t="shared" si="27"/>
        <v>0</v>
      </c>
      <c r="AM55" s="286">
        <v>0</v>
      </c>
      <c r="AN55" s="286">
        <f t="shared" si="28"/>
        <v>0</v>
      </c>
      <c r="AO55" s="286">
        <f t="shared" si="29"/>
        <v>0</v>
      </c>
    </row>
    <row r="56" spans="1:41" ht="16.149999999999999" customHeight="1">
      <c r="A56" s="191">
        <v>50</v>
      </c>
      <c r="B56" s="192" t="s">
        <v>121</v>
      </c>
      <c r="C56" s="996">
        <v>0</v>
      </c>
      <c r="D56" s="194">
        <f>+'Table 5C1A-Madison Prep'!D56</f>
        <v>5177.6892722701677</v>
      </c>
      <c r="E56" s="195">
        <f t="shared" si="8"/>
        <v>0</v>
      </c>
      <c r="F56" s="195">
        <f>+'Table 5C1A-Madison Prep'!F56</f>
        <v>634.46</v>
      </c>
      <c r="G56" s="195">
        <f t="shared" si="9"/>
        <v>0</v>
      </c>
      <c r="H56" s="346">
        <f t="shared" si="10"/>
        <v>0</v>
      </c>
      <c r="I56" s="196">
        <f>'[1]Oct midyear Impact'!K53</f>
        <v>0</v>
      </c>
      <c r="J56" s="196">
        <f>'[1]Feb midyear Impact'!K53</f>
        <v>0</v>
      </c>
      <c r="K56" s="197">
        <f t="shared" si="11"/>
        <v>0</v>
      </c>
      <c r="L56" s="346">
        <f t="shared" si="12"/>
        <v>0</v>
      </c>
      <c r="M56" s="296">
        <f t="shared" si="4"/>
        <v>0</v>
      </c>
      <c r="N56" s="346">
        <f t="shared" si="13"/>
        <v>0</v>
      </c>
      <c r="O56" s="194">
        <v>0</v>
      </c>
      <c r="P56" s="352">
        <f t="shared" si="14"/>
        <v>0</v>
      </c>
      <c r="Q56" s="196">
        <f>(4*'[2]Table 5C1O-Impact'!S56)+(4*'[3]Table 5C1O-Impact'!S56)</f>
        <v>0</v>
      </c>
      <c r="R56" s="196">
        <f t="shared" si="15"/>
        <v>0</v>
      </c>
      <c r="S56" s="352">
        <f t="shared" si="30"/>
        <v>0</v>
      </c>
      <c r="T56" s="352">
        <f t="shared" si="16"/>
        <v>0</v>
      </c>
      <c r="U56" s="281">
        <f>'Table 5C1A-Madison Prep'!U56</f>
        <v>3413</v>
      </c>
      <c r="V56" s="329">
        <f t="shared" si="17"/>
        <v>0</v>
      </c>
      <c r="W56" s="884">
        <f>'[1]Oct midyear Impact'!E53</f>
        <v>0</v>
      </c>
      <c r="X56" s="282">
        <f t="shared" si="18"/>
        <v>0</v>
      </c>
      <c r="Y56" s="884">
        <f>'[1]Feb midyear Impact'!E53</f>
        <v>0</v>
      </c>
      <c r="Z56" s="282">
        <f t="shared" si="19"/>
        <v>0</v>
      </c>
      <c r="AA56" s="283">
        <f t="shared" si="20"/>
        <v>0</v>
      </c>
      <c r="AB56" s="325">
        <f t="shared" si="21"/>
        <v>0</v>
      </c>
      <c r="AC56" s="298">
        <f t="shared" si="22"/>
        <v>0</v>
      </c>
      <c r="AD56" s="325">
        <f t="shared" si="23"/>
        <v>0</v>
      </c>
      <c r="AE56" s="284">
        <v>0</v>
      </c>
      <c r="AF56" s="325">
        <f t="shared" si="24"/>
        <v>0</v>
      </c>
      <c r="AG56" s="284">
        <f>(4*'[2]Table 5C1O-Impact'!AI56)+(4*'[3]Table 5C1O-Impact'!AI56)</f>
        <v>0</v>
      </c>
      <c r="AH56" s="284">
        <f t="shared" si="25"/>
        <v>0</v>
      </c>
      <c r="AI56" s="325">
        <f t="shared" si="31"/>
        <v>0</v>
      </c>
      <c r="AJ56" s="338">
        <f t="shared" si="26"/>
        <v>0</v>
      </c>
      <c r="AK56" s="343">
        <f t="shared" si="27"/>
        <v>0</v>
      </c>
      <c r="AM56" s="296">
        <v>0</v>
      </c>
      <c r="AN56" s="296">
        <f t="shared" si="28"/>
        <v>0</v>
      </c>
      <c r="AO56" s="296">
        <f t="shared" si="29"/>
        <v>0</v>
      </c>
    </row>
    <row r="57" spans="1:41" ht="16.149999999999999" customHeight="1">
      <c r="A57" s="205">
        <v>51</v>
      </c>
      <c r="B57" s="206" t="s">
        <v>122</v>
      </c>
      <c r="C57" s="994">
        <v>0</v>
      </c>
      <c r="D57" s="208">
        <f>+'Table 5C1A-Madison Prep'!D57</f>
        <v>4154.1928602178996</v>
      </c>
      <c r="E57" s="209">
        <f t="shared" si="8"/>
        <v>0</v>
      </c>
      <c r="F57" s="209">
        <f>+'Table 5C1A-Madison Prep'!F57</f>
        <v>706.66</v>
      </c>
      <c r="G57" s="209">
        <f t="shared" si="9"/>
        <v>0</v>
      </c>
      <c r="H57" s="344">
        <f t="shared" si="10"/>
        <v>0</v>
      </c>
      <c r="I57" s="210">
        <f>'[1]Oct midyear Impact'!K54</f>
        <v>0</v>
      </c>
      <c r="J57" s="210">
        <f>'[1]Feb midyear Impact'!K54</f>
        <v>0</v>
      </c>
      <c r="K57" s="211">
        <f t="shared" si="11"/>
        <v>0</v>
      </c>
      <c r="L57" s="344">
        <f t="shared" si="12"/>
        <v>0</v>
      </c>
      <c r="M57" s="273">
        <f t="shared" si="4"/>
        <v>0</v>
      </c>
      <c r="N57" s="344">
        <f t="shared" si="13"/>
        <v>0</v>
      </c>
      <c r="O57" s="208">
        <v>0</v>
      </c>
      <c r="P57" s="350">
        <f t="shared" si="14"/>
        <v>0</v>
      </c>
      <c r="Q57" s="210">
        <f>(4*'[2]Table 5C1O-Impact'!S57)+(4*'[3]Table 5C1O-Impact'!S57)</f>
        <v>0</v>
      </c>
      <c r="R57" s="210">
        <f t="shared" si="15"/>
        <v>0</v>
      </c>
      <c r="S57" s="350">
        <f t="shared" si="30"/>
        <v>0</v>
      </c>
      <c r="T57" s="350">
        <f t="shared" si="16"/>
        <v>0</v>
      </c>
      <c r="U57" s="274">
        <f>'Table 5C1A-Madison Prep'!U57</f>
        <v>4512</v>
      </c>
      <c r="V57" s="327">
        <f t="shared" si="17"/>
        <v>0</v>
      </c>
      <c r="W57" s="883">
        <f>'[1]Oct midyear Impact'!E54</f>
        <v>0</v>
      </c>
      <c r="X57" s="276">
        <f t="shared" si="18"/>
        <v>0</v>
      </c>
      <c r="Y57" s="883">
        <f>'[1]Feb midyear Impact'!E54</f>
        <v>0</v>
      </c>
      <c r="Z57" s="276">
        <f t="shared" si="19"/>
        <v>0</v>
      </c>
      <c r="AA57" s="275">
        <f t="shared" si="20"/>
        <v>0</v>
      </c>
      <c r="AB57" s="323">
        <f t="shared" si="21"/>
        <v>0</v>
      </c>
      <c r="AC57" s="278">
        <f t="shared" si="22"/>
        <v>0</v>
      </c>
      <c r="AD57" s="323">
        <f t="shared" si="23"/>
        <v>0</v>
      </c>
      <c r="AE57" s="279">
        <v>0</v>
      </c>
      <c r="AF57" s="323">
        <f t="shared" si="24"/>
        <v>0</v>
      </c>
      <c r="AG57" s="279">
        <f>(4*'[2]Table 5C1O-Impact'!AI57)+(4*'[3]Table 5C1O-Impact'!AI57)</f>
        <v>0</v>
      </c>
      <c r="AH57" s="279">
        <f t="shared" si="25"/>
        <v>0</v>
      </c>
      <c r="AI57" s="323">
        <f t="shared" si="31"/>
        <v>0</v>
      </c>
      <c r="AJ57" s="337">
        <f t="shared" si="26"/>
        <v>0</v>
      </c>
      <c r="AK57" s="341">
        <f t="shared" si="27"/>
        <v>0</v>
      </c>
      <c r="AM57" s="273">
        <v>0</v>
      </c>
      <c r="AN57" s="273">
        <f t="shared" si="28"/>
        <v>0</v>
      </c>
      <c r="AO57" s="273">
        <f t="shared" si="29"/>
        <v>0</v>
      </c>
    </row>
    <row r="58" spans="1:41" ht="16.149999999999999" customHeight="1">
      <c r="A58" s="198">
        <v>52</v>
      </c>
      <c r="B58" s="199" t="s">
        <v>123</v>
      </c>
      <c r="C58" s="995">
        <v>0</v>
      </c>
      <c r="D58" s="201">
        <f>+'Table 5C1A-Madison Prep'!D58</f>
        <v>5062.2745845228173</v>
      </c>
      <c r="E58" s="202">
        <f t="shared" si="8"/>
        <v>0</v>
      </c>
      <c r="F58" s="202">
        <f>+'Table 5C1A-Madison Prep'!F58</f>
        <v>658.37</v>
      </c>
      <c r="G58" s="202">
        <f t="shared" si="9"/>
        <v>0</v>
      </c>
      <c r="H58" s="345">
        <f t="shared" si="10"/>
        <v>0</v>
      </c>
      <c r="I58" s="203">
        <f>'[1]Oct midyear Impact'!K55</f>
        <v>0</v>
      </c>
      <c r="J58" s="203">
        <f>'[1]Feb midyear Impact'!K55</f>
        <v>0</v>
      </c>
      <c r="K58" s="204">
        <f t="shared" si="11"/>
        <v>0</v>
      </c>
      <c r="L58" s="345">
        <f t="shared" si="12"/>
        <v>0</v>
      </c>
      <c r="M58" s="286">
        <f t="shared" si="4"/>
        <v>0</v>
      </c>
      <c r="N58" s="345">
        <f t="shared" si="13"/>
        <v>0</v>
      </c>
      <c r="O58" s="201">
        <v>0</v>
      </c>
      <c r="P58" s="351">
        <f t="shared" si="14"/>
        <v>0</v>
      </c>
      <c r="Q58" s="203">
        <f>(4*'[2]Table 5C1O-Impact'!S58)+(4*'[3]Table 5C1O-Impact'!S58)</f>
        <v>0</v>
      </c>
      <c r="R58" s="203">
        <f t="shared" si="15"/>
        <v>0</v>
      </c>
      <c r="S58" s="351">
        <f t="shared" si="30"/>
        <v>0</v>
      </c>
      <c r="T58" s="351">
        <f t="shared" si="16"/>
        <v>0</v>
      </c>
      <c r="U58" s="287">
        <f>'Table 5C1A-Madison Prep'!U58</f>
        <v>5289</v>
      </c>
      <c r="V58" s="328">
        <f t="shared" si="17"/>
        <v>0</v>
      </c>
      <c r="W58" s="289">
        <f>'[1]Oct midyear Impact'!E55</f>
        <v>0</v>
      </c>
      <c r="X58" s="290">
        <f t="shared" si="18"/>
        <v>0</v>
      </c>
      <c r="Y58" s="289">
        <f>'[1]Feb midyear Impact'!E55</f>
        <v>0</v>
      </c>
      <c r="Z58" s="290">
        <f t="shared" si="19"/>
        <v>0</v>
      </c>
      <c r="AA58" s="288">
        <f t="shared" si="20"/>
        <v>0</v>
      </c>
      <c r="AB58" s="324">
        <f t="shared" si="21"/>
        <v>0</v>
      </c>
      <c r="AC58" s="292">
        <f t="shared" si="22"/>
        <v>0</v>
      </c>
      <c r="AD58" s="324">
        <f t="shared" si="23"/>
        <v>0</v>
      </c>
      <c r="AE58" s="293">
        <v>0</v>
      </c>
      <c r="AF58" s="324">
        <f t="shared" si="24"/>
        <v>0</v>
      </c>
      <c r="AG58" s="293">
        <f>(4*'[2]Table 5C1O-Impact'!AI58)+(4*'[3]Table 5C1O-Impact'!AI58)</f>
        <v>0</v>
      </c>
      <c r="AH58" s="293">
        <f t="shared" si="25"/>
        <v>0</v>
      </c>
      <c r="AI58" s="324">
        <f t="shared" si="31"/>
        <v>0</v>
      </c>
      <c r="AJ58" s="321">
        <f t="shared" si="26"/>
        <v>0</v>
      </c>
      <c r="AK58" s="342">
        <f t="shared" si="27"/>
        <v>0</v>
      </c>
      <c r="AM58" s="286">
        <v>0</v>
      </c>
      <c r="AN58" s="286">
        <f t="shared" si="28"/>
        <v>0</v>
      </c>
      <c r="AO58" s="286">
        <f t="shared" si="29"/>
        <v>0</v>
      </c>
    </row>
    <row r="59" spans="1:41" ht="16.149999999999999" customHeight="1">
      <c r="A59" s="198">
        <v>53</v>
      </c>
      <c r="B59" s="199" t="s">
        <v>124</v>
      </c>
      <c r="C59" s="995">
        <v>0</v>
      </c>
      <c r="D59" s="201">
        <f>+'Table 5C1A-Madison Prep'!D59</f>
        <v>5060.1508194045482</v>
      </c>
      <c r="E59" s="202">
        <f t="shared" si="8"/>
        <v>0</v>
      </c>
      <c r="F59" s="202">
        <f>+'Table 5C1A-Madison Prep'!F59</f>
        <v>689.74</v>
      </c>
      <c r="G59" s="202">
        <f t="shared" si="9"/>
        <v>0</v>
      </c>
      <c r="H59" s="345">
        <f t="shared" si="10"/>
        <v>0</v>
      </c>
      <c r="I59" s="203">
        <f>'[1]Oct midyear Impact'!K56</f>
        <v>0</v>
      </c>
      <c r="J59" s="203">
        <f>'[1]Feb midyear Impact'!K56</f>
        <v>0</v>
      </c>
      <c r="K59" s="204">
        <f t="shared" si="11"/>
        <v>0</v>
      </c>
      <c r="L59" s="345">
        <f t="shared" si="12"/>
        <v>0</v>
      </c>
      <c r="M59" s="286">
        <f t="shared" si="4"/>
        <v>0</v>
      </c>
      <c r="N59" s="345">
        <f t="shared" si="13"/>
        <v>0</v>
      </c>
      <c r="O59" s="201">
        <v>0</v>
      </c>
      <c r="P59" s="351">
        <f t="shared" si="14"/>
        <v>0</v>
      </c>
      <c r="Q59" s="203">
        <f>(4*'[2]Table 5C1O-Impact'!S59)+(4*'[3]Table 5C1O-Impact'!S59)</f>
        <v>0</v>
      </c>
      <c r="R59" s="203">
        <f t="shared" si="15"/>
        <v>0</v>
      </c>
      <c r="S59" s="351">
        <f t="shared" si="30"/>
        <v>0</v>
      </c>
      <c r="T59" s="351">
        <f t="shared" si="16"/>
        <v>0</v>
      </c>
      <c r="U59" s="287">
        <f>'Table 5C1A-Madison Prep'!U59</f>
        <v>2101</v>
      </c>
      <c r="V59" s="328">
        <f t="shared" si="17"/>
        <v>0</v>
      </c>
      <c r="W59" s="289">
        <f>'[1]Oct midyear Impact'!E56</f>
        <v>0</v>
      </c>
      <c r="X59" s="290">
        <f t="shared" si="18"/>
        <v>0</v>
      </c>
      <c r="Y59" s="289">
        <f>'[1]Feb midyear Impact'!E56</f>
        <v>0</v>
      </c>
      <c r="Z59" s="290">
        <f t="shared" si="19"/>
        <v>0</v>
      </c>
      <c r="AA59" s="288">
        <f t="shared" si="20"/>
        <v>0</v>
      </c>
      <c r="AB59" s="324">
        <f t="shared" si="21"/>
        <v>0</v>
      </c>
      <c r="AC59" s="292">
        <f t="shared" si="22"/>
        <v>0</v>
      </c>
      <c r="AD59" s="324">
        <f t="shared" si="23"/>
        <v>0</v>
      </c>
      <c r="AE59" s="293">
        <v>0</v>
      </c>
      <c r="AF59" s="324">
        <f t="shared" si="24"/>
        <v>0</v>
      </c>
      <c r="AG59" s="293">
        <f>(4*'[2]Table 5C1O-Impact'!AI59)+(4*'[3]Table 5C1O-Impact'!AI59)</f>
        <v>0</v>
      </c>
      <c r="AH59" s="293">
        <f t="shared" si="25"/>
        <v>0</v>
      </c>
      <c r="AI59" s="324">
        <f t="shared" si="31"/>
        <v>0</v>
      </c>
      <c r="AJ59" s="321">
        <f t="shared" si="26"/>
        <v>0</v>
      </c>
      <c r="AK59" s="342">
        <f t="shared" si="27"/>
        <v>0</v>
      </c>
      <c r="AM59" s="286">
        <v>0</v>
      </c>
      <c r="AN59" s="286">
        <f t="shared" si="28"/>
        <v>0</v>
      </c>
      <c r="AO59" s="286">
        <f t="shared" si="29"/>
        <v>0</v>
      </c>
    </row>
    <row r="60" spans="1:41" ht="16.149999999999999" customHeight="1">
      <c r="A60" s="198">
        <v>54</v>
      </c>
      <c r="B60" s="199" t="s">
        <v>125</v>
      </c>
      <c r="C60" s="995">
        <v>0</v>
      </c>
      <c r="D60" s="201">
        <f>+'Table 5C1A-Madison Prep'!D60</f>
        <v>5867.0798370516713</v>
      </c>
      <c r="E60" s="202">
        <f t="shared" si="8"/>
        <v>0</v>
      </c>
      <c r="F60" s="202">
        <f>+'Table 5C1A-Madison Prep'!F60</f>
        <v>951.45</v>
      </c>
      <c r="G60" s="202">
        <f t="shared" si="9"/>
        <v>0</v>
      </c>
      <c r="H60" s="345">
        <f t="shared" si="10"/>
        <v>0</v>
      </c>
      <c r="I60" s="203">
        <f>'[1]Oct midyear Impact'!K57</f>
        <v>0</v>
      </c>
      <c r="J60" s="203">
        <f>'[1]Feb midyear Impact'!K57</f>
        <v>0</v>
      </c>
      <c r="K60" s="204">
        <f t="shared" si="11"/>
        <v>0</v>
      </c>
      <c r="L60" s="345">
        <f t="shared" si="12"/>
        <v>0</v>
      </c>
      <c r="M60" s="286">
        <f t="shared" si="4"/>
        <v>0</v>
      </c>
      <c r="N60" s="345">
        <f t="shared" si="13"/>
        <v>0</v>
      </c>
      <c r="O60" s="201">
        <v>0</v>
      </c>
      <c r="P60" s="351">
        <f t="shared" si="14"/>
        <v>0</v>
      </c>
      <c r="Q60" s="203">
        <f>(4*'[2]Table 5C1O-Impact'!S60)+(4*'[3]Table 5C1O-Impact'!S60)</f>
        <v>0</v>
      </c>
      <c r="R60" s="203">
        <f t="shared" si="15"/>
        <v>0</v>
      </c>
      <c r="S60" s="351">
        <f t="shared" si="30"/>
        <v>0</v>
      </c>
      <c r="T60" s="351">
        <f t="shared" si="16"/>
        <v>0</v>
      </c>
      <c r="U60" s="287">
        <f>'Table 5C1A-Madison Prep'!U60</f>
        <v>4150</v>
      </c>
      <c r="V60" s="328">
        <f t="shared" si="17"/>
        <v>0</v>
      </c>
      <c r="W60" s="289">
        <f>'[1]Oct midyear Impact'!E57</f>
        <v>0</v>
      </c>
      <c r="X60" s="290">
        <f t="shared" si="18"/>
        <v>0</v>
      </c>
      <c r="Y60" s="289">
        <f>'[1]Feb midyear Impact'!E57</f>
        <v>0</v>
      </c>
      <c r="Z60" s="290">
        <f t="shared" si="19"/>
        <v>0</v>
      </c>
      <c r="AA60" s="288">
        <f t="shared" si="20"/>
        <v>0</v>
      </c>
      <c r="AB60" s="324">
        <f t="shared" si="21"/>
        <v>0</v>
      </c>
      <c r="AC60" s="292">
        <f t="shared" si="22"/>
        <v>0</v>
      </c>
      <c r="AD60" s="324">
        <f t="shared" si="23"/>
        <v>0</v>
      </c>
      <c r="AE60" s="293">
        <v>0</v>
      </c>
      <c r="AF60" s="324">
        <f t="shared" si="24"/>
        <v>0</v>
      </c>
      <c r="AG60" s="293">
        <f>(4*'[2]Table 5C1O-Impact'!AI60)+(4*'[3]Table 5C1O-Impact'!AI60)</f>
        <v>0</v>
      </c>
      <c r="AH60" s="293">
        <f t="shared" si="25"/>
        <v>0</v>
      </c>
      <c r="AI60" s="324">
        <f t="shared" si="31"/>
        <v>0</v>
      </c>
      <c r="AJ60" s="321">
        <f t="shared" si="26"/>
        <v>0</v>
      </c>
      <c r="AK60" s="342">
        <f t="shared" si="27"/>
        <v>0</v>
      </c>
      <c r="AM60" s="286">
        <v>0</v>
      </c>
      <c r="AN60" s="286">
        <f t="shared" si="28"/>
        <v>0</v>
      </c>
      <c r="AO60" s="286">
        <f t="shared" si="29"/>
        <v>0</v>
      </c>
    </row>
    <row r="61" spans="1:41" ht="16.149999999999999" customHeight="1">
      <c r="A61" s="191">
        <v>55</v>
      </c>
      <c r="B61" s="192" t="s">
        <v>126</v>
      </c>
      <c r="C61" s="996">
        <v>0</v>
      </c>
      <c r="D61" s="194">
        <f>+'Table 5C1A-Madison Prep'!D61</f>
        <v>4266.8225491298481</v>
      </c>
      <c r="E61" s="195">
        <f t="shared" si="8"/>
        <v>0</v>
      </c>
      <c r="F61" s="195">
        <f>+'Table 5C1A-Madison Prep'!F61</f>
        <v>795.14</v>
      </c>
      <c r="G61" s="195">
        <f t="shared" si="9"/>
        <v>0</v>
      </c>
      <c r="H61" s="346">
        <f t="shared" si="10"/>
        <v>0</v>
      </c>
      <c r="I61" s="196">
        <f>'[1]Oct midyear Impact'!K58</f>
        <v>0</v>
      </c>
      <c r="J61" s="196">
        <f>'[1]Feb midyear Impact'!K58</f>
        <v>0</v>
      </c>
      <c r="K61" s="197">
        <f t="shared" si="11"/>
        <v>0</v>
      </c>
      <c r="L61" s="346">
        <f t="shared" si="12"/>
        <v>0</v>
      </c>
      <c r="M61" s="296">
        <f t="shared" si="4"/>
        <v>0</v>
      </c>
      <c r="N61" s="346">
        <f t="shared" si="13"/>
        <v>0</v>
      </c>
      <c r="O61" s="194">
        <v>0</v>
      </c>
      <c r="P61" s="352">
        <f t="shared" si="14"/>
        <v>0</v>
      </c>
      <c r="Q61" s="196">
        <f>(4*'[2]Table 5C1O-Impact'!S61)+(4*'[3]Table 5C1O-Impact'!S61)</f>
        <v>0</v>
      </c>
      <c r="R61" s="196">
        <f t="shared" si="15"/>
        <v>0</v>
      </c>
      <c r="S61" s="352">
        <f t="shared" si="30"/>
        <v>0</v>
      </c>
      <c r="T61" s="352">
        <f t="shared" si="16"/>
        <v>0</v>
      </c>
      <c r="U61" s="281">
        <f>'Table 5C1A-Madison Prep'!U61</f>
        <v>3637</v>
      </c>
      <c r="V61" s="329">
        <f t="shared" si="17"/>
        <v>0</v>
      </c>
      <c r="W61" s="884">
        <f>'[1]Oct midyear Impact'!E58</f>
        <v>0</v>
      </c>
      <c r="X61" s="282">
        <f t="shared" si="18"/>
        <v>0</v>
      </c>
      <c r="Y61" s="884">
        <f>'[1]Feb midyear Impact'!E58</f>
        <v>0</v>
      </c>
      <c r="Z61" s="282">
        <f t="shared" si="19"/>
        <v>0</v>
      </c>
      <c r="AA61" s="283">
        <f t="shared" si="20"/>
        <v>0</v>
      </c>
      <c r="AB61" s="325">
        <f t="shared" si="21"/>
        <v>0</v>
      </c>
      <c r="AC61" s="298">
        <f t="shared" si="22"/>
        <v>0</v>
      </c>
      <c r="AD61" s="325">
        <f t="shared" si="23"/>
        <v>0</v>
      </c>
      <c r="AE61" s="284">
        <v>0</v>
      </c>
      <c r="AF61" s="325">
        <f t="shared" si="24"/>
        <v>0</v>
      </c>
      <c r="AG61" s="284">
        <f>(4*'[2]Table 5C1O-Impact'!AI61)+(4*'[3]Table 5C1O-Impact'!AI61)</f>
        <v>0</v>
      </c>
      <c r="AH61" s="284">
        <f t="shared" si="25"/>
        <v>0</v>
      </c>
      <c r="AI61" s="325">
        <f t="shared" si="31"/>
        <v>0</v>
      </c>
      <c r="AJ61" s="338">
        <f t="shared" si="26"/>
        <v>0</v>
      </c>
      <c r="AK61" s="343">
        <f t="shared" si="27"/>
        <v>0</v>
      </c>
      <c r="AM61" s="296">
        <v>0</v>
      </c>
      <c r="AN61" s="296">
        <f t="shared" si="28"/>
        <v>0</v>
      </c>
      <c r="AO61" s="296">
        <f t="shared" si="29"/>
        <v>0</v>
      </c>
    </row>
    <row r="62" spans="1:41" ht="16.149999999999999" customHeight="1">
      <c r="A62" s="205">
        <v>56</v>
      </c>
      <c r="B62" s="206" t="s">
        <v>127</v>
      </c>
      <c r="C62" s="994">
        <v>0</v>
      </c>
      <c r="D62" s="208">
        <f>+'Table 5C1A-Madison Prep'!D62</f>
        <v>5028.4909408288286</v>
      </c>
      <c r="E62" s="209">
        <f t="shared" si="8"/>
        <v>0</v>
      </c>
      <c r="F62" s="209">
        <f>+'Table 5C1A-Madison Prep'!F62</f>
        <v>614.66000000000008</v>
      </c>
      <c r="G62" s="209">
        <f t="shared" si="9"/>
        <v>0</v>
      </c>
      <c r="H62" s="344">
        <f t="shared" si="10"/>
        <v>0</v>
      </c>
      <c r="I62" s="210">
        <f>'[1]Oct midyear Impact'!K59</f>
        <v>0</v>
      </c>
      <c r="J62" s="210">
        <f>'[1]Feb midyear Impact'!K59</f>
        <v>0</v>
      </c>
      <c r="K62" s="211">
        <f t="shared" si="11"/>
        <v>0</v>
      </c>
      <c r="L62" s="344">
        <f t="shared" si="12"/>
        <v>0</v>
      </c>
      <c r="M62" s="273">
        <f t="shared" si="4"/>
        <v>0</v>
      </c>
      <c r="N62" s="344">
        <f t="shared" si="13"/>
        <v>0</v>
      </c>
      <c r="O62" s="208">
        <v>0</v>
      </c>
      <c r="P62" s="350">
        <f t="shared" si="14"/>
        <v>0</v>
      </c>
      <c r="Q62" s="210">
        <f>(4*'[2]Table 5C1O-Impact'!S62)+(4*'[3]Table 5C1O-Impact'!S62)</f>
        <v>0</v>
      </c>
      <c r="R62" s="210">
        <f t="shared" si="15"/>
        <v>0</v>
      </c>
      <c r="S62" s="350">
        <f t="shared" si="30"/>
        <v>0</v>
      </c>
      <c r="T62" s="350">
        <f t="shared" si="16"/>
        <v>0</v>
      </c>
      <c r="U62" s="274">
        <f>'Table 5C1A-Madison Prep'!U62</f>
        <v>2857</v>
      </c>
      <c r="V62" s="327">
        <f t="shared" si="17"/>
        <v>0</v>
      </c>
      <c r="W62" s="883">
        <f>'[1]Oct midyear Impact'!E59</f>
        <v>0</v>
      </c>
      <c r="X62" s="276">
        <f t="shared" si="18"/>
        <v>0</v>
      </c>
      <c r="Y62" s="883">
        <f>'[1]Feb midyear Impact'!E59</f>
        <v>0</v>
      </c>
      <c r="Z62" s="276">
        <f t="shared" si="19"/>
        <v>0</v>
      </c>
      <c r="AA62" s="275">
        <f t="shared" si="20"/>
        <v>0</v>
      </c>
      <c r="AB62" s="323">
        <f t="shared" si="21"/>
        <v>0</v>
      </c>
      <c r="AC62" s="278">
        <f t="shared" si="22"/>
        <v>0</v>
      </c>
      <c r="AD62" s="323">
        <f t="shared" si="23"/>
        <v>0</v>
      </c>
      <c r="AE62" s="279">
        <v>0</v>
      </c>
      <c r="AF62" s="323">
        <f t="shared" si="24"/>
        <v>0</v>
      </c>
      <c r="AG62" s="279">
        <f>(4*'[2]Table 5C1O-Impact'!AI62)+(4*'[3]Table 5C1O-Impact'!AI62)</f>
        <v>0</v>
      </c>
      <c r="AH62" s="279">
        <f t="shared" si="25"/>
        <v>0</v>
      </c>
      <c r="AI62" s="323">
        <f t="shared" si="31"/>
        <v>0</v>
      </c>
      <c r="AJ62" s="337">
        <f t="shared" si="26"/>
        <v>0</v>
      </c>
      <c r="AK62" s="341">
        <f t="shared" si="27"/>
        <v>0</v>
      </c>
      <c r="AM62" s="273">
        <v>0</v>
      </c>
      <c r="AN62" s="273">
        <f t="shared" si="28"/>
        <v>0</v>
      </c>
      <c r="AO62" s="273">
        <f t="shared" si="29"/>
        <v>0</v>
      </c>
    </row>
    <row r="63" spans="1:41" ht="16.149999999999999" customHeight="1">
      <c r="A63" s="198">
        <v>57</v>
      </c>
      <c r="B63" s="199" t="s">
        <v>128</v>
      </c>
      <c r="C63" s="995">
        <v>0</v>
      </c>
      <c r="D63" s="201">
        <f>+'Table 5C1A-Madison Prep'!D63</f>
        <v>4625.9922979230687</v>
      </c>
      <c r="E63" s="202">
        <f t="shared" si="8"/>
        <v>0</v>
      </c>
      <c r="F63" s="202">
        <f>+'Table 5C1A-Madison Prep'!F63</f>
        <v>764.51</v>
      </c>
      <c r="G63" s="202">
        <f t="shared" si="9"/>
        <v>0</v>
      </c>
      <c r="H63" s="345">
        <f t="shared" si="10"/>
        <v>0</v>
      </c>
      <c r="I63" s="203">
        <f>'[1]Oct midyear Impact'!K60</f>
        <v>0</v>
      </c>
      <c r="J63" s="203">
        <f>'[1]Feb midyear Impact'!K60</f>
        <v>0</v>
      </c>
      <c r="K63" s="204">
        <f t="shared" si="11"/>
        <v>0</v>
      </c>
      <c r="L63" s="345">
        <f t="shared" si="12"/>
        <v>0</v>
      </c>
      <c r="M63" s="286">
        <f t="shared" si="4"/>
        <v>0</v>
      </c>
      <c r="N63" s="345">
        <f t="shared" si="13"/>
        <v>0</v>
      </c>
      <c r="O63" s="201">
        <v>0</v>
      </c>
      <c r="P63" s="351">
        <f t="shared" si="14"/>
        <v>0</v>
      </c>
      <c r="Q63" s="203">
        <f>(4*'[2]Table 5C1O-Impact'!S63)+(4*'[3]Table 5C1O-Impact'!S63)</f>
        <v>0</v>
      </c>
      <c r="R63" s="203">
        <f t="shared" si="15"/>
        <v>0</v>
      </c>
      <c r="S63" s="351">
        <f t="shared" si="30"/>
        <v>0</v>
      </c>
      <c r="T63" s="351">
        <f t="shared" si="16"/>
        <v>0</v>
      </c>
      <c r="U63" s="287">
        <f>'Table 5C1A-Madison Prep'!U63</f>
        <v>3465</v>
      </c>
      <c r="V63" s="328">
        <f t="shared" si="17"/>
        <v>0</v>
      </c>
      <c r="W63" s="289">
        <f>'[1]Oct midyear Impact'!E60</f>
        <v>0</v>
      </c>
      <c r="X63" s="290">
        <f t="shared" si="18"/>
        <v>0</v>
      </c>
      <c r="Y63" s="289">
        <f>'[1]Feb midyear Impact'!E60</f>
        <v>0</v>
      </c>
      <c r="Z63" s="290">
        <f t="shared" si="19"/>
        <v>0</v>
      </c>
      <c r="AA63" s="288">
        <f t="shared" si="20"/>
        <v>0</v>
      </c>
      <c r="AB63" s="324">
        <f t="shared" si="21"/>
        <v>0</v>
      </c>
      <c r="AC63" s="292">
        <f t="shared" si="22"/>
        <v>0</v>
      </c>
      <c r="AD63" s="324">
        <f t="shared" si="23"/>
        <v>0</v>
      </c>
      <c r="AE63" s="293">
        <v>0</v>
      </c>
      <c r="AF63" s="324">
        <f t="shared" si="24"/>
        <v>0</v>
      </c>
      <c r="AG63" s="293">
        <f>(4*'[2]Table 5C1O-Impact'!AI63)+(4*'[3]Table 5C1O-Impact'!AI63)</f>
        <v>0</v>
      </c>
      <c r="AH63" s="293">
        <f t="shared" si="25"/>
        <v>0</v>
      </c>
      <c r="AI63" s="324">
        <f t="shared" si="31"/>
        <v>0</v>
      </c>
      <c r="AJ63" s="321">
        <f t="shared" si="26"/>
        <v>0</v>
      </c>
      <c r="AK63" s="342">
        <f t="shared" si="27"/>
        <v>0</v>
      </c>
      <c r="AM63" s="286">
        <v>0</v>
      </c>
      <c r="AN63" s="286">
        <f t="shared" si="28"/>
        <v>0</v>
      </c>
      <c r="AO63" s="286">
        <f t="shared" si="29"/>
        <v>0</v>
      </c>
    </row>
    <row r="64" spans="1:41" ht="16.149999999999999" customHeight="1">
      <c r="A64" s="198">
        <v>58</v>
      </c>
      <c r="B64" s="199" t="s">
        <v>129</v>
      </c>
      <c r="C64" s="995">
        <v>0</v>
      </c>
      <c r="D64" s="201">
        <f>+'Table 5C1A-Madison Prep'!D64</f>
        <v>5673.1129637882123</v>
      </c>
      <c r="E64" s="202">
        <f t="shared" si="8"/>
        <v>0</v>
      </c>
      <c r="F64" s="202">
        <f>+'Table 5C1A-Madison Prep'!F64</f>
        <v>697.04</v>
      </c>
      <c r="G64" s="202">
        <f t="shared" si="9"/>
        <v>0</v>
      </c>
      <c r="H64" s="345">
        <f t="shared" si="10"/>
        <v>0</v>
      </c>
      <c r="I64" s="203">
        <f>'[1]Oct midyear Impact'!K61</f>
        <v>0</v>
      </c>
      <c r="J64" s="203">
        <f>'[1]Feb midyear Impact'!K61</f>
        <v>0</v>
      </c>
      <c r="K64" s="204">
        <f t="shared" si="11"/>
        <v>0</v>
      </c>
      <c r="L64" s="345">
        <f t="shared" si="12"/>
        <v>0</v>
      </c>
      <c r="M64" s="286">
        <f t="shared" si="4"/>
        <v>0</v>
      </c>
      <c r="N64" s="345">
        <f t="shared" si="13"/>
        <v>0</v>
      </c>
      <c r="O64" s="201">
        <v>0</v>
      </c>
      <c r="P64" s="351">
        <f t="shared" si="14"/>
        <v>0</v>
      </c>
      <c r="Q64" s="203">
        <f>(4*'[2]Table 5C1O-Impact'!S64)+(4*'[3]Table 5C1O-Impact'!S64)</f>
        <v>0</v>
      </c>
      <c r="R64" s="203">
        <f t="shared" si="15"/>
        <v>0</v>
      </c>
      <c r="S64" s="351">
        <f t="shared" si="30"/>
        <v>0</v>
      </c>
      <c r="T64" s="351">
        <f t="shared" si="16"/>
        <v>0</v>
      </c>
      <c r="U64" s="287">
        <f>'Table 5C1A-Madison Prep'!U64</f>
        <v>2167</v>
      </c>
      <c r="V64" s="328">
        <f t="shared" si="17"/>
        <v>0</v>
      </c>
      <c r="W64" s="289">
        <f>'[1]Oct midyear Impact'!E61</f>
        <v>0</v>
      </c>
      <c r="X64" s="290">
        <f t="shared" si="18"/>
        <v>0</v>
      </c>
      <c r="Y64" s="289">
        <f>'[1]Feb midyear Impact'!E61</f>
        <v>0</v>
      </c>
      <c r="Z64" s="290">
        <f t="shared" si="19"/>
        <v>0</v>
      </c>
      <c r="AA64" s="288">
        <f t="shared" si="20"/>
        <v>0</v>
      </c>
      <c r="AB64" s="324">
        <f t="shared" si="21"/>
        <v>0</v>
      </c>
      <c r="AC64" s="292">
        <f t="shared" si="22"/>
        <v>0</v>
      </c>
      <c r="AD64" s="324">
        <f t="shared" si="23"/>
        <v>0</v>
      </c>
      <c r="AE64" s="293">
        <v>0</v>
      </c>
      <c r="AF64" s="324">
        <f t="shared" si="24"/>
        <v>0</v>
      </c>
      <c r="AG64" s="293">
        <f>(4*'[2]Table 5C1O-Impact'!AI64)+(4*'[3]Table 5C1O-Impact'!AI64)</f>
        <v>0</v>
      </c>
      <c r="AH64" s="293">
        <f t="shared" si="25"/>
        <v>0</v>
      </c>
      <c r="AI64" s="324">
        <f t="shared" si="31"/>
        <v>0</v>
      </c>
      <c r="AJ64" s="321">
        <f t="shared" si="26"/>
        <v>0</v>
      </c>
      <c r="AK64" s="342">
        <f t="shared" si="27"/>
        <v>0</v>
      </c>
      <c r="AM64" s="286">
        <v>0</v>
      </c>
      <c r="AN64" s="286">
        <f t="shared" si="28"/>
        <v>0</v>
      </c>
      <c r="AO64" s="286">
        <f t="shared" si="29"/>
        <v>0</v>
      </c>
    </row>
    <row r="65" spans="1:41" ht="16.149999999999999" customHeight="1">
      <c r="A65" s="198">
        <v>59</v>
      </c>
      <c r="B65" s="199" t="s">
        <v>130</v>
      </c>
      <c r="C65" s="995">
        <v>0</v>
      </c>
      <c r="D65" s="201">
        <f>+'Table 5C1A-Madison Prep'!D65</f>
        <v>6621.946293521848</v>
      </c>
      <c r="E65" s="202">
        <f t="shared" si="8"/>
        <v>0</v>
      </c>
      <c r="F65" s="202">
        <f>+'Table 5C1A-Madison Prep'!F65</f>
        <v>689.52</v>
      </c>
      <c r="G65" s="202">
        <f t="shared" si="9"/>
        <v>0</v>
      </c>
      <c r="H65" s="345">
        <f t="shared" si="10"/>
        <v>0</v>
      </c>
      <c r="I65" s="203">
        <f>'[1]Oct midyear Impact'!K62</f>
        <v>0</v>
      </c>
      <c r="J65" s="203">
        <f>'[1]Feb midyear Impact'!K62</f>
        <v>0</v>
      </c>
      <c r="K65" s="204">
        <f t="shared" si="11"/>
        <v>0</v>
      </c>
      <c r="L65" s="345">
        <f t="shared" si="12"/>
        <v>0</v>
      </c>
      <c r="M65" s="286">
        <f t="shared" si="4"/>
        <v>0</v>
      </c>
      <c r="N65" s="345">
        <f t="shared" si="13"/>
        <v>0</v>
      </c>
      <c r="O65" s="201">
        <v>0</v>
      </c>
      <c r="P65" s="351">
        <f t="shared" si="14"/>
        <v>0</v>
      </c>
      <c r="Q65" s="203">
        <f>(4*'[2]Table 5C1O-Impact'!S65)+(4*'[3]Table 5C1O-Impact'!S65)</f>
        <v>0</v>
      </c>
      <c r="R65" s="203">
        <f t="shared" si="15"/>
        <v>0</v>
      </c>
      <c r="S65" s="351">
        <f t="shared" si="30"/>
        <v>0</v>
      </c>
      <c r="T65" s="351">
        <f t="shared" si="16"/>
        <v>0</v>
      </c>
      <c r="U65" s="287">
        <f>'Table 5C1A-Madison Prep'!U65</f>
        <v>1521</v>
      </c>
      <c r="V65" s="328">
        <f t="shared" si="17"/>
        <v>0</v>
      </c>
      <c r="W65" s="289">
        <f>'[1]Oct midyear Impact'!E62</f>
        <v>0</v>
      </c>
      <c r="X65" s="290">
        <f t="shared" si="18"/>
        <v>0</v>
      </c>
      <c r="Y65" s="289">
        <f>'[1]Feb midyear Impact'!E62</f>
        <v>0</v>
      </c>
      <c r="Z65" s="290">
        <f t="shared" si="19"/>
        <v>0</v>
      </c>
      <c r="AA65" s="288">
        <f t="shared" si="20"/>
        <v>0</v>
      </c>
      <c r="AB65" s="324">
        <f t="shared" si="21"/>
        <v>0</v>
      </c>
      <c r="AC65" s="292">
        <f t="shared" si="22"/>
        <v>0</v>
      </c>
      <c r="AD65" s="324">
        <f t="shared" si="23"/>
        <v>0</v>
      </c>
      <c r="AE65" s="293">
        <v>0</v>
      </c>
      <c r="AF65" s="324">
        <f t="shared" si="24"/>
        <v>0</v>
      </c>
      <c r="AG65" s="293">
        <f>(4*'[2]Table 5C1O-Impact'!AI65)+(4*'[3]Table 5C1O-Impact'!AI65)</f>
        <v>0</v>
      </c>
      <c r="AH65" s="293">
        <f t="shared" si="25"/>
        <v>0</v>
      </c>
      <c r="AI65" s="324">
        <f t="shared" si="31"/>
        <v>0</v>
      </c>
      <c r="AJ65" s="321">
        <f t="shared" si="26"/>
        <v>0</v>
      </c>
      <c r="AK65" s="342">
        <f t="shared" si="27"/>
        <v>0</v>
      </c>
      <c r="AM65" s="286">
        <v>0</v>
      </c>
      <c r="AN65" s="286">
        <f t="shared" si="28"/>
        <v>0</v>
      </c>
      <c r="AO65" s="286">
        <f t="shared" si="29"/>
        <v>0</v>
      </c>
    </row>
    <row r="66" spans="1:41" ht="16.149999999999999" customHeight="1">
      <c r="A66" s="191">
        <v>60</v>
      </c>
      <c r="B66" s="192" t="s">
        <v>131</v>
      </c>
      <c r="C66" s="996">
        <v>0</v>
      </c>
      <c r="D66" s="194">
        <f>+'Table 5C1A-Madison Prep'!D66</f>
        <v>5301.224090063828</v>
      </c>
      <c r="E66" s="195">
        <f t="shared" si="8"/>
        <v>0</v>
      </c>
      <c r="F66" s="195">
        <f>+'Table 5C1A-Madison Prep'!F66</f>
        <v>594.04</v>
      </c>
      <c r="G66" s="195">
        <f t="shared" si="9"/>
        <v>0</v>
      </c>
      <c r="H66" s="346">
        <f t="shared" si="10"/>
        <v>0</v>
      </c>
      <c r="I66" s="196">
        <f>'[1]Oct midyear Impact'!K63</f>
        <v>0</v>
      </c>
      <c r="J66" s="196">
        <f>'[1]Feb midyear Impact'!K63</f>
        <v>0</v>
      </c>
      <c r="K66" s="197">
        <f t="shared" si="11"/>
        <v>0</v>
      </c>
      <c r="L66" s="346">
        <f t="shared" si="12"/>
        <v>0</v>
      </c>
      <c r="M66" s="296">
        <f t="shared" si="4"/>
        <v>0</v>
      </c>
      <c r="N66" s="346">
        <f t="shared" si="13"/>
        <v>0</v>
      </c>
      <c r="O66" s="194">
        <v>0</v>
      </c>
      <c r="P66" s="352">
        <f t="shared" si="14"/>
        <v>0</v>
      </c>
      <c r="Q66" s="196">
        <f>(4*'[2]Table 5C1O-Impact'!S66)+(4*'[3]Table 5C1O-Impact'!S66)</f>
        <v>0</v>
      </c>
      <c r="R66" s="196">
        <f t="shared" si="15"/>
        <v>0</v>
      </c>
      <c r="S66" s="352">
        <f t="shared" si="30"/>
        <v>0</v>
      </c>
      <c r="T66" s="352">
        <f t="shared" si="16"/>
        <v>0</v>
      </c>
      <c r="U66" s="281">
        <f>'Table 5C1A-Madison Prep'!U66</f>
        <v>4024</v>
      </c>
      <c r="V66" s="329">
        <f t="shared" si="17"/>
        <v>0</v>
      </c>
      <c r="W66" s="884">
        <f>'[1]Oct midyear Impact'!E63</f>
        <v>0</v>
      </c>
      <c r="X66" s="282">
        <f t="shared" si="18"/>
        <v>0</v>
      </c>
      <c r="Y66" s="884">
        <f>'[1]Feb midyear Impact'!E63</f>
        <v>0</v>
      </c>
      <c r="Z66" s="282">
        <f t="shared" si="19"/>
        <v>0</v>
      </c>
      <c r="AA66" s="283">
        <f t="shared" si="20"/>
        <v>0</v>
      </c>
      <c r="AB66" s="325">
        <f t="shared" si="21"/>
        <v>0</v>
      </c>
      <c r="AC66" s="298">
        <f t="shared" si="22"/>
        <v>0</v>
      </c>
      <c r="AD66" s="325">
        <f t="shared" si="23"/>
        <v>0</v>
      </c>
      <c r="AE66" s="284">
        <v>0</v>
      </c>
      <c r="AF66" s="325">
        <f t="shared" si="24"/>
        <v>0</v>
      </c>
      <c r="AG66" s="284">
        <f>(4*'[2]Table 5C1O-Impact'!AI66)+(4*'[3]Table 5C1O-Impact'!AI66)</f>
        <v>0</v>
      </c>
      <c r="AH66" s="284">
        <f t="shared" si="25"/>
        <v>0</v>
      </c>
      <c r="AI66" s="325">
        <f t="shared" si="31"/>
        <v>0</v>
      </c>
      <c r="AJ66" s="338">
        <f t="shared" si="26"/>
        <v>0</v>
      </c>
      <c r="AK66" s="343">
        <f t="shared" si="27"/>
        <v>0</v>
      </c>
      <c r="AM66" s="296">
        <v>0</v>
      </c>
      <c r="AN66" s="296">
        <f t="shared" si="28"/>
        <v>0</v>
      </c>
      <c r="AO66" s="296">
        <f t="shared" si="29"/>
        <v>0</v>
      </c>
    </row>
    <row r="67" spans="1:41" ht="16.149999999999999" customHeight="1">
      <c r="A67" s="205">
        <v>61</v>
      </c>
      <c r="B67" s="206" t="s">
        <v>132</v>
      </c>
      <c r="C67" s="994">
        <v>0</v>
      </c>
      <c r="D67" s="208">
        <f>+'Table 5C1A-Madison Prep'!D67</f>
        <v>2854.1575356369185</v>
      </c>
      <c r="E67" s="209">
        <f t="shared" si="8"/>
        <v>0</v>
      </c>
      <c r="F67" s="209">
        <f>+'Table 5C1A-Madison Prep'!F67</f>
        <v>833.70999999999992</v>
      </c>
      <c r="G67" s="209">
        <f t="shared" si="9"/>
        <v>0</v>
      </c>
      <c r="H67" s="344">
        <f t="shared" si="10"/>
        <v>0</v>
      </c>
      <c r="I67" s="210">
        <f>'[1]Oct midyear Impact'!K64</f>
        <v>0</v>
      </c>
      <c r="J67" s="210">
        <f>'[1]Feb midyear Impact'!K64</f>
        <v>0</v>
      </c>
      <c r="K67" s="211">
        <f t="shared" si="11"/>
        <v>0</v>
      </c>
      <c r="L67" s="344">
        <f t="shared" si="12"/>
        <v>0</v>
      </c>
      <c r="M67" s="273">
        <f t="shared" si="4"/>
        <v>0</v>
      </c>
      <c r="N67" s="344">
        <f t="shared" si="13"/>
        <v>0</v>
      </c>
      <c r="O67" s="208">
        <v>0</v>
      </c>
      <c r="P67" s="350">
        <f t="shared" si="14"/>
        <v>0</v>
      </c>
      <c r="Q67" s="210">
        <f>(4*'[2]Table 5C1O-Impact'!S67)+(4*'[3]Table 5C1O-Impact'!S67)</f>
        <v>0</v>
      </c>
      <c r="R67" s="210">
        <f t="shared" si="15"/>
        <v>0</v>
      </c>
      <c r="S67" s="350">
        <f t="shared" si="30"/>
        <v>0</v>
      </c>
      <c r="T67" s="350">
        <f t="shared" si="16"/>
        <v>0</v>
      </c>
      <c r="U67" s="274">
        <f>'Table 5C1A-Madison Prep'!U67</f>
        <v>6739</v>
      </c>
      <c r="V67" s="327">
        <f t="shared" si="17"/>
        <v>0</v>
      </c>
      <c r="W67" s="883">
        <f>'[1]Oct midyear Impact'!E64</f>
        <v>0</v>
      </c>
      <c r="X67" s="276">
        <f t="shared" si="18"/>
        <v>0</v>
      </c>
      <c r="Y67" s="883">
        <f>'[1]Feb midyear Impact'!E64</f>
        <v>0</v>
      </c>
      <c r="Z67" s="276">
        <f t="shared" si="19"/>
        <v>0</v>
      </c>
      <c r="AA67" s="275">
        <f t="shared" si="20"/>
        <v>0</v>
      </c>
      <c r="AB67" s="323">
        <f t="shared" si="21"/>
        <v>0</v>
      </c>
      <c r="AC67" s="278">
        <f t="shared" si="22"/>
        <v>0</v>
      </c>
      <c r="AD67" s="323">
        <f t="shared" si="23"/>
        <v>0</v>
      </c>
      <c r="AE67" s="279">
        <v>0</v>
      </c>
      <c r="AF67" s="323">
        <f t="shared" si="24"/>
        <v>0</v>
      </c>
      <c r="AG67" s="279">
        <f>(4*'[2]Table 5C1O-Impact'!AI67)+(4*'[3]Table 5C1O-Impact'!AI67)</f>
        <v>0</v>
      </c>
      <c r="AH67" s="279">
        <f t="shared" si="25"/>
        <v>0</v>
      </c>
      <c r="AI67" s="323">
        <f t="shared" si="31"/>
        <v>0</v>
      </c>
      <c r="AJ67" s="337">
        <f t="shared" si="26"/>
        <v>0</v>
      </c>
      <c r="AK67" s="341">
        <f t="shared" si="27"/>
        <v>0</v>
      </c>
      <c r="AM67" s="273">
        <v>0</v>
      </c>
      <c r="AN67" s="273">
        <f t="shared" si="28"/>
        <v>0</v>
      </c>
      <c r="AO67" s="273">
        <f t="shared" si="29"/>
        <v>0</v>
      </c>
    </row>
    <row r="68" spans="1:41" ht="16.149999999999999" customHeight="1">
      <c r="A68" s="198">
        <v>62</v>
      </c>
      <c r="B68" s="199" t="s">
        <v>133</v>
      </c>
      <c r="C68" s="995">
        <v>0</v>
      </c>
      <c r="D68" s="201">
        <f>+'Table 5C1A-Madison Prep'!D68</f>
        <v>5901.074538516008</v>
      </c>
      <c r="E68" s="202">
        <f t="shared" si="8"/>
        <v>0</v>
      </c>
      <c r="F68" s="202">
        <f>+'Table 5C1A-Madison Prep'!F68</f>
        <v>516.08000000000004</v>
      </c>
      <c r="G68" s="202">
        <f t="shared" si="9"/>
        <v>0</v>
      </c>
      <c r="H68" s="345">
        <f t="shared" si="10"/>
        <v>0</v>
      </c>
      <c r="I68" s="203">
        <f>'[1]Oct midyear Impact'!K65</f>
        <v>0</v>
      </c>
      <c r="J68" s="203">
        <f>'[1]Feb midyear Impact'!K65</f>
        <v>0</v>
      </c>
      <c r="K68" s="204">
        <f t="shared" si="11"/>
        <v>0</v>
      </c>
      <c r="L68" s="345">
        <f t="shared" si="12"/>
        <v>0</v>
      </c>
      <c r="M68" s="286">
        <f t="shared" si="4"/>
        <v>0</v>
      </c>
      <c r="N68" s="345">
        <f t="shared" si="13"/>
        <v>0</v>
      </c>
      <c r="O68" s="201">
        <v>0</v>
      </c>
      <c r="P68" s="351">
        <f t="shared" si="14"/>
        <v>0</v>
      </c>
      <c r="Q68" s="203">
        <f>(4*'[2]Table 5C1O-Impact'!S68)+(4*'[3]Table 5C1O-Impact'!S68)</f>
        <v>0</v>
      </c>
      <c r="R68" s="203">
        <f t="shared" si="15"/>
        <v>0</v>
      </c>
      <c r="S68" s="351">
        <f t="shared" si="30"/>
        <v>0</v>
      </c>
      <c r="T68" s="351">
        <f t="shared" si="16"/>
        <v>0</v>
      </c>
      <c r="U68" s="287">
        <f>'Table 5C1A-Madison Prep'!U68</f>
        <v>2089</v>
      </c>
      <c r="V68" s="328">
        <f t="shared" si="17"/>
        <v>0</v>
      </c>
      <c r="W68" s="289">
        <f>'[1]Oct midyear Impact'!E65</f>
        <v>0</v>
      </c>
      <c r="X68" s="290">
        <f t="shared" si="18"/>
        <v>0</v>
      </c>
      <c r="Y68" s="289">
        <f>'[1]Feb midyear Impact'!E65</f>
        <v>0</v>
      </c>
      <c r="Z68" s="290">
        <f t="shared" si="19"/>
        <v>0</v>
      </c>
      <c r="AA68" s="288">
        <f t="shared" si="20"/>
        <v>0</v>
      </c>
      <c r="AB68" s="324">
        <f t="shared" si="21"/>
        <v>0</v>
      </c>
      <c r="AC68" s="292">
        <f t="shared" si="22"/>
        <v>0</v>
      </c>
      <c r="AD68" s="324">
        <f t="shared" si="23"/>
        <v>0</v>
      </c>
      <c r="AE68" s="293">
        <v>0</v>
      </c>
      <c r="AF68" s="324">
        <f t="shared" si="24"/>
        <v>0</v>
      </c>
      <c r="AG68" s="293">
        <f>(4*'[2]Table 5C1O-Impact'!AI68)+(4*'[3]Table 5C1O-Impact'!AI68)</f>
        <v>0</v>
      </c>
      <c r="AH68" s="293">
        <f t="shared" si="25"/>
        <v>0</v>
      </c>
      <c r="AI68" s="324">
        <f t="shared" si="31"/>
        <v>0</v>
      </c>
      <c r="AJ68" s="321">
        <f t="shared" si="26"/>
        <v>0</v>
      </c>
      <c r="AK68" s="342">
        <f t="shared" si="27"/>
        <v>0</v>
      </c>
      <c r="AM68" s="286">
        <v>0</v>
      </c>
      <c r="AN68" s="286">
        <f t="shared" si="28"/>
        <v>0</v>
      </c>
      <c r="AO68" s="286">
        <f t="shared" si="29"/>
        <v>0</v>
      </c>
    </row>
    <row r="69" spans="1:41" ht="16.149999999999999" customHeight="1">
      <c r="A69" s="198">
        <v>63</v>
      </c>
      <c r="B69" s="199" t="s">
        <v>134</v>
      </c>
      <c r="C69" s="995">
        <v>0</v>
      </c>
      <c r="D69" s="201">
        <f>+'Table 5C1A-Madison Prep'!D69</f>
        <v>4124.3813481848092</v>
      </c>
      <c r="E69" s="202">
        <f t="shared" si="8"/>
        <v>0</v>
      </c>
      <c r="F69" s="202">
        <f>+'Table 5C1A-Madison Prep'!F69</f>
        <v>756.79</v>
      </c>
      <c r="G69" s="202">
        <f t="shared" si="9"/>
        <v>0</v>
      </c>
      <c r="H69" s="345">
        <f t="shared" si="10"/>
        <v>0</v>
      </c>
      <c r="I69" s="203">
        <f>'[1]Oct midyear Impact'!K66</f>
        <v>0</v>
      </c>
      <c r="J69" s="203">
        <f>'[1]Feb midyear Impact'!K66</f>
        <v>0</v>
      </c>
      <c r="K69" s="204">
        <f t="shared" si="11"/>
        <v>0</v>
      </c>
      <c r="L69" s="345">
        <f t="shared" si="12"/>
        <v>0</v>
      </c>
      <c r="M69" s="286">
        <f t="shared" si="4"/>
        <v>0</v>
      </c>
      <c r="N69" s="345">
        <f t="shared" si="13"/>
        <v>0</v>
      </c>
      <c r="O69" s="201">
        <v>0</v>
      </c>
      <c r="P69" s="351">
        <f t="shared" si="14"/>
        <v>0</v>
      </c>
      <c r="Q69" s="203">
        <f>(4*'[2]Table 5C1O-Impact'!S69)+(4*'[3]Table 5C1O-Impact'!S69)</f>
        <v>0</v>
      </c>
      <c r="R69" s="203">
        <f t="shared" si="15"/>
        <v>0</v>
      </c>
      <c r="S69" s="351">
        <f t="shared" si="30"/>
        <v>0</v>
      </c>
      <c r="T69" s="351">
        <f t="shared" si="16"/>
        <v>0</v>
      </c>
      <c r="U69" s="287">
        <f>'Table 5C1A-Madison Prep'!U69</f>
        <v>7403</v>
      </c>
      <c r="V69" s="328">
        <f t="shared" si="17"/>
        <v>0</v>
      </c>
      <c r="W69" s="289">
        <f>'[1]Oct midyear Impact'!E66</f>
        <v>0</v>
      </c>
      <c r="X69" s="290">
        <f t="shared" si="18"/>
        <v>0</v>
      </c>
      <c r="Y69" s="289">
        <f>'[1]Feb midyear Impact'!E66</f>
        <v>0</v>
      </c>
      <c r="Z69" s="290">
        <f t="shared" si="19"/>
        <v>0</v>
      </c>
      <c r="AA69" s="288">
        <f t="shared" si="20"/>
        <v>0</v>
      </c>
      <c r="AB69" s="324">
        <f t="shared" si="21"/>
        <v>0</v>
      </c>
      <c r="AC69" s="292">
        <f t="shared" si="22"/>
        <v>0</v>
      </c>
      <c r="AD69" s="324">
        <f t="shared" si="23"/>
        <v>0</v>
      </c>
      <c r="AE69" s="293">
        <v>0</v>
      </c>
      <c r="AF69" s="324">
        <f t="shared" si="24"/>
        <v>0</v>
      </c>
      <c r="AG69" s="293">
        <f>(4*'[2]Table 5C1O-Impact'!AI69)+(4*'[3]Table 5C1O-Impact'!AI69)</f>
        <v>0</v>
      </c>
      <c r="AH69" s="293">
        <f t="shared" si="25"/>
        <v>0</v>
      </c>
      <c r="AI69" s="324">
        <f t="shared" si="31"/>
        <v>0</v>
      </c>
      <c r="AJ69" s="321">
        <f t="shared" si="26"/>
        <v>0</v>
      </c>
      <c r="AK69" s="342">
        <f t="shared" si="27"/>
        <v>0</v>
      </c>
      <c r="AM69" s="286">
        <v>0</v>
      </c>
      <c r="AN69" s="286">
        <f t="shared" si="28"/>
        <v>0</v>
      </c>
      <c r="AO69" s="286">
        <f t="shared" si="29"/>
        <v>0</v>
      </c>
    </row>
    <row r="70" spans="1:41" ht="16.149999999999999" customHeight="1">
      <c r="A70" s="198">
        <v>64</v>
      </c>
      <c r="B70" s="199" t="s">
        <v>135</v>
      </c>
      <c r="C70" s="995">
        <v>0</v>
      </c>
      <c r="D70" s="201">
        <f>+'Table 5C1A-Madison Prep'!D70</f>
        <v>6277.8307532778254</v>
      </c>
      <c r="E70" s="202">
        <f t="shared" si="8"/>
        <v>0</v>
      </c>
      <c r="F70" s="202">
        <f>+'Table 5C1A-Madison Prep'!F70</f>
        <v>592.66</v>
      </c>
      <c r="G70" s="202">
        <f t="shared" si="9"/>
        <v>0</v>
      </c>
      <c r="H70" s="345">
        <f t="shared" si="10"/>
        <v>0</v>
      </c>
      <c r="I70" s="203">
        <f>'[1]Oct midyear Impact'!K67</f>
        <v>0</v>
      </c>
      <c r="J70" s="203">
        <f>'[1]Feb midyear Impact'!K67</f>
        <v>0</v>
      </c>
      <c r="K70" s="204">
        <f t="shared" si="11"/>
        <v>0</v>
      </c>
      <c r="L70" s="345">
        <f t="shared" si="12"/>
        <v>0</v>
      </c>
      <c r="M70" s="286">
        <f t="shared" si="4"/>
        <v>0</v>
      </c>
      <c r="N70" s="345">
        <f t="shared" si="13"/>
        <v>0</v>
      </c>
      <c r="O70" s="201">
        <v>0</v>
      </c>
      <c r="P70" s="351">
        <f t="shared" si="14"/>
        <v>0</v>
      </c>
      <c r="Q70" s="203">
        <f>(4*'[2]Table 5C1O-Impact'!S70)+(4*'[3]Table 5C1O-Impact'!S70)</f>
        <v>0</v>
      </c>
      <c r="R70" s="203">
        <f t="shared" si="15"/>
        <v>0</v>
      </c>
      <c r="S70" s="351">
        <f t="shared" si="30"/>
        <v>0</v>
      </c>
      <c r="T70" s="351">
        <f t="shared" si="16"/>
        <v>0</v>
      </c>
      <c r="U70" s="287">
        <f>'Table 5C1A-Madison Prep'!U70</f>
        <v>2802</v>
      </c>
      <c r="V70" s="328">
        <f t="shared" si="17"/>
        <v>0</v>
      </c>
      <c r="W70" s="289">
        <f>'[1]Oct midyear Impact'!E67</f>
        <v>0</v>
      </c>
      <c r="X70" s="290">
        <f t="shared" si="18"/>
        <v>0</v>
      </c>
      <c r="Y70" s="289">
        <f>'[1]Feb midyear Impact'!E67</f>
        <v>0</v>
      </c>
      <c r="Z70" s="290">
        <f t="shared" si="19"/>
        <v>0</v>
      </c>
      <c r="AA70" s="288">
        <f t="shared" si="20"/>
        <v>0</v>
      </c>
      <c r="AB70" s="324">
        <f t="shared" si="21"/>
        <v>0</v>
      </c>
      <c r="AC70" s="292">
        <f t="shared" si="22"/>
        <v>0</v>
      </c>
      <c r="AD70" s="324">
        <f t="shared" si="23"/>
        <v>0</v>
      </c>
      <c r="AE70" s="293">
        <v>0</v>
      </c>
      <c r="AF70" s="324">
        <f t="shared" si="24"/>
        <v>0</v>
      </c>
      <c r="AG70" s="293">
        <f>(4*'[2]Table 5C1O-Impact'!AI70)+(4*'[3]Table 5C1O-Impact'!AI70)</f>
        <v>0</v>
      </c>
      <c r="AH70" s="293">
        <f t="shared" si="25"/>
        <v>0</v>
      </c>
      <c r="AI70" s="324">
        <f t="shared" si="31"/>
        <v>0</v>
      </c>
      <c r="AJ70" s="321">
        <f t="shared" si="26"/>
        <v>0</v>
      </c>
      <c r="AK70" s="342">
        <f t="shared" si="27"/>
        <v>0</v>
      </c>
      <c r="AM70" s="286">
        <v>0</v>
      </c>
      <c r="AN70" s="286">
        <f t="shared" si="28"/>
        <v>0</v>
      </c>
      <c r="AO70" s="286">
        <f t="shared" si="29"/>
        <v>0</v>
      </c>
    </row>
    <row r="71" spans="1:41" ht="16.149999999999999" customHeight="1">
      <c r="A71" s="191">
        <v>65</v>
      </c>
      <c r="B71" s="192" t="s">
        <v>136</v>
      </c>
      <c r="C71" s="996">
        <v>0</v>
      </c>
      <c r="D71" s="194">
        <f>+'Table 5C1A-Madison Prep'!D71</f>
        <v>4775.1605543943642</v>
      </c>
      <c r="E71" s="195">
        <f t="shared" si="8"/>
        <v>0</v>
      </c>
      <c r="F71" s="195">
        <f>+'Table 5C1A-Madison Prep'!F71</f>
        <v>829.12</v>
      </c>
      <c r="G71" s="195">
        <f t="shared" si="9"/>
        <v>0</v>
      </c>
      <c r="H71" s="346">
        <f t="shared" si="10"/>
        <v>0</v>
      </c>
      <c r="I71" s="196">
        <f>'[1]Oct midyear Impact'!K68</f>
        <v>0</v>
      </c>
      <c r="J71" s="196">
        <f>'[1]Feb midyear Impact'!K68</f>
        <v>0</v>
      </c>
      <c r="K71" s="197">
        <f t="shared" si="11"/>
        <v>0</v>
      </c>
      <c r="L71" s="346">
        <f t="shared" si="12"/>
        <v>0</v>
      </c>
      <c r="M71" s="296">
        <f t="shared" ref="M71:M74" si="32">-(0.25%*L71)</f>
        <v>0</v>
      </c>
      <c r="N71" s="346">
        <f t="shared" si="13"/>
        <v>0</v>
      </c>
      <c r="O71" s="194">
        <v>0</v>
      </c>
      <c r="P71" s="352">
        <f t="shared" si="14"/>
        <v>0</v>
      </c>
      <c r="Q71" s="196">
        <f>(4*'[2]Table 5C1O-Impact'!S71)+(4*'[3]Table 5C1O-Impact'!S71)</f>
        <v>0</v>
      </c>
      <c r="R71" s="196">
        <f t="shared" si="15"/>
        <v>0</v>
      </c>
      <c r="S71" s="352">
        <f t="shared" ref="S71:S75" si="33">ROUND(R71/$S$88,0)</f>
        <v>0</v>
      </c>
      <c r="T71" s="352">
        <f t="shared" si="16"/>
        <v>0</v>
      </c>
      <c r="U71" s="281">
        <f>'Table 5C1A-Madison Prep'!U71</f>
        <v>5215</v>
      </c>
      <c r="V71" s="329">
        <f t="shared" si="17"/>
        <v>0</v>
      </c>
      <c r="W71" s="884">
        <f>'[1]Oct midyear Impact'!E68</f>
        <v>0</v>
      </c>
      <c r="X71" s="282">
        <f t="shared" si="18"/>
        <v>0</v>
      </c>
      <c r="Y71" s="884">
        <f>'[1]Feb midyear Impact'!E68</f>
        <v>0</v>
      </c>
      <c r="Z71" s="282">
        <f t="shared" si="19"/>
        <v>0</v>
      </c>
      <c r="AA71" s="283">
        <f t="shared" si="20"/>
        <v>0</v>
      </c>
      <c r="AB71" s="325">
        <f t="shared" si="21"/>
        <v>0</v>
      </c>
      <c r="AC71" s="298">
        <f t="shared" si="22"/>
        <v>0</v>
      </c>
      <c r="AD71" s="325">
        <f t="shared" si="23"/>
        <v>0</v>
      </c>
      <c r="AE71" s="284">
        <v>0</v>
      </c>
      <c r="AF71" s="325">
        <f t="shared" si="24"/>
        <v>0</v>
      </c>
      <c r="AG71" s="284">
        <f>(4*'[2]Table 5C1O-Impact'!AI71)+(4*'[3]Table 5C1O-Impact'!AI71)</f>
        <v>0</v>
      </c>
      <c r="AH71" s="284">
        <f t="shared" si="25"/>
        <v>0</v>
      </c>
      <c r="AI71" s="325">
        <f t="shared" ref="AI71:AI75" si="34">ROUND(AH71/$AI$88,0)</f>
        <v>0</v>
      </c>
      <c r="AJ71" s="338">
        <f t="shared" si="26"/>
        <v>0</v>
      </c>
      <c r="AK71" s="343">
        <f t="shared" si="27"/>
        <v>0</v>
      </c>
      <c r="AM71" s="296">
        <v>0</v>
      </c>
      <c r="AN71" s="296">
        <f t="shared" si="28"/>
        <v>0</v>
      </c>
      <c r="AO71" s="296">
        <f t="shared" si="29"/>
        <v>0</v>
      </c>
    </row>
    <row r="72" spans="1:41" ht="16.149999999999999" customHeight="1">
      <c r="A72" s="205">
        <v>66</v>
      </c>
      <c r="B72" s="206" t="s">
        <v>137</v>
      </c>
      <c r="C72" s="994">
        <v>0</v>
      </c>
      <c r="D72" s="208">
        <f>+'Table 5C1A-Madison Prep'!D72</f>
        <v>6564.0085433910035</v>
      </c>
      <c r="E72" s="209">
        <f t="shared" ref="E72:E75" si="35">C72*D72</f>
        <v>0</v>
      </c>
      <c r="F72" s="209">
        <f>+'Table 5C1A-Madison Prep'!F72</f>
        <v>730.06</v>
      </c>
      <c r="G72" s="209">
        <f t="shared" ref="G72:G75" si="36">C72*F72</f>
        <v>0</v>
      </c>
      <c r="H72" s="344">
        <f t="shared" ref="H72:H75" si="37">E72+G72</f>
        <v>0</v>
      </c>
      <c r="I72" s="210">
        <f>'[1]Oct midyear Impact'!K69</f>
        <v>0</v>
      </c>
      <c r="J72" s="210">
        <f>'[1]Feb midyear Impact'!K69</f>
        <v>0</v>
      </c>
      <c r="K72" s="211">
        <f t="shared" ref="K72:K75" si="38">I72+J72</f>
        <v>0</v>
      </c>
      <c r="L72" s="344">
        <f t="shared" ref="L72:L75" si="39">+H72+K72</f>
        <v>0</v>
      </c>
      <c r="M72" s="273">
        <f t="shared" si="32"/>
        <v>0</v>
      </c>
      <c r="N72" s="344">
        <f t="shared" ref="N72:N75" si="40">SUM(L72:M72)</f>
        <v>0</v>
      </c>
      <c r="O72" s="208">
        <v>0</v>
      </c>
      <c r="P72" s="350">
        <f t="shared" ref="P72:P75" si="41">SUM(N72:O72)</f>
        <v>0</v>
      </c>
      <c r="Q72" s="210">
        <f>(4*'[2]Table 5C1O-Impact'!S72)+(4*'[3]Table 5C1O-Impact'!S72)</f>
        <v>0</v>
      </c>
      <c r="R72" s="210">
        <f t="shared" ref="R72:R75" si="42">+P72-Q72</f>
        <v>0</v>
      </c>
      <c r="S72" s="350">
        <f t="shared" si="33"/>
        <v>0</v>
      </c>
      <c r="T72" s="350">
        <f t="shared" ref="T72:T75" si="43">+P72</f>
        <v>0</v>
      </c>
      <c r="U72" s="274">
        <f>'Table 5C1A-Madison Prep'!U72</f>
        <v>3609</v>
      </c>
      <c r="V72" s="327">
        <f t="shared" ref="V72:V75" si="44">C72*U72</f>
        <v>0</v>
      </c>
      <c r="W72" s="883">
        <f>'[1]Oct midyear Impact'!E69</f>
        <v>0</v>
      </c>
      <c r="X72" s="276">
        <f t="shared" ref="X72:X75" si="45">+U72*W72</f>
        <v>0</v>
      </c>
      <c r="Y72" s="883">
        <f>'[1]Feb midyear Impact'!E69</f>
        <v>0</v>
      </c>
      <c r="Z72" s="276">
        <f t="shared" ref="Z72:Z75" si="46">+U72*Y72*0.5</f>
        <v>0</v>
      </c>
      <c r="AA72" s="275">
        <f t="shared" ref="AA72:AA75" si="47">+X72+Z72</f>
        <v>0</v>
      </c>
      <c r="AB72" s="323">
        <f t="shared" ref="AB72:AB75" si="48">+V72+AA72</f>
        <v>0</v>
      </c>
      <c r="AC72" s="278">
        <f t="shared" ref="AC72:AC75" si="49">-(0.25%*AB72)</f>
        <v>0</v>
      </c>
      <c r="AD72" s="323">
        <f t="shared" ref="AD72:AD75" si="50">SUM(AB72:AC72)</f>
        <v>0</v>
      </c>
      <c r="AE72" s="279">
        <v>0</v>
      </c>
      <c r="AF72" s="323">
        <f t="shared" ref="AF72:AF75" si="51">SUM(AD72:AE72)</f>
        <v>0</v>
      </c>
      <c r="AG72" s="279">
        <f>(4*'[2]Table 5C1O-Impact'!AI72)+(4*'[3]Table 5C1O-Impact'!AI72)</f>
        <v>0</v>
      </c>
      <c r="AH72" s="279">
        <f t="shared" ref="AH72:AH75" si="52">+AF72-AG72</f>
        <v>0</v>
      </c>
      <c r="AI72" s="323">
        <f t="shared" si="34"/>
        <v>0</v>
      </c>
      <c r="AJ72" s="337">
        <f t="shared" ref="AJ72:AJ75" si="53">T72+AF72</f>
        <v>0</v>
      </c>
      <c r="AK72" s="341">
        <f t="shared" ref="AK72:AK75" si="54">S72+AI72</f>
        <v>0</v>
      </c>
      <c r="AM72" s="310">
        <v>0</v>
      </c>
      <c r="AN72" s="310">
        <f t="shared" ref="AN72:AN75" si="55">+AC72</f>
        <v>0</v>
      </c>
      <c r="AO72" s="310">
        <f t="shared" si="29"/>
        <v>0</v>
      </c>
    </row>
    <row r="73" spans="1:41" ht="16.149999999999999" customHeight="1">
      <c r="A73" s="198">
        <v>67</v>
      </c>
      <c r="B73" s="199" t="s">
        <v>28</v>
      </c>
      <c r="C73" s="995">
        <v>0</v>
      </c>
      <c r="D73" s="201">
        <f>+'Table 5C1A-Madison Prep'!D73</f>
        <v>5029.1467736134118</v>
      </c>
      <c r="E73" s="202">
        <f t="shared" si="35"/>
        <v>0</v>
      </c>
      <c r="F73" s="202">
        <f>+'Table 5C1A-Madison Prep'!F73</f>
        <v>715.61</v>
      </c>
      <c r="G73" s="202">
        <f t="shared" si="36"/>
        <v>0</v>
      </c>
      <c r="H73" s="345">
        <f t="shared" si="37"/>
        <v>0</v>
      </c>
      <c r="I73" s="203">
        <f>'[1]Oct midyear Impact'!K70</f>
        <v>28723.783868067057</v>
      </c>
      <c r="J73" s="203">
        <f>'[1]Feb midyear Impact'!K70</f>
        <v>0</v>
      </c>
      <c r="K73" s="204">
        <f t="shared" si="38"/>
        <v>28723.783868067057</v>
      </c>
      <c r="L73" s="345">
        <f t="shared" si="39"/>
        <v>28723.783868067057</v>
      </c>
      <c r="M73" s="286">
        <f t="shared" si="32"/>
        <v>-71.809459670167641</v>
      </c>
      <c r="N73" s="345">
        <f t="shared" si="40"/>
        <v>28651.974408396891</v>
      </c>
      <c r="O73" s="201">
        <v>0</v>
      </c>
      <c r="P73" s="351">
        <f t="shared" si="41"/>
        <v>28651.974408396891</v>
      </c>
      <c r="Q73" s="203">
        <f>(4*'[2]Table 5C1O-Impact'!S73)+(4*'[3]Table 5C1O-Impact'!S73)</f>
        <v>14324</v>
      </c>
      <c r="R73" s="203">
        <f t="shared" si="42"/>
        <v>14327.974408396891</v>
      </c>
      <c r="S73" s="351">
        <f t="shared" si="33"/>
        <v>3582</v>
      </c>
      <c r="T73" s="351">
        <f t="shared" si="43"/>
        <v>28651.974408396891</v>
      </c>
      <c r="U73" s="287">
        <f>'Table 5C1A-Madison Prep'!U73</f>
        <v>5069</v>
      </c>
      <c r="V73" s="328">
        <f t="shared" si="44"/>
        <v>0</v>
      </c>
      <c r="W73" s="289">
        <f>'[1]Oct midyear Impact'!E70</f>
        <v>5</v>
      </c>
      <c r="X73" s="290">
        <f t="shared" si="45"/>
        <v>25345</v>
      </c>
      <c r="Y73" s="289">
        <f>'[1]Feb midyear Impact'!E70</f>
        <v>0</v>
      </c>
      <c r="Z73" s="290">
        <f t="shared" si="46"/>
        <v>0</v>
      </c>
      <c r="AA73" s="288">
        <f t="shared" si="47"/>
        <v>25345</v>
      </c>
      <c r="AB73" s="324">
        <f t="shared" si="48"/>
        <v>25345</v>
      </c>
      <c r="AC73" s="292">
        <f t="shared" si="49"/>
        <v>-63.362500000000004</v>
      </c>
      <c r="AD73" s="324">
        <f t="shared" si="50"/>
        <v>25281.637500000001</v>
      </c>
      <c r="AE73" s="293">
        <v>0</v>
      </c>
      <c r="AF73" s="324">
        <f t="shared" si="51"/>
        <v>25281.637500000001</v>
      </c>
      <c r="AG73" s="293">
        <f>(4*'[2]Table 5C1O-Impact'!AI73)+(4*'[3]Table 5C1O-Impact'!AI73)</f>
        <v>12508</v>
      </c>
      <c r="AH73" s="293">
        <f t="shared" si="52"/>
        <v>12773.637500000001</v>
      </c>
      <c r="AI73" s="324">
        <f t="shared" si="34"/>
        <v>3193</v>
      </c>
      <c r="AJ73" s="321">
        <f t="shared" si="53"/>
        <v>53933.611908396895</v>
      </c>
      <c r="AK73" s="342">
        <f t="shared" si="54"/>
        <v>6775</v>
      </c>
      <c r="AM73" s="310">
        <v>0</v>
      </c>
      <c r="AN73" s="310">
        <f t="shared" si="55"/>
        <v>-63.362500000000004</v>
      </c>
      <c r="AO73" s="310">
        <f t="shared" si="29"/>
        <v>-63.362500000000004</v>
      </c>
    </row>
    <row r="74" spans="1:41" ht="16.149999999999999" customHeight="1">
      <c r="A74" s="198">
        <v>68</v>
      </c>
      <c r="B74" s="199" t="s">
        <v>27</v>
      </c>
      <c r="C74" s="995">
        <v>0</v>
      </c>
      <c r="D74" s="201">
        <f>+'Table 5C1A-Madison Prep'!D74</f>
        <v>6390.1644202560601</v>
      </c>
      <c r="E74" s="202">
        <f t="shared" si="35"/>
        <v>0</v>
      </c>
      <c r="F74" s="202">
        <f>+'Table 5C1A-Madison Prep'!F74</f>
        <v>798.7</v>
      </c>
      <c r="G74" s="202">
        <f t="shared" si="36"/>
        <v>0</v>
      </c>
      <c r="H74" s="345">
        <f t="shared" si="37"/>
        <v>0</v>
      </c>
      <c r="I74" s="203">
        <f>'[1]Oct midyear Impact'!K71</f>
        <v>639808.93340278929</v>
      </c>
      <c r="J74" s="203">
        <f>'[1]Feb midyear Impact'!K71</f>
        <v>-14377.72884051212</v>
      </c>
      <c r="K74" s="204">
        <f t="shared" si="38"/>
        <v>625431.20456227718</v>
      </c>
      <c r="L74" s="345">
        <f t="shared" si="39"/>
        <v>625431.20456227718</v>
      </c>
      <c r="M74" s="286">
        <f t="shared" si="32"/>
        <v>-1563.5780114056929</v>
      </c>
      <c r="N74" s="345">
        <f t="shared" si="40"/>
        <v>623867.62655087153</v>
      </c>
      <c r="O74" s="201">
        <v>0</v>
      </c>
      <c r="P74" s="351">
        <f t="shared" si="41"/>
        <v>623867.62655087153</v>
      </c>
      <c r="Q74" s="203">
        <f>(4*'[2]Table 5C1O-Impact'!S74)+(4*'[3]Table 5C1O-Impact'!S74)</f>
        <v>548572</v>
      </c>
      <c r="R74" s="203">
        <f t="shared" si="42"/>
        <v>75295.62655087153</v>
      </c>
      <c r="S74" s="351">
        <f t="shared" si="33"/>
        <v>18824</v>
      </c>
      <c r="T74" s="351">
        <f t="shared" si="43"/>
        <v>623867.62655087153</v>
      </c>
      <c r="U74" s="287">
        <f>'Table 5C1A-Madison Prep'!U74</f>
        <v>2880</v>
      </c>
      <c r="V74" s="328">
        <f t="shared" si="44"/>
        <v>0</v>
      </c>
      <c r="W74" s="289">
        <f>'[1]Oct midyear Impact'!E71</f>
        <v>89</v>
      </c>
      <c r="X74" s="290">
        <f t="shared" si="45"/>
        <v>256320</v>
      </c>
      <c r="Y74" s="289">
        <f>'[1]Feb midyear Impact'!E71</f>
        <v>-4</v>
      </c>
      <c r="Z74" s="290">
        <f t="shared" si="46"/>
        <v>-5760</v>
      </c>
      <c r="AA74" s="288">
        <f t="shared" si="47"/>
        <v>250560</v>
      </c>
      <c r="AB74" s="324">
        <f t="shared" si="48"/>
        <v>250560</v>
      </c>
      <c r="AC74" s="292">
        <f t="shared" si="49"/>
        <v>-626.4</v>
      </c>
      <c r="AD74" s="324">
        <f t="shared" si="50"/>
        <v>249933.6</v>
      </c>
      <c r="AE74" s="293">
        <v>0</v>
      </c>
      <c r="AF74" s="324">
        <f t="shared" si="51"/>
        <v>249933.6</v>
      </c>
      <c r="AG74" s="293">
        <f>(4*'[2]Table 5C1O-Impact'!AI74)+(4*'[3]Table 5C1O-Impact'!AI74)</f>
        <v>203668</v>
      </c>
      <c r="AH74" s="293">
        <f t="shared" si="52"/>
        <v>46265.600000000006</v>
      </c>
      <c r="AI74" s="324">
        <f t="shared" si="34"/>
        <v>11566</v>
      </c>
      <c r="AJ74" s="321">
        <f t="shared" si="53"/>
        <v>873801.22655087151</v>
      </c>
      <c r="AK74" s="342">
        <f t="shared" si="54"/>
        <v>30390</v>
      </c>
      <c r="AM74" s="310">
        <v>-1281.1200000000001</v>
      </c>
      <c r="AN74" s="310">
        <f t="shared" si="55"/>
        <v>-626.4</v>
      </c>
      <c r="AO74" s="310">
        <f t="shared" si="29"/>
        <v>654.72000000000014</v>
      </c>
    </row>
    <row r="75" spans="1:41" ht="16.149999999999999" customHeight="1">
      <c r="A75" s="198">
        <v>69</v>
      </c>
      <c r="B75" s="199" t="s">
        <v>147</v>
      </c>
      <c r="C75" s="995">
        <v>0</v>
      </c>
      <c r="D75" s="201">
        <f>+'Table 5C1A-Madison Prep'!D75</f>
        <v>5722.4947921281337</v>
      </c>
      <c r="E75" s="202">
        <f t="shared" si="35"/>
        <v>0</v>
      </c>
      <c r="F75" s="202">
        <f>+'Table 5C1A-Madison Prep'!F75</f>
        <v>705.67</v>
      </c>
      <c r="G75" s="202">
        <f t="shared" si="36"/>
        <v>0</v>
      </c>
      <c r="H75" s="345">
        <f t="shared" si="37"/>
        <v>0</v>
      </c>
      <c r="I75" s="203">
        <f>'[1]Oct midyear Impact'!K72</f>
        <v>0</v>
      </c>
      <c r="J75" s="203">
        <f>'[1]Feb midyear Impact'!K72</f>
        <v>0</v>
      </c>
      <c r="K75" s="204">
        <f t="shared" si="38"/>
        <v>0</v>
      </c>
      <c r="L75" s="345">
        <f t="shared" si="39"/>
        <v>0</v>
      </c>
      <c r="M75" s="286">
        <f>-(0.25%*L75)</f>
        <v>0</v>
      </c>
      <c r="N75" s="345">
        <f t="shared" si="40"/>
        <v>0</v>
      </c>
      <c r="O75" s="201">
        <v>0</v>
      </c>
      <c r="P75" s="351">
        <f t="shared" si="41"/>
        <v>0</v>
      </c>
      <c r="Q75" s="203">
        <f>(4*'[2]Table 5C1O-Impact'!S75)+(4*'[3]Table 5C1O-Impact'!S75)</f>
        <v>0</v>
      </c>
      <c r="R75" s="203">
        <f t="shared" si="42"/>
        <v>0</v>
      </c>
      <c r="S75" s="351">
        <f t="shared" si="33"/>
        <v>0</v>
      </c>
      <c r="T75" s="351">
        <f t="shared" si="43"/>
        <v>0</v>
      </c>
      <c r="U75" s="287">
        <f>'Table 5C1A-Madison Prep'!U75</f>
        <v>3330</v>
      </c>
      <c r="V75" s="328">
        <f t="shared" si="44"/>
        <v>0</v>
      </c>
      <c r="W75" s="289">
        <f>'[1]Oct midyear Impact'!E72</f>
        <v>0</v>
      </c>
      <c r="X75" s="290">
        <f t="shared" si="45"/>
        <v>0</v>
      </c>
      <c r="Y75" s="289">
        <f>'[1]Feb midyear Impact'!E72</f>
        <v>0</v>
      </c>
      <c r="Z75" s="290">
        <f t="shared" si="46"/>
        <v>0</v>
      </c>
      <c r="AA75" s="288">
        <f t="shared" si="47"/>
        <v>0</v>
      </c>
      <c r="AB75" s="324">
        <f t="shared" si="48"/>
        <v>0</v>
      </c>
      <c r="AC75" s="292">
        <f t="shared" si="49"/>
        <v>0</v>
      </c>
      <c r="AD75" s="324">
        <f t="shared" si="50"/>
        <v>0</v>
      </c>
      <c r="AE75" s="293">
        <v>0</v>
      </c>
      <c r="AF75" s="324">
        <f t="shared" si="51"/>
        <v>0</v>
      </c>
      <c r="AG75" s="293">
        <f>(4*'[2]Table 5C1O-Impact'!AI75)+(4*'[3]Table 5C1O-Impact'!AI75)</f>
        <v>0</v>
      </c>
      <c r="AH75" s="293">
        <f t="shared" si="52"/>
        <v>0</v>
      </c>
      <c r="AI75" s="324">
        <f t="shared" si="34"/>
        <v>0</v>
      </c>
      <c r="AJ75" s="321">
        <f t="shared" si="53"/>
        <v>0</v>
      </c>
      <c r="AK75" s="342">
        <f t="shared" si="54"/>
        <v>0</v>
      </c>
      <c r="AM75" s="300">
        <v>0</v>
      </c>
      <c r="AN75" s="300">
        <f t="shared" si="55"/>
        <v>0</v>
      </c>
      <c r="AO75" s="300">
        <f t="shared" si="29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0</v>
      </c>
      <c r="D76" s="28"/>
      <c r="E76" s="35">
        <f>SUM(E7:E75)</f>
        <v>0</v>
      </c>
      <c r="F76" s="35"/>
      <c r="G76" s="35">
        <f>SUM(G7:G75)</f>
        <v>0</v>
      </c>
      <c r="H76" s="348">
        <f>SUM(H7:H75)</f>
        <v>0</v>
      </c>
      <c r="I76" s="70">
        <f>SUM(I7:I75)</f>
        <v>899666.62515145238</v>
      </c>
      <c r="J76" s="70">
        <f>SUM(J7:J75)</f>
        <v>35603.179091410093</v>
      </c>
      <c r="K76" s="56">
        <f t="shared" ref="K76:T76" si="56">SUM(K7:K75)</f>
        <v>935269.8042428625</v>
      </c>
      <c r="L76" s="364">
        <f t="shared" si="56"/>
        <v>935269.8042428625</v>
      </c>
      <c r="M76" s="36">
        <f t="shared" si="56"/>
        <v>-2338.1745106071562</v>
      </c>
      <c r="N76" s="348">
        <f t="shared" si="56"/>
        <v>932931.62973225536</v>
      </c>
      <c r="O76" s="28">
        <f t="shared" si="56"/>
        <v>0</v>
      </c>
      <c r="P76" s="354">
        <f t="shared" si="56"/>
        <v>932931.62973225536</v>
      </c>
      <c r="Q76" s="70">
        <f t="shared" si="56"/>
        <v>715512</v>
      </c>
      <c r="R76" s="70">
        <f t="shared" si="56"/>
        <v>217419.62973225533</v>
      </c>
      <c r="S76" s="354">
        <f t="shared" si="56"/>
        <v>54355</v>
      </c>
      <c r="T76" s="354">
        <f t="shared" si="56"/>
        <v>932931.62973225536</v>
      </c>
      <c r="U76" s="83"/>
      <c r="V76" s="330">
        <f t="shared" ref="V76:AK76" si="57">SUM(V7:V75)</f>
        <v>0</v>
      </c>
      <c r="W76" s="74">
        <f t="shared" si="57"/>
        <v>149</v>
      </c>
      <c r="X76" s="75">
        <f t="shared" si="57"/>
        <v>660232</v>
      </c>
      <c r="Y76" s="74">
        <f t="shared" si="57"/>
        <v>20</v>
      </c>
      <c r="Z76" s="75">
        <f t="shared" si="57"/>
        <v>77688</v>
      </c>
      <c r="AA76" s="63">
        <f t="shared" si="57"/>
        <v>737920</v>
      </c>
      <c r="AB76" s="332">
        <f t="shared" si="57"/>
        <v>737920</v>
      </c>
      <c r="AC76" s="37">
        <f t="shared" si="57"/>
        <v>-1844.8000000000002</v>
      </c>
      <c r="AD76" s="330">
        <f t="shared" si="57"/>
        <v>736075.20000000007</v>
      </c>
      <c r="AE76" s="85">
        <f t="shared" si="57"/>
        <v>0</v>
      </c>
      <c r="AF76" s="330">
        <f t="shared" si="57"/>
        <v>736075.20000000007</v>
      </c>
      <c r="AG76" s="75">
        <f t="shared" si="57"/>
        <v>455496</v>
      </c>
      <c r="AH76" s="75">
        <f t="shared" si="57"/>
        <v>280579.20000000007</v>
      </c>
      <c r="AI76" s="330">
        <f t="shared" si="57"/>
        <v>70144</v>
      </c>
      <c r="AJ76" s="339">
        <f t="shared" si="57"/>
        <v>1669006.8297322555</v>
      </c>
      <c r="AK76" s="339">
        <f t="shared" si="57"/>
        <v>124499</v>
      </c>
      <c r="AM76" s="36">
        <f>SUM(AM7:AM75)</f>
        <v>-2002.8600000000001</v>
      </c>
      <c r="AN76" s="36">
        <f>SUM(AN7:AN75)</f>
        <v>-1844.8000000000002</v>
      </c>
      <c r="AO76" s="36">
        <f>SUM(AO7:AO75)</f>
        <v>158.06000000000006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4'!$E112</f>
        <v>0</v>
      </c>
      <c r="Q77" s="222">
        <f>(4*'[2]Table 5C1O-Impact'!S77)+(4*'[3]Table 5C1O-Impact'!S77)</f>
        <v>0</v>
      </c>
      <c r="R77" s="222">
        <f t="shared" ref="R77" si="58">+P77-Q77</f>
        <v>0</v>
      </c>
      <c r="S77" s="295">
        <f t="shared" ref="S77:S81" si="59">ROUND(R77/$S$88,0)</f>
        <v>0</v>
      </c>
      <c r="T77" s="295">
        <f>'Table 4 Level 4'!$E112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60">T77+AF77</f>
        <v>0</v>
      </c>
      <c r="AK77" s="321">
        <f t="shared" ref="AK77:AK81" si="61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4'!$J112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60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4'!$L112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60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4'!$M112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60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4'!O112</f>
        <v>0</v>
      </c>
      <c r="Q81" s="217">
        <f>(4*'[2]Table 5C1O-Impact'!S81)+(4*'[3]Table 5C1O-Impact'!S81)</f>
        <v>0</v>
      </c>
      <c r="R81" s="217">
        <f t="shared" ref="R81" si="62">+P81-Q81</f>
        <v>0</v>
      </c>
      <c r="S81" s="353">
        <f t="shared" si="59"/>
        <v>0</v>
      </c>
      <c r="T81" s="353">
        <f>P81</f>
        <v>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60"/>
        <v>0</v>
      </c>
      <c r="AK81" s="322">
        <f t="shared" si="61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0</v>
      </c>
      <c r="D82" s="128">
        <f t="shared" ref="D82:AK82" si="63">SUM(D76:D81)</f>
        <v>0</v>
      </c>
      <c r="E82" s="128">
        <f t="shared" si="63"/>
        <v>0</v>
      </c>
      <c r="F82" s="128">
        <f t="shared" si="63"/>
        <v>0</v>
      </c>
      <c r="G82" s="128">
        <f t="shared" si="63"/>
        <v>0</v>
      </c>
      <c r="H82" s="128">
        <f t="shared" si="63"/>
        <v>0</v>
      </c>
      <c r="I82" s="133">
        <f t="shared" si="63"/>
        <v>899666.62515145238</v>
      </c>
      <c r="J82" s="133">
        <f t="shared" si="63"/>
        <v>35603.179091410093</v>
      </c>
      <c r="K82" s="133">
        <f t="shared" si="63"/>
        <v>935269.8042428625</v>
      </c>
      <c r="L82" s="128">
        <f t="shared" si="63"/>
        <v>935269.8042428625</v>
      </c>
      <c r="M82" s="133">
        <f t="shared" si="63"/>
        <v>-2338.1745106071562</v>
      </c>
      <c r="N82" s="128">
        <f t="shared" si="63"/>
        <v>932931.62973225536</v>
      </c>
      <c r="O82" s="128">
        <f t="shared" si="63"/>
        <v>0</v>
      </c>
      <c r="P82" s="355">
        <f t="shared" si="63"/>
        <v>932931.62973225536</v>
      </c>
      <c r="Q82" s="133">
        <f t="shared" si="63"/>
        <v>715512</v>
      </c>
      <c r="R82" s="133">
        <f t="shared" si="63"/>
        <v>217419.62973225533</v>
      </c>
      <c r="S82" s="355">
        <f t="shared" si="63"/>
        <v>54355</v>
      </c>
      <c r="T82" s="355">
        <f t="shared" si="63"/>
        <v>932931.62973225536</v>
      </c>
      <c r="U82" s="137"/>
      <c r="V82" s="134">
        <f t="shared" si="63"/>
        <v>0</v>
      </c>
      <c r="W82" s="136">
        <f t="shared" si="63"/>
        <v>149</v>
      </c>
      <c r="X82" s="134">
        <f t="shared" si="63"/>
        <v>660232</v>
      </c>
      <c r="Y82" s="136">
        <f t="shared" si="63"/>
        <v>20</v>
      </c>
      <c r="Z82" s="134">
        <f t="shared" si="63"/>
        <v>77688</v>
      </c>
      <c r="AA82" s="134">
        <f t="shared" si="63"/>
        <v>737920</v>
      </c>
      <c r="AB82" s="134">
        <f t="shared" si="63"/>
        <v>737920</v>
      </c>
      <c r="AC82" s="134">
        <f t="shared" si="63"/>
        <v>-1844.8000000000002</v>
      </c>
      <c r="AD82" s="134">
        <f t="shared" si="63"/>
        <v>736075.20000000007</v>
      </c>
      <c r="AE82" s="134">
        <f t="shared" si="63"/>
        <v>0</v>
      </c>
      <c r="AF82" s="134">
        <f t="shared" si="63"/>
        <v>736075.20000000007</v>
      </c>
      <c r="AG82" s="134">
        <f t="shared" si="63"/>
        <v>455496</v>
      </c>
      <c r="AH82" s="134">
        <f t="shared" si="63"/>
        <v>280579.20000000007</v>
      </c>
      <c r="AI82" s="134">
        <f t="shared" si="63"/>
        <v>70144</v>
      </c>
      <c r="AJ82" s="320">
        <f t="shared" si="63"/>
        <v>1669006.8297322555</v>
      </c>
      <c r="AK82" s="320">
        <f t="shared" si="63"/>
        <v>124499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-4012.1063968207072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1673.931886213551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4">
    <mergeCell ref="A1:B4"/>
    <mergeCell ref="C1:L1"/>
    <mergeCell ref="AJ1:AJ4"/>
    <mergeCell ref="T3:T4"/>
    <mergeCell ref="M1:T1"/>
    <mergeCell ref="S3:S4"/>
    <mergeCell ref="AE3:AE4"/>
    <mergeCell ref="AF3:AF4"/>
    <mergeCell ref="W3:W4"/>
    <mergeCell ref="X3:X4"/>
    <mergeCell ref="Y3:Y4"/>
    <mergeCell ref="Z3:Z4"/>
    <mergeCell ref="AB3:AB4"/>
    <mergeCell ref="AD3:AD4"/>
    <mergeCell ref="AG3:AG4"/>
    <mergeCell ref="AH3:AH4"/>
    <mergeCell ref="AK1:AK4"/>
    <mergeCell ref="AI3:AI4"/>
    <mergeCell ref="I2:K2"/>
    <mergeCell ref="U1:AB1"/>
    <mergeCell ref="AC1:AI1"/>
    <mergeCell ref="V3:V4"/>
    <mergeCell ref="W2:AA2"/>
    <mergeCell ref="C3:C4"/>
    <mergeCell ref="D3:D4"/>
    <mergeCell ref="E3:E4"/>
    <mergeCell ref="U3:U4"/>
    <mergeCell ref="F3:F4"/>
    <mergeCell ref="G3:G4"/>
    <mergeCell ref="H3:H4"/>
    <mergeCell ref="I3:I4"/>
    <mergeCell ref="J3:J4"/>
    <mergeCell ref="N3:N4"/>
    <mergeCell ref="O3:O4"/>
    <mergeCell ref="P3:P4"/>
    <mergeCell ref="K3:K4"/>
    <mergeCell ref="L3:L4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5C1-O: FY2014-15 MFP Budget Letter (March 2015)
Impact Charter School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7" sqref="C7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customWidth="1"/>
    <col min="4" max="4" width="13.7109375" style="784" customWidth="1"/>
    <col min="5" max="5" width="9.85546875" style="784" customWidth="1"/>
    <col min="6" max="7" width="12.28515625" style="784" customWidth="1"/>
    <col min="8" max="8" width="11.5703125" style="784" customWidth="1"/>
    <col min="9" max="12" width="12" style="784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5.28515625" style="784" customWidth="1"/>
    <col min="23" max="23" width="14.28515625" style="784" customWidth="1"/>
    <col min="24" max="24" width="15.28515625" style="784" customWidth="1"/>
    <col min="25" max="25" width="13.28515625" style="784" customWidth="1"/>
    <col min="26" max="26" width="12.28515625" style="784" customWidth="1"/>
    <col min="27" max="28" width="15.7109375" style="784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3" width="9.5703125" style="784" bestFit="1" customWidth="1"/>
    <col min="34" max="34" width="9.28515625" style="784" bestFit="1" customWidth="1"/>
    <col min="35" max="35" width="14.42578125" style="784" bestFit="1" customWidth="1"/>
    <col min="36" max="36" width="14.28515625" style="784" customWidth="1"/>
    <col min="37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673</v>
      </c>
      <c r="B1" s="1577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33" customHeight="1">
      <c r="A2" s="1578"/>
      <c r="B2" s="1579"/>
      <c r="C2" s="619"/>
      <c r="D2" s="620"/>
      <c r="E2" s="620"/>
      <c r="F2" s="620"/>
      <c r="G2" s="620"/>
      <c r="H2" s="620"/>
      <c r="I2" s="1448" t="s">
        <v>1036</v>
      </c>
      <c r="J2" s="1449"/>
      <c r="K2" s="1450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1035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85" t="s">
        <v>1037</v>
      </c>
      <c r="J3" s="1518" t="s">
        <v>554</v>
      </c>
      <c r="K3" s="1585" t="s">
        <v>1033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87" t="s">
        <v>906</v>
      </c>
      <c r="X3" s="1507" t="s">
        <v>1038</v>
      </c>
      <c r="Y3" s="1507" t="s">
        <v>861</v>
      </c>
      <c r="Z3" s="1507" t="s">
        <v>859</v>
      </c>
      <c r="AA3" s="1215" t="s">
        <v>1034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586"/>
      <c r="J4" s="1470"/>
      <c r="K4" s="1586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588"/>
      <c r="X4" s="1470"/>
      <c r="Y4" s="1470"/>
      <c r="Z4" s="1470"/>
      <c r="AA4" s="1214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si="1"/>
        <v>8</v>
      </c>
      <c r="K5" s="23">
        <f t="shared" si="1"/>
        <v>9</v>
      </c>
      <c r="L5" s="23">
        <f t="shared" si="1"/>
        <v>10</v>
      </c>
      <c r="M5" s="23">
        <f t="shared" si="1"/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si="1"/>
        <v>15</v>
      </c>
      <c r="R5" s="23">
        <f t="shared" si="1"/>
        <v>16</v>
      </c>
      <c r="S5" s="23">
        <f t="shared" si="1"/>
        <v>17</v>
      </c>
      <c r="T5" s="23">
        <f t="shared" ref="T5" si="2">S5+1</f>
        <v>18</v>
      </c>
      <c r="U5" s="23">
        <f t="shared" ref="U5" si="3">T5+1</f>
        <v>19</v>
      </c>
      <c r="V5" s="23">
        <f t="shared" si="1"/>
        <v>20</v>
      </c>
      <c r="W5" s="23">
        <f t="shared" si="1"/>
        <v>21</v>
      </c>
      <c r="X5" s="23">
        <f t="shared" si="1"/>
        <v>22</v>
      </c>
      <c r="Y5" s="23">
        <f t="shared" si="1"/>
        <v>23</v>
      </c>
      <c r="Z5" s="23">
        <f t="shared" si="1"/>
        <v>24</v>
      </c>
      <c r="AA5" s="23">
        <f t="shared" si="1"/>
        <v>25</v>
      </c>
      <c r="AB5" s="23">
        <f t="shared" si="1"/>
        <v>26</v>
      </c>
      <c r="AC5" s="23">
        <f t="shared" si="1"/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si="1"/>
        <v>31</v>
      </c>
      <c r="AH5" s="23">
        <f t="shared" si="1"/>
        <v>32</v>
      </c>
      <c r="AI5" s="23">
        <f t="shared" si="1"/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Vision'!K4</f>
        <v>0</v>
      </c>
      <c r="J7" s="210">
        <f>'[1]Feb midyear Vision'!K4</f>
        <v>0</v>
      </c>
      <c r="K7" s="211">
        <f>I7+J7</f>
        <v>0</v>
      </c>
      <c r="L7" s="344">
        <f>+H7+K7</f>
        <v>0</v>
      </c>
      <c r="M7" s="273">
        <f t="shared" ref="M7:M70" si="4"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8*'[2]Table 5C1P-Vision'!S7</f>
        <v>0</v>
      </c>
      <c r="R7" s="210">
        <f>+P7-Q7</f>
        <v>0</v>
      </c>
      <c r="S7" s="350">
        <f t="shared" ref="S7:S38" si="5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Vision'!E4</f>
        <v>0</v>
      </c>
      <c r="X7" s="276">
        <f>+U7*W7</f>
        <v>0</v>
      </c>
      <c r="Y7" s="883">
        <f>'[1]Feb midyear Vision'!E4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8*'[2]Table 5C1P-Vision'!AI7</f>
        <v>0</v>
      </c>
      <c r="AH7" s="279">
        <f>+AF7-AG7</f>
        <v>0</v>
      </c>
      <c r="AI7" s="323">
        <f t="shared" ref="AI7:AI38" si="6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7">+AN7-AM7</f>
        <v>0</v>
      </c>
    </row>
    <row r="8" spans="1:41" ht="16.149999999999999" customHeight="1">
      <c r="A8" s="198">
        <v>2</v>
      </c>
      <c r="B8" s="199" t="s">
        <v>74</v>
      </c>
      <c r="C8" s="995">
        <v>0</v>
      </c>
      <c r="D8" s="201">
        <f>+'Table 5C1A-Madison Prep'!D8</f>
        <v>6316.6266417386641</v>
      </c>
      <c r="E8" s="202">
        <f t="shared" ref="E8:E71" si="8">C8*D8</f>
        <v>0</v>
      </c>
      <c r="F8" s="202">
        <f>+'Table 5C1A-Madison Prep'!F8</f>
        <v>842.32</v>
      </c>
      <c r="G8" s="202">
        <f t="shared" ref="G8:G71" si="9">C8*F8</f>
        <v>0</v>
      </c>
      <c r="H8" s="345">
        <f t="shared" ref="H8:H71" si="10">E8+G8</f>
        <v>0</v>
      </c>
      <c r="I8" s="203">
        <f>'[1]Oct midyear Vision'!K5</f>
        <v>0</v>
      </c>
      <c r="J8" s="203">
        <f>'[1]Feb midyear Vision'!K5</f>
        <v>0</v>
      </c>
      <c r="K8" s="204">
        <f t="shared" ref="K8:K71" si="11">I8+J8</f>
        <v>0</v>
      </c>
      <c r="L8" s="345">
        <f t="shared" ref="L8:L71" si="12">+H8+K8</f>
        <v>0</v>
      </c>
      <c r="M8" s="286">
        <f t="shared" si="4"/>
        <v>0</v>
      </c>
      <c r="N8" s="345">
        <f t="shared" ref="N8:N71" si="13">SUM(L8:M8)</f>
        <v>0</v>
      </c>
      <c r="O8" s="201">
        <v>0</v>
      </c>
      <c r="P8" s="351">
        <f t="shared" ref="P8:P71" si="14">SUM(N8:O8)</f>
        <v>0</v>
      </c>
      <c r="Q8" s="203">
        <f>8*'[2]Table 5C1P-Vision'!S8</f>
        <v>0</v>
      </c>
      <c r="R8" s="203">
        <f t="shared" ref="R8:R71" si="15">+P8-Q8</f>
        <v>0</v>
      </c>
      <c r="S8" s="351">
        <f t="shared" si="5"/>
        <v>0</v>
      </c>
      <c r="T8" s="351">
        <f t="shared" ref="T8:T71" si="16">+P8</f>
        <v>0</v>
      </c>
      <c r="U8" s="287">
        <f>'Table 5C1A-Madison Prep'!U8</f>
        <v>2786</v>
      </c>
      <c r="V8" s="328">
        <f t="shared" ref="V8:V71" si="17">C8*U8</f>
        <v>0</v>
      </c>
      <c r="W8" s="289">
        <f>'[1]Oct midyear Vision'!E5</f>
        <v>0</v>
      </c>
      <c r="X8" s="290">
        <f t="shared" ref="X8:X71" si="18">+U8*W8</f>
        <v>0</v>
      </c>
      <c r="Y8" s="289">
        <f>'[1]Feb midyear Vision'!E5</f>
        <v>0</v>
      </c>
      <c r="Z8" s="290">
        <f t="shared" ref="Z8:Z71" si="19">+U8*Y8*0.5</f>
        <v>0</v>
      </c>
      <c r="AA8" s="288">
        <f t="shared" ref="AA8:AA71" si="20">+X8+Z8</f>
        <v>0</v>
      </c>
      <c r="AB8" s="324">
        <f t="shared" ref="AB8:AB71" si="21">+V8+AA8</f>
        <v>0</v>
      </c>
      <c r="AC8" s="292">
        <f t="shared" ref="AC8:AC71" si="22">-(0.25%*AB8)</f>
        <v>0</v>
      </c>
      <c r="AD8" s="324">
        <f t="shared" ref="AD8:AD71" si="23">SUM(AB8:AC8)</f>
        <v>0</v>
      </c>
      <c r="AE8" s="293">
        <v>0</v>
      </c>
      <c r="AF8" s="324">
        <f t="shared" ref="AF8:AF71" si="24">SUM(AD8:AE8)</f>
        <v>0</v>
      </c>
      <c r="AG8" s="293">
        <f>8*'[2]Table 5C1P-Vision'!AI8</f>
        <v>0</v>
      </c>
      <c r="AH8" s="293">
        <f t="shared" ref="AH8:AH71" si="25">+AF8-AG8</f>
        <v>0</v>
      </c>
      <c r="AI8" s="324">
        <f t="shared" si="6"/>
        <v>0</v>
      </c>
      <c r="AJ8" s="321">
        <f t="shared" ref="AJ8:AJ71" si="26">T8+AF8</f>
        <v>0</v>
      </c>
      <c r="AK8" s="342">
        <f t="shared" ref="AK8:AK71" si="27">S8+AI8</f>
        <v>0</v>
      </c>
      <c r="AM8" s="286">
        <v>0</v>
      </c>
      <c r="AN8" s="286">
        <f t="shared" ref="AN8:AN71" si="28">+AC8</f>
        <v>0</v>
      </c>
      <c r="AO8" s="286">
        <f t="shared" si="7"/>
        <v>0</v>
      </c>
    </row>
    <row r="9" spans="1:41" ht="16.149999999999999" customHeight="1">
      <c r="A9" s="198">
        <v>3</v>
      </c>
      <c r="B9" s="199" t="s">
        <v>75</v>
      </c>
      <c r="C9" s="995">
        <v>0</v>
      </c>
      <c r="D9" s="201">
        <f>+'Table 5C1A-Madison Prep'!D9</f>
        <v>4155.1862027396819</v>
      </c>
      <c r="E9" s="202">
        <f t="shared" si="8"/>
        <v>0</v>
      </c>
      <c r="F9" s="202">
        <f>+'Table 5C1A-Madison Prep'!F9</f>
        <v>596.84</v>
      </c>
      <c r="G9" s="202">
        <f t="shared" si="9"/>
        <v>0</v>
      </c>
      <c r="H9" s="345">
        <f t="shared" si="10"/>
        <v>0</v>
      </c>
      <c r="I9" s="203">
        <f>'[1]Oct midyear Vision'!K6</f>
        <v>0</v>
      </c>
      <c r="J9" s="203">
        <f>'[1]Feb midyear Vision'!K6</f>
        <v>0</v>
      </c>
      <c r="K9" s="204">
        <f t="shared" si="11"/>
        <v>0</v>
      </c>
      <c r="L9" s="345">
        <f t="shared" si="12"/>
        <v>0</v>
      </c>
      <c r="M9" s="286">
        <f t="shared" si="4"/>
        <v>0</v>
      </c>
      <c r="N9" s="345">
        <f t="shared" si="13"/>
        <v>0</v>
      </c>
      <c r="O9" s="201">
        <v>0</v>
      </c>
      <c r="P9" s="351">
        <f t="shared" si="14"/>
        <v>0</v>
      </c>
      <c r="Q9" s="203">
        <f>8*'[2]Table 5C1P-Vision'!S9</f>
        <v>0</v>
      </c>
      <c r="R9" s="203">
        <f t="shared" si="15"/>
        <v>0</v>
      </c>
      <c r="S9" s="351">
        <f t="shared" si="5"/>
        <v>0</v>
      </c>
      <c r="T9" s="351">
        <f t="shared" si="16"/>
        <v>0</v>
      </c>
      <c r="U9" s="287">
        <f>'Table 5C1A-Madison Prep'!U9</f>
        <v>5927</v>
      </c>
      <c r="V9" s="328">
        <f t="shared" si="17"/>
        <v>0</v>
      </c>
      <c r="W9" s="289">
        <f>'[1]Oct midyear Vision'!E6</f>
        <v>0</v>
      </c>
      <c r="X9" s="290">
        <f t="shared" si="18"/>
        <v>0</v>
      </c>
      <c r="Y9" s="289">
        <f>'[1]Feb midyear Vision'!E6</f>
        <v>0</v>
      </c>
      <c r="Z9" s="290">
        <f t="shared" si="19"/>
        <v>0</v>
      </c>
      <c r="AA9" s="288">
        <f t="shared" si="20"/>
        <v>0</v>
      </c>
      <c r="AB9" s="324">
        <f t="shared" si="21"/>
        <v>0</v>
      </c>
      <c r="AC9" s="292">
        <f t="shared" si="22"/>
        <v>0</v>
      </c>
      <c r="AD9" s="324">
        <f t="shared" si="23"/>
        <v>0</v>
      </c>
      <c r="AE9" s="293">
        <v>0</v>
      </c>
      <c r="AF9" s="324">
        <f t="shared" si="24"/>
        <v>0</v>
      </c>
      <c r="AG9" s="293">
        <f>8*'[2]Table 5C1P-Vision'!AI9</f>
        <v>0</v>
      </c>
      <c r="AH9" s="293">
        <f t="shared" si="25"/>
        <v>0</v>
      </c>
      <c r="AI9" s="324">
        <f t="shared" si="6"/>
        <v>0</v>
      </c>
      <c r="AJ9" s="321">
        <f t="shared" si="26"/>
        <v>0</v>
      </c>
      <c r="AK9" s="342">
        <f t="shared" si="27"/>
        <v>0</v>
      </c>
      <c r="AM9" s="286">
        <v>0</v>
      </c>
      <c r="AN9" s="286">
        <f t="shared" si="28"/>
        <v>0</v>
      </c>
      <c r="AO9" s="286">
        <f t="shared" si="7"/>
        <v>0</v>
      </c>
    </row>
    <row r="10" spans="1:41" ht="16.149999999999999" customHeight="1">
      <c r="A10" s="198">
        <v>4</v>
      </c>
      <c r="B10" s="199" t="s">
        <v>76</v>
      </c>
      <c r="C10" s="995">
        <v>0</v>
      </c>
      <c r="D10" s="201">
        <f>+'Table 5C1A-Madison Prep'!D10</f>
        <v>6119.0581446878568</v>
      </c>
      <c r="E10" s="202">
        <f t="shared" si="8"/>
        <v>0</v>
      </c>
      <c r="F10" s="202">
        <f>+'Table 5C1A-Madison Prep'!F10</f>
        <v>585.76</v>
      </c>
      <c r="G10" s="202">
        <f t="shared" si="9"/>
        <v>0</v>
      </c>
      <c r="H10" s="345">
        <f t="shared" si="10"/>
        <v>0</v>
      </c>
      <c r="I10" s="203">
        <f>'[1]Oct midyear Vision'!K7</f>
        <v>0</v>
      </c>
      <c r="J10" s="203">
        <f>'[1]Feb midyear Vision'!K7</f>
        <v>0</v>
      </c>
      <c r="K10" s="204">
        <f t="shared" si="11"/>
        <v>0</v>
      </c>
      <c r="L10" s="345">
        <f t="shared" si="12"/>
        <v>0</v>
      </c>
      <c r="M10" s="286">
        <f t="shared" si="4"/>
        <v>0</v>
      </c>
      <c r="N10" s="345">
        <f t="shared" si="13"/>
        <v>0</v>
      </c>
      <c r="O10" s="201">
        <v>0</v>
      </c>
      <c r="P10" s="351">
        <f t="shared" si="14"/>
        <v>0</v>
      </c>
      <c r="Q10" s="203">
        <f>8*'[2]Table 5C1P-Vision'!S10</f>
        <v>0</v>
      </c>
      <c r="R10" s="203">
        <f t="shared" si="15"/>
        <v>0</v>
      </c>
      <c r="S10" s="351">
        <f t="shared" si="5"/>
        <v>0</v>
      </c>
      <c r="T10" s="351">
        <f t="shared" si="16"/>
        <v>0</v>
      </c>
      <c r="U10" s="287">
        <f>'Table 5C1A-Madison Prep'!U10</f>
        <v>4203</v>
      </c>
      <c r="V10" s="328">
        <f t="shared" si="17"/>
        <v>0</v>
      </c>
      <c r="W10" s="289">
        <f>'[1]Oct midyear Vision'!E7</f>
        <v>0</v>
      </c>
      <c r="X10" s="290">
        <f t="shared" si="18"/>
        <v>0</v>
      </c>
      <c r="Y10" s="289">
        <f>'[1]Feb midyear Vision'!E7</f>
        <v>0</v>
      </c>
      <c r="Z10" s="290">
        <f t="shared" si="19"/>
        <v>0</v>
      </c>
      <c r="AA10" s="288">
        <f t="shared" si="20"/>
        <v>0</v>
      </c>
      <c r="AB10" s="324">
        <f t="shared" si="21"/>
        <v>0</v>
      </c>
      <c r="AC10" s="292">
        <f t="shared" si="22"/>
        <v>0</v>
      </c>
      <c r="AD10" s="324">
        <f t="shared" si="23"/>
        <v>0</v>
      </c>
      <c r="AE10" s="293">
        <v>0</v>
      </c>
      <c r="AF10" s="324">
        <f t="shared" si="24"/>
        <v>0</v>
      </c>
      <c r="AG10" s="293">
        <f>8*'[2]Table 5C1P-Vision'!AI10</f>
        <v>0</v>
      </c>
      <c r="AH10" s="293">
        <f t="shared" si="25"/>
        <v>0</v>
      </c>
      <c r="AI10" s="324">
        <f t="shared" si="6"/>
        <v>0</v>
      </c>
      <c r="AJ10" s="321">
        <f t="shared" si="26"/>
        <v>0</v>
      </c>
      <c r="AK10" s="342">
        <f t="shared" si="27"/>
        <v>0</v>
      </c>
      <c r="AM10" s="286">
        <v>0</v>
      </c>
      <c r="AN10" s="286">
        <f t="shared" si="28"/>
        <v>0</v>
      </c>
      <c r="AO10" s="286">
        <f t="shared" si="7"/>
        <v>0</v>
      </c>
    </row>
    <row r="11" spans="1:41" ht="16.149999999999999" customHeight="1">
      <c r="A11" s="191">
        <v>5</v>
      </c>
      <c r="B11" s="192" t="s">
        <v>77</v>
      </c>
      <c r="C11" s="996">
        <v>0</v>
      </c>
      <c r="D11" s="194">
        <f>+'Table 5C1A-Madison Prep'!D11</f>
        <v>5268.940566009911</v>
      </c>
      <c r="E11" s="195">
        <f t="shared" si="8"/>
        <v>0</v>
      </c>
      <c r="F11" s="195">
        <f>+'Table 5C1A-Madison Prep'!F11</f>
        <v>555.91</v>
      </c>
      <c r="G11" s="195">
        <f t="shared" si="9"/>
        <v>0</v>
      </c>
      <c r="H11" s="346">
        <f t="shared" si="10"/>
        <v>0</v>
      </c>
      <c r="I11" s="196">
        <f>'[1]Oct midyear Vision'!K8</f>
        <v>0</v>
      </c>
      <c r="J11" s="196">
        <f>'[1]Feb midyear Vision'!K8</f>
        <v>0</v>
      </c>
      <c r="K11" s="197">
        <f t="shared" si="11"/>
        <v>0</v>
      </c>
      <c r="L11" s="346">
        <f t="shared" si="12"/>
        <v>0</v>
      </c>
      <c r="M11" s="296">
        <f t="shared" si="4"/>
        <v>0</v>
      </c>
      <c r="N11" s="346">
        <f t="shared" si="13"/>
        <v>0</v>
      </c>
      <c r="O11" s="194">
        <v>0</v>
      </c>
      <c r="P11" s="352">
        <f t="shared" si="14"/>
        <v>0</v>
      </c>
      <c r="Q11" s="196">
        <f>8*'[2]Table 5C1P-Vision'!S11</f>
        <v>0</v>
      </c>
      <c r="R11" s="196">
        <f t="shared" si="15"/>
        <v>0</v>
      </c>
      <c r="S11" s="352">
        <f t="shared" si="5"/>
        <v>0</v>
      </c>
      <c r="T11" s="352">
        <f t="shared" si="16"/>
        <v>0</v>
      </c>
      <c r="U11" s="281">
        <f>'Table 5C1A-Madison Prep'!U11</f>
        <v>1923</v>
      </c>
      <c r="V11" s="329">
        <f t="shared" si="17"/>
        <v>0</v>
      </c>
      <c r="W11" s="884">
        <f>'[1]Oct midyear Vision'!E8</f>
        <v>0</v>
      </c>
      <c r="X11" s="282">
        <f t="shared" si="18"/>
        <v>0</v>
      </c>
      <c r="Y11" s="884">
        <f>'[1]Feb midyear Vision'!E8</f>
        <v>0</v>
      </c>
      <c r="Z11" s="282">
        <f t="shared" si="19"/>
        <v>0</v>
      </c>
      <c r="AA11" s="283">
        <f t="shared" si="20"/>
        <v>0</v>
      </c>
      <c r="AB11" s="325">
        <f t="shared" si="21"/>
        <v>0</v>
      </c>
      <c r="AC11" s="298">
        <f t="shared" si="22"/>
        <v>0</v>
      </c>
      <c r="AD11" s="325">
        <f t="shared" si="23"/>
        <v>0</v>
      </c>
      <c r="AE11" s="284">
        <v>0</v>
      </c>
      <c r="AF11" s="325">
        <f t="shared" si="24"/>
        <v>0</v>
      </c>
      <c r="AG11" s="284">
        <f>8*'[2]Table 5C1P-Vision'!AI11</f>
        <v>0</v>
      </c>
      <c r="AH11" s="284">
        <f t="shared" si="25"/>
        <v>0</v>
      </c>
      <c r="AI11" s="325">
        <f t="shared" si="6"/>
        <v>0</v>
      </c>
      <c r="AJ11" s="338">
        <f t="shared" si="26"/>
        <v>0</v>
      </c>
      <c r="AK11" s="343">
        <f t="shared" si="27"/>
        <v>0</v>
      </c>
      <c r="AM11" s="296">
        <v>0</v>
      </c>
      <c r="AN11" s="296">
        <f t="shared" si="28"/>
        <v>0</v>
      </c>
      <c r="AO11" s="296">
        <f t="shared" si="7"/>
        <v>0</v>
      </c>
    </row>
    <row r="12" spans="1:41" ht="16.149999999999999" customHeight="1">
      <c r="A12" s="205">
        <v>6</v>
      </c>
      <c r="B12" s="206" t="s">
        <v>78</v>
      </c>
      <c r="C12" s="994">
        <v>0</v>
      </c>
      <c r="D12" s="208">
        <f>+'Table 5C1A-Madison Prep'!D12</f>
        <v>5378.5086124955869</v>
      </c>
      <c r="E12" s="209">
        <f t="shared" si="8"/>
        <v>0</v>
      </c>
      <c r="F12" s="209">
        <f>+'Table 5C1A-Madison Prep'!F12</f>
        <v>545.4799999999999</v>
      </c>
      <c r="G12" s="209">
        <f t="shared" si="9"/>
        <v>0</v>
      </c>
      <c r="H12" s="344">
        <f t="shared" si="10"/>
        <v>0</v>
      </c>
      <c r="I12" s="210">
        <f>'[1]Oct midyear Vision'!K9</f>
        <v>0</v>
      </c>
      <c r="J12" s="210">
        <f>'[1]Feb midyear Vision'!K9</f>
        <v>0</v>
      </c>
      <c r="K12" s="211">
        <f t="shared" si="11"/>
        <v>0</v>
      </c>
      <c r="L12" s="344">
        <f t="shared" si="12"/>
        <v>0</v>
      </c>
      <c r="M12" s="273">
        <f t="shared" si="4"/>
        <v>0</v>
      </c>
      <c r="N12" s="344">
        <f t="shared" si="13"/>
        <v>0</v>
      </c>
      <c r="O12" s="208">
        <v>0</v>
      </c>
      <c r="P12" s="350">
        <f t="shared" si="14"/>
        <v>0</v>
      </c>
      <c r="Q12" s="210">
        <f>8*'[2]Table 5C1P-Vision'!S12</f>
        <v>0</v>
      </c>
      <c r="R12" s="210">
        <f t="shared" si="15"/>
        <v>0</v>
      </c>
      <c r="S12" s="350">
        <f t="shared" si="5"/>
        <v>0</v>
      </c>
      <c r="T12" s="350">
        <f t="shared" si="16"/>
        <v>0</v>
      </c>
      <c r="U12" s="274">
        <f>'Table 5C1A-Madison Prep'!U12</f>
        <v>4057</v>
      </c>
      <c r="V12" s="327">
        <f t="shared" si="17"/>
        <v>0</v>
      </c>
      <c r="W12" s="883">
        <f>'[1]Oct midyear Vision'!E9</f>
        <v>0</v>
      </c>
      <c r="X12" s="276">
        <f t="shared" si="18"/>
        <v>0</v>
      </c>
      <c r="Y12" s="883">
        <f>'[1]Feb midyear Vision'!E9</f>
        <v>0</v>
      </c>
      <c r="Z12" s="276">
        <f t="shared" si="19"/>
        <v>0</v>
      </c>
      <c r="AA12" s="275">
        <f t="shared" si="20"/>
        <v>0</v>
      </c>
      <c r="AB12" s="323">
        <f t="shared" si="21"/>
        <v>0</v>
      </c>
      <c r="AC12" s="278">
        <f t="shared" si="22"/>
        <v>0</v>
      </c>
      <c r="AD12" s="323">
        <f t="shared" si="23"/>
        <v>0</v>
      </c>
      <c r="AE12" s="279">
        <v>0</v>
      </c>
      <c r="AF12" s="323">
        <f t="shared" si="24"/>
        <v>0</v>
      </c>
      <c r="AG12" s="279">
        <f>8*'[2]Table 5C1P-Vision'!AI12</f>
        <v>0</v>
      </c>
      <c r="AH12" s="279">
        <f t="shared" si="25"/>
        <v>0</v>
      </c>
      <c r="AI12" s="323">
        <f t="shared" si="6"/>
        <v>0</v>
      </c>
      <c r="AJ12" s="337">
        <f t="shared" si="26"/>
        <v>0</v>
      </c>
      <c r="AK12" s="341">
        <f t="shared" si="27"/>
        <v>0</v>
      </c>
      <c r="AM12" s="273">
        <v>0</v>
      </c>
      <c r="AN12" s="273">
        <f t="shared" si="28"/>
        <v>0</v>
      </c>
      <c r="AO12" s="273">
        <f t="shared" si="7"/>
        <v>0</v>
      </c>
    </row>
    <row r="13" spans="1:41" ht="16.149999999999999" customHeight="1">
      <c r="A13" s="198">
        <v>7</v>
      </c>
      <c r="B13" s="199" t="s">
        <v>79</v>
      </c>
      <c r="C13" s="995">
        <v>0</v>
      </c>
      <c r="D13" s="201">
        <f>+'Table 5C1A-Madison Prep'!D13</f>
        <v>2243.0031963470319</v>
      </c>
      <c r="E13" s="202">
        <f t="shared" si="8"/>
        <v>0</v>
      </c>
      <c r="F13" s="202">
        <f>+'Table 5C1A-Madison Prep'!F13</f>
        <v>756.91999999999985</v>
      </c>
      <c r="G13" s="202">
        <f t="shared" si="9"/>
        <v>0</v>
      </c>
      <c r="H13" s="345">
        <f t="shared" si="10"/>
        <v>0</v>
      </c>
      <c r="I13" s="203">
        <f>'[1]Oct midyear Vision'!K10</f>
        <v>0</v>
      </c>
      <c r="J13" s="203">
        <f>'[1]Feb midyear Vision'!K10</f>
        <v>0</v>
      </c>
      <c r="K13" s="204">
        <f t="shared" si="11"/>
        <v>0</v>
      </c>
      <c r="L13" s="345">
        <f t="shared" si="12"/>
        <v>0</v>
      </c>
      <c r="M13" s="286">
        <f t="shared" si="4"/>
        <v>0</v>
      </c>
      <c r="N13" s="345">
        <f t="shared" si="13"/>
        <v>0</v>
      </c>
      <c r="O13" s="201">
        <v>0</v>
      </c>
      <c r="P13" s="351">
        <f t="shared" si="14"/>
        <v>0</v>
      </c>
      <c r="Q13" s="203">
        <f>8*'[2]Table 5C1P-Vision'!S13</f>
        <v>0</v>
      </c>
      <c r="R13" s="203">
        <f t="shared" si="15"/>
        <v>0</v>
      </c>
      <c r="S13" s="351">
        <f t="shared" si="5"/>
        <v>0</v>
      </c>
      <c r="T13" s="351">
        <f t="shared" si="16"/>
        <v>0</v>
      </c>
      <c r="U13" s="287">
        <f>'Table 5C1A-Madison Prep'!U13</f>
        <v>12112</v>
      </c>
      <c r="V13" s="328">
        <f t="shared" si="17"/>
        <v>0</v>
      </c>
      <c r="W13" s="289">
        <f>'[1]Oct midyear Vision'!E10</f>
        <v>0</v>
      </c>
      <c r="X13" s="290">
        <f t="shared" si="18"/>
        <v>0</v>
      </c>
      <c r="Y13" s="289">
        <f>'[1]Feb midyear Vision'!E10</f>
        <v>0</v>
      </c>
      <c r="Z13" s="290">
        <f t="shared" si="19"/>
        <v>0</v>
      </c>
      <c r="AA13" s="288">
        <f t="shared" si="20"/>
        <v>0</v>
      </c>
      <c r="AB13" s="324">
        <f t="shared" si="21"/>
        <v>0</v>
      </c>
      <c r="AC13" s="292">
        <f t="shared" si="22"/>
        <v>0</v>
      </c>
      <c r="AD13" s="324">
        <f t="shared" si="23"/>
        <v>0</v>
      </c>
      <c r="AE13" s="293">
        <v>0</v>
      </c>
      <c r="AF13" s="324">
        <f t="shared" si="24"/>
        <v>0</v>
      </c>
      <c r="AG13" s="293">
        <f>8*'[2]Table 5C1P-Vision'!AI13</f>
        <v>0</v>
      </c>
      <c r="AH13" s="293">
        <f t="shared" si="25"/>
        <v>0</v>
      </c>
      <c r="AI13" s="324">
        <f t="shared" si="6"/>
        <v>0</v>
      </c>
      <c r="AJ13" s="321">
        <f t="shared" si="26"/>
        <v>0</v>
      </c>
      <c r="AK13" s="342">
        <f t="shared" si="27"/>
        <v>0</v>
      </c>
      <c r="AM13" s="286">
        <v>0</v>
      </c>
      <c r="AN13" s="286">
        <f t="shared" si="28"/>
        <v>0</v>
      </c>
      <c r="AO13" s="286">
        <f t="shared" si="7"/>
        <v>0</v>
      </c>
    </row>
    <row r="14" spans="1:41" ht="16.149999999999999" customHeight="1">
      <c r="A14" s="198">
        <v>8</v>
      </c>
      <c r="B14" s="199" t="s">
        <v>80</v>
      </c>
      <c r="C14" s="995">
        <v>0</v>
      </c>
      <c r="D14" s="201">
        <f>+'Table 5C1A-Madison Prep'!D14</f>
        <v>4669.802459558854</v>
      </c>
      <c r="E14" s="202">
        <f t="shared" si="8"/>
        <v>0</v>
      </c>
      <c r="F14" s="202">
        <f>+'Table 5C1A-Madison Prep'!F14</f>
        <v>725.76</v>
      </c>
      <c r="G14" s="202">
        <f t="shared" si="9"/>
        <v>0</v>
      </c>
      <c r="H14" s="345">
        <f t="shared" si="10"/>
        <v>0</v>
      </c>
      <c r="I14" s="203">
        <f>'[1]Oct midyear Vision'!K11</f>
        <v>0</v>
      </c>
      <c r="J14" s="203">
        <f>'[1]Feb midyear Vision'!K11</f>
        <v>0</v>
      </c>
      <c r="K14" s="204">
        <f t="shared" si="11"/>
        <v>0</v>
      </c>
      <c r="L14" s="345">
        <f t="shared" si="12"/>
        <v>0</v>
      </c>
      <c r="M14" s="286">
        <f t="shared" si="4"/>
        <v>0</v>
      </c>
      <c r="N14" s="345">
        <f t="shared" si="13"/>
        <v>0</v>
      </c>
      <c r="O14" s="201">
        <v>0</v>
      </c>
      <c r="P14" s="351">
        <f t="shared" si="14"/>
        <v>0</v>
      </c>
      <c r="Q14" s="203">
        <f>8*'[2]Table 5C1P-Vision'!S14</f>
        <v>0</v>
      </c>
      <c r="R14" s="203">
        <f t="shared" si="15"/>
        <v>0</v>
      </c>
      <c r="S14" s="351">
        <f t="shared" si="5"/>
        <v>0</v>
      </c>
      <c r="T14" s="351">
        <f t="shared" si="16"/>
        <v>0</v>
      </c>
      <c r="U14" s="287">
        <f>'Table 5C1A-Madison Prep'!U14</f>
        <v>4124</v>
      </c>
      <c r="V14" s="328">
        <f t="shared" si="17"/>
        <v>0</v>
      </c>
      <c r="W14" s="289">
        <f>'[1]Oct midyear Vision'!E11</f>
        <v>0</v>
      </c>
      <c r="X14" s="290">
        <f t="shared" si="18"/>
        <v>0</v>
      </c>
      <c r="Y14" s="289">
        <f>'[1]Feb midyear Vision'!E11</f>
        <v>0</v>
      </c>
      <c r="Z14" s="290">
        <f t="shared" si="19"/>
        <v>0</v>
      </c>
      <c r="AA14" s="288">
        <f t="shared" si="20"/>
        <v>0</v>
      </c>
      <c r="AB14" s="324">
        <f t="shared" si="21"/>
        <v>0</v>
      </c>
      <c r="AC14" s="292">
        <f t="shared" si="22"/>
        <v>0</v>
      </c>
      <c r="AD14" s="324">
        <f t="shared" si="23"/>
        <v>0</v>
      </c>
      <c r="AE14" s="293">
        <v>0</v>
      </c>
      <c r="AF14" s="324">
        <f t="shared" si="24"/>
        <v>0</v>
      </c>
      <c r="AG14" s="293">
        <f>8*'[2]Table 5C1P-Vision'!AI14</f>
        <v>0</v>
      </c>
      <c r="AH14" s="293">
        <f t="shared" si="25"/>
        <v>0</v>
      </c>
      <c r="AI14" s="324">
        <f t="shared" si="6"/>
        <v>0</v>
      </c>
      <c r="AJ14" s="321">
        <f t="shared" si="26"/>
        <v>0</v>
      </c>
      <c r="AK14" s="342">
        <f t="shared" si="27"/>
        <v>0</v>
      </c>
      <c r="AM14" s="286">
        <v>0</v>
      </c>
      <c r="AN14" s="286">
        <f t="shared" si="28"/>
        <v>0</v>
      </c>
      <c r="AO14" s="286">
        <f t="shared" si="7"/>
        <v>0</v>
      </c>
    </row>
    <row r="15" spans="1:41" ht="16.149999999999999" customHeight="1">
      <c r="A15" s="198">
        <v>9</v>
      </c>
      <c r="B15" s="199" t="s">
        <v>81</v>
      </c>
      <c r="C15" s="995">
        <v>0</v>
      </c>
      <c r="D15" s="201">
        <f>+'Table 5C1A-Madison Prep'!D15</f>
        <v>4632.4615072045008</v>
      </c>
      <c r="E15" s="202">
        <f t="shared" si="8"/>
        <v>0</v>
      </c>
      <c r="F15" s="202">
        <f>+'Table 5C1A-Madison Prep'!F15</f>
        <v>744.76</v>
      </c>
      <c r="G15" s="202">
        <f t="shared" si="9"/>
        <v>0</v>
      </c>
      <c r="H15" s="345">
        <f t="shared" si="10"/>
        <v>0</v>
      </c>
      <c r="I15" s="203">
        <f>'[1]Oct midyear Vision'!K12</f>
        <v>0</v>
      </c>
      <c r="J15" s="203">
        <f>'[1]Feb midyear Vision'!K12</f>
        <v>0</v>
      </c>
      <c r="K15" s="204">
        <f t="shared" si="11"/>
        <v>0</v>
      </c>
      <c r="L15" s="345">
        <f t="shared" si="12"/>
        <v>0</v>
      </c>
      <c r="M15" s="286">
        <f t="shared" si="4"/>
        <v>0</v>
      </c>
      <c r="N15" s="345">
        <f t="shared" si="13"/>
        <v>0</v>
      </c>
      <c r="O15" s="201">
        <v>0</v>
      </c>
      <c r="P15" s="351">
        <f t="shared" si="14"/>
        <v>0</v>
      </c>
      <c r="Q15" s="203">
        <f>8*'[2]Table 5C1P-Vision'!S15</f>
        <v>0</v>
      </c>
      <c r="R15" s="203">
        <f t="shared" si="15"/>
        <v>0</v>
      </c>
      <c r="S15" s="351">
        <f t="shared" si="5"/>
        <v>0</v>
      </c>
      <c r="T15" s="351">
        <f t="shared" si="16"/>
        <v>0</v>
      </c>
      <c r="U15" s="287">
        <f>'Table 5C1A-Madison Prep'!U15</f>
        <v>4901</v>
      </c>
      <c r="V15" s="328">
        <f t="shared" si="17"/>
        <v>0</v>
      </c>
      <c r="W15" s="289">
        <f>'[1]Oct midyear Vision'!E12</f>
        <v>0</v>
      </c>
      <c r="X15" s="290">
        <f t="shared" si="18"/>
        <v>0</v>
      </c>
      <c r="Y15" s="289">
        <f>'[1]Feb midyear Vision'!E12</f>
        <v>0</v>
      </c>
      <c r="Z15" s="290">
        <f t="shared" si="19"/>
        <v>0</v>
      </c>
      <c r="AA15" s="288">
        <f t="shared" si="20"/>
        <v>0</v>
      </c>
      <c r="AB15" s="324">
        <f t="shared" si="21"/>
        <v>0</v>
      </c>
      <c r="AC15" s="292">
        <f t="shared" si="22"/>
        <v>0</v>
      </c>
      <c r="AD15" s="324">
        <f t="shared" si="23"/>
        <v>0</v>
      </c>
      <c r="AE15" s="293">
        <v>0</v>
      </c>
      <c r="AF15" s="324">
        <f t="shared" si="24"/>
        <v>0</v>
      </c>
      <c r="AG15" s="293">
        <f>8*'[2]Table 5C1P-Vision'!AI15</f>
        <v>0</v>
      </c>
      <c r="AH15" s="293">
        <f t="shared" si="25"/>
        <v>0</v>
      </c>
      <c r="AI15" s="324">
        <f t="shared" si="6"/>
        <v>0</v>
      </c>
      <c r="AJ15" s="321">
        <f t="shared" si="26"/>
        <v>0</v>
      </c>
      <c r="AK15" s="342">
        <f t="shared" si="27"/>
        <v>0</v>
      </c>
      <c r="AM15" s="286">
        <v>0</v>
      </c>
      <c r="AN15" s="286">
        <f t="shared" si="28"/>
        <v>0</v>
      </c>
      <c r="AO15" s="286">
        <f t="shared" si="7"/>
        <v>0</v>
      </c>
    </row>
    <row r="16" spans="1:41" ht="16.149999999999999" customHeight="1">
      <c r="A16" s="191">
        <v>10</v>
      </c>
      <c r="B16" s="192" t="s">
        <v>82</v>
      </c>
      <c r="C16" s="996">
        <v>0</v>
      </c>
      <c r="D16" s="194">
        <f>+'Table 5C1A-Madison Prep'!D16</f>
        <v>4384.374733918472</v>
      </c>
      <c r="E16" s="195">
        <f t="shared" si="8"/>
        <v>0</v>
      </c>
      <c r="F16" s="195">
        <f>+'Table 5C1A-Madison Prep'!F16</f>
        <v>608.04000000000008</v>
      </c>
      <c r="G16" s="195">
        <f t="shared" si="9"/>
        <v>0</v>
      </c>
      <c r="H16" s="346">
        <f t="shared" si="10"/>
        <v>0</v>
      </c>
      <c r="I16" s="196">
        <f>'[1]Oct midyear Vision'!K13</f>
        <v>0</v>
      </c>
      <c r="J16" s="196">
        <f>'[1]Feb midyear Vision'!K13</f>
        <v>0</v>
      </c>
      <c r="K16" s="197">
        <f t="shared" si="11"/>
        <v>0</v>
      </c>
      <c r="L16" s="346">
        <f t="shared" si="12"/>
        <v>0</v>
      </c>
      <c r="M16" s="296">
        <f t="shared" si="4"/>
        <v>0</v>
      </c>
      <c r="N16" s="346">
        <f t="shared" si="13"/>
        <v>0</v>
      </c>
      <c r="O16" s="194">
        <v>0</v>
      </c>
      <c r="P16" s="352">
        <f t="shared" si="14"/>
        <v>0</v>
      </c>
      <c r="Q16" s="196">
        <f>8*'[2]Table 5C1P-Vision'!S16</f>
        <v>0</v>
      </c>
      <c r="R16" s="196">
        <f t="shared" si="15"/>
        <v>0</v>
      </c>
      <c r="S16" s="352">
        <f t="shared" si="5"/>
        <v>0</v>
      </c>
      <c r="T16" s="352">
        <f t="shared" si="16"/>
        <v>0</v>
      </c>
      <c r="U16" s="281">
        <f>'Table 5C1A-Madison Prep'!U16</f>
        <v>4619</v>
      </c>
      <c r="V16" s="329">
        <f t="shared" si="17"/>
        <v>0</v>
      </c>
      <c r="W16" s="884">
        <f>'[1]Oct midyear Vision'!E13</f>
        <v>0</v>
      </c>
      <c r="X16" s="282">
        <f t="shared" si="18"/>
        <v>0</v>
      </c>
      <c r="Y16" s="884">
        <f>'[1]Feb midyear Vision'!E13</f>
        <v>0</v>
      </c>
      <c r="Z16" s="282">
        <f t="shared" si="19"/>
        <v>0</v>
      </c>
      <c r="AA16" s="283">
        <f t="shared" si="20"/>
        <v>0</v>
      </c>
      <c r="AB16" s="325">
        <f t="shared" si="21"/>
        <v>0</v>
      </c>
      <c r="AC16" s="298">
        <f t="shared" si="22"/>
        <v>0</v>
      </c>
      <c r="AD16" s="325">
        <f t="shared" si="23"/>
        <v>0</v>
      </c>
      <c r="AE16" s="284">
        <v>0</v>
      </c>
      <c r="AF16" s="325">
        <f t="shared" si="24"/>
        <v>0</v>
      </c>
      <c r="AG16" s="284">
        <f>8*'[2]Table 5C1P-Vision'!AI16</f>
        <v>0</v>
      </c>
      <c r="AH16" s="284">
        <f t="shared" si="25"/>
        <v>0</v>
      </c>
      <c r="AI16" s="325">
        <f t="shared" si="6"/>
        <v>0</v>
      </c>
      <c r="AJ16" s="338">
        <f t="shared" si="26"/>
        <v>0</v>
      </c>
      <c r="AK16" s="343">
        <f t="shared" si="27"/>
        <v>0</v>
      </c>
      <c r="AM16" s="296">
        <v>0</v>
      </c>
      <c r="AN16" s="296">
        <f t="shared" si="28"/>
        <v>0</v>
      </c>
      <c r="AO16" s="296">
        <f t="shared" si="7"/>
        <v>0</v>
      </c>
    </row>
    <row r="17" spans="1:41" ht="16.149999999999999" customHeight="1">
      <c r="A17" s="205">
        <v>11</v>
      </c>
      <c r="B17" s="206" t="s">
        <v>83</v>
      </c>
      <c r="C17" s="994">
        <v>0</v>
      </c>
      <c r="D17" s="208">
        <f>+'Table 5C1A-Madison Prep'!D17</f>
        <v>7098.5372236353351</v>
      </c>
      <c r="E17" s="209">
        <f t="shared" si="8"/>
        <v>0</v>
      </c>
      <c r="F17" s="209">
        <f>+'Table 5C1A-Madison Prep'!F17</f>
        <v>706.55</v>
      </c>
      <c r="G17" s="209">
        <f t="shared" si="9"/>
        <v>0</v>
      </c>
      <c r="H17" s="344">
        <f t="shared" si="10"/>
        <v>0</v>
      </c>
      <c r="I17" s="210">
        <f>'[1]Oct midyear Vision'!K14</f>
        <v>0</v>
      </c>
      <c r="J17" s="210">
        <f>'[1]Feb midyear Vision'!K14</f>
        <v>0</v>
      </c>
      <c r="K17" s="211">
        <f t="shared" si="11"/>
        <v>0</v>
      </c>
      <c r="L17" s="344">
        <f t="shared" si="12"/>
        <v>0</v>
      </c>
      <c r="M17" s="273">
        <f t="shared" si="4"/>
        <v>0</v>
      </c>
      <c r="N17" s="344">
        <f t="shared" si="13"/>
        <v>0</v>
      </c>
      <c r="O17" s="208">
        <v>0</v>
      </c>
      <c r="P17" s="350">
        <f t="shared" si="14"/>
        <v>0</v>
      </c>
      <c r="Q17" s="210">
        <f>8*'[2]Table 5C1P-Vision'!S17</f>
        <v>0</v>
      </c>
      <c r="R17" s="210">
        <f t="shared" si="15"/>
        <v>0</v>
      </c>
      <c r="S17" s="350">
        <f t="shared" si="5"/>
        <v>0</v>
      </c>
      <c r="T17" s="350">
        <f t="shared" si="16"/>
        <v>0</v>
      </c>
      <c r="U17" s="274">
        <f>'Table 5C1A-Madison Prep'!U17</f>
        <v>3580</v>
      </c>
      <c r="V17" s="327">
        <f t="shared" si="17"/>
        <v>0</v>
      </c>
      <c r="W17" s="883">
        <f>'[1]Oct midyear Vision'!E14</f>
        <v>0</v>
      </c>
      <c r="X17" s="276">
        <f t="shared" si="18"/>
        <v>0</v>
      </c>
      <c r="Y17" s="883">
        <f>'[1]Feb midyear Vision'!E14</f>
        <v>0</v>
      </c>
      <c r="Z17" s="276">
        <f t="shared" si="19"/>
        <v>0</v>
      </c>
      <c r="AA17" s="275">
        <f t="shared" si="20"/>
        <v>0</v>
      </c>
      <c r="AB17" s="323">
        <f t="shared" si="21"/>
        <v>0</v>
      </c>
      <c r="AC17" s="278">
        <f t="shared" si="22"/>
        <v>0</v>
      </c>
      <c r="AD17" s="323">
        <f t="shared" si="23"/>
        <v>0</v>
      </c>
      <c r="AE17" s="279">
        <v>0</v>
      </c>
      <c r="AF17" s="323">
        <f t="shared" si="24"/>
        <v>0</v>
      </c>
      <c r="AG17" s="279">
        <f>8*'[2]Table 5C1P-Vision'!AI17</f>
        <v>0</v>
      </c>
      <c r="AH17" s="279">
        <f t="shared" si="25"/>
        <v>0</v>
      </c>
      <c r="AI17" s="323">
        <f t="shared" si="6"/>
        <v>0</v>
      </c>
      <c r="AJ17" s="337">
        <f t="shared" si="26"/>
        <v>0</v>
      </c>
      <c r="AK17" s="341">
        <f t="shared" si="27"/>
        <v>0</v>
      </c>
      <c r="AM17" s="273">
        <v>0</v>
      </c>
      <c r="AN17" s="273">
        <f t="shared" si="28"/>
        <v>0</v>
      </c>
      <c r="AO17" s="273">
        <f t="shared" si="7"/>
        <v>0</v>
      </c>
    </row>
    <row r="18" spans="1:41" ht="16.149999999999999" customHeight="1">
      <c r="A18" s="198">
        <v>12</v>
      </c>
      <c r="B18" s="199" t="s">
        <v>84</v>
      </c>
      <c r="C18" s="995">
        <v>0</v>
      </c>
      <c r="D18" s="201">
        <f>+'Table 5C1A-Madison Prep'!D18</f>
        <v>1666.6040983606558</v>
      </c>
      <c r="E18" s="202">
        <f t="shared" si="8"/>
        <v>0</v>
      </c>
      <c r="F18" s="202">
        <f>+'Table 5C1A-Madison Prep'!F18</f>
        <v>1063.31</v>
      </c>
      <c r="G18" s="202">
        <f t="shared" si="9"/>
        <v>0</v>
      </c>
      <c r="H18" s="345">
        <f t="shared" si="10"/>
        <v>0</v>
      </c>
      <c r="I18" s="203">
        <f>'[1]Oct midyear Vision'!K15</f>
        <v>0</v>
      </c>
      <c r="J18" s="203">
        <f>'[1]Feb midyear Vision'!K15</f>
        <v>0</v>
      </c>
      <c r="K18" s="204">
        <f t="shared" si="11"/>
        <v>0</v>
      </c>
      <c r="L18" s="345">
        <f t="shared" si="12"/>
        <v>0</v>
      </c>
      <c r="M18" s="286">
        <f t="shared" si="4"/>
        <v>0</v>
      </c>
      <c r="N18" s="345">
        <f t="shared" si="13"/>
        <v>0</v>
      </c>
      <c r="O18" s="201">
        <v>0</v>
      </c>
      <c r="P18" s="351">
        <f t="shared" si="14"/>
        <v>0</v>
      </c>
      <c r="Q18" s="203">
        <f>8*'[2]Table 5C1P-Vision'!S18</f>
        <v>0</v>
      </c>
      <c r="R18" s="203">
        <f t="shared" si="15"/>
        <v>0</v>
      </c>
      <c r="S18" s="351">
        <f t="shared" si="5"/>
        <v>0</v>
      </c>
      <c r="T18" s="351">
        <f t="shared" si="16"/>
        <v>0</v>
      </c>
      <c r="U18" s="287">
        <f>'Table 5C1A-Madison Prep'!U18</f>
        <v>8094</v>
      </c>
      <c r="V18" s="328">
        <f t="shared" si="17"/>
        <v>0</v>
      </c>
      <c r="W18" s="289">
        <f>'[1]Oct midyear Vision'!E15</f>
        <v>0</v>
      </c>
      <c r="X18" s="290">
        <f t="shared" si="18"/>
        <v>0</v>
      </c>
      <c r="Y18" s="289">
        <f>'[1]Feb midyear Vision'!E15</f>
        <v>0</v>
      </c>
      <c r="Z18" s="290">
        <f t="shared" si="19"/>
        <v>0</v>
      </c>
      <c r="AA18" s="288">
        <f t="shared" si="20"/>
        <v>0</v>
      </c>
      <c r="AB18" s="324">
        <f t="shared" si="21"/>
        <v>0</v>
      </c>
      <c r="AC18" s="292">
        <f t="shared" si="22"/>
        <v>0</v>
      </c>
      <c r="AD18" s="324">
        <f t="shared" si="23"/>
        <v>0</v>
      </c>
      <c r="AE18" s="293">
        <v>0</v>
      </c>
      <c r="AF18" s="324">
        <f t="shared" si="24"/>
        <v>0</v>
      </c>
      <c r="AG18" s="293">
        <f>8*'[2]Table 5C1P-Vision'!AI18</f>
        <v>0</v>
      </c>
      <c r="AH18" s="293">
        <f t="shared" si="25"/>
        <v>0</v>
      </c>
      <c r="AI18" s="324">
        <f t="shared" si="6"/>
        <v>0</v>
      </c>
      <c r="AJ18" s="321">
        <f t="shared" si="26"/>
        <v>0</v>
      </c>
      <c r="AK18" s="342">
        <f t="shared" si="27"/>
        <v>0</v>
      </c>
      <c r="AM18" s="286">
        <v>0</v>
      </c>
      <c r="AN18" s="286">
        <f t="shared" si="28"/>
        <v>0</v>
      </c>
      <c r="AO18" s="286">
        <f t="shared" si="7"/>
        <v>0</v>
      </c>
    </row>
    <row r="19" spans="1:41" ht="16.149999999999999" customHeight="1">
      <c r="A19" s="198">
        <v>13</v>
      </c>
      <c r="B19" s="199" t="s">
        <v>85</v>
      </c>
      <c r="C19" s="995">
        <v>0</v>
      </c>
      <c r="D19" s="201">
        <f>+'Table 5C1A-Madison Prep'!D19</f>
        <v>6433.6297758332212</v>
      </c>
      <c r="E19" s="202">
        <f t="shared" si="8"/>
        <v>0</v>
      </c>
      <c r="F19" s="202">
        <f>+'Table 5C1A-Madison Prep'!F19</f>
        <v>749.43000000000006</v>
      </c>
      <c r="G19" s="202">
        <f t="shared" si="9"/>
        <v>0</v>
      </c>
      <c r="H19" s="345">
        <f t="shared" si="10"/>
        <v>0</v>
      </c>
      <c r="I19" s="203">
        <f>'[1]Oct midyear Vision'!K16</f>
        <v>0</v>
      </c>
      <c r="J19" s="203">
        <f>'[1]Feb midyear Vision'!K16</f>
        <v>0</v>
      </c>
      <c r="K19" s="204">
        <f t="shared" si="11"/>
        <v>0</v>
      </c>
      <c r="L19" s="345">
        <f t="shared" si="12"/>
        <v>0</v>
      </c>
      <c r="M19" s="286">
        <f t="shared" si="4"/>
        <v>0</v>
      </c>
      <c r="N19" s="345">
        <f t="shared" si="13"/>
        <v>0</v>
      </c>
      <c r="O19" s="201">
        <v>0</v>
      </c>
      <c r="P19" s="351">
        <f t="shared" si="14"/>
        <v>0</v>
      </c>
      <c r="Q19" s="203">
        <f>8*'[2]Table 5C1P-Vision'!S19</f>
        <v>0</v>
      </c>
      <c r="R19" s="203">
        <f t="shared" si="15"/>
        <v>0</v>
      </c>
      <c r="S19" s="351">
        <f t="shared" si="5"/>
        <v>0</v>
      </c>
      <c r="T19" s="351">
        <f t="shared" si="16"/>
        <v>0</v>
      </c>
      <c r="U19" s="287">
        <f>'Table 5C1A-Madison Prep'!U19</f>
        <v>2762</v>
      </c>
      <c r="V19" s="328">
        <f t="shared" si="17"/>
        <v>0</v>
      </c>
      <c r="W19" s="289">
        <f>'[1]Oct midyear Vision'!E16</f>
        <v>0</v>
      </c>
      <c r="X19" s="290">
        <f t="shared" si="18"/>
        <v>0</v>
      </c>
      <c r="Y19" s="289">
        <f>'[1]Feb midyear Vision'!E16</f>
        <v>0</v>
      </c>
      <c r="Z19" s="290">
        <f t="shared" si="19"/>
        <v>0</v>
      </c>
      <c r="AA19" s="288">
        <f t="shared" si="20"/>
        <v>0</v>
      </c>
      <c r="AB19" s="324">
        <f t="shared" si="21"/>
        <v>0</v>
      </c>
      <c r="AC19" s="292">
        <f t="shared" si="22"/>
        <v>0</v>
      </c>
      <c r="AD19" s="324">
        <f t="shared" si="23"/>
        <v>0</v>
      </c>
      <c r="AE19" s="293">
        <v>0</v>
      </c>
      <c r="AF19" s="324">
        <f t="shared" si="24"/>
        <v>0</v>
      </c>
      <c r="AG19" s="293">
        <f>8*'[2]Table 5C1P-Vision'!AI19</f>
        <v>0</v>
      </c>
      <c r="AH19" s="293">
        <f t="shared" si="25"/>
        <v>0</v>
      </c>
      <c r="AI19" s="324">
        <f t="shared" si="6"/>
        <v>0</v>
      </c>
      <c r="AJ19" s="321">
        <f t="shared" si="26"/>
        <v>0</v>
      </c>
      <c r="AK19" s="342">
        <f t="shared" si="27"/>
        <v>0</v>
      </c>
      <c r="AM19" s="286">
        <v>0</v>
      </c>
      <c r="AN19" s="286">
        <f t="shared" si="28"/>
        <v>0</v>
      </c>
      <c r="AO19" s="286">
        <f t="shared" si="7"/>
        <v>0</v>
      </c>
    </row>
    <row r="20" spans="1:41" ht="16.149999999999999" customHeight="1">
      <c r="A20" s="198">
        <v>14</v>
      </c>
      <c r="B20" s="199" t="s">
        <v>86</v>
      </c>
      <c r="C20" s="995">
        <v>0</v>
      </c>
      <c r="D20" s="201">
        <f>+'Table 5C1A-Madison Prep'!D20</f>
        <v>5334.9509412500001</v>
      </c>
      <c r="E20" s="202">
        <f t="shared" si="8"/>
        <v>0</v>
      </c>
      <c r="F20" s="202">
        <f>+'Table 5C1A-Madison Prep'!F20</f>
        <v>809.9799999999999</v>
      </c>
      <c r="G20" s="202">
        <f t="shared" si="9"/>
        <v>0</v>
      </c>
      <c r="H20" s="345">
        <f t="shared" si="10"/>
        <v>0</v>
      </c>
      <c r="I20" s="203">
        <f>'[1]Oct midyear Vision'!K17</f>
        <v>0</v>
      </c>
      <c r="J20" s="203">
        <f>'[1]Feb midyear Vision'!K17</f>
        <v>0</v>
      </c>
      <c r="K20" s="204">
        <f t="shared" si="11"/>
        <v>0</v>
      </c>
      <c r="L20" s="345">
        <f t="shared" si="12"/>
        <v>0</v>
      </c>
      <c r="M20" s="286">
        <f t="shared" si="4"/>
        <v>0</v>
      </c>
      <c r="N20" s="345">
        <f t="shared" si="13"/>
        <v>0</v>
      </c>
      <c r="O20" s="201">
        <v>0</v>
      </c>
      <c r="P20" s="351">
        <f t="shared" si="14"/>
        <v>0</v>
      </c>
      <c r="Q20" s="203">
        <f>8*'[2]Table 5C1P-Vision'!S20</f>
        <v>0</v>
      </c>
      <c r="R20" s="203">
        <f t="shared" si="15"/>
        <v>0</v>
      </c>
      <c r="S20" s="351">
        <f t="shared" si="5"/>
        <v>0</v>
      </c>
      <c r="T20" s="351">
        <f t="shared" si="16"/>
        <v>0</v>
      </c>
      <c r="U20" s="287">
        <f>'Table 5C1A-Madison Prep'!U20</f>
        <v>4171</v>
      </c>
      <c r="V20" s="328">
        <f t="shared" si="17"/>
        <v>0</v>
      </c>
      <c r="W20" s="289">
        <f>'[1]Oct midyear Vision'!E17</f>
        <v>0</v>
      </c>
      <c r="X20" s="290">
        <f t="shared" si="18"/>
        <v>0</v>
      </c>
      <c r="Y20" s="289">
        <f>'[1]Feb midyear Vision'!E17</f>
        <v>0</v>
      </c>
      <c r="Z20" s="290">
        <f t="shared" si="19"/>
        <v>0</v>
      </c>
      <c r="AA20" s="288">
        <f t="shared" si="20"/>
        <v>0</v>
      </c>
      <c r="AB20" s="324">
        <f t="shared" si="21"/>
        <v>0</v>
      </c>
      <c r="AC20" s="292">
        <f t="shared" si="22"/>
        <v>0</v>
      </c>
      <c r="AD20" s="324">
        <f t="shared" si="23"/>
        <v>0</v>
      </c>
      <c r="AE20" s="293">
        <v>0</v>
      </c>
      <c r="AF20" s="324">
        <f t="shared" si="24"/>
        <v>0</v>
      </c>
      <c r="AG20" s="293">
        <f>8*'[2]Table 5C1P-Vision'!AI20</f>
        <v>0</v>
      </c>
      <c r="AH20" s="293">
        <f t="shared" si="25"/>
        <v>0</v>
      </c>
      <c r="AI20" s="324">
        <f t="shared" si="6"/>
        <v>0</v>
      </c>
      <c r="AJ20" s="321">
        <f t="shared" si="26"/>
        <v>0</v>
      </c>
      <c r="AK20" s="342">
        <f t="shared" si="27"/>
        <v>0</v>
      </c>
      <c r="AM20" s="286">
        <v>0</v>
      </c>
      <c r="AN20" s="286">
        <f t="shared" si="28"/>
        <v>0</v>
      </c>
      <c r="AO20" s="286">
        <f t="shared" si="7"/>
        <v>0</v>
      </c>
    </row>
    <row r="21" spans="1:41" ht="16.149999999999999" customHeight="1">
      <c r="A21" s="191">
        <v>15</v>
      </c>
      <c r="B21" s="192" t="s">
        <v>87</v>
      </c>
      <c r="C21" s="996">
        <v>0</v>
      </c>
      <c r="D21" s="194">
        <f>+'Table 5C1A-Madison Prep'!D21</f>
        <v>5749.8285214059952</v>
      </c>
      <c r="E21" s="195">
        <f t="shared" si="8"/>
        <v>0</v>
      </c>
      <c r="F21" s="195">
        <f>+'Table 5C1A-Madison Prep'!F21</f>
        <v>553.79999999999995</v>
      </c>
      <c r="G21" s="195">
        <f t="shared" si="9"/>
        <v>0</v>
      </c>
      <c r="H21" s="346">
        <f t="shared" si="10"/>
        <v>0</v>
      </c>
      <c r="I21" s="196">
        <f>'[1]Oct midyear Vision'!K18</f>
        <v>0</v>
      </c>
      <c r="J21" s="196">
        <f>'[1]Feb midyear Vision'!K18</f>
        <v>0</v>
      </c>
      <c r="K21" s="197">
        <f t="shared" si="11"/>
        <v>0</v>
      </c>
      <c r="L21" s="346">
        <f t="shared" si="12"/>
        <v>0</v>
      </c>
      <c r="M21" s="296">
        <f t="shared" si="4"/>
        <v>0</v>
      </c>
      <c r="N21" s="346">
        <f t="shared" si="13"/>
        <v>0</v>
      </c>
      <c r="O21" s="194">
        <v>0</v>
      </c>
      <c r="P21" s="352">
        <f t="shared" si="14"/>
        <v>0</v>
      </c>
      <c r="Q21" s="196">
        <f>8*'[2]Table 5C1P-Vision'!S21</f>
        <v>0</v>
      </c>
      <c r="R21" s="196">
        <f t="shared" si="15"/>
        <v>0</v>
      </c>
      <c r="S21" s="352">
        <f t="shared" si="5"/>
        <v>0</v>
      </c>
      <c r="T21" s="352">
        <f t="shared" si="16"/>
        <v>0</v>
      </c>
      <c r="U21" s="281">
        <f>'Table 5C1A-Madison Prep'!U21</f>
        <v>2880</v>
      </c>
      <c r="V21" s="329">
        <f t="shared" si="17"/>
        <v>0</v>
      </c>
      <c r="W21" s="884">
        <f>'[1]Oct midyear Vision'!E18</f>
        <v>0</v>
      </c>
      <c r="X21" s="282">
        <f t="shared" si="18"/>
        <v>0</v>
      </c>
      <c r="Y21" s="884">
        <f>'[1]Feb midyear Vision'!E18</f>
        <v>0</v>
      </c>
      <c r="Z21" s="282">
        <f t="shared" si="19"/>
        <v>0</v>
      </c>
      <c r="AA21" s="283">
        <f t="shared" si="20"/>
        <v>0</v>
      </c>
      <c r="AB21" s="325">
        <f t="shared" si="21"/>
        <v>0</v>
      </c>
      <c r="AC21" s="298">
        <f t="shared" si="22"/>
        <v>0</v>
      </c>
      <c r="AD21" s="325">
        <f t="shared" si="23"/>
        <v>0</v>
      </c>
      <c r="AE21" s="284">
        <v>0</v>
      </c>
      <c r="AF21" s="325">
        <f t="shared" si="24"/>
        <v>0</v>
      </c>
      <c r="AG21" s="284">
        <f>8*'[2]Table 5C1P-Vision'!AI21</f>
        <v>0</v>
      </c>
      <c r="AH21" s="284">
        <f t="shared" si="25"/>
        <v>0</v>
      </c>
      <c r="AI21" s="325">
        <f t="shared" si="6"/>
        <v>0</v>
      </c>
      <c r="AJ21" s="338">
        <f t="shared" si="26"/>
        <v>0</v>
      </c>
      <c r="AK21" s="343">
        <f t="shared" si="27"/>
        <v>0</v>
      </c>
      <c r="AM21" s="296">
        <v>0</v>
      </c>
      <c r="AN21" s="296">
        <f t="shared" si="28"/>
        <v>0</v>
      </c>
      <c r="AO21" s="296">
        <f t="shared" si="7"/>
        <v>0</v>
      </c>
    </row>
    <row r="22" spans="1:41" ht="16.149999999999999" customHeight="1">
      <c r="A22" s="205">
        <v>16</v>
      </c>
      <c r="B22" s="206" t="s">
        <v>88</v>
      </c>
      <c r="C22" s="994">
        <v>0</v>
      </c>
      <c r="D22" s="208">
        <f>+'Table 5C1A-Madison Prep'!D22</f>
        <v>1980.2494354342025</v>
      </c>
      <c r="E22" s="209">
        <f t="shared" si="8"/>
        <v>0</v>
      </c>
      <c r="F22" s="209">
        <f>+'Table 5C1A-Madison Prep'!F22</f>
        <v>686.73</v>
      </c>
      <c r="G22" s="209">
        <f t="shared" si="9"/>
        <v>0</v>
      </c>
      <c r="H22" s="344">
        <f t="shared" si="10"/>
        <v>0</v>
      </c>
      <c r="I22" s="210">
        <f>'[1]Oct midyear Vision'!K19</f>
        <v>0</v>
      </c>
      <c r="J22" s="210">
        <f>'[1]Feb midyear Vision'!K19</f>
        <v>0</v>
      </c>
      <c r="K22" s="211">
        <f t="shared" si="11"/>
        <v>0</v>
      </c>
      <c r="L22" s="344">
        <f t="shared" si="12"/>
        <v>0</v>
      </c>
      <c r="M22" s="273">
        <f t="shared" si="4"/>
        <v>0</v>
      </c>
      <c r="N22" s="344">
        <f t="shared" si="13"/>
        <v>0</v>
      </c>
      <c r="O22" s="208">
        <v>0</v>
      </c>
      <c r="P22" s="350">
        <f t="shared" si="14"/>
        <v>0</v>
      </c>
      <c r="Q22" s="210">
        <f>8*'[2]Table 5C1P-Vision'!S22</f>
        <v>0</v>
      </c>
      <c r="R22" s="210">
        <f t="shared" si="15"/>
        <v>0</v>
      </c>
      <c r="S22" s="350">
        <f t="shared" si="5"/>
        <v>0</v>
      </c>
      <c r="T22" s="350">
        <f t="shared" si="16"/>
        <v>0</v>
      </c>
      <c r="U22" s="274">
        <f>'Table 5C1A-Madison Prep'!U22</f>
        <v>13021</v>
      </c>
      <c r="V22" s="327">
        <f t="shared" si="17"/>
        <v>0</v>
      </c>
      <c r="W22" s="883">
        <f>'[1]Oct midyear Vision'!E19</f>
        <v>0</v>
      </c>
      <c r="X22" s="276">
        <f t="shared" si="18"/>
        <v>0</v>
      </c>
      <c r="Y22" s="883">
        <f>'[1]Feb midyear Vision'!E19</f>
        <v>0</v>
      </c>
      <c r="Z22" s="276">
        <f t="shared" si="19"/>
        <v>0</v>
      </c>
      <c r="AA22" s="275">
        <f t="shared" si="20"/>
        <v>0</v>
      </c>
      <c r="AB22" s="323">
        <f t="shared" si="21"/>
        <v>0</v>
      </c>
      <c r="AC22" s="278">
        <f t="shared" si="22"/>
        <v>0</v>
      </c>
      <c r="AD22" s="323">
        <f t="shared" si="23"/>
        <v>0</v>
      </c>
      <c r="AE22" s="279">
        <v>0</v>
      </c>
      <c r="AF22" s="323">
        <f t="shared" si="24"/>
        <v>0</v>
      </c>
      <c r="AG22" s="279">
        <f>8*'[2]Table 5C1P-Vision'!AI22</f>
        <v>0</v>
      </c>
      <c r="AH22" s="279">
        <f t="shared" si="25"/>
        <v>0</v>
      </c>
      <c r="AI22" s="323">
        <f t="shared" si="6"/>
        <v>0</v>
      </c>
      <c r="AJ22" s="337">
        <f t="shared" si="26"/>
        <v>0</v>
      </c>
      <c r="AK22" s="341">
        <f t="shared" si="27"/>
        <v>0</v>
      </c>
      <c r="AM22" s="273">
        <v>0</v>
      </c>
      <c r="AN22" s="273">
        <f t="shared" si="28"/>
        <v>0</v>
      </c>
      <c r="AO22" s="273">
        <f t="shared" si="7"/>
        <v>0</v>
      </c>
    </row>
    <row r="23" spans="1:41" ht="16.149999999999999" customHeight="1">
      <c r="A23" s="198">
        <v>17</v>
      </c>
      <c r="B23" s="199" t="s">
        <v>89</v>
      </c>
      <c r="C23" s="995">
        <v>0</v>
      </c>
      <c r="D23" s="201">
        <f>+'Table 5C1A-Madison Prep'!D23</f>
        <v>3363.5980368254495</v>
      </c>
      <c r="E23" s="202">
        <f t="shared" si="8"/>
        <v>0</v>
      </c>
      <c r="F23" s="202">
        <f>+'Table 5C1A-Madison Prep'!F23</f>
        <v>801.47762416806802</v>
      </c>
      <c r="G23" s="202">
        <f t="shared" si="9"/>
        <v>0</v>
      </c>
      <c r="H23" s="345">
        <f t="shared" si="10"/>
        <v>0</v>
      </c>
      <c r="I23" s="203">
        <f>'[1]Oct midyear Vision'!K20</f>
        <v>0</v>
      </c>
      <c r="J23" s="203">
        <f>'[1]Feb midyear Vision'!K20</f>
        <v>0</v>
      </c>
      <c r="K23" s="204">
        <f t="shared" si="11"/>
        <v>0</v>
      </c>
      <c r="L23" s="345">
        <f t="shared" si="12"/>
        <v>0</v>
      </c>
      <c r="M23" s="286">
        <f t="shared" si="4"/>
        <v>0</v>
      </c>
      <c r="N23" s="345">
        <f t="shared" si="13"/>
        <v>0</v>
      </c>
      <c r="O23" s="201">
        <v>0</v>
      </c>
      <c r="P23" s="351">
        <f t="shared" si="14"/>
        <v>0</v>
      </c>
      <c r="Q23" s="203">
        <f>8*'[2]Table 5C1P-Vision'!S23</f>
        <v>0</v>
      </c>
      <c r="R23" s="203">
        <f t="shared" si="15"/>
        <v>0</v>
      </c>
      <c r="S23" s="351">
        <f t="shared" si="5"/>
        <v>0</v>
      </c>
      <c r="T23" s="351">
        <f t="shared" si="16"/>
        <v>0</v>
      </c>
      <c r="U23" s="287">
        <f>'Table 5C1A-Madison Prep'!U23</f>
        <v>6954</v>
      </c>
      <c r="V23" s="328">
        <f t="shared" si="17"/>
        <v>0</v>
      </c>
      <c r="W23" s="289">
        <f>'[1]Oct midyear Vision'!E20</f>
        <v>0</v>
      </c>
      <c r="X23" s="290">
        <f t="shared" si="18"/>
        <v>0</v>
      </c>
      <c r="Y23" s="289">
        <f>'[1]Feb midyear Vision'!E20</f>
        <v>0</v>
      </c>
      <c r="Z23" s="290">
        <f t="shared" si="19"/>
        <v>0</v>
      </c>
      <c r="AA23" s="288">
        <f t="shared" si="20"/>
        <v>0</v>
      </c>
      <c r="AB23" s="324">
        <f t="shared" si="21"/>
        <v>0</v>
      </c>
      <c r="AC23" s="292">
        <f t="shared" si="22"/>
        <v>0</v>
      </c>
      <c r="AD23" s="324">
        <f t="shared" si="23"/>
        <v>0</v>
      </c>
      <c r="AE23" s="293">
        <v>0</v>
      </c>
      <c r="AF23" s="324">
        <f t="shared" si="24"/>
        <v>0</v>
      </c>
      <c r="AG23" s="293">
        <f>8*'[2]Table 5C1P-Vision'!AI23</f>
        <v>0</v>
      </c>
      <c r="AH23" s="293">
        <f t="shared" si="25"/>
        <v>0</v>
      </c>
      <c r="AI23" s="324">
        <f t="shared" si="6"/>
        <v>0</v>
      </c>
      <c r="AJ23" s="321">
        <f t="shared" si="26"/>
        <v>0</v>
      </c>
      <c r="AK23" s="342">
        <f t="shared" si="27"/>
        <v>0</v>
      </c>
      <c r="AM23" s="286">
        <v>0</v>
      </c>
      <c r="AN23" s="286">
        <f t="shared" si="28"/>
        <v>0</v>
      </c>
      <c r="AO23" s="286">
        <f t="shared" si="7"/>
        <v>0</v>
      </c>
    </row>
    <row r="24" spans="1:41" ht="16.149999999999999" customHeight="1">
      <c r="A24" s="198">
        <v>18</v>
      </c>
      <c r="B24" s="199" t="s">
        <v>90</v>
      </c>
      <c r="C24" s="995">
        <v>0</v>
      </c>
      <c r="D24" s="201">
        <f>+'Table 5C1A-Madison Prep'!D24</f>
        <v>6354.5533500475731</v>
      </c>
      <c r="E24" s="202">
        <f t="shared" si="8"/>
        <v>0</v>
      </c>
      <c r="F24" s="202">
        <f>+'Table 5C1A-Madison Prep'!F24</f>
        <v>845.94999999999993</v>
      </c>
      <c r="G24" s="202">
        <f t="shared" si="9"/>
        <v>0</v>
      </c>
      <c r="H24" s="345">
        <f t="shared" si="10"/>
        <v>0</v>
      </c>
      <c r="I24" s="203">
        <f>'[1]Oct midyear Vision'!K21</f>
        <v>0</v>
      </c>
      <c r="J24" s="203">
        <f>'[1]Feb midyear Vision'!K21</f>
        <v>0</v>
      </c>
      <c r="K24" s="204">
        <f t="shared" si="11"/>
        <v>0</v>
      </c>
      <c r="L24" s="345">
        <f t="shared" si="12"/>
        <v>0</v>
      </c>
      <c r="M24" s="286">
        <f t="shared" si="4"/>
        <v>0</v>
      </c>
      <c r="N24" s="345">
        <f t="shared" si="13"/>
        <v>0</v>
      </c>
      <c r="O24" s="201">
        <v>0</v>
      </c>
      <c r="P24" s="351">
        <f t="shared" si="14"/>
        <v>0</v>
      </c>
      <c r="Q24" s="203">
        <f>8*'[2]Table 5C1P-Vision'!S24</f>
        <v>0</v>
      </c>
      <c r="R24" s="203">
        <f t="shared" si="15"/>
        <v>0</v>
      </c>
      <c r="S24" s="351">
        <f t="shared" si="5"/>
        <v>0</v>
      </c>
      <c r="T24" s="351">
        <f t="shared" si="16"/>
        <v>0</v>
      </c>
      <c r="U24" s="287">
        <f>'Table 5C1A-Madison Prep'!U24</f>
        <v>2442</v>
      </c>
      <c r="V24" s="328">
        <f t="shared" si="17"/>
        <v>0</v>
      </c>
      <c r="W24" s="289">
        <f>'[1]Oct midyear Vision'!E21</f>
        <v>0</v>
      </c>
      <c r="X24" s="290">
        <f t="shared" si="18"/>
        <v>0</v>
      </c>
      <c r="Y24" s="289">
        <f>'[1]Feb midyear Vision'!E21</f>
        <v>0</v>
      </c>
      <c r="Z24" s="290">
        <f t="shared" si="19"/>
        <v>0</v>
      </c>
      <c r="AA24" s="288">
        <f t="shared" si="20"/>
        <v>0</v>
      </c>
      <c r="AB24" s="324">
        <f t="shared" si="21"/>
        <v>0</v>
      </c>
      <c r="AC24" s="292">
        <f t="shared" si="22"/>
        <v>0</v>
      </c>
      <c r="AD24" s="324">
        <f t="shared" si="23"/>
        <v>0</v>
      </c>
      <c r="AE24" s="293">
        <v>0</v>
      </c>
      <c r="AF24" s="324">
        <f t="shared" si="24"/>
        <v>0</v>
      </c>
      <c r="AG24" s="293">
        <f>8*'[2]Table 5C1P-Vision'!AI24</f>
        <v>0</v>
      </c>
      <c r="AH24" s="293">
        <f t="shared" si="25"/>
        <v>0</v>
      </c>
      <c r="AI24" s="324">
        <f t="shared" si="6"/>
        <v>0</v>
      </c>
      <c r="AJ24" s="321">
        <f t="shared" si="26"/>
        <v>0</v>
      </c>
      <c r="AK24" s="342">
        <f t="shared" si="27"/>
        <v>0</v>
      </c>
      <c r="AM24" s="286">
        <v>0</v>
      </c>
      <c r="AN24" s="286">
        <f t="shared" si="28"/>
        <v>0</v>
      </c>
      <c r="AO24" s="286">
        <f t="shared" si="7"/>
        <v>0</v>
      </c>
    </row>
    <row r="25" spans="1:41" ht="16.149999999999999" customHeight="1">
      <c r="A25" s="198">
        <v>19</v>
      </c>
      <c r="B25" s="199" t="s">
        <v>91</v>
      </c>
      <c r="C25" s="995">
        <v>0</v>
      </c>
      <c r="D25" s="201">
        <f>+'Table 5C1A-Madison Prep'!D25</f>
        <v>5314.3921869460446</v>
      </c>
      <c r="E25" s="202">
        <f t="shared" si="8"/>
        <v>0</v>
      </c>
      <c r="F25" s="202">
        <f>+'Table 5C1A-Madison Prep'!F25</f>
        <v>905.43</v>
      </c>
      <c r="G25" s="202">
        <f t="shared" si="9"/>
        <v>0</v>
      </c>
      <c r="H25" s="345">
        <f t="shared" si="10"/>
        <v>0</v>
      </c>
      <c r="I25" s="203">
        <f>'[1]Oct midyear Vision'!K22</f>
        <v>0</v>
      </c>
      <c r="J25" s="203">
        <f>'[1]Feb midyear Vision'!K22</f>
        <v>0</v>
      </c>
      <c r="K25" s="204">
        <f t="shared" si="11"/>
        <v>0</v>
      </c>
      <c r="L25" s="345">
        <f t="shared" si="12"/>
        <v>0</v>
      </c>
      <c r="M25" s="286">
        <f t="shared" si="4"/>
        <v>0</v>
      </c>
      <c r="N25" s="345">
        <f t="shared" si="13"/>
        <v>0</v>
      </c>
      <c r="O25" s="201">
        <v>0</v>
      </c>
      <c r="P25" s="351">
        <f t="shared" si="14"/>
        <v>0</v>
      </c>
      <c r="Q25" s="203">
        <f>8*'[2]Table 5C1P-Vision'!S25</f>
        <v>0</v>
      </c>
      <c r="R25" s="203">
        <f t="shared" si="15"/>
        <v>0</v>
      </c>
      <c r="S25" s="351">
        <f t="shared" si="5"/>
        <v>0</v>
      </c>
      <c r="T25" s="351">
        <f t="shared" si="16"/>
        <v>0</v>
      </c>
      <c r="U25" s="287">
        <f>'Table 5C1A-Madison Prep'!U25</f>
        <v>3051</v>
      </c>
      <c r="V25" s="328">
        <f t="shared" si="17"/>
        <v>0</v>
      </c>
      <c r="W25" s="289">
        <f>'[1]Oct midyear Vision'!E22</f>
        <v>0</v>
      </c>
      <c r="X25" s="290">
        <f t="shared" si="18"/>
        <v>0</v>
      </c>
      <c r="Y25" s="289">
        <f>'[1]Feb midyear Vision'!E22</f>
        <v>0</v>
      </c>
      <c r="Z25" s="290">
        <f t="shared" si="19"/>
        <v>0</v>
      </c>
      <c r="AA25" s="288">
        <f t="shared" si="20"/>
        <v>0</v>
      </c>
      <c r="AB25" s="324">
        <f t="shared" si="21"/>
        <v>0</v>
      </c>
      <c r="AC25" s="292">
        <f t="shared" si="22"/>
        <v>0</v>
      </c>
      <c r="AD25" s="324">
        <f t="shared" si="23"/>
        <v>0</v>
      </c>
      <c r="AE25" s="293">
        <v>0</v>
      </c>
      <c r="AF25" s="324">
        <f t="shared" si="24"/>
        <v>0</v>
      </c>
      <c r="AG25" s="293">
        <f>8*'[2]Table 5C1P-Vision'!AI25</f>
        <v>0</v>
      </c>
      <c r="AH25" s="293">
        <f t="shared" si="25"/>
        <v>0</v>
      </c>
      <c r="AI25" s="324">
        <f t="shared" si="6"/>
        <v>0</v>
      </c>
      <c r="AJ25" s="321">
        <f t="shared" si="26"/>
        <v>0</v>
      </c>
      <c r="AK25" s="342">
        <f t="shared" si="27"/>
        <v>0</v>
      </c>
      <c r="AM25" s="286">
        <v>0</v>
      </c>
      <c r="AN25" s="286">
        <f t="shared" si="28"/>
        <v>0</v>
      </c>
      <c r="AO25" s="286">
        <f t="shared" si="7"/>
        <v>0</v>
      </c>
    </row>
    <row r="26" spans="1:41" ht="16.149999999999999" customHeight="1">
      <c r="A26" s="191">
        <v>20</v>
      </c>
      <c r="B26" s="192" t="s">
        <v>92</v>
      </c>
      <c r="C26" s="996">
        <v>0</v>
      </c>
      <c r="D26" s="194">
        <f>+'Table 5C1A-Madison Prep'!D26</f>
        <v>5278.5201565562011</v>
      </c>
      <c r="E26" s="195">
        <f t="shared" si="8"/>
        <v>0</v>
      </c>
      <c r="F26" s="195">
        <f>+'Table 5C1A-Madison Prep'!F26</f>
        <v>586.16999999999996</v>
      </c>
      <c r="G26" s="195">
        <f t="shared" si="9"/>
        <v>0</v>
      </c>
      <c r="H26" s="346">
        <f t="shared" si="10"/>
        <v>0</v>
      </c>
      <c r="I26" s="196">
        <f>'[1]Oct midyear Vision'!K23</f>
        <v>0</v>
      </c>
      <c r="J26" s="196">
        <f>'[1]Feb midyear Vision'!K23</f>
        <v>0</v>
      </c>
      <c r="K26" s="197">
        <f t="shared" si="11"/>
        <v>0</v>
      </c>
      <c r="L26" s="346">
        <f t="shared" si="12"/>
        <v>0</v>
      </c>
      <c r="M26" s="296">
        <f t="shared" si="4"/>
        <v>0</v>
      </c>
      <c r="N26" s="346">
        <f t="shared" si="13"/>
        <v>0</v>
      </c>
      <c r="O26" s="194">
        <v>0</v>
      </c>
      <c r="P26" s="352">
        <f t="shared" si="14"/>
        <v>0</v>
      </c>
      <c r="Q26" s="196">
        <f>8*'[2]Table 5C1P-Vision'!S26</f>
        <v>0</v>
      </c>
      <c r="R26" s="196">
        <f t="shared" si="15"/>
        <v>0</v>
      </c>
      <c r="S26" s="352">
        <f t="shared" si="5"/>
        <v>0</v>
      </c>
      <c r="T26" s="352">
        <f t="shared" si="16"/>
        <v>0</v>
      </c>
      <c r="U26" s="281">
        <f>'Table 5C1A-Madison Prep'!U26</f>
        <v>2484</v>
      </c>
      <c r="V26" s="329">
        <f t="shared" si="17"/>
        <v>0</v>
      </c>
      <c r="W26" s="884">
        <f>'[1]Oct midyear Vision'!E23</f>
        <v>0</v>
      </c>
      <c r="X26" s="282">
        <f t="shared" si="18"/>
        <v>0</v>
      </c>
      <c r="Y26" s="884">
        <f>'[1]Feb midyear Vision'!E23</f>
        <v>0</v>
      </c>
      <c r="Z26" s="282">
        <f t="shared" si="19"/>
        <v>0</v>
      </c>
      <c r="AA26" s="283">
        <f t="shared" si="20"/>
        <v>0</v>
      </c>
      <c r="AB26" s="325">
        <f t="shared" si="21"/>
        <v>0</v>
      </c>
      <c r="AC26" s="298">
        <f t="shared" si="22"/>
        <v>0</v>
      </c>
      <c r="AD26" s="325">
        <f t="shared" si="23"/>
        <v>0</v>
      </c>
      <c r="AE26" s="284">
        <v>0</v>
      </c>
      <c r="AF26" s="325">
        <f t="shared" si="24"/>
        <v>0</v>
      </c>
      <c r="AG26" s="284">
        <f>8*'[2]Table 5C1P-Vision'!AI26</f>
        <v>0</v>
      </c>
      <c r="AH26" s="284">
        <f t="shared" si="25"/>
        <v>0</v>
      </c>
      <c r="AI26" s="325">
        <f t="shared" si="6"/>
        <v>0</v>
      </c>
      <c r="AJ26" s="338">
        <f t="shared" si="26"/>
        <v>0</v>
      </c>
      <c r="AK26" s="343">
        <f t="shared" si="27"/>
        <v>0</v>
      </c>
      <c r="AM26" s="296">
        <v>0</v>
      </c>
      <c r="AN26" s="296">
        <f t="shared" si="28"/>
        <v>0</v>
      </c>
      <c r="AO26" s="296">
        <f t="shared" si="7"/>
        <v>0</v>
      </c>
    </row>
    <row r="27" spans="1:41" ht="16.149999999999999" customHeight="1">
      <c r="A27" s="205">
        <v>21</v>
      </c>
      <c r="B27" s="206" t="s">
        <v>93</v>
      </c>
      <c r="C27" s="994">
        <v>0</v>
      </c>
      <c r="D27" s="208">
        <f>+'Table 5C1A-Madison Prep'!D27</f>
        <v>6082.3042295867763</v>
      </c>
      <c r="E27" s="209">
        <f t="shared" si="8"/>
        <v>0</v>
      </c>
      <c r="F27" s="209">
        <f>+'Table 5C1A-Madison Prep'!F27</f>
        <v>610.35</v>
      </c>
      <c r="G27" s="209">
        <f t="shared" si="9"/>
        <v>0</v>
      </c>
      <c r="H27" s="344">
        <f t="shared" si="10"/>
        <v>0</v>
      </c>
      <c r="I27" s="210">
        <f>'[1]Oct midyear Vision'!K24</f>
        <v>6692.6542295867766</v>
      </c>
      <c r="J27" s="210">
        <f>'[1]Feb midyear Vision'!K24</f>
        <v>-3346.3271147933883</v>
      </c>
      <c r="K27" s="211">
        <f t="shared" si="11"/>
        <v>3346.3271147933883</v>
      </c>
      <c r="L27" s="344">
        <f t="shared" si="12"/>
        <v>3346.3271147933883</v>
      </c>
      <c r="M27" s="273">
        <f t="shared" si="4"/>
        <v>-8.3658177869834702</v>
      </c>
      <c r="N27" s="344">
        <f t="shared" si="13"/>
        <v>3337.9612970064049</v>
      </c>
      <c r="O27" s="208">
        <v>0</v>
      </c>
      <c r="P27" s="350">
        <f t="shared" si="14"/>
        <v>3337.9612970064049</v>
      </c>
      <c r="Q27" s="210">
        <f>8*'[2]Table 5C1P-Vision'!S27</f>
        <v>0</v>
      </c>
      <c r="R27" s="210">
        <f t="shared" si="15"/>
        <v>3337.9612970064049</v>
      </c>
      <c r="S27" s="350">
        <f t="shared" si="5"/>
        <v>834</v>
      </c>
      <c r="T27" s="350">
        <f t="shared" si="16"/>
        <v>3337.9612970064049</v>
      </c>
      <c r="U27" s="274">
        <f>'Table 5C1A-Madison Prep'!U27</f>
        <v>2487</v>
      </c>
      <c r="V27" s="327">
        <f t="shared" si="17"/>
        <v>0</v>
      </c>
      <c r="W27" s="883">
        <f>'[1]Oct midyear Vision'!E24</f>
        <v>1</v>
      </c>
      <c r="X27" s="276">
        <f t="shared" si="18"/>
        <v>2487</v>
      </c>
      <c r="Y27" s="883">
        <f>'[1]Feb midyear Vision'!E24</f>
        <v>-1</v>
      </c>
      <c r="Z27" s="276">
        <f t="shared" si="19"/>
        <v>-1243.5</v>
      </c>
      <c r="AA27" s="275">
        <f t="shared" si="20"/>
        <v>1243.5</v>
      </c>
      <c r="AB27" s="323">
        <f t="shared" si="21"/>
        <v>1243.5</v>
      </c>
      <c r="AC27" s="278">
        <f t="shared" si="22"/>
        <v>-3.1087500000000001</v>
      </c>
      <c r="AD27" s="323">
        <f t="shared" si="23"/>
        <v>1240.3912499999999</v>
      </c>
      <c r="AE27" s="279">
        <v>0</v>
      </c>
      <c r="AF27" s="323">
        <f t="shared" si="24"/>
        <v>1240.3912499999999</v>
      </c>
      <c r="AG27" s="279">
        <f>8*'[2]Table 5C1P-Vision'!AI27</f>
        <v>0</v>
      </c>
      <c r="AH27" s="279">
        <f t="shared" si="25"/>
        <v>1240.3912499999999</v>
      </c>
      <c r="AI27" s="323">
        <f t="shared" si="6"/>
        <v>310</v>
      </c>
      <c r="AJ27" s="337">
        <f t="shared" si="26"/>
        <v>4578.3525470064051</v>
      </c>
      <c r="AK27" s="341">
        <f t="shared" si="27"/>
        <v>1144</v>
      </c>
      <c r="AM27" s="273">
        <v>0</v>
      </c>
      <c r="AN27" s="273">
        <f t="shared" si="28"/>
        <v>-3.1087500000000001</v>
      </c>
      <c r="AO27" s="273">
        <f t="shared" si="7"/>
        <v>-3.1087500000000001</v>
      </c>
    </row>
    <row r="28" spans="1:41" ht="16.149999999999999" customHeight="1">
      <c r="A28" s="198">
        <v>22</v>
      </c>
      <c r="B28" s="199" t="s">
        <v>94</v>
      </c>
      <c r="C28" s="995">
        <v>0</v>
      </c>
      <c r="D28" s="201">
        <f>+'Table 5C1A-Madison Prep'!D28</f>
        <v>6416.1099808195995</v>
      </c>
      <c r="E28" s="202">
        <f t="shared" si="8"/>
        <v>0</v>
      </c>
      <c r="F28" s="202">
        <f>+'Table 5C1A-Madison Prep'!F28</f>
        <v>496.36</v>
      </c>
      <c r="G28" s="202">
        <f t="shared" si="9"/>
        <v>0</v>
      </c>
      <c r="H28" s="345">
        <f t="shared" si="10"/>
        <v>0</v>
      </c>
      <c r="I28" s="203">
        <f>'[1]Oct midyear Vision'!K25</f>
        <v>0</v>
      </c>
      <c r="J28" s="203">
        <f>'[1]Feb midyear Vision'!K25</f>
        <v>0</v>
      </c>
      <c r="K28" s="204">
        <f t="shared" si="11"/>
        <v>0</v>
      </c>
      <c r="L28" s="345">
        <f t="shared" si="12"/>
        <v>0</v>
      </c>
      <c r="M28" s="286">
        <f t="shared" si="4"/>
        <v>0</v>
      </c>
      <c r="N28" s="345">
        <f t="shared" si="13"/>
        <v>0</v>
      </c>
      <c r="O28" s="201">
        <v>0</v>
      </c>
      <c r="P28" s="351">
        <f t="shared" si="14"/>
        <v>0</v>
      </c>
      <c r="Q28" s="203">
        <f>8*'[2]Table 5C1P-Vision'!S28</f>
        <v>0</v>
      </c>
      <c r="R28" s="203">
        <f t="shared" si="15"/>
        <v>0</v>
      </c>
      <c r="S28" s="351">
        <f t="shared" si="5"/>
        <v>0</v>
      </c>
      <c r="T28" s="351">
        <f t="shared" si="16"/>
        <v>0</v>
      </c>
      <c r="U28" s="287">
        <f>'Table 5C1A-Madison Prep'!U28</f>
        <v>1584</v>
      </c>
      <c r="V28" s="328">
        <f t="shared" si="17"/>
        <v>0</v>
      </c>
      <c r="W28" s="289">
        <f>'[1]Oct midyear Vision'!E25</f>
        <v>0</v>
      </c>
      <c r="X28" s="290">
        <f t="shared" si="18"/>
        <v>0</v>
      </c>
      <c r="Y28" s="289">
        <f>'[1]Feb midyear Vision'!E25</f>
        <v>0</v>
      </c>
      <c r="Z28" s="290">
        <f t="shared" si="19"/>
        <v>0</v>
      </c>
      <c r="AA28" s="288">
        <f t="shared" si="20"/>
        <v>0</v>
      </c>
      <c r="AB28" s="324">
        <f t="shared" si="21"/>
        <v>0</v>
      </c>
      <c r="AC28" s="292">
        <f t="shared" si="22"/>
        <v>0</v>
      </c>
      <c r="AD28" s="324">
        <f t="shared" si="23"/>
        <v>0</v>
      </c>
      <c r="AE28" s="293">
        <v>0</v>
      </c>
      <c r="AF28" s="324">
        <f t="shared" si="24"/>
        <v>0</v>
      </c>
      <c r="AG28" s="293">
        <f>8*'[2]Table 5C1P-Vision'!AI28</f>
        <v>0</v>
      </c>
      <c r="AH28" s="293">
        <f t="shared" si="25"/>
        <v>0</v>
      </c>
      <c r="AI28" s="324">
        <f t="shared" si="6"/>
        <v>0</v>
      </c>
      <c r="AJ28" s="321">
        <f t="shared" si="26"/>
        <v>0</v>
      </c>
      <c r="AK28" s="342">
        <f t="shared" si="27"/>
        <v>0</v>
      </c>
      <c r="AM28" s="286">
        <v>0</v>
      </c>
      <c r="AN28" s="286">
        <f t="shared" si="28"/>
        <v>0</v>
      </c>
      <c r="AO28" s="286">
        <f t="shared" si="7"/>
        <v>0</v>
      </c>
    </row>
    <row r="29" spans="1:41" ht="16.149999999999999" customHeight="1">
      <c r="A29" s="198">
        <v>23</v>
      </c>
      <c r="B29" s="199" t="s">
        <v>95</v>
      </c>
      <c r="C29" s="995">
        <v>0</v>
      </c>
      <c r="D29" s="201">
        <f>+'Table 5C1A-Madison Prep'!D29</f>
        <v>5011.0215265979159</v>
      </c>
      <c r="E29" s="202">
        <f t="shared" si="8"/>
        <v>0</v>
      </c>
      <c r="F29" s="202">
        <f>+'Table 5C1A-Madison Prep'!F29</f>
        <v>688.58</v>
      </c>
      <c r="G29" s="202">
        <f t="shared" si="9"/>
        <v>0</v>
      </c>
      <c r="H29" s="345">
        <f t="shared" si="10"/>
        <v>0</v>
      </c>
      <c r="I29" s="203">
        <f>'[1]Oct midyear Vision'!K26</f>
        <v>0</v>
      </c>
      <c r="J29" s="203">
        <f>'[1]Feb midyear Vision'!K26</f>
        <v>0</v>
      </c>
      <c r="K29" s="204">
        <f t="shared" si="11"/>
        <v>0</v>
      </c>
      <c r="L29" s="345">
        <f t="shared" si="12"/>
        <v>0</v>
      </c>
      <c r="M29" s="286">
        <f t="shared" si="4"/>
        <v>0</v>
      </c>
      <c r="N29" s="345">
        <f t="shared" si="13"/>
        <v>0</v>
      </c>
      <c r="O29" s="201">
        <v>0</v>
      </c>
      <c r="P29" s="351">
        <f t="shared" si="14"/>
        <v>0</v>
      </c>
      <c r="Q29" s="203">
        <f>8*'[2]Table 5C1P-Vision'!S29</f>
        <v>0</v>
      </c>
      <c r="R29" s="203">
        <f t="shared" si="15"/>
        <v>0</v>
      </c>
      <c r="S29" s="351">
        <f t="shared" si="5"/>
        <v>0</v>
      </c>
      <c r="T29" s="351">
        <f t="shared" si="16"/>
        <v>0</v>
      </c>
      <c r="U29" s="287">
        <f>'Table 5C1A-Madison Prep'!U29</f>
        <v>3500</v>
      </c>
      <c r="V29" s="328">
        <f t="shared" si="17"/>
        <v>0</v>
      </c>
      <c r="W29" s="289">
        <f>'[1]Oct midyear Vision'!E26</f>
        <v>0</v>
      </c>
      <c r="X29" s="290">
        <f t="shared" si="18"/>
        <v>0</v>
      </c>
      <c r="Y29" s="289">
        <f>'[1]Feb midyear Vision'!E26</f>
        <v>0</v>
      </c>
      <c r="Z29" s="290">
        <f t="shared" si="19"/>
        <v>0</v>
      </c>
      <c r="AA29" s="288">
        <f t="shared" si="20"/>
        <v>0</v>
      </c>
      <c r="AB29" s="324">
        <f t="shared" si="21"/>
        <v>0</v>
      </c>
      <c r="AC29" s="292">
        <f t="shared" si="22"/>
        <v>0</v>
      </c>
      <c r="AD29" s="324">
        <f t="shared" si="23"/>
        <v>0</v>
      </c>
      <c r="AE29" s="293">
        <v>0</v>
      </c>
      <c r="AF29" s="324">
        <f t="shared" si="24"/>
        <v>0</v>
      </c>
      <c r="AG29" s="293">
        <f>8*'[2]Table 5C1P-Vision'!AI29</f>
        <v>0</v>
      </c>
      <c r="AH29" s="293">
        <f t="shared" si="25"/>
        <v>0</v>
      </c>
      <c r="AI29" s="324">
        <f t="shared" si="6"/>
        <v>0</v>
      </c>
      <c r="AJ29" s="321">
        <f t="shared" si="26"/>
        <v>0</v>
      </c>
      <c r="AK29" s="342">
        <f t="shared" si="27"/>
        <v>0</v>
      </c>
      <c r="AM29" s="286">
        <v>0</v>
      </c>
      <c r="AN29" s="286">
        <f t="shared" si="28"/>
        <v>0</v>
      </c>
      <c r="AO29" s="286">
        <f t="shared" si="7"/>
        <v>0</v>
      </c>
    </row>
    <row r="30" spans="1:41" ht="16.149999999999999" customHeight="1">
      <c r="A30" s="198">
        <v>24</v>
      </c>
      <c r="B30" s="199" t="s">
        <v>96</v>
      </c>
      <c r="C30" s="995">
        <v>0</v>
      </c>
      <c r="D30" s="201">
        <f>+'Table 5C1A-Madison Prep'!D30</f>
        <v>2611.6740361576999</v>
      </c>
      <c r="E30" s="202">
        <f t="shared" si="8"/>
        <v>0</v>
      </c>
      <c r="F30" s="202">
        <f>+'Table 5C1A-Madison Prep'!F30</f>
        <v>854.24999999999989</v>
      </c>
      <c r="G30" s="202">
        <f t="shared" si="9"/>
        <v>0</v>
      </c>
      <c r="H30" s="345">
        <f t="shared" si="10"/>
        <v>0</v>
      </c>
      <c r="I30" s="203">
        <f>'[1]Oct midyear Vision'!K27</f>
        <v>0</v>
      </c>
      <c r="J30" s="203">
        <f>'[1]Feb midyear Vision'!K27</f>
        <v>0</v>
      </c>
      <c r="K30" s="204">
        <f t="shared" si="11"/>
        <v>0</v>
      </c>
      <c r="L30" s="345">
        <f t="shared" si="12"/>
        <v>0</v>
      </c>
      <c r="M30" s="286">
        <f t="shared" si="4"/>
        <v>0</v>
      </c>
      <c r="N30" s="345">
        <f t="shared" si="13"/>
        <v>0</v>
      </c>
      <c r="O30" s="201">
        <v>0</v>
      </c>
      <c r="P30" s="351">
        <f t="shared" si="14"/>
        <v>0</v>
      </c>
      <c r="Q30" s="203">
        <f>8*'[2]Table 5C1P-Vision'!S30</f>
        <v>0</v>
      </c>
      <c r="R30" s="203">
        <f t="shared" si="15"/>
        <v>0</v>
      </c>
      <c r="S30" s="351">
        <f t="shared" si="5"/>
        <v>0</v>
      </c>
      <c r="T30" s="351">
        <f t="shared" si="16"/>
        <v>0</v>
      </c>
      <c r="U30" s="287">
        <f>'Table 5C1A-Madison Prep'!U30</f>
        <v>11051</v>
      </c>
      <c r="V30" s="328">
        <f t="shared" si="17"/>
        <v>0</v>
      </c>
      <c r="W30" s="289">
        <f>'[1]Oct midyear Vision'!E27</f>
        <v>0</v>
      </c>
      <c r="X30" s="290">
        <f t="shared" si="18"/>
        <v>0</v>
      </c>
      <c r="Y30" s="289">
        <f>'[1]Feb midyear Vision'!E27</f>
        <v>0</v>
      </c>
      <c r="Z30" s="290">
        <f t="shared" si="19"/>
        <v>0</v>
      </c>
      <c r="AA30" s="288">
        <f t="shared" si="20"/>
        <v>0</v>
      </c>
      <c r="AB30" s="324">
        <f t="shared" si="21"/>
        <v>0</v>
      </c>
      <c r="AC30" s="292">
        <f t="shared" si="22"/>
        <v>0</v>
      </c>
      <c r="AD30" s="324">
        <f t="shared" si="23"/>
        <v>0</v>
      </c>
      <c r="AE30" s="293">
        <v>0</v>
      </c>
      <c r="AF30" s="324">
        <f t="shared" si="24"/>
        <v>0</v>
      </c>
      <c r="AG30" s="293">
        <f>8*'[2]Table 5C1P-Vision'!AI30</f>
        <v>0</v>
      </c>
      <c r="AH30" s="293">
        <f t="shared" si="25"/>
        <v>0</v>
      </c>
      <c r="AI30" s="324">
        <f t="shared" si="6"/>
        <v>0</v>
      </c>
      <c r="AJ30" s="321">
        <f t="shared" si="26"/>
        <v>0</v>
      </c>
      <c r="AK30" s="342">
        <f t="shared" si="27"/>
        <v>0</v>
      </c>
      <c r="AM30" s="286">
        <v>0</v>
      </c>
      <c r="AN30" s="286">
        <f t="shared" si="28"/>
        <v>0</v>
      </c>
      <c r="AO30" s="286">
        <f t="shared" si="7"/>
        <v>0</v>
      </c>
    </row>
    <row r="31" spans="1:41" ht="16.149999999999999" customHeight="1">
      <c r="A31" s="191">
        <v>25</v>
      </c>
      <c r="B31" s="192" t="s">
        <v>97</v>
      </c>
      <c r="C31" s="996">
        <v>0</v>
      </c>
      <c r="D31" s="194">
        <f>+'Table 5C1A-Madison Prep'!D31</f>
        <v>4173.0720274945697</v>
      </c>
      <c r="E31" s="195">
        <f t="shared" si="8"/>
        <v>0</v>
      </c>
      <c r="F31" s="195">
        <f>+'Table 5C1A-Madison Prep'!F31</f>
        <v>653.73</v>
      </c>
      <c r="G31" s="195">
        <f t="shared" si="9"/>
        <v>0</v>
      </c>
      <c r="H31" s="346">
        <f t="shared" si="10"/>
        <v>0</v>
      </c>
      <c r="I31" s="196">
        <f>'[1]Oct midyear Vision'!K28</f>
        <v>0</v>
      </c>
      <c r="J31" s="196">
        <f>'[1]Feb midyear Vision'!K28</f>
        <v>0</v>
      </c>
      <c r="K31" s="197">
        <f t="shared" si="11"/>
        <v>0</v>
      </c>
      <c r="L31" s="346">
        <f t="shared" si="12"/>
        <v>0</v>
      </c>
      <c r="M31" s="296">
        <f t="shared" si="4"/>
        <v>0</v>
      </c>
      <c r="N31" s="346">
        <f t="shared" si="13"/>
        <v>0</v>
      </c>
      <c r="O31" s="194">
        <v>0</v>
      </c>
      <c r="P31" s="352">
        <f t="shared" si="14"/>
        <v>0</v>
      </c>
      <c r="Q31" s="196">
        <f>8*'[2]Table 5C1P-Vision'!S31</f>
        <v>0</v>
      </c>
      <c r="R31" s="196">
        <f t="shared" si="15"/>
        <v>0</v>
      </c>
      <c r="S31" s="352">
        <f t="shared" si="5"/>
        <v>0</v>
      </c>
      <c r="T31" s="352">
        <f t="shared" si="16"/>
        <v>0</v>
      </c>
      <c r="U31" s="281">
        <f>'Table 5C1A-Madison Prep'!U31</f>
        <v>5156</v>
      </c>
      <c r="V31" s="329">
        <f t="shared" si="17"/>
        <v>0</v>
      </c>
      <c r="W31" s="884">
        <f>'[1]Oct midyear Vision'!E28</f>
        <v>0</v>
      </c>
      <c r="X31" s="282">
        <f t="shared" si="18"/>
        <v>0</v>
      </c>
      <c r="Y31" s="884">
        <f>'[1]Feb midyear Vision'!E28</f>
        <v>0</v>
      </c>
      <c r="Z31" s="282">
        <f t="shared" si="19"/>
        <v>0</v>
      </c>
      <c r="AA31" s="283">
        <f t="shared" si="20"/>
        <v>0</v>
      </c>
      <c r="AB31" s="325">
        <f t="shared" si="21"/>
        <v>0</v>
      </c>
      <c r="AC31" s="298">
        <f t="shared" si="22"/>
        <v>0</v>
      </c>
      <c r="AD31" s="325">
        <f t="shared" si="23"/>
        <v>0</v>
      </c>
      <c r="AE31" s="284">
        <v>0</v>
      </c>
      <c r="AF31" s="325">
        <f t="shared" si="24"/>
        <v>0</v>
      </c>
      <c r="AG31" s="284">
        <f>8*'[2]Table 5C1P-Vision'!AI31</f>
        <v>0</v>
      </c>
      <c r="AH31" s="284">
        <f t="shared" si="25"/>
        <v>0</v>
      </c>
      <c r="AI31" s="325">
        <f t="shared" si="6"/>
        <v>0</v>
      </c>
      <c r="AJ31" s="338">
        <f t="shared" si="26"/>
        <v>0</v>
      </c>
      <c r="AK31" s="343">
        <f t="shared" si="27"/>
        <v>0</v>
      </c>
      <c r="AM31" s="296">
        <v>0</v>
      </c>
      <c r="AN31" s="296">
        <f t="shared" si="28"/>
        <v>0</v>
      </c>
      <c r="AO31" s="296">
        <f t="shared" si="7"/>
        <v>0</v>
      </c>
    </row>
    <row r="32" spans="1:41" ht="16.149999999999999" customHeight="1">
      <c r="A32" s="205">
        <v>26</v>
      </c>
      <c r="B32" s="206" t="s">
        <v>98</v>
      </c>
      <c r="C32" s="994">
        <v>0</v>
      </c>
      <c r="D32" s="208">
        <f>+'Table 5C1A-Madison Prep'!D32</f>
        <v>3424.5649970570835</v>
      </c>
      <c r="E32" s="209">
        <f t="shared" si="8"/>
        <v>0</v>
      </c>
      <c r="F32" s="209">
        <f>+'Table 5C1A-Madison Prep'!F32</f>
        <v>836.83</v>
      </c>
      <c r="G32" s="209">
        <f t="shared" si="9"/>
        <v>0</v>
      </c>
      <c r="H32" s="344">
        <f t="shared" si="10"/>
        <v>0</v>
      </c>
      <c r="I32" s="210">
        <f>'[1]Oct midyear Vision'!K29</f>
        <v>0</v>
      </c>
      <c r="J32" s="210">
        <f>'[1]Feb midyear Vision'!K29</f>
        <v>0</v>
      </c>
      <c r="K32" s="211">
        <f t="shared" si="11"/>
        <v>0</v>
      </c>
      <c r="L32" s="344">
        <f t="shared" si="12"/>
        <v>0</v>
      </c>
      <c r="M32" s="273">
        <f t="shared" si="4"/>
        <v>0</v>
      </c>
      <c r="N32" s="344">
        <f t="shared" si="13"/>
        <v>0</v>
      </c>
      <c r="O32" s="208">
        <v>0</v>
      </c>
      <c r="P32" s="350">
        <f t="shared" si="14"/>
        <v>0</v>
      </c>
      <c r="Q32" s="210">
        <f>8*'[2]Table 5C1P-Vision'!S32</f>
        <v>0</v>
      </c>
      <c r="R32" s="210">
        <f t="shared" si="15"/>
        <v>0</v>
      </c>
      <c r="S32" s="350">
        <f t="shared" si="5"/>
        <v>0</v>
      </c>
      <c r="T32" s="350">
        <f t="shared" si="16"/>
        <v>0</v>
      </c>
      <c r="U32" s="274">
        <f>'Table 5C1A-Madison Prep'!U32</f>
        <v>5153</v>
      </c>
      <c r="V32" s="327">
        <f t="shared" si="17"/>
        <v>0</v>
      </c>
      <c r="W32" s="883">
        <f>'[1]Oct midyear Vision'!E29</f>
        <v>0</v>
      </c>
      <c r="X32" s="276">
        <f t="shared" si="18"/>
        <v>0</v>
      </c>
      <c r="Y32" s="883">
        <f>'[1]Feb midyear Vision'!E29</f>
        <v>0</v>
      </c>
      <c r="Z32" s="276">
        <f t="shared" si="19"/>
        <v>0</v>
      </c>
      <c r="AA32" s="275">
        <f t="shared" si="20"/>
        <v>0</v>
      </c>
      <c r="AB32" s="323">
        <f t="shared" si="21"/>
        <v>0</v>
      </c>
      <c r="AC32" s="278">
        <f t="shared" si="22"/>
        <v>0</v>
      </c>
      <c r="AD32" s="323">
        <f t="shared" si="23"/>
        <v>0</v>
      </c>
      <c r="AE32" s="279">
        <v>0</v>
      </c>
      <c r="AF32" s="323">
        <f t="shared" si="24"/>
        <v>0</v>
      </c>
      <c r="AG32" s="279">
        <f>8*'[2]Table 5C1P-Vision'!AI32</f>
        <v>0</v>
      </c>
      <c r="AH32" s="279">
        <f t="shared" si="25"/>
        <v>0</v>
      </c>
      <c r="AI32" s="323">
        <f t="shared" si="6"/>
        <v>0</v>
      </c>
      <c r="AJ32" s="337">
        <f t="shared" si="26"/>
        <v>0</v>
      </c>
      <c r="AK32" s="341">
        <f t="shared" si="27"/>
        <v>0</v>
      </c>
      <c r="AM32" s="273">
        <v>0</v>
      </c>
      <c r="AN32" s="273">
        <f t="shared" si="28"/>
        <v>0</v>
      </c>
      <c r="AO32" s="273">
        <f t="shared" si="7"/>
        <v>0</v>
      </c>
    </row>
    <row r="33" spans="1:41" ht="16.149999999999999" customHeight="1">
      <c r="A33" s="198">
        <v>27</v>
      </c>
      <c r="B33" s="199" t="s">
        <v>99</v>
      </c>
      <c r="C33" s="995">
        <v>0</v>
      </c>
      <c r="D33" s="201">
        <f>+'Table 5C1A-Madison Prep'!D33</f>
        <v>5804.9013839977006</v>
      </c>
      <c r="E33" s="202">
        <f t="shared" si="8"/>
        <v>0</v>
      </c>
      <c r="F33" s="202">
        <f>+'Table 5C1A-Madison Prep'!F33</f>
        <v>693.06</v>
      </c>
      <c r="G33" s="202">
        <f t="shared" si="9"/>
        <v>0</v>
      </c>
      <c r="H33" s="345">
        <f t="shared" si="10"/>
        <v>0</v>
      </c>
      <c r="I33" s="203">
        <f>'[1]Oct midyear Vision'!K30</f>
        <v>0</v>
      </c>
      <c r="J33" s="203">
        <f>'[1]Feb midyear Vision'!K30</f>
        <v>0</v>
      </c>
      <c r="K33" s="204">
        <f t="shared" si="11"/>
        <v>0</v>
      </c>
      <c r="L33" s="345">
        <f t="shared" si="12"/>
        <v>0</v>
      </c>
      <c r="M33" s="286">
        <f t="shared" si="4"/>
        <v>0</v>
      </c>
      <c r="N33" s="345">
        <f t="shared" si="13"/>
        <v>0</v>
      </c>
      <c r="O33" s="201">
        <v>0</v>
      </c>
      <c r="P33" s="351">
        <f t="shared" si="14"/>
        <v>0</v>
      </c>
      <c r="Q33" s="203">
        <f>8*'[2]Table 5C1P-Vision'!S33</f>
        <v>0</v>
      </c>
      <c r="R33" s="203">
        <f t="shared" si="15"/>
        <v>0</v>
      </c>
      <c r="S33" s="351">
        <f t="shared" si="5"/>
        <v>0</v>
      </c>
      <c r="T33" s="351">
        <f t="shared" si="16"/>
        <v>0</v>
      </c>
      <c r="U33" s="287">
        <f>'Table 5C1A-Madison Prep'!U33</f>
        <v>3225</v>
      </c>
      <c r="V33" s="328">
        <f t="shared" si="17"/>
        <v>0</v>
      </c>
      <c r="W33" s="289">
        <f>'[1]Oct midyear Vision'!E30</f>
        <v>0</v>
      </c>
      <c r="X33" s="290">
        <f t="shared" si="18"/>
        <v>0</v>
      </c>
      <c r="Y33" s="289">
        <f>'[1]Feb midyear Vision'!E30</f>
        <v>0</v>
      </c>
      <c r="Z33" s="290">
        <f t="shared" si="19"/>
        <v>0</v>
      </c>
      <c r="AA33" s="288">
        <f t="shared" si="20"/>
        <v>0</v>
      </c>
      <c r="AB33" s="324">
        <f t="shared" si="21"/>
        <v>0</v>
      </c>
      <c r="AC33" s="292">
        <f t="shared" si="22"/>
        <v>0</v>
      </c>
      <c r="AD33" s="324">
        <f t="shared" si="23"/>
        <v>0</v>
      </c>
      <c r="AE33" s="293">
        <v>0</v>
      </c>
      <c r="AF33" s="324">
        <f t="shared" si="24"/>
        <v>0</v>
      </c>
      <c r="AG33" s="293">
        <f>8*'[2]Table 5C1P-Vision'!AI33</f>
        <v>0</v>
      </c>
      <c r="AH33" s="293">
        <f t="shared" si="25"/>
        <v>0</v>
      </c>
      <c r="AI33" s="324">
        <f t="shared" si="6"/>
        <v>0</v>
      </c>
      <c r="AJ33" s="321">
        <f t="shared" si="26"/>
        <v>0</v>
      </c>
      <c r="AK33" s="342">
        <f t="shared" si="27"/>
        <v>0</v>
      </c>
      <c r="AM33" s="286">
        <v>0</v>
      </c>
      <c r="AN33" s="286">
        <f t="shared" si="28"/>
        <v>0</v>
      </c>
      <c r="AO33" s="286">
        <f t="shared" si="7"/>
        <v>0</v>
      </c>
    </row>
    <row r="34" spans="1:41" ht="16.149999999999999" customHeight="1">
      <c r="A34" s="198">
        <v>28</v>
      </c>
      <c r="B34" s="199" t="s">
        <v>100</v>
      </c>
      <c r="C34" s="995">
        <v>0</v>
      </c>
      <c r="D34" s="201">
        <f>+'Table 5C1A-Madison Prep'!D34</f>
        <v>3137.4158846568821</v>
      </c>
      <c r="E34" s="202">
        <f t="shared" si="8"/>
        <v>0</v>
      </c>
      <c r="F34" s="202">
        <f>+'Table 5C1A-Madison Prep'!F34</f>
        <v>694.4</v>
      </c>
      <c r="G34" s="202">
        <f t="shared" si="9"/>
        <v>0</v>
      </c>
      <c r="H34" s="345">
        <f t="shared" si="10"/>
        <v>0</v>
      </c>
      <c r="I34" s="203">
        <f>'[1]Oct midyear Vision'!K31</f>
        <v>0</v>
      </c>
      <c r="J34" s="203">
        <f>'[1]Feb midyear Vision'!K31</f>
        <v>0</v>
      </c>
      <c r="K34" s="204">
        <f t="shared" si="11"/>
        <v>0</v>
      </c>
      <c r="L34" s="345">
        <f t="shared" si="12"/>
        <v>0</v>
      </c>
      <c r="M34" s="286">
        <f t="shared" si="4"/>
        <v>0</v>
      </c>
      <c r="N34" s="345">
        <f t="shared" si="13"/>
        <v>0</v>
      </c>
      <c r="O34" s="201">
        <v>0</v>
      </c>
      <c r="P34" s="351">
        <f t="shared" si="14"/>
        <v>0</v>
      </c>
      <c r="Q34" s="203">
        <f>8*'[2]Table 5C1P-Vision'!S34</f>
        <v>0</v>
      </c>
      <c r="R34" s="203">
        <f t="shared" si="15"/>
        <v>0</v>
      </c>
      <c r="S34" s="351">
        <f t="shared" si="5"/>
        <v>0</v>
      </c>
      <c r="T34" s="351">
        <f t="shared" si="16"/>
        <v>0</v>
      </c>
      <c r="U34" s="287">
        <f>'Table 5C1A-Madison Prep'!U34</f>
        <v>5816</v>
      </c>
      <c r="V34" s="328">
        <f t="shared" si="17"/>
        <v>0</v>
      </c>
      <c r="W34" s="289">
        <f>'[1]Oct midyear Vision'!E31</f>
        <v>0</v>
      </c>
      <c r="X34" s="290">
        <f t="shared" si="18"/>
        <v>0</v>
      </c>
      <c r="Y34" s="289">
        <f>'[1]Feb midyear Vision'!E31</f>
        <v>0</v>
      </c>
      <c r="Z34" s="290">
        <f t="shared" si="19"/>
        <v>0</v>
      </c>
      <c r="AA34" s="288">
        <f t="shared" si="20"/>
        <v>0</v>
      </c>
      <c r="AB34" s="324">
        <f t="shared" si="21"/>
        <v>0</v>
      </c>
      <c r="AC34" s="292">
        <f t="shared" si="22"/>
        <v>0</v>
      </c>
      <c r="AD34" s="324">
        <f t="shared" si="23"/>
        <v>0</v>
      </c>
      <c r="AE34" s="293">
        <v>0</v>
      </c>
      <c r="AF34" s="324">
        <f t="shared" si="24"/>
        <v>0</v>
      </c>
      <c r="AG34" s="293">
        <f>8*'[2]Table 5C1P-Vision'!AI34</f>
        <v>0</v>
      </c>
      <c r="AH34" s="293">
        <f t="shared" si="25"/>
        <v>0</v>
      </c>
      <c r="AI34" s="324">
        <f t="shared" si="6"/>
        <v>0</v>
      </c>
      <c r="AJ34" s="321">
        <f t="shared" si="26"/>
        <v>0</v>
      </c>
      <c r="AK34" s="342">
        <f t="shared" si="27"/>
        <v>0</v>
      </c>
      <c r="AM34" s="286">
        <v>0</v>
      </c>
      <c r="AN34" s="286">
        <f t="shared" si="28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v>0</v>
      </c>
      <c r="D35" s="201">
        <f>+'Table 5C1A-Madison Prep'!D35</f>
        <v>3839.0123210173724</v>
      </c>
      <c r="E35" s="202">
        <f t="shared" si="8"/>
        <v>0</v>
      </c>
      <c r="F35" s="202">
        <f>+'Table 5C1A-Madison Prep'!F35</f>
        <v>754.94999999999993</v>
      </c>
      <c r="G35" s="202">
        <f t="shared" si="9"/>
        <v>0</v>
      </c>
      <c r="H35" s="345">
        <f t="shared" si="10"/>
        <v>0</v>
      </c>
      <c r="I35" s="203">
        <f>'[1]Oct midyear Vision'!K32</f>
        <v>0</v>
      </c>
      <c r="J35" s="203">
        <f>'[1]Feb midyear Vision'!K32</f>
        <v>0</v>
      </c>
      <c r="K35" s="204">
        <f t="shared" si="11"/>
        <v>0</v>
      </c>
      <c r="L35" s="345">
        <f t="shared" si="12"/>
        <v>0</v>
      </c>
      <c r="M35" s="286">
        <f t="shared" si="4"/>
        <v>0</v>
      </c>
      <c r="N35" s="345">
        <f t="shared" si="13"/>
        <v>0</v>
      </c>
      <c r="O35" s="201">
        <v>0</v>
      </c>
      <c r="P35" s="351">
        <f t="shared" si="14"/>
        <v>0</v>
      </c>
      <c r="Q35" s="203">
        <f>8*'[2]Table 5C1P-Vision'!S35</f>
        <v>0</v>
      </c>
      <c r="R35" s="203">
        <f t="shared" si="15"/>
        <v>0</v>
      </c>
      <c r="S35" s="351">
        <f t="shared" si="5"/>
        <v>0</v>
      </c>
      <c r="T35" s="351">
        <f t="shared" si="16"/>
        <v>0</v>
      </c>
      <c r="U35" s="287">
        <f>'Table 5C1A-Madison Prep'!U35</f>
        <v>5046</v>
      </c>
      <c r="V35" s="328">
        <f t="shared" si="17"/>
        <v>0</v>
      </c>
      <c r="W35" s="289">
        <f>'[1]Oct midyear Vision'!E32</f>
        <v>0</v>
      </c>
      <c r="X35" s="290">
        <f t="shared" si="18"/>
        <v>0</v>
      </c>
      <c r="Y35" s="289">
        <f>'[1]Feb midyear Vision'!E32</f>
        <v>0</v>
      </c>
      <c r="Z35" s="290">
        <f t="shared" si="19"/>
        <v>0</v>
      </c>
      <c r="AA35" s="288">
        <f t="shared" si="20"/>
        <v>0</v>
      </c>
      <c r="AB35" s="324">
        <f t="shared" si="21"/>
        <v>0</v>
      </c>
      <c r="AC35" s="292">
        <f t="shared" si="22"/>
        <v>0</v>
      </c>
      <c r="AD35" s="324">
        <f t="shared" si="23"/>
        <v>0</v>
      </c>
      <c r="AE35" s="293">
        <v>0</v>
      </c>
      <c r="AF35" s="324">
        <f t="shared" si="24"/>
        <v>0</v>
      </c>
      <c r="AG35" s="293">
        <f>8*'[2]Table 5C1P-Vision'!AI35</f>
        <v>0</v>
      </c>
      <c r="AH35" s="293">
        <f t="shared" si="25"/>
        <v>0</v>
      </c>
      <c r="AI35" s="324">
        <f t="shared" si="6"/>
        <v>0</v>
      </c>
      <c r="AJ35" s="321">
        <f t="shared" si="26"/>
        <v>0</v>
      </c>
      <c r="AK35" s="342">
        <f t="shared" si="27"/>
        <v>0</v>
      </c>
      <c r="AM35" s="286">
        <v>0</v>
      </c>
      <c r="AN35" s="286">
        <f t="shared" si="28"/>
        <v>0</v>
      </c>
      <c r="AO35" s="286">
        <f t="shared" ref="AO35:AO75" si="29">+AN35-AM35</f>
        <v>0</v>
      </c>
    </row>
    <row r="36" spans="1:41" ht="16.149999999999999" customHeight="1">
      <c r="A36" s="191">
        <v>30</v>
      </c>
      <c r="B36" s="192" t="s">
        <v>102</v>
      </c>
      <c r="C36" s="996">
        <v>0</v>
      </c>
      <c r="D36" s="194">
        <f>+'Table 5C1A-Madison Prep'!D36</f>
        <v>5804.5327273996763</v>
      </c>
      <c r="E36" s="195">
        <f t="shared" si="8"/>
        <v>0</v>
      </c>
      <c r="F36" s="195">
        <f>+'Table 5C1A-Madison Prep'!F36</f>
        <v>727.17</v>
      </c>
      <c r="G36" s="195">
        <f t="shared" si="9"/>
        <v>0</v>
      </c>
      <c r="H36" s="346">
        <f t="shared" si="10"/>
        <v>0</v>
      </c>
      <c r="I36" s="196">
        <f>'[1]Oct midyear Vision'!K33</f>
        <v>0</v>
      </c>
      <c r="J36" s="196">
        <f>'[1]Feb midyear Vision'!K33</f>
        <v>0</v>
      </c>
      <c r="K36" s="197">
        <f t="shared" si="11"/>
        <v>0</v>
      </c>
      <c r="L36" s="346">
        <f t="shared" si="12"/>
        <v>0</v>
      </c>
      <c r="M36" s="296">
        <f t="shared" si="4"/>
        <v>0</v>
      </c>
      <c r="N36" s="346">
        <f t="shared" si="13"/>
        <v>0</v>
      </c>
      <c r="O36" s="194">
        <v>0</v>
      </c>
      <c r="P36" s="352">
        <f t="shared" si="14"/>
        <v>0</v>
      </c>
      <c r="Q36" s="196">
        <f>8*'[2]Table 5C1P-Vision'!S36</f>
        <v>0</v>
      </c>
      <c r="R36" s="196">
        <f t="shared" si="15"/>
        <v>0</v>
      </c>
      <c r="S36" s="352">
        <f t="shared" si="5"/>
        <v>0</v>
      </c>
      <c r="T36" s="352">
        <f t="shared" si="16"/>
        <v>0</v>
      </c>
      <c r="U36" s="281">
        <f>'Table 5C1A-Madison Prep'!U36</f>
        <v>3999</v>
      </c>
      <c r="V36" s="329">
        <f t="shared" si="17"/>
        <v>0</v>
      </c>
      <c r="W36" s="884">
        <f>'[1]Oct midyear Vision'!E33</f>
        <v>0</v>
      </c>
      <c r="X36" s="282">
        <f t="shared" si="18"/>
        <v>0</v>
      </c>
      <c r="Y36" s="884">
        <f>'[1]Feb midyear Vision'!E33</f>
        <v>0</v>
      </c>
      <c r="Z36" s="282">
        <f t="shared" si="19"/>
        <v>0</v>
      </c>
      <c r="AA36" s="283">
        <f t="shared" si="20"/>
        <v>0</v>
      </c>
      <c r="AB36" s="325">
        <f t="shared" si="21"/>
        <v>0</v>
      </c>
      <c r="AC36" s="298">
        <f t="shared" si="22"/>
        <v>0</v>
      </c>
      <c r="AD36" s="325">
        <f t="shared" si="23"/>
        <v>0</v>
      </c>
      <c r="AE36" s="284">
        <v>0</v>
      </c>
      <c r="AF36" s="325">
        <f t="shared" si="24"/>
        <v>0</v>
      </c>
      <c r="AG36" s="284">
        <f>8*'[2]Table 5C1P-Vision'!AI36</f>
        <v>0</v>
      </c>
      <c r="AH36" s="284">
        <f t="shared" si="25"/>
        <v>0</v>
      </c>
      <c r="AI36" s="325">
        <f t="shared" si="6"/>
        <v>0</v>
      </c>
      <c r="AJ36" s="338">
        <f t="shared" si="26"/>
        <v>0</v>
      </c>
      <c r="AK36" s="343">
        <f t="shared" si="27"/>
        <v>0</v>
      </c>
      <c r="AM36" s="296">
        <v>0</v>
      </c>
      <c r="AN36" s="296">
        <f t="shared" si="28"/>
        <v>0</v>
      </c>
      <c r="AO36" s="296">
        <f t="shared" si="29"/>
        <v>0</v>
      </c>
    </row>
    <row r="37" spans="1:41" ht="16.149999999999999" customHeight="1">
      <c r="A37" s="205">
        <v>31</v>
      </c>
      <c r="B37" s="206" t="s">
        <v>103</v>
      </c>
      <c r="C37" s="994">
        <v>0</v>
      </c>
      <c r="D37" s="208">
        <f>+'Table 5C1A-Madison Prep'!D37</f>
        <v>4520.6176716868531</v>
      </c>
      <c r="E37" s="209">
        <f t="shared" si="8"/>
        <v>0</v>
      </c>
      <c r="F37" s="209">
        <f>+'Table 5C1A-Madison Prep'!F37</f>
        <v>620.83000000000004</v>
      </c>
      <c r="G37" s="209">
        <f t="shared" si="9"/>
        <v>0</v>
      </c>
      <c r="H37" s="344">
        <f t="shared" si="10"/>
        <v>0</v>
      </c>
      <c r="I37" s="210">
        <f>'[1]Oct midyear Vision'!K34</f>
        <v>0</v>
      </c>
      <c r="J37" s="210">
        <f>'[1]Feb midyear Vision'!K34</f>
        <v>0</v>
      </c>
      <c r="K37" s="211">
        <f t="shared" si="11"/>
        <v>0</v>
      </c>
      <c r="L37" s="344">
        <f t="shared" si="12"/>
        <v>0</v>
      </c>
      <c r="M37" s="273">
        <f t="shared" si="4"/>
        <v>0</v>
      </c>
      <c r="N37" s="344">
        <f t="shared" si="13"/>
        <v>0</v>
      </c>
      <c r="O37" s="208">
        <v>0</v>
      </c>
      <c r="P37" s="350">
        <f t="shared" si="14"/>
        <v>0</v>
      </c>
      <c r="Q37" s="210">
        <f>8*'[2]Table 5C1P-Vision'!S37</f>
        <v>0</v>
      </c>
      <c r="R37" s="210">
        <f t="shared" si="15"/>
        <v>0</v>
      </c>
      <c r="S37" s="350">
        <f t="shared" si="5"/>
        <v>0</v>
      </c>
      <c r="T37" s="350">
        <f t="shared" si="16"/>
        <v>0</v>
      </c>
      <c r="U37" s="274">
        <f>'Table 5C1A-Madison Prep'!U37</f>
        <v>5028</v>
      </c>
      <c r="V37" s="327">
        <f t="shared" si="17"/>
        <v>0</v>
      </c>
      <c r="W37" s="883">
        <f>'[1]Oct midyear Vision'!E34</f>
        <v>0</v>
      </c>
      <c r="X37" s="276">
        <f t="shared" si="18"/>
        <v>0</v>
      </c>
      <c r="Y37" s="883">
        <f>'[1]Feb midyear Vision'!E34</f>
        <v>0</v>
      </c>
      <c r="Z37" s="276">
        <f t="shared" si="19"/>
        <v>0</v>
      </c>
      <c r="AA37" s="275">
        <f t="shared" si="20"/>
        <v>0</v>
      </c>
      <c r="AB37" s="323">
        <f t="shared" si="21"/>
        <v>0</v>
      </c>
      <c r="AC37" s="278">
        <f t="shared" si="22"/>
        <v>0</v>
      </c>
      <c r="AD37" s="323">
        <f t="shared" si="23"/>
        <v>0</v>
      </c>
      <c r="AE37" s="279">
        <v>0</v>
      </c>
      <c r="AF37" s="323">
        <f t="shared" si="24"/>
        <v>0</v>
      </c>
      <c r="AG37" s="279">
        <f>8*'[2]Table 5C1P-Vision'!AI37</f>
        <v>0</v>
      </c>
      <c r="AH37" s="279">
        <f t="shared" si="25"/>
        <v>0</v>
      </c>
      <c r="AI37" s="323">
        <f t="shared" si="6"/>
        <v>0</v>
      </c>
      <c r="AJ37" s="337">
        <f t="shared" si="26"/>
        <v>0</v>
      </c>
      <c r="AK37" s="341">
        <f t="shared" si="27"/>
        <v>0</v>
      </c>
      <c r="AM37" s="273">
        <v>0</v>
      </c>
      <c r="AN37" s="273">
        <f t="shared" si="28"/>
        <v>0</v>
      </c>
      <c r="AO37" s="273">
        <f t="shared" si="29"/>
        <v>0</v>
      </c>
    </row>
    <row r="38" spans="1:41" ht="16.149999999999999" customHeight="1">
      <c r="A38" s="198">
        <v>32</v>
      </c>
      <c r="B38" s="199" t="s">
        <v>104</v>
      </c>
      <c r="C38" s="995">
        <v>0</v>
      </c>
      <c r="D38" s="201">
        <f>+'Table 5C1A-Madison Prep'!D38</f>
        <v>5652.819189061127</v>
      </c>
      <c r="E38" s="202">
        <f t="shared" si="8"/>
        <v>0</v>
      </c>
      <c r="F38" s="202">
        <f>+'Table 5C1A-Madison Prep'!F38</f>
        <v>559.77</v>
      </c>
      <c r="G38" s="202">
        <f t="shared" si="9"/>
        <v>0</v>
      </c>
      <c r="H38" s="345">
        <f t="shared" si="10"/>
        <v>0</v>
      </c>
      <c r="I38" s="203">
        <f>'[1]Oct midyear Vision'!K35</f>
        <v>0</v>
      </c>
      <c r="J38" s="203">
        <f>'[1]Feb midyear Vision'!K35</f>
        <v>0</v>
      </c>
      <c r="K38" s="204">
        <f t="shared" si="11"/>
        <v>0</v>
      </c>
      <c r="L38" s="345">
        <f t="shared" si="12"/>
        <v>0</v>
      </c>
      <c r="M38" s="286">
        <f t="shared" si="4"/>
        <v>0</v>
      </c>
      <c r="N38" s="345">
        <f t="shared" si="13"/>
        <v>0</v>
      </c>
      <c r="O38" s="201">
        <v>0</v>
      </c>
      <c r="P38" s="351">
        <f t="shared" si="14"/>
        <v>0</v>
      </c>
      <c r="Q38" s="203">
        <f>8*'[2]Table 5C1P-Vision'!S38</f>
        <v>0</v>
      </c>
      <c r="R38" s="203">
        <f t="shared" si="15"/>
        <v>0</v>
      </c>
      <c r="S38" s="351">
        <f t="shared" si="5"/>
        <v>0</v>
      </c>
      <c r="T38" s="351">
        <f t="shared" si="16"/>
        <v>0</v>
      </c>
      <c r="U38" s="287">
        <f>'Table 5C1A-Madison Prep'!U38</f>
        <v>2139</v>
      </c>
      <c r="V38" s="328">
        <f t="shared" si="17"/>
        <v>0</v>
      </c>
      <c r="W38" s="289">
        <f>'[1]Oct midyear Vision'!E35</f>
        <v>0</v>
      </c>
      <c r="X38" s="290">
        <f t="shared" si="18"/>
        <v>0</v>
      </c>
      <c r="Y38" s="289">
        <f>'[1]Feb midyear Vision'!E35</f>
        <v>0</v>
      </c>
      <c r="Z38" s="290">
        <f t="shared" si="19"/>
        <v>0</v>
      </c>
      <c r="AA38" s="288">
        <f t="shared" si="20"/>
        <v>0</v>
      </c>
      <c r="AB38" s="324">
        <f t="shared" si="21"/>
        <v>0</v>
      </c>
      <c r="AC38" s="292">
        <f t="shared" si="22"/>
        <v>0</v>
      </c>
      <c r="AD38" s="324">
        <f t="shared" si="23"/>
        <v>0</v>
      </c>
      <c r="AE38" s="293">
        <v>0</v>
      </c>
      <c r="AF38" s="324">
        <f t="shared" si="24"/>
        <v>0</v>
      </c>
      <c r="AG38" s="293">
        <f>8*'[2]Table 5C1P-Vision'!AI38</f>
        <v>0</v>
      </c>
      <c r="AH38" s="293">
        <f t="shared" si="25"/>
        <v>0</v>
      </c>
      <c r="AI38" s="324">
        <f t="shared" si="6"/>
        <v>0</v>
      </c>
      <c r="AJ38" s="321">
        <f t="shared" si="26"/>
        <v>0</v>
      </c>
      <c r="AK38" s="342">
        <f t="shared" si="27"/>
        <v>0</v>
      </c>
      <c r="AM38" s="286">
        <v>0</v>
      </c>
      <c r="AN38" s="286">
        <f t="shared" si="28"/>
        <v>0</v>
      </c>
      <c r="AO38" s="286">
        <f t="shared" si="29"/>
        <v>0</v>
      </c>
    </row>
    <row r="39" spans="1:41" ht="16.149999999999999" customHeight="1">
      <c r="A39" s="198">
        <v>33</v>
      </c>
      <c r="B39" s="199" t="s">
        <v>105</v>
      </c>
      <c r="C39" s="995">
        <v>0</v>
      </c>
      <c r="D39" s="201">
        <f>+'Table 5C1A-Madison Prep'!D39</f>
        <v>5456.2254558085233</v>
      </c>
      <c r="E39" s="202">
        <f t="shared" si="8"/>
        <v>0</v>
      </c>
      <c r="F39" s="202">
        <f>+'Table 5C1A-Madison Prep'!F39</f>
        <v>655.31000000000006</v>
      </c>
      <c r="G39" s="202">
        <f t="shared" si="9"/>
        <v>0</v>
      </c>
      <c r="H39" s="345">
        <f t="shared" si="10"/>
        <v>0</v>
      </c>
      <c r="I39" s="203">
        <f>'[1]Oct midyear Vision'!K36</f>
        <v>0</v>
      </c>
      <c r="J39" s="203">
        <f>'[1]Feb midyear Vision'!K36</f>
        <v>0</v>
      </c>
      <c r="K39" s="204">
        <f t="shared" si="11"/>
        <v>0</v>
      </c>
      <c r="L39" s="345">
        <f t="shared" si="12"/>
        <v>0</v>
      </c>
      <c r="M39" s="286">
        <f t="shared" si="4"/>
        <v>0</v>
      </c>
      <c r="N39" s="345">
        <f t="shared" si="13"/>
        <v>0</v>
      </c>
      <c r="O39" s="201">
        <v>0</v>
      </c>
      <c r="P39" s="351">
        <f t="shared" si="14"/>
        <v>0</v>
      </c>
      <c r="Q39" s="203">
        <f>8*'[2]Table 5C1P-Vision'!S39</f>
        <v>0</v>
      </c>
      <c r="R39" s="203">
        <f t="shared" si="15"/>
        <v>0</v>
      </c>
      <c r="S39" s="351">
        <f t="shared" ref="S39:S70" si="30">ROUND(R39/$S$88,0)</f>
        <v>0</v>
      </c>
      <c r="T39" s="351">
        <f t="shared" si="16"/>
        <v>0</v>
      </c>
      <c r="U39" s="287">
        <f>'Table 5C1A-Madison Prep'!U39</f>
        <v>3784</v>
      </c>
      <c r="V39" s="328">
        <f t="shared" si="17"/>
        <v>0</v>
      </c>
      <c r="W39" s="289">
        <f>'[1]Oct midyear Vision'!E36</f>
        <v>0</v>
      </c>
      <c r="X39" s="290">
        <f t="shared" si="18"/>
        <v>0</v>
      </c>
      <c r="Y39" s="289">
        <f>'[1]Feb midyear Vision'!E36</f>
        <v>0</v>
      </c>
      <c r="Z39" s="290">
        <f t="shared" si="19"/>
        <v>0</v>
      </c>
      <c r="AA39" s="288">
        <f t="shared" si="20"/>
        <v>0</v>
      </c>
      <c r="AB39" s="324">
        <f t="shared" si="21"/>
        <v>0</v>
      </c>
      <c r="AC39" s="292">
        <f t="shared" si="22"/>
        <v>0</v>
      </c>
      <c r="AD39" s="324">
        <f t="shared" si="23"/>
        <v>0</v>
      </c>
      <c r="AE39" s="293">
        <v>0</v>
      </c>
      <c r="AF39" s="324">
        <f t="shared" si="24"/>
        <v>0</v>
      </c>
      <c r="AG39" s="293">
        <f>8*'[2]Table 5C1P-Vision'!AI39</f>
        <v>0</v>
      </c>
      <c r="AH39" s="293">
        <f t="shared" si="25"/>
        <v>0</v>
      </c>
      <c r="AI39" s="324">
        <f t="shared" ref="AI39:AI70" si="31">ROUND(AH39/$AI$88,0)</f>
        <v>0</v>
      </c>
      <c r="AJ39" s="321">
        <f t="shared" si="26"/>
        <v>0</v>
      </c>
      <c r="AK39" s="342">
        <f t="shared" si="27"/>
        <v>0</v>
      </c>
      <c r="AM39" s="286">
        <v>0</v>
      </c>
      <c r="AN39" s="286">
        <f t="shared" si="28"/>
        <v>0</v>
      </c>
      <c r="AO39" s="286">
        <f t="shared" si="29"/>
        <v>0</v>
      </c>
    </row>
    <row r="40" spans="1:41" ht="16.149999999999999" customHeight="1">
      <c r="A40" s="198">
        <v>34</v>
      </c>
      <c r="B40" s="199" t="s">
        <v>106</v>
      </c>
      <c r="C40" s="995">
        <v>0</v>
      </c>
      <c r="D40" s="201">
        <f>+'Table 5C1A-Madison Prep'!D40</f>
        <v>6292.0976842789005</v>
      </c>
      <c r="E40" s="202">
        <f t="shared" si="8"/>
        <v>0</v>
      </c>
      <c r="F40" s="202">
        <f>+'Table 5C1A-Madison Prep'!F40</f>
        <v>644.11000000000013</v>
      </c>
      <c r="G40" s="202">
        <f t="shared" si="9"/>
        <v>0</v>
      </c>
      <c r="H40" s="345">
        <f t="shared" si="10"/>
        <v>0</v>
      </c>
      <c r="I40" s="203">
        <f>'[1]Oct midyear Vision'!K37</f>
        <v>0</v>
      </c>
      <c r="J40" s="203">
        <f>'[1]Feb midyear Vision'!K37</f>
        <v>0</v>
      </c>
      <c r="K40" s="204">
        <f t="shared" si="11"/>
        <v>0</v>
      </c>
      <c r="L40" s="345">
        <f t="shared" si="12"/>
        <v>0</v>
      </c>
      <c r="M40" s="286">
        <f t="shared" si="4"/>
        <v>0</v>
      </c>
      <c r="N40" s="345">
        <f t="shared" si="13"/>
        <v>0</v>
      </c>
      <c r="O40" s="201">
        <v>0</v>
      </c>
      <c r="P40" s="351">
        <f t="shared" si="14"/>
        <v>0</v>
      </c>
      <c r="Q40" s="203">
        <f>8*'[2]Table 5C1P-Vision'!S40</f>
        <v>92248</v>
      </c>
      <c r="R40" s="203">
        <f t="shared" si="15"/>
        <v>-92248</v>
      </c>
      <c r="S40" s="351">
        <f t="shared" si="30"/>
        <v>-23062</v>
      </c>
      <c r="T40" s="351">
        <f t="shared" si="16"/>
        <v>0</v>
      </c>
      <c r="U40" s="287">
        <f>'Table 5C1A-Madison Prep'!U40</f>
        <v>2911</v>
      </c>
      <c r="V40" s="328">
        <f t="shared" si="17"/>
        <v>0</v>
      </c>
      <c r="W40" s="289">
        <f>'[1]Oct midyear Vision'!E37</f>
        <v>0</v>
      </c>
      <c r="X40" s="290">
        <f t="shared" si="18"/>
        <v>0</v>
      </c>
      <c r="Y40" s="289">
        <f>'[1]Feb midyear Vision'!E37</f>
        <v>0</v>
      </c>
      <c r="Z40" s="290">
        <f t="shared" si="19"/>
        <v>0</v>
      </c>
      <c r="AA40" s="288">
        <f t="shared" si="20"/>
        <v>0</v>
      </c>
      <c r="AB40" s="324">
        <f t="shared" si="21"/>
        <v>0</v>
      </c>
      <c r="AC40" s="292">
        <f t="shared" si="22"/>
        <v>0</v>
      </c>
      <c r="AD40" s="324">
        <f t="shared" si="23"/>
        <v>0</v>
      </c>
      <c r="AE40" s="293">
        <v>0</v>
      </c>
      <c r="AF40" s="324">
        <f t="shared" si="24"/>
        <v>0</v>
      </c>
      <c r="AG40" s="293">
        <f>8*'[2]Table 5C1P-Vision'!AI40</f>
        <v>36192</v>
      </c>
      <c r="AH40" s="293">
        <f t="shared" si="25"/>
        <v>-36192</v>
      </c>
      <c r="AI40" s="324">
        <f t="shared" si="31"/>
        <v>-9048</v>
      </c>
      <c r="AJ40" s="321">
        <f t="shared" si="26"/>
        <v>0</v>
      </c>
      <c r="AK40" s="342">
        <f t="shared" si="27"/>
        <v>-32110</v>
      </c>
      <c r="AM40" s="286">
        <v>-136.05000000000001</v>
      </c>
      <c r="AN40" s="286">
        <f t="shared" si="28"/>
        <v>0</v>
      </c>
      <c r="AO40" s="286">
        <f t="shared" si="29"/>
        <v>136.05000000000001</v>
      </c>
    </row>
    <row r="41" spans="1:41" ht="16.149999999999999" customHeight="1">
      <c r="A41" s="191">
        <v>35</v>
      </c>
      <c r="B41" s="192" t="s">
        <v>107</v>
      </c>
      <c r="C41" s="996">
        <v>0</v>
      </c>
      <c r="D41" s="194">
        <f>+'Table 5C1A-Madison Prep'!D41</f>
        <v>5166.2482060477605</v>
      </c>
      <c r="E41" s="195">
        <f t="shared" si="8"/>
        <v>0</v>
      </c>
      <c r="F41" s="195">
        <f>+'Table 5C1A-Madison Prep'!F41</f>
        <v>537.96</v>
      </c>
      <c r="G41" s="195">
        <f t="shared" si="9"/>
        <v>0</v>
      </c>
      <c r="H41" s="346">
        <f t="shared" si="10"/>
        <v>0</v>
      </c>
      <c r="I41" s="196">
        <f>'[1]Oct midyear Vision'!K38</f>
        <v>0</v>
      </c>
      <c r="J41" s="196">
        <f>'[1]Feb midyear Vision'!K38</f>
        <v>0</v>
      </c>
      <c r="K41" s="197">
        <f t="shared" si="11"/>
        <v>0</v>
      </c>
      <c r="L41" s="346">
        <f t="shared" si="12"/>
        <v>0</v>
      </c>
      <c r="M41" s="296">
        <f t="shared" si="4"/>
        <v>0</v>
      </c>
      <c r="N41" s="346">
        <f t="shared" si="13"/>
        <v>0</v>
      </c>
      <c r="O41" s="194">
        <v>0</v>
      </c>
      <c r="P41" s="352">
        <f t="shared" si="14"/>
        <v>0</v>
      </c>
      <c r="Q41" s="196">
        <f>8*'[2]Table 5C1P-Vision'!S41</f>
        <v>0</v>
      </c>
      <c r="R41" s="196">
        <f t="shared" si="15"/>
        <v>0</v>
      </c>
      <c r="S41" s="352">
        <f t="shared" si="30"/>
        <v>0</v>
      </c>
      <c r="T41" s="352">
        <f t="shared" si="16"/>
        <v>0</v>
      </c>
      <c r="U41" s="281">
        <f>'Table 5C1A-Madison Prep'!U41</f>
        <v>3337</v>
      </c>
      <c r="V41" s="329">
        <f t="shared" si="17"/>
        <v>0</v>
      </c>
      <c r="W41" s="884">
        <f>'[1]Oct midyear Vision'!E38</f>
        <v>0</v>
      </c>
      <c r="X41" s="282">
        <f t="shared" si="18"/>
        <v>0</v>
      </c>
      <c r="Y41" s="884">
        <f>'[1]Feb midyear Vision'!E38</f>
        <v>0</v>
      </c>
      <c r="Z41" s="282">
        <f t="shared" si="19"/>
        <v>0</v>
      </c>
      <c r="AA41" s="283">
        <f t="shared" si="20"/>
        <v>0</v>
      </c>
      <c r="AB41" s="325">
        <f t="shared" si="21"/>
        <v>0</v>
      </c>
      <c r="AC41" s="298">
        <f t="shared" si="22"/>
        <v>0</v>
      </c>
      <c r="AD41" s="325">
        <f t="shared" si="23"/>
        <v>0</v>
      </c>
      <c r="AE41" s="284">
        <v>0</v>
      </c>
      <c r="AF41" s="325">
        <f t="shared" si="24"/>
        <v>0</v>
      </c>
      <c r="AG41" s="284">
        <f>8*'[2]Table 5C1P-Vision'!AI41</f>
        <v>0</v>
      </c>
      <c r="AH41" s="284">
        <f t="shared" si="25"/>
        <v>0</v>
      </c>
      <c r="AI41" s="325">
        <f t="shared" si="31"/>
        <v>0</v>
      </c>
      <c r="AJ41" s="338">
        <f t="shared" si="26"/>
        <v>0</v>
      </c>
      <c r="AK41" s="343">
        <f t="shared" si="27"/>
        <v>0</v>
      </c>
      <c r="AM41" s="296">
        <v>0</v>
      </c>
      <c r="AN41" s="296">
        <f t="shared" si="28"/>
        <v>0</v>
      </c>
      <c r="AO41" s="296">
        <f t="shared" si="29"/>
        <v>0</v>
      </c>
    </row>
    <row r="42" spans="1:41" ht="16.149999999999999" customHeight="1">
      <c r="A42" s="205">
        <v>36</v>
      </c>
      <c r="B42" s="206" t="s">
        <v>108</v>
      </c>
      <c r="C42" s="994">
        <v>0</v>
      </c>
      <c r="D42" s="208">
        <f>+'Table 5C1A-Madison Prep'!D42</f>
        <v>3602.7009974327857</v>
      </c>
      <c r="E42" s="209">
        <f t="shared" si="8"/>
        <v>0</v>
      </c>
      <c r="F42" s="209">
        <f>+'Table 5C1A-Madison Prep'!F42</f>
        <v>746.0335616438357</v>
      </c>
      <c r="G42" s="209">
        <f t="shared" si="9"/>
        <v>0</v>
      </c>
      <c r="H42" s="344">
        <f t="shared" si="10"/>
        <v>0</v>
      </c>
      <c r="I42" s="210">
        <f>'[1]Oct midyear Vision'!K39</f>
        <v>0</v>
      </c>
      <c r="J42" s="210">
        <f>'[1]Feb midyear Vision'!K39</f>
        <v>0</v>
      </c>
      <c r="K42" s="211">
        <f t="shared" si="11"/>
        <v>0</v>
      </c>
      <c r="L42" s="344">
        <f t="shared" si="12"/>
        <v>0</v>
      </c>
      <c r="M42" s="273">
        <f t="shared" si="4"/>
        <v>0</v>
      </c>
      <c r="N42" s="344">
        <f t="shared" si="13"/>
        <v>0</v>
      </c>
      <c r="O42" s="208">
        <v>0</v>
      </c>
      <c r="P42" s="350">
        <f t="shared" si="14"/>
        <v>0</v>
      </c>
      <c r="Q42" s="210">
        <f>8*'[2]Table 5C1P-Vision'!S42</f>
        <v>0</v>
      </c>
      <c r="R42" s="210">
        <f t="shared" si="15"/>
        <v>0</v>
      </c>
      <c r="S42" s="350">
        <f t="shared" si="30"/>
        <v>0</v>
      </c>
      <c r="T42" s="350">
        <f t="shared" si="16"/>
        <v>0</v>
      </c>
      <c r="U42" s="274">
        <f>'Table 5C1A-Madison Prep'!U42</f>
        <v>5469</v>
      </c>
      <c r="V42" s="327">
        <f t="shared" si="17"/>
        <v>0</v>
      </c>
      <c r="W42" s="883">
        <f>'[1]Oct midyear Vision'!E39</f>
        <v>0</v>
      </c>
      <c r="X42" s="276">
        <f t="shared" si="18"/>
        <v>0</v>
      </c>
      <c r="Y42" s="883">
        <f>'[1]Feb midyear Vision'!E39</f>
        <v>0</v>
      </c>
      <c r="Z42" s="276">
        <f t="shared" si="19"/>
        <v>0</v>
      </c>
      <c r="AA42" s="275">
        <f t="shared" si="20"/>
        <v>0</v>
      </c>
      <c r="AB42" s="323">
        <f t="shared" si="21"/>
        <v>0</v>
      </c>
      <c r="AC42" s="278">
        <f t="shared" si="22"/>
        <v>0</v>
      </c>
      <c r="AD42" s="323">
        <f t="shared" si="23"/>
        <v>0</v>
      </c>
      <c r="AE42" s="279">
        <v>0</v>
      </c>
      <c r="AF42" s="323">
        <f t="shared" si="24"/>
        <v>0</v>
      </c>
      <c r="AG42" s="279">
        <f>8*'[2]Table 5C1P-Vision'!AI42</f>
        <v>0</v>
      </c>
      <c r="AH42" s="279">
        <f t="shared" si="25"/>
        <v>0</v>
      </c>
      <c r="AI42" s="323">
        <f t="shared" si="31"/>
        <v>0</v>
      </c>
      <c r="AJ42" s="337">
        <f t="shared" si="26"/>
        <v>0</v>
      </c>
      <c r="AK42" s="341">
        <f t="shared" si="27"/>
        <v>0</v>
      </c>
      <c r="AM42" s="273">
        <v>0</v>
      </c>
      <c r="AN42" s="273">
        <f t="shared" si="28"/>
        <v>0</v>
      </c>
      <c r="AO42" s="273">
        <f t="shared" si="29"/>
        <v>0</v>
      </c>
    </row>
    <row r="43" spans="1:41" ht="16.149999999999999" customHeight="1">
      <c r="A43" s="198">
        <v>37</v>
      </c>
      <c r="B43" s="199" t="s">
        <v>109</v>
      </c>
      <c r="C43" s="995">
        <v>0</v>
      </c>
      <c r="D43" s="201">
        <f>+'Table 5C1A-Madison Prep'!D43</f>
        <v>5665.3839260317691</v>
      </c>
      <c r="E43" s="202">
        <f t="shared" si="8"/>
        <v>0</v>
      </c>
      <c r="F43" s="202">
        <f>+'Table 5C1A-Madison Prep'!F43</f>
        <v>653.61</v>
      </c>
      <c r="G43" s="202">
        <f t="shared" si="9"/>
        <v>0</v>
      </c>
      <c r="H43" s="345">
        <f t="shared" si="10"/>
        <v>0</v>
      </c>
      <c r="I43" s="203">
        <f>'[1]Oct midyear Vision'!K40</f>
        <v>1257479.791280322</v>
      </c>
      <c r="J43" s="203">
        <f>'[1]Feb midyear Vision'!K40</f>
        <v>-72668.430149365347</v>
      </c>
      <c r="K43" s="204">
        <f t="shared" si="11"/>
        <v>1184811.3611309566</v>
      </c>
      <c r="L43" s="345">
        <f t="shared" si="12"/>
        <v>1184811.3611309566</v>
      </c>
      <c r="M43" s="286">
        <f t="shared" si="4"/>
        <v>-2962.0284028273913</v>
      </c>
      <c r="N43" s="345">
        <f t="shared" si="13"/>
        <v>1181849.3327281291</v>
      </c>
      <c r="O43" s="201">
        <v>0</v>
      </c>
      <c r="P43" s="351">
        <f t="shared" si="14"/>
        <v>1181849.3327281291</v>
      </c>
      <c r="Q43" s="203">
        <f>8*'[2]Table 5C1P-Vision'!S43</f>
        <v>84040</v>
      </c>
      <c r="R43" s="203">
        <f t="shared" si="15"/>
        <v>1097809.3327281291</v>
      </c>
      <c r="S43" s="351">
        <f t="shared" si="30"/>
        <v>274452</v>
      </c>
      <c r="T43" s="351">
        <f t="shared" si="16"/>
        <v>1181849.3327281291</v>
      </c>
      <c r="U43" s="287">
        <f>'Table 5C1A-Madison Prep'!U43</f>
        <v>3424</v>
      </c>
      <c r="V43" s="328">
        <f t="shared" si="17"/>
        <v>0</v>
      </c>
      <c r="W43" s="289">
        <f>'[1]Oct midyear Vision'!E40</f>
        <v>199</v>
      </c>
      <c r="X43" s="290">
        <f t="shared" si="18"/>
        <v>681376</v>
      </c>
      <c r="Y43" s="289">
        <f>'[1]Feb midyear Vision'!E40</f>
        <v>-23</v>
      </c>
      <c r="Z43" s="290">
        <f t="shared" si="19"/>
        <v>-39376</v>
      </c>
      <c r="AA43" s="288">
        <f t="shared" si="20"/>
        <v>642000</v>
      </c>
      <c r="AB43" s="324">
        <f t="shared" si="21"/>
        <v>642000</v>
      </c>
      <c r="AC43" s="292">
        <f t="shared" si="22"/>
        <v>-1605</v>
      </c>
      <c r="AD43" s="324">
        <f t="shared" si="23"/>
        <v>640395</v>
      </c>
      <c r="AE43" s="293">
        <v>0</v>
      </c>
      <c r="AF43" s="324">
        <f t="shared" si="24"/>
        <v>640395</v>
      </c>
      <c r="AG43" s="293">
        <f>8*'[2]Table 5C1P-Vision'!AI43</f>
        <v>46816</v>
      </c>
      <c r="AH43" s="293">
        <f t="shared" si="25"/>
        <v>593579</v>
      </c>
      <c r="AI43" s="324">
        <f t="shared" si="31"/>
        <v>148395</v>
      </c>
      <c r="AJ43" s="321">
        <f t="shared" si="26"/>
        <v>1822244.3327281291</v>
      </c>
      <c r="AK43" s="342">
        <f t="shared" si="27"/>
        <v>422847</v>
      </c>
      <c r="AM43" s="286">
        <v>-176</v>
      </c>
      <c r="AN43" s="286">
        <f t="shared" si="28"/>
        <v>-1605</v>
      </c>
      <c r="AO43" s="286">
        <f t="shared" si="29"/>
        <v>-1429</v>
      </c>
    </row>
    <row r="44" spans="1:41" ht="16.149999999999999" customHeight="1">
      <c r="A44" s="198">
        <v>38</v>
      </c>
      <c r="B44" s="199" t="s">
        <v>110</v>
      </c>
      <c r="C44" s="995">
        <v>0</v>
      </c>
      <c r="D44" s="201">
        <f>+'Table 5C1A-Madison Prep'!D44</f>
        <v>2088.8017552916881</v>
      </c>
      <c r="E44" s="202">
        <f t="shared" si="8"/>
        <v>0</v>
      </c>
      <c r="F44" s="202">
        <f>+'Table 5C1A-Madison Prep'!F44</f>
        <v>829.92000000000007</v>
      </c>
      <c r="G44" s="202">
        <f t="shared" si="9"/>
        <v>0</v>
      </c>
      <c r="H44" s="345">
        <f t="shared" si="10"/>
        <v>0</v>
      </c>
      <c r="I44" s="203">
        <f>'[1]Oct midyear Vision'!K41</f>
        <v>0</v>
      </c>
      <c r="J44" s="203">
        <f>'[1]Feb midyear Vision'!K41</f>
        <v>0</v>
      </c>
      <c r="K44" s="204">
        <f t="shared" si="11"/>
        <v>0</v>
      </c>
      <c r="L44" s="345">
        <f t="shared" si="12"/>
        <v>0</v>
      </c>
      <c r="M44" s="286">
        <f t="shared" si="4"/>
        <v>0</v>
      </c>
      <c r="N44" s="345">
        <f t="shared" si="13"/>
        <v>0</v>
      </c>
      <c r="O44" s="201">
        <v>0</v>
      </c>
      <c r="P44" s="351">
        <f t="shared" si="14"/>
        <v>0</v>
      </c>
      <c r="Q44" s="203">
        <f>8*'[2]Table 5C1P-Vision'!S44</f>
        <v>0</v>
      </c>
      <c r="R44" s="203">
        <f t="shared" si="15"/>
        <v>0</v>
      </c>
      <c r="S44" s="351">
        <f t="shared" si="30"/>
        <v>0</v>
      </c>
      <c r="T44" s="351">
        <f t="shared" si="16"/>
        <v>0</v>
      </c>
      <c r="U44" s="287">
        <f>'Table 5C1A-Madison Prep'!U44</f>
        <v>11060</v>
      </c>
      <c r="V44" s="328">
        <f t="shared" si="17"/>
        <v>0</v>
      </c>
      <c r="W44" s="289">
        <f>'[1]Oct midyear Vision'!E41</f>
        <v>0</v>
      </c>
      <c r="X44" s="290">
        <f t="shared" si="18"/>
        <v>0</v>
      </c>
      <c r="Y44" s="289">
        <f>'[1]Feb midyear Vision'!E41</f>
        <v>0</v>
      </c>
      <c r="Z44" s="290">
        <f t="shared" si="19"/>
        <v>0</v>
      </c>
      <c r="AA44" s="288">
        <f t="shared" si="20"/>
        <v>0</v>
      </c>
      <c r="AB44" s="324">
        <f t="shared" si="21"/>
        <v>0</v>
      </c>
      <c r="AC44" s="292">
        <f t="shared" si="22"/>
        <v>0</v>
      </c>
      <c r="AD44" s="324">
        <f t="shared" si="23"/>
        <v>0</v>
      </c>
      <c r="AE44" s="293">
        <v>0</v>
      </c>
      <c r="AF44" s="324">
        <f t="shared" si="24"/>
        <v>0</v>
      </c>
      <c r="AG44" s="293">
        <f>8*'[2]Table 5C1P-Vision'!AI44</f>
        <v>0</v>
      </c>
      <c r="AH44" s="293">
        <f t="shared" si="25"/>
        <v>0</v>
      </c>
      <c r="AI44" s="324">
        <f t="shared" si="31"/>
        <v>0</v>
      </c>
      <c r="AJ44" s="321">
        <f t="shared" si="26"/>
        <v>0</v>
      </c>
      <c r="AK44" s="342">
        <f t="shared" si="27"/>
        <v>0</v>
      </c>
      <c r="AM44" s="286">
        <v>0</v>
      </c>
      <c r="AN44" s="286">
        <f t="shared" si="28"/>
        <v>0</v>
      </c>
      <c r="AO44" s="286">
        <f t="shared" si="29"/>
        <v>0</v>
      </c>
    </row>
    <row r="45" spans="1:41" ht="16.149999999999999" customHeight="1">
      <c r="A45" s="198">
        <v>39</v>
      </c>
      <c r="B45" s="199" t="s">
        <v>111</v>
      </c>
      <c r="C45" s="995">
        <v>0</v>
      </c>
      <c r="D45" s="201">
        <f>+'Table 5C1A-Madison Prep'!D45</f>
        <v>3656.9056809295676</v>
      </c>
      <c r="E45" s="202">
        <f t="shared" si="8"/>
        <v>0</v>
      </c>
      <c r="F45" s="202">
        <f>+'Table 5C1A-Madison Prep'!F45</f>
        <v>779.65573042776396</v>
      </c>
      <c r="G45" s="202">
        <f t="shared" si="9"/>
        <v>0</v>
      </c>
      <c r="H45" s="345">
        <f t="shared" si="10"/>
        <v>0</v>
      </c>
      <c r="I45" s="203">
        <f>'[1]Oct midyear Vision'!K42</f>
        <v>0</v>
      </c>
      <c r="J45" s="203">
        <f>'[1]Feb midyear Vision'!K42</f>
        <v>0</v>
      </c>
      <c r="K45" s="204">
        <f t="shared" si="11"/>
        <v>0</v>
      </c>
      <c r="L45" s="345">
        <f t="shared" si="12"/>
        <v>0</v>
      </c>
      <c r="M45" s="286">
        <f t="shared" si="4"/>
        <v>0</v>
      </c>
      <c r="N45" s="345">
        <f t="shared" si="13"/>
        <v>0</v>
      </c>
      <c r="O45" s="201">
        <v>0</v>
      </c>
      <c r="P45" s="351">
        <f t="shared" si="14"/>
        <v>0</v>
      </c>
      <c r="Q45" s="203">
        <f>8*'[2]Table 5C1P-Vision'!S45</f>
        <v>0</v>
      </c>
      <c r="R45" s="203">
        <f t="shared" si="15"/>
        <v>0</v>
      </c>
      <c r="S45" s="351">
        <f t="shared" si="30"/>
        <v>0</v>
      </c>
      <c r="T45" s="351">
        <f t="shared" si="16"/>
        <v>0</v>
      </c>
      <c r="U45" s="287">
        <f>'Table 5C1A-Madison Prep'!U45</f>
        <v>4922</v>
      </c>
      <c r="V45" s="328">
        <f t="shared" si="17"/>
        <v>0</v>
      </c>
      <c r="W45" s="289">
        <f>'[1]Oct midyear Vision'!E42</f>
        <v>0</v>
      </c>
      <c r="X45" s="290">
        <f t="shared" si="18"/>
        <v>0</v>
      </c>
      <c r="Y45" s="289">
        <f>'[1]Feb midyear Vision'!E42</f>
        <v>0</v>
      </c>
      <c r="Z45" s="290">
        <f t="shared" si="19"/>
        <v>0</v>
      </c>
      <c r="AA45" s="288">
        <f t="shared" si="20"/>
        <v>0</v>
      </c>
      <c r="AB45" s="324">
        <f t="shared" si="21"/>
        <v>0</v>
      </c>
      <c r="AC45" s="292">
        <f t="shared" si="22"/>
        <v>0</v>
      </c>
      <c r="AD45" s="324">
        <f t="shared" si="23"/>
        <v>0</v>
      </c>
      <c r="AE45" s="293">
        <v>0</v>
      </c>
      <c r="AF45" s="324">
        <f t="shared" si="24"/>
        <v>0</v>
      </c>
      <c r="AG45" s="293">
        <f>8*'[2]Table 5C1P-Vision'!AI45</f>
        <v>0</v>
      </c>
      <c r="AH45" s="293">
        <f t="shared" si="25"/>
        <v>0</v>
      </c>
      <c r="AI45" s="324">
        <f t="shared" si="31"/>
        <v>0</v>
      </c>
      <c r="AJ45" s="321">
        <f t="shared" si="26"/>
        <v>0</v>
      </c>
      <c r="AK45" s="342">
        <f t="shared" si="27"/>
        <v>0</v>
      </c>
      <c r="AM45" s="286">
        <v>0</v>
      </c>
      <c r="AN45" s="286">
        <f t="shared" si="28"/>
        <v>0</v>
      </c>
      <c r="AO45" s="286">
        <f t="shared" si="29"/>
        <v>0</v>
      </c>
    </row>
    <row r="46" spans="1:41" ht="16.149999999999999" customHeight="1">
      <c r="A46" s="191">
        <v>40</v>
      </c>
      <c r="B46" s="192" t="s">
        <v>112</v>
      </c>
      <c r="C46" s="996">
        <v>0</v>
      </c>
      <c r="D46" s="194">
        <f>+'Table 5C1A-Madison Prep'!D46</f>
        <v>5121.8110285698403</v>
      </c>
      <c r="E46" s="195">
        <f t="shared" si="8"/>
        <v>0</v>
      </c>
      <c r="F46" s="195">
        <f>+'Table 5C1A-Madison Prep'!F46</f>
        <v>700.2700000000001</v>
      </c>
      <c r="G46" s="195">
        <f t="shared" si="9"/>
        <v>0</v>
      </c>
      <c r="H46" s="346">
        <f t="shared" si="10"/>
        <v>0</v>
      </c>
      <c r="I46" s="196">
        <f>'[1]Oct midyear Vision'!K43</f>
        <v>0</v>
      </c>
      <c r="J46" s="196">
        <f>'[1]Feb midyear Vision'!K43</f>
        <v>0</v>
      </c>
      <c r="K46" s="197">
        <f t="shared" si="11"/>
        <v>0</v>
      </c>
      <c r="L46" s="346">
        <f t="shared" si="12"/>
        <v>0</v>
      </c>
      <c r="M46" s="296">
        <f t="shared" si="4"/>
        <v>0</v>
      </c>
      <c r="N46" s="346">
        <f t="shared" si="13"/>
        <v>0</v>
      </c>
      <c r="O46" s="194">
        <v>0</v>
      </c>
      <c r="P46" s="352">
        <f t="shared" si="14"/>
        <v>0</v>
      </c>
      <c r="Q46" s="196">
        <f>8*'[2]Table 5C1P-Vision'!S46</f>
        <v>0</v>
      </c>
      <c r="R46" s="196">
        <f t="shared" si="15"/>
        <v>0</v>
      </c>
      <c r="S46" s="352">
        <f t="shared" si="30"/>
        <v>0</v>
      </c>
      <c r="T46" s="352">
        <f t="shared" si="16"/>
        <v>0</v>
      </c>
      <c r="U46" s="281">
        <f>'Table 5C1A-Madison Prep'!U46</f>
        <v>3152</v>
      </c>
      <c r="V46" s="329">
        <f t="shared" si="17"/>
        <v>0</v>
      </c>
      <c r="W46" s="884">
        <f>'[1]Oct midyear Vision'!E43</f>
        <v>0</v>
      </c>
      <c r="X46" s="282">
        <f t="shared" si="18"/>
        <v>0</v>
      </c>
      <c r="Y46" s="884">
        <f>'[1]Feb midyear Vision'!E43</f>
        <v>0</v>
      </c>
      <c r="Z46" s="282">
        <f t="shared" si="19"/>
        <v>0</v>
      </c>
      <c r="AA46" s="283">
        <f t="shared" si="20"/>
        <v>0</v>
      </c>
      <c r="AB46" s="325">
        <f t="shared" si="21"/>
        <v>0</v>
      </c>
      <c r="AC46" s="298">
        <f t="shared" si="22"/>
        <v>0</v>
      </c>
      <c r="AD46" s="325">
        <f t="shared" si="23"/>
        <v>0</v>
      </c>
      <c r="AE46" s="284">
        <v>0</v>
      </c>
      <c r="AF46" s="325">
        <f t="shared" si="24"/>
        <v>0</v>
      </c>
      <c r="AG46" s="284">
        <f>8*'[2]Table 5C1P-Vision'!AI46</f>
        <v>0</v>
      </c>
      <c r="AH46" s="284">
        <f t="shared" si="25"/>
        <v>0</v>
      </c>
      <c r="AI46" s="325">
        <f t="shared" si="31"/>
        <v>0</v>
      </c>
      <c r="AJ46" s="338">
        <f t="shared" si="26"/>
        <v>0</v>
      </c>
      <c r="AK46" s="343">
        <f t="shared" si="27"/>
        <v>0</v>
      </c>
      <c r="AM46" s="296">
        <v>0</v>
      </c>
      <c r="AN46" s="296">
        <f t="shared" si="28"/>
        <v>0</v>
      </c>
      <c r="AO46" s="296">
        <f t="shared" si="29"/>
        <v>0</v>
      </c>
    </row>
    <row r="47" spans="1:41" ht="16.149999999999999" customHeight="1">
      <c r="A47" s="205">
        <v>41</v>
      </c>
      <c r="B47" s="206" t="s">
        <v>113</v>
      </c>
      <c r="C47" s="994">
        <v>0</v>
      </c>
      <c r="D47" s="208">
        <f>+'Table 5C1A-Madison Prep'!D47</f>
        <v>3291.1948574716475</v>
      </c>
      <c r="E47" s="209">
        <f t="shared" si="8"/>
        <v>0</v>
      </c>
      <c r="F47" s="209">
        <f>+'Table 5C1A-Madison Prep'!F47</f>
        <v>886.22</v>
      </c>
      <c r="G47" s="209">
        <f t="shared" si="9"/>
        <v>0</v>
      </c>
      <c r="H47" s="344">
        <f t="shared" si="10"/>
        <v>0</v>
      </c>
      <c r="I47" s="210">
        <f>'[1]Oct midyear Vision'!K44</f>
        <v>0</v>
      </c>
      <c r="J47" s="210">
        <f>'[1]Feb midyear Vision'!K44</f>
        <v>0</v>
      </c>
      <c r="K47" s="211">
        <f t="shared" si="11"/>
        <v>0</v>
      </c>
      <c r="L47" s="344">
        <f t="shared" si="12"/>
        <v>0</v>
      </c>
      <c r="M47" s="273">
        <f t="shared" si="4"/>
        <v>0</v>
      </c>
      <c r="N47" s="344">
        <f t="shared" si="13"/>
        <v>0</v>
      </c>
      <c r="O47" s="208">
        <v>0</v>
      </c>
      <c r="P47" s="350">
        <f t="shared" si="14"/>
        <v>0</v>
      </c>
      <c r="Q47" s="210">
        <f>8*'[2]Table 5C1P-Vision'!S47</f>
        <v>0</v>
      </c>
      <c r="R47" s="210">
        <f t="shared" si="15"/>
        <v>0</v>
      </c>
      <c r="S47" s="350">
        <f t="shared" si="30"/>
        <v>0</v>
      </c>
      <c r="T47" s="350">
        <f t="shared" si="16"/>
        <v>0</v>
      </c>
      <c r="U47" s="274">
        <f>'Table 5C1A-Madison Prep'!U47</f>
        <v>9422</v>
      </c>
      <c r="V47" s="327">
        <f t="shared" si="17"/>
        <v>0</v>
      </c>
      <c r="W47" s="883">
        <f>'[1]Oct midyear Vision'!E44</f>
        <v>0</v>
      </c>
      <c r="X47" s="276">
        <f t="shared" si="18"/>
        <v>0</v>
      </c>
      <c r="Y47" s="883">
        <f>'[1]Feb midyear Vision'!E44</f>
        <v>0</v>
      </c>
      <c r="Z47" s="276">
        <f t="shared" si="19"/>
        <v>0</v>
      </c>
      <c r="AA47" s="275">
        <f t="shared" si="20"/>
        <v>0</v>
      </c>
      <c r="AB47" s="323">
        <f t="shared" si="21"/>
        <v>0</v>
      </c>
      <c r="AC47" s="278">
        <f t="shared" si="22"/>
        <v>0</v>
      </c>
      <c r="AD47" s="323">
        <f t="shared" si="23"/>
        <v>0</v>
      </c>
      <c r="AE47" s="279">
        <v>0</v>
      </c>
      <c r="AF47" s="323">
        <f t="shared" si="24"/>
        <v>0</v>
      </c>
      <c r="AG47" s="279">
        <f>8*'[2]Table 5C1P-Vision'!AI47</f>
        <v>0</v>
      </c>
      <c r="AH47" s="279">
        <f t="shared" si="25"/>
        <v>0</v>
      </c>
      <c r="AI47" s="323">
        <f t="shared" si="31"/>
        <v>0</v>
      </c>
      <c r="AJ47" s="337">
        <f t="shared" si="26"/>
        <v>0</v>
      </c>
      <c r="AK47" s="341">
        <f t="shared" si="27"/>
        <v>0</v>
      </c>
      <c r="AM47" s="273">
        <v>0</v>
      </c>
      <c r="AN47" s="273">
        <f t="shared" si="28"/>
        <v>0</v>
      </c>
      <c r="AO47" s="273">
        <f t="shared" si="29"/>
        <v>0</v>
      </c>
    </row>
    <row r="48" spans="1:41" ht="16.149999999999999" customHeight="1">
      <c r="A48" s="198">
        <v>42</v>
      </c>
      <c r="B48" s="199" t="s">
        <v>114</v>
      </c>
      <c r="C48" s="995">
        <v>0</v>
      </c>
      <c r="D48" s="201">
        <f>+'Table 5C1A-Madison Prep'!D48</f>
        <v>5113.6077751368684</v>
      </c>
      <c r="E48" s="202">
        <f t="shared" si="8"/>
        <v>0</v>
      </c>
      <c r="F48" s="202">
        <f>+'Table 5C1A-Madison Prep'!F48</f>
        <v>534.28</v>
      </c>
      <c r="G48" s="202">
        <f t="shared" si="9"/>
        <v>0</v>
      </c>
      <c r="H48" s="345">
        <f t="shared" si="10"/>
        <v>0</v>
      </c>
      <c r="I48" s="203">
        <f>'[1]Oct midyear Vision'!K45</f>
        <v>0</v>
      </c>
      <c r="J48" s="203">
        <f>'[1]Feb midyear Vision'!K45</f>
        <v>0</v>
      </c>
      <c r="K48" s="204">
        <f t="shared" si="11"/>
        <v>0</v>
      </c>
      <c r="L48" s="345">
        <f t="shared" si="12"/>
        <v>0</v>
      </c>
      <c r="M48" s="286">
        <f t="shared" si="4"/>
        <v>0</v>
      </c>
      <c r="N48" s="345">
        <f t="shared" si="13"/>
        <v>0</v>
      </c>
      <c r="O48" s="201">
        <v>0</v>
      </c>
      <c r="P48" s="351">
        <f t="shared" si="14"/>
        <v>0</v>
      </c>
      <c r="Q48" s="203">
        <f>8*'[2]Table 5C1P-Vision'!S48</f>
        <v>37560</v>
      </c>
      <c r="R48" s="203">
        <f t="shared" si="15"/>
        <v>-37560</v>
      </c>
      <c r="S48" s="351">
        <f t="shared" si="30"/>
        <v>-9390</v>
      </c>
      <c r="T48" s="351">
        <f t="shared" si="16"/>
        <v>0</v>
      </c>
      <c r="U48" s="287">
        <f>'Table 5C1A-Madison Prep'!U48</f>
        <v>3415</v>
      </c>
      <c r="V48" s="328">
        <f t="shared" si="17"/>
        <v>0</v>
      </c>
      <c r="W48" s="289">
        <f>'[1]Oct midyear Vision'!E45</f>
        <v>0</v>
      </c>
      <c r="X48" s="290">
        <f t="shared" si="18"/>
        <v>0</v>
      </c>
      <c r="Y48" s="289">
        <f>'[1]Feb midyear Vision'!E45</f>
        <v>0</v>
      </c>
      <c r="Z48" s="290">
        <f t="shared" si="19"/>
        <v>0</v>
      </c>
      <c r="AA48" s="288">
        <f t="shared" si="20"/>
        <v>0</v>
      </c>
      <c r="AB48" s="324">
        <f t="shared" si="21"/>
        <v>0</v>
      </c>
      <c r="AC48" s="292">
        <f t="shared" si="22"/>
        <v>0</v>
      </c>
      <c r="AD48" s="324">
        <f t="shared" si="23"/>
        <v>0</v>
      </c>
      <c r="AE48" s="293">
        <v>0</v>
      </c>
      <c r="AF48" s="324">
        <f t="shared" si="24"/>
        <v>0</v>
      </c>
      <c r="AG48" s="293">
        <f>8*'[2]Table 5C1P-Vision'!AI48</f>
        <v>23792</v>
      </c>
      <c r="AH48" s="293">
        <f t="shared" si="25"/>
        <v>-23792</v>
      </c>
      <c r="AI48" s="324">
        <f t="shared" si="31"/>
        <v>-5948</v>
      </c>
      <c r="AJ48" s="321">
        <f t="shared" si="26"/>
        <v>0</v>
      </c>
      <c r="AK48" s="342">
        <f t="shared" si="27"/>
        <v>-15338</v>
      </c>
      <c r="AM48" s="286">
        <v>-89.45</v>
      </c>
      <c r="AN48" s="286">
        <f t="shared" si="28"/>
        <v>0</v>
      </c>
      <c r="AO48" s="286">
        <f t="shared" si="29"/>
        <v>89.45</v>
      </c>
    </row>
    <row r="49" spans="1:41" ht="16.149999999999999" customHeight="1">
      <c r="A49" s="198">
        <v>43</v>
      </c>
      <c r="B49" s="199" t="s">
        <v>115</v>
      </c>
      <c r="C49" s="995">
        <v>0</v>
      </c>
      <c r="D49" s="201">
        <f>+'Table 5C1A-Madison Prep'!D49</f>
        <v>5788.74387205947</v>
      </c>
      <c r="E49" s="202">
        <f t="shared" si="8"/>
        <v>0</v>
      </c>
      <c r="F49" s="202">
        <f>+'Table 5C1A-Madison Prep'!F49</f>
        <v>574.6099999999999</v>
      </c>
      <c r="G49" s="202">
        <f t="shared" si="9"/>
        <v>0</v>
      </c>
      <c r="H49" s="345">
        <f t="shared" si="10"/>
        <v>0</v>
      </c>
      <c r="I49" s="203">
        <f>'[1]Oct midyear Vision'!K46</f>
        <v>0</v>
      </c>
      <c r="J49" s="203">
        <f>'[1]Feb midyear Vision'!K46</f>
        <v>0</v>
      </c>
      <c r="K49" s="204">
        <f t="shared" si="11"/>
        <v>0</v>
      </c>
      <c r="L49" s="345">
        <f t="shared" si="12"/>
        <v>0</v>
      </c>
      <c r="M49" s="286">
        <f t="shared" si="4"/>
        <v>0</v>
      </c>
      <c r="N49" s="345">
        <f t="shared" si="13"/>
        <v>0</v>
      </c>
      <c r="O49" s="201">
        <v>0</v>
      </c>
      <c r="P49" s="351">
        <f t="shared" si="14"/>
        <v>0</v>
      </c>
      <c r="Q49" s="203">
        <f>8*'[2]Table 5C1P-Vision'!S49</f>
        <v>0</v>
      </c>
      <c r="R49" s="203">
        <f t="shared" si="15"/>
        <v>0</v>
      </c>
      <c r="S49" s="351">
        <f t="shared" si="30"/>
        <v>0</v>
      </c>
      <c r="T49" s="351">
        <f t="shared" si="16"/>
        <v>0</v>
      </c>
      <c r="U49" s="287">
        <f>'Table 5C1A-Madison Prep'!U49</f>
        <v>3334</v>
      </c>
      <c r="V49" s="328">
        <f t="shared" si="17"/>
        <v>0</v>
      </c>
      <c r="W49" s="289">
        <f>'[1]Oct midyear Vision'!E46</f>
        <v>0</v>
      </c>
      <c r="X49" s="290">
        <f t="shared" si="18"/>
        <v>0</v>
      </c>
      <c r="Y49" s="289">
        <f>'[1]Feb midyear Vision'!E46</f>
        <v>0</v>
      </c>
      <c r="Z49" s="290">
        <f t="shared" si="19"/>
        <v>0</v>
      </c>
      <c r="AA49" s="288">
        <f t="shared" si="20"/>
        <v>0</v>
      </c>
      <c r="AB49" s="324">
        <f t="shared" si="21"/>
        <v>0</v>
      </c>
      <c r="AC49" s="292">
        <f t="shared" si="22"/>
        <v>0</v>
      </c>
      <c r="AD49" s="324">
        <f t="shared" si="23"/>
        <v>0</v>
      </c>
      <c r="AE49" s="293">
        <v>0</v>
      </c>
      <c r="AF49" s="324">
        <f t="shared" si="24"/>
        <v>0</v>
      </c>
      <c r="AG49" s="293">
        <f>8*'[2]Table 5C1P-Vision'!AI49</f>
        <v>0</v>
      </c>
      <c r="AH49" s="293">
        <f t="shared" si="25"/>
        <v>0</v>
      </c>
      <c r="AI49" s="324">
        <f t="shared" si="31"/>
        <v>0</v>
      </c>
      <c r="AJ49" s="321">
        <f t="shared" si="26"/>
        <v>0</v>
      </c>
      <c r="AK49" s="342">
        <f t="shared" si="27"/>
        <v>0</v>
      </c>
      <c r="AM49" s="286">
        <v>0</v>
      </c>
      <c r="AN49" s="286">
        <f t="shared" si="28"/>
        <v>0</v>
      </c>
      <c r="AO49" s="286">
        <f t="shared" si="29"/>
        <v>0</v>
      </c>
    </row>
    <row r="50" spans="1:41" ht="16.149999999999999" customHeight="1">
      <c r="A50" s="198">
        <v>44</v>
      </c>
      <c r="B50" s="199" t="s">
        <v>116</v>
      </c>
      <c r="C50" s="995">
        <v>0</v>
      </c>
      <c r="D50" s="201">
        <f>+'Table 5C1A-Madison Prep'!D50</f>
        <v>4897.5958151820359</v>
      </c>
      <c r="E50" s="202">
        <f t="shared" si="8"/>
        <v>0</v>
      </c>
      <c r="F50" s="202">
        <f>+'Table 5C1A-Madison Prep'!F50</f>
        <v>663.16000000000008</v>
      </c>
      <c r="G50" s="202">
        <f t="shared" si="9"/>
        <v>0</v>
      </c>
      <c r="H50" s="345">
        <f t="shared" si="10"/>
        <v>0</v>
      </c>
      <c r="I50" s="203">
        <f>'[1]Oct midyear Vision'!K47</f>
        <v>0</v>
      </c>
      <c r="J50" s="203">
        <f>'[1]Feb midyear Vision'!K47</f>
        <v>0</v>
      </c>
      <c r="K50" s="204">
        <f t="shared" si="11"/>
        <v>0</v>
      </c>
      <c r="L50" s="345">
        <f t="shared" si="12"/>
        <v>0</v>
      </c>
      <c r="M50" s="286">
        <f t="shared" si="4"/>
        <v>0</v>
      </c>
      <c r="N50" s="345">
        <f t="shared" si="13"/>
        <v>0</v>
      </c>
      <c r="O50" s="201">
        <v>0</v>
      </c>
      <c r="P50" s="351">
        <f t="shared" si="14"/>
        <v>0</v>
      </c>
      <c r="Q50" s="203">
        <f>8*'[2]Table 5C1P-Vision'!S50</f>
        <v>0</v>
      </c>
      <c r="R50" s="203">
        <f t="shared" si="15"/>
        <v>0</v>
      </c>
      <c r="S50" s="351">
        <f t="shared" si="30"/>
        <v>0</v>
      </c>
      <c r="T50" s="351">
        <f t="shared" si="16"/>
        <v>0</v>
      </c>
      <c r="U50" s="287">
        <f>'Table 5C1A-Madison Prep'!U50</f>
        <v>3587</v>
      </c>
      <c r="V50" s="328">
        <f t="shared" si="17"/>
        <v>0</v>
      </c>
      <c r="W50" s="289">
        <f>'[1]Oct midyear Vision'!E47</f>
        <v>0</v>
      </c>
      <c r="X50" s="290">
        <f t="shared" si="18"/>
        <v>0</v>
      </c>
      <c r="Y50" s="289">
        <f>'[1]Feb midyear Vision'!E47</f>
        <v>0</v>
      </c>
      <c r="Z50" s="290">
        <f t="shared" si="19"/>
        <v>0</v>
      </c>
      <c r="AA50" s="288">
        <f t="shared" si="20"/>
        <v>0</v>
      </c>
      <c r="AB50" s="324">
        <f t="shared" si="21"/>
        <v>0</v>
      </c>
      <c r="AC50" s="292">
        <f t="shared" si="22"/>
        <v>0</v>
      </c>
      <c r="AD50" s="324">
        <f t="shared" si="23"/>
        <v>0</v>
      </c>
      <c r="AE50" s="293">
        <v>0</v>
      </c>
      <c r="AF50" s="324">
        <f t="shared" si="24"/>
        <v>0</v>
      </c>
      <c r="AG50" s="293">
        <f>8*'[2]Table 5C1P-Vision'!AI50</f>
        <v>0</v>
      </c>
      <c r="AH50" s="293">
        <f t="shared" si="25"/>
        <v>0</v>
      </c>
      <c r="AI50" s="324">
        <f t="shared" si="31"/>
        <v>0</v>
      </c>
      <c r="AJ50" s="321">
        <f t="shared" si="26"/>
        <v>0</v>
      </c>
      <c r="AK50" s="342">
        <f t="shared" si="27"/>
        <v>0</v>
      </c>
      <c r="AM50" s="286">
        <v>0</v>
      </c>
      <c r="AN50" s="286">
        <f t="shared" si="28"/>
        <v>0</v>
      </c>
      <c r="AO50" s="286">
        <f t="shared" si="29"/>
        <v>0</v>
      </c>
    </row>
    <row r="51" spans="1:41" ht="16.149999999999999" customHeight="1">
      <c r="A51" s="191">
        <v>45</v>
      </c>
      <c r="B51" s="192" t="s">
        <v>117</v>
      </c>
      <c r="C51" s="996">
        <v>0</v>
      </c>
      <c r="D51" s="194">
        <f>+'Table 5C1A-Madison Prep'!D51</f>
        <v>2054.0472499469101</v>
      </c>
      <c r="E51" s="195">
        <f t="shared" si="8"/>
        <v>0</v>
      </c>
      <c r="F51" s="195">
        <f>+'Table 5C1A-Madison Prep'!F51</f>
        <v>753.96000000000015</v>
      </c>
      <c r="G51" s="195">
        <f t="shared" si="9"/>
        <v>0</v>
      </c>
      <c r="H51" s="346">
        <f t="shared" si="10"/>
        <v>0</v>
      </c>
      <c r="I51" s="196">
        <f>'[1]Oct midyear Vision'!K48</f>
        <v>0</v>
      </c>
      <c r="J51" s="196">
        <f>'[1]Feb midyear Vision'!K48</f>
        <v>0</v>
      </c>
      <c r="K51" s="197">
        <f t="shared" si="11"/>
        <v>0</v>
      </c>
      <c r="L51" s="346">
        <f t="shared" si="12"/>
        <v>0</v>
      </c>
      <c r="M51" s="296">
        <f t="shared" si="4"/>
        <v>0</v>
      </c>
      <c r="N51" s="346">
        <f t="shared" si="13"/>
        <v>0</v>
      </c>
      <c r="O51" s="194">
        <v>0</v>
      </c>
      <c r="P51" s="352">
        <f t="shared" si="14"/>
        <v>0</v>
      </c>
      <c r="Q51" s="196">
        <f>8*'[2]Table 5C1P-Vision'!S51</f>
        <v>0</v>
      </c>
      <c r="R51" s="196">
        <f t="shared" si="15"/>
        <v>0</v>
      </c>
      <c r="S51" s="352">
        <f t="shared" si="30"/>
        <v>0</v>
      </c>
      <c r="T51" s="352">
        <f t="shared" si="16"/>
        <v>0</v>
      </c>
      <c r="U51" s="281">
        <f>'Table 5C1A-Madison Prep'!U51</f>
        <v>12134</v>
      </c>
      <c r="V51" s="329">
        <f t="shared" si="17"/>
        <v>0</v>
      </c>
      <c r="W51" s="884">
        <f>'[1]Oct midyear Vision'!E48</f>
        <v>0</v>
      </c>
      <c r="X51" s="282">
        <f t="shared" si="18"/>
        <v>0</v>
      </c>
      <c r="Y51" s="884">
        <f>'[1]Feb midyear Vision'!E48</f>
        <v>0</v>
      </c>
      <c r="Z51" s="282">
        <f t="shared" si="19"/>
        <v>0</v>
      </c>
      <c r="AA51" s="283">
        <f t="shared" si="20"/>
        <v>0</v>
      </c>
      <c r="AB51" s="325">
        <f t="shared" si="21"/>
        <v>0</v>
      </c>
      <c r="AC51" s="298">
        <f t="shared" si="22"/>
        <v>0</v>
      </c>
      <c r="AD51" s="325">
        <f t="shared" si="23"/>
        <v>0</v>
      </c>
      <c r="AE51" s="284">
        <v>0</v>
      </c>
      <c r="AF51" s="325">
        <f t="shared" si="24"/>
        <v>0</v>
      </c>
      <c r="AG51" s="284">
        <f>8*'[2]Table 5C1P-Vision'!AI51</f>
        <v>0</v>
      </c>
      <c r="AH51" s="284">
        <f t="shared" si="25"/>
        <v>0</v>
      </c>
      <c r="AI51" s="325">
        <f t="shared" si="31"/>
        <v>0</v>
      </c>
      <c r="AJ51" s="338">
        <f t="shared" si="26"/>
        <v>0</v>
      </c>
      <c r="AK51" s="343">
        <f t="shared" si="27"/>
        <v>0</v>
      </c>
      <c r="AM51" s="296">
        <v>0</v>
      </c>
      <c r="AN51" s="296">
        <f t="shared" si="28"/>
        <v>0</v>
      </c>
      <c r="AO51" s="296">
        <f t="shared" si="29"/>
        <v>0</v>
      </c>
    </row>
    <row r="52" spans="1:41" ht="16.149999999999999" customHeight="1">
      <c r="A52" s="205">
        <v>46</v>
      </c>
      <c r="B52" s="206" t="s">
        <v>118</v>
      </c>
      <c r="C52" s="994">
        <v>0</v>
      </c>
      <c r="D52" s="208">
        <f>+'Table 5C1A-Madison Prep'!D52</f>
        <v>6051.2144468088381</v>
      </c>
      <c r="E52" s="209">
        <f t="shared" si="8"/>
        <v>0</v>
      </c>
      <c r="F52" s="209">
        <f>+'Table 5C1A-Madison Prep'!F52</f>
        <v>728.06</v>
      </c>
      <c r="G52" s="209">
        <f t="shared" si="9"/>
        <v>0</v>
      </c>
      <c r="H52" s="344">
        <f t="shared" si="10"/>
        <v>0</v>
      </c>
      <c r="I52" s="210">
        <f>'[1]Oct midyear Vision'!K49</f>
        <v>0</v>
      </c>
      <c r="J52" s="210">
        <f>'[1]Feb midyear Vision'!K49</f>
        <v>0</v>
      </c>
      <c r="K52" s="211">
        <f t="shared" si="11"/>
        <v>0</v>
      </c>
      <c r="L52" s="344">
        <f t="shared" si="12"/>
        <v>0</v>
      </c>
      <c r="M52" s="273">
        <f t="shared" si="4"/>
        <v>0</v>
      </c>
      <c r="N52" s="344">
        <f t="shared" si="13"/>
        <v>0</v>
      </c>
      <c r="O52" s="208">
        <v>0</v>
      </c>
      <c r="P52" s="350">
        <f t="shared" si="14"/>
        <v>0</v>
      </c>
      <c r="Q52" s="210">
        <f>8*'[2]Table 5C1P-Vision'!S52</f>
        <v>0</v>
      </c>
      <c r="R52" s="210">
        <f t="shared" si="15"/>
        <v>0</v>
      </c>
      <c r="S52" s="350">
        <f t="shared" si="30"/>
        <v>0</v>
      </c>
      <c r="T52" s="350">
        <f t="shared" si="16"/>
        <v>0</v>
      </c>
      <c r="U52" s="274">
        <f>'Table 5C1A-Madison Prep'!U52</f>
        <v>2554</v>
      </c>
      <c r="V52" s="327">
        <f t="shared" si="17"/>
        <v>0</v>
      </c>
      <c r="W52" s="883">
        <f>'[1]Oct midyear Vision'!E49</f>
        <v>0</v>
      </c>
      <c r="X52" s="276">
        <f t="shared" si="18"/>
        <v>0</v>
      </c>
      <c r="Y52" s="883">
        <f>'[1]Feb midyear Vision'!E49</f>
        <v>0</v>
      </c>
      <c r="Z52" s="276">
        <f t="shared" si="19"/>
        <v>0</v>
      </c>
      <c r="AA52" s="275">
        <f t="shared" si="20"/>
        <v>0</v>
      </c>
      <c r="AB52" s="323">
        <f t="shared" si="21"/>
        <v>0</v>
      </c>
      <c r="AC52" s="278">
        <f t="shared" si="22"/>
        <v>0</v>
      </c>
      <c r="AD52" s="323">
        <f t="shared" si="23"/>
        <v>0</v>
      </c>
      <c r="AE52" s="279">
        <v>0</v>
      </c>
      <c r="AF52" s="323">
        <f t="shared" si="24"/>
        <v>0</v>
      </c>
      <c r="AG52" s="279">
        <f>8*'[2]Table 5C1P-Vision'!AI52</f>
        <v>0</v>
      </c>
      <c r="AH52" s="279">
        <f t="shared" si="25"/>
        <v>0</v>
      </c>
      <c r="AI52" s="323">
        <f t="shared" si="31"/>
        <v>0</v>
      </c>
      <c r="AJ52" s="337">
        <f t="shared" si="26"/>
        <v>0</v>
      </c>
      <c r="AK52" s="341">
        <f t="shared" si="27"/>
        <v>0</v>
      </c>
      <c r="AM52" s="273">
        <v>0</v>
      </c>
      <c r="AN52" s="273">
        <f t="shared" si="28"/>
        <v>0</v>
      </c>
      <c r="AO52" s="273">
        <f t="shared" si="29"/>
        <v>0</v>
      </c>
    </row>
    <row r="53" spans="1:41" ht="16.149999999999999" customHeight="1">
      <c r="A53" s="198">
        <v>47</v>
      </c>
      <c r="B53" s="199" t="s">
        <v>119</v>
      </c>
      <c r="C53" s="995">
        <v>0</v>
      </c>
      <c r="D53" s="201">
        <f>+'Table 5C1A-Madison Prep'!D53</f>
        <v>2524.1485257646736</v>
      </c>
      <c r="E53" s="202">
        <f t="shared" si="8"/>
        <v>0</v>
      </c>
      <c r="F53" s="202">
        <f>+'Table 5C1A-Madison Prep'!F53</f>
        <v>910.76</v>
      </c>
      <c r="G53" s="202">
        <f t="shared" si="9"/>
        <v>0</v>
      </c>
      <c r="H53" s="345">
        <f t="shared" si="10"/>
        <v>0</v>
      </c>
      <c r="I53" s="203">
        <f>'[1]Oct midyear Vision'!K50</f>
        <v>0</v>
      </c>
      <c r="J53" s="203">
        <f>'[1]Feb midyear Vision'!K50</f>
        <v>0</v>
      </c>
      <c r="K53" s="204">
        <f t="shared" si="11"/>
        <v>0</v>
      </c>
      <c r="L53" s="345">
        <f t="shared" si="12"/>
        <v>0</v>
      </c>
      <c r="M53" s="286">
        <f t="shared" si="4"/>
        <v>0</v>
      </c>
      <c r="N53" s="345">
        <f t="shared" si="13"/>
        <v>0</v>
      </c>
      <c r="O53" s="201">
        <v>0</v>
      </c>
      <c r="P53" s="351">
        <f t="shared" si="14"/>
        <v>0</v>
      </c>
      <c r="Q53" s="203">
        <f>8*'[2]Table 5C1P-Vision'!S53</f>
        <v>0</v>
      </c>
      <c r="R53" s="203">
        <f t="shared" si="15"/>
        <v>0</v>
      </c>
      <c r="S53" s="351">
        <f t="shared" si="30"/>
        <v>0</v>
      </c>
      <c r="T53" s="351">
        <f t="shared" si="16"/>
        <v>0</v>
      </c>
      <c r="U53" s="287">
        <f>'Table 5C1A-Madison Prep'!U53</f>
        <v>11506</v>
      </c>
      <c r="V53" s="328">
        <f t="shared" si="17"/>
        <v>0</v>
      </c>
      <c r="W53" s="289">
        <f>'[1]Oct midyear Vision'!E50</f>
        <v>0</v>
      </c>
      <c r="X53" s="290">
        <f t="shared" si="18"/>
        <v>0</v>
      </c>
      <c r="Y53" s="289">
        <f>'[1]Feb midyear Vision'!E50</f>
        <v>0</v>
      </c>
      <c r="Z53" s="290">
        <f t="shared" si="19"/>
        <v>0</v>
      </c>
      <c r="AA53" s="288">
        <f t="shared" si="20"/>
        <v>0</v>
      </c>
      <c r="AB53" s="324">
        <f t="shared" si="21"/>
        <v>0</v>
      </c>
      <c r="AC53" s="292">
        <f t="shared" si="22"/>
        <v>0</v>
      </c>
      <c r="AD53" s="324">
        <f t="shared" si="23"/>
        <v>0</v>
      </c>
      <c r="AE53" s="293">
        <v>0</v>
      </c>
      <c r="AF53" s="324">
        <f t="shared" si="24"/>
        <v>0</v>
      </c>
      <c r="AG53" s="293">
        <f>8*'[2]Table 5C1P-Vision'!AI53</f>
        <v>0</v>
      </c>
      <c r="AH53" s="293">
        <f t="shared" si="25"/>
        <v>0</v>
      </c>
      <c r="AI53" s="324">
        <f t="shared" si="31"/>
        <v>0</v>
      </c>
      <c r="AJ53" s="321">
        <f t="shared" si="26"/>
        <v>0</v>
      </c>
      <c r="AK53" s="342">
        <f t="shared" si="27"/>
        <v>0</v>
      </c>
      <c r="AM53" s="286">
        <v>0</v>
      </c>
      <c r="AN53" s="286">
        <f t="shared" si="28"/>
        <v>0</v>
      </c>
      <c r="AO53" s="286">
        <f t="shared" si="29"/>
        <v>0</v>
      </c>
    </row>
    <row r="54" spans="1:41" ht="16.149999999999999" customHeight="1">
      <c r="A54" s="198">
        <v>48</v>
      </c>
      <c r="B54" s="199" t="s">
        <v>144</v>
      </c>
      <c r="C54" s="995">
        <v>0</v>
      </c>
      <c r="D54" s="201">
        <f>+'Table 5C1A-Madison Prep'!D54</f>
        <v>3983.3582529800719</v>
      </c>
      <c r="E54" s="202">
        <f t="shared" si="8"/>
        <v>0</v>
      </c>
      <c r="F54" s="202">
        <f>+'Table 5C1A-Madison Prep'!F54</f>
        <v>871.07</v>
      </c>
      <c r="G54" s="202">
        <f t="shared" si="9"/>
        <v>0</v>
      </c>
      <c r="H54" s="345">
        <f t="shared" si="10"/>
        <v>0</v>
      </c>
      <c r="I54" s="203">
        <f>'[1]Oct midyear Vision'!K51</f>
        <v>0</v>
      </c>
      <c r="J54" s="203">
        <f>'[1]Feb midyear Vision'!K51</f>
        <v>0</v>
      </c>
      <c r="K54" s="204">
        <f t="shared" si="11"/>
        <v>0</v>
      </c>
      <c r="L54" s="345">
        <f t="shared" si="12"/>
        <v>0</v>
      </c>
      <c r="M54" s="286">
        <f t="shared" si="4"/>
        <v>0</v>
      </c>
      <c r="N54" s="345">
        <f t="shared" si="13"/>
        <v>0</v>
      </c>
      <c r="O54" s="201">
        <v>0</v>
      </c>
      <c r="P54" s="351">
        <f t="shared" si="14"/>
        <v>0</v>
      </c>
      <c r="Q54" s="203">
        <f>8*'[2]Table 5C1P-Vision'!S54</f>
        <v>0</v>
      </c>
      <c r="R54" s="203">
        <f t="shared" si="15"/>
        <v>0</v>
      </c>
      <c r="S54" s="351">
        <f t="shared" si="30"/>
        <v>0</v>
      </c>
      <c r="T54" s="351">
        <f t="shared" si="16"/>
        <v>0</v>
      </c>
      <c r="U54" s="287">
        <f>'Table 5C1A-Madison Prep'!U54</f>
        <v>6827</v>
      </c>
      <c r="V54" s="328">
        <f t="shared" si="17"/>
        <v>0</v>
      </c>
      <c r="W54" s="289">
        <f>'[1]Oct midyear Vision'!E51</f>
        <v>0</v>
      </c>
      <c r="X54" s="290">
        <f t="shared" si="18"/>
        <v>0</v>
      </c>
      <c r="Y54" s="289">
        <f>'[1]Feb midyear Vision'!E51</f>
        <v>0</v>
      </c>
      <c r="Z54" s="290">
        <f t="shared" si="19"/>
        <v>0</v>
      </c>
      <c r="AA54" s="288">
        <f t="shared" si="20"/>
        <v>0</v>
      </c>
      <c r="AB54" s="324">
        <f t="shared" si="21"/>
        <v>0</v>
      </c>
      <c r="AC54" s="292">
        <f t="shared" si="22"/>
        <v>0</v>
      </c>
      <c r="AD54" s="324">
        <f t="shared" si="23"/>
        <v>0</v>
      </c>
      <c r="AE54" s="293">
        <v>0</v>
      </c>
      <c r="AF54" s="324">
        <f t="shared" si="24"/>
        <v>0</v>
      </c>
      <c r="AG54" s="293">
        <f>8*'[2]Table 5C1P-Vision'!AI54</f>
        <v>0</v>
      </c>
      <c r="AH54" s="293">
        <f t="shared" si="25"/>
        <v>0</v>
      </c>
      <c r="AI54" s="324">
        <f t="shared" si="31"/>
        <v>0</v>
      </c>
      <c r="AJ54" s="321">
        <f t="shared" si="26"/>
        <v>0</v>
      </c>
      <c r="AK54" s="342">
        <f t="shared" si="27"/>
        <v>0</v>
      </c>
      <c r="AM54" s="286">
        <v>0</v>
      </c>
      <c r="AN54" s="286">
        <f t="shared" si="28"/>
        <v>0</v>
      </c>
      <c r="AO54" s="286">
        <f t="shared" si="29"/>
        <v>0</v>
      </c>
    </row>
    <row r="55" spans="1:41" ht="16.149999999999999" customHeight="1">
      <c r="A55" s="198">
        <v>49</v>
      </c>
      <c r="B55" s="199" t="s">
        <v>120</v>
      </c>
      <c r="C55" s="995">
        <v>0</v>
      </c>
      <c r="D55" s="201">
        <f>+'Table 5C1A-Madison Prep'!D55</f>
        <v>4995.8755315659191</v>
      </c>
      <c r="E55" s="202">
        <f t="shared" si="8"/>
        <v>0</v>
      </c>
      <c r="F55" s="202">
        <f>+'Table 5C1A-Madison Prep'!F55</f>
        <v>574.43999999999994</v>
      </c>
      <c r="G55" s="202">
        <f t="shared" si="9"/>
        <v>0</v>
      </c>
      <c r="H55" s="345">
        <f t="shared" si="10"/>
        <v>0</v>
      </c>
      <c r="I55" s="203">
        <f>'[1]Oct midyear Vision'!K52</f>
        <v>0</v>
      </c>
      <c r="J55" s="203">
        <f>'[1]Feb midyear Vision'!K52</f>
        <v>0</v>
      </c>
      <c r="K55" s="204">
        <f t="shared" si="11"/>
        <v>0</v>
      </c>
      <c r="L55" s="345">
        <f t="shared" si="12"/>
        <v>0</v>
      </c>
      <c r="M55" s="286">
        <f t="shared" si="4"/>
        <v>0</v>
      </c>
      <c r="N55" s="345">
        <f t="shared" si="13"/>
        <v>0</v>
      </c>
      <c r="O55" s="201">
        <v>0</v>
      </c>
      <c r="P55" s="351">
        <f t="shared" si="14"/>
        <v>0</v>
      </c>
      <c r="Q55" s="203">
        <f>8*'[2]Table 5C1P-Vision'!S55</f>
        <v>0</v>
      </c>
      <c r="R55" s="203">
        <f t="shared" si="15"/>
        <v>0</v>
      </c>
      <c r="S55" s="351">
        <f t="shared" si="30"/>
        <v>0</v>
      </c>
      <c r="T55" s="351">
        <f t="shared" si="16"/>
        <v>0</v>
      </c>
      <c r="U55" s="287">
        <f>'Table 5C1A-Madison Prep'!U55</f>
        <v>2399</v>
      </c>
      <c r="V55" s="328">
        <f t="shared" si="17"/>
        <v>0</v>
      </c>
      <c r="W55" s="289">
        <f>'[1]Oct midyear Vision'!E52</f>
        <v>0</v>
      </c>
      <c r="X55" s="290">
        <f t="shared" si="18"/>
        <v>0</v>
      </c>
      <c r="Y55" s="289">
        <f>'[1]Feb midyear Vision'!E52</f>
        <v>0</v>
      </c>
      <c r="Z55" s="290">
        <f t="shared" si="19"/>
        <v>0</v>
      </c>
      <c r="AA55" s="288">
        <f t="shared" si="20"/>
        <v>0</v>
      </c>
      <c r="AB55" s="324">
        <f t="shared" si="21"/>
        <v>0</v>
      </c>
      <c r="AC55" s="292">
        <f t="shared" si="22"/>
        <v>0</v>
      </c>
      <c r="AD55" s="324">
        <f t="shared" si="23"/>
        <v>0</v>
      </c>
      <c r="AE55" s="293">
        <v>0</v>
      </c>
      <c r="AF55" s="324">
        <f t="shared" si="24"/>
        <v>0</v>
      </c>
      <c r="AG55" s="293">
        <f>8*'[2]Table 5C1P-Vision'!AI55</f>
        <v>0</v>
      </c>
      <c r="AH55" s="293">
        <f t="shared" si="25"/>
        <v>0</v>
      </c>
      <c r="AI55" s="324">
        <f t="shared" si="31"/>
        <v>0</v>
      </c>
      <c r="AJ55" s="321">
        <f t="shared" si="26"/>
        <v>0</v>
      </c>
      <c r="AK55" s="342">
        <f t="shared" si="27"/>
        <v>0</v>
      </c>
      <c r="AM55" s="286">
        <v>0</v>
      </c>
      <c r="AN55" s="286">
        <f t="shared" si="28"/>
        <v>0</v>
      </c>
      <c r="AO55" s="286">
        <f t="shared" si="29"/>
        <v>0</v>
      </c>
    </row>
    <row r="56" spans="1:41" ht="16.149999999999999" customHeight="1">
      <c r="A56" s="191">
        <v>50</v>
      </c>
      <c r="B56" s="192" t="s">
        <v>121</v>
      </c>
      <c r="C56" s="996">
        <v>0</v>
      </c>
      <c r="D56" s="194">
        <f>+'Table 5C1A-Madison Prep'!D56</f>
        <v>5177.6892722701677</v>
      </c>
      <c r="E56" s="195">
        <f t="shared" si="8"/>
        <v>0</v>
      </c>
      <c r="F56" s="195">
        <f>+'Table 5C1A-Madison Prep'!F56</f>
        <v>634.46</v>
      </c>
      <c r="G56" s="195">
        <f t="shared" si="9"/>
        <v>0</v>
      </c>
      <c r="H56" s="346">
        <f t="shared" si="10"/>
        <v>0</v>
      </c>
      <c r="I56" s="196">
        <f>'[1]Oct midyear Vision'!K53</f>
        <v>0</v>
      </c>
      <c r="J56" s="196">
        <f>'[1]Feb midyear Vision'!K53</f>
        <v>0</v>
      </c>
      <c r="K56" s="197">
        <f t="shared" si="11"/>
        <v>0</v>
      </c>
      <c r="L56" s="346">
        <f t="shared" si="12"/>
        <v>0</v>
      </c>
      <c r="M56" s="296">
        <f t="shared" si="4"/>
        <v>0</v>
      </c>
      <c r="N56" s="346">
        <f t="shared" si="13"/>
        <v>0</v>
      </c>
      <c r="O56" s="194">
        <v>0</v>
      </c>
      <c r="P56" s="352">
        <f t="shared" si="14"/>
        <v>0</v>
      </c>
      <c r="Q56" s="196">
        <f>8*'[2]Table 5C1P-Vision'!S56</f>
        <v>0</v>
      </c>
      <c r="R56" s="196">
        <f t="shared" si="15"/>
        <v>0</v>
      </c>
      <c r="S56" s="352">
        <f t="shared" si="30"/>
        <v>0</v>
      </c>
      <c r="T56" s="352">
        <f t="shared" si="16"/>
        <v>0</v>
      </c>
      <c r="U56" s="281">
        <f>'Table 5C1A-Madison Prep'!U56</f>
        <v>3413</v>
      </c>
      <c r="V56" s="329">
        <f t="shared" si="17"/>
        <v>0</v>
      </c>
      <c r="W56" s="884">
        <f>'[1]Oct midyear Vision'!E53</f>
        <v>0</v>
      </c>
      <c r="X56" s="282">
        <f t="shared" si="18"/>
        <v>0</v>
      </c>
      <c r="Y56" s="884">
        <f>'[1]Feb midyear Vision'!E53</f>
        <v>0</v>
      </c>
      <c r="Z56" s="282">
        <f t="shared" si="19"/>
        <v>0</v>
      </c>
      <c r="AA56" s="283">
        <f t="shared" si="20"/>
        <v>0</v>
      </c>
      <c r="AB56" s="325">
        <f t="shared" si="21"/>
        <v>0</v>
      </c>
      <c r="AC56" s="298">
        <f t="shared" si="22"/>
        <v>0</v>
      </c>
      <c r="AD56" s="325">
        <f t="shared" si="23"/>
        <v>0</v>
      </c>
      <c r="AE56" s="284">
        <v>0</v>
      </c>
      <c r="AF56" s="325">
        <f t="shared" si="24"/>
        <v>0</v>
      </c>
      <c r="AG56" s="284">
        <f>8*'[2]Table 5C1P-Vision'!AI56</f>
        <v>0</v>
      </c>
      <c r="AH56" s="284">
        <f t="shared" si="25"/>
        <v>0</v>
      </c>
      <c r="AI56" s="325">
        <f t="shared" si="31"/>
        <v>0</v>
      </c>
      <c r="AJ56" s="338">
        <f t="shared" si="26"/>
        <v>0</v>
      </c>
      <c r="AK56" s="343">
        <f t="shared" si="27"/>
        <v>0</v>
      </c>
      <c r="AM56" s="296">
        <v>0</v>
      </c>
      <c r="AN56" s="296">
        <f t="shared" si="28"/>
        <v>0</v>
      </c>
      <c r="AO56" s="296">
        <f t="shared" si="29"/>
        <v>0</v>
      </c>
    </row>
    <row r="57" spans="1:41" ht="16.149999999999999" customHeight="1">
      <c r="A57" s="205">
        <v>51</v>
      </c>
      <c r="B57" s="206" t="s">
        <v>122</v>
      </c>
      <c r="C57" s="994">
        <v>0</v>
      </c>
      <c r="D57" s="208">
        <f>+'Table 5C1A-Madison Prep'!D57</f>
        <v>4154.1928602178996</v>
      </c>
      <c r="E57" s="209">
        <f t="shared" si="8"/>
        <v>0</v>
      </c>
      <c r="F57" s="209">
        <f>+'Table 5C1A-Madison Prep'!F57</f>
        <v>706.66</v>
      </c>
      <c r="G57" s="209">
        <f t="shared" si="9"/>
        <v>0</v>
      </c>
      <c r="H57" s="344">
        <f t="shared" si="10"/>
        <v>0</v>
      </c>
      <c r="I57" s="210">
        <f>'[1]Oct midyear Vision'!K54</f>
        <v>0</v>
      </c>
      <c r="J57" s="210">
        <f>'[1]Feb midyear Vision'!K54</f>
        <v>0</v>
      </c>
      <c r="K57" s="211">
        <f t="shared" si="11"/>
        <v>0</v>
      </c>
      <c r="L57" s="344">
        <f t="shared" si="12"/>
        <v>0</v>
      </c>
      <c r="M57" s="273">
        <f t="shared" si="4"/>
        <v>0</v>
      </c>
      <c r="N57" s="344">
        <f t="shared" si="13"/>
        <v>0</v>
      </c>
      <c r="O57" s="208">
        <v>0</v>
      </c>
      <c r="P57" s="350">
        <f t="shared" si="14"/>
        <v>0</v>
      </c>
      <c r="Q57" s="210">
        <f>8*'[2]Table 5C1P-Vision'!S57</f>
        <v>0</v>
      </c>
      <c r="R57" s="210">
        <f t="shared" si="15"/>
        <v>0</v>
      </c>
      <c r="S57" s="350">
        <f t="shared" si="30"/>
        <v>0</v>
      </c>
      <c r="T57" s="350">
        <f t="shared" si="16"/>
        <v>0</v>
      </c>
      <c r="U57" s="274">
        <f>'Table 5C1A-Madison Prep'!U57</f>
        <v>4512</v>
      </c>
      <c r="V57" s="327">
        <f t="shared" si="17"/>
        <v>0</v>
      </c>
      <c r="W57" s="883">
        <f>'[1]Oct midyear Vision'!E54</f>
        <v>0</v>
      </c>
      <c r="X57" s="276">
        <f t="shared" si="18"/>
        <v>0</v>
      </c>
      <c r="Y57" s="883">
        <f>'[1]Feb midyear Vision'!E54</f>
        <v>0</v>
      </c>
      <c r="Z57" s="276">
        <f t="shared" si="19"/>
        <v>0</v>
      </c>
      <c r="AA57" s="275">
        <f t="shared" si="20"/>
        <v>0</v>
      </c>
      <c r="AB57" s="323">
        <f t="shared" si="21"/>
        <v>0</v>
      </c>
      <c r="AC57" s="278">
        <f t="shared" si="22"/>
        <v>0</v>
      </c>
      <c r="AD57" s="323">
        <f t="shared" si="23"/>
        <v>0</v>
      </c>
      <c r="AE57" s="279">
        <v>0</v>
      </c>
      <c r="AF57" s="323">
        <f t="shared" si="24"/>
        <v>0</v>
      </c>
      <c r="AG57" s="279">
        <f>8*'[2]Table 5C1P-Vision'!AI57</f>
        <v>0</v>
      </c>
      <c r="AH57" s="279">
        <f t="shared" si="25"/>
        <v>0</v>
      </c>
      <c r="AI57" s="323">
        <f t="shared" si="31"/>
        <v>0</v>
      </c>
      <c r="AJ57" s="337">
        <f t="shared" si="26"/>
        <v>0</v>
      </c>
      <c r="AK57" s="341">
        <f t="shared" si="27"/>
        <v>0</v>
      </c>
      <c r="AM57" s="273">
        <v>0</v>
      </c>
      <c r="AN57" s="273">
        <f t="shared" si="28"/>
        <v>0</v>
      </c>
      <c r="AO57" s="273">
        <f t="shared" si="29"/>
        <v>0</v>
      </c>
    </row>
    <row r="58" spans="1:41" ht="16.149999999999999" customHeight="1">
      <c r="A58" s="198">
        <v>52</v>
      </c>
      <c r="B58" s="199" t="s">
        <v>123</v>
      </c>
      <c r="C58" s="995">
        <v>0</v>
      </c>
      <c r="D58" s="201">
        <f>+'Table 5C1A-Madison Prep'!D58</f>
        <v>5062.2745845228173</v>
      </c>
      <c r="E58" s="202">
        <f t="shared" si="8"/>
        <v>0</v>
      </c>
      <c r="F58" s="202">
        <f>+'Table 5C1A-Madison Prep'!F58</f>
        <v>658.37</v>
      </c>
      <c r="G58" s="202">
        <f t="shared" si="9"/>
        <v>0</v>
      </c>
      <c r="H58" s="345">
        <f t="shared" si="10"/>
        <v>0</v>
      </c>
      <c r="I58" s="203">
        <f>'[1]Oct midyear Vision'!K55</f>
        <v>0</v>
      </c>
      <c r="J58" s="203">
        <f>'[1]Feb midyear Vision'!K55</f>
        <v>0</v>
      </c>
      <c r="K58" s="204">
        <f t="shared" si="11"/>
        <v>0</v>
      </c>
      <c r="L58" s="345">
        <f t="shared" si="12"/>
        <v>0</v>
      </c>
      <c r="M58" s="286">
        <f t="shared" si="4"/>
        <v>0</v>
      </c>
      <c r="N58" s="345">
        <f t="shared" si="13"/>
        <v>0</v>
      </c>
      <c r="O58" s="201">
        <v>0</v>
      </c>
      <c r="P58" s="351">
        <f t="shared" si="14"/>
        <v>0</v>
      </c>
      <c r="Q58" s="203">
        <f>8*'[2]Table 5C1P-Vision'!S58</f>
        <v>0</v>
      </c>
      <c r="R58" s="203">
        <f t="shared" si="15"/>
        <v>0</v>
      </c>
      <c r="S58" s="351">
        <f t="shared" si="30"/>
        <v>0</v>
      </c>
      <c r="T58" s="351">
        <f t="shared" si="16"/>
        <v>0</v>
      </c>
      <c r="U58" s="287">
        <f>'Table 5C1A-Madison Prep'!U58</f>
        <v>5289</v>
      </c>
      <c r="V58" s="328">
        <f t="shared" si="17"/>
        <v>0</v>
      </c>
      <c r="W58" s="289">
        <f>'[1]Oct midyear Vision'!E55</f>
        <v>0</v>
      </c>
      <c r="X58" s="290">
        <f t="shared" si="18"/>
        <v>0</v>
      </c>
      <c r="Y58" s="289">
        <f>'[1]Feb midyear Vision'!E55</f>
        <v>0</v>
      </c>
      <c r="Z58" s="290">
        <f t="shared" si="19"/>
        <v>0</v>
      </c>
      <c r="AA58" s="288">
        <f t="shared" si="20"/>
        <v>0</v>
      </c>
      <c r="AB58" s="324">
        <f t="shared" si="21"/>
        <v>0</v>
      </c>
      <c r="AC58" s="292">
        <f t="shared" si="22"/>
        <v>0</v>
      </c>
      <c r="AD58" s="324">
        <f t="shared" si="23"/>
        <v>0</v>
      </c>
      <c r="AE58" s="293">
        <v>0</v>
      </c>
      <c r="AF58" s="324">
        <f t="shared" si="24"/>
        <v>0</v>
      </c>
      <c r="AG58" s="293">
        <f>8*'[2]Table 5C1P-Vision'!AI58</f>
        <v>0</v>
      </c>
      <c r="AH58" s="293">
        <f t="shared" si="25"/>
        <v>0</v>
      </c>
      <c r="AI58" s="324">
        <f t="shared" si="31"/>
        <v>0</v>
      </c>
      <c r="AJ58" s="321">
        <f t="shared" si="26"/>
        <v>0</v>
      </c>
      <c r="AK58" s="342">
        <f t="shared" si="27"/>
        <v>0</v>
      </c>
      <c r="AM58" s="286">
        <v>0</v>
      </c>
      <c r="AN58" s="286">
        <f t="shared" si="28"/>
        <v>0</v>
      </c>
      <c r="AO58" s="286">
        <f t="shared" si="29"/>
        <v>0</v>
      </c>
    </row>
    <row r="59" spans="1:41" ht="16.149999999999999" customHeight="1">
      <c r="A59" s="198">
        <v>53</v>
      </c>
      <c r="B59" s="199" t="s">
        <v>124</v>
      </c>
      <c r="C59" s="995">
        <v>0</v>
      </c>
      <c r="D59" s="201">
        <f>+'Table 5C1A-Madison Prep'!D59</f>
        <v>5060.1508194045482</v>
      </c>
      <c r="E59" s="202">
        <f t="shared" si="8"/>
        <v>0</v>
      </c>
      <c r="F59" s="202">
        <f>+'Table 5C1A-Madison Prep'!F59</f>
        <v>689.74</v>
      </c>
      <c r="G59" s="202">
        <f t="shared" si="9"/>
        <v>0</v>
      </c>
      <c r="H59" s="345">
        <f t="shared" si="10"/>
        <v>0</v>
      </c>
      <c r="I59" s="203">
        <f>'[1]Oct midyear Vision'!K56</f>
        <v>0</v>
      </c>
      <c r="J59" s="203">
        <f>'[1]Feb midyear Vision'!K56</f>
        <v>0</v>
      </c>
      <c r="K59" s="204">
        <f t="shared" si="11"/>
        <v>0</v>
      </c>
      <c r="L59" s="345">
        <f t="shared" si="12"/>
        <v>0</v>
      </c>
      <c r="M59" s="286">
        <f t="shared" si="4"/>
        <v>0</v>
      </c>
      <c r="N59" s="345">
        <f t="shared" si="13"/>
        <v>0</v>
      </c>
      <c r="O59" s="201">
        <v>0</v>
      </c>
      <c r="P59" s="351">
        <f t="shared" si="14"/>
        <v>0</v>
      </c>
      <c r="Q59" s="203">
        <f>8*'[2]Table 5C1P-Vision'!S59</f>
        <v>0</v>
      </c>
      <c r="R59" s="203">
        <f t="shared" si="15"/>
        <v>0</v>
      </c>
      <c r="S59" s="351">
        <f t="shared" si="30"/>
        <v>0</v>
      </c>
      <c r="T59" s="351">
        <f t="shared" si="16"/>
        <v>0</v>
      </c>
      <c r="U59" s="287">
        <f>'Table 5C1A-Madison Prep'!U59</f>
        <v>2101</v>
      </c>
      <c r="V59" s="328">
        <f t="shared" si="17"/>
        <v>0</v>
      </c>
      <c r="W59" s="289">
        <f>'[1]Oct midyear Vision'!E56</f>
        <v>0</v>
      </c>
      <c r="X59" s="290">
        <f t="shared" si="18"/>
        <v>0</v>
      </c>
      <c r="Y59" s="289">
        <f>'[1]Feb midyear Vision'!E56</f>
        <v>0</v>
      </c>
      <c r="Z59" s="290">
        <f t="shared" si="19"/>
        <v>0</v>
      </c>
      <c r="AA59" s="288">
        <f t="shared" si="20"/>
        <v>0</v>
      </c>
      <c r="AB59" s="324">
        <f t="shared" si="21"/>
        <v>0</v>
      </c>
      <c r="AC59" s="292">
        <f t="shared" si="22"/>
        <v>0</v>
      </c>
      <c r="AD59" s="324">
        <f t="shared" si="23"/>
        <v>0</v>
      </c>
      <c r="AE59" s="293">
        <v>0</v>
      </c>
      <c r="AF59" s="324">
        <f t="shared" si="24"/>
        <v>0</v>
      </c>
      <c r="AG59" s="293">
        <f>8*'[2]Table 5C1P-Vision'!AI59</f>
        <v>0</v>
      </c>
      <c r="AH59" s="293">
        <f t="shared" si="25"/>
        <v>0</v>
      </c>
      <c r="AI59" s="324">
        <f t="shared" si="31"/>
        <v>0</v>
      </c>
      <c r="AJ59" s="321">
        <f t="shared" si="26"/>
        <v>0</v>
      </c>
      <c r="AK59" s="342">
        <f t="shared" si="27"/>
        <v>0</v>
      </c>
      <c r="AM59" s="286">
        <v>0</v>
      </c>
      <c r="AN59" s="286">
        <f t="shared" si="28"/>
        <v>0</v>
      </c>
      <c r="AO59" s="286">
        <f t="shared" si="29"/>
        <v>0</v>
      </c>
    </row>
    <row r="60" spans="1:41" ht="16.149999999999999" customHeight="1">
      <c r="A60" s="198">
        <v>54</v>
      </c>
      <c r="B60" s="199" t="s">
        <v>125</v>
      </c>
      <c r="C60" s="995">
        <v>0</v>
      </c>
      <c r="D60" s="201">
        <f>+'Table 5C1A-Madison Prep'!D60</f>
        <v>5867.0798370516713</v>
      </c>
      <c r="E60" s="202">
        <f t="shared" si="8"/>
        <v>0</v>
      </c>
      <c r="F60" s="202">
        <f>+'Table 5C1A-Madison Prep'!F60</f>
        <v>951.45</v>
      </c>
      <c r="G60" s="202">
        <f t="shared" si="9"/>
        <v>0</v>
      </c>
      <c r="H60" s="345">
        <f t="shared" si="10"/>
        <v>0</v>
      </c>
      <c r="I60" s="203">
        <f>'[1]Oct midyear Vision'!K57</f>
        <v>0</v>
      </c>
      <c r="J60" s="203">
        <f>'[1]Feb midyear Vision'!K57</f>
        <v>0</v>
      </c>
      <c r="K60" s="204">
        <f t="shared" si="11"/>
        <v>0</v>
      </c>
      <c r="L60" s="345">
        <f t="shared" si="12"/>
        <v>0</v>
      </c>
      <c r="M60" s="286">
        <f t="shared" si="4"/>
        <v>0</v>
      </c>
      <c r="N60" s="345">
        <f t="shared" si="13"/>
        <v>0</v>
      </c>
      <c r="O60" s="201">
        <v>0</v>
      </c>
      <c r="P60" s="351">
        <f t="shared" si="14"/>
        <v>0</v>
      </c>
      <c r="Q60" s="203">
        <f>8*'[2]Table 5C1P-Vision'!S60</f>
        <v>0</v>
      </c>
      <c r="R60" s="203">
        <f t="shared" si="15"/>
        <v>0</v>
      </c>
      <c r="S60" s="351">
        <f t="shared" si="30"/>
        <v>0</v>
      </c>
      <c r="T60" s="351">
        <f t="shared" si="16"/>
        <v>0</v>
      </c>
      <c r="U60" s="287">
        <f>'Table 5C1A-Madison Prep'!U60</f>
        <v>4150</v>
      </c>
      <c r="V60" s="328">
        <f t="shared" si="17"/>
        <v>0</v>
      </c>
      <c r="W60" s="289">
        <f>'[1]Oct midyear Vision'!E57</f>
        <v>0</v>
      </c>
      <c r="X60" s="290">
        <f t="shared" si="18"/>
        <v>0</v>
      </c>
      <c r="Y60" s="289">
        <f>'[1]Feb midyear Vision'!E57</f>
        <v>0</v>
      </c>
      <c r="Z60" s="290">
        <f t="shared" si="19"/>
        <v>0</v>
      </c>
      <c r="AA60" s="288">
        <f t="shared" si="20"/>
        <v>0</v>
      </c>
      <c r="AB60" s="324">
        <f t="shared" si="21"/>
        <v>0</v>
      </c>
      <c r="AC60" s="292">
        <f t="shared" si="22"/>
        <v>0</v>
      </c>
      <c r="AD60" s="324">
        <f t="shared" si="23"/>
        <v>0</v>
      </c>
      <c r="AE60" s="293">
        <v>0</v>
      </c>
      <c r="AF60" s="324">
        <f t="shared" si="24"/>
        <v>0</v>
      </c>
      <c r="AG60" s="293">
        <f>8*'[2]Table 5C1P-Vision'!AI60</f>
        <v>0</v>
      </c>
      <c r="AH60" s="293">
        <f t="shared" si="25"/>
        <v>0</v>
      </c>
      <c r="AI60" s="324">
        <f t="shared" si="31"/>
        <v>0</v>
      </c>
      <c r="AJ60" s="321">
        <f t="shared" si="26"/>
        <v>0</v>
      </c>
      <c r="AK60" s="342">
        <f t="shared" si="27"/>
        <v>0</v>
      </c>
      <c r="AM60" s="286">
        <v>0</v>
      </c>
      <c r="AN60" s="286">
        <f t="shared" si="28"/>
        <v>0</v>
      </c>
      <c r="AO60" s="286">
        <f t="shared" si="29"/>
        <v>0</v>
      </c>
    </row>
    <row r="61" spans="1:41" ht="16.149999999999999" customHeight="1">
      <c r="A61" s="191">
        <v>55</v>
      </c>
      <c r="B61" s="192" t="s">
        <v>126</v>
      </c>
      <c r="C61" s="996">
        <v>0</v>
      </c>
      <c r="D61" s="194">
        <f>+'Table 5C1A-Madison Prep'!D61</f>
        <v>4266.8225491298481</v>
      </c>
      <c r="E61" s="195">
        <f t="shared" si="8"/>
        <v>0</v>
      </c>
      <c r="F61" s="195">
        <f>+'Table 5C1A-Madison Prep'!F61</f>
        <v>795.14</v>
      </c>
      <c r="G61" s="195">
        <f t="shared" si="9"/>
        <v>0</v>
      </c>
      <c r="H61" s="346">
        <f t="shared" si="10"/>
        <v>0</v>
      </c>
      <c r="I61" s="196">
        <f>'[1]Oct midyear Vision'!K58</f>
        <v>0</v>
      </c>
      <c r="J61" s="196">
        <f>'[1]Feb midyear Vision'!K58</f>
        <v>0</v>
      </c>
      <c r="K61" s="197">
        <f t="shared" si="11"/>
        <v>0</v>
      </c>
      <c r="L61" s="346">
        <f t="shared" si="12"/>
        <v>0</v>
      </c>
      <c r="M61" s="296">
        <f t="shared" si="4"/>
        <v>0</v>
      </c>
      <c r="N61" s="346">
        <f t="shared" si="13"/>
        <v>0</v>
      </c>
      <c r="O61" s="194">
        <v>0</v>
      </c>
      <c r="P61" s="352">
        <f t="shared" si="14"/>
        <v>0</v>
      </c>
      <c r="Q61" s="196">
        <f>8*'[2]Table 5C1P-Vision'!S61</f>
        <v>0</v>
      </c>
      <c r="R61" s="196">
        <f t="shared" si="15"/>
        <v>0</v>
      </c>
      <c r="S61" s="352">
        <f t="shared" si="30"/>
        <v>0</v>
      </c>
      <c r="T61" s="352">
        <f t="shared" si="16"/>
        <v>0</v>
      </c>
      <c r="U61" s="281">
        <f>'Table 5C1A-Madison Prep'!U61</f>
        <v>3637</v>
      </c>
      <c r="V61" s="329">
        <f t="shared" si="17"/>
        <v>0</v>
      </c>
      <c r="W61" s="884">
        <f>'[1]Oct midyear Vision'!E58</f>
        <v>0</v>
      </c>
      <c r="X61" s="282">
        <f t="shared" si="18"/>
        <v>0</v>
      </c>
      <c r="Y61" s="884">
        <f>'[1]Feb midyear Vision'!E58</f>
        <v>0</v>
      </c>
      <c r="Z61" s="282">
        <f t="shared" si="19"/>
        <v>0</v>
      </c>
      <c r="AA61" s="283">
        <f t="shared" si="20"/>
        <v>0</v>
      </c>
      <c r="AB61" s="325">
        <f t="shared" si="21"/>
        <v>0</v>
      </c>
      <c r="AC61" s="298">
        <f t="shared" si="22"/>
        <v>0</v>
      </c>
      <c r="AD61" s="325">
        <f t="shared" si="23"/>
        <v>0</v>
      </c>
      <c r="AE61" s="284">
        <v>0</v>
      </c>
      <c r="AF61" s="325">
        <f t="shared" si="24"/>
        <v>0</v>
      </c>
      <c r="AG61" s="284">
        <f>8*'[2]Table 5C1P-Vision'!AI61</f>
        <v>0</v>
      </c>
      <c r="AH61" s="284">
        <f t="shared" si="25"/>
        <v>0</v>
      </c>
      <c r="AI61" s="325">
        <f t="shared" si="31"/>
        <v>0</v>
      </c>
      <c r="AJ61" s="338">
        <f t="shared" si="26"/>
        <v>0</v>
      </c>
      <c r="AK61" s="343">
        <f t="shared" si="27"/>
        <v>0</v>
      </c>
      <c r="AM61" s="296">
        <v>0</v>
      </c>
      <c r="AN61" s="296">
        <f t="shared" si="28"/>
        <v>0</v>
      </c>
      <c r="AO61" s="296">
        <f t="shared" si="29"/>
        <v>0</v>
      </c>
    </row>
    <row r="62" spans="1:41" ht="16.149999999999999" customHeight="1">
      <c r="A62" s="205">
        <v>56</v>
      </c>
      <c r="B62" s="206" t="s">
        <v>127</v>
      </c>
      <c r="C62" s="994">
        <v>0</v>
      </c>
      <c r="D62" s="208">
        <f>+'Table 5C1A-Madison Prep'!D62</f>
        <v>5028.4909408288286</v>
      </c>
      <c r="E62" s="209">
        <f t="shared" si="8"/>
        <v>0</v>
      </c>
      <c r="F62" s="209">
        <f>+'Table 5C1A-Madison Prep'!F62</f>
        <v>614.66000000000008</v>
      </c>
      <c r="G62" s="209">
        <f t="shared" si="9"/>
        <v>0</v>
      </c>
      <c r="H62" s="344">
        <f t="shared" si="10"/>
        <v>0</v>
      </c>
      <c r="I62" s="210">
        <f>'[1]Oct midyear Vision'!K59</f>
        <v>0</v>
      </c>
      <c r="J62" s="210">
        <f>'[1]Feb midyear Vision'!K59</f>
        <v>0</v>
      </c>
      <c r="K62" s="211">
        <f t="shared" si="11"/>
        <v>0</v>
      </c>
      <c r="L62" s="344">
        <f t="shared" si="12"/>
        <v>0</v>
      </c>
      <c r="M62" s="273">
        <f t="shared" si="4"/>
        <v>0</v>
      </c>
      <c r="N62" s="344">
        <f t="shared" si="13"/>
        <v>0</v>
      </c>
      <c r="O62" s="208">
        <v>0</v>
      </c>
      <c r="P62" s="350">
        <f t="shared" si="14"/>
        <v>0</v>
      </c>
      <c r="Q62" s="210">
        <f>8*'[2]Table 5C1P-Vision'!S62</f>
        <v>0</v>
      </c>
      <c r="R62" s="210">
        <f t="shared" si="15"/>
        <v>0</v>
      </c>
      <c r="S62" s="350">
        <f t="shared" si="30"/>
        <v>0</v>
      </c>
      <c r="T62" s="350">
        <f t="shared" si="16"/>
        <v>0</v>
      </c>
      <c r="U62" s="274">
        <f>'Table 5C1A-Madison Prep'!U62</f>
        <v>2857</v>
      </c>
      <c r="V62" s="327">
        <f t="shared" si="17"/>
        <v>0</v>
      </c>
      <c r="W62" s="883">
        <f>'[1]Oct midyear Vision'!E59</f>
        <v>0</v>
      </c>
      <c r="X62" s="276">
        <f t="shared" si="18"/>
        <v>0</v>
      </c>
      <c r="Y62" s="883">
        <f>'[1]Feb midyear Vision'!E59</f>
        <v>0</v>
      </c>
      <c r="Z62" s="276">
        <f t="shared" si="19"/>
        <v>0</v>
      </c>
      <c r="AA62" s="275">
        <f t="shared" si="20"/>
        <v>0</v>
      </c>
      <c r="AB62" s="323">
        <f t="shared" si="21"/>
        <v>0</v>
      </c>
      <c r="AC62" s="278">
        <f t="shared" si="22"/>
        <v>0</v>
      </c>
      <c r="AD62" s="323">
        <f t="shared" si="23"/>
        <v>0</v>
      </c>
      <c r="AE62" s="279">
        <v>0</v>
      </c>
      <c r="AF62" s="323">
        <f t="shared" si="24"/>
        <v>0</v>
      </c>
      <c r="AG62" s="279">
        <f>8*'[2]Table 5C1P-Vision'!AI62</f>
        <v>0</v>
      </c>
      <c r="AH62" s="279">
        <f t="shared" si="25"/>
        <v>0</v>
      </c>
      <c r="AI62" s="323">
        <f t="shared" si="31"/>
        <v>0</v>
      </c>
      <c r="AJ62" s="337">
        <f t="shared" si="26"/>
        <v>0</v>
      </c>
      <c r="AK62" s="341">
        <f t="shared" si="27"/>
        <v>0</v>
      </c>
      <c r="AM62" s="273">
        <v>0</v>
      </c>
      <c r="AN62" s="273">
        <f t="shared" si="28"/>
        <v>0</v>
      </c>
      <c r="AO62" s="273">
        <f t="shared" si="29"/>
        <v>0</v>
      </c>
    </row>
    <row r="63" spans="1:41" ht="16.149999999999999" customHeight="1">
      <c r="A63" s="198">
        <v>57</v>
      </c>
      <c r="B63" s="199" t="s">
        <v>128</v>
      </c>
      <c r="C63" s="995">
        <v>0</v>
      </c>
      <c r="D63" s="201">
        <f>+'Table 5C1A-Madison Prep'!D63</f>
        <v>4625.9922979230687</v>
      </c>
      <c r="E63" s="202">
        <f t="shared" si="8"/>
        <v>0</v>
      </c>
      <c r="F63" s="202">
        <f>+'Table 5C1A-Madison Prep'!F63</f>
        <v>764.51</v>
      </c>
      <c r="G63" s="202">
        <f t="shared" si="9"/>
        <v>0</v>
      </c>
      <c r="H63" s="345">
        <f t="shared" si="10"/>
        <v>0</v>
      </c>
      <c r="I63" s="203">
        <f>'[1]Oct midyear Vision'!K60</f>
        <v>0</v>
      </c>
      <c r="J63" s="203">
        <f>'[1]Feb midyear Vision'!K60</f>
        <v>0</v>
      </c>
      <c r="K63" s="204">
        <f t="shared" si="11"/>
        <v>0</v>
      </c>
      <c r="L63" s="345">
        <f t="shared" si="12"/>
        <v>0</v>
      </c>
      <c r="M63" s="286">
        <f t="shared" si="4"/>
        <v>0</v>
      </c>
      <c r="N63" s="345">
        <f t="shared" si="13"/>
        <v>0</v>
      </c>
      <c r="O63" s="201">
        <v>0</v>
      </c>
      <c r="P63" s="351">
        <f t="shared" si="14"/>
        <v>0</v>
      </c>
      <c r="Q63" s="203">
        <f>8*'[2]Table 5C1P-Vision'!S63</f>
        <v>0</v>
      </c>
      <c r="R63" s="203">
        <f t="shared" si="15"/>
        <v>0</v>
      </c>
      <c r="S63" s="351">
        <f t="shared" si="30"/>
        <v>0</v>
      </c>
      <c r="T63" s="351">
        <f t="shared" si="16"/>
        <v>0</v>
      </c>
      <c r="U63" s="287">
        <f>'Table 5C1A-Madison Prep'!U63</f>
        <v>3465</v>
      </c>
      <c r="V63" s="328">
        <f t="shared" si="17"/>
        <v>0</v>
      </c>
      <c r="W63" s="289">
        <f>'[1]Oct midyear Vision'!E60</f>
        <v>0</v>
      </c>
      <c r="X63" s="290">
        <f t="shared" si="18"/>
        <v>0</v>
      </c>
      <c r="Y63" s="289">
        <f>'[1]Feb midyear Vision'!E60</f>
        <v>0</v>
      </c>
      <c r="Z63" s="290">
        <f t="shared" si="19"/>
        <v>0</v>
      </c>
      <c r="AA63" s="288">
        <f t="shared" si="20"/>
        <v>0</v>
      </c>
      <c r="AB63" s="324">
        <f t="shared" si="21"/>
        <v>0</v>
      </c>
      <c r="AC63" s="292">
        <f t="shared" si="22"/>
        <v>0</v>
      </c>
      <c r="AD63" s="324">
        <f t="shared" si="23"/>
        <v>0</v>
      </c>
      <c r="AE63" s="293">
        <v>0</v>
      </c>
      <c r="AF63" s="324">
        <f t="shared" si="24"/>
        <v>0</v>
      </c>
      <c r="AG63" s="293">
        <f>8*'[2]Table 5C1P-Vision'!AI63</f>
        <v>0</v>
      </c>
      <c r="AH63" s="293">
        <f t="shared" si="25"/>
        <v>0</v>
      </c>
      <c r="AI63" s="324">
        <f t="shared" si="31"/>
        <v>0</v>
      </c>
      <c r="AJ63" s="321">
        <f t="shared" si="26"/>
        <v>0</v>
      </c>
      <c r="AK63" s="342">
        <f t="shared" si="27"/>
        <v>0</v>
      </c>
      <c r="AM63" s="286">
        <v>0</v>
      </c>
      <c r="AN63" s="286">
        <f t="shared" si="28"/>
        <v>0</v>
      </c>
      <c r="AO63" s="286">
        <f t="shared" si="29"/>
        <v>0</v>
      </c>
    </row>
    <row r="64" spans="1:41" ht="16.149999999999999" customHeight="1">
      <c r="A64" s="198">
        <v>58</v>
      </c>
      <c r="B64" s="199" t="s">
        <v>129</v>
      </c>
      <c r="C64" s="995">
        <v>0</v>
      </c>
      <c r="D64" s="201">
        <f>+'Table 5C1A-Madison Prep'!D64</f>
        <v>5673.1129637882123</v>
      </c>
      <c r="E64" s="202">
        <f t="shared" si="8"/>
        <v>0</v>
      </c>
      <c r="F64" s="202">
        <f>+'Table 5C1A-Madison Prep'!F64</f>
        <v>697.04</v>
      </c>
      <c r="G64" s="202">
        <f t="shared" si="9"/>
        <v>0</v>
      </c>
      <c r="H64" s="345">
        <f t="shared" si="10"/>
        <v>0</v>
      </c>
      <c r="I64" s="203">
        <f>'[1]Oct midyear Vision'!K61</f>
        <v>0</v>
      </c>
      <c r="J64" s="203">
        <f>'[1]Feb midyear Vision'!K61</f>
        <v>0</v>
      </c>
      <c r="K64" s="204">
        <f t="shared" si="11"/>
        <v>0</v>
      </c>
      <c r="L64" s="345">
        <f t="shared" si="12"/>
        <v>0</v>
      </c>
      <c r="M64" s="286">
        <f t="shared" si="4"/>
        <v>0</v>
      </c>
      <c r="N64" s="345">
        <f t="shared" si="13"/>
        <v>0</v>
      </c>
      <c r="O64" s="201">
        <v>0</v>
      </c>
      <c r="P64" s="351">
        <f t="shared" si="14"/>
        <v>0</v>
      </c>
      <c r="Q64" s="203">
        <f>8*'[2]Table 5C1P-Vision'!S64</f>
        <v>0</v>
      </c>
      <c r="R64" s="203">
        <f t="shared" si="15"/>
        <v>0</v>
      </c>
      <c r="S64" s="351">
        <f t="shared" si="30"/>
        <v>0</v>
      </c>
      <c r="T64" s="351">
        <f t="shared" si="16"/>
        <v>0</v>
      </c>
      <c r="U64" s="287">
        <f>'Table 5C1A-Madison Prep'!U64</f>
        <v>2167</v>
      </c>
      <c r="V64" s="328">
        <f t="shared" si="17"/>
        <v>0</v>
      </c>
      <c r="W64" s="289">
        <f>'[1]Oct midyear Vision'!E61</f>
        <v>0</v>
      </c>
      <c r="X64" s="290">
        <f t="shared" si="18"/>
        <v>0</v>
      </c>
      <c r="Y64" s="289">
        <f>'[1]Feb midyear Vision'!E61</f>
        <v>0</v>
      </c>
      <c r="Z64" s="290">
        <f t="shared" si="19"/>
        <v>0</v>
      </c>
      <c r="AA64" s="288">
        <f t="shared" si="20"/>
        <v>0</v>
      </c>
      <c r="AB64" s="324">
        <f t="shared" si="21"/>
        <v>0</v>
      </c>
      <c r="AC64" s="292">
        <f t="shared" si="22"/>
        <v>0</v>
      </c>
      <c r="AD64" s="324">
        <f t="shared" si="23"/>
        <v>0</v>
      </c>
      <c r="AE64" s="293">
        <v>0</v>
      </c>
      <c r="AF64" s="324">
        <f t="shared" si="24"/>
        <v>0</v>
      </c>
      <c r="AG64" s="293">
        <f>8*'[2]Table 5C1P-Vision'!AI64</f>
        <v>0</v>
      </c>
      <c r="AH64" s="293">
        <f t="shared" si="25"/>
        <v>0</v>
      </c>
      <c r="AI64" s="324">
        <f t="shared" si="31"/>
        <v>0</v>
      </c>
      <c r="AJ64" s="321">
        <f t="shared" si="26"/>
        <v>0</v>
      </c>
      <c r="AK64" s="342">
        <f t="shared" si="27"/>
        <v>0</v>
      </c>
      <c r="AM64" s="286">
        <v>0</v>
      </c>
      <c r="AN64" s="286">
        <f t="shared" si="28"/>
        <v>0</v>
      </c>
      <c r="AO64" s="286">
        <f t="shared" si="29"/>
        <v>0</v>
      </c>
    </row>
    <row r="65" spans="1:41" ht="16.149999999999999" customHeight="1">
      <c r="A65" s="198">
        <v>59</v>
      </c>
      <c r="B65" s="199" t="s">
        <v>130</v>
      </c>
      <c r="C65" s="995">
        <v>0</v>
      </c>
      <c r="D65" s="201">
        <f>+'Table 5C1A-Madison Prep'!D65</f>
        <v>6621.946293521848</v>
      </c>
      <c r="E65" s="202">
        <f t="shared" si="8"/>
        <v>0</v>
      </c>
      <c r="F65" s="202">
        <f>+'Table 5C1A-Madison Prep'!F65</f>
        <v>689.52</v>
      </c>
      <c r="G65" s="202">
        <f t="shared" si="9"/>
        <v>0</v>
      </c>
      <c r="H65" s="345">
        <f t="shared" si="10"/>
        <v>0</v>
      </c>
      <c r="I65" s="203">
        <f>'[1]Oct midyear Vision'!K62</f>
        <v>0</v>
      </c>
      <c r="J65" s="203">
        <f>'[1]Feb midyear Vision'!K62</f>
        <v>0</v>
      </c>
      <c r="K65" s="204">
        <f t="shared" si="11"/>
        <v>0</v>
      </c>
      <c r="L65" s="345">
        <f t="shared" si="12"/>
        <v>0</v>
      </c>
      <c r="M65" s="286">
        <f t="shared" si="4"/>
        <v>0</v>
      </c>
      <c r="N65" s="345">
        <f t="shared" si="13"/>
        <v>0</v>
      </c>
      <c r="O65" s="201">
        <v>0</v>
      </c>
      <c r="P65" s="351">
        <f t="shared" si="14"/>
        <v>0</v>
      </c>
      <c r="Q65" s="203">
        <f>8*'[2]Table 5C1P-Vision'!S65</f>
        <v>0</v>
      </c>
      <c r="R65" s="203">
        <f t="shared" si="15"/>
        <v>0</v>
      </c>
      <c r="S65" s="351">
        <f t="shared" si="30"/>
        <v>0</v>
      </c>
      <c r="T65" s="351">
        <f t="shared" si="16"/>
        <v>0</v>
      </c>
      <c r="U65" s="287">
        <f>'Table 5C1A-Madison Prep'!U65</f>
        <v>1521</v>
      </c>
      <c r="V65" s="328">
        <f t="shared" si="17"/>
        <v>0</v>
      </c>
      <c r="W65" s="289">
        <f>'[1]Oct midyear Vision'!E62</f>
        <v>0</v>
      </c>
      <c r="X65" s="290">
        <f t="shared" si="18"/>
        <v>0</v>
      </c>
      <c r="Y65" s="289">
        <f>'[1]Feb midyear Vision'!E62</f>
        <v>0</v>
      </c>
      <c r="Z65" s="290">
        <f t="shared" si="19"/>
        <v>0</v>
      </c>
      <c r="AA65" s="288">
        <f t="shared" si="20"/>
        <v>0</v>
      </c>
      <c r="AB65" s="324">
        <f t="shared" si="21"/>
        <v>0</v>
      </c>
      <c r="AC65" s="292">
        <f t="shared" si="22"/>
        <v>0</v>
      </c>
      <c r="AD65" s="324">
        <f t="shared" si="23"/>
        <v>0</v>
      </c>
      <c r="AE65" s="293">
        <v>0</v>
      </c>
      <c r="AF65" s="324">
        <f t="shared" si="24"/>
        <v>0</v>
      </c>
      <c r="AG65" s="293">
        <f>8*'[2]Table 5C1P-Vision'!AI65</f>
        <v>0</v>
      </c>
      <c r="AH65" s="293">
        <f t="shared" si="25"/>
        <v>0</v>
      </c>
      <c r="AI65" s="324">
        <f t="shared" si="31"/>
        <v>0</v>
      </c>
      <c r="AJ65" s="321">
        <f t="shared" si="26"/>
        <v>0</v>
      </c>
      <c r="AK65" s="342">
        <f t="shared" si="27"/>
        <v>0</v>
      </c>
      <c r="AM65" s="286">
        <v>0</v>
      </c>
      <c r="AN65" s="286">
        <f t="shared" si="28"/>
        <v>0</v>
      </c>
      <c r="AO65" s="286">
        <f t="shared" si="29"/>
        <v>0</v>
      </c>
    </row>
    <row r="66" spans="1:41" ht="16.149999999999999" customHeight="1">
      <c r="A66" s="191">
        <v>60</v>
      </c>
      <c r="B66" s="192" t="s">
        <v>131</v>
      </c>
      <c r="C66" s="996">
        <v>0</v>
      </c>
      <c r="D66" s="194">
        <f>+'Table 5C1A-Madison Prep'!D66</f>
        <v>5301.224090063828</v>
      </c>
      <c r="E66" s="195">
        <f t="shared" si="8"/>
        <v>0</v>
      </c>
      <c r="F66" s="195">
        <f>+'Table 5C1A-Madison Prep'!F66</f>
        <v>594.04</v>
      </c>
      <c r="G66" s="195">
        <f t="shared" si="9"/>
        <v>0</v>
      </c>
      <c r="H66" s="346">
        <f t="shared" si="10"/>
        <v>0</v>
      </c>
      <c r="I66" s="196">
        <f>'[1]Oct midyear Vision'!K63</f>
        <v>0</v>
      </c>
      <c r="J66" s="196">
        <f>'[1]Feb midyear Vision'!K63</f>
        <v>0</v>
      </c>
      <c r="K66" s="197">
        <f t="shared" si="11"/>
        <v>0</v>
      </c>
      <c r="L66" s="346">
        <f t="shared" si="12"/>
        <v>0</v>
      </c>
      <c r="M66" s="296">
        <f t="shared" si="4"/>
        <v>0</v>
      </c>
      <c r="N66" s="346">
        <f t="shared" si="13"/>
        <v>0</v>
      </c>
      <c r="O66" s="194">
        <v>0</v>
      </c>
      <c r="P66" s="352">
        <f t="shared" si="14"/>
        <v>0</v>
      </c>
      <c r="Q66" s="196">
        <f>8*'[2]Table 5C1P-Vision'!S66</f>
        <v>0</v>
      </c>
      <c r="R66" s="196">
        <f t="shared" si="15"/>
        <v>0</v>
      </c>
      <c r="S66" s="352">
        <f t="shared" si="30"/>
        <v>0</v>
      </c>
      <c r="T66" s="352">
        <f t="shared" si="16"/>
        <v>0</v>
      </c>
      <c r="U66" s="281">
        <f>'Table 5C1A-Madison Prep'!U66</f>
        <v>4024</v>
      </c>
      <c r="V66" s="329">
        <f t="shared" si="17"/>
        <v>0</v>
      </c>
      <c r="W66" s="884">
        <f>'[1]Oct midyear Vision'!E63</f>
        <v>0</v>
      </c>
      <c r="X66" s="282">
        <f t="shared" si="18"/>
        <v>0</v>
      </c>
      <c r="Y66" s="884">
        <f>'[1]Feb midyear Vision'!E63</f>
        <v>0</v>
      </c>
      <c r="Z66" s="282">
        <f t="shared" si="19"/>
        <v>0</v>
      </c>
      <c r="AA66" s="283">
        <f t="shared" si="20"/>
        <v>0</v>
      </c>
      <c r="AB66" s="325">
        <f t="shared" si="21"/>
        <v>0</v>
      </c>
      <c r="AC66" s="298">
        <f t="shared" si="22"/>
        <v>0</v>
      </c>
      <c r="AD66" s="325">
        <f t="shared" si="23"/>
        <v>0</v>
      </c>
      <c r="AE66" s="284">
        <v>0</v>
      </c>
      <c r="AF66" s="325">
        <f t="shared" si="24"/>
        <v>0</v>
      </c>
      <c r="AG66" s="284">
        <f>8*'[2]Table 5C1P-Vision'!AI66</f>
        <v>0</v>
      </c>
      <c r="AH66" s="284">
        <f t="shared" si="25"/>
        <v>0</v>
      </c>
      <c r="AI66" s="325">
        <f t="shared" si="31"/>
        <v>0</v>
      </c>
      <c r="AJ66" s="338">
        <f t="shared" si="26"/>
        <v>0</v>
      </c>
      <c r="AK66" s="343">
        <f t="shared" si="27"/>
        <v>0</v>
      </c>
      <c r="AM66" s="296">
        <v>0</v>
      </c>
      <c r="AN66" s="296">
        <f t="shared" si="28"/>
        <v>0</v>
      </c>
      <c r="AO66" s="296">
        <f t="shared" si="29"/>
        <v>0</v>
      </c>
    </row>
    <row r="67" spans="1:41" ht="16.149999999999999" customHeight="1">
      <c r="A67" s="205">
        <v>61</v>
      </c>
      <c r="B67" s="206" t="s">
        <v>132</v>
      </c>
      <c r="C67" s="994">
        <v>0</v>
      </c>
      <c r="D67" s="208">
        <f>+'Table 5C1A-Madison Prep'!D67</f>
        <v>2854.1575356369185</v>
      </c>
      <c r="E67" s="209">
        <f t="shared" si="8"/>
        <v>0</v>
      </c>
      <c r="F67" s="209">
        <f>+'Table 5C1A-Madison Prep'!F67</f>
        <v>833.70999999999992</v>
      </c>
      <c r="G67" s="209">
        <f t="shared" si="9"/>
        <v>0</v>
      </c>
      <c r="H67" s="344">
        <f t="shared" si="10"/>
        <v>0</v>
      </c>
      <c r="I67" s="210">
        <f>'[1]Oct midyear Vision'!K64</f>
        <v>0</v>
      </c>
      <c r="J67" s="210">
        <f>'[1]Feb midyear Vision'!K64</f>
        <v>0</v>
      </c>
      <c r="K67" s="211">
        <f t="shared" si="11"/>
        <v>0</v>
      </c>
      <c r="L67" s="344">
        <f t="shared" si="12"/>
        <v>0</v>
      </c>
      <c r="M67" s="273">
        <f t="shared" si="4"/>
        <v>0</v>
      </c>
      <c r="N67" s="344">
        <f t="shared" si="13"/>
        <v>0</v>
      </c>
      <c r="O67" s="208">
        <v>0</v>
      </c>
      <c r="P67" s="350">
        <f t="shared" si="14"/>
        <v>0</v>
      </c>
      <c r="Q67" s="210">
        <f>8*'[2]Table 5C1P-Vision'!S67</f>
        <v>0</v>
      </c>
      <c r="R67" s="210">
        <f t="shared" si="15"/>
        <v>0</v>
      </c>
      <c r="S67" s="350">
        <f t="shared" si="30"/>
        <v>0</v>
      </c>
      <c r="T67" s="350">
        <f t="shared" si="16"/>
        <v>0</v>
      </c>
      <c r="U67" s="274">
        <f>'Table 5C1A-Madison Prep'!U67</f>
        <v>6739</v>
      </c>
      <c r="V67" s="327">
        <f t="shared" si="17"/>
        <v>0</v>
      </c>
      <c r="W67" s="883">
        <f>'[1]Oct midyear Vision'!E64</f>
        <v>0</v>
      </c>
      <c r="X67" s="276">
        <f t="shared" si="18"/>
        <v>0</v>
      </c>
      <c r="Y67" s="883">
        <f>'[1]Feb midyear Vision'!E64</f>
        <v>0</v>
      </c>
      <c r="Z67" s="276">
        <f t="shared" si="19"/>
        <v>0</v>
      </c>
      <c r="AA67" s="275">
        <f t="shared" si="20"/>
        <v>0</v>
      </c>
      <c r="AB67" s="323">
        <f t="shared" si="21"/>
        <v>0</v>
      </c>
      <c r="AC67" s="278">
        <f t="shared" si="22"/>
        <v>0</v>
      </c>
      <c r="AD67" s="323">
        <f t="shared" si="23"/>
        <v>0</v>
      </c>
      <c r="AE67" s="279">
        <v>0</v>
      </c>
      <c r="AF67" s="323">
        <f t="shared" si="24"/>
        <v>0</v>
      </c>
      <c r="AG67" s="279">
        <f>8*'[2]Table 5C1P-Vision'!AI67</f>
        <v>0</v>
      </c>
      <c r="AH67" s="279">
        <f t="shared" si="25"/>
        <v>0</v>
      </c>
      <c r="AI67" s="323">
        <f t="shared" si="31"/>
        <v>0</v>
      </c>
      <c r="AJ67" s="337">
        <f t="shared" si="26"/>
        <v>0</v>
      </c>
      <c r="AK67" s="341">
        <f t="shared" si="27"/>
        <v>0</v>
      </c>
      <c r="AM67" s="273">
        <v>0</v>
      </c>
      <c r="AN67" s="273">
        <f t="shared" si="28"/>
        <v>0</v>
      </c>
      <c r="AO67" s="273">
        <f t="shared" si="29"/>
        <v>0</v>
      </c>
    </row>
    <row r="68" spans="1:41" ht="16.149999999999999" customHeight="1">
      <c r="A68" s="198">
        <v>62</v>
      </c>
      <c r="B68" s="199" t="s">
        <v>133</v>
      </c>
      <c r="C68" s="995">
        <v>0</v>
      </c>
      <c r="D68" s="201">
        <f>+'Table 5C1A-Madison Prep'!D68</f>
        <v>5901.074538516008</v>
      </c>
      <c r="E68" s="202">
        <f t="shared" si="8"/>
        <v>0</v>
      </c>
      <c r="F68" s="202">
        <f>+'Table 5C1A-Madison Prep'!F68</f>
        <v>516.08000000000004</v>
      </c>
      <c r="G68" s="202">
        <f t="shared" si="9"/>
        <v>0</v>
      </c>
      <c r="H68" s="345">
        <f t="shared" si="10"/>
        <v>0</v>
      </c>
      <c r="I68" s="203">
        <f>'[1]Oct midyear Vision'!K65</f>
        <v>0</v>
      </c>
      <c r="J68" s="203">
        <f>'[1]Feb midyear Vision'!K65</f>
        <v>0</v>
      </c>
      <c r="K68" s="204">
        <f t="shared" si="11"/>
        <v>0</v>
      </c>
      <c r="L68" s="345">
        <f t="shared" si="12"/>
        <v>0</v>
      </c>
      <c r="M68" s="286">
        <f t="shared" si="4"/>
        <v>0</v>
      </c>
      <c r="N68" s="345">
        <f t="shared" si="13"/>
        <v>0</v>
      </c>
      <c r="O68" s="201">
        <v>0</v>
      </c>
      <c r="P68" s="351">
        <f t="shared" si="14"/>
        <v>0</v>
      </c>
      <c r="Q68" s="203">
        <f>8*'[2]Table 5C1P-Vision'!S68</f>
        <v>0</v>
      </c>
      <c r="R68" s="203">
        <f t="shared" si="15"/>
        <v>0</v>
      </c>
      <c r="S68" s="351">
        <f t="shared" si="30"/>
        <v>0</v>
      </c>
      <c r="T68" s="351">
        <f t="shared" si="16"/>
        <v>0</v>
      </c>
      <c r="U68" s="287">
        <f>'Table 5C1A-Madison Prep'!U68</f>
        <v>2089</v>
      </c>
      <c r="V68" s="328">
        <f t="shared" si="17"/>
        <v>0</v>
      </c>
      <c r="W68" s="289">
        <f>'[1]Oct midyear Vision'!E65</f>
        <v>0</v>
      </c>
      <c r="X68" s="290">
        <f t="shared" si="18"/>
        <v>0</v>
      </c>
      <c r="Y68" s="289">
        <f>'[1]Feb midyear Vision'!E65</f>
        <v>0</v>
      </c>
      <c r="Z68" s="290">
        <f t="shared" si="19"/>
        <v>0</v>
      </c>
      <c r="AA68" s="288">
        <f t="shared" si="20"/>
        <v>0</v>
      </c>
      <c r="AB68" s="324">
        <f t="shared" si="21"/>
        <v>0</v>
      </c>
      <c r="AC68" s="292">
        <f t="shared" si="22"/>
        <v>0</v>
      </c>
      <c r="AD68" s="324">
        <f t="shared" si="23"/>
        <v>0</v>
      </c>
      <c r="AE68" s="293">
        <v>0</v>
      </c>
      <c r="AF68" s="324">
        <f t="shared" si="24"/>
        <v>0</v>
      </c>
      <c r="AG68" s="293">
        <f>8*'[2]Table 5C1P-Vision'!AI68</f>
        <v>0</v>
      </c>
      <c r="AH68" s="293">
        <f t="shared" si="25"/>
        <v>0</v>
      </c>
      <c r="AI68" s="324">
        <f t="shared" si="31"/>
        <v>0</v>
      </c>
      <c r="AJ68" s="321">
        <f t="shared" si="26"/>
        <v>0</v>
      </c>
      <c r="AK68" s="342">
        <f t="shared" si="27"/>
        <v>0</v>
      </c>
      <c r="AM68" s="286">
        <v>0</v>
      </c>
      <c r="AN68" s="286">
        <f t="shared" si="28"/>
        <v>0</v>
      </c>
      <c r="AO68" s="286">
        <f t="shared" si="29"/>
        <v>0</v>
      </c>
    </row>
    <row r="69" spans="1:41" ht="16.149999999999999" customHeight="1">
      <c r="A69" s="198">
        <v>63</v>
      </c>
      <c r="B69" s="199" t="s">
        <v>134</v>
      </c>
      <c r="C69" s="995">
        <v>0</v>
      </c>
      <c r="D69" s="201">
        <f>+'Table 5C1A-Madison Prep'!D69</f>
        <v>4124.3813481848092</v>
      </c>
      <c r="E69" s="202">
        <f t="shared" si="8"/>
        <v>0</v>
      </c>
      <c r="F69" s="202">
        <f>+'Table 5C1A-Madison Prep'!F69</f>
        <v>756.79</v>
      </c>
      <c r="G69" s="202">
        <f t="shared" si="9"/>
        <v>0</v>
      </c>
      <c r="H69" s="345">
        <f t="shared" si="10"/>
        <v>0</v>
      </c>
      <c r="I69" s="203">
        <f>'[1]Oct midyear Vision'!K66</f>
        <v>0</v>
      </c>
      <c r="J69" s="203">
        <f>'[1]Feb midyear Vision'!K66</f>
        <v>0</v>
      </c>
      <c r="K69" s="204">
        <f t="shared" si="11"/>
        <v>0</v>
      </c>
      <c r="L69" s="345">
        <f t="shared" si="12"/>
        <v>0</v>
      </c>
      <c r="M69" s="286">
        <f t="shared" si="4"/>
        <v>0</v>
      </c>
      <c r="N69" s="345">
        <f t="shared" si="13"/>
        <v>0</v>
      </c>
      <c r="O69" s="201">
        <v>0</v>
      </c>
      <c r="P69" s="351">
        <f t="shared" si="14"/>
        <v>0</v>
      </c>
      <c r="Q69" s="203">
        <f>8*'[2]Table 5C1P-Vision'!S69</f>
        <v>0</v>
      </c>
      <c r="R69" s="203">
        <f t="shared" si="15"/>
        <v>0</v>
      </c>
      <c r="S69" s="351">
        <f t="shared" si="30"/>
        <v>0</v>
      </c>
      <c r="T69" s="351">
        <f t="shared" si="16"/>
        <v>0</v>
      </c>
      <c r="U69" s="287">
        <f>'Table 5C1A-Madison Prep'!U69</f>
        <v>7403</v>
      </c>
      <c r="V69" s="328">
        <f t="shared" si="17"/>
        <v>0</v>
      </c>
      <c r="W69" s="289">
        <f>'[1]Oct midyear Vision'!E66</f>
        <v>0</v>
      </c>
      <c r="X69" s="290">
        <f t="shared" si="18"/>
        <v>0</v>
      </c>
      <c r="Y69" s="289">
        <f>'[1]Feb midyear Vision'!E66</f>
        <v>0</v>
      </c>
      <c r="Z69" s="290">
        <f t="shared" si="19"/>
        <v>0</v>
      </c>
      <c r="AA69" s="288">
        <f t="shared" si="20"/>
        <v>0</v>
      </c>
      <c r="AB69" s="324">
        <f t="shared" si="21"/>
        <v>0</v>
      </c>
      <c r="AC69" s="292">
        <f t="shared" si="22"/>
        <v>0</v>
      </c>
      <c r="AD69" s="324">
        <f t="shared" si="23"/>
        <v>0</v>
      </c>
      <c r="AE69" s="293">
        <v>0</v>
      </c>
      <c r="AF69" s="324">
        <f t="shared" si="24"/>
        <v>0</v>
      </c>
      <c r="AG69" s="293">
        <f>8*'[2]Table 5C1P-Vision'!AI69</f>
        <v>0</v>
      </c>
      <c r="AH69" s="293">
        <f t="shared" si="25"/>
        <v>0</v>
      </c>
      <c r="AI69" s="324">
        <f t="shared" si="31"/>
        <v>0</v>
      </c>
      <c r="AJ69" s="321">
        <f t="shared" si="26"/>
        <v>0</v>
      </c>
      <c r="AK69" s="342">
        <f t="shared" si="27"/>
        <v>0</v>
      </c>
      <c r="AM69" s="286">
        <v>0</v>
      </c>
      <c r="AN69" s="286">
        <f t="shared" si="28"/>
        <v>0</v>
      </c>
      <c r="AO69" s="286">
        <f t="shared" si="29"/>
        <v>0</v>
      </c>
    </row>
    <row r="70" spans="1:41" ht="16.149999999999999" customHeight="1">
      <c r="A70" s="198">
        <v>64</v>
      </c>
      <c r="B70" s="199" t="s">
        <v>135</v>
      </c>
      <c r="C70" s="995">
        <v>0</v>
      </c>
      <c r="D70" s="201">
        <f>+'Table 5C1A-Madison Prep'!D70</f>
        <v>6277.8307532778254</v>
      </c>
      <c r="E70" s="202">
        <f t="shared" si="8"/>
        <v>0</v>
      </c>
      <c r="F70" s="202">
        <f>+'Table 5C1A-Madison Prep'!F70</f>
        <v>592.66</v>
      </c>
      <c r="G70" s="202">
        <f t="shared" si="9"/>
        <v>0</v>
      </c>
      <c r="H70" s="345">
        <f t="shared" si="10"/>
        <v>0</v>
      </c>
      <c r="I70" s="203">
        <f>'[1]Oct midyear Vision'!K67</f>
        <v>0</v>
      </c>
      <c r="J70" s="203">
        <f>'[1]Feb midyear Vision'!K67</f>
        <v>0</v>
      </c>
      <c r="K70" s="204">
        <f t="shared" si="11"/>
        <v>0</v>
      </c>
      <c r="L70" s="345">
        <f t="shared" si="12"/>
        <v>0</v>
      </c>
      <c r="M70" s="286">
        <f t="shared" si="4"/>
        <v>0</v>
      </c>
      <c r="N70" s="345">
        <f t="shared" si="13"/>
        <v>0</v>
      </c>
      <c r="O70" s="201">
        <v>0</v>
      </c>
      <c r="P70" s="351">
        <f t="shared" si="14"/>
        <v>0</v>
      </c>
      <c r="Q70" s="203">
        <f>8*'[2]Table 5C1P-Vision'!S70</f>
        <v>0</v>
      </c>
      <c r="R70" s="203">
        <f t="shared" si="15"/>
        <v>0</v>
      </c>
      <c r="S70" s="351">
        <f t="shared" si="30"/>
        <v>0</v>
      </c>
      <c r="T70" s="351">
        <f t="shared" si="16"/>
        <v>0</v>
      </c>
      <c r="U70" s="287">
        <f>'Table 5C1A-Madison Prep'!U70</f>
        <v>2802</v>
      </c>
      <c r="V70" s="328">
        <f t="shared" si="17"/>
        <v>0</v>
      </c>
      <c r="W70" s="289">
        <f>'[1]Oct midyear Vision'!E67</f>
        <v>0</v>
      </c>
      <c r="X70" s="290">
        <f t="shared" si="18"/>
        <v>0</v>
      </c>
      <c r="Y70" s="289">
        <f>'[1]Feb midyear Vision'!E67</f>
        <v>0</v>
      </c>
      <c r="Z70" s="290">
        <f t="shared" si="19"/>
        <v>0</v>
      </c>
      <c r="AA70" s="288">
        <f t="shared" si="20"/>
        <v>0</v>
      </c>
      <c r="AB70" s="324">
        <f t="shared" si="21"/>
        <v>0</v>
      </c>
      <c r="AC70" s="292">
        <f t="shared" si="22"/>
        <v>0</v>
      </c>
      <c r="AD70" s="324">
        <f t="shared" si="23"/>
        <v>0</v>
      </c>
      <c r="AE70" s="293">
        <v>0</v>
      </c>
      <c r="AF70" s="324">
        <f t="shared" si="24"/>
        <v>0</v>
      </c>
      <c r="AG70" s="293">
        <f>8*'[2]Table 5C1P-Vision'!AI70</f>
        <v>0</v>
      </c>
      <c r="AH70" s="293">
        <f t="shared" si="25"/>
        <v>0</v>
      </c>
      <c r="AI70" s="324">
        <f t="shared" si="31"/>
        <v>0</v>
      </c>
      <c r="AJ70" s="321">
        <f t="shared" si="26"/>
        <v>0</v>
      </c>
      <c r="AK70" s="342">
        <f t="shared" si="27"/>
        <v>0</v>
      </c>
      <c r="AM70" s="286">
        <v>0</v>
      </c>
      <c r="AN70" s="286">
        <f t="shared" si="28"/>
        <v>0</v>
      </c>
      <c r="AO70" s="286">
        <f t="shared" si="29"/>
        <v>0</v>
      </c>
    </row>
    <row r="71" spans="1:41" ht="16.149999999999999" customHeight="1">
      <c r="A71" s="191">
        <v>65</v>
      </c>
      <c r="B71" s="192" t="s">
        <v>136</v>
      </c>
      <c r="C71" s="996">
        <v>0</v>
      </c>
      <c r="D71" s="194">
        <f>+'Table 5C1A-Madison Prep'!D71</f>
        <v>4775.1605543943642</v>
      </c>
      <c r="E71" s="195">
        <f t="shared" si="8"/>
        <v>0</v>
      </c>
      <c r="F71" s="195">
        <f>+'Table 5C1A-Madison Prep'!F71</f>
        <v>829.12</v>
      </c>
      <c r="G71" s="195">
        <f t="shared" si="9"/>
        <v>0</v>
      </c>
      <c r="H71" s="346">
        <f t="shared" si="10"/>
        <v>0</v>
      </c>
      <c r="I71" s="196">
        <f>'[1]Oct midyear Vision'!K68</f>
        <v>0</v>
      </c>
      <c r="J71" s="196">
        <f>'[1]Feb midyear Vision'!K68</f>
        <v>0</v>
      </c>
      <c r="K71" s="197">
        <f t="shared" si="11"/>
        <v>0</v>
      </c>
      <c r="L71" s="346">
        <f t="shared" si="12"/>
        <v>0</v>
      </c>
      <c r="M71" s="296">
        <f t="shared" ref="M71:M74" si="32">-(0.25%*L71)</f>
        <v>0</v>
      </c>
      <c r="N71" s="346">
        <f t="shared" si="13"/>
        <v>0</v>
      </c>
      <c r="O71" s="194">
        <v>0</v>
      </c>
      <c r="P71" s="352">
        <f t="shared" si="14"/>
        <v>0</v>
      </c>
      <c r="Q71" s="196">
        <f>8*'[2]Table 5C1P-Vision'!S71</f>
        <v>559024</v>
      </c>
      <c r="R71" s="196">
        <f t="shared" si="15"/>
        <v>-559024</v>
      </c>
      <c r="S71" s="352">
        <f t="shared" ref="S71:S75" si="33">ROUND(R71/$S$88,0)</f>
        <v>-139756</v>
      </c>
      <c r="T71" s="352">
        <f t="shared" si="16"/>
        <v>0</v>
      </c>
      <c r="U71" s="281">
        <f>'Table 5C1A-Madison Prep'!U71</f>
        <v>5215</v>
      </c>
      <c r="V71" s="329">
        <f t="shared" si="17"/>
        <v>0</v>
      </c>
      <c r="W71" s="884">
        <f>'[1]Oct midyear Vision'!E68</f>
        <v>0</v>
      </c>
      <c r="X71" s="282">
        <f t="shared" si="18"/>
        <v>0</v>
      </c>
      <c r="Y71" s="884">
        <f>'[1]Feb midyear Vision'!E68</f>
        <v>0</v>
      </c>
      <c r="Z71" s="282">
        <f t="shared" si="19"/>
        <v>0</v>
      </c>
      <c r="AA71" s="283">
        <f t="shared" si="20"/>
        <v>0</v>
      </c>
      <c r="AB71" s="325">
        <f t="shared" si="21"/>
        <v>0</v>
      </c>
      <c r="AC71" s="298">
        <f t="shared" si="22"/>
        <v>0</v>
      </c>
      <c r="AD71" s="325">
        <f t="shared" si="23"/>
        <v>0</v>
      </c>
      <c r="AE71" s="284">
        <v>0</v>
      </c>
      <c r="AF71" s="325">
        <f t="shared" si="24"/>
        <v>0</v>
      </c>
      <c r="AG71" s="284">
        <f>8*'[2]Table 5C1P-Vision'!AI71</f>
        <v>509720</v>
      </c>
      <c r="AH71" s="284">
        <f t="shared" si="25"/>
        <v>-509720</v>
      </c>
      <c r="AI71" s="325">
        <f t="shared" ref="AI71:AI75" si="34">ROUND(AH71/$AI$88,0)</f>
        <v>-127430</v>
      </c>
      <c r="AJ71" s="338">
        <f t="shared" si="26"/>
        <v>0</v>
      </c>
      <c r="AK71" s="343">
        <f t="shared" si="27"/>
        <v>-267186</v>
      </c>
      <c r="AM71" s="296">
        <v>-1916.25</v>
      </c>
      <c r="AN71" s="296">
        <f t="shared" si="28"/>
        <v>0</v>
      </c>
      <c r="AO71" s="296">
        <f t="shared" si="29"/>
        <v>1916.25</v>
      </c>
    </row>
    <row r="72" spans="1:41" ht="16.149999999999999" customHeight="1">
      <c r="A72" s="205">
        <v>66</v>
      </c>
      <c r="B72" s="206" t="s">
        <v>137</v>
      </c>
      <c r="C72" s="994">
        <v>0</v>
      </c>
      <c r="D72" s="208">
        <f>+'Table 5C1A-Madison Prep'!D72</f>
        <v>6564.0085433910035</v>
      </c>
      <c r="E72" s="209">
        <f t="shared" ref="E72:E75" si="35">C72*D72</f>
        <v>0</v>
      </c>
      <c r="F72" s="209">
        <f>+'Table 5C1A-Madison Prep'!F72</f>
        <v>730.06</v>
      </c>
      <c r="G72" s="209">
        <f t="shared" ref="G72:G75" si="36">C72*F72</f>
        <v>0</v>
      </c>
      <c r="H72" s="344">
        <f t="shared" ref="H72:H75" si="37">E72+G72</f>
        <v>0</v>
      </c>
      <c r="I72" s="210">
        <f>'[1]Oct midyear Vision'!K69</f>
        <v>0</v>
      </c>
      <c r="J72" s="210">
        <f>'[1]Feb midyear Vision'!K69</f>
        <v>0</v>
      </c>
      <c r="K72" s="211">
        <f t="shared" ref="K72:K75" si="38">I72+J72</f>
        <v>0</v>
      </c>
      <c r="L72" s="344">
        <f t="shared" ref="L72:L75" si="39">+H72+K72</f>
        <v>0</v>
      </c>
      <c r="M72" s="273">
        <f t="shared" si="32"/>
        <v>0</v>
      </c>
      <c r="N72" s="344">
        <f t="shared" ref="N72:N75" si="40">SUM(L72:M72)</f>
        <v>0</v>
      </c>
      <c r="O72" s="208">
        <v>0</v>
      </c>
      <c r="P72" s="350">
        <f t="shared" ref="P72:P75" si="41">SUM(N72:O72)</f>
        <v>0</v>
      </c>
      <c r="Q72" s="210">
        <f>8*'[2]Table 5C1P-Vision'!S72</f>
        <v>0</v>
      </c>
      <c r="R72" s="210">
        <f t="shared" ref="R72:R75" si="42">+P72-Q72</f>
        <v>0</v>
      </c>
      <c r="S72" s="350">
        <f t="shared" si="33"/>
        <v>0</v>
      </c>
      <c r="T72" s="350">
        <f t="shared" ref="T72:T75" si="43">+P72</f>
        <v>0</v>
      </c>
      <c r="U72" s="274">
        <f>'Table 5C1A-Madison Prep'!U72</f>
        <v>3609</v>
      </c>
      <c r="V72" s="327">
        <f t="shared" ref="V72:V75" si="44">C72*U72</f>
        <v>0</v>
      </c>
      <c r="W72" s="883">
        <f>'[1]Oct midyear Vision'!E69</f>
        <v>0</v>
      </c>
      <c r="X72" s="276">
        <f t="shared" ref="X72:X75" si="45">+U72*W72</f>
        <v>0</v>
      </c>
      <c r="Y72" s="883">
        <f>'[1]Feb midyear Vision'!E69</f>
        <v>0</v>
      </c>
      <c r="Z72" s="276">
        <f t="shared" ref="Z72:Z75" si="46">+U72*Y72*0.5</f>
        <v>0</v>
      </c>
      <c r="AA72" s="275">
        <f t="shared" ref="AA72:AA75" si="47">+X72+Z72</f>
        <v>0</v>
      </c>
      <c r="AB72" s="323">
        <f t="shared" ref="AB72:AB75" si="48">+V72+AA72</f>
        <v>0</v>
      </c>
      <c r="AC72" s="278">
        <f t="shared" ref="AC72:AC75" si="49">-(0.25%*AB72)</f>
        <v>0</v>
      </c>
      <c r="AD72" s="323">
        <f t="shared" ref="AD72:AD75" si="50">SUM(AB72:AC72)</f>
        <v>0</v>
      </c>
      <c r="AE72" s="279">
        <v>0</v>
      </c>
      <c r="AF72" s="323">
        <f t="shared" ref="AF72:AF75" si="51">SUM(AD72:AE72)</f>
        <v>0</v>
      </c>
      <c r="AG72" s="279">
        <f>8*'[2]Table 5C1P-Vision'!AI72</f>
        <v>0</v>
      </c>
      <c r="AH72" s="279">
        <f t="shared" ref="AH72:AH75" si="52">+AF72-AG72</f>
        <v>0</v>
      </c>
      <c r="AI72" s="323">
        <f t="shared" si="34"/>
        <v>0</v>
      </c>
      <c r="AJ72" s="337">
        <f t="shared" ref="AJ72:AJ75" si="53">T72+AF72</f>
        <v>0</v>
      </c>
      <c r="AK72" s="341">
        <f t="shared" ref="AK72:AK75" si="54">S72+AI72</f>
        <v>0</v>
      </c>
      <c r="AM72" s="310">
        <v>0</v>
      </c>
      <c r="AN72" s="310">
        <f t="shared" ref="AN72:AN75" si="55">+AC72</f>
        <v>0</v>
      </c>
      <c r="AO72" s="310">
        <f t="shared" si="29"/>
        <v>0</v>
      </c>
    </row>
    <row r="73" spans="1:41" ht="16.149999999999999" customHeight="1">
      <c r="A73" s="198">
        <v>67</v>
      </c>
      <c r="B73" s="199" t="s">
        <v>28</v>
      </c>
      <c r="C73" s="995">
        <v>0</v>
      </c>
      <c r="D73" s="201">
        <f>+'Table 5C1A-Madison Prep'!D73</f>
        <v>5029.1467736134118</v>
      </c>
      <c r="E73" s="202">
        <f t="shared" si="35"/>
        <v>0</v>
      </c>
      <c r="F73" s="202">
        <f>+'Table 5C1A-Madison Prep'!F73</f>
        <v>715.61</v>
      </c>
      <c r="G73" s="202">
        <f t="shared" si="36"/>
        <v>0</v>
      </c>
      <c r="H73" s="345">
        <f t="shared" si="37"/>
        <v>0</v>
      </c>
      <c r="I73" s="203">
        <f>'[1]Oct midyear Vision'!K70</f>
        <v>0</v>
      </c>
      <c r="J73" s="203">
        <f>'[1]Feb midyear Vision'!K70</f>
        <v>0</v>
      </c>
      <c r="K73" s="204">
        <f t="shared" si="38"/>
        <v>0</v>
      </c>
      <c r="L73" s="345">
        <f t="shared" si="39"/>
        <v>0</v>
      </c>
      <c r="M73" s="286">
        <f t="shared" si="32"/>
        <v>0</v>
      </c>
      <c r="N73" s="345">
        <f t="shared" si="40"/>
        <v>0</v>
      </c>
      <c r="O73" s="201">
        <v>0</v>
      </c>
      <c r="P73" s="351">
        <f t="shared" si="41"/>
        <v>0</v>
      </c>
      <c r="Q73" s="203">
        <f>8*'[2]Table 5C1P-Vision'!S73</f>
        <v>0</v>
      </c>
      <c r="R73" s="203">
        <f t="shared" si="42"/>
        <v>0</v>
      </c>
      <c r="S73" s="351">
        <f t="shared" si="33"/>
        <v>0</v>
      </c>
      <c r="T73" s="351">
        <f t="shared" si="43"/>
        <v>0</v>
      </c>
      <c r="U73" s="287">
        <f>'Table 5C1A-Madison Prep'!U73</f>
        <v>5069</v>
      </c>
      <c r="V73" s="328">
        <f t="shared" si="44"/>
        <v>0</v>
      </c>
      <c r="W73" s="289">
        <f>'[1]Oct midyear Vision'!E70</f>
        <v>0</v>
      </c>
      <c r="X73" s="290">
        <f t="shared" si="45"/>
        <v>0</v>
      </c>
      <c r="Y73" s="289">
        <f>'[1]Feb midyear Vision'!E70</f>
        <v>0</v>
      </c>
      <c r="Z73" s="290">
        <f t="shared" si="46"/>
        <v>0</v>
      </c>
      <c r="AA73" s="288">
        <f t="shared" si="47"/>
        <v>0</v>
      </c>
      <c r="AB73" s="324">
        <f t="shared" si="48"/>
        <v>0</v>
      </c>
      <c r="AC73" s="292">
        <f t="shared" si="49"/>
        <v>0</v>
      </c>
      <c r="AD73" s="324">
        <f t="shared" si="50"/>
        <v>0</v>
      </c>
      <c r="AE73" s="293">
        <v>0</v>
      </c>
      <c r="AF73" s="324">
        <f t="shared" si="51"/>
        <v>0</v>
      </c>
      <c r="AG73" s="293">
        <f>8*'[2]Table 5C1P-Vision'!AI73</f>
        <v>0</v>
      </c>
      <c r="AH73" s="293">
        <f t="shared" si="52"/>
        <v>0</v>
      </c>
      <c r="AI73" s="324">
        <f t="shared" si="34"/>
        <v>0</v>
      </c>
      <c r="AJ73" s="321">
        <f t="shared" si="53"/>
        <v>0</v>
      </c>
      <c r="AK73" s="342">
        <f t="shared" si="54"/>
        <v>0</v>
      </c>
      <c r="AM73" s="310">
        <v>0</v>
      </c>
      <c r="AN73" s="310">
        <f t="shared" si="55"/>
        <v>0</v>
      </c>
      <c r="AO73" s="310">
        <f t="shared" si="29"/>
        <v>0</v>
      </c>
    </row>
    <row r="74" spans="1:41" ht="16.149999999999999" customHeight="1">
      <c r="A74" s="198">
        <v>68</v>
      </c>
      <c r="B74" s="199" t="s">
        <v>27</v>
      </c>
      <c r="C74" s="995">
        <v>0</v>
      </c>
      <c r="D74" s="201">
        <f>+'Table 5C1A-Madison Prep'!D74</f>
        <v>6390.1644202560601</v>
      </c>
      <c r="E74" s="202">
        <f t="shared" si="35"/>
        <v>0</v>
      </c>
      <c r="F74" s="202">
        <f>+'Table 5C1A-Madison Prep'!F74</f>
        <v>798.7</v>
      </c>
      <c r="G74" s="202">
        <f t="shared" si="36"/>
        <v>0</v>
      </c>
      <c r="H74" s="345">
        <f t="shared" si="37"/>
        <v>0</v>
      </c>
      <c r="I74" s="203">
        <f>'[1]Oct midyear Vision'!K71</f>
        <v>0</v>
      </c>
      <c r="J74" s="203">
        <f>'[1]Feb midyear Vision'!K71</f>
        <v>0</v>
      </c>
      <c r="K74" s="204">
        <f t="shared" si="38"/>
        <v>0</v>
      </c>
      <c r="L74" s="345">
        <f t="shared" si="39"/>
        <v>0</v>
      </c>
      <c r="M74" s="286">
        <f t="shared" si="32"/>
        <v>0</v>
      </c>
      <c r="N74" s="345">
        <f t="shared" si="40"/>
        <v>0</v>
      </c>
      <c r="O74" s="201">
        <v>0</v>
      </c>
      <c r="P74" s="351">
        <f t="shared" si="41"/>
        <v>0</v>
      </c>
      <c r="Q74" s="203">
        <f>8*'[2]Table 5C1P-Vision'!S74</f>
        <v>0</v>
      </c>
      <c r="R74" s="203">
        <f t="shared" si="42"/>
        <v>0</v>
      </c>
      <c r="S74" s="351">
        <f t="shared" si="33"/>
        <v>0</v>
      </c>
      <c r="T74" s="351">
        <f t="shared" si="43"/>
        <v>0</v>
      </c>
      <c r="U74" s="287">
        <f>'Table 5C1A-Madison Prep'!U74</f>
        <v>2880</v>
      </c>
      <c r="V74" s="328">
        <f t="shared" si="44"/>
        <v>0</v>
      </c>
      <c r="W74" s="289">
        <f>'[1]Oct midyear Vision'!E71</f>
        <v>0</v>
      </c>
      <c r="X74" s="290">
        <f t="shared" si="45"/>
        <v>0</v>
      </c>
      <c r="Y74" s="289">
        <f>'[1]Feb midyear Vision'!E71</f>
        <v>0</v>
      </c>
      <c r="Z74" s="290">
        <f t="shared" si="46"/>
        <v>0</v>
      </c>
      <c r="AA74" s="288">
        <f t="shared" si="47"/>
        <v>0</v>
      </c>
      <c r="AB74" s="324">
        <f t="shared" si="48"/>
        <v>0</v>
      </c>
      <c r="AC74" s="292">
        <f t="shared" si="49"/>
        <v>0</v>
      </c>
      <c r="AD74" s="324">
        <f t="shared" si="50"/>
        <v>0</v>
      </c>
      <c r="AE74" s="293">
        <v>0</v>
      </c>
      <c r="AF74" s="324">
        <f t="shared" si="51"/>
        <v>0</v>
      </c>
      <c r="AG74" s="293">
        <f>8*'[2]Table 5C1P-Vision'!AI74</f>
        <v>0</v>
      </c>
      <c r="AH74" s="293">
        <f t="shared" si="52"/>
        <v>0</v>
      </c>
      <c r="AI74" s="324">
        <f t="shared" si="34"/>
        <v>0</v>
      </c>
      <c r="AJ74" s="321">
        <f t="shared" si="53"/>
        <v>0</v>
      </c>
      <c r="AK74" s="342">
        <f t="shared" si="54"/>
        <v>0</v>
      </c>
      <c r="AM74" s="310">
        <v>0</v>
      </c>
      <c r="AN74" s="310">
        <f t="shared" si="55"/>
        <v>0</v>
      </c>
      <c r="AO74" s="310">
        <f t="shared" si="29"/>
        <v>0</v>
      </c>
    </row>
    <row r="75" spans="1:41" ht="16.149999999999999" customHeight="1">
      <c r="A75" s="198">
        <v>69</v>
      </c>
      <c r="B75" s="199" t="s">
        <v>147</v>
      </c>
      <c r="C75" s="995">
        <v>0</v>
      </c>
      <c r="D75" s="201">
        <f>+'Table 5C1A-Madison Prep'!D75</f>
        <v>5722.4947921281337</v>
      </c>
      <c r="E75" s="202">
        <f t="shared" si="35"/>
        <v>0</v>
      </c>
      <c r="F75" s="202">
        <f>+'Table 5C1A-Madison Prep'!F75</f>
        <v>705.67</v>
      </c>
      <c r="G75" s="202">
        <f t="shared" si="36"/>
        <v>0</v>
      </c>
      <c r="H75" s="345">
        <f t="shared" si="37"/>
        <v>0</v>
      </c>
      <c r="I75" s="203">
        <f>'[1]Oct midyear Vision'!K72</f>
        <v>0</v>
      </c>
      <c r="J75" s="203">
        <f>'[1]Feb midyear Vision'!K72</f>
        <v>0</v>
      </c>
      <c r="K75" s="204">
        <f t="shared" si="38"/>
        <v>0</v>
      </c>
      <c r="L75" s="345">
        <f t="shared" si="39"/>
        <v>0</v>
      </c>
      <c r="M75" s="286">
        <f>-(0.25%*L75)</f>
        <v>0</v>
      </c>
      <c r="N75" s="345">
        <f t="shared" si="40"/>
        <v>0</v>
      </c>
      <c r="O75" s="201">
        <v>0</v>
      </c>
      <c r="P75" s="351">
        <f t="shared" si="41"/>
        <v>0</v>
      </c>
      <c r="Q75" s="203">
        <f>8*'[2]Table 5C1P-Vision'!S75</f>
        <v>0</v>
      </c>
      <c r="R75" s="203">
        <f t="shared" si="42"/>
        <v>0</v>
      </c>
      <c r="S75" s="351">
        <f t="shared" si="33"/>
        <v>0</v>
      </c>
      <c r="T75" s="351">
        <f t="shared" si="43"/>
        <v>0</v>
      </c>
      <c r="U75" s="287">
        <f>'Table 5C1A-Madison Prep'!U75</f>
        <v>3330</v>
      </c>
      <c r="V75" s="328">
        <f t="shared" si="44"/>
        <v>0</v>
      </c>
      <c r="W75" s="289">
        <f>'[1]Oct midyear Vision'!E72</f>
        <v>0</v>
      </c>
      <c r="X75" s="290">
        <f t="shared" si="45"/>
        <v>0</v>
      </c>
      <c r="Y75" s="289">
        <f>'[1]Feb midyear Vision'!E72</f>
        <v>0</v>
      </c>
      <c r="Z75" s="290">
        <f t="shared" si="46"/>
        <v>0</v>
      </c>
      <c r="AA75" s="288">
        <f t="shared" si="47"/>
        <v>0</v>
      </c>
      <c r="AB75" s="324">
        <f t="shared" si="48"/>
        <v>0</v>
      </c>
      <c r="AC75" s="292">
        <f t="shared" si="49"/>
        <v>0</v>
      </c>
      <c r="AD75" s="324">
        <f t="shared" si="50"/>
        <v>0</v>
      </c>
      <c r="AE75" s="293">
        <v>0</v>
      </c>
      <c r="AF75" s="324">
        <f t="shared" si="51"/>
        <v>0</v>
      </c>
      <c r="AG75" s="293">
        <f>8*'[2]Table 5C1P-Vision'!AI75</f>
        <v>0</v>
      </c>
      <c r="AH75" s="293">
        <f t="shared" si="52"/>
        <v>0</v>
      </c>
      <c r="AI75" s="324">
        <f t="shared" si="34"/>
        <v>0</v>
      </c>
      <c r="AJ75" s="321">
        <f t="shared" si="53"/>
        <v>0</v>
      </c>
      <c r="AK75" s="342">
        <f t="shared" si="54"/>
        <v>0</v>
      </c>
      <c r="AM75" s="300">
        <v>0</v>
      </c>
      <c r="AN75" s="300">
        <f t="shared" si="55"/>
        <v>0</v>
      </c>
      <c r="AO75" s="300">
        <f t="shared" si="29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0</v>
      </c>
      <c r="D76" s="28">
        <f>+'Table 5C1A-Madison Prep'!D76</f>
        <v>4479.9292126977662</v>
      </c>
      <c r="E76" s="35">
        <f>SUM(E7:E75)</f>
        <v>0</v>
      </c>
      <c r="F76" s="35">
        <f>+'Table 5C1A-Madison Prep'!F76</f>
        <v>704.64781030742063</v>
      </c>
      <c r="G76" s="35">
        <f t="shared" ref="G76:T76" si="56">SUM(G7:G75)</f>
        <v>0</v>
      </c>
      <c r="H76" s="348">
        <f t="shared" si="56"/>
        <v>0</v>
      </c>
      <c r="I76" s="70">
        <f t="shared" si="56"/>
        <v>1264172.4455099087</v>
      </c>
      <c r="J76" s="70">
        <f t="shared" si="56"/>
        <v>-76014.757264158732</v>
      </c>
      <c r="K76" s="56">
        <f t="shared" si="56"/>
        <v>1188157.68824575</v>
      </c>
      <c r="L76" s="364">
        <f t="shared" si="56"/>
        <v>1188157.68824575</v>
      </c>
      <c r="M76" s="36">
        <f t="shared" si="56"/>
        <v>-2970.3942206143747</v>
      </c>
      <c r="N76" s="348">
        <f t="shared" si="56"/>
        <v>1185187.2940251355</v>
      </c>
      <c r="O76" s="28">
        <f t="shared" si="56"/>
        <v>0</v>
      </c>
      <c r="P76" s="354">
        <f t="shared" si="56"/>
        <v>1185187.2940251355</v>
      </c>
      <c r="Q76" s="70">
        <f t="shared" si="56"/>
        <v>772872</v>
      </c>
      <c r="R76" s="70">
        <f t="shared" si="56"/>
        <v>412315.29402513546</v>
      </c>
      <c r="S76" s="354">
        <f t="shared" si="56"/>
        <v>103078</v>
      </c>
      <c r="T76" s="354">
        <f t="shared" si="56"/>
        <v>1185187.2940251355</v>
      </c>
      <c r="U76" s="83">
        <f>'Table 5C1A-Madison Prep'!U76</f>
        <v>4703</v>
      </c>
      <c r="V76" s="330">
        <f t="shared" ref="V76:AK76" si="57">SUM(V7:V75)</f>
        <v>0</v>
      </c>
      <c r="W76" s="74">
        <f t="shared" si="57"/>
        <v>200</v>
      </c>
      <c r="X76" s="75">
        <f t="shared" si="57"/>
        <v>683863</v>
      </c>
      <c r="Y76" s="74">
        <f t="shared" si="57"/>
        <v>-24</v>
      </c>
      <c r="Z76" s="75">
        <f t="shared" si="57"/>
        <v>-40619.5</v>
      </c>
      <c r="AA76" s="63">
        <f t="shared" si="57"/>
        <v>643243.5</v>
      </c>
      <c r="AB76" s="332">
        <f t="shared" si="57"/>
        <v>643243.5</v>
      </c>
      <c r="AC76" s="37">
        <f t="shared" si="57"/>
        <v>-1608.1087500000001</v>
      </c>
      <c r="AD76" s="330">
        <f t="shared" si="57"/>
        <v>641635.39124999999</v>
      </c>
      <c r="AE76" s="85">
        <f t="shared" si="57"/>
        <v>0</v>
      </c>
      <c r="AF76" s="330">
        <f t="shared" si="57"/>
        <v>641635.39124999999</v>
      </c>
      <c r="AG76" s="75">
        <f t="shared" si="57"/>
        <v>616520</v>
      </c>
      <c r="AH76" s="75">
        <f t="shared" si="57"/>
        <v>25115.391249999986</v>
      </c>
      <c r="AI76" s="330">
        <f t="shared" si="57"/>
        <v>6279</v>
      </c>
      <c r="AJ76" s="339">
        <f t="shared" si="57"/>
        <v>1826822.6852751356</v>
      </c>
      <c r="AK76" s="339">
        <f t="shared" si="57"/>
        <v>109357</v>
      </c>
      <c r="AM76" s="36">
        <f>SUM(AM7:AM75)</f>
        <v>-2317.75</v>
      </c>
      <c r="AN76" s="36">
        <f>SUM(AN7:AN75)</f>
        <v>-1608.1087500000001</v>
      </c>
      <c r="AO76" s="36">
        <f>SUM(AO7:AO75)</f>
        <v>709.64125000000013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4'!$E113</f>
        <v>0</v>
      </c>
      <c r="Q77" s="222">
        <f>8*'[2]Table 5C1P-Vision'!S77</f>
        <v>0</v>
      </c>
      <c r="R77" s="222">
        <f t="shared" ref="R77" si="58">+P77-Q77</f>
        <v>0</v>
      </c>
      <c r="S77" s="295">
        <f t="shared" ref="S77:S81" si="59">ROUND(R77/$S$88,0)</f>
        <v>0</v>
      </c>
      <c r="T77" s="295">
        <f>'Table 4 Level 4'!$E113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60">T77+AF77</f>
        <v>0</v>
      </c>
      <c r="AK77" s="321">
        <f t="shared" ref="AK77:AK81" si="61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4'!$J113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60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4'!$L113</f>
        <v>10000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60"/>
        <v>10000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4'!$M113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60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4'!O113</f>
        <v>5200</v>
      </c>
      <c r="Q81" s="217">
        <f>8*'[2]Table 5C1P-Vision'!S81</f>
        <v>3464</v>
      </c>
      <c r="R81" s="217">
        <f t="shared" ref="R81" si="62">+P81-Q81</f>
        <v>1736</v>
      </c>
      <c r="S81" s="353">
        <f t="shared" si="59"/>
        <v>434</v>
      </c>
      <c r="T81" s="353">
        <f>P81</f>
        <v>5200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60"/>
        <v>5200</v>
      </c>
      <c r="AK81" s="322">
        <f t="shared" si="61"/>
        <v>434</v>
      </c>
    </row>
    <row r="82" spans="1:37" ht="16.149999999999999" customHeight="1" thickBot="1">
      <c r="A82" s="1442" t="s">
        <v>710</v>
      </c>
      <c r="B82" s="1415"/>
      <c r="C82" s="136">
        <f>SUM(C76:C81)</f>
        <v>0</v>
      </c>
      <c r="D82" s="128">
        <f t="shared" ref="D82:AK82" si="63">SUM(D76:D81)</f>
        <v>4479.9292126977662</v>
      </c>
      <c r="E82" s="128">
        <f t="shared" si="63"/>
        <v>0</v>
      </c>
      <c r="F82" s="128">
        <f t="shared" si="63"/>
        <v>704.64781030742063</v>
      </c>
      <c r="G82" s="128">
        <f t="shared" si="63"/>
        <v>0</v>
      </c>
      <c r="H82" s="128">
        <f t="shared" si="63"/>
        <v>0</v>
      </c>
      <c r="I82" s="133">
        <f t="shared" si="63"/>
        <v>1264172.4455099087</v>
      </c>
      <c r="J82" s="133">
        <f t="shared" si="63"/>
        <v>-76014.757264158732</v>
      </c>
      <c r="K82" s="133">
        <f t="shared" si="63"/>
        <v>1188157.68824575</v>
      </c>
      <c r="L82" s="128">
        <f t="shared" si="63"/>
        <v>1188157.68824575</v>
      </c>
      <c r="M82" s="133">
        <f t="shared" si="63"/>
        <v>-2970.3942206143747</v>
      </c>
      <c r="N82" s="128">
        <f t="shared" si="63"/>
        <v>1185187.2940251355</v>
      </c>
      <c r="O82" s="128">
        <f t="shared" si="63"/>
        <v>0</v>
      </c>
      <c r="P82" s="355">
        <f t="shared" si="63"/>
        <v>1190387.2940251355</v>
      </c>
      <c r="Q82" s="133">
        <f t="shared" si="63"/>
        <v>776336</v>
      </c>
      <c r="R82" s="133">
        <f t="shared" si="63"/>
        <v>414051.29402513546</v>
      </c>
      <c r="S82" s="355">
        <f t="shared" si="63"/>
        <v>103512</v>
      </c>
      <c r="T82" s="355">
        <f t="shared" si="63"/>
        <v>1200387.2940251355</v>
      </c>
      <c r="U82" s="137">
        <f t="shared" si="63"/>
        <v>4703</v>
      </c>
      <c r="V82" s="134">
        <f t="shared" si="63"/>
        <v>0</v>
      </c>
      <c r="W82" s="136">
        <f t="shared" si="63"/>
        <v>200</v>
      </c>
      <c r="X82" s="134">
        <f t="shared" si="63"/>
        <v>683863</v>
      </c>
      <c r="Y82" s="136">
        <f t="shared" si="63"/>
        <v>-24</v>
      </c>
      <c r="Z82" s="134">
        <f t="shared" si="63"/>
        <v>-40619.5</v>
      </c>
      <c r="AA82" s="134">
        <f t="shared" si="63"/>
        <v>643243.5</v>
      </c>
      <c r="AB82" s="134">
        <f t="shared" si="63"/>
        <v>643243.5</v>
      </c>
      <c r="AC82" s="134">
        <f t="shared" si="63"/>
        <v>-1608.1087500000001</v>
      </c>
      <c r="AD82" s="134">
        <f t="shared" si="63"/>
        <v>641635.39124999999</v>
      </c>
      <c r="AE82" s="134">
        <f t="shared" si="63"/>
        <v>0</v>
      </c>
      <c r="AF82" s="134">
        <f t="shared" si="63"/>
        <v>641635.39124999999</v>
      </c>
      <c r="AG82" s="134">
        <f t="shared" si="63"/>
        <v>616520</v>
      </c>
      <c r="AH82" s="134">
        <f t="shared" si="63"/>
        <v>25115.391249999986</v>
      </c>
      <c r="AI82" s="134">
        <f t="shared" si="63"/>
        <v>6279</v>
      </c>
      <c r="AJ82" s="320">
        <f t="shared" si="63"/>
        <v>1842022.6852751356</v>
      </c>
      <c r="AK82" s="320">
        <f t="shared" si="63"/>
        <v>109791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-2905.5624827918418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-64.831737822532887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3">
    <mergeCell ref="A1:B4"/>
    <mergeCell ref="O3:O4"/>
    <mergeCell ref="P3:P4"/>
    <mergeCell ref="S3:S4"/>
    <mergeCell ref="AE3:AE4"/>
    <mergeCell ref="W3:W4"/>
    <mergeCell ref="X3:X4"/>
    <mergeCell ref="Y3:Y4"/>
    <mergeCell ref="Z3:Z4"/>
    <mergeCell ref="AB3:AB4"/>
    <mergeCell ref="AD3:AD4"/>
    <mergeCell ref="T3:T4"/>
    <mergeCell ref="C1:L1"/>
    <mergeCell ref="U1:AB1"/>
    <mergeCell ref="AJ1:AJ4"/>
    <mergeCell ref="AG3:AG4"/>
    <mergeCell ref="AH3:AH4"/>
    <mergeCell ref="AI3:AI4"/>
    <mergeCell ref="AF3:AF4"/>
    <mergeCell ref="AC1:AI1"/>
    <mergeCell ref="AK1:AK4"/>
    <mergeCell ref="I2:K2"/>
    <mergeCell ref="W2:AA2"/>
    <mergeCell ref="C3:C4"/>
    <mergeCell ref="D3:D4"/>
    <mergeCell ref="E3:E4"/>
    <mergeCell ref="U3:U4"/>
    <mergeCell ref="F3:F4"/>
    <mergeCell ref="G3:G4"/>
    <mergeCell ref="H3:H4"/>
    <mergeCell ref="I3:I4"/>
    <mergeCell ref="J3:J4"/>
    <mergeCell ref="K3:K4"/>
    <mergeCell ref="L3:L4"/>
    <mergeCell ref="N3:N4"/>
    <mergeCell ref="M1:T1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5C1-P: FY2014-15 MFP Budget Letter (March 2015)
Vision Academy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J74"/>
  <sheetViews>
    <sheetView view="pageBreakPreview" zoomScale="90" zoomScaleNormal="70" zoomScaleSheetLayoutView="90" workbookViewId="0">
      <pane xSplit="2" ySplit="2" topLeftCell="C52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3.42578125" style="427" bestFit="1" customWidth="1"/>
    <col min="2" max="2" width="17.5703125" style="427" bestFit="1" customWidth="1"/>
    <col min="3" max="3" width="12.7109375" style="427" bestFit="1" customWidth="1"/>
    <col min="4" max="33" width="14.5703125" style="427" customWidth="1"/>
    <col min="34" max="61" width="14.7109375" style="427" customWidth="1"/>
    <col min="62" max="62" width="13.85546875" style="427" bestFit="1" customWidth="1"/>
    <col min="63" max="16384" width="8.85546875" style="427"/>
  </cols>
  <sheetData>
    <row r="1" spans="1:62" ht="147.6" customHeight="1">
      <c r="A1" s="407" t="s">
        <v>252</v>
      </c>
      <c r="B1" s="407" t="s">
        <v>162</v>
      </c>
      <c r="C1" s="639" t="s">
        <v>550</v>
      </c>
      <c r="D1" s="640" t="s">
        <v>817</v>
      </c>
      <c r="E1" s="641" t="s">
        <v>818</v>
      </c>
      <c r="F1" s="641" t="s">
        <v>819</v>
      </c>
      <c r="G1" s="639" t="s">
        <v>820</v>
      </c>
      <c r="H1" s="639" t="s">
        <v>821</v>
      </c>
      <c r="I1" s="639" t="s">
        <v>822</v>
      </c>
      <c r="J1" s="639" t="s">
        <v>823</v>
      </c>
      <c r="K1" s="639" t="s">
        <v>824</v>
      </c>
      <c r="L1" s="639" t="s">
        <v>825</v>
      </c>
      <c r="M1" s="639" t="s">
        <v>826</v>
      </c>
      <c r="N1" s="639" t="s">
        <v>827</v>
      </c>
      <c r="O1" s="639" t="s">
        <v>828</v>
      </c>
      <c r="P1" s="639" t="s">
        <v>829</v>
      </c>
      <c r="Q1" s="639" t="s">
        <v>830</v>
      </c>
      <c r="R1" s="639" t="s">
        <v>831</v>
      </c>
      <c r="S1" s="639" t="s">
        <v>832</v>
      </c>
      <c r="T1" s="639" t="s">
        <v>833</v>
      </c>
      <c r="U1" s="639" t="s">
        <v>834</v>
      </c>
      <c r="V1" s="639" t="s">
        <v>835</v>
      </c>
      <c r="W1" s="639" t="s">
        <v>836</v>
      </c>
      <c r="X1" s="639" t="s">
        <v>837</v>
      </c>
      <c r="Y1" s="639" t="s">
        <v>838</v>
      </c>
      <c r="Z1" s="639" t="s">
        <v>839</v>
      </c>
      <c r="AA1" s="639" t="s">
        <v>840</v>
      </c>
      <c r="AB1" s="639" t="s">
        <v>841</v>
      </c>
      <c r="AC1" s="639" t="s">
        <v>842</v>
      </c>
      <c r="AD1" s="639" t="s">
        <v>843</v>
      </c>
      <c r="AE1" s="639" t="s">
        <v>844</v>
      </c>
      <c r="AF1" s="642" t="s">
        <v>882</v>
      </c>
      <c r="AG1" s="643" t="s">
        <v>845</v>
      </c>
      <c r="AH1" s="644" t="s">
        <v>1003</v>
      </c>
      <c r="AI1" s="644" t="s">
        <v>1004</v>
      </c>
      <c r="AJ1" s="644" t="s">
        <v>1005</v>
      </c>
      <c r="AK1" s="644" t="s">
        <v>1006</v>
      </c>
      <c r="AL1" s="644" t="s">
        <v>1007</v>
      </c>
      <c r="AM1" s="644" t="s">
        <v>1008</v>
      </c>
      <c r="AN1" s="644" t="s">
        <v>1009</v>
      </c>
      <c r="AO1" s="644" t="s">
        <v>1010</v>
      </c>
      <c r="AP1" s="644" t="s">
        <v>1011</v>
      </c>
      <c r="AQ1" s="644" t="s">
        <v>1012</v>
      </c>
      <c r="AR1" s="644" t="s">
        <v>1013</v>
      </c>
      <c r="AS1" s="644" t="s">
        <v>1014</v>
      </c>
      <c r="AT1" s="644" t="s">
        <v>1015</v>
      </c>
      <c r="AU1" s="644" t="s">
        <v>1016</v>
      </c>
      <c r="AV1" s="644" t="s">
        <v>1017</v>
      </c>
      <c r="AW1" s="644" t="s">
        <v>1018</v>
      </c>
      <c r="AX1" s="644" t="s">
        <v>1019</v>
      </c>
      <c r="AY1" s="644" t="s">
        <v>1020</v>
      </c>
      <c r="AZ1" s="644" t="s">
        <v>1021</v>
      </c>
      <c r="BA1" s="644" t="s">
        <v>1022</v>
      </c>
      <c r="BB1" s="644" t="s">
        <v>1023</v>
      </c>
      <c r="BC1" s="644" t="s">
        <v>1024</v>
      </c>
      <c r="BD1" s="644" t="s">
        <v>1025</v>
      </c>
      <c r="BE1" s="644" t="s">
        <v>1026</v>
      </c>
      <c r="BF1" s="644" t="s">
        <v>1027</v>
      </c>
      <c r="BG1" s="644" t="s">
        <v>1028</v>
      </c>
      <c r="BH1" s="644" t="s">
        <v>1029</v>
      </c>
      <c r="BI1" s="644" t="s">
        <v>1030</v>
      </c>
      <c r="BJ1" s="645" t="s">
        <v>1002</v>
      </c>
    </row>
    <row r="2" spans="1:62" s="637" customFormat="1">
      <c r="A2" s="245"/>
      <c r="B2" s="246"/>
      <c r="C2" s="247">
        <v>1</v>
      </c>
      <c r="D2" s="247">
        <f>+C2+1</f>
        <v>2</v>
      </c>
      <c r="E2" s="247">
        <f>+D2+1</f>
        <v>3</v>
      </c>
      <c r="F2" s="247">
        <f t="shared" ref="F2" si="0">+E2+1</f>
        <v>4</v>
      </c>
      <c r="G2" s="247">
        <f t="shared" ref="G2:I2" si="1">F2+1</f>
        <v>5</v>
      </c>
      <c r="H2" s="247">
        <f t="shared" si="1"/>
        <v>6</v>
      </c>
      <c r="I2" s="247">
        <f t="shared" si="1"/>
        <v>7</v>
      </c>
      <c r="J2" s="247">
        <f t="shared" ref="J2:K2" si="2">I2+1</f>
        <v>8</v>
      </c>
      <c r="K2" s="247">
        <f t="shared" si="2"/>
        <v>9</v>
      </c>
      <c r="L2" s="247">
        <f t="shared" ref="L2" si="3">K2+1</f>
        <v>10</v>
      </c>
      <c r="M2" s="247">
        <f t="shared" ref="M2" si="4">L2+1</f>
        <v>11</v>
      </c>
      <c r="N2" s="247">
        <f t="shared" ref="N2" si="5">M2+1</f>
        <v>12</v>
      </c>
      <c r="O2" s="247">
        <f t="shared" ref="O2" si="6">N2+1</f>
        <v>13</v>
      </c>
      <c r="P2" s="247">
        <f t="shared" ref="P2" si="7">O2+1</f>
        <v>14</v>
      </c>
      <c r="Q2" s="247">
        <f t="shared" ref="Q2" si="8">P2+1</f>
        <v>15</v>
      </c>
      <c r="R2" s="247">
        <f t="shared" ref="R2" si="9">Q2+1</f>
        <v>16</v>
      </c>
      <c r="S2" s="247">
        <f t="shared" ref="S2" si="10">R2+1</f>
        <v>17</v>
      </c>
      <c r="T2" s="247">
        <f t="shared" ref="T2" si="11">S2+1</f>
        <v>18</v>
      </c>
      <c r="U2" s="247">
        <f t="shared" ref="U2" si="12">T2+1</f>
        <v>19</v>
      </c>
      <c r="V2" s="247">
        <f t="shared" ref="V2" si="13">U2+1</f>
        <v>20</v>
      </c>
      <c r="W2" s="247">
        <f t="shared" ref="W2" si="14">V2+1</f>
        <v>21</v>
      </c>
      <c r="X2" s="247">
        <f t="shared" ref="X2" si="15">W2+1</f>
        <v>22</v>
      </c>
      <c r="Y2" s="247">
        <f t="shared" ref="Y2" si="16">X2+1</f>
        <v>23</v>
      </c>
      <c r="Z2" s="247">
        <f t="shared" ref="Z2" si="17">Y2+1</f>
        <v>24</v>
      </c>
      <c r="AA2" s="247">
        <f t="shared" ref="AA2" si="18">Z2+1</f>
        <v>25</v>
      </c>
      <c r="AB2" s="247">
        <f t="shared" ref="AB2" si="19">AA2+1</f>
        <v>26</v>
      </c>
      <c r="AC2" s="247">
        <f t="shared" ref="AC2" si="20">AB2+1</f>
        <v>27</v>
      </c>
      <c r="AD2" s="247">
        <f t="shared" ref="AD2" si="21">AC2+1</f>
        <v>28</v>
      </c>
      <c r="AE2" s="247">
        <f t="shared" ref="AE2:AF2" si="22">AD2+1</f>
        <v>29</v>
      </c>
      <c r="AF2" s="247">
        <f t="shared" si="22"/>
        <v>30</v>
      </c>
      <c r="AG2" s="247">
        <f t="shared" ref="AG2" si="23">AF2+1</f>
        <v>31</v>
      </c>
      <c r="AH2" s="247">
        <f t="shared" ref="AH2" si="24">AG2+1</f>
        <v>32</v>
      </c>
      <c r="AI2" s="247">
        <f t="shared" ref="AI2" si="25">AH2+1</f>
        <v>33</v>
      </c>
      <c r="AJ2" s="247">
        <f t="shared" ref="AJ2" si="26">AI2+1</f>
        <v>34</v>
      </c>
      <c r="AK2" s="247">
        <f t="shared" ref="AK2" si="27">AJ2+1</f>
        <v>35</v>
      </c>
      <c r="AL2" s="247">
        <f t="shared" ref="AL2" si="28">AK2+1</f>
        <v>36</v>
      </c>
      <c r="AM2" s="247">
        <f t="shared" ref="AM2" si="29">AL2+1</f>
        <v>37</v>
      </c>
      <c r="AN2" s="247">
        <f t="shared" ref="AN2" si="30">AM2+1</f>
        <v>38</v>
      </c>
      <c r="AO2" s="247">
        <f t="shared" ref="AO2" si="31">AN2+1</f>
        <v>39</v>
      </c>
      <c r="AP2" s="247">
        <f t="shared" ref="AP2" si="32">AO2+1</f>
        <v>40</v>
      </c>
      <c r="AQ2" s="247">
        <f t="shared" ref="AQ2" si="33">AP2+1</f>
        <v>41</v>
      </c>
      <c r="AR2" s="247">
        <f t="shared" ref="AR2" si="34">AQ2+1</f>
        <v>42</v>
      </c>
      <c r="AS2" s="247">
        <f t="shared" ref="AS2" si="35">AR2+1</f>
        <v>43</v>
      </c>
      <c r="AT2" s="247">
        <f t="shared" ref="AT2" si="36">AS2+1</f>
        <v>44</v>
      </c>
      <c r="AU2" s="247">
        <f t="shared" ref="AU2" si="37">AT2+1</f>
        <v>45</v>
      </c>
      <c r="AV2" s="247">
        <f t="shared" ref="AV2" si="38">AU2+1</f>
        <v>46</v>
      </c>
      <c r="AW2" s="247">
        <f t="shared" ref="AW2" si="39">AV2+1</f>
        <v>47</v>
      </c>
      <c r="AX2" s="247">
        <f t="shared" ref="AX2" si="40">AW2+1</f>
        <v>48</v>
      </c>
      <c r="AY2" s="247">
        <f t="shared" ref="AY2" si="41">AX2+1</f>
        <v>49</v>
      </c>
      <c r="AZ2" s="247">
        <f t="shared" ref="AZ2" si="42">AY2+1</f>
        <v>50</v>
      </c>
      <c r="BA2" s="247">
        <f t="shared" ref="BA2" si="43">AZ2+1</f>
        <v>51</v>
      </c>
      <c r="BB2" s="247">
        <f t="shared" ref="BB2" si="44">BA2+1</f>
        <v>52</v>
      </c>
      <c r="BC2" s="247">
        <f t="shared" ref="BC2" si="45">BB2+1</f>
        <v>53</v>
      </c>
      <c r="BD2" s="247">
        <f t="shared" ref="BD2" si="46">BC2+1</f>
        <v>54</v>
      </c>
      <c r="BE2" s="247">
        <f t="shared" ref="BE2" si="47">BD2+1</f>
        <v>55</v>
      </c>
      <c r="BF2" s="247">
        <f t="shared" ref="BF2" si="48">BE2+1</f>
        <v>56</v>
      </c>
      <c r="BG2" s="247">
        <f t="shared" ref="BG2" si="49">BF2+1</f>
        <v>57</v>
      </c>
      <c r="BH2" s="247">
        <f t="shared" ref="BH2" si="50">BG2+1</f>
        <v>58</v>
      </c>
      <c r="BI2" s="247">
        <f t="shared" ref="BI2" si="51">BH2+1</f>
        <v>59</v>
      </c>
      <c r="BJ2" s="247">
        <f t="shared" ref="BJ2" si="52">BI2+1</f>
        <v>60</v>
      </c>
    </row>
    <row r="3" spans="1:62" s="637" customFormat="1" hidden="1">
      <c r="A3" s="57"/>
      <c r="B3" s="58"/>
      <c r="C3" s="59" t="s">
        <v>638</v>
      </c>
      <c r="D3" s="59" t="s">
        <v>639</v>
      </c>
      <c r="E3" s="59" t="s">
        <v>455</v>
      </c>
      <c r="F3" s="59"/>
      <c r="G3" s="59" t="s">
        <v>445</v>
      </c>
      <c r="H3" s="59" t="s">
        <v>445</v>
      </c>
      <c r="I3" s="59" t="s">
        <v>445</v>
      </c>
      <c r="J3" s="59" t="s">
        <v>445</v>
      </c>
      <c r="K3" s="59" t="s">
        <v>454</v>
      </c>
      <c r="L3" s="59" t="s">
        <v>445</v>
      </c>
      <c r="M3" s="59" t="s">
        <v>445</v>
      </c>
      <c r="N3" s="59" t="s">
        <v>445</v>
      </c>
      <c r="O3" s="59" t="s">
        <v>445</v>
      </c>
      <c r="P3" s="59" t="s">
        <v>445</v>
      </c>
      <c r="Q3" s="59" t="s">
        <v>445</v>
      </c>
      <c r="R3" s="59" t="s">
        <v>445</v>
      </c>
      <c r="S3" s="59" t="s">
        <v>445</v>
      </c>
      <c r="T3" s="59" t="s">
        <v>445</v>
      </c>
      <c r="U3" s="59" t="s">
        <v>445</v>
      </c>
      <c r="V3" s="59" t="s">
        <v>445</v>
      </c>
      <c r="W3" s="59" t="s">
        <v>445</v>
      </c>
      <c r="X3" s="59" t="s">
        <v>445</v>
      </c>
      <c r="Y3" s="59" t="s">
        <v>445</v>
      </c>
      <c r="Z3" s="59" t="s">
        <v>445</v>
      </c>
      <c r="AA3" s="59" t="s">
        <v>445</v>
      </c>
      <c r="AB3" s="59" t="s">
        <v>445</v>
      </c>
      <c r="AC3" s="59" t="s">
        <v>445</v>
      </c>
      <c r="AD3" s="59" t="s">
        <v>454</v>
      </c>
      <c r="AE3" s="59" t="s">
        <v>454</v>
      </c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</row>
    <row r="4" spans="1:62" ht="14.45" customHeight="1">
      <c r="A4" s="224">
        <v>1</v>
      </c>
      <c r="B4" s="225" t="s">
        <v>73</v>
      </c>
      <c r="C4" s="226">
        <f>'Table 2_State Distrib and Adjs'!AL7</f>
        <v>4511575</v>
      </c>
      <c r="D4" s="227">
        <f>-'Table 5A3_OJJ'!W6</f>
        <v>-148</v>
      </c>
      <c r="E4" s="227"/>
      <c r="F4" s="227"/>
      <c r="G4" s="227">
        <f>-'Table 5C1A-Madison Prep'!AI7</f>
        <v>0</v>
      </c>
      <c r="H4" s="227">
        <f>-'Table 5C1B-DArbonne'!AI7</f>
        <v>0</v>
      </c>
      <c r="I4" s="227">
        <f>-'Table 5C1C-Intl_VIBE'!AI7</f>
        <v>0</v>
      </c>
      <c r="J4" s="227">
        <f>-'Table 5C1D-NOMMA'!AI7</f>
        <v>0</v>
      </c>
      <c r="K4" s="227">
        <f>-'Table 5C1E-LFNO'!AI7</f>
        <v>0</v>
      </c>
      <c r="L4" s="227">
        <f>-'Table 5C1F-Lake Charles Charter'!AI7</f>
        <v>0</v>
      </c>
      <c r="M4" s="227">
        <f>-'Table 5C1G-JS Clark Academy'!AI7</f>
        <v>0</v>
      </c>
      <c r="N4" s="227">
        <f>-'Table 5C1H-Southwest LA Charter'!AI7</f>
        <v>0</v>
      </c>
      <c r="O4" s="227">
        <f>-'Table 5C1I-LA Key Academy'!AI7</f>
        <v>0</v>
      </c>
      <c r="P4" s="227">
        <f>-'Table 5C1J-Jefferson Chamber'!AI7</f>
        <v>0</v>
      </c>
      <c r="Q4" s="227">
        <f>-'Table 5C1K-Tallulah Charter'!AI7</f>
        <v>0</v>
      </c>
      <c r="R4" s="227">
        <f>-'Table 5C1L-Northshore Charter'!AI7</f>
        <v>0</v>
      </c>
      <c r="S4" s="227">
        <f>-'Table 5C1M-B.R. Charter'!AI7</f>
        <v>0</v>
      </c>
      <c r="T4" s="227">
        <f>-'Table 5C1N-Delta Charter'!AI7</f>
        <v>0</v>
      </c>
      <c r="U4" s="227">
        <f>-'Table 5C1O-Impact'!AI7</f>
        <v>0</v>
      </c>
      <c r="V4" s="227">
        <f>-'Table 5C1P-Vision'!AI7</f>
        <v>0</v>
      </c>
      <c r="W4" s="227">
        <f>-'Table 5C1Q-Advantage'!AI7</f>
        <v>0</v>
      </c>
      <c r="X4" s="227">
        <f>-'Table 5C1R-Iberville'!AI7</f>
        <v>0</v>
      </c>
      <c r="Y4" s="227">
        <f>-'Table 5C1S-L.C. Coll Prep'!AI7</f>
        <v>0</v>
      </c>
      <c r="Z4" s="227">
        <f>-'Table 5C1T-Northeast'!AI7</f>
        <v>0</v>
      </c>
      <c r="AA4" s="227">
        <f>-'Table 5C1U-Acadiana Ren'!AI7</f>
        <v>1366</v>
      </c>
      <c r="AB4" s="227">
        <f>-'Table 5C1V-Laf Ren'!AI7</f>
        <v>-623</v>
      </c>
      <c r="AC4" s="227">
        <f>-'Table 5C1W-Willow'!AI7</f>
        <v>-4836</v>
      </c>
      <c r="AD4" s="227">
        <f>-'Table 5C2 - LA Virtual Admy'!AJ7</f>
        <v>-9833</v>
      </c>
      <c r="AE4" s="227">
        <f>-'Table 5C3 - LA Connections EBR'!AJ7</f>
        <v>-4306</v>
      </c>
      <c r="AF4" s="227">
        <f t="shared" ref="AF4:AF35" si="53">SUM(D4:AE4)</f>
        <v>-18380</v>
      </c>
      <c r="AG4" s="248">
        <f t="shared" ref="AG4:AG35" si="54">C4+AF4</f>
        <v>4493195</v>
      </c>
      <c r="AH4" s="227"/>
      <c r="AI4" s="227"/>
      <c r="AJ4" s="227"/>
      <c r="AK4" s="227">
        <f>'Table 5C1A-Madison Prep'!AO7</f>
        <v>0</v>
      </c>
      <c r="AL4" s="227">
        <f>'Table 5C1B-DArbonne'!AO7</f>
        <v>0</v>
      </c>
      <c r="AM4" s="227">
        <f>'Table 5C1C-Intl_VIBE'!AO7</f>
        <v>0</v>
      </c>
      <c r="AN4" s="227">
        <f>'Table 5C1D-NOMMA'!AO7</f>
        <v>0</v>
      </c>
      <c r="AO4" s="227">
        <f>'Table 5C1E-LFNO'!AO7</f>
        <v>0</v>
      </c>
      <c r="AP4" s="227">
        <f>'Table 5C1F-Lake Charles Charter'!AO7</f>
        <v>0</v>
      </c>
      <c r="AQ4" s="227">
        <f>'Table 5C1G-JS Clark Academy'!AO7</f>
        <v>0</v>
      </c>
      <c r="AR4" s="227">
        <f>'Table 5C1H-Southwest LA Charter'!AO7</f>
        <v>0</v>
      </c>
      <c r="AS4" s="227">
        <f>'Table 5C1I-LA Key Academy'!AO7</f>
        <v>0</v>
      </c>
      <c r="AT4" s="227">
        <f>'Table 5C1J-Jefferson Chamber'!AO7</f>
        <v>0</v>
      </c>
      <c r="AU4" s="227">
        <f>'Table 5C1K-Tallulah Charter'!AO7</f>
        <v>0</v>
      </c>
      <c r="AV4" s="227">
        <f>'Table 5C1L-Northshore Charter'!AO7</f>
        <v>0</v>
      </c>
      <c r="AW4" s="227">
        <f>'Table 5C1M-B.R. Charter'!AO7</f>
        <v>0</v>
      </c>
      <c r="AX4" s="227">
        <f>'Table 5C1N-Delta Charter'!AO7</f>
        <v>0</v>
      </c>
      <c r="AY4" s="227">
        <f>'Table 5C1O-Impact'!AO7</f>
        <v>0</v>
      </c>
      <c r="AZ4" s="227">
        <f>+'Table 5C1P-Vision'!AO7</f>
        <v>0</v>
      </c>
      <c r="BA4" s="227">
        <f>+'Table 5C1Q-Advantage'!AO7</f>
        <v>0</v>
      </c>
      <c r="BB4" s="227">
        <f>+'Table 5C1R-Iberville'!AO7</f>
        <v>0</v>
      </c>
      <c r="BC4" s="227">
        <f>+'Table 5C1S-L.C. Coll Prep'!AO7</f>
        <v>0</v>
      </c>
      <c r="BD4" s="227">
        <f>+'Table 5C1T-Northeast'!AO7</f>
        <v>0</v>
      </c>
      <c r="BE4" s="227">
        <f>+'Table 5C1U-Acadiana Ren'!AO7</f>
        <v>72.27</v>
      </c>
      <c r="BF4" s="227">
        <f>+'Table 5C1V-Laf Ren'!AO7</f>
        <v>35.909999999999997</v>
      </c>
      <c r="BG4" s="227">
        <f>+'Table 5C1W-Willow'!AO7</f>
        <v>-48.480000000000004</v>
      </c>
      <c r="BH4" s="227">
        <f>'Table 5C2 - LA Virtual Admy'!AP7</f>
        <v>-66.055499999999981</v>
      </c>
      <c r="BI4" s="227">
        <f>'Table 5C3 - LA Connections EBR'!AP7</f>
        <v>-79.555499999999995</v>
      </c>
      <c r="BJ4" s="248">
        <f t="shared" ref="BJ4:BJ35" si="55">SUM(AG4:BI4)</f>
        <v>4493109.0889999997</v>
      </c>
    </row>
    <row r="5" spans="1:62" ht="14.45" customHeight="1">
      <c r="A5" s="224">
        <v>2</v>
      </c>
      <c r="B5" s="225" t="s">
        <v>74</v>
      </c>
      <c r="C5" s="226">
        <f>'Table 2_State Distrib and Adjs'!AL8</f>
        <v>2451460</v>
      </c>
      <c r="D5" s="227">
        <f>-'Table 5A3_OJJ'!W7</f>
        <v>0</v>
      </c>
      <c r="E5" s="227"/>
      <c r="F5" s="227"/>
      <c r="G5" s="227">
        <f>-'Table 5C1A-Madison Prep'!AI8</f>
        <v>0</v>
      </c>
      <c r="H5" s="227">
        <f>-'Table 5C1B-DArbonne'!AI8</f>
        <v>0</v>
      </c>
      <c r="I5" s="227">
        <f>-'Table 5C1C-Intl_VIBE'!AI8</f>
        <v>0</v>
      </c>
      <c r="J5" s="227">
        <f>-'Table 5C1D-NOMMA'!AI8</f>
        <v>0</v>
      </c>
      <c r="K5" s="227">
        <f>-'Table 5C1E-LFNO'!AI8</f>
        <v>0</v>
      </c>
      <c r="L5" s="227">
        <f>-'Table 5C1F-Lake Charles Charter'!AI8</f>
        <v>0</v>
      </c>
      <c r="M5" s="227">
        <f>-'Table 5C1G-JS Clark Academy'!AI8</f>
        <v>0</v>
      </c>
      <c r="N5" s="227">
        <f>-'Table 5C1H-Southwest LA Charter'!AI8</f>
        <v>0</v>
      </c>
      <c r="O5" s="227">
        <f>-'Table 5C1I-LA Key Academy'!AI8</f>
        <v>0</v>
      </c>
      <c r="P5" s="227">
        <f>-'Table 5C1J-Jefferson Chamber'!AI8</f>
        <v>0</v>
      </c>
      <c r="Q5" s="227">
        <f>-'Table 5C1K-Tallulah Charter'!AI8</f>
        <v>0</v>
      </c>
      <c r="R5" s="227">
        <f>-'Table 5C1L-Northshore Charter'!AI8</f>
        <v>0</v>
      </c>
      <c r="S5" s="227">
        <f>-'Table 5C1M-B.R. Charter'!AI8</f>
        <v>0</v>
      </c>
      <c r="T5" s="227">
        <f>-'Table 5C1N-Delta Charter'!AI8</f>
        <v>0</v>
      </c>
      <c r="U5" s="227">
        <f>-'Table 5C1O-Impact'!AI8</f>
        <v>0</v>
      </c>
      <c r="V5" s="227">
        <f>-'Table 5C1P-Vision'!AI8</f>
        <v>0</v>
      </c>
      <c r="W5" s="227">
        <f>-'Table 5C1Q-Advantage'!AI8</f>
        <v>0</v>
      </c>
      <c r="X5" s="227">
        <f>-'Table 5C1R-Iberville'!AI8</f>
        <v>0</v>
      </c>
      <c r="Y5" s="227">
        <f>-'Table 5C1S-L.C. Coll Prep'!AI8</f>
        <v>0</v>
      </c>
      <c r="Z5" s="227">
        <f>-'Table 5C1T-Northeast'!AI8</f>
        <v>0</v>
      </c>
      <c r="AA5" s="227">
        <f>-'Table 5C1U-Acadiana Ren'!AI8</f>
        <v>0</v>
      </c>
      <c r="AB5" s="227">
        <f>-'Table 5C1V-Laf Ren'!AI8</f>
        <v>0</v>
      </c>
      <c r="AC5" s="227">
        <f>-'Table 5C1W-Willow'!AI8</f>
        <v>0</v>
      </c>
      <c r="AD5" s="227">
        <f>-'Table 5C2 - LA Virtual Admy'!AJ8</f>
        <v>-6931</v>
      </c>
      <c r="AE5" s="227">
        <f>-'Table 5C3 - LA Connections EBR'!AJ8</f>
        <v>-630</v>
      </c>
      <c r="AF5" s="227">
        <f t="shared" si="53"/>
        <v>-7561</v>
      </c>
      <c r="AG5" s="248">
        <f t="shared" si="54"/>
        <v>2443899</v>
      </c>
      <c r="AH5" s="227"/>
      <c r="AI5" s="227"/>
      <c r="AJ5" s="227"/>
      <c r="AK5" s="227">
        <f>'Table 5C1A-Madison Prep'!AO8</f>
        <v>0</v>
      </c>
      <c r="AL5" s="227">
        <f>'Table 5C1B-DArbonne'!AO8</f>
        <v>0</v>
      </c>
      <c r="AM5" s="227">
        <f>'Table 5C1C-Intl_VIBE'!AO8</f>
        <v>0</v>
      </c>
      <c r="AN5" s="227">
        <f>'Table 5C1D-NOMMA'!AO8</f>
        <v>0</v>
      </c>
      <c r="AO5" s="227">
        <f>'Table 5C1E-LFNO'!AO8</f>
        <v>0</v>
      </c>
      <c r="AP5" s="227">
        <f>'Table 5C1F-Lake Charles Charter'!AO8</f>
        <v>0</v>
      </c>
      <c r="AQ5" s="227">
        <f>'Table 5C1G-JS Clark Academy'!AO8</f>
        <v>0</v>
      </c>
      <c r="AR5" s="227">
        <f>'Table 5C1H-Southwest LA Charter'!AO8</f>
        <v>0</v>
      </c>
      <c r="AS5" s="227">
        <f>'Table 5C1I-LA Key Academy'!AO8</f>
        <v>0</v>
      </c>
      <c r="AT5" s="227">
        <f>'Table 5C1J-Jefferson Chamber'!AO8</f>
        <v>0</v>
      </c>
      <c r="AU5" s="227">
        <f>'Table 5C1K-Tallulah Charter'!AO8</f>
        <v>0</v>
      </c>
      <c r="AV5" s="227">
        <f>'Table 5C1L-Northshore Charter'!AO8</f>
        <v>0</v>
      </c>
      <c r="AW5" s="227">
        <f>'Table 5C1M-B.R. Charter'!AO8</f>
        <v>0</v>
      </c>
      <c r="AX5" s="227">
        <f>'Table 5C1N-Delta Charter'!AO8</f>
        <v>0</v>
      </c>
      <c r="AY5" s="227">
        <f>'Table 5C1O-Impact'!AO8</f>
        <v>0</v>
      </c>
      <c r="AZ5" s="227">
        <f>+'Table 5C1P-Vision'!AO8</f>
        <v>0</v>
      </c>
      <c r="BA5" s="227">
        <f>+'Table 5C1Q-Advantage'!AO8</f>
        <v>0</v>
      </c>
      <c r="BB5" s="227">
        <f>+'Table 5C1R-Iberville'!AO8</f>
        <v>0</v>
      </c>
      <c r="BC5" s="227">
        <f>+'Table 5C1S-L.C. Coll Prep'!AO8</f>
        <v>0</v>
      </c>
      <c r="BD5" s="227">
        <f>+'Table 5C1T-Northeast'!AO8</f>
        <v>0</v>
      </c>
      <c r="BE5" s="227">
        <f>+'Table 5C1U-Acadiana Ren'!AO8</f>
        <v>0</v>
      </c>
      <c r="BF5" s="227">
        <f>+'Table 5C1V-Laf Ren'!AO8</f>
        <v>0</v>
      </c>
      <c r="BG5" s="227">
        <f>+'Table 5C1W-Willow'!AO8</f>
        <v>0</v>
      </c>
      <c r="BH5" s="227">
        <f>'Table 5C2 - LA Virtual Admy'!AP8</f>
        <v>-52.508250000000018</v>
      </c>
      <c r="BI5" s="227">
        <f>'Table 5C3 - LA Connections EBR'!AP8</f>
        <v>0.87074999999998681</v>
      </c>
      <c r="BJ5" s="248">
        <f t="shared" si="55"/>
        <v>2443847.3624999998</v>
      </c>
    </row>
    <row r="6" spans="1:62" ht="14.45" customHeight="1">
      <c r="A6" s="224">
        <v>3</v>
      </c>
      <c r="B6" s="225" t="s">
        <v>75</v>
      </c>
      <c r="C6" s="226">
        <f>'Table 2_State Distrib and Adjs'!AL9</f>
        <v>8706832</v>
      </c>
      <c r="D6" s="227">
        <f>-'Table 5A3_OJJ'!W8</f>
        <v>-302</v>
      </c>
      <c r="E6" s="227"/>
      <c r="F6" s="227"/>
      <c r="G6" s="227">
        <f>-'Table 5C1A-Madison Prep'!AI9</f>
        <v>0</v>
      </c>
      <c r="H6" s="227">
        <f>-'Table 5C1B-DArbonne'!AI9</f>
        <v>0</v>
      </c>
      <c r="I6" s="227">
        <f>-'Table 5C1C-Intl_VIBE'!AI9</f>
        <v>0</v>
      </c>
      <c r="J6" s="227">
        <f>-'Table 5C1D-NOMMA'!AI9</f>
        <v>0</v>
      </c>
      <c r="K6" s="227">
        <f>-'Table 5C1E-LFNO'!AI9</f>
        <v>0</v>
      </c>
      <c r="L6" s="227">
        <f>-'Table 5C1F-Lake Charles Charter'!AI9</f>
        <v>0</v>
      </c>
      <c r="M6" s="227">
        <f>-'Table 5C1G-JS Clark Academy'!AI9</f>
        <v>0</v>
      </c>
      <c r="N6" s="227">
        <f>-'Table 5C1H-Southwest LA Charter'!AI9</f>
        <v>0</v>
      </c>
      <c r="O6" s="227">
        <f>-'Table 5C1I-LA Key Academy'!AI9</f>
        <v>-6610</v>
      </c>
      <c r="P6" s="227">
        <f>-'Table 5C1J-Jefferson Chamber'!AI9</f>
        <v>0</v>
      </c>
      <c r="Q6" s="227">
        <f>-'Table 5C1K-Tallulah Charter'!AI9</f>
        <v>0</v>
      </c>
      <c r="R6" s="227">
        <f>-'Table 5C1L-Northshore Charter'!AI9</f>
        <v>0</v>
      </c>
      <c r="S6" s="227">
        <f>-'Table 5C1M-B.R. Charter'!AI9</f>
        <v>-1435</v>
      </c>
      <c r="T6" s="227">
        <f>-'Table 5C1N-Delta Charter'!AI9</f>
        <v>0</v>
      </c>
      <c r="U6" s="227">
        <f>-'Table 5C1O-Impact'!AI9</f>
        <v>0</v>
      </c>
      <c r="V6" s="227">
        <f>-'Table 5C1P-Vision'!AI9</f>
        <v>0</v>
      </c>
      <c r="W6" s="227">
        <f>-'Table 5C1Q-Advantage'!AI9</f>
        <v>0</v>
      </c>
      <c r="X6" s="227">
        <f>-'Table 5C1R-Iberville'!AI9</f>
        <v>382</v>
      </c>
      <c r="Y6" s="227">
        <f>-'Table 5C1S-L.C. Coll Prep'!AI9</f>
        <v>0</v>
      </c>
      <c r="Z6" s="227">
        <f>-'Table 5C1T-Northeast'!AI9</f>
        <v>0</v>
      </c>
      <c r="AA6" s="227">
        <f>-'Table 5C1U-Acadiana Ren'!AI9</f>
        <v>0</v>
      </c>
      <c r="AB6" s="227">
        <f>-'Table 5C1V-Laf Ren'!AI9</f>
        <v>0</v>
      </c>
      <c r="AC6" s="227">
        <f>-'Table 5C1W-Willow'!AI9</f>
        <v>0</v>
      </c>
      <c r="AD6" s="227">
        <f>-'Table 5C2 - LA Virtual Admy'!AJ9</f>
        <v>-6789</v>
      </c>
      <c r="AE6" s="227">
        <f>-'Table 5C3 - LA Connections EBR'!AJ9</f>
        <v>-26044</v>
      </c>
      <c r="AF6" s="227">
        <f t="shared" si="53"/>
        <v>-40798</v>
      </c>
      <c r="AG6" s="248">
        <f t="shared" si="54"/>
        <v>8666034</v>
      </c>
      <c r="AH6" s="227"/>
      <c r="AI6" s="227"/>
      <c r="AJ6" s="227"/>
      <c r="AK6" s="227">
        <f>'Table 5C1A-Madison Prep'!AO9</f>
        <v>0</v>
      </c>
      <c r="AL6" s="227">
        <f>'Table 5C1B-DArbonne'!AO9</f>
        <v>0</v>
      </c>
      <c r="AM6" s="227">
        <f>'Table 5C1C-Intl_VIBE'!AO9</f>
        <v>0</v>
      </c>
      <c r="AN6" s="227">
        <f>'Table 5C1D-NOMMA'!AO9</f>
        <v>0</v>
      </c>
      <c r="AO6" s="227">
        <f>'Table 5C1E-LFNO'!AO9</f>
        <v>0</v>
      </c>
      <c r="AP6" s="227">
        <f>'Table 5C1F-Lake Charles Charter'!AO9</f>
        <v>0</v>
      </c>
      <c r="AQ6" s="227">
        <f>'Table 5C1G-JS Clark Academy'!AO9</f>
        <v>0</v>
      </c>
      <c r="AR6" s="227">
        <f>'Table 5C1H-Southwest LA Charter'!AO9</f>
        <v>0</v>
      </c>
      <c r="AS6" s="227">
        <f>'Table 5C1I-LA Key Academy'!AO9</f>
        <v>-62.41</v>
      </c>
      <c r="AT6" s="227">
        <f>'Table 5C1J-Jefferson Chamber'!AO9</f>
        <v>0</v>
      </c>
      <c r="AU6" s="227">
        <f>'Table 5C1K-Tallulah Charter'!AO9</f>
        <v>0</v>
      </c>
      <c r="AV6" s="227">
        <f>'Table 5C1L-Northshore Charter'!AO9</f>
        <v>0</v>
      </c>
      <c r="AW6" s="227">
        <f>'Table 5C1M-B.R. Charter'!AO9</f>
        <v>-0.39250000000000007</v>
      </c>
      <c r="AX6" s="227">
        <f>'Table 5C1N-Delta Charter'!AO9</f>
        <v>0</v>
      </c>
      <c r="AY6" s="227">
        <f>'Table 5C1O-Impact'!AO9</f>
        <v>0</v>
      </c>
      <c r="AZ6" s="227">
        <f>+'Table 5C1P-Vision'!AO9</f>
        <v>0</v>
      </c>
      <c r="BA6" s="227">
        <f>+'Table 5C1Q-Advantage'!AO9</f>
        <v>0</v>
      </c>
      <c r="BB6" s="227">
        <f>+'Table 5C1R-Iberville'!AO9</f>
        <v>78.356250000000003</v>
      </c>
      <c r="BC6" s="227">
        <f>+'Table 5C1S-L.C. Coll Prep'!AO9</f>
        <v>0</v>
      </c>
      <c r="BD6" s="227">
        <f>+'Table 5C1T-Northeast'!AO9</f>
        <v>0</v>
      </c>
      <c r="BE6" s="227">
        <f>+'Table 5C1U-Acadiana Ren'!AO9</f>
        <v>0</v>
      </c>
      <c r="BF6" s="227">
        <f>+'Table 5C1V-Laf Ren'!AO9</f>
        <v>0</v>
      </c>
      <c r="BG6" s="227">
        <f>+'Table 5C1W-Willow'!AO9</f>
        <v>0</v>
      </c>
      <c r="BH6" s="227">
        <f>'Table 5C2 - LA Virtual Admy'!AP9</f>
        <v>161.31037499999991</v>
      </c>
      <c r="BI6" s="227">
        <f>'Table 5C3 - LA Connections EBR'!AP9</f>
        <v>-135.21149999999989</v>
      </c>
      <c r="BJ6" s="248">
        <f t="shared" si="55"/>
        <v>8666075.6526249982</v>
      </c>
    </row>
    <row r="7" spans="1:62" ht="14.45" customHeight="1">
      <c r="A7" s="224">
        <v>4</v>
      </c>
      <c r="B7" s="225" t="s">
        <v>76</v>
      </c>
      <c r="C7" s="226">
        <f>'Table 2_State Distrib and Adjs'!AL10</f>
        <v>1766041</v>
      </c>
      <c r="D7" s="227">
        <f>-'Table 5A3_OJJ'!W9</f>
        <v>-228</v>
      </c>
      <c r="E7" s="227"/>
      <c r="F7" s="227"/>
      <c r="G7" s="227">
        <f>-'Table 5C1A-Madison Prep'!AI10</f>
        <v>0</v>
      </c>
      <c r="H7" s="227">
        <f>-'Table 5C1B-DArbonne'!AI10</f>
        <v>0</v>
      </c>
      <c r="I7" s="227">
        <f>-'Table 5C1C-Intl_VIBE'!AI10</f>
        <v>0</v>
      </c>
      <c r="J7" s="227">
        <f>-'Table 5C1D-NOMMA'!AI10</f>
        <v>0</v>
      </c>
      <c r="K7" s="227">
        <f>-'Table 5C1E-LFNO'!AI10</f>
        <v>0</v>
      </c>
      <c r="L7" s="227">
        <f>-'Table 5C1F-Lake Charles Charter'!AI10</f>
        <v>0</v>
      </c>
      <c r="M7" s="227">
        <f>-'Table 5C1G-JS Clark Academy'!AI10</f>
        <v>0</v>
      </c>
      <c r="N7" s="227">
        <f>-'Table 5C1H-Southwest LA Charter'!AI10</f>
        <v>0</v>
      </c>
      <c r="O7" s="227">
        <f>-'Table 5C1I-LA Key Academy'!AI10</f>
        <v>0</v>
      </c>
      <c r="P7" s="227">
        <f>-'Table 5C1J-Jefferson Chamber'!AI10</f>
        <v>0</v>
      </c>
      <c r="Q7" s="227">
        <f>-'Table 5C1K-Tallulah Charter'!AI10</f>
        <v>0</v>
      </c>
      <c r="R7" s="227">
        <f>-'Table 5C1L-Northshore Charter'!AI10</f>
        <v>0</v>
      </c>
      <c r="S7" s="227">
        <f>-'Table 5C1M-B.R. Charter'!AI10</f>
        <v>0</v>
      </c>
      <c r="T7" s="227">
        <f>-'Table 5C1N-Delta Charter'!AI10</f>
        <v>0</v>
      </c>
      <c r="U7" s="227">
        <f>-'Table 5C1O-Impact'!AI10</f>
        <v>0</v>
      </c>
      <c r="V7" s="227">
        <f>-'Table 5C1P-Vision'!AI10</f>
        <v>0</v>
      </c>
      <c r="W7" s="227">
        <f>-'Table 5C1Q-Advantage'!AI10</f>
        <v>0</v>
      </c>
      <c r="X7" s="227">
        <f>-'Table 5C1R-Iberville'!AI10</f>
        <v>0</v>
      </c>
      <c r="Y7" s="227">
        <f>-'Table 5C1S-L.C. Coll Prep'!AI10</f>
        <v>0</v>
      </c>
      <c r="Z7" s="227">
        <f>-'Table 5C1T-Northeast'!AI10</f>
        <v>0</v>
      </c>
      <c r="AA7" s="227">
        <f>-'Table 5C1U-Acadiana Ren'!AI10</f>
        <v>0</v>
      </c>
      <c r="AB7" s="227">
        <f>-'Table 5C1V-Laf Ren'!AI10</f>
        <v>0</v>
      </c>
      <c r="AC7" s="227">
        <f>-'Table 5C1W-Willow'!AI10</f>
        <v>0</v>
      </c>
      <c r="AD7" s="227">
        <f>-'Table 5C2 - LA Virtual Admy'!AJ10</f>
        <v>-6583</v>
      </c>
      <c r="AE7" s="227">
        <f>-'Table 5C3 - LA Connections EBR'!AJ10</f>
        <v>-803</v>
      </c>
      <c r="AF7" s="227">
        <f t="shared" si="53"/>
        <v>-7614</v>
      </c>
      <c r="AG7" s="248">
        <f t="shared" si="54"/>
        <v>1758427</v>
      </c>
      <c r="AH7" s="227"/>
      <c r="AI7" s="227"/>
      <c r="AJ7" s="227"/>
      <c r="AK7" s="227">
        <f>'Table 5C1A-Madison Prep'!AO10</f>
        <v>0</v>
      </c>
      <c r="AL7" s="227">
        <f>'Table 5C1B-DArbonne'!AO10</f>
        <v>0</v>
      </c>
      <c r="AM7" s="227">
        <f>'Table 5C1C-Intl_VIBE'!AO10</f>
        <v>0</v>
      </c>
      <c r="AN7" s="227">
        <f>'Table 5C1D-NOMMA'!AO10</f>
        <v>0</v>
      </c>
      <c r="AO7" s="227">
        <f>'Table 5C1E-LFNO'!AO10</f>
        <v>0</v>
      </c>
      <c r="AP7" s="227">
        <f>'Table 5C1F-Lake Charles Charter'!AO10</f>
        <v>0</v>
      </c>
      <c r="AQ7" s="227">
        <f>'Table 5C1G-JS Clark Academy'!AO10</f>
        <v>0</v>
      </c>
      <c r="AR7" s="227">
        <f>'Table 5C1H-Southwest LA Charter'!AO10</f>
        <v>0</v>
      </c>
      <c r="AS7" s="227">
        <f>'Table 5C1I-LA Key Academy'!AO10</f>
        <v>0</v>
      </c>
      <c r="AT7" s="227">
        <f>'Table 5C1J-Jefferson Chamber'!AO10</f>
        <v>0</v>
      </c>
      <c r="AU7" s="227">
        <f>'Table 5C1K-Tallulah Charter'!AO10</f>
        <v>0</v>
      </c>
      <c r="AV7" s="227">
        <f>'Table 5C1L-Northshore Charter'!AO10</f>
        <v>0</v>
      </c>
      <c r="AW7" s="227">
        <f>'Table 5C1M-B.R. Charter'!AO10</f>
        <v>0</v>
      </c>
      <c r="AX7" s="227">
        <f>'Table 5C1N-Delta Charter'!AO10</f>
        <v>0</v>
      </c>
      <c r="AY7" s="227">
        <f>'Table 5C1O-Impact'!AO10</f>
        <v>0</v>
      </c>
      <c r="AZ7" s="227">
        <f>+'Table 5C1P-Vision'!AO10</f>
        <v>0</v>
      </c>
      <c r="BA7" s="227">
        <f>+'Table 5C1Q-Advantage'!AO10</f>
        <v>0</v>
      </c>
      <c r="BB7" s="227">
        <f>+'Table 5C1R-Iberville'!AO10</f>
        <v>0</v>
      </c>
      <c r="BC7" s="227">
        <f>+'Table 5C1S-L.C. Coll Prep'!AO10</f>
        <v>0</v>
      </c>
      <c r="BD7" s="227">
        <f>+'Table 5C1T-Northeast'!AO10</f>
        <v>0</v>
      </c>
      <c r="BE7" s="227">
        <f>+'Table 5C1U-Acadiana Ren'!AO10</f>
        <v>0</v>
      </c>
      <c r="BF7" s="227">
        <f>+'Table 5C1V-Laf Ren'!AO10</f>
        <v>0</v>
      </c>
      <c r="BG7" s="227">
        <f>+'Table 5C1W-Willow'!AO10</f>
        <v>0</v>
      </c>
      <c r="BH7" s="227">
        <f>'Table 5C2 - LA Virtual Admy'!AP10</f>
        <v>-63.529875000000011</v>
      </c>
      <c r="BI7" s="227">
        <f>'Table 5C3 - LA Connections EBR'!AP10</f>
        <v>-1.4546249999999965</v>
      </c>
      <c r="BJ7" s="248">
        <f t="shared" si="55"/>
        <v>1758362.0155</v>
      </c>
    </row>
    <row r="8" spans="1:62" ht="14.45" customHeight="1">
      <c r="A8" s="3">
        <v>5</v>
      </c>
      <c r="B8" s="7" t="s">
        <v>77</v>
      </c>
      <c r="C8" s="9">
        <f>'Table 2_State Distrib and Adjs'!AL11</f>
        <v>2708044</v>
      </c>
      <c r="D8" s="10">
        <f>-'Table 5A3_OJJ'!W10</f>
        <v>-195</v>
      </c>
      <c r="E8" s="10"/>
      <c r="F8" s="10"/>
      <c r="G8" s="10">
        <f>-'Table 5C1A-Madison Prep'!AI11</f>
        <v>0</v>
      </c>
      <c r="H8" s="10">
        <f>-'Table 5C1B-DArbonne'!AI11</f>
        <v>0</v>
      </c>
      <c r="I8" s="10">
        <f>-'Table 5C1C-Intl_VIBE'!AI11</f>
        <v>0</v>
      </c>
      <c r="J8" s="10">
        <f>-'Table 5C1D-NOMMA'!AI11</f>
        <v>0</v>
      </c>
      <c r="K8" s="10">
        <f>-'Table 5C1E-LFNO'!AI11</f>
        <v>0</v>
      </c>
      <c r="L8" s="10">
        <f>-'Table 5C1F-Lake Charles Charter'!AI11</f>
        <v>0</v>
      </c>
      <c r="M8" s="10">
        <f>-'Table 5C1G-JS Clark Academy'!AI11</f>
        <v>0</v>
      </c>
      <c r="N8" s="10">
        <f>-'Table 5C1H-Southwest LA Charter'!AI11</f>
        <v>0</v>
      </c>
      <c r="O8" s="10">
        <f>-'Table 5C1I-LA Key Academy'!AI11</f>
        <v>0</v>
      </c>
      <c r="P8" s="10">
        <f>-'Table 5C1J-Jefferson Chamber'!AI11</f>
        <v>0</v>
      </c>
      <c r="Q8" s="10">
        <f>-'Table 5C1K-Tallulah Charter'!AI11</f>
        <v>0</v>
      </c>
      <c r="R8" s="10">
        <f>-'Table 5C1L-Northshore Charter'!AI11</f>
        <v>0</v>
      </c>
      <c r="S8" s="10">
        <f>-'Table 5C1M-B.R. Charter'!AI11</f>
        <v>0</v>
      </c>
      <c r="T8" s="10">
        <f>-'Table 5C1N-Delta Charter'!AI11</f>
        <v>0</v>
      </c>
      <c r="U8" s="10">
        <f>-'Table 5C1O-Impact'!AI11</f>
        <v>0</v>
      </c>
      <c r="V8" s="10">
        <f>-'Table 5C1P-Vision'!AI11</f>
        <v>0</v>
      </c>
      <c r="W8" s="10">
        <f>-'Table 5C1Q-Advantage'!AI11</f>
        <v>0</v>
      </c>
      <c r="X8" s="10">
        <f>-'Table 5C1R-Iberville'!AI11</f>
        <v>0</v>
      </c>
      <c r="Y8" s="10">
        <f>-'Table 5C1S-L.C. Coll Prep'!AI11</f>
        <v>0</v>
      </c>
      <c r="Z8" s="10">
        <f>-'Table 5C1T-Northeast'!AI11</f>
        <v>0</v>
      </c>
      <c r="AA8" s="10">
        <f>-'Table 5C1U-Acadiana Ren'!AI11</f>
        <v>0</v>
      </c>
      <c r="AB8" s="10">
        <f>-'Table 5C1V-Laf Ren'!AI11</f>
        <v>0</v>
      </c>
      <c r="AC8" s="10">
        <f>-'Table 5C1W-Willow'!AI11</f>
        <v>-240</v>
      </c>
      <c r="AD8" s="10">
        <f>-'Table 5C2 - LA Virtual Admy'!AJ11</f>
        <v>-584</v>
      </c>
      <c r="AE8" s="10">
        <f>-'Table 5C3 - LA Connections EBR'!AJ11</f>
        <v>-4498</v>
      </c>
      <c r="AF8" s="10">
        <f t="shared" si="53"/>
        <v>-5517</v>
      </c>
      <c r="AG8" s="15">
        <f t="shared" si="54"/>
        <v>2702527</v>
      </c>
      <c r="AH8" s="10"/>
      <c r="AI8" s="10"/>
      <c r="AJ8" s="10"/>
      <c r="AK8" s="10">
        <f>'Table 5C1A-Madison Prep'!AO11</f>
        <v>0</v>
      </c>
      <c r="AL8" s="10">
        <f>'Table 5C1B-DArbonne'!AO11</f>
        <v>0</v>
      </c>
      <c r="AM8" s="10">
        <f>'Table 5C1C-Intl_VIBE'!AO11</f>
        <v>0</v>
      </c>
      <c r="AN8" s="10">
        <f>'Table 5C1D-NOMMA'!AO11</f>
        <v>0</v>
      </c>
      <c r="AO8" s="10">
        <f>'Table 5C1E-LFNO'!AO11</f>
        <v>0</v>
      </c>
      <c r="AP8" s="10">
        <f>'Table 5C1F-Lake Charles Charter'!AO11</f>
        <v>0</v>
      </c>
      <c r="AQ8" s="10">
        <f>'Table 5C1G-JS Clark Academy'!AO11</f>
        <v>0</v>
      </c>
      <c r="AR8" s="10">
        <f>'Table 5C1H-Southwest LA Charter'!AO11</f>
        <v>0</v>
      </c>
      <c r="AS8" s="10">
        <f>'Table 5C1I-LA Key Academy'!AO11</f>
        <v>0</v>
      </c>
      <c r="AT8" s="10">
        <f>'Table 5C1J-Jefferson Chamber'!AO11</f>
        <v>0</v>
      </c>
      <c r="AU8" s="10">
        <f>'Table 5C1K-Tallulah Charter'!AO11</f>
        <v>0</v>
      </c>
      <c r="AV8" s="10">
        <f>'Table 5C1L-Northshore Charter'!AO11</f>
        <v>0</v>
      </c>
      <c r="AW8" s="10">
        <f>'Table 5C1M-B.R. Charter'!AO11</f>
        <v>0</v>
      </c>
      <c r="AX8" s="10">
        <f>'Table 5C1N-Delta Charter'!AO11</f>
        <v>0</v>
      </c>
      <c r="AY8" s="10">
        <f>'Table 5C1O-Impact'!AO11</f>
        <v>0</v>
      </c>
      <c r="AZ8" s="10">
        <f>+'Table 5C1P-Vision'!AO11</f>
        <v>0</v>
      </c>
      <c r="BA8" s="10">
        <f>+'Table 5C1Q-Advantage'!AO11</f>
        <v>0</v>
      </c>
      <c r="BB8" s="10">
        <f>+'Table 5C1R-Iberville'!AO11</f>
        <v>0</v>
      </c>
      <c r="BC8" s="10">
        <f>+'Table 5C1S-L.C. Coll Prep'!AO11</f>
        <v>0</v>
      </c>
      <c r="BD8" s="10">
        <f>+'Table 5C1T-Northeast'!AO11</f>
        <v>0</v>
      </c>
      <c r="BE8" s="10">
        <f>+'Table 5C1U-Acadiana Ren'!AO11</f>
        <v>0</v>
      </c>
      <c r="BF8" s="10">
        <f>+'Table 5C1V-Laf Ren'!AO11</f>
        <v>0</v>
      </c>
      <c r="BG8" s="10">
        <f>+'Table 5C1W-Willow'!AO11</f>
        <v>-2.4037500000000001</v>
      </c>
      <c r="BH8" s="10">
        <f>'Table 5C2 - LA Virtual Admy'!AP11</f>
        <v>34.488000000000014</v>
      </c>
      <c r="BI8" s="10">
        <f>'Table 5C3 - LA Connections EBR'!AP11</f>
        <v>-49.811624999999985</v>
      </c>
      <c r="BJ8" s="15">
        <f t="shared" si="55"/>
        <v>2702509.2726249998</v>
      </c>
    </row>
    <row r="9" spans="1:62" ht="14.45" customHeight="1">
      <c r="A9" s="224">
        <v>6</v>
      </c>
      <c r="B9" s="225" t="s">
        <v>78</v>
      </c>
      <c r="C9" s="226">
        <f>'Table 2_State Distrib and Adjs'!AL12</f>
        <v>2848897</v>
      </c>
      <c r="D9" s="227">
        <f>-'Table 5A3_OJJ'!W11</f>
        <v>-1089</v>
      </c>
      <c r="E9" s="227"/>
      <c r="F9" s="227"/>
      <c r="G9" s="227">
        <f>-'Table 5C1A-Madison Prep'!AI12</f>
        <v>0</v>
      </c>
      <c r="H9" s="227">
        <f>-'Table 5C1B-DArbonne'!AI12</f>
        <v>0</v>
      </c>
      <c r="I9" s="227">
        <f>-'Table 5C1C-Intl_VIBE'!AI12</f>
        <v>0</v>
      </c>
      <c r="J9" s="227">
        <f>-'Table 5C1D-NOMMA'!AI12</f>
        <v>0</v>
      </c>
      <c r="K9" s="227">
        <f>-'Table 5C1E-LFNO'!AI12</f>
        <v>0</v>
      </c>
      <c r="L9" s="227">
        <f>-'Table 5C1F-Lake Charles Charter'!AI12</f>
        <v>0</v>
      </c>
      <c r="M9" s="227">
        <f>-'Table 5C1G-JS Clark Academy'!AI12</f>
        <v>0</v>
      </c>
      <c r="N9" s="227">
        <f>-'Table 5C1H-Southwest LA Charter'!AI12</f>
        <v>0</v>
      </c>
      <c r="O9" s="227">
        <f>-'Table 5C1I-LA Key Academy'!AI12</f>
        <v>0</v>
      </c>
      <c r="P9" s="227">
        <f>-'Table 5C1J-Jefferson Chamber'!AI12</f>
        <v>0</v>
      </c>
      <c r="Q9" s="227">
        <f>-'Table 5C1K-Tallulah Charter'!AI12</f>
        <v>0</v>
      </c>
      <c r="R9" s="227">
        <f>-'Table 5C1L-Northshore Charter'!AI12</f>
        <v>0</v>
      </c>
      <c r="S9" s="227">
        <f>-'Table 5C1M-B.R. Charter'!AI12</f>
        <v>0</v>
      </c>
      <c r="T9" s="227">
        <f>-'Table 5C1N-Delta Charter'!AI12</f>
        <v>0</v>
      </c>
      <c r="U9" s="227">
        <f>-'Table 5C1O-Impact'!AI12</f>
        <v>0</v>
      </c>
      <c r="V9" s="227">
        <f>-'Table 5C1P-Vision'!AI12</f>
        <v>0</v>
      </c>
      <c r="W9" s="227">
        <f>-'Table 5C1Q-Advantage'!AI12</f>
        <v>0</v>
      </c>
      <c r="X9" s="227">
        <f>-'Table 5C1R-Iberville'!AI12</f>
        <v>0</v>
      </c>
      <c r="Y9" s="227">
        <f>-'Table 5C1S-L.C. Coll Prep'!AI12</f>
        <v>0</v>
      </c>
      <c r="Z9" s="227">
        <f>-'Table 5C1T-Northeast'!AI12</f>
        <v>0</v>
      </c>
      <c r="AA9" s="227">
        <f>-'Table 5C1U-Acadiana Ren'!AI12</f>
        <v>0</v>
      </c>
      <c r="AB9" s="227">
        <f>-'Table 5C1V-Laf Ren'!AI12</f>
        <v>0</v>
      </c>
      <c r="AC9" s="227">
        <f>-'Table 5C1W-Willow'!AI12</f>
        <v>0</v>
      </c>
      <c r="AD9" s="227">
        <f>-'Table 5C2 - LA Virtual Admy'!AJ12</f>
        <v>-10346</v>
      </c>
      <c r="AE9" s="227">
        <f>-'Table 5C3 - LA Connections EBR'!AJ12</f>
        <v>-5327</v>
      </c>
      <c r="AF9" s="227">
        <f t="shared" si="53"/>
        <v>-16762</v>
      </c>
      <c r="AG9" s="248">
        <f t="shared" si="54"/>
        <v>2832135</v>
      </c>
      <c r="AH9" s="227"/>
      <c r="AI9" s="227"/>
      <c r="AJ9" s="227"/>
      <c r="AK9" s="227">
        <f>'Table 5C1A-Madison Prep'!AO12</f>
        <v>0</v>
      </c>
      <c r="AL9" s="227">
        <f>'Table 5C1B-DArbonne'!AO12</f>
        <v>0</v>
      </c>
      <c r="AM9" s="227">
        <f>'Table 5C1C-Intl_VIBE'!AO12</f>
        <v>0</v>
      </c>
      <c r="AN9" s="227">
        <f>'Table 5C1D-NOMMA'!AO12</f>
        <v>0</v>
      </c>
      <c r="AO9" s="227">
        <f>'Table 5C1E-LFNO'!AO12</f>
        <v>0</v>
      </c>
      <c r="AP9" s="227">
        <f>'Table 5C1F-Lake Charles Charter'!AO12</f>
        <v>0</v>
      </c>
      <c r="AQ9" s="227">
        <f>'Table 5C1G-JS Clark Academy'!AO12</f>
        <v>0</v>
      </c>
      <c r="AR9" s="227">
        <f>'Table 5C1H-Southwest LA Charter'!AO12</f>
        <v>0</v>
      </c>
      <c r="AS9" s="227">
        <f>'Table 5C1I-LA Key Academy'!AO12</f>
        <v>0</v>
      </c>
      <c r="AT9" s="227">
        <f>'Table 5C1J-Jefferson Chamber'!AO12</f>
        <v>0</v>
      </c>
      <c r="AU9" s="227">
        <f>'Table 5C1K-Tallulah Charter'!AO12</f>
        <v>0</v>
      </c>
      <c r="AV9" s="227">
        <f>'Table 5C1L-Northshore Charter'!AO12</f>
        <v>0</v>
      </c>
      <c r="AW9" s="227">
        <f>'Table 5C1M-B.R. Charter'!AO12</f>
        <v>0</v>
      </c>
      <c r="AX9" s="227">
        <f>'Table 5C1N-Delta Charter'!AO12</f>
        <v>0</v>
      </c>
      <c r="AY9" s="227">
        <f>'Table 5C1O-Impact'!AO12</f>
        <v>0</v>
      </c>
      <c r="AZ9" s="227">
        <f>+'Table 5C1P-Vision'!AO12</f>
        <v>0</v>
      </c>
      <c r="BA9" s="227">
        <f>+'Table 5C1Q-Advantage'!AO12</f>
        <v>0</v>
      </c>
      <c r="BB9" s="227">
        <f>+'Table 5C1R-Iberville'!AO12</f>
        <v>0</v>
      </c>
      <c r="BC9" s="227">
        <f>+'Table 5C1S-L.C. Coll Prep'!AO12</f>
        <v>0</v>
      </c>
      <c r="BD9" s="227">
        <f>+'Table 5C1T-Northeast'!AO12</f>
        <v>0</v>
      </c>
      <c r="BE9" s="227">
        <f>+'Table 5C1U-Acadiana Ren'!AO12</f>
        <v>0</v>
      </c>
      <c r="BF9" s="227">
        <f>+'Table 5C1V-Laf Ren'!AO12</f>
        <v>0</v>
      </c>
      <c r="BG9" s="227">
        <f>+'Table 5C1W-Willow'!AO12</f>
        <v>0</v>
      </c>
      <c r="BH9" s="227">
        <f>'Table 5C2 - LA Virtual Admy'!AP12</f>
        <v>-43.761375000000015</v>
      </c>
      <c r="BI9" s="227">
        <f>'Table 5C3 - LA Connections EBR'!AP12</f>
        <v>-42.137999999999991</v>
      </c>
      <c r="BJ9" s="248">
        <f t="shared" si="55"/>
        <v>2832049.1006250004</v>
      </c>
    </row>
    <row r="10" spans="1:62" ht="14.45" customHeight="1">
      <c r="A10" s="224">
        <v>7</v>
      </c>
      <c r="B10" s="225" t="s">
        <v>79</v>
      </c>
      <c r="C10" s="226">
        <f>'Table 2_State Distrib and Adjs'!AL13</f>
        <v>543106</v>
      </c>
      <c r="D10" s="227">
        <f>-'Table 5A3_OJJ'!W12</f>
        <v>-220</v>
      </c>
      <c r="E10" s="227"/>
      <c r="F10" s="227"/>
      <c r="G10" s="227">
        <f>-'Table 5C1A-Madison Prep'!AI13</f>
        <v>0</v>
      </c>
      <c r="H10" s="227">
        <f>-'Table 5C1B-DArbonne'!AI13</f>
        <v>0</v>
      </c>
      <c r="I10" s="227">
        <f>-'Table 5C1C-Intl_VIBE'!AI13</f>
        <v>0</v>
      </c>
      <c r="J10" s="227">
        <f>-'Table 5C1D-NOMMA'!AI13</f>
        <v>0</v>
      </c>
      <c r="K10" s="227">
        <f>-'Table 5C1E-LFNO'!AI13</f>
        <v>0</v>
      </c>
      <c r="L10" s="227">
        <f>-'Table 5C1F-Lake Charles Charter'!AI13</f>
        <v>0</v>
      </c>
      <c r="M10" s="227">
        <f>-'Table 5C1G-JS Clark Academy'!AI13</f>
        <v>0</v>
      </c>
      <c r="N10" s="227">
        <f>-'Table 5C1H-Southwest LA Charter'!AI13</f>
        <v>0</v>
      </c>
      <c r="O10" s="227">
        <f>-'Table 5C1I-LA Key Academy'!AI13</f>
        <v>0</v>
      </c>
      <c r="P10" s="227">
        <f>-'Table 5C1J-Jefferson Chamber'!AI13</f>
        <v>0</v>
      </c>
      <c r="Q10" s="227">
        <f>-'Table 5C1K-Tallulah Charter'!AI13</f>
        <v>0</v>
      </c>
      <c r="R10" s="227">
        <f>-'Table 5C1L-Northshore Charter'!AI13</f>
        <v>0</v>
      </c>
      <c r="S10" s="227">
        <f>-'Table 5C1M-B.R. Charter'!AI13</f>
        <v>0</v>
      </c>
      <c r="T10" s="227">
        <f>-'Table 5C1N-Delta Charter'!AI13</f>
        <v>0</v>
      </c>
      <c r="U10" s="227">
        <f>-'Table 5C1O-Impact'!AI13</f>
        <v>0</v>
      </c>
      <c r="V10" s="227">
        <f>-'Table 5C1P-Vision'!AI13</f>
        <v>0</v>
      </c>
      <c r="W10" s="227">
        <f>-'Table 5C1Q-Advantage'!AI13</f>
        <v>0</v>
      </c>
      <c r="X10" s="227">
        <f>-'Table 5C1R-Iberville'!AI13</f>
        <v>0</v>
      </c>
      <c r="Y10" s="227">
        <f>-'Table 5C1S-L.C. Coll Prep'!AI13</f>
        <v>0</v>
      </c>
      <c r="Z10" s="227">
        <f>-'Table 5C1T-Northeast'!AI13</f>
        <v>0</v>
      </c>
      <c r="AA10" s="227">
        <f>-'Table 5C1U-Acadiana Ren'!AI13</f>
        <v>0</v>
      </c>
      <c r="AB10" s="227">
        <f>-'Table 5C1V-Laf Ren'!AI13</f>
        <v>0</v>
      </c>
      <c r="AC10" s="227">
        <f>-'Table 5C1W-Willow'!AI13</f>
        <v>0</v>
      </c>
      <c r="AD10" s="227">
        <f>-'Table 5C2 - LA Virtual Admy'!AJ13</f>
        <v>-17871</v>
      </c>
      <c r="AE10" s="227">
        <f>-'Table 5C3 - LA Connections EBR'!AJ13</f>
        <v>-7480</v>
      </c>
      <c r="AF10" s="227">
        <f t="shared" si="53"/>
        <v>-25571</v>
      </c>
      <c r="AG10" s="248">
        <f t="shared" si="54"/>
        <v>517535</v>
      </c>
      <c r="AH10" s="227"/>
      <c r="AI10" s="227"/>
      <c r="AJ10" s="227"/>
      <c r="AK10" s="227">
        <f>'Table 5C1A-Madison Prep'!AO13</f>
        <v>0</v>
      </c>
      <c r="AL10" s="227">
        <f>'Table 5C1B-DArbonne'!AO13</f>
        <v>0</v>
      </c>
      <c r="AM10" s="227">
        <f>'Table 5C1C-Intl_VIBE'!AO13</f>
        <v>0</v>
      </c>
      <c r="AN10" s="227">
        <f>'Table 5C1D-NOMMA'!AO13</f>
        <v>0</v>
      </c>
      <c r="AO10" s="227">
        <f>'Table 5C1E-LFNO'!AO13</f>
        <v>0</v>
      </c>
      <c r="AP10" s="227">
        <f>'Table 5C1F-Lake Charles Charter'!AO13</f>
        <v>0</v>
      </c>
      <c r="AQ10" s="227">
        <f>'Table 5C1G-JS Clark Academy'!AO13</f>
        <v>0</v>
      </c>
      <c r="AR10" s="227">
        <f>'Table 5C1H-Southwest LA Charter'!AO13</f>
        <v>0</v>
      </c>
      <c r="AS10" s="227">
        <f>'Table 5C1I-LA Key Academy'!AO13</f>
        <v>0</v>
      </c>
      <c r="AT10" s="227">
        <f>'Table 5C1J-Jefferson Chamber'!AO13</f>
        <v>0</v>
      </c>
      <c r="AU10" s="227">
        <f>'Table 5C1K-Tallulah Charter'!AO13</f>
        <v>0</v>
      </c>
      <c r="AV10" s="227">
        <f>'Table 5C1L-Northshore Charter'!AO13</f>
        <v>0</v>
      </c>
      <c r="AW10" s="227">
        <f>'Table 5C1M-B.R. Charter'!AO13</f>
        <v>0</v>
      </c>
      <c r="AX10" s="227">
        <f>'Table 5C1N-Delta Charter'!AO13</f>
        <v>0</v>
      </c>
      <c r="AY10" s="227">
        <f>'Table 5C1O-Impact'!AO13</f>
        <v>0</v>
      </c>
      <c r="AZ10" s="227">
        <f>+'Table 5C1P-Vision'!AO13</f>
        <v>0</v>
      </c>
      <c r="BA10" s="227">
        <f>+'Table 5C1Q-Advantage'!AO13</f>
        <v>0</v>
      </c>
      <c r="BB10" s="227">
        <f>+'Table 5C1R-Iberville'!AO13</f>
        <v>0</v>
      </c>
      <c r="BC10" s="227">
        <f>+'Table 5C1S-L.C. Coll Prep'!AO13</f>
        <v>0</v>
      </c>
      <c r="BD10" s="227">
        <f>+'Table 5C1T-Northeast'!AO13</f>
        <v>0</v>
      </c>
      <c r="BE10" s="227">
        <f>+'Table 5C1U-Acadiana Ren'!AO13</f>
        <v>0</v>
      </c>
      <c r="BF10" s="227">
        <f>+'Table 5C1V-Laf Ren'!AO13</f>
        <v>0</v>
      </c>
      <c r="BG10" s="227">
        <f>+'Table 5C1W-Willow'!AO13</f>
        <v>0</v>
      </c>
      <c r="BH10" s="227">
        <f>'Table 5C2 - LA Virtual Admy'!AP13</f>
        <v>-125.65799999999999</v>
      </c>
      <c r="BI10" s="227">
        <f>'Table 5C3 - LA Connections EBR'!AP13</f>
        <v>10.602000000000032</v>
      </c>
      <c r="BJ10" s="248">
        <f t="shared" si="55"/>
        <v>517419.94400000002</v>
      </c>
    </row>
    <row r="11" spans="1:62" ht="14.45" customHeight="1">
      <c r="A11" s="224">
        <v>8</v>
      </c>
      <c r="B11" s="225" t="s">
        <v>80</v>
      </c>
      <c r="C11" s="226">
        <f>'Table 2_State Distrib and Adjs'!AL14</f>
        <v>9962237</v>
      </c>
      <c r="D11" s="227">
        <f>-'Table 5A3_OJJ'!W13</f>
        <v>-2361</v>
      </c>
      <c r="E11" s="227"/>
      <c r="F11" s="227"/>
      <c r="G11" s="227">
        <f>-'Table 5C1A-Madison Prep'!AI14</f>
        <v>0</v>
      </c>
      <c r="H11" s="227">
        <f>-'Table 5C1B-DArbonne'!AI14</f>
        <v>0</v>
      </c>
      <c r="I11" s="227">
        <f>-'Table 5C1C-Intl_VIBE'!AI14</f>
        <v>0</v>
      </c>
      <c r="J11" s="227">
        <f>-'Table 5C1D-NOMMA'!AI14</f>
        <v>0</v>
      </c>
      <c r="K11" s="227">
        <f>-'Table 5C1E-LFNO'!AI14</f>
        <v>0</v>
      </c>
      <c r="L11" s="227">
        <f>-'Table 5C1F-Lake Charles Charter'!AI14</f>
        <v>0</v>
      </c>
      <c r="M11" s="227">
        <f>-'Table 5C1G-JS Clark Academy'!AI14</f>
        <v>0</v>
      </c>
      <c r="N11" s="227">
        <f>-'Table 5C1H-Southwest LA Charter'!AI14</f>
        <v>0</v>
      </c>
      <c r="O11" s="227">
        <f>-'Table 5C1I-LA Key Academy'!AI14</f>
        <v>0</v>
      </c>
      <c r="P11" s="227">
        <f>-'Table 5C1J-Jefferson Chamber'!AI14</f>
        <v>0</v>
      </c>
      <c r="Q11" s="227">
        <f>-'Table 5C1K-Tallulah Charter'!AI14</f>
        <v>0</v>
      </c>
      <c r="R11" s="227">
        <f>-'Table 5C1L-Northshore Charter'!AI14</f>
        <v>0</v>
      </c>
      <c r="S11" s="227">
        <f>-'Table 5C1M-B.R. Charter'!AI14</f>
        <v>0</v>
      </c>
      <c r="T11" s="227">
        <f>-'Table 5C1N-Delta Charter'!AI14</f>
        <v>0</v>
      </c>
      <c r="U11" s="227">
        <f>-'Table 5C1O-Impact'!AI14</f>
        <v>0</v>
      </c>
      <c r="V11" s="227">
        <f>-'Table 5C1P-Vision'!AI14</f>
        <v>0</v>
      </c>
      <c r="W11" s="227">
        <f>-'Table 5C1Q-Advantage'!AI14</f>
        <v>0</v>
      </c>
      <c r="X11" s="227">
        <f>-'Table 5C1R-Iberville'!AI14</f>
        <v>0</v>
      </c>
      <c r="Y11" s="227">
        <f>-'Table 5C1S-L.C. Coll Prep'!AI14</f>
        <v>0</v>
      </c>
      <c r="Z11" s="227">
        <f>-'Table 5C1T-Northeast'!AI14</f>
        <v>0</v>
      </c>
      <c r="AA11" s="227">
        <f>-'Table 5C1U-Acadiana Ren'!AI14</f>
        <v>0</v>
      </c>
      <c r="AB11" s="227">
        <f>-'Table 5C1V-Laf Ren'!AI14</f>
        <v>0</v>
      </c>
      <c r="AC11" s="227">
        <f>-'Table 5C1W-Willow'!AI14</f>
        <v>0</v>
      </c>
      <c r="AD11" s="227">
        <f>-'Table 5C2 - LA Virtual Admy'!AJ14</f>
        <v>-31716</v>
      </c>
      <c r="AE11" s="227">
        <f>-'Table 5C3 - LA Connections EBR'!AJ14</f>
        <v>-17218</v>
      </c>
      <c r="AF11" s="227">
        <f t="shared" si="53"/>
        <v>-51295</v>
      </c>
      <c r="AG11" s="248">
        <f t="shared" si="54"/>
        <v>9910942</v>
      </c>
      <c r="AH11" s="227"/>
      <c r="AI11" s="227"/>
      <c r="AJ11" s="227"/>
      <c r="AK11" s="227">
        <f>'Table 5C1A-Madison Prep'!AO14</f>
        <v>0</v>
      </c>
      <c r="AL11" s="227">
        <f>'Table 5C1B-DArbonne'!AO14</f>
        <v>0</v>
      </c>
      <c r="AM11" s="227">
        <f>'Table 5C1C-Intl_VIBE'!AO14</f>
        <v>0</v>
      </c>
      <c r="AN11" s="227">
        <f>'Table 5C1D-NOMMA'!AO14</f>
        <v>0</v>
      </c>
      <c r="AO11" s="227">
        <f>'Table 5C1E-LFNO'!AO14</f>
        <v>0</v>
      </c>
      <c r="AP11" s="227">
        <f>'Table 5C1F-Lake Charles Charter'!AO14</f>
        <v>0</v>
      </c>
      <c r="AQ11" s="227">
        <f>'Table 5C1G-JS Clark Academy'!AO14</f>
        <v>0</v>
      </c>
      <c r="AR11" s="227">
        <f>'Table 5C1H-Southwest LA Charter'!AO14</f>
        <v>0</v>
      </c>
      <c r="AS11" s="227">
        <f>'Table 5C1I-LA Key Academy'!AO14</f>
        <v>0</v>
      </c>
      <c r="AT11" s="227">
        <f>'Table 5C1J-Jefferson Chamber'!AO14</f>
        <v>0</v>
      </c>
      <c r="AU11" s="227">
        <f>'Table 5C1K-Tallulah Charter'!AO14</f>
        <v>0</v>
      </c>
      <c r="AV11" s="227">
        <f>'Table 5C1L-Northshore Charter'!AO14</f>
        <v>0</v>
      </c>
      <c r="AW11" s="227">
        <f>'Table 5C1M-B.R. Charter'!AO14</f>
        <v>0</v>
      </c>
      <c r="AX11" s="227">
        <f>'Table 5C1N-Delta Charter'!AO14</f>
        <v>0</v>
      </c>
      <c r="AY11" s="227">
        <f>'Table 5C1O-Impact'!AO14</f>
        <v>0</v>
      </c>
      <c r="AZ11" s="227">
        <f>+'Table 5C1P-Vision'!AO14</f>
        <v>0</v>
      </c>
      <c r="BA11" s="227">
        <f>+'Table 5C1Q-Advantage'!AO14</f>
        <v>0</v>
      </c>
      <c r="BB11" s="227">
        <f>+'Table 5C1R-Iberville'!AO14</f>
        <v>0</v>
      </c>
      <c r="BC11" s="227">
        <f>+'Table 5C1S-L.C. Coll Prep'!AO14</f>
        <v>0</v>
      </c>
      <c r="BD11" s="227">
        <f>+'Table 5C1T-Northeast'!AO14</f>
        <v>0</v>
      </c>
      <c r="BE11" s="227">
        <f>+'Table 5C1U-Acadiana Ren'!AO14</f>
        <v>0</v>
      </c>
      <c r="BF11" s="227">
        <f>+'Table 5C1V-Laf Ren'!AO14</f>
        <v>0</v>
      </c>
      <c r="BG11" s="227">
        <f>+'Table 5C1W-Willow'!AO14</f>
        <v>0</v>
      </c>
      <c r="BH11" s="227">
        <f>'Table 5C2 - LA Virtual Admy'!AP14</f>
        <v>-112.72949999999992</v>
      </c>
      <c r="BI11" s="227">
        <f>'Table 5C3 - LA Connections EBR'!AP14</f>
        <v>-115.48349999999999</v>
      </c>
      <c r="BJ11" s="248">
        <f t="shared" si="55"/>
        <v>9910713.7870000005</v>
      </c>
    </row>
    <row r="12" spans="1:62" ht="14.45" customHeight="1">
      <c r="A12" s="224">
        <v>9</v>
      </c>
      <c r="B12" s="225" t="s">
        <v>81</v>
      </c>
      <c r="C12" s="226">
        <f>'Table 2_State Distrib and Adjs'!AL15</f>
        <v>17722428</v>
      </c>
      <c r="D12" s="227">
        <f>-'Table 5A3_OJJ'!W14</f>
        <v>-11530</v>
      </c>
      <c r="E12" s="227">
        <f>-'Table 5B2_RSD_LA'!AS15</f>
        <v>-191651</v>
      </c>
      <c r="F12" s="227"/>
      <c r="G12" s="227">
        <f>-'Table 5C1A-Madison Prep'!AI15</f>
        <v>0</v>
      </c>
      <c r="H12" s="227">
        <f>-'Table 5C1B-DArbonne'!AI15</f>
        <v>0</v>
      </c>
      <c r="I12" s="227">
        <f>-'Table 5C1C-Intl_VIBE'!AI15</f>
        <v>0</v>
      </c>
      <c r="J12" s="227">
        <f>-'Table 5C1D-NOMMA'!AI15</f>
        <v>0</v>
      </c>
      <c r="K12" s="227">
        <f>-'Table 5C1E-LFNO'!AI15</f>
        <v>0</v>
      </c>
      <c r="L12" s="227">
        <f>-'Table 5C1F-Lake Charles Charter'!AI15</f>
        <v>0</v>
      </c>
      <c r="M12" s="227">
        <f>-'Table 5C1G-JS Clark Academy'!AI15</f>
        <v>0</v>
      </c>
      <c r="N12" s="227">
        <f>-'Table 5C1H-Southwest LA Charter'!AI15</f>
        <v>0</v>
      </c>
      <c r="O12" s="227">
        <f>-'Table 5C1I-LA Key Academy'!AI15</f>
        <v>0</v>
      </c>
      <c r="P12" s="227">
        <f>-'Table 5C1J-Jefferson Chamber'!AI15</f>
        <v>0</v>
      </c>
      <c r="Q12" s="227">
        <f>-'Table 5C1K-Tallulah Charter'!AI15</f>
        <v>0</v>
      </c>
      <c r="R12" s="227">
        <f>-'Table 5C1L-Northshore Charter'!AI15</f>
        <v>0</v>
      </c>
      <c r="S12" s="227">
        <f>-'Table 5C1M-B.R. Charter'!AI15</f>
        <v>0</v>
      </c>
      <c r="T12" s="227">
        <f>-'Table 5C1N-Delta Charter'!AI15</f>
        <v>0</v>
      </c>
      <c r="U12" s="227">
        <f>-'Table 5C1O-Impact'!AI15</f>
        <v>0</v>
      </c>
      <c r="V12" s="227">
        <f>-'Table 5C1P-Vision'!AI15</f>
        <v>0</v>
      </c>
      <c r="W12" s="227">
        <f>-'Table 5C1Q-Advantage'!AI15</f>
        <v>0</v>
      </c>
      <c r="X12" s="227">
        <f>-'Table 5C1R-Iberville'!AI15</f>
        <v>0</v>
      </c>
      <c r="Y12" s="227">
        <f>-'Table 5C1S-L.C. Coll Prep'!AI15</f>
        <v>0</v>
      </c>
      <c r="Z12" s="227">
        <f>-'Table 5C1T-Northeast'!AI15</f>
        <v>0</v>
      </c>
      <c r="AA12" s="227">
        <f>-'Table 5C1U-Acadiana Ren'!AI15</f>
        <v>0</v>
      </c>
      <c r="AB12" s="227">
        <f>-'Table 5C1V-Laf Ren'!AI15</f>
        <v>0</v>
      </c>
      <c r="AC12" s="227">
        <f>-'Table 5C1W-Willow'!AI15</f>
        <v>0</v>
      </c>
      <c r="AD12" s="227">
        <f>-'Table 5C2 - LA Virtual Admy'!AJ15</f>
        <v>-23835</v>
      </c>
      <c r="AE12" s="227">
        <f>-'Table 5C3 - LA Connections EBR'!AJ15</f>
        <v>-45144</v>
      </c>
      <c r="AF12" s="227">
        <f t="shared" si="53"/>
        <v>-272160</v>
      </c>
      <c r="AG12" s="248">
        <f t="shared" si="54"/>
        <v>17450268</v>
      </c>
      <c r="AH12" s="227">
        <f>'Table 5B2_RSD_LA'!AK23</f>
        <v>-1492.2599999999948</v>
      </c>
      <c r="AI12" s="227">
        <f>'Table 5B2_RSD_LA'!AL23</f>
        <v>-213.18000000000029</v>
      </c>
      <c r="AJ12" s="227"/>
      <c r="AK12" s="227">
        <f>'Table 5C1A-Madison Prep'!AO15</f>
        <v>0</v>
      </c>
      <c r="AL12" s="227">
        <f>'Table 5C1B-DArbonne'!AO15</f>
        <v>0</v>
      </c>
      <c r="AM12" s="227">
        <f>'Table 5C1C-Intl_VIBE'!AO15</f>
        <v>0</v>
      </c>
      <c r="AN12" s="227">
        <f>'Table 5C1D-NOMMA'!AO15</f>
        <v>0</v>
      </c>
      <c r="AO12" s="227">
        <f>'Table 5C1E-LFNO'!AO15</f>
        <v>0</v>
      </c>
      <c r="AP12" s="227">
        <f>'Table 5C1F-Lake Charles Charter'!AO15</f>
        <v>0</v>
      </c>
      <c r="AQ12" s="227">
        <f>'Table 5C1G-JS Clark Academy'!AO15</f>
        <v>0</v>
      </c>
      <c r="AR12" s="227">
        <f>'Table 5C1H-Southwest LA Charter'!AO15</f>
        <v>0</v>
      </c>
      <c r="AS12" s="227">
        <f>'Table 5C1I-LA Key Academy'!AO15</f>
        <v>0</v>
      </c>
      <c r="AT12" s="227">
        <f>'Table 5C1J-Jefferson Chamber'!AO15</f>
        <v>0</v>
      </c>
      <c r="AU12" s="227">
        <f>'Table 5C1K-Tallulah Charter'!AO15</f>
        <v>0</v>
      </c>
      <c r="AV12" s="227">
        <f>'Table 5C1L-Northshore Charter'!AO15</f>
        <v>0</v>
      </c>
      <c r="AW12" s="227">
        <f>'Table 5C1M-B.R. Charter'!AO15</f>
        <v>0</v>
      </c>
      <c r="AX12" s="227">
        <f>'Table 5C1N-Delta Charter'!AO15</f>
        <v>0</v>
      </c>
      <c r="AY12" s="227">
        <f>'Table 5C1O-Impact'!AO15</f>
        <v>0</v>
      </c>
      <c r="AZ12" s="227">
        <f>+'Table 5C1P-Vision'!AO15</f>
        <v>0</v>
      </c>
      <c r="BA12" s="227">
        <f>+'Table 5C1Q-Advantage'!AO15</f>
        <v>0</v>
      </c>
      <c r="BB12" s="227">
        <f>+'Table 5C1R-Iberville'!AO15</f>
        <v>0</v>
      </c>
      <c r="BC12" s="227">
        <f>+'Table 5C1S-L.C. Coll Prep'!AO15</f>
        <v>0</v>
      </c>
      <c r="BD12" s="227">
        <f>+'Table 5C1T-Northeast'!AO15</f>
        <v>0</v>
      </c>
      <c r="BE12" s="227">
        <f>+'Table 5C1U-Acadiana Ren'!AO15</f>
        <v>0</v>
      </c>
      <c r="BF12" s="227">
        <f>+'Table 5C1V-Laf Ren'!AO15</f>
        <v>0</v>
      </c>
      <c r="BG12" s="227">
        <f>+'Table 5C1W-Willow'!AO15</f>
        <v>0</v>
      </c>
      <c r="BH12" s="227">
        <f>'Table 5C2 - LA Virtual Admy'!AP15</f>
        <v>126.76499999999987</v>
      </c>
      <c r="BI12" s="227">
        <f>'Table 5C3 - LA Connections EBR'!AP15</f>
        <v>-490.36162500000023</v>
      </c>
      <c r="BJ12" s="248">
        <f t="shared" si="55"/>
        <v>17448198.963374998</v>
      </c>
    </row>
    <row r="13" spans="1:62" ht="14.45" customHeight="1">
      <c r="A13" s="3">
        <v>10</v>
      </c>
      <c r="B13" s="7" t="s">
        <v>82</v>
      </c>
      <c r="C13" s="9">
        <f>'Table 2_State Distrib and Adjs'!AL16</f>
        <v>12747206</v>
      </c>
      <c r="D13" s="10">
        <f>-'Table 5A3_OJJ'!W15</f>
        <v>-3044</v>
      </c>
      <c r="E13" s="10"/>
      <c r="F13" s="10"/>
      <c r="G13" s="10">
        <f>-'Table 5C1A-Madison Prep'!AI16</f>
        <v>0</v>
      </c>
      <c r="H13" s="10">
        <f>-'Table 5C1B-DArbonne'!AI16</f>
        <v>0</v>
      </c>
      <c r="I13" s="10">
        <f>-'Table 5C1C-Intl_VIBE'!AI16</f>
        <v>0</v>
      </c>
      <c r="J13" s="10">
        <f>-'Table 5C1D-NOMMA'!AI16</f>
        <v>0</v>
      </c>
      <c r="K13" s="10">
        <f>-'Table 5C1E-LFNO'!AI16</f>
        <v>0</v>
      </c>
      <c r="L13" s="10">
        <f>-'Table 5C1F-Lake Charles Charter'!AI16</f>
        <v>-333550</v>
      </c>
      <c r="M13" s="10">
        <f>-'Table 5C1G-JS Clark Academy'!AI16</f>
        <v>0</v>
      </c>
      <c r="N13" s="10">
        <f>-'Table 5C1H-Southwest LA Charter'!AI16</f>
        <v>-361738</v>
      </c>
      <c r="O13" s="10">
        <f>-'Table 5C1I-LA Key Academy'!AI16</f>
        <v>0</v>
      </c>
      <c r="P13" s="10">
        <f>-'Table 5C1J-Jefferson Chamber'!AI16</f>
        <v>0</v>
      </c>
      <c r="Q13" s="10">
        <f>-'Table 5C1K-Tallulah Charter'!AI16</f>
        <v>0</v>
      </c>
      <c r="R13" s="10">
        <f>-'Table 5C1L-Northshore Charter'!AI16</f>
        <v>0</v>
      </c>
      <c r="S13" s="10">
        <f>-'Table 5C1M-B.R. Charter'!AI16</f>
        <v>0</v>
      </c>
      <c r="T13" s="10">
        <f>-'Table 5C1N-Delta Charter'!AI16</f>
        <v>0</v>
      </c>
      <c r="U13" s="10">
        <f>-'Table 5C1O-Impact'!AI16</f>
        <v>0</v>
      </c>
      <c r="V13" s="10">
        <f>-'Table 5C1P-Vision'!AI16</f>
        <v>0</v>
      </c>
      <c r="W13" s="10">
        <f>-'Table 5C1Q-Advantage'!AI16</f>
        <v>0</v>
      </c>
      <c r="X13" s="10">
        <f>-'Table 5C1R-Iberville'!AI16</f>
        <v>0</v>
      </c>
      <c r="Y13" s="10">
        <f>-'Table 5C1S-L.C. Coll Prep'!AI16</f>
        <v>-34008</v>
      </c>
      <c r="Z13" s="10">
        <f>-'Table 5C1T-Northeast'!AI16</f>
        <v>0</v>
      </c>
      <c r="AA13" s="10">
        <f>-'Table 5C1U-Acadiana Ren'!AI16</f>
        <v>0</v>
      </c>
      <c r="AB13" s="10">
        <f>-'Table 5C1V-Laf Ren'!AI16</f>
        <v>-2913</v>
      </c>
      <c r="AC13" s="10">
        <f>-'Table 5C1W-Willow'!AI16</f>
        <v>0</v>
      </c>
      <c r="AD13" s="10">
        <f>-'Table 5C2 - LA Virtual Admy'!AJ16</f>
        <v>-11516</v>
      </c>
      <c r="AE13" s="10">
        <f>-'Table 5C3 - LA Connections EBR'!AJ16</f>
        <v>-27345</v>
      </c>
      <c r="AF13" s="10">
        <f t="shared" si="53"/>
        <v>-774114</v>
      </c>
      <c r="AG13" s="15">
        <f t="shared" si="54"/>
        <v>11973092</v>
      </c>
      <c r="AH13" s="10"/>
      <c r="AI13" s="10"/>
      <c r="AJ13" s="10"/>
      <c r="AK13" s="10">
        <f>'Table 5C1A-Madison Prep'!AO16</f>
        <v>0</v>
      </c>
      <c r="AL13" s="10">
        <f>'Table 5C1B-DArbonne'!AO16</f>
        <v>0</v>
      </c>
      <c r="AM13" s="10">
        <f>'Table 5C1C-Intl_VIBE'!AO16</f>
        <v>0</v>
      </c>
      <c r="AN13" s="10">
        <f>'Table 5C1D-NOMMA'!AO16</f>
        <v>0</v>
      </c>
      <c r="AO13" s="10">
        <f>'Table 5C1E-LFNO'!AO16</f>
        <v>0</v>
      </c>
      <c r="AP13" s="10">
        <f>'Table 5C1F-Lake Charles Charter'!AO16</f>
        <v>-53.263750000000073</v>
      </c>
      <c r="AQ13" s="10">
        <f>'Table 5C1G-JS Clark Academy'!AO16</f>
        <v>0</v>
      </c>
      <c r="AR13" s="10">
        <f>'Table 5C1H-Southwest LA Charter'!AO16</f>
        <v>-2417.40625</v>
      </c>
      <c r="AS13" s="10">
        <f>'Table 5C1I-LA Key Academy'!AO16</f>
        <v>0</v>
      </c>
      <c r="AT13" s="10">
        <f>'Table 5C1J-Jefferson Chamber'!AO16</f>
        <v>0</v>
      </c>
      <c r="AU13" s="10">
        <f>'Table 5C1K-Tallulah Charter'!AO16</f>
        <v>0</v>
      </c>
      <c r="AV13" s="10">
        <f>'Table 5C1L-Northshore Charter'!AO16</f>
        <v>0</v>
      </c>
      <c r="AW13" s="10">
        <f>'Table 5C1M-B.R. Charter'!AO16</f>
        <v>0</v>
      </c>
      <c r="AX13" s="10">
        <f>'Table 5C1N-Delta Charter'!AO16</f>
        <v>0</v>
      </c>
      <c r="AY13" s="10">
        <f>'Table 5C1O-Impact'!AO16</f>
        <v>0</v>
      </c>
      <c r="AZ13" s="10">
        <f>+'Table 5C1P-Vision'!AO16</f>
        <v>0</v>
      </c>
      <c r="BA13" s="10">
        <f>+'Table 5C1Q-Advantage'!AO16</f>
        <v>0</v>
      </c>
      <c r="BB13" s="10">
        <f>+'Table 5C1R-Iberville'!AO16</f>
        <v>0</v>
      </c>
      <c r="BC13" s="10">
        <f>+'Table 5C1S-L.C. Coll Prep'!AO16</f>
        <v>77.529999999999973</v>
      </c>
      <c r="BD13" s="10">
        <f>+'Table 5C1T-Northeast'!AO16</f>
        <v>0</v>
      </c>
      <c r="BE13" s="10">
        <f>+'Table 5C1U-Acadiana Ren'!AO16</f>
        <v>0</v>
      </c>
      <c r="BF13" s="10">
        <f>+'Table 5C1V-Laf Ren'!AO16</f>
        <v>-57.737500000000004</v>
      </c>
      <c r="BG13" s="10">
        <f>+'Table 5C1W-Willow'!AO16</f>
        <v>0</v>
      </c>
      <c r="BH13" s="10">
        <f>'Table 5C2 - LA Virtual Admy'!AP16</f>
        <v>151.61062499999991</v>
      </c>
      <c r="BI13" s="10">
        <f>'Table 5C3 - LA Connections EBR'!AP16</f>
        <v>-223.95825000000008</v>
      </c>
      <c r="BJ13" s="15">
        <f t="shared" si="55"/>
        <v>11970568.774875</v>
      </c>
    </row>
    <row r="14" spans="1:62" ht="14.45" customHeight="1">
      <c r="A14" s="224">
        <v>11</v>
      </c>
      <c r="B14" s="225" t="s">
        <v>83</v>
      </c>
      <c r="C14" s="226">
        <f>'Table 2_State Distrib and Adjs'!AL17</f>
        <v>1072429</v>
      </c>
      <c r="D14" s="227">
        <f>-'Table 5A3_OJJ'!W16</f>
        <v>0</v>
      </c>
      <c r="E14" s="227"/>
      <c r="F14" s="227"/>
      <c r="G14" s="227">
        <f>-'Table 5C1A-Madison Prep'!AI17</f>
        <v>0</v>
      </c>
      <c r="H14" s="227">
        <f>-'Table 5C1B-DArbonne'!AI17</f>
        <v>0</v>
      </c>
      <c r="I14" s="227">
        <f>-'Table 5C1C-Intl_VIBE'!AI17</f>
        <v>0</v>
      </c>
      <c r="J14" s="227">
        <f>-'Table 5C1D-NOMMA'!AI17</f>
        <v>0</v>
      </c>
      <c r="K14" s="227">
        <f>-'Table 5C1E-LFNO'!AI17</f>
        <v>0</v>
      </c>
      <c r="L14" s="227">
        <f>-'Table 5C1F-Lake Charles Charter'!AI17</f>
        <v>0</v>
      </c>
      <c r="M14" s="227">
        <f>-'Table 5C1G-JS Clark Academy'!AI17</f>
        <v>0</v>
      </c>
      <c r="N14" s="227">
        <f>-'Table 5C1H-Southwest LA Charter'!AI17</f>
        <v>0</v>
      </c>
      <c r="O14" s="227">
        <f>-'Table 5C1I-LA Key Academy'!AI17</f>
        <v>0</v>
      </c>
      <c r="P14" s="227">
        <f>-'Table 5C1J-Jefferson Chamber'!AI17</f>
        <v>0</v>
      </c>
      <c r="Q14" s="227">
        <f>-'Table 5C1K-Tallulah Charter'!AI17</f>
        <v>0</v>
      </c>
      <c r="R14" s="227">
        <f>-'Table 5C1L-Northshore Charter'!AI17</f>
        <v>0</v>
      </c>
      <c r="S14" s="227">
        <f>-'Table 5C1M-B.R. Charter'!AI17</f>
        <v>0</v>
      </c>
      <c r="T14" s="227">
        <f>-'Table 5C1N-Delta Charter'!AI17</f>
        <v>0</v>
      </c>
      <c r="U14" s="227">
        <f>-'Table 5C1O-Impact'!AI17</f>
        <v>0</v>
      </c>
      <c r="V14" s="227">
        <f>-'Table 5C1P-Vision'!AI17</f>
        <v>0</v>
      </c>
      <c r="W14" s="227">
        <f>-'Table 5C1Q-Advantage'!AI17</f>
        <v>0</v>
      </c>
      <c r="X14" s="227">
        <f>-'Table 5C1R-Iberville'!AI17</f>
        <v>0</v>
      </c>
      <c r="Y14" s="227">
        <f>-'Table 5C1S-L.C. Coll Prep'!AI17</f>
        <v>0</v>
      </c>
      <c r="Z14" s="227">
        <f>-'Table 5C1T-Northeast'!AI17</f>
        <v>0</v>
      </c>
      <c r="AA14" s="227">
        <f>-'Table 5C1U-Acadiana Ren'!AI17</f>
        <v>0</v>
      </c>
      <c r="AB14" s="227">
        <f>-'Table 5C1V-Laf Ren'!AI17</f>
        <v>0</v>
      </c>
      <c r="AC14" s="227">
        <f>-'Table 5C1W-Willow'!AI17</f>
        <v>0</v>
      </c>
      <c r="AD14" s="227">
        <f>-'Table 5C2 - LA Virtual Admy'!AJ17</f>
        <v>137</v>
      </c>
      <c r="AE14" s="227">
        <f>-'Table 5C3 - LA Connections EBR'!AJ17</f>
        <v>-528</v>
      </c>
      <c r="AF14" s="227">
        <f t="shared" si="53"/>
        <v>-391</v>
      </c>
      <c r="AG14" s="248">
        <f t="shared" si="54"/>
        <v>1072038</v>
      </c>
      <c r="AH14" s="227"/>
      <c r="AI14" s="227"/>
      <c r="AJ14" s="227"/>
      <c r="AK14" s="227">
        <f>'Table 5C1A-Madison Prep'!AO17</f>
        <v>0</v>
      </c>
      <c r="AL14" s="227">
        <f>'Table 5C1B-DArbonne'!AO17</f>
        <v>0</v>
      </c>
      <c r="AM14" s="227">
        <f>'Table 5C1C-Intl_VIBE'!AO17</f>
        <v>0</v>
      </c>
      <c r="AN14" s="227">
        <f>'Table 5C1D-NOMMA'!AO17</f>
        <v>0</v>
      </c>
      <c r="AO14" s="227">
        <f>'Table 5C1E-LFNO'!AO17</f>
        <v>0</v>
      </c>
      <c r="AP14" s="227">
        <f>'Table 5C1F-Lake Charles Charter'!AO17</f>
        <v>0</v>
      </c>
      <c r="AQ14" s="227">
        <f>'Table 5C1G-JS Clark Academy'!AO17</f>
        <v>0</v>
      </c>
      <c r="AR14" s="227">
        <f>'Table 5C1H-Southwest LA Charter'!AO17</f>
        <v>0</v>
      </c>
      <c r="AS14" s="227">
        <f>'Table 5C1I-LA Key Academy'!AO17</f>
        <v>0</v>
      </c>
      <c r="AT14" s="227">
        <f>'Table 5C1J-Jefferson Chamber'!AO17</f>
        <v>0</v>
      </c>
      <c r="AU14" s="227">
        <f>'Table 5C1K-Tallulah Charter'!AO17</f>
        <v>0</v>
      </c>
      <c r="AV14" s="227">
        <f>'Table 5C1L-Northshore Charter'!AO17</f>
        <v>0</v>
      </c>
      <c r="AW14" s="227">
        <f>'Table 5C1M-B.R. Charter'!AO17</f>
        <v>0</v>
      </c>
      <c r="AX14" s="227">
        <f>'Table 5C1N-Delta Charter'!AO17</f>
        <v>0</v>
      </c>
      <c r="AY14" s="227">
        <f>'Table 5C1O-Impact'!AO17</f>
        <v>0</v>
      </c>
      <c r="AZ14" s="227">
        <f>+'Table 5C1P-Vision'!AO17</f>
        <v>0</v>
      </c>
      <c r="BA14" s="227">
        <f>+'Table 5C1Q-Advantage'!AO17</f>
        <v>0</v>
      </c>
      <c r="BB14" s="227">
        <f>+'Table 5C1R-Iberville'!AO17</f>
        <v>0</v>
      </c>
      <c r="BC14" s="227">
        <f>+'Table 5C1S-L.C. Coll Prep'!AO17</f>
        <v>0</v>
      </c>
      <c r="BD14" s="227">
        <f>+'Table 5C1T-Northeast'!AO17</f>
        <v>0</v>
      </c>
      <c r="BE14" s="227">
        <f>+'Table 5C1U-Acadiana Ren'!AO17</f>
        <v>0</v>
      </c>
      <c r="BF14" s="227">
        <f>+'Table 5C1V-Laf Ren'!AO17</f>
        <v>0</v>
      </c>
      <c r="BG14" s="227">
        <f>+'Table 5C1W-Willow'!AO17</f>
        <v>0</v>
      </c>
      <c r="BH14" s="227">
        <f>'Table 5C2 - LA Virtual Admy'!AP17</f>
        <v>12.145500000000002</v>
      </c>
      <c r="BI14" s="227">
        <f>'Table 5C3 - LA Connections EBR'!AP17</f>
        <v>-8.0392499999999991</v>
      </c>
      <c r="BJ14" s="248">
        <f t="shared" si="55"/>
        <v>1072042.1062500002</v>
      </c>
    </row>
    <row r="15" spans="1:62" ht="14.45" customHeight="1">
      <c r="A15" s="224">
        <v>12</v>
      </c>
      <c r="B15" s="225" t="s">
        <v>84</v>
      </c>
      <c r="C15" s="226">
        <f>'Table 2_State Distrib and Adjs'!AL18</f>
        <v>297277</v>
      </c>
      <c r="D15" s="227">
        <f>-'Table 5A3_OJJ'!W17</f>
        <v>0</v>
      </c>
      <c r="E15" s="227"/>
      <c r="F15" s="227"/>
      <c r="G15" s="227">
        <f>-'Table 5C1A-Madison Prep'!AI18</f>
        <v>0</v>
      </c>
      <c r="H15" s="227">
        <f>-'Table 5C1B-DArbonne'!AI18</f>
        <v>0</v>
      </c>
      <c r="I15" s="227">
        <f>-'Table 5C1C-Intl_VIBE'!AI18</f>
        <v>0</v>
      </c>
      <c r="J15" s="227">
        <f>-'Table 5C1D-NOMMA'!AI18</f>
        <v>0</v>
      </c>
      <c r="K15" s="227">
        <f>-'Table 5C1E-LFNO'!AI18</f>
        <v>0</v>
      </c>
      <c r="L15" s="227">
        <f>-'Table 5C1F-Lake Charles Charter'!AI18</f>
        <v>0</v>
      </c>
      <c r="M15" s="227">
        <f>-'Table 5C1G-JS Clark Academy'!AI18</f>
        <v>0</v>
      </c>
      <c r="N15" s="227">
        <f>-'Table 5C1H-Southwest LA Charter'!AI18</f>
        <v>0</v>
      </c>
      <c r="O15" s="227">
        <f>-'Table 5C1I-LA Key Academy'!AI18</f>
        <v>0</v>
      </c>
      <c r="P15" s="227">
        <f>-'Table 5C1J-Jefferson Chamber'!AI18</f>
        <v>0</v>
      </c>
      <c r="Q15" s="227">
        <f>-'Table 5C1K-Tallulah Charter'!AI18</f>
        <v>0</v>
      </c>
      <c r="R15" s="227">
        <f>-'Table 5C1L-Northshore Charter'!AI18</f>
        <v>0</v>
      </c>
      <c r="S15" s="227">
        <f>-'Table 5C1M-B.R. Charter'!AI18</f>
        <v>0</v>
      </c>
      <c r="T15" s="227">
        <f>-'Table 5C1N-Delta Charter'!AI18</f>
        <v>0</v>
      </c>
      <c r="U15" s="227">
        <f>-'Table 5C1O-Impact'!AI18</f>
        <v>0</v>
      </c>
      <c r="V15" s="227">
        <f>-'Table 5C1P-Vision'!AI18</f>
        <v>0</v>
      </c>
      <c r="W15" s="227">
        <f>-'Table 5C1Q-Advantage'!AI18</f>
        <v>0</v>
      </c>
      <c r="X15" s="227">
        <f>-'Table 5C1R-Iberville'!AI18</f>
        <v>0</v>
      </c>
      <c r="Y15" s="227">
        <f>-'Table 5C1S-L.C. Coll Prep'!AI18</f>
        <v>0</v>
      </c>
      <c r="Z15" s="227">
        <f>-'Table 5C1T-Northeast'!AI18</f>
        <v>0</v>
      </c>
      <c r="AA15" s="227">
        <f>-'Table 5C1U-Acadiana Ren'!AI18</f>
        <v>0</v>
      </c>
      <c r="AB15" s="227">
        <f>-'Table 5C1V-Laf Ren'!AI18</f>
        <v>0</v>
      </c>
      <c r="AC15" s="227">
        <f>-'Table 5C1W-Willow'!AI18</f>
        <v>0</v>
      </c>
      <c r="AD15" s="227">
        <f>-'Table 5C2 - LA Virtual Admy'!AJ18</f>
        <v>-303</v>
      </c>
      <c r="AE15" s="227">
        <f>-'Table 5C3 - LA Connections EBR'!AJ18</f>
        <v>-1513</v>
      </c>
      <c r="AF15" s="227">
        <f t="shared" si="53"/>
        <v>-1816</v>
      </c>
      <c r="AG15" s="248">
        <f t="shared" si="54"/>
        <v>295461</v>
      </c>
      <c r="AH15" s="227"/>
      <c r="AI15" s="227"/>
      <c r="AJ15" s="227"/>
      <c r="AK15" s="227">
        <f>'Table 5C1A-Madison Prep'!AO18</f>
        <v>0</v>
      </c>
      <c r="AL15" s="227">
        <f>'Table 5C1B-DArbonne'!AO18</f>
        <v>0</v>
      </c>
      <c r="AM15" s="227">
        <f>'Table 5C1C-Intl_VIBE'!AO18</f>
        <v>0</v>
      </c>
      <c r="AN15" s="227">
        <f>'Table 5C1D-NOMMA'!AO18</f>
        <v>0</v>
      </c>
      <c r="AO15" s="227">
        <f>'Table 5C1E-LFNO'!AO18</f>
        <v>0</v>
      </c>
      <c r="AP15" s="227">
        <f>'Table 5C1F-Lake Charles Charter'!AO18</f>
        <v>0</v>
      </c>
      <c r="AQ15" s="227">
        <f>'Table 5C1G-JS Clark Academy'!AO18</f>
        <v>0</v>
      </c>
      <c r="AR15" s="227">
        <f>'Table 5C1H-Southwest LA Charter'!AO18</f>
        <v>0</v>
      </c>
      <c r="AS15" s="227">
        <f>'Table 5C1I-LA Key Academy'!AO18</f>
        <v>0</v>
      </c>
      <c r="AT15" s="227">
        <f>'Table 5C1J-Jefferson Chamber'!AO18</f>
        <v>0</v>
      </c>
      <c r="AU15" s="227">
        <f>'Table 5C1K-Tallulah Charter'!AO18</f>
        <v>0</v>
      </c>
      <c r="AV15" s="227">
        <f>'Table 5C1L-Northshore Charter'!AO18</f>
        <v>0</v>
      </c>
      <c r="AW15" s="227">
        <f>'Table 5C1M-B.R. Charter'!AO18</f>
        <v>0</v>
      </c>
      <c r="AX15" s="227">
        <f>'Table 5C1N-Delta Charter'!AO18</f>
        <v>0</v>
      </c>
      <c r="AY15" s="227">
        <f>'Table 5C1O-Impact'!AO18</f>
        <v>0</v>
      </c>
      <c r="AZ15" s="227">
        <f>+'Table 5C1P-Vision'!AO18</f>
        <v>0</v>
      </c>
      <c r="BA15" s="227">
        <f>+'Table 5C1Q-Advantage'!AO18</f>
        <v>0</v>
      </c>
      <c r="BB15" s="227">
        <f>+'Table 5C1R-Iberville'!AO18</f>
        <v>0</v>
      </c>
      <c r="BC15" s="227">
        <f>+'Table 5C1S-L.C. Coll Prep'!AO18</f>
        <v>0</v>
      </c>
      <c r="BD15" s="227">
        <f>+'Table 5C1T-Northeast'!AO18</f>
        <v>0</v>
      </c>
      <c r="BE15" s="227">
        <f>+'Table 5C1U-Acadiana Ren'!AO18</f>
        <v>0</v>
      </c>
      <c r="BF15" s="227">
        <f>+'Table 5C1V-Laf Ren'!AO18</f>
        <v>0</v>
      </c>
      <c r="BG15" s="227">
        <f>+'Table 5C1W-Willow'!AO18</f>
        <v>0</v>
      </c>
      <c r="BH15" s="227">
        <f>'Table 5C2 - LA Virtual Admy'!AP18</f>
        <v>9.1057499999999969</v>
      </c>
      <c r="BI15" s="227">
        <f>'Table 5C3 - LA Connections EBR'!AP18</f>
        <v>-9.105750000000004</v>
      </c>
      <c r="BJ15" s="248">
        <f t="shared" si="55"/>
        <v>295461</v>
      </c>
    </row>
    <row r="16" spans="1:62" ht="14.45" customHeight="1">
      <c r="A16" s="224">
        <v>13</v>
      </c>
      <c r="B16" s="225" t="s">
        <v>85</v>
      </c>
      <c r="C16" s="226">
        <f>'Table 2_State Distrib and Adjs'!AL19</f>
        <v>850046</v>
      </c>
      <c r="D16" s="227">
        <f>-'Table 5A3_OJJ'!W18</f>
        <v>0</v>
      </c>
      <c r="E16" s="227"/>
      <c r="F16" s="227"/>
      <c r="G16" s="227">
        <f>-'Table 5C1A-Madison Prep'!AI19</f>
        <v>0</v>
      </c>
      <c r="H16" s="227">
        <f>-'Table 5C1B-DArbonne'!AI19</f>
        <v>0</v>
      </c>
      <c r="I16" s="227">
        <f>-'Table 5C1C-Intl_VIBE'!AI19</f>
        <v>0</v>
      </c>
      <c r="J16" s="227">
        <f>-'Table 5C1D-NOMMA'!AI19</f>
        <v>0</v>
      </c>
      <c r="K16" s="227">
        <f>-'Table 5C1E-LFNO'!AI19</f>
        <v>0</v>
      </c>
      <c r="L16" s="227">
        <f>-'Table 5C1F-Lake Charles Charter'!AI19</f>
        <v>0</v>
      </c>
      <c r="M16" s="227">
        <f>-'Table 5C1G-JS Clark Academy'!AI19</f>
        <v>0</v>
      </c>
      <c r="N16" s="227">
        <f>-'Table 5C1H-Southwest LA Charter'!AI19</f>
        <v>0</v>
      </c>
      <c r="O16" s="227">
        <f>-'Table 5C1I-LA Key Academy'!AI19</f>
        <v>0</v>
      </c>
      <c r="P16" s="227">
        <f>-'Table 5C1J-Jefferson Chamber'!AI19</f>
        <v>0</v>
      </c>
      <c r="Q16" s="227">
        <f>-'Table 5C1K-Tallulah Charter'!AI19</f>
        <v>0</v>
      </c>
      <c r="R16" s="227">
        <f>-'Table 5C1L-Northshore Charter'!AI19</f>
        <v>0</v>
      </c>
      <c r="S16" s="227">
        <f>-'Table 5C1M-B.R. Charter'!AI19</f>
        <v>0</v>
      </c>
      <c r="T16" s="227">
        <f>-'Table 5C1N-Delta Charter'!AI19</f>
        <v>-19888</v>
      </c>
      <c r="U16" s="227">
        <f>-'Table 5C1O-Impact'!AI19</f>
        <v>0</v>
      </c>
      <c r="V16" s="227">
        <f>-'Table 5C1P-Vision'!AI19</f>
        <v>0</v>
      </c>
      <c r="W16" s="227">
        <f>-'Table 5C1Q-Advantage'!AI19</f>
        <v>0</v>
      </c>
      <c r="X16" s="227">
        <f>-'Table 5C1R-Iberville'!AI19</f>
        <v>0</v>
      </c>
      <c r="Y16" s="227">
        <f>-'Table 5C1S-L.C. Coll Prep'!AI19</f>
        <v>0</v>
      </c>
      <c r="Z16" s="227">
        <f>-'Table 5C1T-Northeast'!AI19</f>
        <v>0</v>
      </c>
      <c r="AA16" s="227">
        <f>-'Table 5C1U-Acadiana Ren'!AI19</f>
        <v>0</v>
      </c>
      <c r="AB16" s="227">
        <f>-'Table 5C1V-Laf Ren'!AI19</f>
        <v>0</v>
      </c>
      <c r="AC16" s="227">
        <f>-'Table 5C1W-Willow'!AI19</f>
        <v>0</v>
      </c>
      <c r="AD16" s="227">
        <f>-'Table 5C2 - LA Virtual Admy'!AJ19</f>
        <v>186</v>
      </c>
      <c r="AE16" s="227">
        <f>-'Table 5C3 - LA Connections EBR'!AJ19</f>
        <v>-136</v>
      </c>
      <c r="AF16" s="227">
        <f t="shared" si="53"/>
        <v>-19838</v>
      </c>
      <c r="AG16" s="248">
        <f t="shared" si="54"/>
        <v>830208</v>
      </c>
      <c r="AH16" s="227"/>
      <c r="AI16" s="227"/>
      <c r="AJ16" s="227"/>
      <c r="AK16" s="227">
        <f>'Table 5C1A-Madison Prep'!AO19</f>
        <v>0</v>
      </c>
      <c r="AL16" s="227">
        <f>'Table 5C1B-DArbonne'!AO19</f>
        <v>0</v>
      </c>
      <c r="AM16" s="227">
        <f>'Table 5C1C-Intl_VIBE'!AO19</f>
        <v>0</v>
      </c>
      <c r="AN16" s="227">
        <f>'Table 5C1D-NOMMA'!AO19</f>
        <v>0</v>
      </c>
      <c r="AO16" s="227">
        <f>'Table 5C1E-LFNO'!AO19</f>
        <v>0</v>
      </c>
      <c r="AP16" s="227">
        <f>'Table 5C1F-Lake Charles Charter'!AO19</f>
        <v>0</v>
      </c>
      <c r="AQ16" s="227">
        <f>'Table 5C1G-JS Clark Academy'!AO19</f>
        <v>0</v>
      </c>
      <c r="AR16" s="227">
        <f>'Table 5C1H-Southwest LA Charter'!AO19</f>
        <v>0</v>
      </c>
      <c r="AS16" s="227">
        <f>'Table 5C1I-LA Key Academy'!AO19</f>
        <v>0</v>
      </c>
      <c r="AT16" s="227">
        <f>'Table 5C1J-Jefferson Chamber'!AO19</f>
        <v>0</v>
      </c>
      <c r="AU16" s="227">
        <f>'Table 5C1K-Tallulah Charter'!AO19</f>
        <v>0</v>
      </c>
      <c r="AV16" s="227">
        <f>'Table 5C1L-Northshore Charter'!AO19</f>
        <v>0</v>
      </c>
      <c r="AW16" s="227">
        <f>'Table 5C1M-B.R. Charter'!AO19</f>
        <v>0</v>
      </c>
      <c r="AX16" s="227">
        <f>'Table 5C1N-Delta Charter'!AO19</f>
        <v>-102.28000000000003</v>
      </c>
      <c r="AY16" s="227">
        <f>'Table 5C1O-Impact'!AO19</f>
        <v>0</v>
      </c>
      <c r="AZ16" s="227">
        <f>+'Table 5C1P-Vision'!AO19</f>
        <v>0</v>
      </c>
      <c r="BA16" s="227">
        <f>+'Table 5C1Q-Advantage'!AO19</f>
        <v>0</v>
      </c>
      <c r="BB16" s="227">
        <f>+'Table 5C1R-Iberville'!AO19</f>
        <v>0</v>
      </c>
      <c r="BC16" s="227">
        <f>+'Table 5C1S-L.C. Coll Prep'!AO19</f>
        <v>0</v>
      </c>
      <c r="BD16" s="227">
        <f>+'Table 5C1T-Northeast'!AO19</f>
        <v>0</v>
      </c>
      <c r="BE16" s="227">
        <f>+'Table 5C1U-Acadiana Ren'!AO19</f>
        <v>0</v>
      </c>
      <c r="BF16" s="227">
        <f>+'Table 5C1V-Laf Ren'!AO19</f>
        <v>0</v>
      </c>
      <c r="BG16" s="227">
        <f>+'Table 5C1W-Willow'!AO19</f>
        <v>0</v>
      </c>
      <c r="BH16" s="227">
        <f>'Table 5C2 - LA Virtual Admy'!AP19</f>
        <v>16.796250000000001</v>
      </c>
      <c r="BI16" s="227">
        <f>'Table 5C3 - LA Connections EBR'!AP19</f>
        <v>32.692499999999995</v>
      </c>
      <c r="BJ16" s="248">
        <f t="shared" si="55"/>
        <v>830155.20874999999</v>
      </c>
    </row>
    <row r="17" spans="1:62" ht="14.45" customHeight="1">
      <c r="A17" s="224">
        <v>14</v>
      </c>
      <c r="B17" s="225" t="s">
        <v>86</v>
      </c>
      <c r="C17" s="226">
        <f>'Table 2_State Distrib and Adjs'!AL20</f>
        <v>845234</v>
      </c>
      <c r="D17" s="227">
        <f>-'Table 5A3_OJJ'!W19</f>
        <v>-381</v>
      </c>
      <c r="E17" s="227"/>
      <c r="F17" s="227"/>
      <c r="G17" s="227">
        <f>-'Table 5C1A-Madison Prep'!AI20</f>
        <v>0</v>
      </c>
      <c r="H17" s="227">
        <f>-'Table 5C1B-DArbonne'!AI20</f>
        <v>-1092</v>
      </c>
      <c r="I17" s="227">
        <f>-'Table 5C1C-Intl_VIBE'!AI20</f>
        <v>0</v>
      </c>
      <c r="J17" s="227">
        <f>-'Table 5C1D-NOMMA'!AI20</f>
        <v>0</v>
      </c>
      <c r="K17" s="227">
        <f>-'Table 5C1E-LFNO'!AI20</f>
        <v>0</v>
      </c>
      <c r="L17" s="227">
        <f>-'Table 5C1F-Lake Charles Charter'!AI20</f>
        <v>0</v>
      </c>
      <c r="M17" s="227">
        <f>-'Table 5C1G-JS Clark Academy'!AI20</f>
        <v>0</v>
      </c>
      <c r="N17" s="227">
        <f>-'Table 5C1H-Southwest LA Charter'!AI20</f>
        <v>0</v>
      </c>
      <c r="O17" s="227">
        <f>-'Table 5C1I-LA Key Academy'!AI20</f>
        <v>0</v>
      </c>
      <c r="P17" s="227">
        <f>-'Table 5C1J-Jefferson Chamber'!AI20</f>
        <v>0</v>
      </c>
      <c r="Q17" s="227">
        <f>-'Table 5C1K-Tallulah Charter'!AI20</f>
        <v>0</v>
      </c>
      <c r="R17" s="227">
        <f>-'Table 5C1L-Northshore Charter'!AI20</f>
        <v>0</v>
      </c>
      <c r="S17" s="227">
        <f>-'Table 5C1M-B.R. Charter'!AI20</f>
        <v>0</v>
      </c>
      <c r="T17" s="227">
        <f>-'Table 5C1N-Delta Charter'!AI20</f>
        <v>0</v>
      </c>
      <c r="U17" s="227">
        <f>-'Table 5C1O-Impact'!AI20</f>
        <v>0</v>
      </c>
      <c r="V17" s="227">
        <f>-'Table 5C1P-Vision'!AI20</f>
        <v>0</v>
      </c>
      <c r="W17" s="227">
        <f>-'Table 5C1Q-Advantage'!AI20</f>
        <v>0</v>
      </c>
      <c r="X17" s="227">
        <f>-'Table 5C1R-Iberville'!AI20</f>
        <v>0</v>
      </c>
      <c r="Y17" s="227">
        <f>-'Table 5C1S-L.C. Coll Prep'!AI20</f>
        <v>0</v>
      </c>
      <c r="Z17" s="227">
        <f>-'Table 5C1T-Northeast'!AI20</f>
        <v>-25289</v>
      </c>
      <c r="AA17" s="227">
        <f>-'Table 5C1U-Acadiana Ren'!AI20</f>
        <v>0</v>
      </c>
      <c r="AB17" s="227">
        <f>-'Table 5C1V-Laf Ren'!AI20</f>
        <v>0</v>
      </c>
      <c r="AC17" s="227">
        <f>-'Table 5C1W-Willow'!AI20</f>
        <v>0</v>
      </c>
      <c r="AD17" s="227">
        <f>-'Table 5C2 - LA Virtual Admy'!AJ20</f>
        <v>-1404</v>
      </c>
      <c r="AE17" s="227">
        <f>-'Table 5C3 - LA Connections EBR'!AJ20</f>
        <v>-10435</v>
      </c>
      <c r="AF17" s="227">
        <f t="shared" si="53"/>
        <v>-38601</v>
      </c>
      <c r="AG17" s="248">
        <f t="shared" si="54"/>
        <v>806633</v>
      </c>
      <c r="AH17" s="227"/>
      <c r="AI17" s="227"/>
      <c r="AJ17" s="227"/>
      <c r="AK17" s="227">
        <f>'Table 5C1A-Madison Prep'!AO20</f>
        <v>0</v>
      </c>
      <c r="AL17" s="227">
        <f>'Table 5C1B-DArbonne'!AO20</f>
        <v>-10.2575</v>
      </c>
      <c r="AM17" s="227">
        <f>'Table 5C1C-Intl_VIBE'!AO20</f>
        <v>0</v>
      </c>
      <c r="AN17" s="227">
        <f>'Table 5C1D-NOMMA'!AO20</f>
        <v>0</v>
      </c>
      <c r="AO17" s="227">
        <f>'Table 5C1E-LFNO'!AO20</f>
        <v>0</v>
      </c>
      <c r="AP17" s="227">
        <f>'Table 5C1F-Lake Charles Charter'!AO20</f>
        <v>0</v>
      </c>
      <c r="AQ17" s="227">
        <f>'Table 5C1G-JS Clark Academy'!AO20</f>
        <v>0</v>
      </c>
      <c r="AR17" s="227">
        <f>'Table 5C1H-Southwest LA Charter'!AO20</f>
        <v>0</v>
      </c>
      <c r="AS17" s="227">
        <f>'Table 5C1I-LA Key Academy'!AO20</f>
        <v>0</v>
      </c>
      <c r="AT17" s="227">
        <f>'Table 5C1J-Jefferson Chamber'!AO20</f>
        <v>0</v>
      </c>
      <c r="AU17" s="227">
        <f>'Table 5C1K-Tallulah Charter'!AO20</f>
        <v>0</v>
      </c>
      <c r="AV17" s="227">
        <f>'Table 5C1L-Northshore Charter'!AO20</f>
        <v>0</v>
      </c>
      <c r="AW17" s="227">
        <f>'Table 5C1M-B.R. Charter'!AO20</f>
        <v>0</v>
      </c>
      <c r="AX17" s="227">
        <f>'Table 5C1N-Delta Charter'!AO20</f>
        <v>0</v>
      </c>
      <c r="AY17" s="227">
        <f>'Table 5C1O-Impact'!AO20</f>
        <v>0</v>
      </c>
      <c r="AZ17" s="227">
        <f>+'Table 5C1P-Vision'!AO20</f>
        <v>0</v>
      </c>
      <c r="BA17" s="227">
        <f>+'Table 5C1Q-Advantage'!AO20</f>
        <v>0</v>
      </c>
      <c r="BB17" s="227">
        <f>+'Table 5C1R-Iberville'!AO20</f>
        <v>0</v>
      </c>
      <c r="BC17" s="227">
        <f>+'Table 5C1S-L.C. Coll Prep'!AO20</f>
        <v>0</v>
      </c>
      <c r="BD17" s="227">
        <f>+'Table 5C1T-Northeast'!AO20</f>
        <v>1.58624999999995</v>
      </c>
      <c r="BE17" s="227">
        <f>+'Table 5C1U-Acadiana Ren'!AO20</f>
        <v>0</v>
      </c>
      <c r="BF17" s="227">
        <f>+'Table 5C1V-Laf Ren'!AO20</f>
        <v>0</v>
      </c>
      <c r="BG17" s="227">
        <f>+'Table 5C1W-Willow'!AO20</f>
        <v>0</v>
      </c>
      <c r="BH17" s="227">
        <f>'Table 5C2 - LA Virtual Admy'!AP20</f>
        <v>-14.077125000000001</v>
      </c>
      <c r="BI17" s="227">
        <f>'Table 5C3 - LA Connections EBR'!AP20</f>
        <v>-50.315625000000011</v>
      </c>
      <c r="BJ17" s="248">
        <f t="shared" si="55"/>
        <v>806559.9360000001</v>
      </c>
    </row>
    <row r="18" spans="1:62" ht="14.45" customHeight="1">
      <c r="A18" s="3">
        <v>15</v>
      </c>
      <c r="B18" s="7" t="s">
        <v>87</v>
      </c>
      <c r="C18" s="9">
        <f>'Table 2_State Distrib and Adjs'!AL21</f>
        <v>1763192</v>
      </c>
      <c r="D18" s="10">
        <f>-'Table 5A3_OJJ'!W20</f>
        <v>0</v>
      </c>
      <c r="E18" s="10"/>
      <c r="F18" s="10"/>
      <c r="G18" s="10">
        <f>-'Table 5C1A-Madison Prep'!AI21</f>
        <v>0</v>
      </c>
      <c r="H18" s="10">
        <f>-'Table 5C1B-DArbonne'!AI21</f>
        <v>0</v>
      </c>
      <c r="I18" s="10">
        <f>-'Table 5C1C-Intl_VIBE'!AI21</f>
        <v>0</v>
      </c>
      <c r="J18" s="10">
        <f>-'Table 5C1D-NOMMA'!AI21</f>
        <v>0</v>
      </c>
      <c r="K18" s="10">
        <f>-'Table 5C1E-LFNO'!AI21</f>
        <v>0</v>
      </c>
      <c r="L18" s="10">
        <f>-'Table 5C1F-Lake Charles Charter'!AI21</f>
        <v>0</v>
      </c>
      <c r="M18" s="10">
        <f>-'Table 5C1G-JS Clark Academy'!AI21</f>
        <v>0</v>
      </c>
      <c r="N18" s="10">
        <f>-'Table 5C1H-Southwest LA Charter'!AI21</f>
        <v>0</v>
      </c>
      <c r="O18" s="10">
        <f>-'Table 5C1I-LA Key Academy'!AI21</f>
        <v>0</v>
      </c>
      <c r="P18" s="10">
        <f>-'Table 5C1J-Jefferson Chamber'!AI21</f>
        <v>0</v>
      </c>
      <c r="Q18" s="10">
        <f>-'Table 5C1K-Tallulah Charter'!AI21</f>
        <v>0</v>
      </c>
      <c r="R18" s="10">
        <f>-'Table 5C1L-Northshore Charter'!AI21</f>
        <v>0</v>
      </c>
      <c r="S18" s="10">
        <f>-'Table 5C1M-B.R. Charter'!AI21</f>
        <v>0</v>
      </c>
      <c r="T18" s="10">
        <f>-'Table 5C1N-Delta Charter'!AI21</f>
        <v>-103528</v>
      </c>
      <c r="U18" s="10">
        <f>-'Table 5C1O-Impact'!AI21</f>
        <v>0</v>
      </c>
      <c r="V18" s="10">
        <f>-'Table 5C1P-Vision'!AI21</f>
        <v>0</v>
      </c>
      <c r="W18" s="10">
        <f>-'Table 5C1Q-Advantage'!AI21</f>
        <v>0</v>
      </c>
      <c r="X18" s="10">
        <f>-'Table 5C1R-Iberville'!AI21</f>
        <v>0</v>
      </c>
      <c r="Y18" s="10">
        <f>-'Table 5C1S-L.C. Coll Prep'!AI21</f>
        <v>0</v>
      </c>
      <c r="Z18" s="10">
        <f>-'Table 5C1T-Northeast'!AI21</f>
        <v>0</v>
      </c>
      <c r="AA18" s="10">
        <f>-'Table 5C1U-Acadiana Ren'!AI21</f>
        <v>0</v>
      </c>
      <c r="AB18" s="10">
        <f>-'Table 5C1V-Laf Ren'!AI21</f>
        <v>0</v>
      </c>
      <c r="AC18" s="10">
        <f>-'Table 5C1W-Willow'!AI21</f>
        <v>0</v>
      </c>
      <c r="AD18" s="10">
        <f>-'Table 5C2 - LA Virtual Admy'!AJ21</f>
        <v>-5230</v>
      </c>
      <c r="AE18" s="10">
        <f>-'Table 5C3 - LA Connections EBR'!AJ21</f>
        <v>-1659</v>
      </c>
      <c r="AF18" s="10">
        <f t="shared" si="53"/>
        <v>-110417</v>
      </c>
      <c r="AG18" s="15">
        <f t="shared" si="54"/>
        <v>1652775</v>
      </c>
      <c r="AH18" s="10"/>
      <c r="AI18" s="10"/>
      <c r="AJ18" s="10"/>
      <c r="AK18" s="10">
        <f>'Table 5C1A-Madison Prep'!AO21</f>
        <v>0</v>
      </c>
      <c r="AL18" s="10">
        <f>'Table 5C1B-DArbonne'!AO21</f>
        <v>0</v>
      </c>
      <c r="AM18" s="10">
        <f>'Table 5C1C-Intl_VIBE'!AO21</f>
        <v>0</v>
      </c>
      <c r="AN18" s="10">
        <f>'Table 5C1D-NOMMA'!AO21</f>
        <v>0</v>
      </c>
      <c r="AO18" s="10">
        <f>'Table 5C1E-LFNO'!AO21</f>
        <v>0</v>
      </c>
      <c r="AP18" s="10">
        <f>'Table 5C1F-Lake Charles Charter'!AO21</f>
        <v>0</v>
      </c>
      <c r="AQ18" s="10">
        <f>'Table 5C1G-JS Clark Academy'!AO21</f>
        <v>0</v>
      </c>
      <c r="AR18" s="10">
        <f>'Table 5C1H-Southwest LA Charter'!AO21</f>
        <v>0</v>
      </c>
      <c r="AS18" s="10">
        <f>'Table 5C1I-LA Key Academy'!AO21</f>
        <v>0</v>
      </c>
      <c r="AT18" s="10">
        <f>'Table 5C1J-Jefferson Chamber'!AO21</f>
        <v>0</v>
      </c>
      <c r="AU18" s="10">
        <f>'Table 5C1K-Tallulah Charter'!AO21</f>
        <v>0</v>
      </c>
      <c r="AV18" s="10">
        <f>'Table 5C1L-Northshore Charter'!AO21</f>
        <v>0</v>
      </c>
      <c r="AW18" s="10">
        <f>'Table 5C1M-B.R. Charter'!AO21</f>
        <v>0</v>
      </c>
      <c r="AX18" s="10">
        <f>'Table 5C1N-Delta Charter'!AO21</f>
        <v>-469.61249999999995</v>
      </c>
      <c r="AY18" s="10">
        <f>'Table 5C1O-Impact'!AO21</f>
        <v>0</v>
      </c>
      <c r="AZ18" s="10">
        <f>+'Table 5C1P-Vision'!AO21</f>
        <v>0</v>
      </c>
      <c r="BA18" s="10">
        <f>+'Table 5C1Q-Advantage'!AO21</f>
        <v>0</v>
      </c>
      <c r="BB18" s="10">
        <f>+'Table 5C1R-Iberville'!AO21</f>
        <v>0</v>
      </c>
      <c r="BC18" s="10">
        <f>+'Table 5C1S-L.C. Coll Prep'!AO21</f>
        <v>0</v>
      </c>
      <c r="BD18" s="10">
        <f>+'Table 5C1T-Northeast'!AO21</f>
        <v>0</v>
      </c>
      <c r="BE18" s="10">
        <f>+'Table 5C1U-Acadiana Ren'!AO21</f>
        <v>0</v>
      </c>
      <c r="BF18" s="10">
        <f>+'Table 5C1V-Laf Ren'!AO21</f>
        <v>0</v>
      </c>
      <c r="BG18" s="10">
        <f>+'Table 5C1W-Willow'!AO21</f>
        <v>0</v>
      </c>
      <c r="BH18" s="10">
        <f>'Table 5C2 - LA Virtual Admy'!AP21</f>
        <v>-10.597500000000011</v>
      </c>
      <c r="BI18" s="10">
        <f>'Table 5C3 - LA Connections EBR'!AP21</f>
        <v>-7.1212499999999999</v>
      </c>
      <c r="BJ18" s="15">
        <f t="shared" si="55"/>
        <v>1652287.66875</v>
      </c>
    </row>
    <row r="19" spans="1:62" ht="14.45" customHeight="1">
      <c r="A19" s="224">
        <v>16</v>
      </c>
      <c r="B19" s="225" t="s">
        <v>88</v>
      </c>
      <c r="C19" s="226">
        <f>'Table 2_State Distrib and Adjs'!AL22</f>
        <v>1102139</v>
      </c>
      <c r="D19" s="227">
        <f>-'Table 5A3_OJJ'!W21</f>
        <v>-850</v>
      </c>
      <c r="E19" s="227"/>
      <c r="F19" s="227"/>
      <c r="G19" s="227">
        <f>-'Table 5C1A-Madison Prep'!AI22</f>
        <v>0</v>
      </c>
      <c r="H19" s="227">
        <f>-'Table 5C1B-DArbonne'!AI22</f>
        <v>0</v>
      </c>
      <c r="I19" s="227">
        <f>-'Table 5C1C-Intl_VIBE'!AI22</f>
        <v>0</v>
      </c>
      <c r="J19" s="227">
        <f>-'Table 5C1D-NOMMA'!AI22</f>
        <v>0</v>
      </c>
      <c r="K19" s="227">
        <f>-'Table 5C1E-LFNO'!AI22</f>
        <v>0</v>
      </c>
      <c r="L19" s="227">
        <f>-'Table 5C1F-Lake Charles Charter'!AI22</f>
        <v>0</v>
      </c>
      <c r="M19" s="227">
        <f>-'Table 5C1G-JS Clark Academy'!AI22</f>
        <v>0</v>
      </c>
      <c r="N19" s="227">
        <f>-'Table 5C1H-Southwest LA Charter'!AI22</f>
        <v>0</v>
      </c>
      <c r="O19" s="227">
        <f>-'Table 5C1I-LA Key Academy'!AI22</f>
        <v>0</v>
      </c>
      <c r="P19" s="227">
        <f>-'Table 5C1J-Jefferson Chamber'!AI22</f>
        <v>0</v>
      </c>
      <c r="Q19" s="227">
        <f>-'Table 5C1K-Tallulah Charter'!AI22</f>
        <v>0</v>
      </c>
      <c r="R19" s="227">
        <f>-'Table 5C1L-Northshore Charter'!AI22</f>
        <v>0</v>
      </c>
      <c r="S19" s="227">
        <f>-'Table 5C1M-B.R. Charter'!AI22</f>
        <v>0</v>
      </c>
      <c r="T19" s="227">
        <f>-'Table 5C1N-Delta Charter'!AI22</f>
        <v>0</v>
      </c>
      <c r="U19" s="227">
        <f>-'Table 5C1O-Impact'!AI22</f>
        <v>0</v>
      </c>
      <c r="V19" s="227">
        <f>-'Table 5C1P-Vision'!AI22</f>
        <v>0</v>
      </c>
      <c r="W19" s="227">
        <f>-'Table 5C1Q-Advantage'!AI22</f>
        <v>0</v>
      </c>
      <c r="X19" s="227">
        <f>-'Table 5C1R-Iberville'!AI22</f>
        <v>0</v>
      </c>
      <c r="Y19" s="227">
        <f>-'Table 5C1S-L.C. Coll Prep'!AI22</f>
        <v>0</v>
      </c>
      <c r="Z19" s="227">
        <f>-'Table 5C1T-Northeast'!AI22</f>
        <v>0</v>
      </c>
      <c r="AA19" s="227">
        <f>-'Table 5C1U-Acadiana Ren'!AI22</f>
        <v>0</v>
      </c>
      <c r="AB19" s="227">
        <f>-'Table 5C1V-Laf Ren'!AI22</f>
        <v>0</v>
      </c>
      <c r="AC19" s="227">
        <f>-'Table 5C1W-Willow'!AI22</f>
        <v>0</v>
      </c>
      <c r="AD19" s="227">
        <f>-'Table 5C2 - LA Virtual Admy'!AJ22</f>
        <v>-7538</v>
      </c>
      <c r="AE19" s="227">
        <f>-'Table 5C3 - LA Connections EBR'!AJ22</f>
        <v>-5988</v>
      </c>
      <c r="AF19" s="227">
        <f t="shared" si="53"/>
        <v>-14376</v>
      </c>
      <c r="AG19" s="248">
        <f t="shared" si="54"/>
        <v>1087763</v>
      </c>
      <c r="AH19" s="227"/>
      <c r="AI19" s="227"/>
      <c r="AJ19" s="227"/>
      <c r="AK19" s="227">
        <f>'Table 5C1A-Madison Prep'!AO22</f>
        <v>0</v>
      </c>
      <c r="AL19" s="227">
        <f>'Table 5C1B-DArbonne'!AO22</f>
        <v>0</v>
      </c>
      <c r="AM19" s="227">
        <f>'Table 5C1C-Intl_VIBE'!AO22</f>
        <v>0</v>
      </c>
      <c r="AN19" s="227">
        <f>'Table 5C1D-NOMMA'!AO22</f>
        <v>0</v>
      </c>
      <c r="AO19" s="227">
        <f>'Table 5C1E-LFNO'!AO22</f>
        <v>0</v>
      </c>
      <c r="AP19" s="227">
        <f>'Table 5C1F-Lake Charles Charter'!AO22</f>
        <v>0</v>
      </c>
      <c r="AQ19" s="227">
        <f>'Table 5C1G-JS Clark Academy'!AO22</f>
        <v>0</v>
      </c>
      <c r="AR19" s="227">
        <f>'Table 5C1H-Southwest LA Charter'!AO22</f>
        <v>0</v>
      </c>
      <c r="AS19" s="227">
        <f>'Table 5C1I-LA Key Academy'!AO22</f>
        <v>0</v>
      </c>
      <c r="AT19" s="227">
        <f>'Table 5C1J-Jefferson Chamber'!AO22</f>
        <v>0</v>
      </c>
      <c r="AU19" s="227">
        <f>'Table 5C1K-Tallulah Charter'!AO22</f>
        <v>0</v>
      </c>
      <c r="AV19" s="227">
        <f>'Table 5C1L-Northshore Charter'!AO22</f>
        <v>0</v>
      </c>
      <c r="AW19" s="227">
        <f>'Table 5C1M-B.R. Charter'!AO22</f>
        <v>0</v>
      </c>
      <c r="AX19" s="227">
        <f>'Table 5C1N-Delta Charter'!AO22</f>
        <v>0</v>
      </c>
      <c r="AY19" s="227">
        <f>'Table 5C1O-Impact'!AO22</f>
        <v>0</v>
      </c>
      <c r="AZ19" s="227">
        <f>+'Table 5C1P-Vision'!AO22</f>
        <v>0</v>
      </c>
      <c r="BA19" s="227">
        <f>+'Table 5C1Q-Advantage'!AO22</f>
        <v>0</v>
      </c>
      <c r="BB19" s="227">
        <f>+'Table 5C1R-Iberville'!AO22</f>
        <v>0</v>
      </c>
      <c r="BC19" s="227">
        <f>+'Table 5C1S-L.C. Coll Prep'!AO22</f>
        <v>0</v>
      </c>
      <c r="BD19" s="227">
        <f>+'Table 5C1T-Northeast'!AO22</f>
        <v>0</v>
      </c>
      <c r="BE19" s="227">
        <f>+'Table 5C1U-Acadiana Ren'!AO22</f>
        <v>0</v>
      </c>
      <c r="BF19" s="227">
        <f>+'Table 5C1V-Laf Ren'!AO22</f>
        <v>0</v>
      </c>
      <c r="BG19" s="227">
        <f>+'Table 5C1W-Willow'!AO22</f>
        <v>0</v>
      </c>
      <c r="BH19" s="227">
        <f>'Table 5C2 - LA Virtual Admy'!AP22</f>
        <v>106.3732500000001</v>
      </c>
      <c r="BI19" s="227">
        <f>'Table 5C3 - LA Connections EBR'!AP22</f>
        <v>-75.520124999999979</v>
      </c>
      <c r="BJ19" s="248">
        <f t="shared" si="55"/>
        <v>1087793.8531249999</v>
      </c>
    </row>
    <row r="20" spans="1:62" ht="14.45" customHeight="1">
      <c r="A20" s="224">
        <v>17</v>
      </c>
      <c r="B20" s="225" t="s">
        <v>89</v>
      </c>
      <c r="C20" s="226">
        <f>'Table 2_State Distrib and Adjs'!AL23</f>
        <v>14272911</v>
      </c>
      <c r="D20" s="227">
        <f>-'Table 5A3_OJJ'!W22</f>
        <v>-11992</v>
      </c>
      <c r="E20" s="227">
        <f>-'Table 5B2_RSD_LA'!AS12</f>
        <v>-976993</v>
      </c>
      <c r="F20" s="227"/>
      <c r="G20" s="227">
        <f>-'Table 5C1A-Madison Prep'!AI23</f>
        <v>-188617</v>
      </c>
      <c r="H20" s="227">
        <f>-'Table 5C1B-DArbonne'!AI23</f>
        <v>0</v>
      </c>
      <c r="I20" s="227">
        <f>-'Table 5C1C-Intl_VIBE'!AI23</f>
        <v>0</v>
      </c>
      <c r="J20" s="227">
        <f>-'Table 5C1D-NOMMA'!AI23</f>
        <v>0</v>
      </c>
      <c r="K20" s="227">
        <f>-'Table 5C1E-LFNO'!AI23</f>
        <v>0</v>
      </c>
      <c r="L20" s="227">
        <f>-'Table 5C1F-Lake Charles Charter'!AI23</f>
        <v>0</v>
      </c>
      <c r="M20" s="227">
        <f>-'Table 5C1G-JS Clark Academy'!AI23</f>
        <v>0</v>
      </c>
      <c r="N20" s="227">
        <f>-'Table 5C1H-Southwest LA Charter'!AI23</f>
        <v>0</v>
      </c>
      <c r="O20" s="227">
        <f>-'Table 5C1I-LA Key Academy'!AI23</f>
        <v>-85045</v>
      </c>
      <c r="P20" s="227">
        <f>-'Table 5C1J-Jefferson Chamber'!AI23</f>
        <v>0</v>
      </c>
      <c r="Q20" s="227">
        <f>-'Table 5C1K-Tallulah Charter'!AI23</f>
        <v>0</v>
      </c>
      <c r="R20" s="227">
        <f>-'Table 5C1L-Northshore Charter'!AI23</f>
        <v>0</v>
      </c>
      <c r="S20" s="227">
        <f>-'Table 5C1M-B.R. Charter'!AI23</f>
        <v>-296463</v>
      </c>
      <c r="T20" s="227">
        <f>-'Table 5C1N-Delta Charter'!AI23</f>
        <v>0</v>
      </c>
      <c r="U20" s="227">
        <f>-'Table 5C1O-Impact'!AI23</f>
        <v>-56437</v>
      </c>
      <c r="V20" s="227">
        <f>-'Table 5C1P-Vision'!AI23</f>
        <v>0</v>
      </c>
      <c r="W20" s="227">
        <f>-'Table 5C1Q-Advantage'!AI23</f>
        <v>-73048</v>
      </c>
      <c r="X20" s="227">
        <f>-'Table 5C1R-Iberville'!AI23</f>
        <v>2368</v>
      </c>
      <c r="Y20" s="227">
        <f>-'Table 5C1S-L.C. Coll Prep'!AI23</f>
        <v>0</v>
      </c>
      <c r="Z20" s="227">
        <f>-'Table 5C1T-Northeast'!AI23</f>
        <v>0</v>
      </c>
      <c r="AA20" s="227">
        <f>-'Table 5C1U-Acadiana Ren'!AI23</f>
        <v>0</v>
      </c>
      <c r="AB20" s="227">
        <f>-'Table 5C1V-Laf Ren'!AI23</f>
        <v>0</v>
      </c>
      <c r="AC20" s="227">
        <f>-'Table 5C1W-Willow'!AI23</f>
        <v>-1734</v>
      </c>
      <c r="AD20" s="227">
        <f>-'Table 5C2 - LA Virtual Admy'!AJ23</f>
        <v>-47148</v>
      </c>
      <c r="AE20" s="227">
        <f>-'Table 5C3 - LA Connections EBR'!AJ23</f>
        <v>-114874</v>
      </c>
      <c r="AF20" s="227">
        <f t="shared" si="53"/>
        <v>-1849983</v>
      </c>
      <c r="AG20" s="248">
        <f t="shared" si="54"/>
        <v>12422928</v>
      </c>
      <c r="AH20" s="227">
        <f>'Table 5B2_RSD_LA'!AK20</f>
        <v>9331.9012499999953</v>
      </c>
      <c r="AI20" s="227">
        <f>'Table 5B2_RSD_LA'!AL20</f>
        <v>1333.1287500000035</v>
      </c>
      <c r="AJ20" s="227"/>
      <c r="AK20" s="227">
        <f>'Table 5C1A-Madison Prep'!AO23</f>
        <v>-1084.5299999999997</v>
      </c>
      <c r="AL20" s="227">
        <f>'Table 5C1B-DArbonne'!AO23</f>
        <v>0</v>
      </c>
      <c r="AM20" s="227">
        <f>'Table 5C1C-Intl_VIBE'!AO23</f>
        <v>0</v>
      </c>
      <c r="AN20" s="227">
        <f>'Table 5C1D-NOMMA'!AO23</f>
        <v>0</v>
      </c>
      <c r="AO20" s="227">
        <f>'Table 5C1E-LFNO'!AO23</f>
        <v>0</v>
      </c>
      <c r="AP20" s="227">
        <f>'Table 5C1F-Lake Charles Charter'!AO23</f>
        <v>0</v>
      </c>
      <c r="AQ20" s="227">
        <f>'Table 5C1G-JS Clark Academy'!AO23</f>
        <v>0</v>
      </c>
      <c r="AR20" s="227">
        <f>'Table 5C1H-Southwest LA Charter'!AO23</f>
        <v>0</v>
      </c>
      <c r="AS20" s="227">
        <f>'Table 5C1I-LA Key Academy'!AO23</f>
        <v>-556.47749999999996</v>
      </c>
      <c r="AT20" s="227">
        <f>'Table 5C1J-Jefferson Chamber'!AO23</f>
        <v>0</v>
      </c>
      <c r="AU20" s="227">
        <f>'Table 5C1K-Tallulah Charter'!AO23</f>
        <v>0</v>
      </c>
      <c r="AV20" s="227">
        <f>'Table 5C1L-Northshore Charter'!AO23</f>
        <v>0</v>
      </c>
      <c r="AW20" s="227">
        <f>'Table 5C1M-B.R. Charter'!AO23</f>
        <v>-2738.7674999999999</v>
      </c>
      <c r="AX20" s="227">
        <f>'Table 5C1N-Delta Charter'!AO23</f>
        <v>0</v>
      </c>
      <c r="AY20" s="227">
        <f>'Table 5C1O-Impact'!AO23</f>
        <v>-512.91000000000008</v>
      </c>
      <c r="AZ20" s="227">
        <f>+'Table 5C1P-Vision'!AO23</f>
        <v>0</v>
      </c>
      <c r="BA20" s="227">
        <f>+'Table 5C1Q-Advantage'!AO23</f>
        <v>66.690000000000055</v>
      </c>
      <c r="BB20" s="227">
        <f>+'Table 5C1R-Iberville'!AO23</f>
        <v>123.61499999999999</v>
      </c>
      <c r="BC20" s="227">
        <f>+'Table 5C1S-L.C. Coll Prep'!AO23</f>
        <v>0</v>
      </c>
      <c r="BD20" s="227">
        <f>+'Table 5C1T-Northeast'!AO23</f>
        <v>0</v>
      </c>
      <c r="BE20" s="227">
        <f>+'Table 5C1U-Acadiana Ren'!AO23</f>
        <v>0</v>
      </c>
      <c r="BF20" s="227">
        <f>+'Table 5C1V-Laf Ren'!AO23</f>
        <v>0</v>
      </c>
      <c r="BG20" s="227">
        <f>+'Table 5C1W-Willow'!AO23</f>
        <v>-17.385000000000002</v>
      </c>
      <c r="BH20" s="227">
        <f>'Table 5C2 - LA Virtual Admy'!AP23</f>
        <v>77.226749999999811</v>
      </c>
      <c r="BI20" s="227">
        <f>'Table 5C3 - LA Connections EBR'!AP23</f>
        <v>-959.54624999999987</v>
      </c>
      <c r="BJ20" s="248">
        <f t="shared" si="55"/>
        <v>12427990.945499999</v>
      </c>
    </row>
    <row r="21" spans="1:62" ht="14.45" customHeight="1">
      <c r="A21" s="224">
        <v>18</v>
      </c>
      <c r="B21" s="225" t="s">
        <v>90</v>
      </c>
      <c r="C21" s="226">
        <f>'Table 2_State Distrib and Adjs'!AL24</f>
        <v>610708</v>
      </c>
      <c r="D21" s="227">
        <f>-'Table 5A3_OJJ'!W23</f>
        <v>-178</v>
      </c>
      <c r="E21" s="227"/>
      <c r="F21" s="227"/>
      <c r="G21" s="227">
        <f>-'Table 5C1A-Madison Prep'!AI24</f>
        <v>0</v>
      </c>
      <c r="H21" s="227">
        <f>-'Table 5C1B-DArbonne'!AI24</f>
        <v>0</v>
      </c>
      <c r="I21" s="227">
        <f>-'Table 5C1C-Intl_VIBE'!AI24</f>
        <v>0</v>
      </c>
      <c r="J21" s="227">
        <f>-'Table 5C1D-NOMMA'!AI24</f>
        <v>0</v>
      </c>
      <c r="K21" s="227">
        <f>-'Table 5C1E-LFNO'!AI24</f>
        <v>0</v>
      </c>
      <c r="L21" s="227">
        <f>-'Table 5C1F-Lake Charles Charter'!AI24</f>
        <v>0</v>
      </c>
      <c r="M21" s="227">
        <f>-'Table 5C1G-JS Clark Academy'!AI24</f>
        <v>0</v>
      </c>
      <c r="N21" s="227">
        <f>-'Table 5C1H-Southwest LA Charter'!AI24</f>
        <v>0</v>
      </c>
      <c r="O21" s="227">
        <f>-'Table 5C1I-LA Key Academy'!AI24</f>
        <v>0</v>
      </c>
      <c r="P21" s="227">
        <f>-'Table 5C1J-Jefferson Chamber'!AI24</f>
        <v>0</v>
      </c>
      <c r="Q21" s="227">
        <f>-'Table 5C1K-Tallulah Charter'!AI24</f>
        <v>0</v>
      </c>
      <c r="R21" s="227">
        <f>-'Table 5C1L-Northshore Charter'!AI24</f>
        <v>0</v>
      </c>
      <c r="S21" s="227">
        <f>-'Table 5C1M-B.R. Charter'!AI24</f>
        <v>0</v>
      </c>
      <c r="T21" s="227">
        <f>-'Table 5C1N-Delta Charter'!AI24</f>
        <v>0</v>
      </c>
      <c r="U21" s="227">
        <f>-'Table 5C1O-Impact'!AI24</f>
        <v>0</v>
      </c>
      <c r="V21" s="227">
        <f>-'Table 5C1P-Vision'!AI24</f>
        <v>0</v>
      </c>
      <c r="W21" s="227">
        <f>-'Table 5C1Q-Advantage'!AI24</f>
        <v>0</v>
      </c>
      <c r="X21" s="227">
        <f>-'Table 5C1R-Iberville'!AI24</f>
        <v>0</v>
      </c>
      <c r="Y21" s="227">
        <f>-'Table 5C1S-L.C. Coll Prep'!AI24</f>
        <v>0</v>
      </c>
      <c r="Z21" s="227">
        <f>-'Table 5C1T-Northeast'!AI24</f>
        <v>0</v>
      </c>
      <c r="AA21" s="227">
        <f>-'Table 5C1U-Acadiana Ren'!AI24</f>
        <v>0</v>
      </c>
      <c r="AB21" s="227">
        <f>-'Table 5C1V-Laf Ren'!AI24</f>
        <v>0</v>
      </c>
      <c r="AC21" s="227">
        <f>-'Table 5C1W-Willow'!AI24</f>
        <v>0</v>
      </c>
      <c r="AD21" s="227">
        <f>-'Table 5C2 - LA Virtual Admy'!AJ24</f>
        <v>-1606</v>
      </c>
      <c r="AE21" s="227">
        <f>-'Table 5C3 - LA Connections EBR'!AJ24</f>
        <v>-624</v>
      </c>
      <c r="AF21" s="227">
        <f t="shared" si="53"/>
        <v>-2408</v>
      </c>
      <c r="AG21" s="248">
        <f t="shared" si="54"/>
        <v>608300</v>
      </c>
      <c r="AH21" s="227"/>
      <c r="AI21" s="227"/>
      <c r="AJ21" s="227"/>
      <c r="AK21" s="227">
        <f>'Table 5C1A-Madison Prep'!AO24</f>
        <v>0</v>
      </c>
      <c r="AL21" s="227">
        <f>'Table 5C1B-DArbonne'!AO24</f>
        <v>0</v>
      </c>
      <c r="AM21" s="227">
        <f>'Table 5C1C-Intl_VIBE'!AO24</f>
        <v>0</v>
      </c>
      <c r="AN21" s="227">
        <f>'Table 5C1D-NOMMA'!AO24</f>
        <v>0</v>
      </c>
      <c r="AO21" s="227">
        <f>'Table 5C1E-LFNO'!AO24</f>
        <v>0</v>
      </c>
      <c r="AP21" s="227">
        <f>'Table 5C1F-Lake Charles Charter'!AO24</f>
        <v>0</v>
      </c>
      <c r="AQ21" s="227">
        <f>'Table 5C1G-JS Clark Academy'!AO24</f>
        <v>0</v>
      </c>
      <c r="AR21" s="227">
        <f>'Table 5C1H-Southwest LA Charter'!AO24</f>
        <v>0</v>
      </c>
      <c r="AS21" s="227">
        <f>'Table 5C1I-LA Key Academy'!AO24</f>
        <v>0</v>
      </c>
      <c r="AT21" s="227">
        <f>'Table 5C1J-Jefferson Chamber'!AO24</f>
        <v>0</v>
      </c>
      <c r="AU21" s="227">
        <f>'Table 5C1K-Tallulah Charter'!AO24</f>
        <v>0</v>
      </c>
      <c r="AV21" s="227">
        <f>'Table 5C1L-Northshore Charter'!AO24</f>
        <v>0</v>
      </c>
      <c r="AW21" s="227">
        <f>'Table 5C1M-B.R. Charter'!AO24</f>
        <v>0</v>
      </c>
      <c r="AX21" s="227">
        <f>'Table 5C1N-Delta Charter'!AO24</f>
        <v>0</v>
      </c>
      <c r="AY21" s="227">
        <f>'Table 5C1O-Impact'!AO24</f>
        <v>0</v>
      </c>
      <c r="AZ21" s="227">
        <f>+'Table 5C1P-Vision'!AO24</f>
        <v>0</v>
      </c>
      <c r="BA21" s="227">
        <f>+'Table 5C1Q-Advantage'!AO24</f>
        <v>0</v>
      </c>
      <c r="BB21" s="227">
        <f>+'Table 5C1R-Iberville'!AO24</f>
        <v>0</v>
      </c>
      <c r="BC21" s="227">
        <f>+'Table 5C1S-L.C. Coll Prep'!AO24</f>
        <v>0</v>
      </c>
      <c r="BD21" s="227">
        <f>+'Table 5C1T-Northeast'!AO24</f>
        <v>0</v>
      </c>
      <c r="BE21" s="227">
        <f>+'Table 5C1U-Acadiana Ren'!AO24</f>
        <v>0</v>
      </c>
      <c r="BF21" s="227">
        <f>+'Table 5C1V-Laf Ren'!AO24</f>
        <v>0</v>
      </c>
      <c r="BG21" s="227">
        <f>+'Table 5C1W-Willow'!AO24</f>
        <v>0</v>
      </c>
      <c r="BH21" s="227">
        <f>'Table 5C2 - LA Virtual Admy'!AP24</f>
        <v>-10.421999999999997</v>
      </c>
      <c r="BI21" s="227">
        <f>'Table 5C3 - LA Connections EBR'!AP24</f>
        <v>-16.483500000000003</v>
      </c>
      <c r="BJ21" s="248">
        <f t="shared" si="55"/>
        <v>608273.09450000001</v>
      </c>
    </row>
    <row r="22" spans="1:62" ht="14.45" customHeight="1">
      <c r="A22" s="224">
        <v>19</v>
      </c>
      <c r="B22" s="225" t="s">
        <v>91</v>
      </c>
      <c r="C22" s="226">
        <f>'Table 2_State Distrib and Adjs'!AL25</f>
        <v>985367</v>
      </c>
      <c r="D22" s="227">
        <f>-'Table 5A3_OJJ'!W24</f>
        <v>-216</v>
      </c>
      <c r="E22" s="227"/>
      <c r="F22" s="227"/>
      <c r="G22" s="227">
        <f>-'Table 5C1A-Madison Prep'!AI25</f>
        <v>0</v>
      </c>
      <c r="H22" s="227">
        <f>-'Table 5C1B-DArbonne'!AI25</f>
        <v>0</v>
      </c>
      <c r="I22" s="227">
        <f>-'Table 5C1C-Intl_VIBE'!AI25</f>
        <v>0</v>
      </c>
      <c r="J22" s="227">
        <f>-'Table 5C1D-NOMMA'!AI25</f>
        <v>0</v>
      </c>
      <c r="K22" s="227">
        <f>-'Table 5C1E-LFNO'!AI25</f>
        <v>0</v>
      </c>
      <c r="L22" s="227">
        <f>-'Table 5C1F-Lake Charles Charter'!AI25</f>
        <v>0</v>
      </c>
      <c r="M22" s="227">
        <f>-'Table 5C1G-JS Clark Academy'!AI25</f>
        <v>0</v>
      </c>
      <c r="N22" s="227">
        <f>-'Table 5C1H-Southwest LA Charter'!AI25</f>
        <v>0</v>
      </c>
      <c r="O22" s="227">
        <f>-'Table 5C1I-LA Key Academy'!AI25</f>
        <v>-554</v>
      </c>
      <c r="P22" s="227">
        <f>-'Table 5C1J-Jefferson Chamber'!AI25</f>
        <v>0</v>
      </c>
      <c r="Q22" s="227">
        <f>-'Table 5C1K-Tallulah Charter'!AI25</f>
        <v>0</v>
      </c>
      <c r="R22" s="227">
        <f>-'Table 5C1L-Northshore Charter'!AI25</f>
        <v>0</v>
      </c>
      <c r="S22" s="227">
        <f>-'Table 5C1M-B.R. Charter'!AI25</f>
        <v>798</v>
      </c>
      <c r="T22" s="227">
        <f>-'Table 5C1N-Delta Charter'!AI25</f>
        <v>0</v>
      </c>
      <c r="U22" s="227">
        <f>-'Table 5C1O-Impact'!AI25</f>
        <v>1052</v>
      </c>
      <c r="V22" s="227">
        <f>-'Table 5C1P-Vision'!AI25</f>
        <v>0</v>
      </c>
      <c r="W22" s="227">
        <f>-'Table 5C1Q-Advantage'!AI25</f>
        <v>-3566</v>
      </c>
      <c r="X22" s="227">
        <f>-'Table 5C1R-Iberville'!AI25</f>
        <v>0</v>
      </c>
      <c r="Y22" s="227">
        <f>-'Table 5C1S-L.C. Coll Prep'!AI25</f>
        <v>0</v>
      </c>
      <c r="Z22" s="227">
        <f>-'Table 5C1T-Northeast'!AI25</f>
        <v>0</v>
      </c>
      <c r="AA22" s="227">
        <f>-'Table 5C1U-Acadiana Ren'!AI25</f>
        <v>0</v>
      </c>
      <c r="AB22" s="227">
        <f>-'Table 5C1V-Laf Ren'!AI25</f>
        <v>0</v>
      </c>
      <c r="AC22" s="227">
        <f>-'Table 5C1W-Willow'!AI25</f>
        <v>0</v>
      </c>
      <c r="AD22" s="227">
        <f>-'Table 5C2 - LA Virtual Admy'!AJ25</f>
        <v>-3495</v>
      </c>
      <c r="AE22" s="227">
        <f>-'Table 5C3 - LA Connections EBR'!AJ25</f>
        <v>-1770</v>
      </c>
      <c r="AF22" s="227">
        <f t="shared" si="53"/>
        <v>-7751</v>
      </c>
      <c r="AG22" s="248">
        <f t="shared" si="54"/>
        <v>977616</v>
      </c>
      <c r="AH22" s="227"/>
      <c r="AI22" s="227"/>
      <c r="AJ22" s="227"/>
      <c r="AK22" s="227">
        <f>'Table 5C1A-Madison Prep'!AO25</f>
        <v>0</v>
      </c>
      <c r="AL22" s="227">
        <f>'Table 5C1B-DArbonne'!AO25</f>
        <v>0</v>
      </c>
      <c r="AM22" s="227">
        <f>'Table 5C1C-Intl_VIBE'!AO25</f>
        <v>0</v>
      </c>
      <c r="AN22" s="227">
        <f>'Table 5C1D-NOMMA'!AO25</f>
        <v>0</v>
      </c>
      <c r="AO22" s="227">
        <f>'Table 5C1E-LFNO'!AO25</f>
        <v>0</v>
      </c>
      <c r="AP22" s="227">
        <f>'Table 5C1F-Lake Charles Charter'!AO25</f>
        <v>0</v>
      </c>
      <c r="AQ22" s="227">
        <f>'Table 5C1G-JS Clark Academy'!AO25</f>
        <v>0</v>
      </c>
      <c r="AR22" s="227">
        <f>'Table 5C1H-Southwest LA Charter'!AO25</f>
        <v>0</v>
      </c>
      <c r="AS22" s="227">
        <f>'Table 5C1I-LA Key Academy'!AO25</f>
        <v>-0.71499999999999986</v>
      </c>
      <c r="AT22" s="227">
        <f>'Table 5C1J-Jefferson Chamber'!AO25</f>
        <v>0</v>
      </c>
      <c r="AU22" s="227">
        <f>'Table 5C1K-Tallulah Charter'!AO25</f>
        <v>0</v>
      </c>
      <c r="AV22" s="227">
        <f>'Table 5C1L-Northshore Charter'!AO25</f>
        <v>0</v>
      </c>
      <c r="AW22" s="227">
        <f>'Table 5C1M-B.R. Charter'!AO25</f>
        <v>6.5549999999999979</v>
      </c>
      <c r="AX22" s="227">
        <f>'Table 5C1N-Delta Charter'!AO25</f>
        <v>0</v>
      </c>
      <c r="AY22" s="227">
        <f>'Table 5C1O-Impact'!AO25</f>
        <v>79.612499999999997</v>
      </c>
      <c r="AZ22" s="227">
        <f>+'Table 5C1P-Vision'!AO25</f>
        <v>0</v>
      </c>
      <c r="BA22" s="227">
        <f>+'Table 5C1Q-Advantage'!AO25</f>
        <v>-64.833749999999995</v>
      </c>
      <c r="BB22" s="227">
        <f>+'Table 5C1R-Iberville'!AO25</f>
        <v>0</v>
      </c>
      <c r="BC22" s="227">
        <f>+'Table 5C1S-L.C. Coll Prep'!AO25</f>
        <v>0</v>
      </c>
      <c r="BD22" s="227">
        <f>+'Table 5C1T-Northeast'!AO25</f>
        <v>0</v>
      </c>
      <c r="BE22" s="227">
        <f>+'Table 5C1U-Acadiana Ren'!AO25</f>
        <v>0</v>
      </c>
      <c r="BF22" s="227">
        <f>+'Table 5C1V-Laf Ren'!AO25</f>
        <v>0</v>
      </c>
      <c r="BG22" s="227">
        <f>+'Table 5C1W-Willow'!AO25</f>
        <v>0</v>
      </c>
      <c r="BH22" s="227">
        <f>'Table 5C2 - LA Virtual Admy'!AP25</f>
        <v>-4.5044999999999931</v>
      </c>
      <c r="BI22" s="227">
        <f>'Table 5C3 - LA Connections EBR'!AP25</f>
        <v>-25.957125000000012</v>
      </c>
      <c r="BJ22" s="248">
        <f t="shared" si="55"/>
        <v>977606.15712500014</v>
      </c>
    </row>
    <row r="23" spans="1:62" ht="14.45" customHeight="1">
      <c r="A23" s="3">
        <v>20</v>
      </c>
      <c r="B23" s="7" t="s">
        <v>92</v>
      </c>
      <c r="C23" s="9">
        <f>'Table 2_State Distrib and Adjs'!AL26</f>
        <v>2928298</v>
      </c>
      <c r="D23" s="10">
        <f>-'Table 5A3_OJJ'!W25</f>
        <v>-857</v>
      </c>
      <c r="E23" s="10"/>
      <c r="F23" s="10"/>
      <c r="G23" s="10">
        <f>-'Table 5C1A-Madison Prep'!AI26</f>
        <v>0</v>
      </c>
      <c r="H23" s="10">
        <f>-'Table 5C1B-DArbonne'!AI26</f>
        <v>0</v>
      </c>
      <c r="I23" s="10">
        <f>-'Table 5C1C-Intl_VIBE'!AI26</f>
        <v>0</v>
      </c>
      <c r="J23" s="10">
        <f>-'Table 5C1D-NOMMA'!AI26</f>
        <v>0</v>
      </c>
      <c r="K23" s="10">
        <f>-'Table 5C1E-LFNO'!AI26</f>
        <v>0</v>
      </c>
      <c r="L23" s="10">
        <f>-'Table 5C1F-Lake Charles Charter'!AI26</f>
        <v>0</v>
      </c>
      <c r="M23" s="10">
        <f>-'Table 5C1G-JS Clark Academy'!AI26</f>
        <v>0</v>
      </c>
      <c r="N23" s="10">
        <f>-'Table 5C1H-Southwest LA Charter'!AI26</f>
        <v>0</v>
      </c>
      <c r="O23" s="10">
        <f>-'Table 5C1I-LA Key Academy'!AI26</f>
        <v>0</v>
      </c>
      <c r="P23" s="10">
        <f>-'Table 5C1J-Jefferson Chamber'!AI26</f>
        <v>0</v>
      </c>
      <c r="Q23" s="10">
        <f>-'Table 5C1K-Tallulah Charter'!AI26</f>
        <v>0</v>
      </c>
      <c r="R23" s="10">
        <f>-'Table 5C1L-Northshore Charter'!AI26</f>
        <v>0</v>
      </c>
      <c r="S23" s="10">
        <f>-'Table 5C1M-B.R. Charter'!AI26</f>
        <v>0</v>
      </c>
      <c r="T23" s="10">
        <f>-'Table 5C1N-Delta Charter'!AI26</f>
        <v>0</v>
      </c>
      <c r="U23" s="10">
        <f>-'Table 5C1O-Impact'!AI26</f>
        <v>0</v>
      </c>
      <c r="V23" s="10">
        <f>-'Table 5C1P-Vision'!AI26</f>
        <v>0</v>
      </c>
      <c r="W23" s="10">
        <f>-'Table 5C1Q-Advantage'!AI26</f>
        <v>0</v>
      </c>
      <c r="X23" s="10">
        <f>-'Table 5C1R-Iberville'!AI26</f>
        <v>0</v>
      </c>
      <c r="Y23" s="10">
        <f>-'Table 5C1S-L.C. Coll Prep'!AI26</f>
        <v>0</v>
      </c>
      <c r="Z23" s="10">
        <f>-'Table 5C1T-Northeast'!AI26</f>
        <v>0</v>
      </c>
      <c r="AA23" s="10">
        <f>-'Table 5C1U-Acadiana Ren'!AI26</f>
        <v>0</v>
      </c>
      <c r="AB23" s="10">
        <f>-'Table 5C1V-Laf Ren'!AI26</f>
        <v>0</v>
      </c>
      <c r="AC23" s="10">
        <f>-'Table 5C1W-Willow'!AI26</f>
        <v>0</v>
      </c>
      <c r="AD23" s="10">
        <f>-'Table 5C2 - LA Virtual Admy'!AJ26</f>
        <v>-1827</v>
      </c>
      <c r="AE23" s="10">
        <f>-'Table 5C3 - LA Connections EBR'!AJ26</f>
        <v>-1660</v>
      </c>
      <c r="AF23" s="10">
        <f t="shared" si="53"/>
        <v>-4344</v>
      </c>
      <c r="AG23" s="15">
        <f t="shared" si="54"/>
        <v>2923954</v>
      </c>
      <c r="AH23" s="10"/>
      <c r="AI23" s="10"/>
      <c r="AJ23" s="10"/>
      <c r="AK23" s="10">
        <f>'Table 5C1A-Madison Prep'!AO26</f>
        <v>0</v>
      </c>
      <c r="AL23" s="10">
        <f>'Table 5C1B-DArbonne'!AO26</f>
        <v>0</v>
      </c>
      <c r="AM23" s="10">
        <f>'Table 5C1C-Intl_VIBE'!AO26</f>
        <v>0</v>
      </c>
      <c r="AN23" s="10">
        <f>'Table 5C1D-NOMMA'!AO26</f>
        <v>0</v>
      </c>
      <c r="AO23" s="10">
        <f>'Table 5C1E-LFNO'!AO26</f>
        <v>0</v>
      </c>
      <c r="AP23" s="10">
        <f>'Table 5C1F-Lake Charles Charter'!AO26</f>
        <v>0</v>
      </c>
      <c r="AQ23" s="10">
        <f>'Table 5C1G-JS Clark Academy'!AO26</f>
        <v>0</v>
      </c>
      <c r="AR23" s="10">
        <f>'Table 5C1H-Southwest LA Charter'!AO26</f>
        <v>0</v>
      </c>
      <c r="AS23" s="10">
        <f>'Table 5C1I-LA Key Academy'!AO26</f>
        <v>0</v>
      </c>
      <c r="AT23" s="10">
        <f>'Table 5C1J-Jefferson Chamber'!AO26</f>
        <v>0</v>
      </c>
      <c r="AU23" s="10">
        <f>'Table 5C1K-Tallulah Charter'!AO26</f>
        <v>0</v>
      </c>
      <c r="AV23" s="10">
        <f>'Table 5C1L-Northshore Charter'!AO26</f>
        <v>0</v>
      </c>
      <c r="AW23" s="10">
        <f>'Table 5C1M-B.R. Charter'!AO26</f>
        <v>0</v>
      </c>
      <c r="AX23" s="10">
        <f>'Table 5C1N-Delta Charter'!AO26</f>
        <v>0</v>
      </c>
      <c r="AY23" s="10">
        <f>'Table 5C1O-Impact'!AO26</f>
        <v>0</v>
      </c>
      <c r="AZ23" s="10">
        <f>+'Table 5C1P-Vision'!AO26</f>
        <v>0</v>
      </c>
      <c r="BA23" s="10">
        <f>+'Table 5C1Q-Advantage'!AO26</f>
        <v>0</v>
      </c>
      <c r="BB23" s="10">
        <f>+'Table 5C1R-Iberville'!AO26</f>
        <v>0</v>
      </c>
      <c r="BC23" s="10">
        <f>+'Table 5C1S-L.C. Coll Prep'!AO26</f>
        <v>0</v>
      </c>
      <c r="BD23" s="10">
        <f>+'Table 5C1T-Northeast'!AO26</f>
        <v>0</v>
      </c>
      <c r="BE23" s="10">
        <f>+'Table 5C1U-Acadiana Ren'!AO26</f>
        <v>0</v>
      </c>
      <c r="BF23" s="10">
        <f>+'Table 5C1V-Laf Ren'!AO26</f>
        <v>0</v>
      </c>
      <c r="BG23" s="10">
        <f>+'Table 5C1W-Willow'!AO26</f>
        <v>0</v>
      </c>
      <c r="BH23" s="10">
        <f>'Table 5C2 - LA Virtual Admy'!AP26</f>
        <v>-3.7304999999999922</v>
      </c>
      <c r="BI23" s="10">
        <f>'Table 5C3 - LA Connections EBR'!AP26</f>
        <v>-6.2909999999999968</v>
      </c>
      <c r="BJ23" s="15">
        <f t="shared" si="55"/>
        <v>2923943.9784999997</v>
      </c>
    </row>
    <row r="24" spans="1:62" ht="14.45" customHeight="1">
      <c r="A24" s="224">
        <v>21</v>
      </c>
      <c r="B24" s="225" t="s">
        <v>93</v>
      </c>
      <c r="C24" s="226">
        <f>'Table 2_State Distrib and Adjs'!AL27</f>
        <v>1527261</v>
      </c>
      <c r="D24" s="227">
        <f>-'Table 5A3_OJJ'!W26</f>
        <v>-411</v>
      </c>
      <c r="E24" s="227"/>
      <c r="F24" s="227"/>
      <c r="G24" s="227">
        <f>-'Table 5C1A-Madison Prep'!AI27</f>
        <v>0</v>
      </c>
      <c r="H24" s="227">
        <f>-'Table 5C1B-DArbonne'!AI27</f>
        <v>0</v>
      </c>
      <c r="I24" s="227">
        <f>-'Table 5C1C-Intl_VIBE'!AI27</f>
        <v>0</v>
      </c>
      <c r="J24" s="227">
        <f>-'Table 5C1D-NOMMA'!AI27</f>
        <v>0</v>
      </c>
      <c r="K24" s="227">
        <f>-'Table 5C1E-LFNO'!AI27</f>
        <v>0</v>
      </c>
      <c r="L24" s="227">
        <f>-'Table 5C1F-Lake Charles Charter'!AI27</f>
        <v>0</v>
      </c>
      <c r="M24" s="227">
        <f>-'Table 5C1G-JS Clark Academy'!AI27</f>
        <v>0</v>
      </c>
      <c r="N24" s="227">
        <f>-'Table 5C1H-Southwest LA Charter'!AI27</f>
        <v>0</v>
      </c>
      <c r="O24" s="227">
        <f>-'Table 5C1I-LA Key Academy'!AI27</f>
        <v>0</v>
      </c>
      <c r="P24" s="227">
        <f>-'Table 5C1J-Jefferson Chamber'!AI27</f>
        <v>0</v>
      </c>
      <c r="Q24" s="227">
        <f>-'Table 5C1K-Tallulah Charter'!AI27</f>
        <v>0</v>
      </c>
      <c r="R24" s="227">
        <f>-'Table 5C1L-Northshore Charter'!AI27</f>
        <v>0</v>
      </c>
      <c r="S24" s="227">
        <f>-'Table 5C1M-B.R. Charter'!AI27</f>
        <v>0</v>
      </c>
      <c r="T24" s="227">
        <f>-'Table 5C1N-Delta Charter'!AI27</f>
        <v>-422</v>
      </c>
      <c r="U24" s="227">
        <f>-'Table 5C1O-Impact'!AI27</f>
        <v>0</v>
      </c>
      <c r="V24" s="227">
        <f>-'Table 5C1P-Vision'!AI27</f>
        <v>-310</v>
      </c>
      <c r="W24" s="227">
        <f>-'Table 5C1Q-Advantage'!AI27</f>
        <v>0</v>
      </c>
      <c r="X24" s="227">
        <f>-'Table 5C1R-Iberville'!AI27</f>
        <v>0</v>
      </c>
      <c r="Y24" s="227">
        <f>-'Table 5C1S-L.C. Coll Prep'!AI27</f>
        <v>0</v>
      </c>
      <c r="Z24" s="227">
        <f>-'Table 5C1T-Northeast'!AI27</f>
        <v>0</v>
      </c>
      <c r="AA24" s="227">
        <f>-'Table 5C1U-Acadiana Ren'!AI27</f>
        <v>0</v>
      </c>
      <c r="AB24" s="227">
        <f>-'Table 5C1V-Laf Ren'!AI27</f>
        <v>0</v>
      </c>
      <c r="AC24" s="227">
        <f>-'Table 5C1W-Willow'!AI27</f>
        <v>0</v>
      </c>
      <c r="AD24" s="227">
        <f>-'Table 5C2 - LA Virtual Admy'!AJ27</f>
        <v>-4490</v>
      </c>
      <c r="AE24" s="227">
        <f>-'Table 5C3 - LA Connections EBR'!AJ27</f>
        <v>-1214</v>
      </c>
      <c r="AF24" s="227">
        <f t="shared" si="53"/>
        <v>-6847</v>
      </c>
      <c r="AG24" s="248">
        <f t="shared" si="54"/>
        <v>1520414</v>
      </c>
      <c r="AH24" s="227"/>
      <c r="AI24" s="227"/>
      <c r="AJ24" s="227"/>
      <c r="AK24" s="227">
        <f>'Table 5C1A-Madison Prep'!AO27</f>
        <v>0</v>
      </c>
      <c r="AL24" s="227">
        <f>'Table 5C1B-DArbonne'!AO27</f>
        <v>0</v>
      </c>
      <c r="AM24" s="227">
        <f>'Table 5C1C-Intl_VIBE'!AO27</f>
        <v>0</v>
      </c>
      <c r="AN24" s="227">
        <f>'Table 5C1D-NOMMA'!AO27</f>
        <v>0</v>
      </c>
      <c r="AO24" s="227">
        <f>'Table 5C1E-LFNO'!AO27</f>
        <v>0</v>
      </c>
      <c r="AP24" s="227">
        <f>'Table 5C1F-Lake Charles Charter'!AO27</f>
        <v>0</v>
      </c>
      <c r="AQ24" s="227">
        <f>'Table 5C1G-JS Clark Academy'!AO27</f>
        <v>0</v>
      </c>
      <c r="AR24" s="227">
        <f>'Table 5C1H-Southwest LA Charter'!AO27</f>
        <v>0</v>
      </c>
      <c r="AS24" s="227">
        <f>'Table 5C1I-LA Key Academy'!AO27</f>
        <v>0</v>
      </c>
      <c r="AT24" s="227">
        <f>'Table 5C1J-Jefferson Chamber'!AO27</f>
        <v>0</v>
      </c>
      <c r="AU24" s="227">
        <f>'Table 5C1K-Tallulah Charter'!AO27</f>
        <v>0</v>
      </c>
      <c r="AV24" s="227">
        <f>'Table 5C1L-Northshore Charter'!AO27</f>
        <v>0</v>
      </c>
      <c r="AW24" s="227">
        <f>'Table 5C1M-B.R. Charter'!AO27</f>
        <v>0</v>
      </c>
      <c r="AX24" s="227">
        <f>'Table 5C1N-Delta Charter'!AO27</f>
        <v>-0.13499999999999979</v>
      </c>
      <c r="AY24" s="227">
        <f>'Table 5C1O-Impact'!AO27</f>
        <v>0</v>
      </c>
      <c r="AZ24" s="227">
        <f>+'Table 5C1P-Vision'!AO27</f>
        <v>-3.1087500000000001</v>
      </c>
      <c r="BA24" s="227">
        <f>+'Table 5C1Q-Advantage'!AO27</f>
        <v>0</v>
      </c>
      <c r="BB24" s="227">
        <f>+'Table 5C1R-Iberville'!AO27</f>
        <v>0</v>
      </c>
      <c r="BC24" s="227">
        <f>+'Table 5C1S-L.C. Coll Prep'!AO27</f>
        <v>0</v>
      </c>
      <c r="BD24" s="227">
        <f>+'Table 5C1T-Northeast'!AO27</f>
        <v>0</v>
      </c>
      <c r="BE24" s="227">
        <f>+'Table 5C1U-Acadiana Ren'!AO27</f>
        <v>0</v>
      </c>
      <c r="BF24" s="227">
        <f>+'Table 5C1V-Laf Ren'!AO27</f>
        <v>0</v>
      </c>
      <c r="BG24" s="227">
        <f>+'Table 5C1W-Willow'!AO27</f>
        <v>0</v>
      </c>
      <c r="BH24" s="227">
        <f>'Table 5C2 - LA Virtual Admy'!AP27</f>
        <v>-33.939</v>
      </c>
      <c r="BI24" s="227">
        <f>'Table 5C3 - LA Connections EBR'!AP27</f>
        <v>-8.7581249999999997</v>
      </c>
      <c r="BJ24" s="248">
        <f t="shared" si="55"/>
        <v>1520368.0591250001</v>
      </c>
    </row>
    <row r="25" spans="1:62" ht="14.45" customHeight="1">
      <c r="A25" s="224">
        <v>22</v>
      </c>
      <c r="B25" s="225" t="s">
        <v>94</v>
      </c>
      <c r="C25" s="226">
        <f>'Table 2_State Distrib and Adjs'!AL28</f>
        <v>1827019</v>
      </c>
      <c r="D25" s="227">
        <f>-'Table 5A3_OJJ'!W27</f>
        <v>-110</v>
      </c>
      <c r="E25" s="227"/>
      <c r="F25" s="227"/>
      <c r="G25" s="227">
        <f>-'Table 5C1A-Madison Prep'!AI28</f>
        <v>0</v>
      </c>
      <c r="H25" s="227">
        <f>-'Table 5C1B-DArbonne'!AI28</f>
        <v>0</v>
      </c>
      <c r="I25" s="227">
        <f>-'Table 5C1C-Intl_VIBE'!AI28</f>
        <v>0</v>
      </c>
      <c r="J25" s="227">
        <f>-'Table 5C1D-NOMMA'!AI28</f>
        <v>0</v>
      </c>
      <c r="K25" s="227">
        <f>-'Table 5C1E-LFNO'!AI28</f>
        <v>0</v>
      </c>
      <c r="L25" s="227">
        <f>-'Table 5C1F-Lake Charles Charter'!AI28</f>
        <v>0</v>
      </c>
      <c r="M25" s="227">
        <f>-'Table 5C1G-JS Clark Academy'!AI28</f>
        <v>0</v>
      </c>
      <c r="N25" s="227">
        <f>-'Table 5C1H-Southwest LA Charter'!AI28</f>
        <v>0</v>
      </c>
      <c r="O25" s="227">
        <f>-'Table 5C1I-LA Key Academy'!AI28</f>
        <v>0</v>
      </c>
      <c r="P25" s="227">
        <f>-'Table 5C1J-Jefferson Chamber'!AI28</f>
        <v>0</v>
      </c>
      <c r="Q25" s="227">
        <f>-'Table 5C1K-Tallulah Charter'!AI28</f>
        <v>0</v>
      </c>
      <c r="R25" s="227">
        <f>-'Table 5C1L-Northshore Charter'!AI28</f>
        <v>0</v>
      </c>
      <c r="S25" s="227">
        <f>-'Table 5C1M-B.R. Charter'!AI28</f>
        <v>0</v>
      </c>
      <c r="T25" s="227">
        <f>-'Table 5C1N-Delta Charter'!AI28</f>
        <v>0</v>
      </c>
      <c r="U25" s="227">
        <f>-'Table 5C1O-Impact'!AI28</f>
        <v>0</v>
      </c>
      <c r="V25" s="227">
        <f>-'Table 5C1P-Vision'!AI28</f>
        <v>0</v>
      </c>
      <c r="W25" s="227">
        <f>-'Table 5C1Q-Advantage'!AI28</f>
        <v>0</v>
      </c>
      <c r="X25" s="227">
        <f>-'Table 5C1R-Iberville'!AI28</f>
        <v>0</v>
      </c>
      <c r="Y25" s="227">
        <f>-'Table 5C1S-L.C. Coll Prep'!AI28</f>
        <v>0</v>
      </c>
      <c r="Z25" s="227">
        <f>-'Table 5C1T-Northeast'!AI28</f>
        <v>0</v>
      </c>
      <c r="AA25" s="227">
        <f>-'Table 5C1U-Acadiana Ren'!AI28</f>
        <v>0</v>
      </c>
      <c r="AB25" s="227">
        <f>-'Table 5C1V-Laf Ren'!AI28</f>
        <v>0</v>
      </c>
      <c r="AC25" s="227">
        <f>-'Table 5C1W-Willow'!AI28</f>
        <v>0</v>
      </c>
      <c r="AD25" s="227">
        <f>-'Table 5C2 - LA Virtual Admy'!AJ28</f>
        <v>-1981</v>
      </c>
      <c r="AE25" s="227">
        <f>-'Table 5C3 - LA Connections EBR'!AJ28</f>
        <v>-2324</v>
      </c>
      <c r="AF25" s="227">
        <f t="shared" si="53"/>
        <v>-4415</v>
      </c>
      <c r="AG25" s="248">
        <f t="shared" si="54"/>
        <v>1822604</v>
      </c>
      <c r="AH25" s="227"/>
      <c r="AI25" s="227"/>
      <c r="AJ25" s="227"/>
      <c r="AK25" s="227">
        <f>'Table 5C1A-Madison Prep'!AO28</f>
        <v>0</v>
      </c>
      <c r="AL25" s="227">
        <f>'Table 5C1B-DArbonne'!AO28</f>
        <v>0</v>
      </c>
      <c r="AM25" s="227">
        <f>'Table 5C1C-Intl_VIBE'!AO28</f>
        <v>0</v>
      </c>
      <c r="AN25" s="227">
        <f>'Table 5C1D-NOMMA'!AO28</f>
        <v>0</v>
      </c>
      <c r="AO25" s="227">
        <f>'Table 5C1E-LFNO'!AO28</f>
        <v>0</v>
      </c>
      <c r="AP25" s="227">
        <f>'Table 5C1F-Lake Charles Charter'!AO28</f>
        <v>0</v>
      </c>
      <c r="AQ25" s="227">
        <f>'Table 5C1G-JS Clark Academy'!AO28</f>
        <v>0</v>
      </c>
      <c r="AR25" s="227">
        <f>'Table 5C1H-Southwest LA Charter'!AO28</f>
        <v>0</v>
      </c>
      <c r="AS25" s="227">
        <f>'Table 5C1I-LA Key Academy'!AO28</f>
        <v>0</v>
      </c>
      <c r="AT25" s="227">
        <f>'Table 5C1J-Jefferson Chamber'!AO28</f>
        <v>0</v>
      </c>
      <c r="AU25" s="227">
        <f>'Table 5C1K-Tallulah Charter'!AO28</f>
        <v>0</v>
      </c>
      <c r="AV25" s="227">
        <f>'Table 5C1L-Northshore Charter'!AO28</f>
        <v>0</v>
      </c>
      <c r="AW25" s="227">
        <f>'Table 5C1M-B.R. Charter'!AO28</f>
        <v>0</v>
      </c>
      <c r="AX25" s="227">
        <f>'Table 5C1N-Delta Charter'!AO28</f>
        <v>0</v>
      </c>
      <c r="AY25" s="227">
        <f>'Table 5C1O-Impact'!AO28</f>
        <v>0</v>
      </c>
      <c r="AZ25" s="227">
        <f>+'Table 5C1P-Vision'!AO28</f>
        <v>0</v>
      </c>
      <c r="BA25" s="227">
        <f>+'Table 5C1Q-Advantage'!AO28</f>
        <v>0</v>
      </c>
      <c r="BB25" s="227">
        <f>+'Table 5C1R-Iberville'!AO28</f>
        <v>0</v>
      </c>
      <c r="BC25" s="227">
        <f>+'Table 5C1S-L.C. Coll Prep'!AO28</f>
        <v>0</v>
      </c>
      <c r="BD25" s="227">
        <f>+'Table 5C1T-Northeast'!AO28</f>
        <v>0</v>
      </c>
      <c r="BE25" s="227">
        <f>+'Table 5C1U-Acadiana Ren'!AO28</f>
        <v>0</v>
      </c>
      <c r="BF25" s="227">
        <f>+'Table 5C1V-Laf Ren'!AO28</f>
        <v>0</v>
      </c>
      <c r="BG25" s="227">
        <f>+'Table 5C1W-Willow'!AO28</f>
        <v>0</v>
      </c>
      <c r="BH25" s="227">
        <f>'Table 5C2 - LA Virtual Admy'!AP28</f>
        <v>-10.170000000000005</v>
      </c>
      <c r="BI25" s="227">
        <f>'Table 5C3 - LA Connections EBR'!AP28</f>
        <v>-24.360750000000003</v>
      </c>
      <c r="BJ25" s="248">
        <f t="shared" si="55"/>
        <v>1822569.4692500001</v>
      </c>
    </row>
    <row r="26" spans="1:62" ht="14.45" customHeight="1">
      <c r="A26" s="224">
        <v>23</v>
      </c>
      <c r="B26" s="225" t="s">
        <v>95</v>
      </c>
      <c r="C26" s="226">
        <f>'Table 2_State Distrib and Adjs'!AL29</f>
        <v>6446774</v>
      </c>
      <c r="D26" s="227">
        <f>-'Table 5A3_OJJ'!W28</f>
        <v>-1805</v>
      </c>
      <c r="E26" s="227"/>
      <c r="F26" s="227"/>
      <c r="G26" s="227">
        <f>-'Table 5C1A-Madison Prep'!AI29</f>
        <v>0</v>
      </c>
      <c r="H26" s="227">
        <f>-'Table 5C1B-DArbonne'!AI29</f>
        <v>0</v>
      </c>
      <c r="I26" s="227">
        <f>-'Table 5C1C-Intl_VIBE'!AI29</f>
        <v>0</v>
      </c>
      <c r="J26" s="227">
        <f>-'Table 5C1D-NOMMA'!AI29</f>
        <v>0</v>
      </c>
      <c r="K26" s="227">
        <f>-'Table 5C1E-LFNO'!AI29</f>
        <v>0</v>
      </c>
      <c r="L26" s="227">
        <f>-'Table 5C1F-Lake Charles Charter'!AI29</f>
        <v>0</v>
      </c>
      <c r="M26" s="227">
        <f>-'Table 5C1G-JS Clark Academy'!AI29</f>
        <v>0</v>
      </c>
      <c r="N26" s="227">
        <f>-'Table 5C1H-Southwest LA Charter'!AI29</f>
        <v>0</v>
      </c>
      <c r="O26" s="227">
        <f>-'Table 5C1I-LA Key Academy'!AI29</f>
        <v>0</v>
      </c>
      <c r="P26" s="227">
        <f>-'Table 5C1J-Jefferson Chamber'!AI29</f>
        <v>0</v>
      </c>
      <c r="Q26" s="227">
        <f>-'Table 5C1K-Tallulah Charter'!AI29</f>
        <v>0</v>
      </c>
      <c r="R26" s="227">
        <f>-'Table 5C1L-Northshore Charter'!AI29</f>
        <v>0</v>
      </c>
      <c r="S26" s="227">
        <f>-'Table 5C1M-B.R. Charter'!AI29</f>
        <v>0</v>
      </c>
      <c r="T26" s="227">
        <f>-'Table 5C1N-Delta Charter'!AI29</f>
        <v>0</v>
      </c>
      <c r="U26" s="227">
        <f>-'Table 5C1O-Impact'!AI29</f>
        <v>0</v>
      </c>
      <c r="V26" s="227">
        <f>-'Table 5C1P-Vision'!AI29</f>
        <v>0</v>
      </c>
      <c r="W26" s="227">
        <f>-'Table 5C1Q-Advantage'!AI29</f>
        <v>0</v>
      </c>
      <c r="X26" s="227">
        <f>-'Table 5C1R-Iberville'!AI29</f>
        <v>0</v>
      </c>
      <c r="Y26" s="227">
        <f>-'Table 5C1S-L.C. Coll Prep'!AI29</f>
        <v>0</v>
      </c>
      <c r="Z26" s="227">
        <f>-'Table 5C1T-Northeast'!AI29</f>
        <v>0</v>
      </c>
      <c r="AA26" s="227">
        <f>-'Table 5C1U-Acadiana Ren'!AI29</f>
        <v>-9300</v>
      </c>
      <c r="AB26" s="227">
        <f>-'Table 5C1V-Laf Ren'!AI29</f>
        <v>2014</v>
      </c>
      <c r="AC26" s="227">
        <f>-'Table 5C1W-Willow'!AI29</f>
        <v>-3491</v>
      </c>
      <c r="AD26" s="227">
        <f>-'Table 5C2 - LA Virtual Admy'!AJ29</f>
        <v>-3873</v>
      </c>
      <c r="AE26" s="227">
        <f>-'Table 5C3 - LA Connections EBR'!AJ29</f>
        <v>-8141</v>
      </c>
      <c r="AF26" s="227">
        <f t="shared" si="53"/>
        <v>-24596</v>
      </c>
      <c r="AG26" s="248">
        <f t="shared" si="54"/>
        <v>6422178</v>
      </c>
      <c r="AH26" s="227"/>
      <c r="AI26" s="227"/>
      <c r="AJ26" s="227"/>
      <c r="AK26" s="227">
        <f>'Table 5C1A-Madison Prep'!AO29</f>
        <v>0</v>
      </c>
      <c r="AL26" s="227">
        <f>'Table 5C1B-DArbonne'!AO29</f>
        <v>0</v>
      </c>
      <c r="AM26" s="227">
        <f>'Table 5C1C-Intl_VIBE'!AO29</f>
        <v>0</v>
      </c>
      <c r="AN26" s="227">
        <f>'Table 5C1D-NOMMA'!AO29</f>
        <v>0</v>
      </c>
      <c r="AO26" s="227">
        <f>'Table 5C1E-LFNO'!AO29</f>
        <v>0</v>
      </c>
      <c r="AP26" s="227">
        <f>'Table 5C1F-Lake Charles Charter'!AO29</f>
        <v>0</v>
      </c>
      <c r="AQ26" s="227">
        <f>'Table 5C1G-JS Clark Academy'!AO29</f>
        <v>0</v>
      </c>
      <c r="AR26" s="227">
        <f>'Table 5C1H-Southwest LA Charter'!AO29</f>
        <v>0</v>
      </c>
      <c r="AS26" s="227">
        <f>'Table 5C1I-LA Key Academy'!AO29</f>
        <v>0</v>
      </c>
      <c r="AT26" s="227">
        <f>'Table 5C1J-Jefferson Chamber'!AO29</f>
        <v>0</v>
      </c>
      <c r="AU26" s="227">
        <f>'Table 5C1K-Tallulah Charter'!AO29</f>
        <v>0</v>
      </c>
      <c r="AV26" s="227">
        <f>'Table 5C1L-Northshore Charter'!AO29</f>
        <v>0</v>
      </c>
      <c r="AW26" s="227">
        <f>'Table 5C1M-B.R. Charter'!AO29</f>
        <v>0</v>
      </c>
      <c r="AX26" s="227">
        <f>'Table 5C1N-Delta Charter'!AO29</f>
        <v>0</v>
      </c>
      <c r="AY26" s="227">
        <f>'Table 5C1O-Impact'!AO29</f>
        <v>0</v>
      </c>
      <c r="AZ26" s="227">
        <f>+'Table 5C1P-Vision'!AO29</f>
        <v>0</v>
      </c>
      <c r="BA26" s="227">
        <f>+'Table 5C1Q-Advantage'!AO29</f>
        <v>0</v>
      </c>
      <c r="BB26" s="227">
        <f>+'Table 5C1R-Iberville'!AO29</f>
        <v>0</v>
      </c>
      <c r="BC26" s="227">
        <f>+'Table 5C1S-L.C. Coll Prep'!AO29</f>
        <v>0</v>
      </c>
      <c r="BD26" s="227">
        <f>+'Table 5C1T-Northeast'!AO29</f>
        <v>0</v>
      </c>
      <c r="BE26" s="227">
        <f>+'Table 5C1U-Acadiana Ren'!AO29</f>
        <v>-70.81</v>
      </c>
      <c r="BF26" s="227">
        <f>+'Table 5C1V-Laf Ren'!AO29</f>
        <v>138.85249999999999</v>
      </c>
      <c r="BG26" s="227">
        <f>+'Table 5C1W-Willow'!AO29</f>
        <v>-35</v>
      </c>
      <c r="BH26" s="227">
        <f>'Table 5C2 - LA Virtual Admy'!AP29</f>
        <v>10.65825000000001</v>
      </c>
      <c r="BI26" s="227">
        <f>'Table 5C3 - LA Connections EBR'!AP29</f>
        <v>-13.270499999999998</v>
      </c>
      <c r="BJ26" s="248">
        <f t="shared" si="55"/>
        <v>6422208.4302500011</v>
      </c>
    </row>
    <row r="27" spans="1:62" ht="14.45" customHeight="1">
      <c r="A27" s="224">
        <v>24</v>
      </c>
      <c r="B27" s="225" t="s">
        <v>96</v>
      </c>
      <c r="C27" s="226">
        <f>'Table 2_State Distrib and Adjs'!AL30</f>
        <v>1172947</v>
      </c>
      <c r="D27" s="227">
        <f>-'Table 5A3_OJJ'!W29</f>
        <v>-1482</v>
      </c>
      <c r="E27" s="227"/>
      <c r="F27" s="227"/>
      <c r="G27" s="227">
        <f>-'Table 5C1A-Madison Prep'!AI30</f>
        <v>-2588</v>
      </c>
      <c r="H27" s="227">
        <f>-'Table 5C1B-DArbonne'!AI30</f>
        <v>0</v>
      </c>
      <c r="I27" s="227">
        <f>-'Table 5C1C-Intl_VIBE'!AI30</f>
        <v>0</v>
      </c>
      <c r="J27" s="227">
        <f>-'Table 5C1D-NOMMA'!AI30</f>
        <v>0</v>
      </c>
      <c r="K27" s="227">
        <f>-'Table 5C1E-LFNO'!AI30</f>
        <v>0</v>
      </c>
      <c r="L27" s="227">
        <f>-'Table 5C1F-Lake Charles Charter'!AI30</f>
        <v>0</v>
      </c>
      <c r="M27" s="227">
        <f>-'Table 5C1G-JS Clark Academy'!AI30</f>
        <v>0</v>
      </c>
      <c r="N27" s="227">
        <f>-'Table 5C1H-Southwest LA Charter'!AI30</f>
        <v>0</v>
      </c>
      <c r="O27" s="227">
        <f>-'Table 5C1I-LA Key Academy'!AI30</f>
        <v>-10975</v>
      </c>
      <c r="P27" s="227">
        <f>-'Table 5C1J-Jefferson Chamber'!AI30</f>
        <v>0</v>
      </c>
      <c r="Q27" s="227">
        <f>-'Table 5C1K-Tallulah Charter'!AI30</f>
        <v>0</v>
      </c>
      <c r="R27" s="227">
        <f>-'Table 5C1L-Northshore Charter'!AI30</f>
        <v>0</v>
      </c>
      <c r="S27" s="227">
        <f>-'Table 5C1M-B.R. Charter'!AI30</f>
        <v>-1891</v>
      </c>
      <c r="T27" s="227">
        <f>-'Table 5C1N-Delta Charter'!AI30</f>
        <v>0</v>
      </c>
      <c r="U27" s="227">
        <f>-'Table 5C1O-Impact'!AI30</f>
        <v>0</v>
      </c>
      <c r="V27" s="227">
        <f>-'Table 5C1P-Vision'!AI30</f>
        <v>0</v>
      </c>
      <c r="W27" s="227">
        <f>-'Table 5C1Q-Advantage'!AI30</f>
        <v>0</v>
      </c>
      <c r="X27" s="227">
        <f>-'Table 5C1R-Iberville'!AI30</f>
        <v>-226123</v>
      </c>
      <c r="Y27" s="227">
        <f>-'Table 5C1S-L.C. Coll Prep'!AI30</f>
        <v>0</v>
      </c>
      <c r="Z27" s="227">
        <f>-'Table 5C1T-Northeast'!AI30</f>
        <v>0</v>
      </c>
      <c r="AA27" s="227">
        <f>-'Table 5C1U-Acadiana Ren'!AI30</f>
        <v>0</v>
      </c>
      <c r="AB27" s="227">
        <f>-'Table 5C1V-Laf Ren'!AI30</f>
        <v>0</v>
      </c>
      <c r="AC27" s="227">
        <f>-'Table 5C1W-Willow'!AI30</f>
        <v>0</v>
      </c>
      <c r="AD27" s="227">
        <f>-'Table 5C2 - LA Virtual Admy'!AJ30</f>
        <v>-1264</v>
      </c>
      <c r="AE27" s="227">
        <f>-'Table 5C3 - LA Connections EBR'!AJ30</f>
        <v>-1479</v>
      </c>
      <c r="AF27" s="227">
        <f t="shared" si="53"/>
        <v>-245802</v>
      </c>
      <c r="AG27" s="248">
        <f t="shared" si="54"/>
        <v>927145</v>
      </c>
      <c r="AH27" s="227"/>
      <c r="AI27" s="227"/>
      <c r="AJ27" s="227"/>
      <c r="AK27" s="227">
        <f>'Table 5C1A-Madison Prep'!AO30</f>
        <v>-2.495000000000001</v>
      </c>
      <c r="AL27" s="227">
        <f>'Table 5C1B-DArbonne'!AO30</f>
        <v>0</v>
      </c>
      <c r="AM27" s="227">
        <f>'Table 5C1C-Intl_VIBE'!AO30</f>
        <v>0</v>
      </c>
      <c r="AN27" s="227">
        <f>'Table 5C1D-NOMMA'!AO30</f>
        <v>0</v>
      </c>
      <c r="AO27" s="227">
        <f>'Table 5C1E-LFNO'!AO30</f>
        <v>0</v>
      </c>
      <c r="AP27" s="227">
        <f>'Table 5C1F-Lake Charles Charter'!AO30</f>
        <v>0</v>
      </c>
      <c r="AQ27" s="227">
        <f>'Table 5C1G-JS Clark Academy'!AO30</f>
        <v>0</v>
      </c>
      <c r="AR27" s="227">
        <f>'Table 5C1H-Southwest LA Charter'!AO30</f>
        <v>0</v>
      </c>
      <c r="AS27" s="227">
        <f>'Table 5C1I-LA Key Academy'!AO30</f>
        <v>-106.67625000000001</v>
      </c>
      <c r="AT27" s="227">
        <f>'Table 5C1J-Jefferson Chamber'!AO30</f>
        <v>0</v>
      </c>
      <c r="AU27" s="227">
        <f>'Table 5C1K-Tallulah Charter'!AO30</f>
        <v>0</v>
      </c>
      <c r="AV27" s="227">
        <f>'Table 5C1L-Northshore Charter'!AO30</f>
        <v>0</v>
      </c>
      <c r="AW27" s="227">
        <f>'Table 5C1M-B.R. Charter'!AO30</f>
        <v>31.461249999999993</v>
      </c>
      <c r="AX27" s="227">
        <f>'Table 5C1N-Delta Charter'!AO30</f>
        <v>0</v>
      </c>
      <c r="AY27" s="227">
        <f>'Table 5C1O-Impact'!AO30</f>
        <v>0</v>
      </c>
      <c r="AZ27" s="227">
        <f>+'Table 5C1P-Vision'!AO30</f>
        <v>0</v>
      </c>
      <c r="BA27" s="227">
        <f>+'Table 5C1Q-Advantage'!AO30</f>
        <v>0</v>
      </c>
      <c r="BB27" s="227">
        <f>+'Table 5C1R-Iberville'!AO30</f>
        <v>2390.9937499999996</v>
      </c>
      <c r="BC27" s="227">
        <f>+'Table 5C1S-L.C. Coll Prep'!AO30</f>
        <v>0</v>
      </c>
      <c r="BD27" s="227">
        <f>+'Table 5C1T-Northeast'!AO30</f>
        <v>0</v>
      </c>
      <c r="BE27" s="227">
        <f>+'Table 5C1U-Acadiana Ren'!AO30</f>
        <v>0</v>
      </c>
      <c r="BF27" s="227">
        <f>+'Table 5C1V-Laf Ren'!AO30</f>
        <v>0</v>
      </c>
      <c r="BG27" s="227">
        <f>+'Table 5C1W-Willow'!AO30</f>
        <v>0</v>
      </c>
      <c r="BH27" s="227">
        <f>'Table 5C2 - LA Virtual Admy'!AP30</f>
        <v>92.886750000000006</v>
      </c>
      <c r="BI27" s="227">
        <f>'Table 5C3 - LA Connections EBR'!AP30</f>
        <v>-29.355749999999986</v>
      </c>
      <c r="BJ27" s="248">
        <f t="shared" si="55"/>
        <v>929521.81475000002</v>
      </c>
    </row>
    <row r="28" spans="1:62" ht="14.45" customHeight="1">
      <c r="A28" s="3">
        <v>25</v>
      </c>
      <c r="B28" s="7" t="s">
        <v>97</v>
      </c>
      <c r="C28" s="9">
        <f>'Table 2_State Distrib and Adjs'!AL31</f>
        <v>881252</v>
      </c>
      <c r="D28" s="10">
        <f>-'Table 5A3_OJJ'!W30</f>
        <v>-25</v>
      </c>
      <c r="E28" s="10"/>
      <c r="F28" s="10"/>
      <c r="G28" s="10">
        <f>-'Table 5C1A-Madison Prep'!AI31</f>
        <v>0</v>
      </c>
      <c r="H28" s="10">
        <f>-'Table 5C1B-DArbonne'!AI31</f>
        <v>0</v>
      </c>
      <c r="I28" s="10">
        <f>-'Table 5C1C-Intl_VIBE'!AI31</f>
        <v>0</v>
      </c>
      <c r="J28" s="10">
        <f>-'Table 5C1D-NOMMA'!AI31</f>
        <v>0</v>
      </c>
      <c r="K28" s="10">
        <f>-'Table 5C1E-LFNO'!AI31</f>
        <v>0</v>
      </c>
      <c r="L28" s="10">
        <f>-'Table 5C1F-Lake Charles Charter'!AI31</f>
        <v>0</v>
      </c>
      <c r="M28" s="10">
        <f>-'Table 5C1G-JS Clark Academy'!AI31</f>
        <v>0</v>
      </c>
      <c r="N28" s="10">
        <f>-'Table 5C1H-Southwest LA Charter'!AI31</f>
        <v>0</v>
      </c>
      <c r="O28" s="10">
        <f>-'Table 5C1I-LA Key Academy'!AI31</f>
        <v>0</v>
      </c>
      <c r="P28" s="10">
        <f>-'Table 5C1J-Jefferson Chamber'!AI31</f>
        <v>0</v>
      </c>
      <c r="Q28" s="10">
        <f>-'Table 5C1K-Tallulah Charter'!AI31</f>
        <v>0</v>
      </c>
      <c r="R28" s="10">
        <f>-'Table 5C1L-Northshore Charter'!AI31</f>
        <v>0</v>
      </c>
      <c r="S28" s="10">
        <f>-'Table 5C1M-B.R. Charter'!AI31</f>
        <v>0</v>
      </c>
      <c r="T28" s="10">
        <f>-'Table 5C1N-Delta Charter'!AI31</f>
        <v>0</v>
      </c>
      <c r="U28" s="10">
        <f>-'Table 5C1O-Impact'!AI31</f>
        <v>0</v>
      </c>
      <c r="V28" s="10">
        <f>-'Table 5C1P-Vision'!AI31</f>
        <v>0</v>
      </c>
      <c r="W28" s="10">
        <f>-'Table 5C1Q-Advantage'!AI31</f>
        <v>0</v>
      </c>
      <c r="X28" s="10">
        <f>-'Table 5C1R-Iberville'!AI31</f>
        <v>0</v>
      </c>
      <c r="Y28" s="10">
        <f>-'Table 5C1S-L.C. Coll Prep'!AI31</f>
        <v>0</v>
      </c>
      <c r="Z28" s="10">
        <f>-'Table 5C1T-Northeast'!AI31</f>
        <v>0</v>
      </c>
      <c r="AA28" s="10">
        <f>-'Table 5C1U-Acadiana Ren'!AI31</f>
        <v>0</v>
      </c>
      <c r="AB28" s="10">
        <f>-'Table 5C1V-Laf Ren'!AI31</f>
        <v>0</v>
      </c>
      <c r="AC28" s="10">
        <f>-'Table 5C1W-Willow'!AI31</f>
        <v>0</v>
      </c>
      <c r="AD28" s="10">
        <f>-'Table 5C2 - LA Virtual Admy'!AJ31</f>
        <v>-2133</v>
      </c>
      <c r="AE28" s="10">
        <f>-'Table 5C3 - LA Connections EBR'!AJ31</f>
        <v>5298</v>
      </c>
      <c r="AF28" s="10">
        <f t="shared" si="53"/>
        <v>3140</v>
      </c>
      <c r="AG28" s="15">
        <f t="shared" si="54"/>
        <v>884392</v>
      </c>
      <c r="AH28" s="10"/>
      <c r="AI28" s="10"/>
      <c r="AJ28" s="10"/>
      <c r="AK28" s="10">
        <f>'Table 5C1A-Madison Prep'!AO31</f>
        <v>0</v>
      </c>
      <c r="AL28" s="10">
        <f>'Table 5C1B-DArbonne'!AO31</f>
        <v>0</v>
      </c>
      <c r="AM28" s="10">
        <f>'Table 5C1C-Intl_VIBE'!AO31</f>
        <v>0</v>
      </c>
      <c r="AN28" s="10">
        <f>'Table 5C1D-NOMMA'!AO31</f>
        <v>0</v>
      </c>
      <c r="AO28" s="10">
        <f>'Table 5C1E-LFNO'!AO31</f>
        <v>0</v>
      </c>
      <c r="AP28" s="10">
        <f>'Table 5C1F-Lake Charles Charter'!AO31</f>
        <v>0</v>
      </c>
      <c r="AQ28" s="10">
        <f>'Table 5C1G-JS Clark Academy'!AO31</f>
        <v>0</v>
      </c>
      <c r="AR28" s="10">
        <f>'Table 5C1H-Southwest LA Charter'!AO31</f>
        <v>0</v>
      </c>
      <c r="AS28" s="10">
        <f>'Table 5C1I-LA Key Academy'!AO31</f>
        <v>0</v>
      </c>
      <c r="AT28" s="10">
        <f>'Table 5C1J-Jefferson Chamber'!AO31</f>
        <v>0</v>
      </c>
      <c r="AU28" s="10">
        <f>'Table 5C1K-Tallulah Charter'!AO31</f>
        <v>0</v>
      </c>
      <c r="AV28" s="10">
        <f>'Table 5C1L-Northshore Charter'!AO31</f>
        <v>0</v>
      </c>
      <c r="AW28" s="10">
        <f>'Table 5C1M-B.R. Charter'!AO31</f>
        <v>0</v>
      </c>
      <c r="AX28" s="10">
        <f>'Table 5C1N-Delta Charter'!AO31</f>
        <v>0</v>
      </c>
      <c r="AY28" s="10">
        <f>'Table 5C1O-Impact'!AO31</f>
        <v>0</v>
      </c>
      <c r="AZ28" s="10">
        <f>+'Table 5C1P-Vision'!AO31</f>
        <v>0</v>
      </c>
      <c r="BA28" s="10">
        <f>+'Table 5C1Q-Advantage'!AO31</f>
        <v>0</v>
      </c>
      <c r="BB28" s="10">
        <f>+'Table 5C1R-Iberville'!AO31</f>
        <v>0</v>
      </c>
      <c r="BC28" s="10">
        <f>+'Table 5C1S-L.C. Coll Prep'!AO31</f>
        <v>0</v>
      </c>
      <c r="BD28" s="10">
        <f>+'Table 5C1T-Northeast'!AO31</f>
        <v>0</v>
      </c>
      <c r="BE28" s="10">
        <f>+'Table 5C1U-Acadiana Ren'!AO31</f>
        <v>0</v>
      </c>
      <c r="BF28" s="10">
        <f>+'Table 5C1V-Laf Ren'!AO31</f>
        <v>0</v>
      </c>
      <c r="BG28" s="10">
        <f>+'Table 5C1W-Willow'!AO31</f>
        <v>0</v>
      </c>
      <c r="BH28" s="10">
        <f>'Table 5C2 - LA Virtual Admy'!AP31</f>
        <v>-17.588250000000002</v>
      </c>
      <c r="BI28" s="10">
        <f>'Table 5C3 - LA Connections EBR'!AP31</f>
        <v>-23.388750000000005</v>
      </c>
      <c r="BJ28" s="15">
        <f t="shared" si="55"/>
        <v>884351.02299999993</v>
      </c>
    </row>
    <row r="29" spans="1:62" ht="14.45" customHeight="1">
      <c r="A29" s="224">
        <v>26</v>
      </c>
      <c r="B29" s="225" t="s">
        <v>98</v>
      </c>
      <c r="C29" s="226">
        <f>'Table 2_State Distrib and Adjs'!AL32</f>
        <v>16574134</v>
      </c>
      <c r="D29" s="227">
        <f>-'Table 5A3_OJJ'!W31</f>
        <v>-6659</v>
      </c>
      <c r="E29" s="227"/>
      <c r="F29" s="227"/>
      <c r="G29" s="227">
        <f>-'Table 5C1A-Madison Prep'!AI32</f>
        <v>0</v>
      </c>
      <c r="H29" s="227">
        <f>-'Table 5C1B-DArbonne'!AI32</f>
        <v>0</v>
      </c>
      <c r="I29" s="227">
        <f>-'Table 5C1C-Intl_VIBE'!AI32</f>
        <v>-47585</v>
      </c>
      <c r="J29" s="227">
        <f>-'Table 5C1D-NOMMA'!AI32</f>
        <v>-115834</v>
      </c>
      <c r="K29" s="227">
        <f>-'Table 5C1E-LFNO'!AI32</f>
        <v>-48793</v>
      </c>
      <c r="L29" s="227">
        <f>-'Table 5C1F-Lake Charles Charter'!AI32</f>
        <v>0</v>
      </c>
      <c r="M29" s="227">
        <f>-'Table 5C1G-JS Clark Academy'!AI32</f>
        <v>0</v>
      </c>
      <c r="N29" s="227">
        <f>-'Table 5C1H-Southwest LA Charter'!AI32</f>
        <v>0</v>
      </c>
      <c r="O29" s="227">
        <f>-'Table 5C1I-LA Key Academy'!AI32</f>
        <v>0</v>
      </c>
      <c r="P29" s="227">
        <f>-'Table 5C1J-Jefferson Chamber'!AI32</f>
        <v>-46997</v>
      </c>
      <c r="Q29" s="227">
        <f>-'Table 5C1K-Tallulah Charter'!AI32</f>
        <v>0</v>
      </c>
      <c r="R29" s="227">
        <f>-'Table 5C1L-Northshore Charter'!AI32</f>
        <v>0</v>
      </c>
      <c r="S29" s="227">
        <f>-'Table 5C1M-B.R. Charter'!AI32</f>
        <v>0</v>
      </c>
      <c r="T29" s="227">
        <f>-'Table 5C1N-Delta Charter'!AI32</f>
        <v>0</v>
      </c>
      <c r="U29" s="227">
        <f>-'Table 5C1O-Impact'!AI32</f>
        <v>0</v>
      </c>
      <c r="V29" s="227">
        <f>-'Table 5C1P-Vision'!AI32</f>
        <v>0</v>
      </c>
      <c r="W29" s="227">
        <f>-'Table 5C1Q-Advantage'!AI32</f>
        <v>0</v>
      </c>
      <c r="X29" s="227">
        <f>-'Table 5C1R-Iberville'!AI32</f>
        <v>0</v>
      </c>
      <c r="Y29" s="227">
        <f>-'Table 5C1S-L.C. Coll Prep'!AI32</f>
        <v>0</v>
      </c>
      <c r="Z29" s="227">
        <f>-'Table 5C1T-Northeast'!AI32</f>
        <v>0</v>
      </c>
      <c r="AA29" s="227">
        <f>-'Table 5C1U-Acadiana Ren'!AI32</f>
        <v>0</v>
      </c>
      <c r="AB29" s="227">
        <f>-'Table 5C1V-Laf Ren'!AI32</f>
        <v>0</v>
      </c>
      <c r="AC29" s="227">
        <f>-'Table 5C1W-Willow'!AI32</f>
        <v>0</v>
      </c>
      <c r="AD29" s="227">
        <f>-'Table 5C2 - LA Virtual Admy'!AJ32</f>
        <v>-64019</v>
      </c>
      <c r="AE29" s="227">
        <f>-'Table 5C3 - LA Connections EBR'!AJ32</f>
        <v>-71786</v>
      </c>
      <c r="AF29" s="227">
        <f t="shared" si="53"/>
        <v>-401673</v>
      </c>
      <c r="AG29" s="248">
        <f t="shared" si="54"/>
        <v>16172461</v>
      </c>
      <c r="AH29" s="227"/>
      <c r="AI29" s="227"/>
      <c r="AJ29" s="227"/>
      <c r="AK29" s="227">
        <f>'Table 5C1A-Madison Prep'!AO32</f>
        <v>0</v>
      </c>
      <c r="AL29" s="227">
        <f>'Table 5C1B-DArbonne'!AO32</f>
        <v>0</v>
      </c>
      <c r="AM29" s="227">
        <f>'Table 5C1C-Intl_VIBE'!AO32</f>
        <v>-222.81124999999997</v>
      </c>
      <c r="AN29" s="227">
        <f>'Table 5C1D-NOMMA'!AO32</f>
        <v>-1146.98</v>
      </c>
      <c r="AO29" s="227">
        <f>'Table 5C1E-LFNO'!AO32</f>
        <v>-348.15874999999994</v>
      </c>
      <c r="AP29" s="227">
        <f>'Table 5C1F-Lake Charles Charter'!AO32</f>
        <v>0</v>
      </c>
      <c r="AQ29" s="227">
        <f>'Table 5C1G-JS Clark Academy'!AO32</f>
        <v>0</v>
      </c>
      <c r="AR29" s="227">
        <f>'Table 5C1H-Southwest LA Charter'!AO32</f>
        <v>0</v>
      </c>
      <c r="AS29" s="227">
        <f>'Table 5C1I-LA Key Academy'!AO32</f>
        <v>0</v>
      </c>
      <c r="AT29" s="227">
        <f>'Table 5C1J-Jefferson Chamber'!AO32</f>
        <v>-72.276249999999891</v>
      </c>
      <c r="AU29" s="227">
        <f>'Table 5C1K-Tallulah Charter'!AO32</f>
        <v>0</v>
      </c>
      <c r="AV29" s="227">
        <f>'Table 5C1L-Northshore Charter'!AO32</f>
        <v>0</v>
      </c>
      <c r="AW29" s="227">
        <f>'Table 5C1M-B.R. Charter'!AO32</f>
        <v>0</v>
      </c>
      <c r="AX29" s="227">
        <f>'Table 5C1N-Delta Charter'!AO32</f>
        <v>0</v>
      </c>
      <c r="AY29" s="227">
        <f>'Table 5C1O-Impact'!AO32</f>
        <v>0</v>
      </c>
      <c r="AZ29" s="227">
        <f>+'Table 5C1P-Vision'!AO32</f>
        <v>0</v>
      </c>
      <c r="BA29" s="227">
        <f>+'Table 5C1Q-Advantage'!AO32</f>
        <v>0</v>
      </c>
      <c r="BB29" s="227">
        <f>+'Table 5C1R-Iberville'!AO32</f>
        <v>0</v>
      </c>
      <c r="BC29" s="227">
        <f>+'Table 5C1S-L.C. Coll Prep'!AO32</f>
        <v>0</v>
      </c>
      <c r="BD29" s="227">
        <f>+'Table 5C1T-Northeast'!AO32</f>
        <v>0</v>
      </c>
      <c r="BE29" s="227">
        <f>+'Table 5C1U-Acadiana Ren'!AO32</f>
        <v>0</v>
      </c>
      <c r="BF29" s="227">
        <f>+'Table 5C1V-Laf Ren'!AO32</f>
        <v>0</v>
      </c>
      <c r="BG29" s="227">
        <f>+'Table 5C1W-Willow'!AO32</f>
        <v>0</v>
      </c>
      <c r="BH29" s="227">
        <f>'Table 5C2 - LA Virtual Admy'!AP32</f>
        <v>17.016749999999774</v>
      </c>
      <c r="BI29" s="227">
        <f>'Table 5C3 - LA Connections EBR'!AP32</f>
        <v>-410.22787499999981</v>
      </c>
      <c r="BJ29" s="248">
        <f t="shared" si="55"/>
        <v>16170277.562625002</v>
      </c>
    </row>
    <row r="30" spans="1:62" ht="14.45" customHeight="1">
      <c r="A30" s="224">
        <v>27</v>
      </c>
      <c r="B30" s="225" t="s">
        <v>99</v>
      </c>
      <c r="C30" s="226">
        <f>'Table 2_State Distrib and Adjs'!AL33</f>
        <v>2947925</v>
      </c>
      <c r="D30" s="227">
        <f>-'Table 5A3_OJJ'!W32</f>
        <v>-675</v>
      </c>
      <c r="E30" s="227"/>
      <c r="F30" s="227"/>
      <c r="G30" s="227">
        <f>-'Table 5C1A-Madison Prep'!AI33</f>
        <v>0</v>
      </c>
      <c r="H30" s="227">
        <f>-'Table 5C1B-DArbonne'!AI33</f>
        <v>0</v>
      </c>
      <c r="I30" s="227">
        <f>-'Table 5C1C-Intl_VIBE'!AI33</f>
        <v>0</v>
      </c>
      <c r="J30" s="227">
        <f>-'Table 5C1D-NOMMA'!AI33</f>
        <v>0</v>
      </c>
      <c r="K30" s="227">
        <f>-'Table 5C1E-LFNO'!AI33</f>
        <v>0</v>
      </c>
      <c r="L30" s="227">
        <f>-'Table 5C1F-Lake Charles Charter'!AI33</f>
        <v>0</v>
      </c>
      <c r="M30" s="227">
        <f>-'Table 5C1G-JS Clark Academy'!AI33</f>
        <v>0</v>
      </c>
      <c r="N30" s="227">
        <f>-'Table 5C1H-Southwest LA Charter'!AI33</f>
        <v>1509</v>
      </c>
      <c r="O30" s="227">
        <f>-'Table 5C1I-LA Key Academy'!AI33</f>
        <v>0</v>
      </c>
      <c r="P30" s="227">
        <f>-'Table 5C1J-Jefferson Chamber'!AI33</f>
        <v>0</v>
      </c>
      <c r="Q30" s="227">
        <f>-'Table 5C1K-Tallulah Charter'!AI33</f>
        <v>0</v>
      </c>
      <c r="R30" s="227">
        <f>-'Table 5C1L-Northshore Charter'!AI33</f>
        <v>0</v>
      </c>
      <c r="S30" s="227">
        <f>-'Table 5C1M-B.R. Charter'!AI33</f>
        <v>0</v>
      </c>
      <c r="T30" s="227">
        <f>-'Table 5C1N-Delta Charter'!AI33</f>
        <v>0</v>
      </c>
      <c r="U30" s="227">
        <f>-'Table 5C1O-Impact'!AI33</f>
        <v>0</v>
      </c>
      <c r="V30" s="227">
        <f>-'Table 5C1P-Vision'!AI33</f>
        <v>0</v>
      </c>
      <c r="W30" s="227">
        <f>-'Table 5C1Q-Advantage'!AI33</f>
        <v>0</v>
      </c>
      <c r="X30" s="227">
        <f>-'Table 5C1R-Iberville'!AI33</f>
        <v>0</v>
      </c>
      <c r="Y30" s="227">
        <f>-'Table 5C1S-L.C. Coll Prep'!AI33</f>
        <v>0</v>
      </c>
      <c r="Z30" s="227">
        <f>-'Table 5C1T-Northeast'!AI33</f>
        <v>0</v>
      </c>
      <c r="AA30" s="227">
        <f>-'Table 5C1U-Acadiana Ren'!AI33</f>
        <v>0</v>
      </c>
      <c r="AB30" s="227">
        <f>-'Table 5C1V-Laf Ren'!AI33</f>
        <v>-409</v>
      </c>
      <c r="AC30" s="227">
        <f>-'Table 5C1W-Willow'!AI33</f>
        <v>0</v>
      </c>
      <c r="AD30" s="227">
        <f>-'Table 5C2 - LA Virtual Admy'!AJ33</f>
        <v>-2996</v>
      </c>
      <c r="AE30" s="227">
        <f>-'Table 5C3 - LA Connections EBR'!AJ33</f>
        <v>-202</v>
      </c>
      <c r="AF30" s="227">
        <f t="shared" si="53"/>
        <v>-2773</v>
      </c>
      <c r="AG30" s="248">
        <f t="shared" si="54"/>
        <v>2945152</v>
      </c>
      <c r="AH30" s="227"/>
      <c r="AI30" s="227"/>
      <c r="AJ30" s="227"/>
      <c r="AK30" s="227">
        <f>'Table 5C1A-Madison Prep'!AO33</f>
        <v>0</v>
      </c>
      <c r="AL30" s="227">
        <f>'Table 5C1B-DArbonne'!AO33</f>
        <v>0</v>
      </c>
      <c r="AM30" s="227">
        <f>'Table 5C1C-Intl_VIBE'!AO33</f>
        <v>0</v>
      </c>
      <c r="AN30" s="227">
        <f>'Table 5C1D-NOMMA'!AO33</f>
        <v>0</v>
      </c>
      <c r="AO30" s="227">
        <f>'Table 5C1E-LFNO'!AO33</f>
        <v>0</v>
      </c>
      <c r="AP30" s="227">
        <f>'Table 5C1F-Lake Charles Charter'!AO33</f>
        <v>0</v>
      </c>
      <c r="AQ30" s="227">
        <f>'Table 5C1G-JS Clark Academy'!AO33</f>
        <v>0</v>
      </c>
      <c r="AR30" s="227">
        <f>'Table 5C1H-Southwest LA Charter'!AO33</f>
        <v>0</v>
      </c>
      <c r="AS30" s="227">
        <f>'Table 5C1I-LA Key Academy'!AO33</f>
        <v>0</v>
      </c>
      <c r="AT30" s="227">
        <f>'Table 5C1J-Jefferson Chamber'!AO33</f>
        <v>0</v>
      </c>
      <c r="AU30" s="227">
        <f>'Table 5C1K-Tallulah Charter'!AO33</f>
        <v>0</v>
      </c>
      <c r="AV30" s="227">
        <f>'Table 5C1L-Northshore Charter'!AO33</f>
        <v>0</v>
      </c>
      <c r="AW30" s="227">
        <f>'Table 5C1M-B.R. Charter'!AO33</f>
        <v>0</v>
      </c>
      <c r="AX30" s="227">
        <f>'Table 5C1N-Delta Charter'!AO33</f>
        <v>0</v>
      </c>
      <c r="AY30" s="227">
        <f>'Table 5C1O-Impact'!AO33</f>
        <v>0</v>
      </c>
      <c r="AZ30" s="227">
        <f>+'Table 5C1P-Vision'!AO33</f>
        <v>0</v>
      </c>
      <c r="BA30" s="227">
        <f>+'Table 5C1Q-Advantage'!AO33</f>
        <v>0</v>
      </c>
      <c r="BB30" s="227">
        <f>+'Table 5C1R-Iberville'!AO33</f>
        <v>0</v>
      </c>
      <c r="BC30" s="227">
        <f>+'Table 5C1S-L.C. Coll Prep'!AO33</f>
        <v>0</v>
      </c>
      <c r="BD30" s="227">
        <f>+'Table 5C1T-Northeast'!AO33</f>
        <v>0</v>
      </c>
      <c r="BE30" s="227">
        <f>+'Table 5C1U-Acadiana Ren'!AO33</f>
        <v>0</v>
      </c>
      <c r="BF30" s="227">
        <f>+'Table 5C1V-Laf Ren'!AO33</f>
        <v>-8.0625</v>
      </c>
      <c r="BG30" s="227">
        <f>+'Table 5C1W-Willow'!AO33</f>
        <v>0</v>
      </c>
      <c r="BH30" s="227">
        <f>'Table 5C2 - LA Virtual Admy'!AP33</f>
        <v>-1.5120000000000147</v>
      </c>
      <c r="BI30" s="227">
        <f>'Table 5C3 - LA Connections EBR'!AP33</f>
        <v>13.882499999999997</v>
      </c>
      <c r="BJ30" s="248">
        <f t="shared" si="55"/>
        <v>2945156.3079999997</v>
      </c>
    </row>
    <row r="31" spans="1:62" ht="14.45" customHeight="1">
      <c r="A31" s="224">
        <v>28</v>
      </c>
      <c r="B31" s="225" t="s">
        <v>100</v>
      </c>
      <c r="C31" s="226">
        <f>'Table 2_State Distrib and Adjs'!AL34</f>
        <v>8900571</v>
      </c>
      <c r="D31" s="227">
        <f>-'Table 5A3_OJJ'!W33</f>
        <v>-1776</v>
      </c>
      <c r="E31" s="227"/>
      <c r="F31" s="227"/>
      <c r="G31" s="227">
        <f>-'Table 5C1A-Madison Prep'!AI34</f>
        <v>0</v>
      </c>
      <c r="H31" s="227">
        <f>-'Table 5C1B-DArbonne'!AI34</f>
        <v>0</v>
      </c>
      <c r="I31" s="227">
        <f>-'Table 5C1C-Intl_VIBE'!AI34</f>
        <v>0</v>
      </c>
      <c r="J31" s="227">
        <f>-'Table 5C1D-NOMMA'!AI34</f>
        <v>0</v>
      </c>
      <c r="K31" s="227">
        <f>-'Table 5C1E-LFNO'!AI34</f>
        <v>0</v>
      </c>
      <c r="L31" s="227">
        <f>-'Table 5C1F-Lake Charles Charter'!AI34</f>
        <v>0</v>
      </c>
      <c r="M31" s="227">
        <f>-'Table 5C1G-JS Clark Academy'!AI34</f>
        <v>-1407</v>
      </c>
      <c r="N31" s="227">
        <f>-'Table 5C1H-Southwest LA Charter'!AI34</f>
        <v>-725</v>
      </c>
      <c r="O31" s="227">
        <f>-'Table 5C1I-LA Key Academy'!AI34</f>
        <v>0</v>
      </c>
      <c r="P31" s="227">
        <f>-'Table 5C1J-Jefferson Chamber'!AI34</f>
        <v>0</v>
      </c>
      <c r="Q31" s="227">
        <f>-'Table 5C1K-Tallulah Charter'!AI34</f>
        <v>0</v>
      </c>
      <c r="R31" s="227">
        <f>-'Table 5C1L-Northshore Charter'!AI34</f>
        <v>0</v>
      </c>
      <c r="S31" s="227">
        <f>-'Table 5C1M-B.R. Charter'!AI34</f>
        <v>-1450</v>
      </c>
      <c r="T31" s="227">
        <f>-'Table 5C1N-Delta Charter'!AI34</f>
        <v>0</v>
      </c>
      <c r="U31" s="227">
        <f>-'Table 5C1O-Impact'!AI34</f>
        <v>0</v>
      </c>
      <c r="V31" s="227">
        <f>-'Table 5C1P-Vision'!AI34</f>
        <v>0</v>
      </c>
      <c r="W31" s="227">
        <f>-'Table 5C1Q-Advantage'!AI34</f>
        <v>0</v>
      </c>
      <c r="X31" s="227">
        <f>-'Table 5C1R-Iberville'!AI34</f>
        <v>0</v>
      </c>
      <c r="Y31" s="227">
        <f>-'Table 5C1S-L.C. Coll Prep'!AI34</f>
        <v>0</v>
      </c>
      <c r="Z31" s="227">
        <f>-'Table 5C1T-Northeast'!AI34</f>
        <v>0</v>
      </c>
      <c r="AA31" s="227">
        <f>-'Table 5C1U-Acadiana Ren'!AI34</f>
        <v>-427152</v>
      </c>
      <c r="AB31" s="227">
        <f>-'Table 5C1V-Laf Ren'!AI34</f>
        <v>-189637</v>
      </c>
      <c r="AC31" s="227">
        <f>-'Table 5C1W-Willow'!AI34</f>
        <v>-118829</v>
      </c>
      <c r="AD31" s="227">
        <f>-'Table 5C2 - LA Virtual Admy'!AJ34</f>
        <v>-25793</v>
      </c>
      <c r="AE31" s="227">
        <f>-'Table 5C3 - LA Connections EBR'!AJ34</f>
        <v>-48732</v>
      </c>
      <c r="AF31" s="227">
        <f t="shared" si="53"/>
        <v>-815501</v>
      </c>
      <c r="AG31" s="248">
        <f t="shared" si="54"/>
        <v>8085070</v>
      </c>
      <c r="AH31" s="227"/>
      <c r="AI31" s="227"/>
      <c r="AJ31" s="227"/>
      <c r="AK31" s="227">
        <f>'Table 5C1A-Madison Prep'!AO34</f>
        <v>0</v>
      </c>
      <c r="AL31" s="227">
        <f>'Table 5C1B-DArbonne'!AO34</f>
        <v>0</v>
      </c>
      <c r="AM31" s="227">
        <f>'Table 5C1C-Intl_VIBE'!AO34</f>
        <v>0</v>
      </c>
      <c r="AN31" s="227">
        <f>'Table 5C1D-NOMMA'!AO34</f>
        <v>0</v>
      </c>
      <c r="AO31" s="227">
        <f>'Table 5C1E-LFNO'!AO34</f>
        <v>0</v>
      </c>
      <c r="AP31" s="227">
        <f>'Table 5C1F-Lake Charles Charter'!AO34</f>
        <v>0</v>
      </c>
      <c r="AQ31" s="227">
        <f>'Table 5C1G-JS Clark Academy'!AO34</f>
        <v>-6.5000000000001279E-2</v>
      </c>
      <c r="AR31" s="227">
        <f>'Table 5C1H-Southwest LA Charter'!AO34</f>
        <v>-7.2700000000000005</v>
      </c>
      <c r="AS31" s="227">
        <f>'Table 5C1I-LA Key Academy'!AO34</f>
        <v>0</v>
      </c>
      <c r="AT31" s="227">
        <f>'Table 5C1J-Jefferson Chamber'!AO34</f>
        <v>0</v>
      </c>
      <c r="AU31" s="227">
        <f>'Table 5C1K-Tallulah Charter'!AO34</f>
        <v>0</v>
      </c>
      <c r="AV31" s="227">
        <f>'Table 5C1L-Northshore Charter'!AO34</f>
        <v>0</v>
      </c>
      <c r="AW31" s="227">
        <f>'Table 5C1M-B.R. Charter'!AO34</f>
        <v>-14.540000000000001</v>
      </c>
      <c r="AX31" s="227">
        <f>'Table 5C1N-Delta Charter'!AO34</f>
        <v>0</v>
      </c>
      <c r="AY31" s="227">
        <f>'Table 5C1O-Impact'!AO34</f>
        <v>0</v>
      </c>
      <c r="AZ31" s="227">
        <f>+'Table 5C1P-Vision'!AO34</f>
        <v>0</v>
      </c>
      <c r="BA31" s="227">
        <f>+'Table 5C1Q-Advantage'!AO34</f>
        <v>0</v>
      </c>
      <c r="BB31" s="227">
        <f>+'Table 5C1R-Iberville'!AO34</f>
        <v>0</v>
      </c>
      <c r="BC31" s="227">
        <f>+'Table 5C1S-L.C. Coll Prep'!AO34</f>
        <v>0</v>
      </c>
      <c r="BD31" s="227">
        <f>+'Table 5C1T-Northeast'!AO34</f>
        <v>0</v>
      </c>
      <c r="BE31" s="227">
        <f>+'Table 5C1U-Acadiana Ren'!AO34</f>
        <v>-1119.3050000000003</v>
      </c>
      <c r="BF31" s="227">
        <f>+'Table 5C1V-Laf Ren'!AO34</f>
        <v>1165.165</v>
      </c>
      <c r="BG31" s="227">
        <f>+'Table 5C1W-Willow'!AO34</f>
        <v>1124.7299999999996</v>
      </c>
      <c r="BH31" s="227">
        <f>'Table 5C2 - LA Virtual Admy'!AP34</f>
        <v>119.22749999999974</v>
      </c>
      <c r="BI31" s="227">
        <f>'Table 5C3 - LA Connections EBR'!AP34</f>
        <v>-336.79349999999999</v>
      </c>
      <c r="BJ31" s="248">
        <f t="shared" si="55"/>
        <v>8086001.1490000011</v>
      </c>
    </row>
    <row r="32" spans="1:62" ht="14.45" customHeight="1">
      <c r="A32" s="224">
        <v>29</v>
      </c>
      <c r="B32" s="225" t="s">
        <v>101</v>
      </c>
      <c r="C32" s="226">
        <f>'Table 2_State Distrib and Adjs'!AL35</f>
        <v>5584611</v>
      </c>
      <c r="D32" s="227">
        <f>-'Table 5A3_OJJ'!W34</f>
        <v>-3357</v>
      </c>
      <c r="E32" s="227"/>
      <c r="F32" s="227"/>
      <c r="G32" s="227">
        <f>-'Table 5C1A-Madison Prep'!AI35</f>
        <v>0</v>
      </c>
      <c r="H32" s="227">
        <f>-'Table 5C1B-DArbonne'!AI35</f>
        <v>0</v>
      </c>
      <c r="I32" s="227">
        <f>-'Table 5C1C-Intl_VIBE'!AI35</f>
        <v>0</v>
      </c>
      <c r="J32" s="227">
        <f>-'Table 5C1D-NOMMA'!AI35</f>
        <v>0</v>
      </c>
      <c r="K32" s="227">
        <f>-'Table 5C1E-LFNO'!AI35</f>
        <v>842</v>
      </c>
      <c r="L32" s="227">
        <f>-'Table 5C1F-Lake Charles Charter'!AI35</f>
        <v>0</v>
      </c>
      <c r="M32" s="227">
        <f>-'Table 5C1G-JS Clark Academy'!AI35</f>
        <v>0</v>
      </c>
      <c r="N32" s="227">
        <f>-'Table 5C1H-Southwest LA Charter'!AI35</f>
        <v>0</v>
      </c>
      <c r="O32" s="227">
        <f>-'Table 5C1I-LA Key Academy'!AI35</f>
        <v>0</v>
      </c>
      <c r="P32" s="227">
        <f>-'Table 5C1J-Jefferson Chamber'!AI35</f>
        <v>0</v>
      </c>
      <c r="Q32" s="227">
        <f>-'Table 5C1K-Tallulah Charter'!AI35</f>
        <v>0</v>
      </c>
      <c r="R32" s="227">
        <f>-'Table 5C1L-Northshore Charter'!AI35</f>
        <v>0</v>
      </c>
      <c r="S32" s="227">
        <f>-'Table 5C1M-B.R. Charter'!AI35</f>
        <v>0</v>
      </c>
      <c r="T32" s="227">
        <f>-'Table 5C1N-Delta Charter'!AI35</f>
        <v>0</v>
      </c>
      <c r="U32" s="227">
        <f>-'Table 5C1O-Impact'!AI35</f>
        <v>0</v>
      </c>
      <c r="V32" s="227">
        <f>-'Table 5C1P-Vision'!AI35</f>
        <v>0</v>
      </c>
      <c r="W32" s="227">
        <f>-'Table 5C1Q-Advantage'!AI35</f>
        <v>0</v>
      </c>
      <c r="X32" s="227">
        <f>-'Table 5C1R-Iberville'!AI35</f>
        <v>0</v>
      </c>
      <c r="Y32" s="227">
        <f>-'Table 5C1S-L.C. Coll Prep'!AI35</f>
        <v>0</v>
      </c>
      <c r="Z32" s="227">
        <f>-'Table 5C1T-Northeast'!AI35</f>
        <v>0</v>
      </c>
      <c r="AA32" s="227">
        <f>-'Table 5C1U-Acadiana Ren'!AI35</f>
        <v>0</v>
      </c>
      <c r="AB32" s="227">
        <f>-'Table 5C1V-Laf Ren'!AI35</f>
        <v>0</v>
      </c>
      <c r="AC32" s="227">
        <f>-'Table 5C1W-Willow'!AI35</f>
        <v>0</v>
      </c>
      <c r="AD32" s="227">
        <f>-'Table 5C2 - LA Virtual Admy'!AJ35</f>
        <v>-23135</v>
      </c>
      <c r="AE32" s="227">
        <f>-'Table 5C3 - LA Connections EBR'!AJ35</f>
        <v>-7121</v>
      </c>
      <c r="AF32" s="227">
        <f t="shared" si="53"/>
        <v>-32771</v>
      </c>
      <c r="AG32" s="248">
        <f t="shared" si="54"/>
        <v>5551840</v>
      </c>
      <c r="AH32" s="227"/>
      <c r="AI32" s="227"/>
      <c r="AJ32" s="227"/>
      <c r="AK32" s="227">
        <f>'Table 5C1A-Madison Prep'!AO35</f>
        <v>0</v>
      </c>
      <c r="AL32" s="227">
        <f>'Table 5C1B-DArbonne'!AO35</f>
        <v>0</v>
      </c>
      <c r="AM32" s="227">
        <f>'Table 5C1C-Intl_VIBE'!AO35</f>
        <v>0</v>
      </c>
      <c r="AN32" s="227">
        <f>'Table 5C1D-NOMMA'!AO35</f>
        <v>0</v>
      </c>
      <c r="AO32" s="227">
        <f>'Table 5C1E-LFNO'!AO35</f>
        <v>12.672499999999999</v>
      </c>
      <c r="AP32" s="227">
        <f>'Table 5C1F-Lake Charles Charter'!AO35</f>
        <v>0</v>
      </c>
      <c r="AQ32" s="227">
        <f>'Table 5C1G-JS Clark Academy'!AO35</f>
        <v>0</v>
      </c>
      <c r="AR32" s="227">
        <f>'Table 5C1H-Southwest LA Charter'!AO35</f>
        <v>0</v>
      </c>
      <c r="AS32" s="227">
        <f>'Table 5C1I-LA Key Academy'!AO35</f>
        <v>0</v>
      </c>
      <c r="AT32" s="227">
        <f>'Table 5C1J-Jefferson Chamber'!AO35</f>
        <v>0</v>
      </c>
      <c r="AU32" s="227">
        <f>'Table 5C1K-Tallulah Charter'!AO35</f>
        <v>0</v>
      </c>
      <c r="AV32" s="227">
        <f>'Table 5C1L-Northshore Charter'!AO35</f>
        <v>0</v>
      </c>
      <c r="AW32" s="227">
        <f>'Table 5C1M-B.R. Charter'!AO35</f>
        <v>0</v>
      </c>
      <c r="AX32" s="227">
        <f>'Table 5C1N-Delta Charter'!AO35</f>
        <v>0</v>
      </c>
      <c r="AY32" s="227">
        <f>'Table 5C1O-Impact'!AO35</f>
        <v>0</v>
      </c>
      <c r="AZ32" s="227">
        <f>+'Table 5C1P-Vision'!AO35</f>
        <v>0</v>
      </c>
      <c r="BA32" s="227">
        <f>+'Table 5C1Q-Advantage'!AO35</f>
        <v>0</v>
      </c>
      <c r="BB32" s="227">
        <f>+'Table 5C1R-Iberville'!AO35</f>
        <v>0</v>
      </c>
      <c r="BC32" s="227">
        <f>+'Table 5C1S-L.C. Coll Prep'!AO35</f>
        <v>0</v>
      </c>
      <c r="BD32" s="227">
        <f>+'Table 5C1T-Northeast'!AO35</f>
        <v>0</v>
      </c>
      <c r="BE32" s="227">
        <f>+'Table 5C1U-Acadiana Ren'!AO35</f>
        <v>0</v>
      </c>
      <c r="BF32" s="227">
        <f>+'Table 5C1V-Laf Ren'!AO35</f>
        <v>0</v>
      </c>
      <c r="BG32" s="227">
        <f>+'Table 5C1W-Willow'!AO35</f>
        <v>0</v>
      </c>
      <c r="BH32" s="227">
        <f>'Table 5C2 - LA Virtual Admy'!AP35</f>
        <v>-140.67675000000003</v>
      </c>
      <c r="BI32" s="227">
        <f>'Table 5C3 - LA Connections EBR'!AP35</f>
        <v>-90.672750000000022</v>
      </c>
      <c r="BJ32" s="248">
        <f t="shared" si="55"/>
        <v>5551621.3230000008</v>
      </c>
    </row>
    <row r="33" spans="1:62" ht="14.45" customHeight="1">
      <c r="A33" s="3">
        <v>30</v>
      </c>
      <c r="B33" s="7" t="s">
        <v>102</v>
      </c>
      <c r="C33" s="9">
        <f>'Table 2_State Distrib and Adjs'!AL36</f>
        <v>1394396</v>
      </c>
      <c r="D33" s="10">
        <f>-'Table 5A3_OJJ'!W35</f>
        <v>-142</v>
      </c>
      <c r="E33" s="10"/>
      <c r="F33" s="10"/>
      <c r="G33" s="10">
        <f>-'Table 5C1A-Madison Prep'!AI36</f>
        <v>0</v>
      </c>
      <c r="H33" s="10">
        <f>-'Table 5C1B-DArbonne'!AI36</f>
        <v>0</v>
      </c>
      <c r="I33" s="10">
        <f>-'Table 5C1C-Intl_VIBE'!AI36</f>
        <v>0</v>
      </c>
      <c r="J33" s="10">
        <f>-'Table 5C1D-NOMMA'!AI36</f>
        <v>0</v>
      </c>
      <c r="K33" s="10">
        <f>-'Table 5C1E-LFNO'!AI36</f>
        <v>0</v>
      </c>
      <c r="L33" s="10">
        <f>-'Table 5C1F-Lake Charles Charter'!AI36</f>
        <v>0</v>
      </c>
      <c r="M33" s="10">
        <f>-'Table 5C1G-JS Clark Academy'!AI36</f>
        <v>0</v>
      </c>
      <c r="N33" s="10">
        <f>-'Table 5C1H-Southwest LA Charter'!AI36</f>
        <v>0</v>
      </c>
      <c r="O33" s="10">
        <f>-'Table 5C1I-LA Key Academy'!AI36</f>
        <v>0</v>
      </c>
      <c r="P33" s="10">
        <f>-'Table 5C1J-Jefferson Chamber'!AI36</f>
        <v>0</v>
      </c>
      <c r="Q33" s="10">
        <f>-'Table 5C1K-Tallulah Charter'!AI36</f>
        <v>0</v>
      </c>
      <c r="R33" s="10">
        <f>-'Table 5C1L-Northshore Charter'!AI36</f>
        <v>0</v>
      </c>
      <c r="S33" s="10">
        <f>-'Table 5C1M-B.R. Charter'!AI36</f>
        <v>0</v>
      </c>
      <c r="T33" s="10">
        <f>-'Table 5C1N-Delta Charter'!AI36</f>
        <v>0</v>
      </c>
      <c r="U33" s="10">
        <f>-'Table 5C1O-Impact'!AI36</f>
        <v>0</v>
      </c>
      <c r="V33" s="10">
        <f>-'Table 5C1P-Vision'!AI36</f>
        <v>0</v>
      </c>
      <c r="W33" s="10">
        <f>-'Table 5C1Q-Advantage'!AI36</f>
        <v>0</v>
      </c>
      <c r="X33" s="10">
        <f>-'Table 5C1R-Iberville'!AI36</f>
        <v>0</v>
      </c>
      <c r="Y33" s="10">
        <f>-'Table 5C1S-L.C. Coll Prep'!AI36</f>
        <v>0</v>
      </c>
      <c r="Z33" s="10">
        <f>-'Table 5C1T-Northeast'!AI36</f>
        <v>0</v>
      </c>
      <c r="AA33" s="10">
        <f>-'Table 5C1U-Acadiana Ren'!AI36</f>
        <v>0</v>
      </c>
      <c r="AB33" s="10">
        <f>-'Table 5C1V-Laf Ren'!AI36</f>
        <v>0</v>
      </c>
      <c r="AC33" s="10">
        <f>-'Table 5C1W-Willow'!AI36</f>
        <v>0</v>
      </c>
      <c r="AD33" s="10">
        <f>-'Table 5C2 - LA Virtual Admy'!AJ36</f>
        <v>-441</v>
      </c>
      <c r="AE33" s="10">
        <f>-'Table 5C3 - LA Connections EBR'!AJ36</f>
        <v>-5439</v>
      </c>
      <c r="AF33" s="10">
        <f t="shared" si="53"/>
        <v>-6022</v>
      </c>
      <c r="AG33" s="15">
        <f t="shared" si="54"/>
        <v>1388374</v>
      </c>
      <c r="AH33" s="10"/>
      <c r="AI33" s="10"/>
      <c r="AJ33" s="10"/>
      <c r="AK33" s="10">
        <f>'Table 5C1A-Madison Prep'!AO36</f>
        <v>0</v>
      </c>
      <c r="AL33" s="10">
        <f>'Table 5C1B-DArbonne'!AO36</f>
        <v>0</v>
      </c>
      <c r="AM33" s="10">
        <f>'Table 5C1C-Intl_VIBE'!AO36</f>
        <v>0</v>
      </c>
      <c r="AN33" s="10">
        <f>'Table 5C1D-NOMMA'!AO36</f>
        <v>0</v>
      </c>
      <c r="AO33" s="10">
        <f>'Table 5C1E-LFNO'!AO36</f>
        <v>0</v>
      </c>
      <c r="AP33" s="10">
        <f>'Table 5C1F-Lake Charles Charter'!AO36</f>
        <v>0</v>
      </c>
      <c r="AQ33" s="10">
        <f>'Table 5C1G-JS Clark Academy'!AO36</f>
        <v>0</v>
      </c>
      <c r="AR33" s="10">
        <f>'Table 5C1H-Southwest LA Charter'!AO36</f>
        <v>0</v>
      </c>
      <c r="AS33" s="10">
        <f>'Table 5C1I-LA Key Academy'!AO36</f>
        <v>0</v>
      </c>
      <c r="AT33" s="10">
        <f>'Table 5C1J-Jefferson Chamber'!AO36</f>
        <v>0</v>
      </c>
      <c r="AU33" s="10">
        <f>'Table 5C1K-Tallulah Charter'!AO36</f>
        <v>0</v>
      </c>
      <c r="AV33" s="10">
        <f>'Table 5C1L-Northshore Charter'!AO36</f>
        <v>0</v>
      </c>
      <c r="AW33" s="10">
        <f>'Table 5C1M-B.R. Charter'!AO36</f>
        <v>0</v>
      </c>
      <c r="AX33" s="10">
        <f>'Table 5C1N-Delta Charter'!AO36</f>
        <v>0</v>
      </c>
      <c r="AY33" s="10">
        <f>'Table 5C1O-Impact'!AO36</f>
        <v>0</v>
      </c>
      <c r="AZ33" s="10">
        <f>+'Table 5C1P-Vision'!AO36</f>
        <v>0</v>
      </c>
      <c r="BA33" s="10">
        <f>+'Table 5C1Q-Advantage'!AO36</f>
        <v>0</v>
      </c>
      <c r="BB33" s="10">
        <f>+'Table 5C1R-Iberville'!AO36</f>
        <v>0</v>
      </c>
      <c r="BC33" s="10">
        <f>+'Table 5C1S-L.C. Coll Prep'!AO36</f>
        <v>0</v>
      </c>
      <c r="BD33" s="10">
        <f>+'Table 5C1T-Northeast'!AO36</f>
        <v>0</v>
      </c>
      <c r="BE33" s="10">
        <f>+'Table 5C1U-Acadiana Ren'!AO36</f>
        <v>0</v>
      </c>
      <c r="BF33" s="10">
        <f>+'Table 5C1V-Laf Ren'!AO36</f>
        <v>0</v>
      </c>
      <c r="BG33" s="10">
        <f>+'Table 5C1W-Willow'!AO36</f>
        <v>0</v>
      </c>
      <c r="BH33" s="10">
        <f>'Table 5C2 - LA Virtual Admy'!AP36</f>
        <v>9.1091249999999988</v>
      </c>
      <c r="BI33" s="10">
        <f>'Table 5C3 - LA Connections EBR'!AP36</f>
        <v>-92.610000000000014</v>
      </c>
      <c r="BJ33" s="15">
        <f t="shared" si="55"/>
        <v>1388290.4991249999</v>
      </c>
    </row>
    <row r="34" spans="1:62" ht="14.45" customHeight="1">
      <c r="A34" s="224">
        <v>31</v>
      </c>
      <c r="B34" s="225" t="s">
        <v>103</v>
      </c>
      <c r="C34" s="226">
        <f>'Table 2_State Distrib and Adjs'!AL37</f>
        <v>2767234</v>
      </c>
      <c r="D34" s="227">
        <f>-'Table 5A3_OJJ'!W36</f>
        <v>-454</v>
      </c>
      <c r="E34" s="227"/>
      <c r="F34" s="227"/>
      <c r="G34" s="227">
        <f>-'Table 5C1A-Madison Prep'!AI37</f>
        <v>0</v>
      </c>
      <c r="H34" s="227">
        <f>-'Table 5C1B-DArbonne'!AI37</f>
        <v>-8706</v>
      </c>
      <c r="I34" s="227">
        <f>-'Table 5C1C-Intl_VIBE'!AI37</f>
        <v>0</v>
      </c>
      <c r="J34" s="227">
        <f>-'Table 5C1D-NOMMA'!AI37</f>
        <v>0</v>
      </c>
      <c r="K34" s="227">
        <f>-'Table 5C1E-LFNO'!AI37</f>
        <v>0</v>
      </c>
      <c r="L34" s="227">
        <f>-'Table 5C1F-Lake Charles Charter'!AI37</f>
        <v>0</v>
      </c>
      <c r="M34" s="227">
        <f>-'Table 5C1G-JS Clark Academy'!AI37</f>
        <v>0</v>
      </c>
      <c r="N34" s="227">
        <f>-'Table 5C1H-Southwest LA Charter'!AI37</f>
        <v>0</v>
      </c>
      <c r="O34" s="227">
        <f>-'Table 5C1I-LA Key Academy'!AI37</f>
        <v>0</v>
      </c>
      <c r="P34" s="227">
        <f>-'Table 5C1J-Jefferson Chamber'!AI37</f>
        <v>0</v>
      </c>
      <c r="Q34" s="227">
        <f>-'Table 5C1K-Tallulah Charter'!AI37</f>
        <v>0</v>
      </c>
      <c r="R34" s="227">
        <f>-'Table 5C1L-Northshore Charter'!AI37</f>
        <v>0</v>
      </c>
      <c r="S34" s="227">
        <f>-'Table 5C1M-B.R. Charter'!AI37</f>
        <v>0</v>
      </c>
      <c r="T34" s="227">
        <f>-'Table 5C1N-Delta Charter'!AI37</f>
        <v>0</v>
      </c>
      <c r="U34" s="227">
        <f>-'Table 5C1O-Impact'!AI37</f>
        <v>0</v>
      </c>
      <c r="V34" s="227">
        <f>-'Table 5C1P-Vision'!AI37</f>
        <v>0</v>
      </c>
      <c r="W34" s="227">
        <f>-'Table 5C1Q-Advantage'!AI37</f>
        <v>0</v>
      </c>
      <c r="X34" s="227">
        <f>-'Table 5C1R-Iberville'!AI37</f>
        <v>0</v>
      </c>
      <c r="Y34" s="227">
        <f>-'Table 5C1S-L.C. Coll Prep'!AI37</f>
        <v>0</v>
      </c>
      <c r="Z34" s="227">
        <f>-'Table 5C1T-Northeast'!AI37</f>
        <v>0</v>
      </c>
      <c r="AA34" s="227">
        <f>-'Table 5C1U-Acadiana Ren'!AI37</f>
        <v>0</v>
      </c>
      <c r="AB34" s="227">
        <f>-'Table 5C1V-Laf Ren'!AI37</f>
        <v>0</v>
      </c>
      <c r="AC34" s="227">
        <f>-'Table 5C1W-Willow'!AI37</f>
        <v>0</v>
      </c>
      <c r="AD34" s="227">
        <f>-'Table 5C2 - LA Virtual Admy'!AJ37</f>
        <v>1515</v>
      </c>
      <c r="AE34" s="227">
        <f>-'Table 5C3 - LA Connections EBR'!AJ37</f>
        <v>-1374</v>
      </c>
      <c r="AF34" s="227">
        <f t="shared" si="53"/>
        <v>-9019</v>
      </c>
      <c r="AG34" s="248">
        <f t="shared" si="54"/>
        <v>2758215</v>
      </c>
      <c r="AH34" s="227"/>
      <c r="AI34" s="227"/>
      <c r="AJ34" s="227"/>
      <c r="AK34" s="227">
        <f>'Table 5C1A-Madison Prep'!AO37</f>
        <v>0</v>
      </c>
      <c r="AL34" s="227">
        <f>'Table 5C1B-DArbonne'!AO37</f>
        <v>-100.11000000000001</v>
      </c>
      <c r="AM34" s="227">
        <f>'Table 5C1C-Intl_VIBE'!AO37</f>
        <v>0</v>
      </c>
      <c r="AN34" s="227">
        <f>'Table 5C1D-NOMMA'!AO37</f>
        <v>0</v>
      </c>
      <c r="AO34" s="227">
        <f>'Table 5C1E-LFNO'!AO37</f>
        <v>0</v>
      </c>
      <c r="AP34" s="227">
        <f>'Table 5C1F-Lake Charles Charter'!AO37</f>
        <v>0</v>
      </c>
      <c r="AQ34" s="227">
        <f>'Table 5C1G-JS Clark Academy'!AO37</f>
        <v>0</v>
      </c>
      <c r="AR34" s="227">
        <f>'Table 5C1H-Southwest LA Charter'!AO37</f>
        <v>0</v>
      </c>
      <c r="AS34" s="227">
        <f>'Table 5C1I-LA Key Academy'!AO37</f>
        <v>0</v>
      </c>
      <c r="AT34" s="227">
        <f>'Table 5C1J-Jefferson Chamber'!AO37</f>
        <v>0</v>
      </c>
      <c r="AU34" s="227">
        <f>'Table 5C1K-Tallulah Charter'!AO37</f>
        <v>0</v>
      </c>
      <c r="AV34" s="227">
        <f>'Table 5C1L-Northshore Charter'!AO37</f>
        <v>0</v>
      </c>
      <c r="AW34" s="227">
        <f>'Table 5C1M-B.R. Charter'!AO37</f>
        <v>0</v>
      </c>
      <c r="AX34" s="227">
        <f>'Table 5C1N-Delta Charter'!AO37</f>
        <v>0</v>
      </c>
      <c r="AY34" s="227">
        <f>'Table 5C1O-Impact'!AO37</f>
        <v>0</v>
      </c>
      <c r="AZ34" s="227">
        <f>+'Table 5C1P-Vision'!AO37</f>
        <v>0</v>
      </c>
      <c r="BA34" s="227">
        <f>+'Table 5C1Q-Advantage'!AO37</f>
        <v>0</v>
      </c>
      <c r="BB34" s="227">
        <f>+'Table 5C1R-Iberville'!AO37</f>
        <v>0</v>
      </c>
      <c r="BC34" s="227">
        <f>+'Table 5C1S-L.C. Coll Prep'!AO37</f>
        <v>0</v>
      </c>
      <c r="BD34" s="227">
        <f>+'Table 5C1T-Northeast'!AO37</f>
        <v>0</v>
      </c>
      <c r="BE34" s="227">
        <f>+'Table 5C1U-Acadiana Ren'!AO37</f>
        <v>0</v>
      </c>
      <c r="BF34" s="227">
        <f>+'Table 5C1V-Laf Ren'!AO37</f>
        <v>0</v>
      </c>
      <c r="BG34" s="227">
        <f>+'Table 5C1W-Willow'!AO37</f>
        <v>0</v>
      </c>
      <c r="BH34" s="227">
        <f>'Table 5C2 - LA Virtual Admy'!AP37</f>
        <v>34.107749999999996</v>
      </c>
      <c r="BI34" s="227">
        <f>'Table 5C3 - LA Connections EBR'!AP37</f>
        <v>-16.868249999999996</v>
      </c>
      <c r="BJ34" s="248">
        <f t="shared" si="55"/>
        <v>2758132.1295000003</v>
      </c>
    </row>
    <row r="35" spans="1:62" ht="14.45" customHeight="1">
      <c r="A35" s="224">
        <v>32</v>
      </c>
      <c r="B35" s="225" t="s">
        <v>104</v>
      </c>
      <c r="C35" s="226">
        <f>'Table 2_State Distrib and Adjs'!AL38</f>
        <v>13404679</v>
      </c>
      <c r="D35" s="227">
        <f>-'Table 5A3_OJJ'!W37</f>
        <v>-730</v>
      </c>
      <c r="E35" s="227"/>
      <c r="F35" s="227"/>
      <c r="G35" s="227">
        <f>-'Table 5C1A-Madison Prep'!AI38</f>
        <v>0</v>
      </c>
      <c r="H35" s="227">
        <f>-'Table 5C1B-DArbonne'!AI38</f>
        <v>0</v>
      </c>
      <c r="I35" s="227">
        <f>-'Table 5C1C-Intl_VIBE'!AI38</f>
        <v>0</v>
      </c>
      <c r="J35" s="227">
        <f>-'Table 5C1D-NOMMA'!AI38</f>
        <v>0</v>
      </c>
      <c r="K35" s="227">
        <f>-'Table 5C1E-LFNO'!AI38</f>
        <v>0</v>
      </c>
      <c r="L35" s="227">
        <f>-'Table 5C1F-Lake Charles Charter'!AI38</f>
        <v>0</v>
      </c>
      <c r="M35" s="227">
        <f>-'Table 5C1G-JS Clark Academy'!AI38</f>
        <v>0</v>
      </c>
      <c r="N35" s="227">
        <f>-'Table 5C1H-Southwest LA Charter'!AI38</f>
        <v>0</v>
      </c>
      <c r="O35" s="227">
        <f>-'Table 5C1I-LA Key Academy'!AI38</f>
        <v>-1768</v>
      </c>
      <c r="P35" s="227">
        <f>-'Table 5C1J-Jefferson Chamber'!AI38</f>
        <v>0</v>
      </c>
      <c r="Q35" s="227">
        <f>-'Table 5C1K-Tallulah Charter'!AI38</f>
        <v>0</v>
      </c>
      <c r="R35" s="227">
        <f>-'Table 5C1L-Northshore Charter'!AI38</f>
        <v>0</v>
      </c>
      <c r="S35" s="227">
        <f>-'Table 5C1M-B.R. Charter'!AI38</f>
        <v>334</v>
      </c>
      <c r="T35" s="227">
        <f>-'Table 5C1N-Delta Charter'!AI38</f>
        <v>0</v>
      </c>
      <c r="U35" s="227">
        <f>-'Table 5C1O-Impact'!AI38</f>
        <v>0</v>
      </c>
      <c r="V35" s="227">
        <f>-'Table 5C1P-Vision'!AI38</f>
        <v>0</v>
      </c>
      <c r="W35" s="227">
        <f>-'Table 5C1Q-Advantage'!AI38</f>
        <v>0</v>
      </c>
      <c r="X35" s="227">
        <f>-'Table 5C1R-Iberville'!AI38</f>
        <v>0</v>
      </c>
      <c r="Y35" s="227">
        <f>-'Table 5C1S-L.C. Coll Prep'!AI38</f>
        <v>0</v>
      </c>
      <c r="Z35" s="227">
        <f>-'Table 5C1T-Northeast'!AI38</f>
        <v>0</v>
      </c>
      <c r="AA35" s="227">
        <f>-'Table 5C1U-Acadiana Ren'!AI38</f>
        <v>0</v>
      </c>
      <c r="AB35" s="227">
        <f>-'Table 5C1V-Laf Ren'!AI38</f>
        <v>0</v>
      </c>
      <c r="AC35" s="227">
        <f>-'Table 5C1W-Willow'!AI38</f>
        <v>0</v>
      </c>
      <c r="AD35" s="227">
        <f>-'Table 5C2 - LA Virtual Admy'!AJ38</f>
        <v>-23895</v>
      </c>
      <c r="AE35" s="227">
        <f>-'Table 5C3 - LA Connections EBR'!AJ38</f>
        <v>-26534</v>
      </c>
      <c r="AF35" s="227">
        <f t="shared" si="53"/>
        <v>-52593</v>
      </c>
      <c r="AG35" s="248">
        <f t="shared" si="54"/>
        <v>13352086</v>
      </c>
      <c r="AH35" s="227"/>
      <c r="AI35" s="227"/>
      <c r="AJ35" s="227"/>
      <c r="AK35" s="227">
        <f>'Table 5C1A-Madison Prep'!AO38</f>
        <v>0</v>
      </c>
      <c r="AL35" s="227">
        <f>'Table 5C1B-DArbonne'!AO38</f>
        <v>0</v>
      </c>
      <c r="AM35" s="227">
        <f>'Table 5C1C-Intl_VIBE'!AO38</f>
        <v>0</v>
      </c>
      <c r="AN35" s="227">
        <f>'Table 5C1D-NOMMA'!AO38</f>
        <v>0</v>
      </c>
      <c r="AO35" s="227">
        <f>'Table 5C1E-LFNO'!AO38</f>
        <v>0</v>
      </c>
      <c r="AP35" s="227">
        <f>'Table 5C1F-Lake Charles Charter'!AO38</f>
        <v>0</v>
      </c>
      <c r="AQ35" s="227">
        <f>'Table 5C1G-JS Clark Academy'!AO38</f>
        <v>0</v>
      </c>
      <c r="AR35" s="227">
        <f>'Table 5C1H-Southwest LA Charter'!AO38</f>
        <v>0</v>
      </c>
      <c r="AS35" s="227">
        <f>'Table 5C1I-LA Key Academy'!AO38</f>
        <v>-21.614999999999998</v>
      </c>
      <c r="AT35" s="227">
        <f>'Table 5C1J-Jefferson Chamber'!AO38</f>
        <v>0</v>
      </c>
      <c r="AU35" s="227">
        <f>'Table 5C1K-Tallulah Charter'!AO38</f>
        <v>0</v>
      </c>
      <c r="AV35" s="227">
        <f>'Table 5C1L-Northshore Charter'!AO38</f>
        <v>0</v>
      </c>
      <c r="AW35" s="227">
        <f>'Table 5C1M-B.R. Charter'!AO38</f>
        <v>5.3025000000000002</v>
      </c>
      <c r="AX35" s="227">
        <f>'Table 5C1N-Delta Charter'!AO38</f>
        <v>0</v>
      </c>
      <c r="AY35" s="227">
        <f>'Table 5C1O-Impact'!AO38</f>
        <v>0</v>
      </c>
      <c r="AZ35" s="227">
        <f>+'Table 5C1P-Vision'!AO38</f>
        <v>0</v>
      </c>
      <c r="BA35" s="227">
        <f>+'Table 5C1Q-Advantage'!AO38</f>
        <v>0</v>
      </c>
      <c r="BB35" s="227">
        <f>+'Table 5C1R-Iberville'!AO38</f>
        <v>0</v>
      </c>
      <c r="BC35" s="227">
        <f>+'Table 5C1S-L.C. Coll Prep'!AO38</f>
        <v>0</v>
      </c>
      <c r="BD35" s="227">
        <f>+'Table 5C1T-Northeast'!AO38</f>
        <v>0</v>
      </c>
      <c r="BE35" s="227">
        <f>+'Table 5C1U-Acadiana Ren'!AO38</f>
        <v>0</v>
      </c>
      <c r="BF35" s="227">
        <f>+'Table 5C1V-Laf Ren'!AO38</f>
        <v>0</v>
      </c>
      <c r="BG35" s="227">
        <f>+'Table 5C1W-Willow'!AO38</f>
        <v>0</v>
      </c>
      <c r="BH35" s="227">
        <f>'Table 5C2 - LA Virtual Admy'!AP38</f>
        <v>-113.89274999999998</v>
      </c>
      <c r="BI35" s="227">
        <f>'Table 5C3 - LA Connections EBR'!AP38</f>
        <v>-217.12387500000006</v>
      </c>
      <c r="BJ35" s="248">
        <f t="shared" si="55"/>
        <v>13351738.670875</v>
      </c>
    </row>
    <row r="36" spans="1:62" ht="14.45" customHeight="1">
      <c r="A36" s="224">
        <v>33</v>
      </c>
      <c r="B36" s="225" t="s">
        <v>105</v>
      </c>
      <c r="C36" s="226">
        <f>'Table 2_State Distrib and Adjs'!AL39</f>
        <v>624741</v>
      </c>
      <c r="D36" s="227">
        <f>-'Table 5A3_OJJ'!W38</f>
        <v>-29</v>
      </c>
      <c r="E36" s="227"/>
      <c r="F36" s="227"/>
      <c r="G36" s="227">
        <f>-'Table 5C1A-Madison Prep'!AI39</f>
        <v>0</v>
      </c>
      <c r="H36" s="227">
        <f>-'Table 5C1B-DArbonne'!AI39</f>
        <v>0</v>
      </c>
      <c r="I36" s="227">
        <f>-'Table 5C1C-Intl_VIBE'!AI39</f>
        <v>0</v>
      </c>
      <c r="J36" s="227">
        <f>-'Table 5C1D-NOMMA'!AI39</f>
        <v>0</v>
      </c>
      <c r="K36" s="227">
        <f>-'Table 5C1E-LFNO'!AI39</f>
        <v>0</v>
      </c>
      <c r="L36" s="227">
        <f>-'Table 5C1F-Lake Charles Charter'!AI39</f>
        <v>0</v>
      </c>
      <c r="M36" s="227">
        <f>-'Table 5C1G-JS Clark Academy'!AI39</f>
        <v>0</v>
      </c>
      <c r="N36" s="227">
        <f>-'Table 5C1H-Southwest LA Charter'!AI39</f>
        <v>0</v>
      </c>
      <c r="O36" s="227">
        <f>-'Table 5C1I-LA Key Academy'!AI39</f>
        <v>0</v>
      </c>
      <c r="P36" s="227">
        <f>-'Table 5C1J-Jefferson Chamber'!AI39</f>
        <v>0</v>
      </c>
      <c r="Q36" s="227">
        <f>-'Table 5C1K-Tallulah Charter'!AI39</f>
        <v>-109533</v>
      </c>
      <c r="R36" s="227">
        <f>-'Table 5C1L-Northshore Charter'!AI39</f>
        <v>0</v>
      </c>
      <c r="S36" s="227">
        <f>-'Table 5C1M-B.R. Charter'!AI39</f>
        <v>0</v>
      </c>
      <c r="T36" s="227">
        <f>-'Table 5C1N-Delta Charter'!AI39</f>
        <v>0</v>
      </c>
      <c r="U36" s="227">
        <f>-'Table 5C1O-Impact'!AI39</f>
        <v>0</v>
      </c>
      <c r="V36" s="227">
        <f>-'Table 5C1P-Vision'!AI39</f>
        <v>0</v>
      </c>
      <c r="W36" s="227">
        <f>-'Table 5C1Q-Advantage'!AI39</f>
        <v>0</v>
      </c>
      <c r="X36" s="227">
        <f>-'Table 5C1R-Iberville'!AI39</f>
        <v>0</v>
      </c>
      <c r="Y36" s="227">
        <f>-'Table 5C1S-L.C. Coll Prep'!AI39</f>
        <v>0</v>
      </c>
      <c r="Z36" s="227">
        <f>-'Table 5C1T-Northeast'!AI39</f>
        <v>0</v>
      </c>
      <c r="AA36" s="227">
        <f>-'Table 5C1U-Acadiana Ren'!AI39</f>
        <v>0</v>
      </c>
      <c r="AB36" s="227">
        <f>-'Table 5C1V-Laf Ren'!AI39</f>
        <v>0</v>
      </c>
      <c r="AC36" s="227">
        <f>-'Table 5C1W-Willow'!AI39</f>
        <v>0</v>
      </c>
      <c r="AD36" s="227">
        <f>-'Table 5C2 - LA Virtual Admy'!AJ39</f>
        <v>-192</v>
      </c>
      <c r="AE36" s="227">
        <f>-'Table 5C3 - LA Connections EBR'!AJ39</f>
        <v>-636</v>
      </c>
      <c r="AF36" s="227">
        <f t="shared" ref="AF36:AF67" si="56">SUM(D36:AE36)</f>
        <v>-110390</v>
      </c>
      <c r="AG36" s="248">
        <f t="shared" ref="AG36:AG67" si="57">C36+AF36</f>
        <v>514351</v>
      </c>
      <c r="AH36" s="227"/>
      <c r="AI36" s="227"/>
      <c r="AJ36" s="227"/>
      <c r="AK36" s="227">
        <f>'Table 5C1A-Madison Prep'!AO39</f>
        <v>0</v>
      </c>
      <c r="AL36" s="227">
        <f>'Table 5C1B-DArbonne'!AO39</f>
        <v>0</v>
      </c>
      <c r="AM36" s="227">
        <f>'Table 5C1C-Intl_VIBE'!AO39</f>
        <v>0</v>
      </c>
      <c r="AN36" s="227">
        <f>'Table 5C1D-NOMMA'!AO39</f>
        <v>0</v>
      </c>
      <c r="AO36" s="227">
        <f>'Table 5C1E-LFNO'!AO39</f>
        <v>0</v>
      </c>
      <c r="AP36" s="227">
        <f>'Table 5C1F-Lake Charles Charter'!AO39</f>
        <v>0</v>
      </c>
      <c r="AQ36" s="227">
        <f>'Table 5C1G-JS Clark Academy'!AO39</f>
        <v>0</v>
      </c>
      <c r="AR36" s="227">
        <f>'Table 5C1H-Southwest LA Charter'!AO39</f>
        <v>0</v>
      </c>
      <c r="AS36" s="227">
        <f>'Table 5C1I-LA Key Academy'!AO39</f>
        <v>0</v>
      </c>
      <c r="AT36" s="227">
        <f>'Table 5C1J-Jefferson Chamber'!AO39</f>
        <v>0</v>
      </c>
      <c r="AU36" s="227">
        <f>'Table 5C1K-Tallulah Charter'!AO39</f>
        <v>-516.06999999999971</v>
      </c>
      <c r="AV36" s="227">
        <f>'Table 5C1L-Northshore Charter'!AO39</f>
        <v>0</v>
      </c>
      <c r="AW36" s="227">
        <f>'Table 5C1M-B.R. Charter'!AO39</f>
        <v>0</v>
      </c>
      <c r="AX36" s="227">
        <f>'Table 5C1N-Delta Charter'!AO39</f>
        <v>0</v>
      </c>
      <c r="AY36" s="227">
        <f>'Table 5C1O-Impact'!AO39</f>
        <v>0</v>
      </c>
      <c r="AZ36" s="227">
        <f>+'Table 5C1P-Vision'!AO39</f>
        <v>0</v>
      </c>
      <c r="BA36" s="227">
        <f>+'Table 5C1Q-Advantage'!AO39</f>
        <v>0</v>
      </c>
      <c r="BB36" s="227">
        <f>+'Table 5C1R-Iberville'!AO39</f>
        <v>0</v>
      </c>
      <c r="BC36" s="227">
        <f>+'Table 5C1S-L.C. Coll Prep'!AO39</f>
        <v>0</v>
      </c>
      <c r="BD36" s="227">
        <f>+'Table 5C1T-Northeast'!AO39</f>
        <v>0</v>
      </c>
      <c r="BE36" s="227">
        <f>+'Table 5C1U-Acadiana Ren'!AO39</f>
        <v>0</v>
      </c>
      <c r="BF36" s="227">
        <f>+'Table 5C1V-Laf Ren'!AO39</f>
        <v>0</v>
      </c>
      <c r="BG36" s="227">
        <f>+'Table 5C1W-Willow'!AO39</f>
        <v>0</v>
      </c>
      <c r="BH36" s="227">
        <f>'Table 5C2 - LA Virtual Admy'!AP39</f>
        <v>3.501000000000003</v>
      </c>
      <c r="BI36" s="227">
        <f>'Table 5C3 - LA Connections EBR'!AP39</f>
        <v>-17.027999999999999</v>
      </c>
      <c r="BJ36" s="248">
        <f t="shared" ref="BJ36:BJ67" si="58">SUM(AG36:BI36)</f>
        <v>513821.40299999999</v>
      </c>
    </row>
    <row r="37" spans="1:62" ht="14.45" customHeight="1">
      <c r="A37" s="224">
        <v>34</v>
      </c>
      <c r="B37" s="225" t="s">
        <v>106</v>
      </c>
      <c r="C37" s="226">
        <f>'Table 2_State Distrib and Adjs'!AL40</f>
        <v>2410404</v>
      </c>
      <c r="D37" s="227">
        <f>-'Table 5A3_OJJ'!W39</f>
        <v>-217</v>
      </c>
      <c r="E37" s="227"/>
      <c r="F37" s="227"/>
      <c r="G37" s="227">
        <f>-'Table 5C1A-Madison Prep'!AI40</f>
        <v>0</v>
      </c>
      <c r="H37" s="227">
        <f>-'Table 5C1B-DArbonne'!AI40</f>
        <v>0</v>
      </c>
      <c r="I37" s="227">
        <f>-'Table 5C1C-Intl_VIBE'!AI40</f>
        <v>0</v>
      </c>
      <c r="J37" s="227">
        <f>-'Table 5C1D-NOMMA'!AI40</f>
        <v>0</v>
      </c>
      <c r="K37" s="227">
        <f>-'Table 5C1E-LFNO'!AI40</f>
        <v>0</v>
      </c>
      <c r="L37" s="227">
        <f>-'Table 5C1F-Lake Charles Charter'!AI40</f>
        <v>0</v>
      </c>
      <c r="M37" s="227">
        <f>-'Table 5C1G-JS Clark Academy'!AI40</f>
        <v>0</v>
      </c>
      <c r="N37" s="227">
        <f>-'Table 5C1H-Southwest LA Charter'!AI40</f>
        <v>0</v>
      </c>
      <c r="O37" s="227">
        <f>-'Table 5C1I-LA Key Academy'!AI40</f>
        <v>0</v>
      </c>
      <c r="P37" s="227">
        <f>-'Table 5C1J-Jefferson Chamber'!AI40</f>
        <v>0</v>
      </c>
      <c r="Q37" s="227">
        <f>-'Table 5C1K-Tallulah Charter'!AI40</f>
        <v>0</v>
      </c>
      <c r="R37" s="227">
        <f>-'Table 5C1L-Northshore Charter'!AI40</f>
        <v>0</v>
      </c>
      <c r="S37" s="227">
        <f>-'Table 5C1M-B.R. Charter'!AI40</f>
        <v>0</v>
      </c>
      <c r="T37" s="227">
        <f>-'Table 5C1N-Delta Charter'!AI40</f>
        <v>0</v>
      </c>
      <c r="U37" s="227">
        <f>-'Table 5C1O-Impact'!AI40</f>
        <v>0</v>
      </c>
      <c r="V37" s="227">
        <f>-'Table 5C1P-Vision'!AI40</f>
        <v>9048</v>
      </c>
      <c r="W37" s="227">
        <f>-'Table 5C1Q-Advantage'!AI40</f>
        <v>0</v>
      </c>
      <c r="X37" s="227">
        <f>-'Table 5C1R-Iberville'!AI40</f>
        <v>0</v>
      </c>
      <c r="Y37" s="227">
        <f>-'Table 5C1S-L.C. Coll Prep'!AI40</f>
        <v>0</v>
      </c>
      <c r="Z37" s="227">
        <f>-'Table 5C1T-Northeast'!AI40</f>
        <v>0</v>
      </c>
      <c r="AA37" s="227">
        <f>-'Table 5C1U-Acadiana Ren'!AI40</f>
        <v>0</v>
      </c>
      <c r="AB37" s="227">
        <f>-'Table 5C1V-Laf Ren'!AI40</f>
        <v>0</v>
      </c>
      <c r="AC37" s="227">
        <f>-'Table 5C1W-Willow'!AI40</f>
        <v>0</v>
      </c>
      <c r="AD37" s="227">
        <f>-'Table 5C2 - LA Virtual Admy'!AJ40</f>
        <v>-10481</v>
      </c>
      <c r="AE37" s="227">
        <f>-'Table 5C3 - LA Connections EBR'!AJ40</f>
        <v>-3040</v>
      </c>
      <c r="AF37" s="227">
        <f t="shared" si="56"/>
        <v>-4690</v>
      </c>
      <c r="AG37" s="248">
        <f t="shared" si="57"/>
        <v>2405714</v>
      </c>
      <c r="AH37" s="227"/>
      <c r="AI37" s="227"/>
      <c r="AJ37" s="227"/>
      <c r="AK37" s="227">
        <f>'Table 5C1A-Madison Prep'!AO40</f>
        <v>0</v>
      </c>
      <c r="AL37" s="227">
        <f>'Table 5C1B-DArbonne'!AO40</f>
        <v>0</v>
      </c>
      <c r="AM37" s="227">
        <f>'Table 5C1C-Intl_VIBE'!AO40</f>
        <v>0</v>
      </c>
      <c r="AN37" s="227">
        <f>'Table 5C1D-NOMMA'!AO40</f>
        <v>0</v>
      </c>
      <c r="AO37" s="227">
        <f>'Table 5C1E-LFNO'!AO40</f>
        <v>0</v>
      </c>
      <c r="AP37" s="227">
        <f>'Table 5C1F-Lake Charles Charter'!AO40</f>
        <v>0</v>
      </c>
      <c r="AQ37" s="227">
        <f>'Table 5C1G-JS Clark Academy'!AO40</f>
        <v>0</v>
      </c>
      <c r="AR37" s="227">
        <f>'Table 5C1H-Southwest LA Charter'!AO40</f>
        <v>0</v>
      </c>
      <c r="AS37" s="227">
        <f>'Table 5C1I-LA Key Academy'!AO40</f>
        <v>0</v>
      </c>
      <c r="AT37" s="227">
        <f>'Table 5C1J-Jefferson Chamber'!AO40</f>
        <v>0</v>
      </c>
      <c r="AU37" s="227">
        <f>'Table 5C1K-Tallulah Charter'!AO40</f>
        <v>0</v>
      </c>
      <c r="AV37" s="227">
        <f>'Table 5C1L-Northshore Charter'!AO40</f>
        <v>0</v>
      </c>
      <c r="AW37" s="227">
        <f>'Table 5C1M-B.R. Charter'!AO40</f>
        <v>0</v>
      </c>
      <c r="AX37" s="227">
        <f>'Table 5C1N-Delta Charter'!AO40</f>
        <v>0</v>
      </c>
      <c r="AY37" s="227">
        <f>'Table 5C1O-Impact'!AO40</f>
        <v>0</v>
      </c>
      <c r="AZ37" s="227">
        <f>+'Table 5C1P-Vision'!AO40</f>
        <v>136.05000000000001</v>
      </c>
      <c r="BA37" s="227">
        <f>+'Table 5C1Q-Advantage'!AO40</f>
        <v>0</v>
      </c>
      <c r="BB37" s="227">
        <f>+'Table 5C1R-Iberville'!AO40</f>
        <v>0</v>
      </c>
      <c r="BC37" s="227">
        <f>+'Table 5C1S-L.C. Coll Prep'!AO40</f>
        <v>0</v>
      </c>
      <c r="BD37" s="227">
        <f>+'Table 5C1T-Northeast'!AO40</f>
        <v>0</v>
      </c>
      <c r="BE37" s="227">
        <f>+'Table 5C1U-Acadiana Ren'!AO40</f>
        <v>0</v>
      </c>
      <c r="BF37" s="227">
        <f>+'Table 5C1V-Laf Ren'!AO40</f>
        <v>0</v>
      </c>
      <c r="BG37" s="227">
        <f>+'Table 5C1W-Willow'!AO40</f>
        <v>0</v>
      </c>
      <c r="BH37" s="227">
        <f>'Table 5C2 - LA Virtual Admy'!AP40</f>
        <v>-56.108249999999998</v>
      </c>
      <c r="BI37" s="227">
        <f>'Table 5C3 - LA Connections EBR'!AP40</f>
        <v>-80.307000000000002</v>
      </c>
      <c r="BJ37" s="248">
        <f t="shared" si="58"/>
        <v>2405713.6347499997</v>
      </c>
    </row>
    <row r="38" spans="1:62" ht="14.45" customHeight="1">
      <c r="A38" s="3">
        <v>35</v>
      </c>
      <c r="B38" s="7" t="s">
        <v>107</v>
      </c>
      <c r="C38" s="9">
        <f>'Table 2_State Distrib and Adjs'!AL41</f>
        <v>2855528</v>
      </c>
      <c r="D38" s="10">
        <f>-'Table 5A3_OJJ'!W40</f>
        <v>-833</v>
      </c>
      <c r="E38" s="10"/>
      <c r="F38" s="10"/>
      <c r="G38" s="10">
        <f>-'Table 5C1A-Madison Prep'!AI41</f>
        <v>0</v>
      </c>
      <c r="H38" s="10">
        <f>-'Table 5C1B-DArbonne'!AI41</f>
        <v>0</v>
      </c>
      <c r="I38" s="10">
        <f>-'Table 5C1C-Intl_VIBE'!AI41</f>
        <v>0</v>
      </c>
      <c r="J38" s="10">
        <f>-'Table 5C1D-NOMMA'!AI41</f>
        <v>0</v>
      </c>
      <c r="K38" s="10">
        <f>-'Table 5C1E-LFNO'!AI41</f>
        <v>0</v>
      </c>
      <c r="L38" s="10">
        <f>-'Table 5C1F-Lake Charles Charter'!AI41</f>
        <v>0</v>
      </c>
      <c r="M38" s="10">
        <f>-'Table 5C1G-JS Clark Academy'!AI41</f>
        <v>0</v>
      </c>
      <c r="N38" s="10">
        <f>-'Table 5C1H-Southwest LA Charter'!AI41</f>
        <v>0</v>
      </c>
      <c r="O38" s="10">
        <f>-'Table 5C1I-LA Key Academy'!AI41</f>
        <v>0</v>
      </c>
      <c r="P38" s="10">
        <f>-'Table 5C1J-Jefferson Chamber'!AI41</f>
        <v>0</v>
      </c>
      <c r="Q38" s="10">
        <f>-'Table 5C1K-Tallulah Charter'!AI41</f>
        <v>0</v>
      </c>
      <c r="R38" s="10">
        <f>-'Table 5C1L-Northshore Charter'!AI41</f>
        <v>0</v>
      </c>
      <c r="S38" s="10">
        <f>-'Table 5C1M-B.R. Charter'!AI41</f>
        <v>0</v>
      </c>
      <c r="T38" s="10">
        <f>-'Table 5C1N-Delta Charter'!AI41</f>
        <v>-290</v>
      </c>
      <c r="U38" s="10">
        <f>-'Table 5C1O-Impact'!AI41</f>
        <v>0</v>
      </c>
      <c r="V38" s="10">
        <f>-'Table 5C1P-Vision'!AI41</f>
        <v>0</v>
      </c>
      <c r="W38" s="10">
        <f>-'Table 5C1Q-Advantage'!AI41</f>
        <v>0</v>
      </c>
      <c r="X38" s="10">
        <f>-'Table 5C1R-Iberville'!AI41</f>
        <v>0</v>
      </c>
      <c r="Y38" s="10">
        <f>-'Table 5C1S-L.C. Coll Prep'!AI41</f>
        <v>0</v>
      </c>
      <c r="Z38" s="10">
        <f>-'Table 5C1T-Northeast'!AI41</f>
        <v>0</v>
      </c>
      <c r="AA38" s="10">
        <f>-'Table 5C1U-Acadiana Ren'!AI41</f>
        <v>0</v>
      </c>
      <c r="AB38" s="10">
        <f>-'Table 5C1V-Laf Ren'!AI41</f>
        <v>0</v>
      </c>
      <c r="AC38" s="10">
        <f>-'Table 5C1W-Willow'!AI41</f>
        <v>0</v>
      </c>
      <c r="AD38" s="10">
        <f>-'Table 5C2 - LA Virtual Admy'!AJ41</f>
        <v>-8197</v>
      </c>
      <c r="AE38" s="10">
        <f>-'Table 5C3 - LA Connections EBR'!AJ41</f>
        <v>-6575</v>
      </c>
      <c r="AF38" s="10">
        <f t="shared" si="56"/>
        <v>-15895</v>
      </c>
      <c r="AG38" s="15">
        <f t="shared" si="57"/>
        <v>2839633</v>
      </c>
      <c r="AH38" s="10"/>
      <c r="AI38" s="10"/>
      <c r="AJ38" s="10"/>
      <c r="AK38" s="10">
        <f>'Table 5C1A-Madison Prep'!AO41</f>
        <v>0</v>
      </c>
      <c r="AL38" s="10">
        <f>'Table 5C1B-DArbonne'!AO41</f>
        <v>0</v>
      </c>
      <c r="AM38" s="10">
        <f>'Table 5C1C-Intl_VIBE'!AO41</f>
        <v>0</v>
      </c>
      <c r="AN38" s="10">
        <f>'Table 5C1D-NOMMA'!AO41</f>
        <v>0</v>
      </c>
      <c r="AO38" s="10">
        <f>'Table 5C1E-LFNO'!AO41</f>
        <v>0</v>
      </c>
      <c r="AP38" s="10">
        <f>'Table 5C1F-Lake Charles Charter'!AO41</f>
        <v>0</v>
      </c>
      <c r="AQ38" s="10">
        <f>'Table 5C1G-JS Clark Academy'!AO41</f>
        <v>0</v>
      </c>
      <c r="AR38" s="10">
        <f>'Table 5C1H-Southwest LA Charter'!AO41</f>
        <v>0</v>
      </c>
      <c r="AS38" s="10">
        <f>'Table 5C1I-LA Key Academy'!AO41</f>
        <v>0</v>
      </c>
      <c r="AT38" s="10">
        <f>'Table 5C1J-Jefferson Chamber'!AO41</f>
        <v>0</v>
      </c>
      <c r="AU38" s="10">
        <f>'Table 5C1K-Tallulah Charter'!AO41</f>
        <v>0</v>
      </c>
      <c r="AV38" s="10">
        <f>'Table 5C1L-Northshore Charter'!AO41</f>
        <v>0</v>
      </c>
      <c r="AW38" s="10">
        <f>'Table 5C1M-B.R. Charter'!AO41</f>
        <v>0</v>
      </c>
      <c r="AX38" s="10">
        <f>'Table 5C1N-Delta Charter'!AO41</f>
        <v>-0.20500000000000007</v>
      </c>
      <c r="AY38" s="10">
        <f>'Table 5C1O-Impact'!AO41</f>
        <v>0</v>
      </c>
      <c r="AZ38" s="10">
        <f>+'Table 5C1P-Vision'!AO41</f>
        <v>0</v>
      </c>
      <c r="BA38" s="10">
        <f>+'Table 5C1Q-Advantage'!AO41</f>
        <v>0</v>
      </c>
      <c r="BB38" s="10">
        <f>+'Table 5C1R-Iberville'!AO41</f>
        <v>0</v>
      </c>
      <c r="BC38" s="10">
        <f>+'Table 5C1S-L.C. Coll Prep'!AO41</f>
        <v>0</v>
      </c>
      <c r="BD38" s="10">
        <f>+'Table 5C1T-Northeast'!AO41</f>
        <v>0</v>
      </c>
      <c r="BE38" s="10">
        <f>+'Table 5C1U-Acadiana Ren'!AO41</f>
        <v>0</v>
      </c>
      <c r="BF38" s="10">
        <f>+'Table 5C1V-Laf Ren'!AO41</f>
        <v>0</v>
      </c>
      <c r="BG38" s="10">
        <f>+'Table 5C1W-Willow'!AO41</f>
        <v>0</v>
      </c>
      <c r="BH38" s="10">
        <f>'Table 5C2 - LA Virtual Admy'!AP41</f>
        <v>-40.677750000000032</v>
      </c>
      <c r="BI38" s="10">
        <f>'Table 5C3 - LA Connections EBR'!AP41</f>
        <v>-11.013750000000016</v>
      </c>
      <c r="BJ38" s="15">
        <f t="shared" si="58"/>
        <v>2839581.1035000002</v>
      </c>
    </row>
    <row r="39" spans="1:62" ht="14.45" customHeight="1">
      <c r="A39" s="224">
        <v>36</v>
      </c>
      <c r="B39" s="225" t="s">
        <v>108</v>
      </c>
      <c r="C39" s="226">
        <f>'Table 2_State Distrib and Adjs'!AL42</f>
        <v>5257923</v>
      </c>
      <c r="D39" s="227">
        <f>-'Table 5A3_OJJ'!W41</f>
        <v>-13224</v>
      </c>
      <c r="E39" s="227"/>
      <c r="F39" s="227">
        <f>-'Table 5B1_RSD_Orleans'!AQ74</f>
        <v>-13457976</v>
      </c>
      <c r="G39" s="227">
        <f>-'Table 5C1A-Madison Prep'!AI42</f>
        <v>0</v>
      </c>
      <c r="H39" s="227">
        <f>-'Table 5C1B-DArbonne'!AI42</f>
        <v>0</v>
      </c>
      <c r="I39" s="227">
        <f>-'Table 5C1C-Intl_VIBE'!AI42</f>
        <v>-239476</v>
      </c>
      <c r="J39" s="227">
        <f>-'Table 5C1D-NOMMA'!AI42</f>
        <v>-111126</v>
      </c>
      <c r="K39" s="227">
        <f>-'Table 5C1E-LFNO'!AI42</f>
        <v>-146387</v>
      </c>
      <c r="L39" s="227">
        <f>-'Table 5C1F-Lake Charles Charter'!AI42</f>
        <v>0</v>
      </c>
      <c r="M39" s="227">
        <f>-'Table 5C1G-JS Clark Academy'!AI42</f>
        <v>0</v>
      </c>
      <c r="N39" s="227">
        <f>-'Table 5C1H-Southwest LA Charter'!AI42</f>
        <v>0</v>
      </c>
      <c r="O39" s="227">
        <f>-'Table 5C1I-LA Key Academy'!AI42</f>
        <v>0</v>
      </c>
      <c r="P39" s="227">
        <f>-'Table 5C1J-Jefferson Chamber'!AI42</f>
        <v>-4329</v>
      </c>
      <c r="Q39" s="227">
        <f>-'Table 5C1K-Tallulah Charter'!AI42</f>
        <v>0</v>
      </c>
      <c r="R39" s="227">
        <f>-'Table 5C1L-Northshore Charter'!AI42</f>
        <v>0</v>
      </c>
      <c r="S39" s="227">
        <f>-'Table 5C1M-B.R. Charter'!AI42</f>
        <v>0</v>
      </c>
      <c r="T39" s="227">
        <f>-'Table 5C1N-Delta Charter'!AI42</f>
        <v>0</v>
      </c>
      <c r="U39" s="227">
        <f>-'Table 5C1O-Impact'!AI42</f>
        <v>0</v>
      </c>
      <c r="V39" s="227">
        <f>-'Table 5C1P-Vision'!AI42</f>
        <v>0</v>
      </c>
      <c r="W39" s="227">
        <f>-'Table 5C1Q-Advantage'!AI42</f>
        <v>0</v>
      </c>
      <c r="X39" s="227">
        <f>-'Table 5C1R-Iberville'!AI42</f>
        <v>0</v>
      </c>
      <c r="Y39" s="227">
        <f>-'Table 5C1S-L.C. Coll Prep'!AI42</f>
        <v>0</v>
      </c>
      <c r="Z39" s="227">
        <f>-'Table 5C1T-Northeast'!AI42</f>
        <v>0</v>
      </c>
      <c r="AA39" s="227">
        <f>-'Table 5C1U-Acadiana Ren'!AI42</f>
        <v>0</v>
      </c>
      <c r="AB39" s="227">
        <f>-'Table 5C1V-Laf Ren'!AI42</f>
        <v>0</v>
      </c>
      <c r="AC39" s="227">
        <f>-'Table 5C1W-Willow'!AI42</f>
        <v>0</v>
      </c>
      <c r="AD39" s="227">
        <f>-'Table 5C2 - LA Virtual Admy'!AJ42</f>
        <v>-45952</v>
      </c>
      <c r="AE39" s="227">
        <f>-'Table 5C3 - LA Connections EBR'!AJ42</f>
        <v>-33118</v>
      </c>
      <c r="AF39" s="227">
        <f t="shared" si="56"/>
        <v>-14051588</v>
      </c>
      <c r="AG39" s="248">
        <f t="shared" si="57"/>
        <v>-8793665</v>
      </c>
      <c r="AH39" s="227"/>
      <c r="AI39" s="227"/>
      <c r="AJ39" s="227">
        <f>'Table 5B1_RSD_Orleans'!AJ79</f>
        <v>-26931.168749999837</v>
      </c>
      <c r="AK39" s="227">
        <f>'Table 5C1A-Madison Prep'!AO42</f>
        <v>0</v>
      </c>
      <c r="AL39" s="227">
        <f>'Table 5C1B-DArbonne'!AO42</f>
        <v>0</v>
      </c>
      <c r="AM39" s="227">
        <f>'Table 5C1C-Intl_VIBE'!AO42</f>
        <v>-847.98000000000047</v>
      </c>
      <c r="AN39" s="227">
        <f>'Table 5C1D-NOMMA'!AO42</f>
        <v>-1025.1950000000002</v>
      </c>
      <c r="AO39" s="227">
        <f>'Table 5C1E-LFNO'!AO42</f>
        <v>-1249.6499999999996</v>
      </c>
      <c r="AP39" s="227">
        <f>'Table 5C1F-Lake Charles Charter'!AO42</f>
        <v>0</v>
      </c>
      <c r="AQ39" s="227">
        <f>'Table 5C1G-JS Clark Academy'!AO42</f>
        <v>0</v>
      </c>
      <c r="AR39" s="227">
        <f>'Table 5C1H-Southwest LA Charter'!AO42</f>
        <v>0</v>
      </c>
      <c r="AS39" s="227">
        <f>'Table 5C1I-LA Key Academy'!AO42</f>
        <v>0</v>
      </c>
      <c r="AT39" s="227">
        <f>'Table 5C1J-Jefferson Chamber'!AO42</f>
        <v>-34.351250000000007</v>
      </c>
      <c r="AU39" s="227">
        <f>'Table 5C1K-Tallulah Charter'!AO42</f>
        <v>0</v>
      </c>
      <c r="AV39" s="227">
        <f>'Table 5C1L-Northshore Charter'!AO42</f>
        <v>0</v>
      </c>
      <c r="AW39" s="227">
        <f>'Table 5C1M-B.R. Charter'!AO42</f>
        <v>0</v>
      </c>
      <c r="AX39" s="227">
        <f>'Table 5C1N-Delta Charter'!AO42</f>
        <v>0</v>
      </c>
      <c r="AY39" s="227">
        <f>'Table 5C1O-Impact'!AO42</f>
        <v>0</v>
      </c>
      <c r="AZ39" s="227">
        <f>+'Table 5C1P-Vision'!AO42</f>
        <v>0</v>
      </c>
      <c r="BA39" s="227">
        <f>+'Table 5C1Q-Advantage'!AO42</f>
        <v>0</v>
      </c>
      <c r="BB39" s="227">
        <f>+'Table 5C1R-Iberville'!AO42</f>
        <v>0</v>
      </c>
      <c r="BC39" s="227">
        <f>+'Table 5C1S-L.C. Coll Prep'!AO42</f>
        <v>0</v>
      </c>
      <c r="BD39" s="227">
        <f>+'Table 5C1T-Northeast'!AO42</f>
        <v>0</v>
      </c>
      <c r="BE39" s="227">
        <f>+'Table 5C1U-Acadiana Ren'!AO42</f>
        <v>0</v>
      </c>
      <c r="BF39" s="227">
        <f>+'Table 5C1V-Laf Ren'!AO42</f>
        <v>0</v>
      </c>
      <c r="BG39" s="227">
        <f>+'Table 5C1W-Willow'!AO42</f>
        <v>0</v>
      </c>
      <c r="BH39" s="227">
        <f>'Table 5C2 - LA Virtual Admy'!AP42</f>
        <v>-195.70387500000004</v>
      </c>
      <c r="BI39" s="227">
        <f>'Table 5C3 - LA Connections EBR'!AP42</f>
        <v>-316.15537500000011</v>
      </c>
      <c r="BJ39" s="248">
        <f t="shared" si="58"/>
        <v>-8824265.2042500004</v>
      </c>
    </row>
    <row r="40" spans="1:62" ht="14.45" customHeight="1">
      <c r="A40" s="224">
        <v>37</v>
      </c>
      <c r="B40" s="225" t="s">
        <v>109</v>
      </c>
      <c r="C40" s="226">
        <f>'Table 2_State Distrib and Adjs'!AL43</f>
        <v>10363595</v>
      </c>
      <c r="D40" s="227">
        <f>-'Table 5A3_OJJ'!W42</f>
        <v>-1590</v>
      </c>
      <c r="E40" s="227"/>
      <c r="F40" s="227"/>
      <c r="G40" s="227">
        <f>-'Table 5C1A-Madison Prep'!AI43</f>
        <v>0</v>
      </c>
      <c r="H40" s="227">
        <f>-'Table 5C1B-DArbonne'!AI43</f>
        <v>-4249</v>
      </c>
      <c r="I40" s="227">
        <f>-'Table 5C1C-Intl_VIBE'!AI43</f>
        <v>0</v>
      </c>
      <c r="J40" s="227">
        <f>-'Table 5C1D-NOMMA'!AI43</f>
        <v>0</v>
      </c>
      <c r="K40" s="227">
        <f>-'Table 5C1E-LFNO'!AI43</f>
        <v>0</v>
      </c>
      <c r="L40" s="227">
        <f>-'Table 5C1F-Lake Charles Charter'!AI43</f>
        <v>0</v>
      </c>
      <c r="M40" s="227">
        <f>-'Table 5C1G-JS Clark Academy'!AI43</f>
        <v>0</v>
      </c>
      <c r="N40" s="227">
        <f>-'Table 5C1H-Southwest LA Charter'!AI43</f>
        <v>527</v>
      </c>
      <c r="O40" s="227">
        <f>-'Table 5C1I-LA Key Academy'!AI43</f>
        <v>0</v>
      </c>
      <c r="P40" s="227">
        <f>-'Table 5C1J-Jefferson Chamber'!AI43</f>
        <v>0</v>
      </c>
      <c r="Q40" s="227">
        <f>-'Table 5C1K-Tallulah Charter'!AI43</f>
        <v>0</v>
      </c>
      <c r="R40" s="227">
        <f>-'Table 5C1L-Northshore Charter'!AI43</f>
        <v>0</v>
      </c>
      <c r="S40" s="227">
        <f>-'Table 5C1M-B.R. Charter'!AI43</f>
        <v>0</v>
      </c>
      <c r="T40" s="227">
        <f>-'Table 5C1N-Delta Charter'!AI43</f>
        <v>316</v>
      </c>
      <c r="U40" s="227">
        <f>-'Table 5C1O-Impact'!AI43</f>
        <v>0</v>
      </c>
      <c r="V40" s="227">
        <f>-'Table 5C1P-Vision'!AI43</f>
        <v>-148395</v>
      </c>
      <c r="W40" s="227">
        <f>-'Table 5C1Q-Advantage'!AI43</f>
        <v>0</v>
      </c>
      <c r="X40" s="227">
        <f>-'Table 5C1R-Iberville'!AI43</f>
        <v>0</v>
      </c>
      <c r="Y40" s="227">
        <f>-'Table 5C1S-L.C. Coll Prep'!AI43</f>
        <v>0</v>
      </c>
      <c r="Z40" s="227">
        <f>-'Table 5C1T-Northeast'!AI43</f>
        <v>0</v>
      </c>
      <c r="AA40" s="227">
        <f>-'Table 5C1U-Acadiana Ren'!AI43</f>
        <v>0</v>
      </c>
      <c r="AB40" s="227">
        <f>-'Table 5C1V-Laf Ren'!AI43</f>
        <v>0</v>
      </c>
      <c r="AC40" s="227">
        <f>-'Table 5C1W-Willow'!AI43</f>
        <v>0</v>
      </c>
      <c r="AD40" s="227">
        <f>-'Table 5C2 - LA Virtual Admy'!AJ43</f>
        <v>-11905</v>
      </c>
      <c r="AE40" s="227">
        <f>-'Table 5C3 - LA Connections EBR'!AJ43</f>
        <v>-12299</v>
      </c>
      <c r="AF40" s="227">
        <f t="shared" si="56"/>
        <v>-177595</v>
      </c>
      <c r="AG40" s="248">
        <f t="shared" si="57"/>
        <v>10186000</v>
      </c>
      <c r="AH40" s="227"/>
      <c r="AI40" s="227"/>
      <c r="AJ40" s="227"/>
      <c r="AK40" s="227">
        <f>'Table 5C1A-Madison Prep'!AO43</f>
        <v>0</v>
      </c>
      <c r="AL40" s="227">
        <f>'Table 5C1B-DArbonne'!AO43</f>
        <v>-89.16</v>
      </c>
      <c r="AM40" s="227">
        <f>'Table 5C1C-Intl_VIBE'!AO43</f>
        <v>0</v>
      </c>
      <c r="AN40" s="227">
        <f>'Table 5C1D-NOMMA'!AO43</f>
        <v>0</v>
      </c>
      <c r="AO40" s="227">
        <f>'Table 5C1E-LFNO'!AO43</f>
        <v>0</v>
      </c>
      <c r="AP40" s="227">
        <f>'Table 5C1F-Lake Charles Charter'!AO43</f>
        <v>0</v>
      </c>
      <c r="AQ40" s="227">
        <f>'Table 5C1G-JS Clark Academy'!AO43</f>
        <v>0</v>
      </c>
      <c r="AR40" s="227">
        <f>'Table 5C1H-Southwest LA Charter'!AO43</f>
        <v>0</v>
      </c>
      <c r="AS40" s="227">
        <f>'Table 5C1I-LA Key Academy'!AO43</f>
        <v>0</v>
      </c>
      <c r="AT40" s="227">
        <f>'Table 5C1J-Jefferson Chamber'!AO43</f>
        <v>0</v>
      </c>
      <c r="AU40" s="227">
        <f>'Table 5C1K-Tallulah Charter'!AO43</f>
        <v>0</v>
      </c>
      <c r="AV40" s="227">
        <f>'Table 5C1L-Northshore Charter'!AO43</f>
        <v>0</v>
      </c>
      <c r="AW40" s="227">
        <f>'Table 5C1M-B.R. Charter'!AO43</f>
        <v>0</v>
      </c>
      <c r="AX40" s="227">
        <f>'Table 5C1N-Delta Charter'!AO43</f>
        <v>9.0400000000000009</v>
      </c>
      <c r="AY40" s="227">
        <f>'Table 5C1O-Impact'!AO43</f>
        <v>0</v>
      </c>
      <c r="AZ40" s="227">
        <f>+'Table 5C1P-Vision'!AO43</f>
        <v>-1429</v>
      </c>
      <c r="BA40" s="227">
        <f>+'Table 5C1Q-Advantage'!AO43</f>
        <v>0</v>
      </c>
      <c r="BB40" s="227">
        <f>+'Table 5C1R-Iberville'!AO43</f>
        <v>0</v>
      </c>
      <c r="BC40" s="227">
        <f>+'Table 5C1S-L.C. Coll Prep'!AO43</f>
        <v>0</v>
      </c>
      <c r="BD40" s="227">
        <f>+'Table 5C1T-Northeast'!AO43</f>
        <v>0</v>
      </c>
      <c r="BE40" s="227">
        <f>+'Table 5C1U-Acadiana Ren'!AO43</f>
        <v>0</v>
      </c>
      <c r="BF40" s="227">
        <f>+'Table 5C1V-Laf Ren'!AO43</f>
        <v>0</v>
      </c>
      <c r="BG40" s="227">
        <f>+'Table 5C1W-Willow'!AO43</f>
        <v>0</v>
      </c>
      <c r="BH40" s="227">
        <f>'Table 5C2 - LA Virtual Admy'!AP43</f>
        <v>23.21999999999997</v>
      </c>
      <c r="BI40" s="227">
        <f>'Table 5C3 - LA Connections EBR'!AP43</f>
        <v>-5.0759999999999934</v>
      </c>
      <c r="BJ40" s="248">
        <f t="shared" si="58"/>
        <v>10184509.024</v>
      </c>
    </row>
    <row r="41" spans="1:62" ht="14.45" customHeight="1">
      <c r="A41" s="224">
        <v>38</v>
      </c>
      <c r="B41" s="225" t="s">
        <v>110</v>
      </c>
      <c r="C41" s="226">
        <f>'Table 2_State Distrib and Adjs'!AL44</f>
        <v>997190</v>
      </c>
      <c r="D41" s="227">
        <f>-'Table 5A3_OJJ'!W43</f>
        <v>-457</v>
      </c>
      <c r="E41" s="227"/>
      <c r="F41" s="227"/>
      <c r="G41" s="227">
        <f>-'Table 5C1A-Madison Prep'!AI44</f>
        <v>1703</v>
      </c>
      <c r="H41" s="227">
        <f>-'Table 5C1B-DArbonne'!AI44</f>
        <v>0</v>
      </c>
      <c r="I41" s="227">
        <f>-'Table 5C1C-Intl_VIBE'!AI44</f>
        <v>0</v>
      </c>
      <c r="J41" s="227">
        <f>-'Table 5C1D-NOMMA'!AI44</f>
        <v>-17820</v>
      </c>
      <c r="K41" s="227">
        <f>-'Table 5C1E-LFNO'!AI44</f>
        <v>-6223</v>
      </c>
      <c r="L41" s="227">
        <f>-'Table 5C1F-Lake Charles Charter'!AI44</f>
        <v>0</v>
      </c>
      <c r="M41" s="227">
        <f>-'Table 5C1G-JS Clark Academy'!AI44</f>
        <v>0</v>
      </c>
      <c r="N41" s="227">
        <f>-'Table 5C1H-Southwest LA Charter'!AI44</f>
        <v>0</v>
      </c>
      <c r="O41" s="227">
        <f>-'Table 5C1I-LA Key Academy'!AI44</f>
        <v>0</v>
      </c>
      <c r="P41" s="227">
        <f>-'Table 5C1J-Jefferson Chamber'!AI44</f>
        <v>0</v>
      </c>
      <c r="Q41" s="227">
        <f>-'Table 5C1K-Tallulah Charter'!AI44</f>
        <v>0</v>
      </c>
      <c r="R41" s="227">
        <f>-'Table 5C1L-Northshore Charter'!AI44</f>
        <v>0</v>
      </c>
      <c r="S41" s="227">
        <f>-'Table 5C1M-B.R. Charter'!AI44</f>
        <v>0</v>
      </c>
      <c r="T41" s="227">
        <f>-'Table 5C1N-Delta Charter'!AI44</f>
        <v>0</v>
      </c>
      <c r="U41" s="227">
        <f>-'Table 5C1O-Impact'!AI44</f>
        <v>0</v>
      </c>
      <c r="V41" s="227">
        <f>-'Table 5C1P-Vision'!AI44</f>
        <v>0</v>
      </c>
      <c r="W41" s="227">
        <f>-'Table 5C1Q-Advantage'!AI44</f>
        <v>0</v>
      </c>
      <c r="X41" s="227">
        <f>-'Table 5C1R-Iberville'!AI44</f>
        <v>0</v>
      </c>
      <c r="Y41" s="227">
        <f>-'Table 5C1S-L.C. Coll Prep'!AI44</f>
        <v>0</v>
      </c>
      <c r="Z41" s="227">
        <f>-'Table 5C1T-Northeast'!AI44</f>
        <v>0</v>
      </c>
      <c r="AA41" s="227">
        <f>-'Table 5C1U-Acadiana Ren'!AI44</f>
        <v>0</v>
      </c>
      <c r="AB41" s="227">
        <f>-'Table 5C1V-Laf Ren'!AI44</f>
        <v>0</v>
      </c>
      <c r="AC41" s="227">
        <f>-'Table 5C1W-Willow'!AI44</f>
        <v>0</v>
      </c>
      <c r="AD41" s="227">
        <f>-'Table 5C2 - LA Virtual Admy'!AJ44</f>
        <v>-4678</v>
      </c>
      <c r="AE41" s="227">
        <f>-'Table 5C3 - LA Connections EBR'!AJ44</f>
        <v>-14051</v>
      </c>
      <c r="AF41" s="227">
        <f t="shared" si="56"/>
        <v>-41526</v>
      </c>
      <c r="AG41" s="248">
        <f t="shared" si="57"/>
        <v>955664</v>
      </c>
      <c r="AH41" s="227"/>
      <c r="AI41" s="227"/>
      <c r="AJ41" s="227"/>
      <c r="AK41" s="227">
        <f>'Table 5C1A-Madison Prep'!AO44</f>
        <v>0</v>
      </c>
      <c r="AL41" s="227">
        <f>'Table 5C1B-DArbonne'!AO44</f>
        <v>0</v>
      </c>
      <c r="AM41" s="227">
        <f>'Table 5C1C-Intl_VIBE'!AO44</f>
        <v>0</v>
      </c>
      <c r="AN41" s="227">
        <f>'Table 5C1D-NOMMA'!AO44</f>
        <v>-257.09250000000003</v>
      </c>
      <c r="AO41" s="227">
        <f>'Table 5C1E-LFNO'!AO44</f>
        <v>-24.459999999999994</v>
      </c>
      <c r="AP41" s="227">
        <f>'Table 5C1F-Lake Charles Charter'!AO44</f>
        <v>0</v>
      </c>
      <c r="AQ41" s="227">
        <f>'Table 5C1G-JS Clark Academy'!AO44</f>
        <v>0</v>
      </c>
      <c r="AR41" s="227">
        <f>'Table 5C1H-Southwest LA Charter'!AO44</f>
        <v>0</v>
      </c>
      <c r="AS41" s="227">
        <f>'Table 5C1I-LA Key Academy'!AO44</f>
        <v>0</v>
      </c>
      <c r="AT41" s="227">
        <f>'Table 5C1J-Jefferson Chamber'!AO44</f>
        <v>0</v>
      </c>
      <c r="AU41" s="227">
        <f>'Table 5C1K-Tallulah Charter'!AO44</f>
        <v>0</v>
      </c>
      <c r="AV41" s="227">
        <f>'Table 5C1L-Northshore Charter'!AO44</f>
        <v>0</v>
      </c>
      <c r="AW41" s="227">
        <f>'Table 5C1M-B.R. Charter'!AO44</f>
        <v>0</v>
      </c>
      <c r="AX41" s="227">
        <f>'Table 5C1N-Delta Charter'!AO44</f>
        <v>0</v>
      </c>
      <c r="AY41" s="227">
        <f>'Table 5C1O-Impact'!AO44</f>
        <v>0</v>
      </c>
      <c r="AZ41" s="227">
        <f>+'Table 5C1P-Vision'!AO44</f>
        <v>0</v>
      </c>
      <c r="BA41" s="227">
        <f>+'Table 5C1Q-Advantage'!AO44</f>
        <v>0</v>
      </c>
      <c r="BB41" s="227">
        <f>+'Table 5C1R-Iberville'!AO44</f>
        <v>0</v>
      </c>
      <c r="BC41" s="227">
        <f>+'Table 5C1S-L.C. Coll Prep'!AO44</f>
        <v>0</v>
      </c>
      <c r="BD41" s="227">
        <f>+'Table 5C1T-Northeast'!AO44</f>
        <v>0</v>
      </c>
      <c r="BE41" s="227">
        <f>+'Table 5C1U-Acadiana Ren'!AO44</f>
        <v>0</v>
      </c>
      <c r="BF41" s="227">
        <f>+'Table 5C1V-Laf Ren'!AO44</f>
        <v>0</v>
      </c>
      <c r="BG41" s="227">
        <f>+'Table 5C1W-Willow'!AO44</f>
        <v>0</v>
      </c>
      <c r="BH41" s="227">
        <f>'Table 5C2 - LA Virtual Admy'!AP44</f>
        <v>4.3065000000000282</v>
      </c>
      <c r="BI41" s="227">
        <f>'Table 5C3 - LA Connections EBR'!AP44</f>
        <v>-95.233499999999964</v>
      </c>
      <c r="BJ41" s="248">
        <f t="shared" si="58"/>
        <v>955291.52049999998</v>
      </c>
    </row>
    <row r="42" spans="1:62" ht="14.45" customHeight="1">
      <c r="A42" s="224">
        <v>39</v>
      </c>
      <c r="B42" s="225" t="s">
        <v>111</v>
      </c>
      <c r="C42" s="226">
        <f>'Table 2_State Distrib and Adjs'!AL45</f>
        <v>1028595</v>
      </c>
      <c r="D42" s="227">
        <f>-'Table 5A3_OJJ'!W44</f>
        <v>-259</v>
      </c>
      <c r="E42" s="227"/>
      <c r="F42" s="227"/>
      <c r="G42" s="227">
        <f>-'Table 5C1A-Madison Prep'!AI45</f>
        <v>0</v>
      </c>
      <c r="H42" s="227">
        <f>-'Table 5C1B-DArbonne'!AI45</f>
        <v>0</v>
      </c>
      <c r="I42" s="227">
        <f>-'Table 5C1C-Intl_VIBE'!AI45</f>
        <v>0</v>
      </c>
      <c r="J42" s="227">
        <f>-'Table 5C1D-NOMMA'!AI45</f>
        <v>0</v>
      </c>
      <c r="K42" s="227">
        <f>-'Table 5C1E-LFNO'!AI45</f>
        <v>0</v>
      </c>
      <c r="L42" s="227">
        <f>-'Table 5C1F-Lake Charles Charter'!AI45</f>
        <v>0</v>
      </c>
      <c r="M42" s="227">
        <f>-'Table 5C1G-JS Clark Academy'!AI45</f>
        <v>0</v>
      </c>
      <c r="N42" s="227">
        <f>-'Table 5C1H-Southwest LA Charter'!AI45</f>
        <v>0</v>
      </c>
      <c r="O42" s="227">
        <f>-'Table 5C1I-LA Key Academy'!AI45</f>
        <v>-890</v>
      </c>
      <c r="P42" s="227">
        <f>-'Table 5C1J-Jefferson Chamber'!AI45</f>
        <v>0</v>
      </c>
      <c r="Q42" s="227">
        <f>-'Table 5C1K-Tallulah Charter'!AI45</f>
        <v>0</v>
      </c>
      <c r="R42" s="227">
        <f>-'Table 5C1L-Northshore Charter'!AI45</f>
        <v>0</v>
      </c>
      <c r="S42" s="227">
        <f>-'Table 5C1M-B.R. Charter'!AI45</f>
        <v>0</v>
      </c>
      <c r="T42" s="227">
        <f>-'Table 5C1N-Delta Charter'!AI45</f>
        <v>0</v>
      </c>
      <c r="U42" s="227">
        <f>-'Table 5C1O-Impact'!AI45</f>
        <v>0</v>
      </c>
      <c r="V42" s="227">
        <f>-'Table 5C1P-Vision'!AI45</f>
        <v>0</v>
      </c>
      <c r="W42" s="227">
        <f>-'Table 5C1Q-Advantage'!AI45</f>
        <v>0</v>
      </c>
      <c r="X42" s="227">
        <f>-'Table 5C1R-Iberville'!AI45</f>
        <v>0</v>
      </c>
      <c r="Y42" s="227">
        <f>-'Table 5C1S-L.C. Coll Prep'!AI45</f>
        <v>0</v>
      </c>
      <c r="Z42" s="227">
        <f>-'Table 5C1T-Northeast'!AI45</f>
        <v>0</v>
      </c>
      <c r="AA42" s="227">
        <f>-'Table 5C1U-Acadiana Ren'!AI45</f>
        <v>0</v>
      </c>
      <c r="AB42" s="227">
        <f>-'Table 5C1V-Laf Ren'!AI45</f>
        <v>0</v>
      </c>
      <c r="AC42" s="227">
        <f>-'Table 5C1W-Willow'!AI45</f>
        <v>0</v>
      </c>
      <c r="AD42" s="227">
        <f>-'Table 5C2 - LA Virtual Admy'!AJ45</f>
        <v>-713</v>
      </c>
      <c r="AE42" s="227">
        <f>-'Table 5C3 - LA Connections EBR'!AJ45</f>
        <v>-7107</v>
      </c>
      <c r="AF42" s="227">
        <f t="shared" si="56"/>
        <v>-8969</v>
      </c>
      <c r="AG42" s="248">
        <f t="shared" si="57"/>
        <v>1019626</v>
      </c>
      <c r="AH42" s="227"/>
      <c r="AI42" s="227"/>
      <c r="AJ42" s="227"/>
      <c r="AK42" s="227">
        <f>'Table 5C1A-Madison Prep'!AO45</f>
        <v>0</v>
      </c>
      <c r="AL42" s="227">
        <f>'Table 5C1B-DArbonne'!AO45</f>
        <v>0</v>
      </c>
      <c r="AM42" s="227">
        <f>'Table 5C1C-Intl_VIBE'!AO45</f>
        <v>0</v>
      </c>
      <c r="AN42" s="227">
        <f>'Table 5C1D-NOMMA'!AO45</f>
        <v>0</v>
      </c>
      <c r="AO42" s="227">
        <f>'Table 5C1E-LFNO'!AO45</f>
        <v>0</v>
      </c>
      <c r="AP42" s="227">
        <f>'Table 5C1F-Lake Charles Charter'!AO45</f>
        <v>0</v>
      </c>
      <c r="AQ42" s="227">
        <f>'Table 5C1G-JS Clark Academy'!AO45</f>
        <v>0</v>
      </c>
      <c r="AR42" s="227">
        <f>'Table 5C1H-Southwest LA Charter'!AO45</f>
        <v>0</v>
      </c>
      <c r="AS42" s="227">
        <f>'Table 5C1I-LA Key Academy'!AO45</f>
        <v>-12.222499999999998</v>
      </c>
      <c r="AT42" s="227">
        <f>'Table 5C1J-Jefferson Chamber'!AO45</f>
        <v>0</v>
      </c>
      <c r="AU42" s="227">
        <f>'Table 5C1K-Tallulah Charter'!AO45</f>
        <v>0</v>
      </c>
      <c r="AV42" s="227">
        <f>'Table 5C1L-Northshore Charter'!AO45</f>
        <v>0</v>
      </c>
      <c r="AW42" s="227">
        <f>'Table 5C1M-B.R. Charter'!AO45</f>
        <v>0</v>
      </c>
      <c r="AX42" s="227">
        <f>'Table 5C1N-Delta Charter'!AO45</f>
        <v>0</v>
      </c>
      <c r="AY42" s="227">
        <f>'Table 5C1O-Impact'!AO45</f>
        <v>0</v>
      </c>
      <c r="AZ42" s="227">
        <f>+'Table 5C1P-Vision'!AO45</f>
        <v>0</v>
      </c>
      <c r="BA42" s="227">
        <f>+'Table 5C1Q-Advantage'!AO45</f>
        <v>0</v>
      </c>
      <c r="BB42" s="227">
        <f>+'Table 5C1R-Iberville'!AO45</f>
        <v>0</v>
      </c>
      <c r="BC42" s="227">
        <f>+'Table 5C1S-L.C. Coll Prep'!AO45</f>
        <v>0</v>
      </c>
      <c r="BD42" s="227">
        <f>+'Table 5C1T-Northeast'!AO45</f>
        <v>0</v>
      </c>
      <c r="BE42" s="227">
        <f>+'Table 5C1U-Acadiana Ren'!AO45</f>
        <v>0</v>
      </c>
      <c r="BF42" s="227">
        <f>+'Table 5C1V-Laf Ren'!AO45</f>
        <v>0</v>
      </c>
      <c r="BG42" s="227">
        <f>+'Table 5C1W-Willow'!AO45</f>
        <v>0</v>
      </c>
      <c r="BH42" s="227">
        <f>'Table 5C2 - LA Virtual Admy'!AP45</f>
        <v>11.445749999999997</v>
      </c>
      <c r="BI42" s="227">
        <f>'Table 5C3 - LA Connections EBR'!AP45</f>
        <v>-170.98650000000004</v>
      </c>
      <c r="BJ42" s="248">
        <f t="shared" si="58"/>
        <v>1019454.2367499999</v>
      </c>
    </row>
    <row r="43" spans="1:62" ht="14.45" customHeight="1">
      <c r="A43" s="3">
        <v>40</v>
      </c>
      <c r="B43" s="7" t="s">
        <v>112</v>
      </c>
      <c r="C43" s="9">
        <f>'Table 2_State Distrib and Adjs'!AL46</f>
        <v>10620038</v>
      </c>
      <c r="D43" s="10">
        <f>-'Table 5A3_OJJ'!W45</f>
        <v>-3322</v>
      </c>
      <c r="E43" s="10"/>
      <c r="F43" s="10"/>
      <c r="G43" s="10">
        <f>-'Table 5C1A-Madison Prep'!AI46</f>
        <v>0</v>
      </c>
      <c r="H43" s="10">
        <f>-'Table 5C1B-DArbonne'!AI46</f>
        <v>0</v>
      </c>
      <c r="I43" s="10">
        <f>-'Table 5C1C-Intl_VIBE'!AI46</f>
        <v>0</v>
      </c>
      <c r="J43" s="10">
        <f>-'Table 5C1D-NOMMA'!AI46</f>
        <v>0</v>
      </c>
      <c r="K43" s="10">
        <f>-'Table 5C1E-LFNO'!AI46</f>
        <v>0</v>
      </c>
      <c r="L43" s="10">
        <f>-'Table 5C1F-Lake Charles Charter'!AI46</f>
        <v>0</v>
      </c>
      <c r="M43" s="10">
        <f>-'Table 5C1G-JS Clark Academy'!AI46</f>
        <v>0</v>
      </c>
      <c r="N43" s="10">
        <f>-'Table 5C1H-Southwest LA Charter'!AI46</f>
        <v>0</v>
      </c>
      <c r="O43" s="10">
        <f>-'Table 5C1I-LA Key Academy'!AI46</f>
        <v>0</v>
      </c>
      <c r="P43" s="10">
        <f>-'Table 5C1J-Jefferson Chamber'!AI46</f>
        <v>0</v>
      </c>
      <c r="Q43" s="10">
        <f>-'Table 5C1K-Tallulah Charter'!AI46</f>
        <v>0</v>
      </c>
      <c r="R43" s="10">
        <f>-'Table 5C1L-Northshore Charter'!AI46</f>
        <v>0</v>
      </c>
      <c r="S43" s="10">
        <f>-'Table 5C1M-B.R. Charter'!AI46</f>
        <v>0</v>
      </c>
      <c r="T43" s="10">
        <f>-'Table 5C1N-Delta Charter'!AI46</f>
        <v>0</v>
      </c>
      <c r="U43" s="10">
        <f>-'Table 5C1O-Impact'!AI46</f>
        <v>0</v>
      </c>
      <c r="V43" s="10">
        <f>-'Table 5C1P-Vision'!AI46</f>
        <v>0</v>
      </c>
      <c r="W43" s="10">
        <f>-'Table 5C1Q-Advantage'!AI46</f>
        <v>0</v>
      </c>
      <c r="X43" s="10">
        <f>-'Table 5C1R-Iberville'!AI46</f>
        <v>0</v>
      </c>
      <c r="Y43" s="10">
        <f>-'Table 5C1S-L.C. Coll Prep'!AI46</f>
        <v>0</v>
      </c>
      <c r="Z43" s="10">
        <f>-'Table 5C1T-Northeast'!AI46</f>
        <v>0</v>
      </c>
      <c r="AA43" s="10">
        <f>-'Table 5C1U-Acadiana Ren'!AI46</f>
        <v>0</v>
      </c>
      <c r="AB43" s="10">
        <f>-'Table 5C1V-Laf Ren'!AI46</f>
        <v>0</v>
      </c>
      <c r="AC43" s="10">
        <f>-'Table 5C1W-Willow'!AI46</f>
        <v>0</v>
      </c>
      <c r="AD43" s="10">
        <f>-'Table 5C2 - LA Virtual Admy'!AJ46</f>
        <v>-11463</v>
      </c>
      <c r="AE43" s="10">
        <f>-'Table 5C3 - LA Connections EBR'!AJ46</f>
        <v>-15080</v>
      </c>
      <c r="AF43" s="10">
        <f t="shared" si="56"/>
        <v>-29865</v>
      </c>
      <c r="AG43" s="15">
        <f t="shared" si="57"/>
        <v>10590173</v>
      </c>
      <c r="AH43" s="10"/>
      <c r="AI43" s="10"/>
      <c r="AJ43" s="10"/>
      <c r="AK43" s="10">
        <f>'Table 5C1A-Madison Prep'!AO46</f>
        <v>0</v>
      </c>
      <c r="AL43" s="10">
        <f>'Table 5C1B-DArbonne'!AO46</f>
        <v>0</v>
      </c>
      <c r="AM43" s="10">
        <f>'Table 5C1C-Intl_VIBE'!AO46</f>
        <v>0</v>
      </c>
      <c r="AN43" s="10">
        <f>'Table 5C1D-NOMMA'!AO46</f>
        <v>0</v>
      </c>
      <c r="AO43" s="10">
        <f>'Table 5C1E-LFNO'!AO46</f>
        <v>0</v>
      </c>
      <c r="AP43" s="10">
        <f>'Table 5C1F-Lake Charles Charter'!AO46</f>
        <v>0</v>
      </c>
      <c r="AQ43" s="10">
        <f>'Table 5C1G-JS Clark Academy'!AO46</f>
        <v>0</v>
      </c>
      <c r="AR43" s="10">
        <f>'Table 5C1H-Southwest LA Charter'!AO46</f>
        <v>0</v>
      </c>
      <c r="AS43" s="10">
        <f>'Table 5C1I-LA Key Academy'!AO46</f>
        <v>0</v>
      </c>
      <c r="AT43" s="10">
        <f>'Table 5C1J-Jefferson Chamber'!AO46</f>
        <v>0</v>
      </c>
      <c r="AU43" s="10">
        <f>'Table 5C1K-Tallulah Charter'!AO46</f>
        <v>0</v>
      </c>
      <c r="AV43" s="10">
        <f>'Table 5C1L-Northshore Charter'!AO46</f>
        <v>0</v>
      </c>
      <c r="AW43" s="10">
        <f>'Table 5C1M-B.R. Charter'!AO46</f>
        <v>0</v>
      </c>
      <c r="AX43" s="10">
        <f>'Table 5C1N-Delta Charter'!AO46</f>
        <v>0</v>
      </c>
      <c r="AY43" s="10">
        <f>'Table 5C1O-Impact'!AO46</f>
        <v>0</v>
      </c>
      <c r="AZ43" s="10">
        <f>+'Table 5C1P-Vision'!AO46</f>
        <v>0</v>
      </c>
      <c r="BA43" s="10">
        <f>+'Table 5C1Q-Advantage'!AO46</f>
        <v>0</v>
      </c>
      <c r="BB43" s="10">
        <f>+'Table 5C1R-Iberville'!AO46</f>
        <v>0</v>
      </c>
      <c r="BC43" s="10">
        <f>+'Table 5C1S-L.C. Coll Prep'!AO46</f>
        <v>0</v>
      </c>
      <c r="BD43" s="10">
        <f>+'Table 5C1T-Northeast'!AO46</f>
        <v>0</v>
      </c>
      <c r="BE43" s="10">
        <f>+'Table 5C1U-Acadiana Ren'!AO46</f>
        <v>0</v>
      </c>
      <c r="BF43" s="10">
        <f>+'Table 5C1V-Laf Ren'!AO46</f>
        <v>0</v>
      </c>
      <c r="BG43" s="10">
        <f>+'Table 5C1W-Willow'!AO46</f>
        <v>0</v>
      </c>
      <c r="BH43" s="10">
        <f>'Table 5C2 - LA Virtual Admy'!AP46</f>
        <v>20.895749999999964</v>
      </c>
      <c r="BI43" s="10">
        <f>'Table 5C3 - LA Connections EBR'!AP46</f>
        <v>-187.38225000000008</v>
      </c>
      <c r="BJ43" s="15">
        <f t="shared" si="58"/>
        <v>10590006.513499999</v>
      </c>
    </row>
    <row r="44" spans="1:62" ht="14.45" customHeight="1">
      <c r="A44" s="224">
        <v>41</v>
      </c>
      <c r="B44" s="225" t="s">
        <v>113</v>
      </c>
      <c r="C44" s="226">
        <f>'Table 2_State Distrib and Adjs'!AL47</f>
        <v>470436</v>
      </c>
      <c r="D44" s="227">
        <f>-'Table 5A3_OJJ'!W46</f>
        <v>-426</v>
      </c>
      <c r="E44" s="227"/>
      <c r="F44" s="227"/>
      <c r="G44" s="227">
        <f>-'Table 5C1A-Madison Prep'!AI47</f>
        <v>0</v>
      </c>
      <c r="H44" s="227">
        <f>-'Table 5C1B-DArbonne'!AI47</f>
        <v>0</v>
      </c>
      <c r="I44" s="227">
        <f>-'Table 5C1C-Intl_VIBE'!AI47</f>
        <v>0</v>
      </c>
      <c r="J44" s="227">
        <f>-'Table 5C1D-NOMMA'!AI47</f>
        <v>0</v>
      </c>
      <c r="K44" s="227">
        <f>-'Table 5C1E-LFNO'!AI47</f>
        <v>0</v>
      </c>
      <c r="L44" s="227">
        <f>-'Table 5C1F-Lake Charles Charter'!AI47</f>
        <v>0</v>
      </c>
      <c r="M44" s="227">
        <f>-'Table 5C1G-JS Clark Academy'!AI47</f>
        <v>0</v>
      </c>
      <c r="N44" s="227">
        <f>-'Table 5C1H-Southwest LA Charter'!AI47</f>
        <v>0</v>
      </c>
      <c r="O44" s="227">
        <f>-'Table 5C1I-LA Key Academy'!AI47</f>
        <v>0</v>
      </c>
      <c r="P44" s="227">
        <f>-'Table 5C1J-Jefferson Chamber'!AI47</f>
        <v>0</v>
      </c>
      <c r="Q44" s="227">
        <f>-'Table 5C1K-Tallulah Charter'!AI47</f>
        <v>0</v>
      </c>
      <c r="R44" s="227">
        <f>-'Table 5C1L-Northshore Charter'!AI47</f>
        <v>0</v>
      </c>
      <c r="S44" s="227">
        <f>-'Table 5C1M-B.R. Charter'!AI47</f>
        <v>0</v>
      </c>
      <c r="T44" s="227">
        <f>-'Table 5C1N-Delta Charter'!AI47</f>
        <v>0</v>
      </c>
      <c r="U44" s="227">
        <f>-'Table 5C1O-Impact'!AI47</f>
        <v>0</v>
      </c>
      <c r="V44" s="227">
        <f>-'Table 5C1P-Vision'!AI47</f>
        <v>0</v>
      </c>
      <c r="W44" s="227">
        <f>-'Table 5C1Q-Advantage'!AI47</f>
        <v>0</v>
      </c>
      <c r="X44" s="227">
        <f>-'Table 5C1R-Iberville'!AI47</f>
        <v>0</v>
      </c>
      <c r="Y44" s="227">
        <f>-'Table 5C1S-L.C. Coll Prep'!AI47</f>
        <v>0</v>
      </c>
      <c r="Z44" s="227">
        <f>-'Table 5C1T-Northeast'!AI47</f>
        <v>0</v>
      </c>
      <c r="AA44" s="227">
        <f>-'Table 5C1U-Acadiana Ren'!AI47</f>
        <v>0</v>
      </c>
      <c r="AB44" s="227">
        <f>-'Table 5C1V-Laf Ren'!AI47</f>
        <v>0</v>
      </c>
      <c r="AC44" s="227">
        <f>-'Table 5C1W-Willow'!AI47</f>
        <v>0</v>
      </c>
      <c r="AD44" s="227">
        <f>-'Table 5C2 - LA Virtual Admy'!AJ47</f>
        <v>-16917</v>
      </c>
      <c r="AE44" s="227">
        <f>-'Table 5C3 - LA Connections EBR'!AJ47</f>
        <v>-4145</v>
      </c>
      <c r="AF44" s="227">
        <f t="shared" si="56"/>
        <v>-21488</v>
      </c>
      <c r="AG44" s="248">
        <f t="shared" si="57"/>
        <v>448948</v>
      </c>
      <c r="AH44" s="227"/>
      <c r="AI44" s="227"/>
      <c r="AJ44" s="227"/>
      <c r="AK44" s="227">
        <f>'Table 5C1A-Madison Prep'!AO47</f>
        <v>0</v>
      </c>
      <c r="AL44" s="227">
        <f>'Table 5C1B-DArbonne'!AO47</f>
        <v>0</v>
      </c>
      <c r="AM44" s="227">
        <f>'Table 5C1C-Intl_VIBE'!AO47</f>
        <v>0</v>
      </c>
      <c r="AN44" s="227">
        <f>'Table 5C1D-NOMMA'!AO47</f>
        <v>0</v>
      </c>
      <c r="AO44" s="227">
        <f>'Table 5C1E-LFNO'!AO47</f>
        <v>0</v>
      </c>
      <c r="AP44" s="227">
        <f>'Table 5C1F-Lake Charles Charter'!AO47</f>
        <v>0</v>
      </c>
      <c r="AQ44" s="227">
        <f>'Table 5C1G-JS Clark Academy'!AO47</f>
        <v>0</v>
      </c>
      <c r="AR44" s="227">
        <f>'Table 5C1H-Southwest LA Charter'!AO47</f>
        <v>0</v>
      </c>
      <c r="AS44" s="227">
        <f>'Table 5C1I-LA Key Academy'!AO47</f>
        <v>0</v>
      </c>
      <c r="AT44" s="227">
        <f>'Table 5C1J-Jefferson Chamber'!AO47</f>
        <v>0</v>
      </c>
      <c r="AU44" s="227">
        <f>'Table 5C1K-Tallulah Charter'!AO47</f>
        <v>0</v>
      </c>
      <c r="AV44" s="227">
        <f>'Table 5C1L-Northshore Charter'!AO47</f>
        <v>0</v>
      </c>
      <c r="AW44" s="227">
        <f>'Table 5C1M-B.R. Charter'!AO47</f>
        <v>0</v>
      </c>
      <c r="AX44" s="227">
        <f>'Table 5C1N-Delta Charter'!AO47</f>
        <v>0</v>
      </c>
      <c r="AY44" s="227">
        <f>'Table 5C1O-Impact'!AO47</f>
        <v>0</v>
      </c>
      <c r="AZ44" s="227">
        <f>+'Table 5C1P-Vision'!AO47</f>
        <v>0</v>
      </c>
      <c r="BA44" s="227">
        <f>+'Table 5C1Q-Advantage'!AO47</f>
        <v>0</v>
      </c>
      <c r="BB44" s="227">
        <f>+'Table 5C1R-Iberville'!AO47</f>
        <v>0</v>
      </c>
      <c r="BC44" s="227">
        <f>+'Table 5C1S-L.C. Coll Prep'!AO47</f>
        <v>0</v>
      </c>
      <c r="BD44" s="227">
        <f>+'Table 5C1T-Northeast'!AO47</f>
        <v>0</v>
      </c>
      <c r="BE44" s="227">
        <f>+'Table 5C1U-Acadiana Ren'!AO47</f>
        <v>0</v>
      </c>
      <c r="BF44" s="227">
        <f>+'Table 5C1V-Laf Ren'!AO47</f>
        <v>0</v>
      </c>
      <c r="BG44" s="227">
        <f>+'Table 5C1W-Willow'!AO47</f>
        <v>0</v>
      </c>
      <c r="BH44" s="227">
        <f>'Table 5C2 - LA Virtual Admy'!AP47</f>
        <v>-169.59600000000003</v>
      </c>
      <c r="BI44" s="227">
        <f>'Table 5C3 - LA Connections EBR'!AP47</f>
        <v>-52.998750000000008</v>
      </c>
      <c r="BJ44" s="248">
        <f t="shared" si="58"/>
        <v>448725.40524999995</v>
      </c>
    </row>
    <row r="45" spans="1:62" ht="14.45" customHeight="1">
      <c r="A45" s="224">
        <v>42</v>
      </c>
      <c r="B45" s="225" t="s">
        <v>114</v>
      </c>
      <c r="C45" s="226">
        <f>'Table 2_State Distrib and Adjs'!AL48</f>
        <v>1373412</v>
      </c>
      <c r="D45" s="227">
        <f>-'Table 5A3_OJJ'!W47</f>
        <v>-931</v>
      </c>
      <c r="E45" s="227"/>
      <c r="F45" s="227"/>
      <c r="G45" s="227">
        <f>-'Table 5C1A-Madison Prep'!AI48</f>
        <v>0</v>
      </c>
      <c r="H45" s="227">
        <f>-'Table 5C1B-DArbonne'!AI48</f>
        <v>0</v>
      </c>
      <c r="I45" s="227">
        <f>-'Table 5C1C-Intl_VIBE'!AI48</f>
        <v>0</v>
      </c>
      <c r="J45" s="227">
        <f>-'Table 5C1D-NOMMA'!AI48</f>
        <v>0</v>
      </c>
      <c r="K45" s="227">
        <f>-'Table 5C1E-LFNO'!AI48</f>
        <v>0</v>
      </c>
      <c r="L45" s="227">
        <f>-'Table 5C1F-Lake Charles Charter'!AI48</f>
        <v>0</v>
      </c>
      <c r="M45" s="227">
        <f>-'Table 5C1G-JS Clark Academy'!AI48</f>
        <v>0</v>
      </c>
      <c r="N45" s="227">
        <f>-'Table 5C1H-Southwest LA Charter'!AI48</f>
        <v>0</v>
      </c>
      <c r="O45" s="227">
        <f>-'Table 5C1I-LA Key Academy'!AI48</f>
        <v>0</v>
      </c>
      <c r="P45" s="227">
        <f>-'Table 5C1J-Jefferson Chamber'!AI48</f>
        <v>0</v>
      </c>
      <c r="Q45" s="227">
        <f>-'Table 5C1K-Tallulah Charter'!AI48</f>
        <v>0</v>
      </c>
      <c r="R45" s="227">
        <f>-'Table 5C1L-Northshore Charter'!AI48</f>
        <v>0</v>
      </c>
      <c r="S45" s="227">
        <f>-'Table 5C1M-B.R. Charter'!AI48</f>
        <v>0</v>
      </c>
      <c r="T45" s="227">
        <f>-'Table 5C1N-Delta Charter'!AI48</f>
        <v>0</v>
      </c>
      <c r="U45" s="227">
        <f>-'Table 5C1O-Impact'!AI48</f>
        <v>0</v>
      </c>
      <c r="V45" s="227">
        <f>-'Table 5C1P-Vision'!AI48</f>
        <v>5948</v>
      </c>
      <c r="W45" s="227">
        <f>-'Table 5C1Q-Advantage'!AI48</f>
        <v>0</v>
      </c>
      <c r="X45" s="227">
        <f>-'Table 5C1R-Iberville'!AI48</f>
        <v>0</v>
      </c>
      <c r="Y45" s="227">
        <f>-'Table 5C1S-L.C. Coll Prep'!AI48</f>
        <v>0</v>
      </c>
      <c r="Z45" s="227">
        <f>-'Table 5C1T-Northeast'!AI48</f>
        <v>0</v>
      </c>
      <c r="AA45" s="227">
        <f>-'Table 5C1U-Acadiana Ren'!AI48</f>
        <v>0</v>
      </c>
      <c r="AB45" s="227">
        <f>-'Table 5C1V-Laf Ren'!AI48</f>
        <v>0</v>
      </c>
      <c r="AC45" s="227">
        <f>-'Table 5C1W-Willow'!AI48</f>
        <v>0</v>
      </c>
      <c r="AD45" s="227">
        <f>-'Table 5C2 - LA Virtual Admy'!AJ48</f>
        <v>-7</v>
      </c>
      <c r="AE45" s="227">
        <f>-'Table 5C3 - LA Connections EBR'!AJ48</f>
        <v>-2491</v>
      </c>
      <c r="AF45" s="227">
        <f t="shared" si="56"/>
        <v>2519</v>
      </c>
      <c r="AG45" s="248">
        <f t="shared" si="57"/>
        <v>1375931</v>
      </c>
      <c r="AH45" s="227"/>
      <c r="AI45" s="227"/>
      <c r="AJ45" s="227"/>
      <c r="AK45" s="227">
        <f>'Table 5C1A-Madison Prep'!AO48</f>
        <v>0</v>
      </c>
      <c r="AL45" s="227">
        <f>'Table 5C1B-DArbonne'!AO48</f>
        <v>0</v>
      </c>
      <c r="AM45" s="227">
        <f>'Table 5C1C-Intl_VIBE'!AO48</f>
        <v>0</v>
      </c>
      <c r="AN45" s="227">
        <f>'Table 5C1D-NOMMA'!AO48</f>
        <v>0</v>
      </c>
      <c r="AO45" s="227">
        <f>'Table 5C1E-LFNO'!AO48</f>
        <v>0</v>
      </c>
      <c r="AP45" s="227">
        <f>'Table 5C1F-Lake Charles Charter'!AO48</f>
        <v>0</v>
      </c>
      <c r="AQ45" s="227">
        <f>'Table 5C1G-JS Clark Academy'!AO48</f>
        <v>0</v>
      </c>
      <c r="AR45" s="227">
        <f>'Table 5C1H-Southwest LA Charter'!AO48</f>
        <v>0</v>
      </c>
      <c r="AS45" s="227">
        <f>'Table 5C1I-LA Key Academy'!AO48</f>
        <v>0</v>
      </c>
      <c r="AT45" s="227">
        <f>'Table 5C1J-Jefferson Chamber'!AO48</f>
        <v>0</v>
      </c>
      <c r="AU45" s="227">
        <f>'Table 5C1K-Tallulah Charter'!AO48</f>
        <v>0</v>
      </c>
      <c r="AV45" s="227">
        <f>'Table 5C1L-Northshore Charter'!AO48</f>
        <v>0</v>
      </c>
      <c r="AW45" s="227">
        <f>'Table 5C1M-B.R. Charter'!AO48</f>
        <v>0</v>
      </c>
      <c r="AX45" s="227">
        <f>'Table 5C1N-Delta Charter'!AO48</f>
        <v>0</v>
      </c>
      <c r="AY45" s="227">
        <f>'Table 5C1O-Impact'!AO48</f>
        <v>0</v>
      </c>
      <c r="AZ45" s="227">
        <f>+'Table 5C1P-Vision'!AO48</f>
        <v>89.45</v>
      </c>
      <c r="BA45" s="227">
        <f>+'Table 5C1Q-Advantage'!AO48</f>
        <v>0</v>
      </c>
      <c r="BB45" s="227">
        <f>+'Table 5C1R-Iberville'!AO48</f>
        <v>0</v>
      </c>
      <c r="BC45" s="227">
        <f>+'Table 5C1S-L.C. Coll Prep'!AO48</f>
        <v>0</v>
      </c>
      <c r="BD45" s="227">
        <f>+'Table 5C1T-Northeast'!AO48</f>
        <v>0</v>
      </c>
      <c r="BE45" s="227">
        <f>+'Table 5C1U-Acadiana Ren'!AO48</f>
        <v>0</v>
      </c>
      <c r="BF45" s="227">
        <f>+'Table 5C1V-Laf Ren'!AO48</f>
        <v>0</v>
      </c>
      <c r="BG45" s="227">
        <f>+'Table 5C1W-Willow'!AO48</f>
        <v>0</v>
      </c>
      <c r="BH45" s="227">
        <f>'Table 5C2 - LA Virtual Admy'!AP48</f>
        <v>13.359375000000004</v>
      </c>
      <c r="BI45" s="227">
        <f>'Table 5C3 - LA Connections EBR'!AP48</f>
        <v>-21.217499999999994</v>
      </c>
      <c r="BJ45" s="248">
        <f t="shared" si="58"/>
        <v>1376012.5918749999</v>
      </c>
    </row>
    <row r="46" spans="1:62" ht="14.45" customHeight="1">
      <c r="A46" s="224">
        <v>43</v>
      </c>
      <c r="B46" s="225" t="s">
        <v>115</v>
      </c>
      <c r="C46" s="226">
        <f>'Table 2_State Distrib and Adjs'!AL49</f>
        <v>2154918</v>
      </c>
      <c r="D46" s="227">
        <f>-'Table 5A3_OJJ'!W48</f>
        <v>-532</v>
      </c>
      <c r="E46" s="227"/>
      <c r="F46" s="227"/>
      <c r="G46" s="227">
        <f>-'Table 5C1A-Madison Prep'!AI49</f>
        <v>0</v>
      </c>
      <c r="H46" s="227">
        <f>-'Table 5C1B-DArbonne'!AI49</f>
        <v>0</v>
      </c>
      <c r="I46" s="227">
        <f>-'Table 5C1C-Intl_VIBE'!AI49</f>
        <v>0</v>
      </c>
      <c r="J46" s="227">
        <f>-'Table 5C1D-NOMMA'!AI49</f>
        <v>0</v>
      </c>
      <c r="K46" s="227">
        <f>-'Table 5C1E-LFNO'!AI49</f>
        <v>0</v>
      </c>
      <c r="L46" s="227">
        <f>-'Table 5C1F-Lake Charles Charter'!AI49</f>
        <v>0</v>
      </c>
      <c r="M46" s="227">
        <f>-'Table 5C1G-JS Clark Academy'!AI49</f>
        <v>0</v>
      </c>
      <c r="N46" s="227">
        <f>-'Table 5C1H-Southwest LA Charter'!AI49</f>
        <v>0</v>
      </c>
      <c r="O46" s="227">
        <f>-'Table 5C1I-LA Key Academy'!AI49</f>
        <v>0</v>
      </c>
      <c r="P46" s="227">
        <f>-'Table 5C1J-Jefferson Chamber'!AI49</f>
        <v>0</v>
      </c>
      <c r="Q46" s="227">
        <f>-'Table 5C1K-Tallulah Charter'!AI49</f>
        <v>0</v>
      </c>
      <c r="R46" s="227">
        <f>-'Table 5C1L-Northshore Charter'!AI49</f>
        <v>0</v>
      </c>
      <c r="S46" s="227">
        <f>-'Table 5C1M-B.R. Charter'!AI49</f>
        <v>0</v>
      </c>
      <c r="T46" s="227">
        <f>-'Table 5C1N-Delta Charter'!AI49</f>
        <v>0</v>
      </c>
      <c r="U46" s="227">
        <f>-'Table 5C1O-Impact'!AI49</f>
        <v>0</v>
      </c>
      <c r="V46" s="227">
        <f>-'Table 5C1P-Vision'!AI49</f>
        <v>0</v>
      </c>
      <c r="W46" s="227">
        <f>-'Table 5C1Q-Advantage'!AI49</f>
        <v>0</v>
      </c>
      <c r="X46" s="227">
        <f>-'Table 5C1R-Iberville'!AI49</f>
        <v>0</v>
      </c>
      <c r="Y46" s="227">
        <f>-'Table 5C1S-L.C. Coll Prep'!AI49</f>
        <v>0</v>
      </c>
      <c r="Z46" s="227">
        <f>-'Table 5C1T-Northeast'!AI49</f>
        <v>0</v>
      </c>
      <c r="AA46" s="227">
        <f>-'Table 5C1U-Acadiana Ren'!AI49</f>
        <v>0</v>
      </c>
      <c r="AB46" s="227">
        <f>-'Table 5C1V-Laf Ren'!AI49</f>
        <v>0</v>
      </c>
      <c r="AC46" s="227">
        <f>-'Table 5C1W-Willow'!AI49</f>
        <v>0</v>
      </c>
      <c r="AD46" s="227">
        <f>-'Table 5C2 - LA Virtual Admy'!AJ49</f>
        <v>-4557</v>
      </c>
      <c r="AE46" s="227">
        <f>-'Table 5C3 - LA Connections EBR'!AJ49</f>
        <v>-988</v>
      </c>
      <c r="AF46" s="227">
        <f t="shared" si="56"/>
        <v>-6077</v>
      </c>
      <c r="AG46" s="248">
        <f t="shared" si="57"/>
        <v>2148841</v>
      </c>
      <c r="AH46" s="227"/>
      <c r="AI46" s="227"/>
      <c r="AJ46" s="227"/>
      <c r="AK46" s="227">
        <f>'Table 5C1A-Madison Prep'!AO49</f>
        <v>0</v>
      </c>
      <c r="AL46" s="227">
        <f>'Table 5C1B-DArbonne'!AO49</f>
        <v>0</v>
      </c>
      <c r="AM46" s="227">
        <f>'Table 5C1C-Intl_VIBE'!AO49</f>
        <v>0</v>
      </c>
      <c r="AN46" s="227">
        <f>'Table 5C1D-NOMMA'!AO49</f>
        <v>0</v>
      </c>
      <c r="AO46" s="227">
        <f>'Table 5C1E-LFNO'!AO49</f>
        <v>0</v>
      </c>
      <c r="AP46" s="227">
        <f>'Table 5C1F-Lake Charles Charter'!AO49</f>
        <v>0</v>
      </c>
      <c r="AQ46" s="227">
        <f>'Table 5C1G-JS Clark Academy'!AO49</f>
        <v>0</v>
      </c>
      <c r="AR46" s="227">
        <f>'Table 5C1H-Southwest LA Charter'!AO49</f>
        <v>0</v>
      </c>
      <c r="AS46" s="227">
        <f>'Table 5C1I-LA Key Academy'!AO49</f>
        <v>0</v>
      </c>
      <c r="AT46" s="227">
        <f>'Table 5C1J-Jefferson Chamber'!AO49</f>
        <v>0</v>
      </c>
      <c r="AU46" s="227">
        <f>'Table 5C1K-Tallulah Charter'!AO49</f>
        <v>0</v>
      </c>
      <c r="AV46" s="227">
        <f>'Table 5C1L-Northshore Charter'!AO49</f>
        <v>0</v>
      </c>
      <c r="AW46" s="227">
        <f>'Table 5C1M-B.R. Charter'!AO49</f>
        <v>0</v>
      </c>
      <c r="AX46" s="227">
        <f>'Table 5C1N-Delta Charter'!AO49</f>
        <v>0</v>
      </c>
      <c r="AY46" s="227">
        <f>'Table 5C1O-Impact'!AO49</f>
        <v>0</v>
      </c>
      <c r="AZ46" s="227">
        <f>+'Table 5C1P-Vision'!AO49</f>
        <v>0</v>
      </c>
      <c r="BA46" s="227">
        <f>+'Table 5C1Q-Advantage'!AO49</f>
        <v>0</v>
      </c>
      <c r="BB46" s="227">
        <f>+'Table 5C1R-Iberville'!AO49</f>
        <v>0</v>
      </c>
      <c r="BC46" s="227">
        <f>+'Table 5C1S-L.C. Coll Prep'!AO49</f>
        <v>0</v>
      </c>
      <c r="BD46" s="227">
        <f>+'Table 5C1T-Northeast'!AO49</f>
        <v>0</v>
      </c>
      <c r="BE46" s="227">
        <f>+'Table 5C1U-Acadiana Ren'!AO49</f>
        <v>0</v>
      </c>
      <c r="BF46" s="227">
        <f>+'Table 5C1V-Laf Ren'!AO49</f>
        <v>0</v>
      </c>
      <c r="BG46" s="227">
        <f>+'Table 5C1W-Willow'!AO49</f>
        <v>0</v>
      </c>
      <c r="BH46" s="227">
        <f>'Table 5C2 - LA Virtual Admy'!AP49</f>
        <v>-21.65625</v>
      </c>
      <c r="BI46" s="227">
        <f>'Table 5C3 - LA Connections EBR'!AP49</f>
        <v>-9.242999999999995</v>
      </c>
      <c r="BJ46" s="248">
        <f t="shared" si="58"/>
        <v>2148810.1007500002</v>
      </c>
    </row>
    <row r="47" spans="1:62" ht="14.45" customHeight="1">
      <c r="A47" s="224">
        <v>44</v>
      </c>
      <c r="B47" s="225" t="s">
        <v>116</v>
      </c>
      <c r="C47" s="226">
        <f>'Table 2_State Distrib and Adjs'!AL50</f>
        <v>3561284</v>
      </c>
      <c r="D47" s="227">
        <f>-'Table 5A3_OJJ'!W49</f>
        <v>-140</v>
      </c>
      <c r="E47" s="227"/>
      <c r="F47" s="227"/>
      <c r="G47" s="227">
        <f>-'Table 5C1A-Madison Prep'!AI50</f>
        <v>0</v>
      </c>
      <c r="H47" s="227">
        <f>-'Table 5C1B-DArbonne'!AI50</f>
        <v>0</v>
      </c>
      <c r="I47" s="227">
        <f>-'Table 5C1C-Intl_VIBE'!AI50</f>
        <v>-1895</v>
      </c>
      <c r="J47" s="227">
        <f>-'Table 5C1D-NOMMA'!AI50</f>
        <v>-208</v>
      </c>
      <c r="K47" s="227">
        <f>-'Table 5C1E-LFNO'!AI50</f>
        <v>-1106</v>
      </c>
      <c r="L47" s="227">
        <f>-'Table 5C1F-Lake Charles Charter'!AI50</f>
        <v>0</v>
      </c>
      <c r="M47" s="227">
        <f>-'Table 5C1G-JS Clark Academy'!AI50</f>
        <v>0</v>
      </c>
      <c r="N47" s="227">
        <f>-'Table 5C1H-Southwest LA Charter'!AI50</f>
        <v>0</v>
      </c>
      <c r="O47" s="227">
        <f>-'Table 5C1I-LA Key Academy'!AI50</f>
        <v>0</v>
      </c>
      <c r="P47" s="227">
        <f>-'Table 5C1J-Jefferson Chamber'!AI50</f>
        <v>0</v>
      </c>
      <c r="Q47" s="227">
        <f>-'Table 5C1K-Tallulah Charter'!AI50</f>
        <v>0</v>
      </c>
      <c r="R47" s="227">
        <f>-'Table 5C1L-Northshore Charter'!AI50</f>
        <v>0</v>
      </c>
      <c r="S47" s="227">
        <f>-'Table 5C1M-B.R. Charter'!AI50</f>
        <v>0</v>
      </c>
      <c r="T47" s="227">
        <f>-'Table 5C1N-Delta Charter'!AI50</f>
        <v>0</v>
      </c>
      <c r="U47" s="227">
        <f>-'Table 5C1O-Impact'!AI50</f>
        <v>0</v>
      </c>
      <c r="V47" s="227">
        <f>-'Table 5C1P-Vision'!AI50</f>
        <v>0</v>
      </c>
      <c r="W47" s="227">
        <f>-'Table 5C1Q-Advantage'!AI50</f>
        <v>0</v>
      </c>
      <c r="X47" s="227">
        <f>-'Table 5C1R-Iberville'!AI50</f>
        <v>0</v>
      </c>
      <c r="Y47" s="227">
        <f>-'Table 5C1S-L.C. Coll Prep'!AI50</f>
        <v>0</v>
      </c>
      <c r="Z47" s="227">
        <f>-'Table 5C1T-Northeast'!AI50</f>
        <v>0</v>
      </c>
      <c r="AA47" s="227">
        <f>-'Table 5C1U-Acadiana Ren'!AI50</f>
        <v>0</v>
      </c>
      <c r="AB47" s="227">
        <f>-'Table 5C1V-Laf Ren'!AI50</f>
        <v>0</v>
      </c>
      <c r="AC47" s="227">
        <f>-'Table 5C1W-Willow'!AI50</f>
        <v>0</v>
      </c>
      <c r="AD47" s="227">
        <f>-'Table 5C2 - LA Virtual Admy'!AJ50</f>
        <v>-8002</v>
      </c>
      <c r="AE47" s="227">
        <f>-'Table 5C3 - LA Connections EBR'!AJ50</f>
        <v>-3172</v>
      </c>
      <c r="AF47" s="227">
        <f t="shared" si="56"/>
        <v>-14523</v>
      </c>
      <c r="AG47" s="248">
        <f t="shared" si="57"/>
        <v>3546761</v>
      </c>
      <c r="AH47" s="227"/>
      <c r="AI47" s="227"/>
      <c r="AJ47" s="227"/>
      <c r="AK47" s="227">
        <f>'Table 5C1A-Madison Prep'!AO50</f>
        <v>0</v>
      </c>
      <c r="AL47" s="227">
        <f>'Table 5C1B-DArbonne'!AO50</f>
        <v>0</v>
      </c>
      <c r="AM47" s="227">
        <f>'Table 5C1C-Intl_VIBE'!AO50</f>
        <v>-12.791250000000002</v>
      </c>
      <c r="AN47" s="227">
        <f>'Table 5C1D-NOMMA'!AO50</f>
        <v>0.33000000000000007</v>
      </c>
      <c r="AO47" s="227">
        <f>'Table 5C1E-LFNO'!AO50</f>
        <v>1.3200000000000003</v>
      </c>
      <c r="AP47" s="227">
        <f>'Table 5C1F-Lake Charles Charter'!AO50</f>
        <v>0</v>
      </c>
      <c r="AQ47" s="227">
        <f>'Table 5C1G-JS Clark Academy'!AO50</f>
        <v>0</v>
      </c>
      <c r="AR47" s="227">
        <f>'Table 5C1H-Southwest LA Charter'!AO50</f>
        <v>0</v>
      </c>
      <c r="AS47" s="227">
        <f>'Table 5C1I-LA Key Academy'!AO50</f>
        <v>0</v>
      </c>
      <c r="AT47" s="227">
        <f>'Table 5C1J-Jefferson Chamber'!AO50</f>
        <v>0</v>
      </c>
      <c r="AU47" s="227">
        <f>'Table 5C1K-Tallulah Charter'!AO50</f>
        <v>0</v>
      </c>
      <c r="AV47" s="227">
        <f>'Table 5C1L-Northshore Charter'!AO50</f>
        <v>0</v>
      </c>
      <c r="AW47" s="227">
        <f>'Table 5C1M-B.R. Charter'!AO50</f>
        <v>0</v>
      </c>
      <c r="AX47" s="227">
        <f>'Table 5C1N-Delta Charter'!AO50</f>
        <v>0</v>
      </c>
      <c r="AY47" s="227">
        <f>'Table 5C1O-Impact'!AO50</f>
        <v>0</v>
      </c>
      <c r="AZ47" s="227">
        <f>+'Table 5C1P-Vision'!AO50</f>
        <v>0</v>
      </c>
      <c r="BA47" s="227">
        <f>+'Table 5C1Q-Advantage'!AO50</f>
        <v>0</v>
      </c>
      <c r="BB47" s="227">
        <f>+'Table 5C1R-Iberville'!AO50</f>
        <v>0</v>
      </c>
      <c r="BC47" s="227">
        <f>+'Table 5C1S-L.C. Coll Prep'!AO50</f>
        <v>0</v>
      </c>
      <c r="BD47" s="227">
        <f>+'Table 5C1T-Northeast'!AO50</f>
        <v>0</v>
      </c>
      <c r="BE47" s="227">
        <f>+'Table 5C1U-Acadiana Ren'!AO50</f>
        <v>0</v>
      </c>
      <c r="BF47" s="227">
        <f>+'Table 5C1V-Laf Ren'!AO50</f>
        <v>0</v>
      </c>
      <c r="BG47" s="227">
        <f>+'Table 5C1W-Willow'!AO50</f>
        <v>0</v>
      </c>
      <c r="BH47" s="227">
        <f>'Table 5C2 - LA Virtual Admy'!AP50</f>
        <v>-35.601750000000038</v>
      </c>
      <c r="BI47" s="227">
        <f>'Table 5C3 - LA Connections EBR'!AP50</f>
        <v>-42.607125000000018</v>
      </c>
      <c r="BJ47" s="248">
        <f t="shared" si="58"/>
        <v>3546671.6498750001</v>
      </c>
    </row>
    <row r="48" spans="1:62" ht="14.45" customHeight="1">
      <c r="A48" s="3">
        <v>45</v>
      </c>
      <c r="B48" s="7" t="s">
        <v>117</v>
      </c>
      <c r="C48" s="9">
        <f>'Table 2_State Distrib and Adjs'!AL51</f>
        <v>2229073</v>
      </c>
      <c r="D48" s="10">
        <f>-'Table 5A3_OJJ'!W50</f>
        <v>-489</v>
      </c>
      <c r="E48" s="10"/>
      <c r="F48" s="10"/>
      <c r="G48" s="10">
        <f>-'Table 5C1A-Madison Prep'!AI51</f>
        <v>0</v>
      </c>
      <c r="H48" s="10">
        <f>-'Table 5C1B-DArbonne'!AI51</f>
        <v>0</v>
      </c>
      <c r="I48" s="10">
        <f>-'Table 5C1C-Intl_VIBE'!AI51</f>
        <v>0</v>
      </c>
      <c r="J48" s="10">
        <f>-'Table 5C1D-NOMMA'!AI51</f>
        <v>0</v>
      </c>
      <c r="K48" s="10">
        <f>-'Table 5C1E-LFNO'!AI51</f>
        <v>-4195</v>
      </c>
      <c r="L48" s="10">
        <f>-'Table 5C1F-Lake Charles Charter'!AI51</f>
        <v>0</v>
      </c>
      <c r="M48" s="10">
        <f>-'Table 5C1G-JS Clark Academy'!AI51</f>
        <v>0</v>
      </c>
      <c r="N48" s="10">
        <f>-'Table 5C1H-Southwest LA Charter'!AI51</f>
        <v>0</v>
      </c>
      <c r="O48" s="10">
        <f>-'Table 5C1I-LA Key Academy'!AI51</f>
        <v>0</v>
      </c>
      <c r="P48" s="10">
        <f>-'Table 5C1J-Jefferson Chamber'!AI51</f>
        <v>-1002</v>
      </c>
      <c r="Q48" s="10">
        <f>-'Table 5C1K-Tallulah Charter'!AI51</f>
        <v>0</v>
      </c>
      <c r="R48" s="10">
        <f>-'Table 5C1L-Northshore Charter'!AI51</f>
        <v>0</v>
      </c>
      <c r="S48" s="10">
        <f>-'Table 5C1M-B.R. Charter'!AI51</f>
        <v>0</v>
      </c>
      <c r="T48" s="10">
        <f>-'Table 5C1N-Delta Charter'!AI51</f>
        <v>0</v>
      </c>
      <c r="U48" s="10">
        <f>-'Table 5C1O-Impact'!AI51</f>
        <v>0</v>
      </c>
      <c r="V48" s="10">
        <f>-'Table 5C1P-Vision'!AI51</f>
        <v>0</v>
      </c>
      <c r="W48" s="10">
        <f>-'Table 5C1Q-Advantage'!AI51</f>
        <v>0</v>
      </c>
      <c r="X48" s="10">
        <f>-'Table 5C1R-Iberville'!AI51</f>
        <v>0</v>
      </c>
      <c r="Y48" s="10">
        <f>-'Table 5C1S-L.C. Coll Prep'!AI51</f>
        <v>0</v>
      </c>
      <c r="Z48" s="10">
        <f>-'Table 5C1T-Northeast'!AI51</f>
        <v>0</v>
      </c>
      <c r="AA48" s="10">
        <f>-'Table 5C1U-Acadiana Ren'!AI51</f>
        <v>0</v>
      </c>
      <c r="AB48" s="10">
        <f>-'Table 5C1V-Laf Ren'!AI51</f>
        <v>0</v>
      </c>
      <c r="AC48" s="10">
        <f>-'Table 5C1W-Willow'!AI51</f>
        <v>0</v>
      </c>
      <c r="AD48" s="10">
        <f>-'Table 5C2 - LA Virtual Admy'!AJ51</f>
        <v>-8567</v>
      </c>
      <c r="AE48" s="10">
        <f>-'Table 5C3 - LA Connections EBR'!AJ51</f>
        <v>-19992</v>
      </c>
      <c r="AF48" s="10">
        <f t="shared" si="56"/>
        <v>-34245</v>
      </c>
      <c r="AG48" s="15">
        <f t="shared" si="57"/>
        <v>2194828</v>
      </c>
      <c r="AH48" s="10"/>
      <c r="AI48" s="10"/>
      <c r="AJ48" s="10"/>
      <c r="AK48" s="10">
        <f>'Table 5C1A-Madison Prep'!AO51</f>
        <v>0</v>
      </c>
      <c r="AL48" s="10">
        <f>'Table 5C1B-DArbonne'!AO51</f>
        <v>0</v>
      </c>
      <c r="AM48" s="10">
        <f>'Table 5C1C-Intl_VIBE'!AO51</f>
        <v>0</v>
      </c>
      <c r="AN48" s="10">
        <f>'Table 5C1D-NOMMA'!AO51</f>
        <v>0</v>
      </c>
      <c r="AO48" s="10">
        <f>'Table 5C1E-LFNO'!AO51</f>
        <v>-60.495000000000005</v>
      </c>
      <c r="AP48" s="10">
        <f>'Table 5C1F-Lake Charles Charter'!AO51</f>
        <v>0</v>
      </c>
      <c r="AQ48" s="10">
        <f>'Table 5C1G-JS Clark Academy'!AO51</f>
        <v>0</v>
      </c>
      <c r="AR48" s="10">
        <f>'Table 5C1H-Southwest LA Charter'!AO51</f>
        <v>0</v>
      </c>
      <c r="AS48" s="10">
        <f>'Table 5C1I-LA Key Academy'!AO51</f>
        <v>0</v>
      </c>
      <c r="AT48" s="10">
        <f>'Table 5C1J-Jefferson Chamber'!AO51</f>
        <v>8.7499999999998579E-2</v>
      </c>
      <c r="AU48" s="10">
        <f>'Table 5C1K-Tallulah Charter'!AO51</f>
        <v>0</v>
      </c>
      <c r="AV48" s="10">
        <f>'Table 5C1L-Northshore Charter'!AO51</f>
        <v>0</v>
      </c>
      <c r="AW48" s="10">
        <f>'Table 5C1M-B.R. Charter'!AO51</f>
        <v>0</v>
      </c>
      <c r="AX48" s="10">
        <f>'Table 5C1N-Delta Charter'!AO51</f>
        <v>0</v>
      </c>
      <c r="AY48" s="10">
        <f>'Table 5C1O-Impact'!AO51</f>
        <v>0</v>
      </c>
      <c r="AZ48" s="10">
        <f>+'Table 5C1P-Vision'!AO51</f>
        <v>0</v>
      </c>
      <c r="BA48" s="10">
        <f>+'Table 5C1Q-Advantage'!AO51</f>
        <v>0</v>
      </c>
      <c r="BB48" s="10">
        <f>+'Table 5C1R-Iberville'!AO51</f>
        <v>0</v>
      </c>
      <c r="BC48" s="10">
        <f>+'Table 5C1S-L.C. Coll Prep'!AO51</f>
        <v>0</v>
      </c>
      <c r="BD48" s="10">
        <f>+'Table 5C1T-Northeast'!AO51</f>
        <v>0</v>
      </c>
      <c r="BE48" s="10">
        <f>+'Table 5C1U-Acadiana Ren'!AO51</f>
        <v>0</v>
      </c>
      <c r="BF48" s="10">
        <f>+'Table 5C1V-Laf Ren'!AO51</f>
        <v>0</v>
      </c>
      <c r="BG48" s="10">
        <f>+'Table 5C1W-Willow'!AO51</f>
        <v>0</v>
      </c>
      <c r="BH48" s="10">
        <f>'Table 5C2 - LA Virtual Admy'!AP51</f>
        <v>14.516999999999996</v>
      </c>
      <c r="BI48" s="10">
        <f>'Table 5C3 - LA Connections EBR'!AP51</f>
        <v>-203.73750000000007</v>
      </c>
      <c r="BJ48" s="15">
        <f t="shared" si="58"/>
        <v>2194578.372</v>
      </c>
    </row>
    <row r="49" spans="1:62" ht="14.45" customHeight="1">
      <c r="A49" s="224">
        <v>46</v>
      </c>
      <c r="B49" s="225" t="s">
        <v>118</v>
      </c>
      <c r="C49" s="226">
        <f>'Table 2_State Distrib and Adjs'!AL52</f>
        <v>635723</v>
      </c>
      <c r="D49" s="227">
        <f>-'Table 5A3_OJJ'!W51</f>
        <v>0</v>
      </c>
      <c r="E49" s="227"/>
      <c r="F49" s="227"/>
      <c r="G49" s="227">
        <f>-'Table 5C1A-Madison Prep'!AI52</f>
        <v>0</v>
      </c>
      <c r="H49" s="227">
        <f>-'Table 5C1B-DArbonne'!AI52</f>
        <v>0</v>
      </c>
      <c r="I49" s="227">
        <f>-'Table 5C1C-Intl_VIBE'!AI52</f>
        <v>0</v>
      </c>
      <c r="J49" s="227">
        <f>-'Table 5C1D-NOMMA'!AI52</f>
        <v>0</v>
      </c>
      <c r="K49" s="227">
        <f>-'Table 5C1E-LFNO'!AI52</f>
        <v>0</v>
      </c>
      <c r="L49" s="227">
        <f>-'Table 5C1F-Lake Charles Charter'!AI52</f>
        <v>0</v>
      </c>
      <c r="M49" s="227">
        <f>-'Table 5C1G-JS Clark Academy'!AI52</f>
        <v>0</v>
      </c>
      <c r="N49" s="227">
        <f>-'Table 5C1H-Southwest LA Charter'!AI52</f>
        <v>0</v>
      </c>
      <c r="O49" s="227">
        <f>-'Table 5C1I-LA Key Academy'!AI52</f>
        <v>0</v>
      </c>
      <c r="P49" s="227">
        <f>-'Table 5C1J-Jefferson Chamber'!AI52</f>
        <v>0</v>
      </c>
      <c r="Q49" s="227">
        <f>-'Table 5C1K-Tallulah Charter'!AI52</f>
        <v>0</v>
      </c>
      <c r="R49" s="227">
        <f>-'Table 5C1L-Northshore Charter'!AI52</f>
        <v>0</v>
      </c>
      <c r="S49" s="227">
        <f>-'Table 5C1M-B.R. Charter'!AI52</f>
        <v>0</v>
      </c>
      <c r="T49" s="227">
        <f>-'Table 5C1N-Delta Charter'!AI52</f>
        <v>0</v>
      </c>
      <c r="U49" s="227">
        <f>-'Table 5C1O-Impact'!AI52</f>
        <v>0</v>
      </c>
      <c r="V49" s="227">
        <f>-'Table 5C1P-Vision'!AI52</f>
        <v>0</v>
      </c>
      <c r="W49" s="227">
        <f>-'Table 5C1Q-Advantage'!AI52</f>
        <v>0</v>
      </c>
      <c r="X49" s="227">
        <f>-'Table 5C1R-Iberville'!AI52</f>
        <v>0</v>
      </c>
      <c r="Y49" s="227">
        <f>-'Table 5C1S-L.C. Coll Prep'!AI52</f>
        <v>0</v>
      </c>
      <c r="Z49" s="227">
        <f>-'Table 5C1T-Northeast'!AI52</f>
        <v>0</v>
      </c>
      <c r="AA49" s="227">
        <f>-'Table 5C1U-Acadiana Ren'!AI52</f>
        <v>0</v>
      </c>
      <c r="AB49" s="227">
        <f>-'Table 5C1V-Laf Ren'!AI52</f>
        <v>0</v>
      </c>
      <c r="AC49" s="227">
        <f>-'Table 5C1W-Willow'!AI52</f>
        <v>0</v>
      </c>
      <c r="AD49" s="227">
        <f>-'Table 5C2 - LA Virtual Admy'!AJ52</f>
        <v>-1051</v>
      </c>
      <c r="AE49" s="227">
        <f>-'Table 5C3 - LA Connections EBR'!AJ52</f>
        <v>-3117</v>
      </c>
      <c r="AF49" s="227">
        <f t="shared" si="56"/>
        <v>-4168</v>
      </c>
      <c r="AG49" s="248">
        <f t="shared" si="57"/>
        <v>631555</v>
      </c>
      <c r="AH49" s="227"/>
      <c r="AI49" s="227"/>
      <c r="AJ49" s="227"/>
      <c r="AK49" s="227">
        <f>'Table 5C1A-Madison Prep'!AO52</f>
        <v>0</v>
      </c>
      <c r="AL49" s="227">
        <f>'Table 5C1B-DArbonne'!AO52</f>
        <v>0</v>
      </c>
      <c r="AM49" s="227">
        <f>'Table 5C1C-Intl_VIBE'!AO52</f>
        <v>0</v>
      </c>
      <c r="AN49" s="227">
        <f>'Table 5C1D-NOMMA'!AO52</f>
        <v>0</v>
      </c>
      <c r="AO49" s="227">
        <f>'Table 5C1E-LFNO'!AO52</f>
        <v>0</v>
      </c>
      <c r="AP49" s="227">
        <f>'Table 5C1F-Lake Charles Charter'!AO52</f>
        <v>0</v>
      </c>
      <c r="AQ49" s="227">
        <f>'Table 5C1G-JS Clark Academy'!AO52</f>
        <v>0</v>
      </c>
      <c r="AR49" s="227">
        <f>'Table 5C1H-Southwest LA Charter'!AO52</f>
        <v>0</v>
      </c>
      <c r="AS49" s="227">
        <f>'Table 5C1I-LA Key Academy'!AO52</f>
        <v>0</v>
      </c>
      <c r="AT49" s="227">
        <f>'Table 5C1J-Jefferson Chamber'!AO52</f>
        <v>0</v>
      </c>
      <c r="AU49" s="227">
        <f>'Table 5C1K-Tallulah Charter'!AO52</f>
        <v>0</v>
      </c>
      <c r="AV49" s="227">
        <f>'Table 5C1L-Northshore Charter'!AO52</f>
        <v>0</v>
      </c>
      <c r="AW49" s="227">
        <f>'Table 5C1M-B.R. Charter'!AO52</f>
        <v>0</v>
      </c>
      <c r="AX49" s="227">
        <f>'Table 5C1N-Delta Charter'!AO52</f>
        <v>0</v>
      </c>
      <c r="AY49" s="227">
        <f>'Table 5C1O-Impact'!AO52</f>
        <v>0</v>
      </c>
      <c r="AZ49" s="227">
        <f>+'Table 5C1P-Vision'!AO52</f>
        <v>0</v>
      </c>
      <c r="BA49" s="227">
        <f>+'Table 5C1Q-Advantage'!AO52</f>
        <v>0</v>
      </c>
      <c r="BB49" s="227">
        <f>+'Table 5C1R-Iberville'!AO52</f>
        <v>0</v>
      </c>
      <c r="BC49" s="227">
        <f>+'Table 5C1S-L.C. Coll Prep'!AO52</f>
        <v>0</v>
      </c>
      <c r="BD49" s="227">
        <f>+'Table 5C1T-Northeast'!AO52</f>
        <v>0</v>
      </c>
      <c r="BE49" s="227">
        <f>+'Table 5C1U-Acadiana Ren'!AO52</f>
        <v>0</v>
      </c>
      <c r="BF49" s="227">
        <f>+'Table 5C1V-Laf Ren'!AO52</f>
        <v>0</v>
      </c>
      <c r="BG49" s="227">
        <f>+'Table 5C1W-Willow'!AO52</f>
        <v>0</v>
      </c>
      <c r="BH49" s="227">
        <f>'Table 5C2 - LA Virtual Admy'!AP52</f>
        <v>5.7352500000000006</v>
      </c>
      <c r="BI49" s="227">
        <f>'Table 5C3 - LA Connections EBR'!AP52</f>
        <v>-26.585999999999999</v>
      </c>
      <c r="BJ49" s="248">
        <f t="shared" si="58"/>
        <v>631534.14925000002</v>
      </c>
    </row>
    <row r="50" spans="1:62" ht="14.45" customHeight="1">
      <c r="A50" s="224">
        <v>47</v>
      </c>
      <c r="B50" s="225" t="s">
        <v>119</v>
      </c>
      <c r="C50" s="226">
        <f>'Table 2_State Distrib and Adjs'!AL53</f>
        <v>1056890</v>
      </c>
      <c r="D50" s="227">
        <f>-'Table 5A3_OJJ'!W52</f>
        <v>-69</v>
      </c>
      <c r="E50" s="227"/>
      <c r="F50" s="227"/>
      <c r="G50" s="227">
        <f>-'Table 5C1A-Madison Prep'!AI53</f>
        <v>0</v>
      </c>
      <c r="H50" s="227">
        <f>-'Table 5C1B-DArbonne'!AI53</f>
        <v>0</v>
      </c>
      <c r="I50" s="227">
        <f>-'Table 5C1C-Intl_VIBE'!AI53</f>
        <v>0</v>
      </c>
      <c r="J50" s="227">
        <f>-'Table 5C1D-NOMMA'!AI53</f>
        <v>0</v>
      </c>
      <c r="K50" s="227">
        <f>-'Table 5C1E-LFNO'!AI53</f>
        <v>0</v>
      </c>
      <c r="L50" s="227">
        <f>-'Table 5C1F-Lake Charles Charter'!AI53</f>
        <v>0</v>
      </c>
      <c r="M50" s="227">
        <f>-'Table 5C1G-JS Clark Academy'!AI53</f>
        <v>0</v>
      </c>
      <c r="N50" s="227">
        <f>-'Table 5C1H-Southwest LA Charter'!AI53</f>
        <v>0</v>
      </c>
      <c r="O50" s="227">
        <f>-'Table 5C1I-LA Key Academy'!AI53</f>
        <v>0</v>
      </c>
      <c r="P50" s="227">
        <f>-'Table 5C1J-Jefferson Chamber'!AI53</f>
        <v>0</v>
      </c>
      <c r="Q50" s="227">
        <f>-'Table 5C1K-Tallulah Charter'!AI53</f>
        <v>0</v>
      </c>
      <c r="R50" s="227">
        <f>-'Table 5C1L-Northshore Charter'!AI53</f>
        <v>0</v>
      </c>
      <c r="S50" s="227">
        <f>-'Table 5C1M-B.R. Charter'!AI53</f>
        <v>0</v>
      </c>
      <c r="T50" s="227">
        <f>-'Table 5C1N-Delta Charter'!AI53</f>
        <v>0</v>
      </c>
      <c r="U50" s="227">
        <f>-'Table 5C1O-Impact'!AI53</f>
        <v>0</v>
      </c>
      <c r="V50" s="227">
        <f>-'Table 5C1P-Vision'!AI53</f>
        <v>0</v>
      </c>
      <c r="W50" s="227">
        <f>-'Table 5C1Q-Advantage'!AI53</f>
        <v>0</v>
      </c>
      <c r="X50" s="227">
        <f>-'Table 5C1R-Iberville'!AI53</f>
        <v>0</v>
      </c>
      <c r="Y50" s="227">
        <f>-'Table 5C1S-L.C. Coll Prep'!AI53</f>
        <v>0</v>
      </c>
      <c r="Z50" s="227">
        <f>-'Table 5C1T-Northeast'!AI53</f>
        <v>0</v>
      </c>
      <c r="AA50" s="227">
        <f>-'Table 5C1U-Acadiana Ren'!AI53</f>
        <v>0</v>
      </c>
      <c r="AB50" s="227">
        <f>-'Table 5C1V-Laf Ren'!AI53</f>
        <v>0</v>
      </c>
      <c r="AC50" s="227">
        <f>-'Table 5C1W-Willow'!AI53</f>
        <v>0</v>
      </c>
      <c r="AD50" s="227">
        <f>-'Table 5C2 - LA Virtual Admy'!AJ53</f>
        <v>-1663</v>
      </c>
      <c r="AE50" s="227">
        <f>-'Table 5C3 - LA Connections EBR'!AJ53</f>
        <v>1408</v>
      </c>
      <c r="AF50" s="227">
        <f t="shared" si="56"/>
        <v>-324</v>
      </c>
      <c r="AG50" s="248">
        <f t="shared" si="57"/>
        <v>1056566</v>
      </c>
      <c r="AH50" s="227"/>
      <c r="AI50" s="227"/>
      <c r="AJ50" s="227"/>
      <c r="AK50" s="227">
        <f>'Table 5C1A-Madison Prep'!AO53</f>
        <v>0</v>
      </c>
      <c r="AL50" s="227">
        <f>'Table 5C1B-DArbonne'!AO53</f>
        <v>0</v>
      </c>
      <c r="AM50" s="227">
        <f>'Table 5C1C-Intl_VIBE'!AO53</f>
        <v>0</v>
      </c>
      <c r="AN50" s="227">
        <f>'Table 5C1D-NOMMA'!AO53</f>
        <v>0</v>
      </c>
      <c r="AO50" s="227">
        <f>'Table 5C1E-LFNO'!AO53</f>
        <v>0</v>
      </c>
      <c r="AP50" s="227">
        <f>'Table 5C1F-Lake Charles Charter'!AO53</f>
        <v>0</v>
      </c>
      <c r="AQ50" s="227">
        <f>'Table 5C1G-JS Clark Academy'!AO53</f>
        <v>0</v>
      </c>
      <c r="AR50" s="227">
        <f>'Table 5C1H-Southwest LA Charter'!AO53</f>
        <v>0</v>
      </c>
      <c r="AS50" s="227">
        <f>'Table 5C1I-LA Key Academy'!AO53</f>
        <v>0</v>
      </c>
      <c r="AT50" s="227">
        <f>'Table 5C1J-Jefferson Chamber'!AO53</f>
        <v>0</v>
      </c>
      <c r="AU50" s="227">
        <f>'Table 5C1K-Tallulah Charter'!AO53</f>
        <v>0</v>
      </c>
      <c r="AV50" s="227">
        <f>'Table 5C1L-Northshore Charter'!AO53</f>
        <v>0</v>
      </c>
      <c r="AW50" s="227">
        <f>'Table 5C1M-B.R. Charter'!AO53</f>
        <v>0</v>
      </c>
      <c r="AX50" s="227">
        <f>'Table 5C1N-Delta Charter'!AO53</f>
        <v>0</v>
      </c>
      <c r="AY50" s="227">
        <f>'Table 5C1O-Impact'!AO53</f>
        <v>0</v>
      </c>
      <c r="AZ50" s="227">
        <f>+'Table 5C1P-Vision'!AO53</f>
        <v>0</v>
      </c>
      <c r="BA50" s="227">
        <f>+'Table 5C1Q-Advantage'!AO53</f>
        <v>0</v>
      </c>
      <c r="BB50" s="227">
        <f>+'Table 5C1R-Iberville'!AO53</f>
        <v>0</v>
      </c>
      <c r="BC50" s="227">
        <f>+'Table 5C1S-L.C. Coll Prep'!AO53</f>
        <v>0</v>
      </c>
      <c r="BD50" s="227">
        <f>+'Table 5C1T-Northeast'!AO53</f>
        <v>0</v>
      </c>
      <c r="BE50" s="227">
        <f>+'Table 5C1U-Acadiana Ren'!AO53</f>
        <v>0</v>
      </c>
      <c r="BF50" s="227">
        <f>+'Table 5C1V-Laf Ren'!AO53</f>
        <v>0</v>
      </c>
      <c r="BG50" s="227">
        <f>+'Table 5C1W-Willow'!AO53</f>
        <v>0</v>
      </c>
      <c r="BH50" s="227">
        <f>'Table 5C2 - LA Virtual Admy'!AP53</f>
        <v>0.87749999999999773</v>
      </c>
      <c r="BI50" s="227">
        <f>'Table 5C3 - LA Connections EBR'!AP53</f>
        <v>-25.449750000000002</v>
      </c>
      <c r="BJ50" s="248">
        <f t="shared" si="58"/>
        <v>1056541.42775</v>
      </c>
    </row>
    <row r="51" spans="1:62" ht="14.45" customHeight="1">
      <c r="A51" s="224">
        <v>48</v>
      </c>
      <c r="B51" s="225" t="s">
        <v>144</v>
      </c>
      <c r="C51" s="226">
        <f>'Table 2_State Distrib and Adjs'!AL54</f>
        <v>2273141</v>
      </c>
      <c r="D51" s="227">
        <f>-'Table 5A3_OJJ'!W53</f>
        <v>-763</v>
      </c>
      <c r="E51" s="227"/>
      <c r="F51" s="227"/>
      <c r="G51" s="227">
        <f>-'Table 5C1A-Madison Prep'!AI54</f>
        <v>0</v>
      </c>
      <c r="H51" s="227">
        <f>-'Table 5C1B-DArbonne'!AI54</f>
        <v>0</v>
      </c>
      <c r="I51" s="227">
        <f>-'Table 5C1C-Intl_VIBE'!AI54</f>
        <v>2440</v>
      </c>
      <c r="J51" s="227">
        <f>-'Table 5C1D-NOMMA'!AI54</f>
        <v>0</v>
      </c>
      <c r="K51" s="227">
        <f>-'Table 5C1E-LFNO'!AI54</f>
        <v>-539</v>
      </c>
      <c r="L51" s="227">
        <f>-'Table 5C1F-Lake Charles Charter'!AI54</f>
        <v>0</v>
      </c>
      <c r="M51" s="227">
        <f>-'Table 5C1G-JS Clark Academy'!AI54</f>
        <v>0</v>
      </c>
      <c r="N51" s="227">
        <f>-'Table 5C1H-Southwest LA Charter'!AI54</f>
        <v>0</v>
      </c>
      <c r="O51" s="227">
        <f>-'Table 5C1I-LA Key Academy'!AI54</f>
        <v>0</v>
      </c>
      <c r="P51" s="227">
        <f>-'Table 5C1J-Jefferson Chamber'!AI54</f>
        <v>-2185</v>
      </c>
      <c r="Q51" s="227">
        <f>-'Table 5C1K-Tallulah Charter'!AI54</f>
        <v>0</v>
      </c>
      <c r="R51" s="227">
        <f>-'Table 5C1L-Northshore Charter'!AI54</f>
        <v>0</v>
      </c>
      <c r="S51" s="227">
        <f>-'Table 5C1M-B.R. Charter'!AI54</f>
        <v>0</v>
      </c>
      <c r="T51" s="227">
        <f>-'Table 5C1N-Delta Charter'!AI54</f>
        <v>0</v>
      </c>
      <c r="U51" s="227">
        <f>-'Table 5C1O-Impact'!AI54</f>
        <v>0</v>
      </c>
      <c r="V51" s="227">
        <f>-'Table 5C1P-Vision'!AI54</f>
        <v>0</v>
      </c>
      <c r="W51" s="227">
        <f>-'Table 5C1Q-Advantage'!AI54</f>
        <v>0</v>
      </c>
      <c r="X51" s="227">
        <f>-'Table 5C1R-Iberville'!AI54</f>
        <v>0</v>
      </c>
      <c r="Y51" s="227">
        <f>-'Table 5C1S-L.C. Coll Prep'!AI54</f>
        <v>0</v>
      </c>
      <c r="Z51" s="227">
        <f>-'Table 5C1T-Northeast'!AI54</f>
        <v>0</v>
      </c>
      <c r="AA51" s="227">
        <f>-'Table 5C1U-Acadiana Ren'!AI54</f>
        <v>0</v>
      </c>
      <c r="AB51" s="227">
        <f>-'Table 5C1V-Laf Ren'!AI54</f>
        <v>0</v>
      </c>
      <c r="AC51" s="227">
        <f>-'Table 5C1W-Willow'!AI54</f>
        <v>0</v>
      </c>
      <c r="AD51" s="227">
        <f>-'Table 5C2 - LA Virtual Admy'!AJ54</f>
        <v>-8560</v>
      </c>
      <c r="AE51" s="227">
        <f>-'Table 5C3 - LA Connections EBR'!AJ54</f>
        <v>-13510</v>
      </c>
      <c r="AF51" s="227">
        <f t="shared" si="56"/>
        <v>-23117</v>
      </c>
      <c r="AG51" s="248">
        <f t="shared" si="57"/>
        <v>2250024</v>
      </c>
      <c r="AH51" s="227"/>
      <c r="AI51" s="227"/>
      <c r="AJ51" s="227"/>
      <c r="AK51" s="227">
        <f>'Table 5C1A-Madison Prep'!AO54</f>
        <v>0</v>
      </c>
      <c r="AL51" s="227">
        <f>'Table 5C1B-DArbonne'!AO54</f>
        <v>0</v>
      </c>
      <c r="AM51" s="227">
        <f>'Table 5C1C-Intl_VIBE'!AO54</f>
        <v>36.69</v>
      </c>
      <c r="AN51" s="227">
        <f>'Table 5C1D-NOMMA'!AO54</f>
        <v>0</v>
      </c>
      <c r="AO51" s="227">
        <f>'Table 5C1E-LFNO'!AO54</f>
        <v>-17.067499999999999</v>
      </c>
      <c r="AP51" s="227">
        <f>'Table 5C1F-Lake Charles Charter'!AO54</f>
        <v>0</v>
      </c>
      <c r="AQ51" s="227">
        <f>'Table 5C1G-JS Clark Academy'!AO54</f>
        <v>0</v>
      </c>
      <c r="AR51" s="227">
        <f>'Table 5C1H-Southwest LA Charter'!AO54</f>
        <v>0</v>
      </c>
      <c r="AS51" s="227">
        <f>'Table 5C1I-LA Key Academy'!AO54</f>
        <v>0</v>
      </c>
      <c r="AT51" s="227">
        <f>'Table 5C1J-Jefferson Chamber'!AO54</f>
        <v>-15.79</v>
      </c>
      <c r="AU51" s="227">
        <f>'Table 5C1K-Tallulah Charter'!AO54</f>
        <v>0</v>
      </c>
      <c r="AV51" s="227">
        <f>'Table 5C1L-Northshore Charter'!AO54</f>
        <v>0</v>
      </c>
      <c r="AW51" s="227">
        <f>'Table 5C1M-B.R. Charter'!AO54</f>
        <v>0</v>
      </c>
      <c r="AX51" s="227">
        <f>'Table 5C1N-Delta Charter'!AO54</f>
        <v>0</v>
      </c>
      <c r="AY51" s="227">
        <f>'Table 5C1O-Impact'!AO54</f>
        <v>0</v>
      </c>
      <c r="AZ51" s="227">
        <f>+'Table 5C1P-Vision'!AO54</f>
        <v>0</v>
      </c>
      <c r="BA51" s="227">
        <f>+'Table 5C1Q-Advantage'!AO54</f>
        <v>0</v>
      </c>
      <c r="BB51" s="227">
        <f>+'Table 5C1R-Iberville'!AO54</f>
        <v>0</v>
      </c>
      <c r="BC51" s="227">
        <f>+'Table 5C1S-L.C. Coll Prep'!AO54</f>
        <v>0</v>
      </c>
      <c r="BD51" s="227">
        <f>+'Table 5C1T-Northeast'!AO54</f>
        <v>0</v>
      </c>
      <c r="BE51" s="227">
        <f>+'Table 5C1U-Acadiana Ren'!AO54</f>
        <v>0</v>
      </c>
      <c r="BF51" s="227">
        <f>+'Table 5C1V-Laf Ren'!AO54</f>
        <v>0</v>
      </c>
      <c r="BG51" s="227">
        <f>+'Table 5C1W-Willow'!AO54</f>
        <v>0</v>
      </c>
      <c r="BH51" s="227">
        <f>'Table 5C2 - LA Virtual Admy'!AP54</f>
        <v>51.784875</v>
      </c>
      <c r="BI51" s="227">
        <f>'Table 5C3 - LA Connections EBR'!AP54</f>
        <v>70.594875000000059</v>
      </c>
      <c r="BJ51" s="248">
        <f t="shared" si="58"/>
        <v>2250150.2122499999</v>
      </c>
    </row>
    <row r="52" spans="1:62" ht="14.45" customHeight="1">
      <c r="A52" s="224">
        <v>49</v>
      </c>
      <c r="B52" s="225" t="s">
        <v>120</v>
      </c>
      <c r="C52" s="226">
        <f>'Table 2_State Distrib and Adjs'!AL55</f>
        <v>6289858</v>
      </c>
      <c r="D52" s="227">
        <f>-'Table 5A3_OJJ'!W54</f>
        <v>-1675</v>
      </c>
      <c r="E52" s="227"/>
      <c r="F52" s="227"/>
      <c r="G52" s="227">
        <f>-'Table 5C1A-Madison Prep'!AI55</f>
        <v>0</v>
      </c>
      <c r="H52" s="227">
        <f>-'Table 5C1B-DArbonne'!AI55</f>
        <v>0</v>
      </c>
      <c r="I52" s="227">
        <f>-'Table 5C1C-Intl_VIBE'!AI55</f>
        <v>0</v>
      </c>
      <c r="J52" s="227">
        <f>-'Table 5C1D-NOMMA'!AI55</f>
        <v>0</v>
      </c>
      <c r="K52" s="227">
        <f>-'Table 5C1E-LFNO'!AI55</f>
        <v>0</v>
      </c>
      <c r="L52" s="227">
        <f>-'Table 5C1F-Lake Charles Charter'!AI55</f>
        <v>0</v>
      </c>
      <c r="M52" s="227">
        <f>-'Table 5C1G-JS Clark Academy'!AI55</f>
        <v>-30986</v>
      </c>
      <c r="N52" s="227">
        <f>-'Table 5C1H-Southwest LA Charter'!AI55</f>
        <v>0</v>
      </c>
      <c r="O52" s="227">
        <f>-'Table 5C1I-LA Key Academy'!AI55</f>
        <v>0</v>
      </c>
      <c r="P52" s="227">
        <f>-'Table 5C1J-Jefferson Chamber'!AI55</f>
        <v>0</v>
      </c>
      <c r="Q52" s="227">
        <f>-'Table 5C1K-Tallulah Charter'!AI55</f>
        <v>0</v>
      </c>
      <c r="R52" s="227">
        <f>-'Table 5C1L-Northshore Charter'!AI55</f>
        <v>0</v>
      </c>
      <c r="S52" s="227">
        <f>-'Table 5C1M-B.R. Charter'!AI55</f>
        <v>0</v>
      </c>
      <c r="T52" s="227">
        <f>-'Table 5C1N-Delta Charter'!AI55</f>
        <v>0</v>
      </c>
      <c r="U52" s="227">
        <f>-'Table 5C1O-Impact'!AI55</f>
        <v>0</v>
      </c>
      <c r="V52" s="227">
        <f>-'Table 5C1P-Vision'!AI55</f>
        <v>0</v>
      </c>
      <c r="W52" s="227">
        <f>-'Table 5C1Q-Advantage'!AI55</f>
        <v>0</v>
      </c>
      <c r="X52" s="227">
        <f>-'Table 5C1R-Iberville'!AI55</f>
        <v>0</v>
      </c>
      <c r="Y52" s="227">
        <f>-'Table 5C1S-L.C. Coll Prep'!AI55</f>
        <v>0</v>
      </c>
      <c r="Z52" s="227">
        <f>-'Table 5C1T-Northeast'!AI55</f>
        <v>0</v>
      </c>
      <c r="AA52" s="227">
        <f>-'Table 5C1U-Acadiana Ren'!AI55</f>
        <v>448</v>
      </c>
      <c r="AB52" s="227">
        <f>-'Table 5C1V-Laf Ren'!AI55</f>
        <v>-16157</v>
      </c>
      <c r="AC52" s="227">
        <f>-'Table 5C1W-Willow'!AI55</f>
        <v>-13760</v>
      </c>
      <c r="AD52" s="227">
        <f>-'Table 5C2 - LA Virtual Admy'!AJ55</f>
        <v>-25409</v>
      </c>
      <c r="AE52" s="227">
        <f>-'Table 5C3 - LA Connections EBR'!AJ55</f>
        <v>-11744</v>
      </c>
      <c r="AF52" s="227">
        <f t="shared" si="56"/>
        <v>-99283</v>
      </c>
      <c r="AG52" s="248">
        <f t="shared" si="57"/>
        <v>6190575</v>
      </c>
      <c r="AH52" s="227"/>
      <c r="AI52" s="227"/>
      <c r="AJ52" s="227"/>
      <c r="AK52" s="227">
        <f>'Table 5C1A-Madison Prep'!AO55</f>
        <v>0</v>
      </c>
      <c r="AL52" s="227">
        <f>'Table 5C1B-DArbonne'!AO55</f>
        <v>0</v>
      </c>
      <c r="AM52" s="227">
        <f>'Table 5C1C-Intl_VIBE'!AO55</f>
        <v>0</v>
      </c>
      <c r="AN52" s="227">
        <f>'Table 5C1D-NOMMA'!AO55</f>
        <v>0</v>
      </c>
      <c r="AO52" s="227">
        <f>'Table 5C1E-LFNO'!AO55</f>
        <v>0</v>
      </c>
      <c r="AP52" s="227">
        <f>'Table 5C1F-Lake Charles Charter'!AO55</f>
        <v>0</v>
      </c>
      <c r="AQ52" s="227">
        <f>'Table 5C1G-JS Clark Academy'!AO55</f>
        <v>-127.38124999999991</v>
      </c>
      <c r="AR52" s="227">
        <f>'Table 5C1H-Southwest LA Charter'!AO55</f>
        <v>0</v>
      </c>
      <c r="AS52" s="227">
        <f>'Table 5C1I-LA Key Academy'!AO55</f>
        <v>0</v>
      </c>
      <c r="AT52" s="227">
        <f>'Table 5C1J-Jefferson Chamber'!AO55</f>
        <v>0</v>
      </c>
      <c r="AU52" s="227">
        <f>'Table 5C1K-Tallulah Charter'!AO55</f>
        <v>0</v>
      </c>
      <c r="AV52" s="227">
        <f>'Table 5C1L-Northshore Charter'!AO55</f>
        <v>0</v>
      </c>
      <c r="AW52" s="227">
        <f>'Table 5C1M-B.R. Charter'!AO55</f>
        <v>0</v>
      </c>
      <c r="AX52" s="227">
        <f>'Table 5C1N-Delta Charter'!AO55</f>
        <v>0</v>
      </c>
      <c r="AY52" s="227">
        <f>'Table 5C1O-Impact'!AO55</f>
        <v>0</v>
      </c>
      <c r="AZ52" s="227">
        <f>+'Table 5C1P-Vision'!AO55</f>
        <v>0</v>
      </c>
      <c r="BA52" s="227">
        <f>+'Table 5C1Q-Advantage'!AO55</f>
        <v>0</v>
      </c>
      <c r="BB52" s="227">
        <f>+'Table 5C1R-Iberville'!AO55</f>
        <v>0</v>
      </c>
      <c r="BC52" s="227">
        <f>+'Table 5C1S-L.C. Coll Prep'!AO55</f>
        <v>0</v>
      </c>
      <c r="BD52" s="227">
        <f>+'Table 5C1T-Northeast'!AO55</f>
        <v>0</v>
      </c>
      <c r="BE52" s="227">
        <f>+'Table 5C1U-Acadiana Ren'!AO55</f>
        <v>-2.9987500000000002</v>
      </c>
      <c r="BF52" s="227">
        <f>+'Table 5C1V-Laf Ren'!AO55</f>
        <v>-317.86750000000001</v>
      </c>
      <c r="BG52" s="227">
        <f>+'Table 5C1W-Willow'!AO55</f>
        <v>-137.9425</v>
      </c>
      <c r="BH52" s="227">
        <f>'Table 5C2 - LA Virtual Admy'!AP55</f>
        <v>-136.48049999999989</v>
      </c>
      <c r="BI52" s="227">
        <f>'Table 5C3 - LA Connections EBR'!AP55</f>
        <v>-60.298874999999924</v>
      </c>
      <c r="BJ52" s="248">
        <f t="shared" si="58"/>
        <v>6189792.0306250006</v>
      </c>
    </row>
    <row r="53" spans="1:62" ht="14.45" customHeight="1">
      <c r="A53" s="3">
        <v>50</v>
      </c>
      <c r="B53" s="7" t="s">
        <v>121</v>
      </c>
      <c r="C53" s="9">
        <f>'Table 2_State Distrib and Adjs'!AL56</f>
        <v>3949762</v>
      </c>
      <c r="D53" s="10">
        <f>-'Table 5A3_OJJ'!W55</f>
        <v>-627</v>
      </c>
      <c r="E53" s="10"/>
      <c r="F53" s="10"/>
      <c r="G53" s="10">
        <f>-'Table 5C1A-Madison Prep'!AI56</f>
        <v>0</v>
      </c>
      <c r="H53" s="10">
        <f>-'Table 5C1B-DArbonne'!AI56</f>
        <v>0</v>
      </c>
      <c r="I53" s="10">
        <f>-'Table 5C1C-Intl_VIBE'!AI56</f>
        <v>0</v>
      </c>
      <c r="J53" s="10">
        <f>-'Table 5C1D-NOMMA'!AI56</f>
        <v>0</v>
      </c>
      <c r="K53" s="10">
        <f>-'Table 5C1E-LFNO'!AI56</f>
        <v>0</v>
      </c>
      <c r="L53" s="10">
        <f>-'Table 5C1F-Lake Charles Charter'!AI56</f>
        <v>0</v>
      </c>
      <c r="M53" s="10">
        <f>-'Table 5C1G-JS Clark Academy'!AI56</f>
        <v>0</v>
      </c>
      <c r="N53" s="10">
        <f>-'Table 5C1H-Southwest LA Charter'!AI56</f>
        <v>0</v>
      </c>
      <c r="O53" s="10">
        <f>-'Table 5C1I-LA Key Academy'!AI56</f>
        <v>0</v>
      </c>
      <c r="P53" s="10">
        <f>-'Table 5C1J-Jefferson Chamber'!AI56</f>
        <v>0</v>
      </c>
      <c r="Q53" s="10">
        <f>-'Table 5C1K-Tallulah Charter'!AI56</f>
        <v>0</v>
      </c>
      <c r="R53" s="10">
        <f>-'Table 5C1L-Northshore Charter'!AI56</f>
        <v>0</v>
      </c>
      <c r="S53" s="10">
        <f>-'Table 5C1M-B.R. Charter'!AI56</f>
        <v>0</v>
      </c>
      <c r="T53" s="10">
        <f>-'Table 5C1N-Delta Charter'!AI56</f>
        <v>0</v>
      </c>
      <c r="U53" s="10">
        <f>-'Table 5C1O-Impact'!AI56</f>
        <v>0</v>
      </c>
      <c r="V53" s="10">
        <f>-'Table 5C1P-Vision'!AI56</f>
        <v>0</v>
      </c>
      <c r="W53" s="10">
        <f>-'Table 5C1Q-Advantage'!AI56</f>
        <v>0</v>
      </c>
      <c r="X53" s="10">
        <f>-'Table 5C1R-Iberville'!AI56</f>
        <v>0</v>
      </c>
      <c r="Y53" s="10">
        <f>-'Table 5C1S-L.C. Coll Prep'!AI56</f>
        <v>0</v>
      </c>
      <c r="Z53" s="10">
        <f>-'Table 5C1T-Northeast'!AI56</f>
        <v>0</v>
      </c>
      <c r="AA53" s="10">
        <f>-'Table 5C1U-Acadiana Ren'!AI56</f>
        <v>63712</v>
      </c>
      <c r="AB53" s="10">
        <f>-'Table 5C1V-Laf Ren'!AI56</f>
        <v>-3344</v>
      </c>
      <c r="AC53" s="10">
        <f>-'Table 5C1W-Willow'!AI56</f>
        <v>-22555</v>
      </c>
      <c r="AD53" s="10">
        <f>-'Table 5C2 - LA Virtual Admy'!AJ56</f>
        <v>-1950</v>
      </c>
      <c r="AE53" s="10">
        <f>-'Table 5C3 - LA Connections EBR'!AJ56</f>
        <v>-4920</v>
      </c>
      <c r="AF53" s="10">
        <f t="shared" si="56"/>
        <v>30316</v>
      </c>
      <c r="AG53" s="15">
        <f t="shared" si="57"/>
        <v>3980078</v>
      </c>
      <c r="AH53" s="10"/>
      <c r="AI53" s="10"/>
      <c r="AJ53" s="10"/>
      <c r="AK53" s="10">
        <f>'Table 5C1A-Madison Prep'!AO56</f>
        <v>0</v>
      </c>
      <c r="AL53" s="10">
        <f>'Table 5C1B-DArbonne'!AO56</f>
        <v>0</v>
      </c>
      <c r="AM53" s="10">
        <f>'Table 5C1C-Intl_VIBE'!AO56</f>
        <v>0</v>
      </c>
      <c r="AN53" s="10">
        <f>'Table 5C1D-NOMMA'!AO56</f>
        <v>0</v>
      </c>
      <c r="AO53" s="10">
        <f>'Table 5C1E-LFNO'!AO56</f>
        <v>0</v>
      </c>
      <c r="AP53" s="10">
        <f>'Table 5C1F-Lake Charles Charter'!AO56</f>
        <v>0</v>
      </c>
      <c r="AQ53" s="10">
        <f>'Table 5C1G-JS Clark Academy'!AO56</f>
        <v>0</v>
      </c>
      <c r="AR53" s="10">
        <f>'Table 5C1H-Southwest LA Charter'!AO56</f>
        <v>0</v>
      </c>
      <c r="AS53" s="10">
        <f>'Table 5C1I-LA Key Academy'!AO56</f>
        <v>0</v>
      </c>
      <c r="AT53" s="10">
        <f>'Table 5C1J-Jefferson Chamber'!AO56</f>
        <v>0</v>
      </c>
      <c r="AU53" s="10">
        <f>'Table 5C1K-Tallulah Charter'!AO56</f>
        <v>0</v>
      </c>
      <c r="AV53" s="10">
        <f>'Table 5C1L-Northshore Charter'!AO56</f>
        <v>0</v>
      </c>
      <c r="AW53" s="10">
        <f>'Table 5C1M-B.R. Charter'!AO56</f>
        <v>0</v>
      </c>
      <c r="AX53" s="10">
        <f>'Table 5C1N-Delta Charter'!AO56</f>
        <v>0</v>
      </c>
      <c r="AY53" s="10">
        <f>'Table 5C1O-Impact'!AO56</f>
        <v>0</v>
      </c>
      <c r="AZ53" s="10">
        <f>+'Table 5C1P-Vision'!AO56</f>
        <v>0</v>
      </c>
      <c r="BA53" s="10">
        <f>+'Table 5C1Q-Advantage'!AO56</f>
        <v>0</v>
      </c>
      <c r="BB53" s="10">
        <f>+'Table 5C1R-Iberville'!AO56</f>
        <v>0</v>
      </c>
      <c r="BC53" s="10">
        <f>+'Table 5C1S-L.C. Coll Prep'!AO56</f>
        <v>0</v>
      </c>
      <c r="BD53" s="10">
        <f>+'Table 5C1T-Northeast'!AO56</f>
        <v>0</v>
      </c>
      <c r="BE53" s="10">
        <f>+'Table 5C1U-Acadiana Ren'!AO56</f>
        <v>-55.46125</v>
      </c>
      <c r="BF53" s="10">
        <f>+'Table 5C1V-Laf Ren'!AO56</f>
        <v>-55.46125</v>
      </c>
      <c r="BG53" s="10">
        <f>+'Table 5C1W-Willow'!AO56</f>
        <v>-226.11125000000001</v>
      </c>
      <c r="BH53" s="10">
        <f>'Table 5C2 - LA Virtual Admy'!AP56</f>
        <v>43.63424999999998</v>
      </c>
      <c r="BI53" s="10">
        <f>'Table 5C3 - LA Connections EBR'!AP56</f>
        <v>-48.605625000000011</v>
      </c>
      <c r="BJ53" s="15">
        <f t="shared" si="58"/>
        <v>3979735.9948749999</v>
      </c>
    </row>
    <row r="54" spans="1:62" ht="14.45" customHeight="1">
      <c r="A54" s="224">
        <v>51</v>
      </c>
      <c r="B54" s="225" t="s">
        <v>122</v>
      </c>
      <c r="C54" s="226">
        <f>'Table 2_State Distrib and Adjs'!AL57</f>
        <v>3681104</v>
      </c>
      <c r="D54" s="227">
        <f>-'Table 5A3_OJJ'!W56</f>
        <v>-897</v>
      </c>
      <c r="E54" s="227"/>
      <c r="F54" s="227"/>
      <c r="G54" s="227">
        <f>-'Table 5C1A-Madison Prep'!AI57</f>
        <v>0</v>
      </c>
      <c r="H54" s="227">
        <f>-'Table 5C1B-DArbonne'!AI57</f>
        <v>0</v>
      </c>
      <c r="I54" s="227">
        <f>-'Table 5C1C-Intl_VIBE'!AI57</f>
        <v>0</v>
      </c>
      <c r="J54" s="227">
        <f>-'Table 5C1D-NOMMA'!AI57</f>
        <v>0</v>
      </c>
      <c r="K54" s="227">
        <f>-'Table 5C1E-LFNO'!AI57</f>
        <v>0</v>
      </c>
      <c r="L54" s="227">
        <f>-'Table 5C1F-Lake Charles Charter'!AI57</f>
        <v>0</v>
      </c>
      <c r="M54" s="227">
        <f>-'Table 5C1G-JS Clark Academy'!AI57</f>
        <v>0</v>
      </c>
      <c r="N54" s="227">
        <f>-'Table 5C1H-Southwest LA Charter'!AI57</f>
        <v>0</v>
      </c>
      <c r="O54" s="227">
        <f>-'Table 5C1I-LA Key Academy'!AI57</f>
        <v>0</v>
      </c>
      <c r="P54" s="227">
        <f>-'Table 5C1J-Jefferson Chamber'!AI57</f>
        <v>0</v>
      </c>
      <c r="Q54" s="227">
        <f>-'Table 5C1K-Tallulah Charter'!AI57</f>
        <v>0</v>
      </c>
      <c r="R54" s="227">
        <f>-'Table 5C1L-Northshore Charter'!AI57</f>
        <v>0</v>
      </c>
      <c r="S54" s="227">
        <f>-'Table 5C1M-B.R. Charter'!AI57</f>
        <v>0</v>
      </c>
      <c r="T54" s="227">
        <f>-'Table 5C1N-Delta Charter'!AI57</f>
        <v>0</v>
      </c>
      <c r="U54" s="227">
        <f>-'Table 5C1O-Impact'!AI57</f>
        <v>0</v>
      </c>
      <c r="V54" s="227">
        <f>-'Table 5C1P-Vision'!AI57</f>
        <v>0</v>
      </c>
      <c r="W54" s="227">
        <f>-'Table 5C1Q-Advantage'!AI57</f>
        <v>0</v>
      </c>
      <c r="X54" s="227">
        <f>-'Table 5C1R-Iberville'!AI57</f>
        <v>0</v>
      </c>
      <c r="Y54" s="227">
        <f>-'Table 5C1S-L.C. Coll Prep'!AI57</f>
        <v>0</v>
      </c>
      <c r="Z54" s="227">
        <f>-'Table 5C1T-Northeast'!AI57</f>
        <v>0</v>
      </c>
      <c r="AA54" s="227">
        <f>-'Table 5C1U-Acadiana Ren'!AI57</f>
        <v>41</v>
      </c>
      <c r="AB54" s="227">
        <f>-'Table 5C1V-Laf Ren'!AI57</f>
        <v>-1656</v>
      </c>
      <c r="AC54" s="227">
        <f>-'Table 5C1W-Willow'!AI57</f>
        <v>-1125</v>
      </c>
      <c r="AD54" s="227">
        <f>-'Table 5C2 - LA Virtual Admy'!AJ57</f>
        <v>-2304</v>
      </c>
      <c r="AE54" s="227">
        <f>-'Table 5C3 - LA Connections EBR'!AJ57</f>
        <v>-6642</v>
      </c>
      <c r="AF54" s="227">
        <f t="shared" si="56"/>
        <v>-12583</v>
      </c>
      <c r="AG54" s="248">
        <f t="shared" si="57"/>
        <v>3668521</v>
      </c>
      <c r="AH54" s="227"/>
      <c r="AI54" s="227"/>
      <c r="AJ54" s="227"/>
      <c r="AK54" s="227">
        <f>'Table 5C1A-Madison Prep'!AO57</f>
        <v>0</v>
      </c>
      <c r="AL54" s="227">
        <f>'Table 5C1B-DArbonne'!AO57</f>
        <v>0</v>
      </c>
      <c r="AM54" s="227">
        <f>'Table 5C1C-Intl_VIBE'!AO57</f>
        <v>0</v>
      </c>
      <c r="AN54" s="227">
        <f>'Table 5C1D-NOMMA'!AO57</f>
        <v>0</v>
      </c>
      <c r="AO54" s="227">
        <f>'Table 5C1E-LFNO'!AO57</f>
        <v>0</v>
      </c>
      <c r="AP54" s="227">
        <f>'Table 5C1F-Lake Charles Charter'!AO57</f>
        <v>0</v>
      </c>
      <c r="AQ54" s="227">
        <f>'Table 5C1G-JS Clark Academy'!AO57</f>
        <v>0</v>
      </c>
      <c r="AR54" s="227">
        <f>'Table 5C1H-Southwest LA Charter'!AO57</f>
        <v>0</v>
      </c>
      <c r="AS54" s="227">
        <f>'Table 5C1I-LA Key Academy'!AO57</f>
        <v>0</v>
      </c>
      <c r="AT54" s="227">
        <f>'Table 5C1J-Jefferson Chamber'!AO57</f>
        <v>0</v>
      </c>
      <c r="AU54" s="227">
        <f>'Table 5C1K-Tallulah Charter'!AO57</f>
        <v>0</v>
      </c>
      <c r="AV54" s="227">
        <f>'Table 5C1L-Northshore Charter'!AO57</f>
        <v>0</v>
      </c>
      <c r="AW54" s="227">
        <f>'Table 5C1M-B.R. Charter'!AO57</f>
        <v>0</v>
      </c>
      <c r="AX54" s="227">
        <f>'Table 5C1N-Delta Charter'!AO57</f>
        <v>0</v>
      </c>
      <c r="AY54" s="227">
        <f>'Table 5C1O-Impact'!AO57</f>
        <v>0</v>
      </c>
      <c r="AZ54" s="227">
        <f>+'Table 5C1P-Vision'!AO57</f>
        <v>0</v>
      </c>
      <c r="BA54" s="227">
        <f>+'Table 5C1Q-Advantage'!AO57</f>
        <v>0</v>
      </c>
      <c r="BB54" s="227">
        <f>+'Table 5C1R-Iberville'!AO57</f>
        <v>0</v>
      </c>
      <c r="BC54" s="227">
        <f>+'Table 5C1S-L.C. Coll Prep'!AO57</f>
        <v>0</v>
      </c>
      <c r="BD54" s="227">
        <f>+'Table 5C1T-Northeast'!AO57</f>
        <v>0</v>
      </c>
      <c r="BE54" s="227">
        <f>+'Table 5C1U-Acadiana Ren'!AO57</f>
        <v>0</v>
      </c>
      <c r="BF54" s="227">
        <f>+'Table 5C1V-Laf Ren'!AO57</f>
        <v>-33.840000000000003</v>
      </c>
      <c r="BG54" s="227">
        <f>+'Table 5C1W-Willow'!AO57</f>
        <v>-11.28</v>
      </c>
      <c r="BH54" s="227">
        <f>'Table 5C2 - LA Virtual Admy'!AP57</f>
        <v>38.974500000000006</v>
      </c>
      <c r="BI54" s="227">
        <f>'Table 5C3 - LA Connections EBR'!AP57</f>
        <v>-105.831</v>
      </c>
      <c r="BJ54" s="248">
        <f t="shared" si="58"/>
        <v>3668409.0235000006</v>
      </c>
    </row>
    <row r="55" spans="1:62" ht="14.45" customHeight="1">
      <c r="A55" s="224">
        <v>52</v>
      </c>
      <c r="B55" s="225" t="s">
        <v>123</v>
      </c>
      <c r="C55" s="226">
        <f>'Table 2_State Distrib and Adjs'!AL58</f>
        <v>17900285</v>
      </c>
      <c r="D55" s="227">
        <f>-'Table 5A3_OJJ'!W57</f>
        <v>-4624</v>
      </c>
      <c r="E55" s="227"/>
      <c r="F55" s="227"/>
      <c r="G55" s="227">
        <f>-'Table 5C1A-Madison Prep'!AI58</f>
        <v>0</v>
      </c>
      <c r="H55" s="227">
        <f>-'Table 5C1B-DArbonne'!AI58</f>
        <v>0</v>
      </c>
      <c r="I55" s="227">
        <f>-'Table 5C1C-Intl_VIBE'!AI58</f>
        <v>-659</v>
      </c>
      <c r="J55" s="227">
        <f>-'Table 5C1D-NOMMA'!AI58</f>
        <v>0</v>
      </c>
      <c r="K55" s="227">
        <f>-'Table 5C1E-LFNO'!AI58</f>
        <v>375</v>
      </c>
      <c r="L55" s="227">
        <f>-'Table 5C1F-Lake Charles Charter'!AI58</f>
        <v>0</v>
      </c>
      <c r="M55" s="227">
        <f>-'Table 5C1G-JS Clark Academy'!AI58</f>
        <v>0</v>
      </c>
      <c r="N55" s="227">
        <f>-'Table 5C1H-Southwest LA Charter'!AI58</f>
        <v>0</v>
      </c>
      <c r="O55" s="227">
        <f>-'Table 5C1I-LA Key Academy'!AI58</f>
        <v>0</v>
      </c>
      <c r="P55" s="227">
        <f>-'Table 5C1J-Jefferson Chamber'!AI58</f>
        <v>0</v>
      </c>
      <c r="Q55" s="227">
        <f>-'Table 5C1K-Tallulah Charter'!AI58</f>
        <v>0</v>
      </c>
      <c r="R55" s="227">
        <f>-'Table 5C1L-Northshore Charter'!AI58</f>
        <v>-539</v>
      </c>
      <c r="S55" s="227">
        <f>-'Table 5C1M-B.R. Charter'!AI58</f>
        <v>0</v>
      </c>
      <c r="T55" s="227">
        <f>-'Table 5C1N-Delta Charter'!AI58</f>
        <v>0</v>
      </c>
      <c r="U55" s="227">
        <f>-'Table 5C1O-Impact'!AI58</f>
        <v>0</v>
      </c>
      <c r="V55" s="227">
        <f>-'Table 5C1P-Vision'!AI58</f>
        <v>0</v>
      </c>
      <c r="W55" s="227">
        <f>-'Table 5C1Q-Advantage'!AI58</f>
        <v>0</v>
      </c>
      <c r="X55" s="227">
        <f>-'Table 5C1R-Iberville'!AI58</f>
        <v>0</v>
      </c>
      <c r="Y55" s="227">
        <f>-'Table 5C1S-L.C. Coll Prep'!AI58</f>
        <v>0</v>
      </c>
      <c r="Z55" s="227">
        <f>-'Table 5C1T-Northeast'!AI58</f>
        <v>0</v>
      </c>
      <c r="AA55" s="227">
        <f>-'Table 5C1U-Acadiana Ren'!AI58</f>
        <v>94</v>
      </c>
      <c r="AB55" s="227">
        <f>-'Table 5C1V-Laf Ren'!AI58</f>
        <v>0</v>
      </c>
      <c r="AC55" s="227">
        <f>-'Table 5C1W-Willow'!AI58</f>
        <v>0</v>
      </c>
      <c r="AD55" s="227">
        <f>-'Table 5C2 - LA Virtual Admy'!AJ58</f>
        <v>-65019</v>
      </c>
      <c r="AE55" s="227">
        <f>-'Table 5C3 - LA Connections EBR'!AJ58</f>
        <v>-68913</v>
      </c>
      <c r="AF55" s="227">
        <f t="shared" si="56"/>
        <v>-139285</v>
      </c>
      <c r="AG55" s="248">
        <f t="shared" si="57"/>
        <v>17761000</v>
      </c>
      <c r="AH55" s="227"/>
      <c r="AI55" s="227"/>
      <c r="AJ55" s="227"/>
      <c r="AK55" s="227">
        <f>'Table 5C1A-Madison Prep'!AO58</f>
        <v>0</v>
      </c>
      <c r="AL55" s="227">
        <f>'Table 5C1B-DArbonne'!AO58</f>
        <v>0</v>
      </c>
      <c r="AM55" s="227">
        <f>'Table 5C1C-Intl_VIBE'!AO58</f>
        <v>-6.6112500000000001</v>
      </c>
      <c r="AN55" s="227">
        <f>'Table 5C1D-NOMMA'!AO58</f>
        <v>0</v>
      </c>
      <c r="AO55" s="227">
        <f>'Table 5C1E-LFNO'!AO58</f>
        <v>-0.19249999999999901</v>
      </c>
      <c r="AP55" s="227">
        <f>'Table 5C1F-Lake Charles Charter'!AO58</f>
        <v>0</v>
      </c>
      <c r="AQ55" s="227">
        <f>'Table 5C1G-JS Clark Academy'!AO58</f>
        <v>0</v>
      </c>
      <c r="AR55" s="227">
        <f>'Table 5C1H-Southwest LA Charter'!AO58</f>
        <v>0</v>
      </c>
      <c r="AS55" s="227">
        <f>'Table 5C1I-LA Key Academy'!AO58</f>
        <v>0</v>
      </c>
      <c r="AT55" s="227">
        <f>'Table 5C1J-Jefferson Chamber'!AO58</f>
        <v>0</v>
      </c>
      <c r="AU55" s="227">
        <f>'Table 5C1K-Tallulah Charter'!AO58</f>
        <v>0</v>
      </c>
      <c r="AV55" s="227">
        <f>'Table 5C1L-Northshore Charter'!AO58</f>
        <v>-13.2225</v>
      </c>
      <c r="AW55" s="227">
        <f>'Table 5C1M-B.R. Charter'!AO58</f>
        <v>0</v>
      </c>
      <c r="AX55" s="227">
        <f>'Table 5C1N-Delta Charter'!AO58</f>
        <v>0</v>
      </c>
      <c r="AY55" s="227">
        <f>'Table 5C1O-Impact'!AO58</f>
        <v>0</v>
      </c>
      <c r="AZ55" s="227">
        <f>+'Table 5C1P-Vision'!AO58</f>
        <v>0</v>
      </c>
      <c r="BA55" s="227">
        <f>+'Table 5C1Q-Advantage'!AO58</f>
        <v>0</v>
      </c>
      <c r="BB55" s="227">
        <f>+'Table 5C1R-Iberville'!AO58</f>
        <v>0</v>
      </c>
      <c r="BC55" s="227">
        <f>+'Table 5C1S-L.C. Coll Prep'!AO58</f>
        <v>0</v>
      </c>
      <c r="BD55" s="227">
        <f>+'Table 5C1T-Northeast'!AO58</f>
        <v>0</v>
      </c>
      <c r="BE55" s="227">
        <f>+'Table 5C1U-Acadiana Ren'!AO58</f>
        <v>0</v>
      </c>
      <c r="BF55" s="227">
        <f>+'Table 5C1V-Laf Ren'!AO58</f>
        <v>0</v>
      </c>
      <c r="BG55" s="227">
        <f>+'Table 5C1W-Willow'!AO58</f>
        <v>0</v>
      </c>
      <c r="BH55" s="227">
        <f>'Table 5C2 - LA Virtual Admy'!AP58</f>
        <v>-272.66062499999998</v>
      </c>
      <c r="BI55" s="227">
        <f>'Table 5C3 - LA Connections EBR'!AP58</f>
        <v>-362.43225000000007</v>
      </c>
      <c r="BJ55" s="248">
        <f t="shared" si="58"/>
        <v>17760344.880875003</v>
      </c>
    </row>
    <row r="56" spans="1:62" ht="14.45" customHeight="1">
      <c r="A56" s="224">
        <v>53</v>
      </c>
      <c r="B56" s="225" t="s">
        <v>124</v>
      </c>
      <c r="C56" s="226">
        <f>'Table 2_State Distrib and Adjs'!AL59</f>
        <v>9240422</v>
      </c>
      <c r="D56" s="227">
        <f>-'Table 5A3_OJJ'!W58</f>
        <v>-1786</v>
      </c>
      <c r="E56" s="227"/>
      <c r="F56" s="227"/>
      <c r="G56" s="227">
        <f>-'Table 5C1A-Madison Prep'!AI59</f>
        <v>0</v>
      </c>
      <c r="H56" s="227">
        <f>-'Table 5C1B-DArbonne'!AI59</f>
        <v>0</v>
      </c>
      <c r="I56" s="227">
        <f>-'Table 5C1C-Intl_VIBE'!AI59</f>
        <v>0</v>
      </c>
      <c r="J56" s="227">
        <f>-'Table 5C1D-NOMMA'!AI59</f>
        <v>0</v>
      </c>
      <c r="K56" s="227">
        <f>-'Table 5C1E-LFNO'!AI59</f>
        <v>0</v>
      </c>
      <c r="L56" s="227">
        <f>-'Table 5C1F-Lake Charles Charter'!AI59</f>
        <v>0</v>
      </c>
      <c r="M56" s="227">
        <f>-'Table 5C1G-JS Clark Academy'!AI59</f>
        <v>0</v>
      </c>
      <c r="N56" s="227">
        <f>-'Table 5C1H-Southwest LA Charter'!AI59</f>
        <v>0</v>
      </c>
      <c r="O56" s="227">
        <f>-'Table 5C1I-LA Key Academy'!AI59</f>
        <v>0</v>
      </c>
      <c r="P56" s="227">
        <f>-'Table 5C1J-Jefferson Chamber'!AI59</f>
        <v>0</v>
      </c>
      <c r="Q56" s="227">
        <f>-'Table 5C1K-Tallulah Charter'!AI59</f>
        <v>0</v>
      </c>
      <c r="R56" s="227">
        <f>-'Table 5C1L-Northshore Charter'!AI59</f>
        <v>0</v>
      </c>
      <c r="S56" s="227">
        <f>-'Table 5C1M-B.R. Charter'!AI59</f>
        <v>0</v>
      </c>
      <c r="T56" s="227">
        <f>-'Table 5C1N-Delta Charter'!AI59</f>
        <v>0</v>
      </c>
      <c r="U56" s="227">
        <f>-'Table 5C1O-Impact'!AI59</f>
        <v>0</v>
      </c>
      <c r="V56" s="227">
        <f>-'Table 5C1P-Vision'!AI59</f>
        <v>0</v>
      </c>
      <c r="W56" s="227">
        <f>-'Table 5C1Q-Advantage'!AI59</f>
        <v>0</v>
      </c>
      <c r="X56" s="227">
        <f>-'Table 5C1R-Iberville'!AI59</f>
        <v>0</v>
      </c>
      <c r="Y56" s="227">
        <f>-'Table 5C1S-L.C. Coll Prep'!AI59</f>
        <v>0</v>
      </c>
      <c r="Z56" s="227">
        <f>-'Table 5C1T-Northeast'!AI59</f>
        <v>0</v>
      </c>
      <c r="AA56" s="227">
        <f>-'Table 5C1U-Acadiana Ren'!AI59</f>
        <v>0</v>
      </c>
      <c r="AB56" s="227">
        <f>-'Table 5C1V-Laf Ren'!AI59</f>
        <v>0</v>
      </c>
      <c r="AC56" s="227">
        <f>-'Table 5C1W-Willow'!AI59</f>
        <v>0</v>
      </c>
      <c r="AD56" s="227">
        <f>-'Table 5C2 - LA Virtual Admy'!AJ59</f>
        <v>-14793</v>
      </c>
      <c r="AE56" s="227">
        <f>-'Table 5C3 - LA Connections EBR'!AJ59</f>
        <v>-11458</v>
      </c>
      <c r="AF56" s="227">
        <f t="shared" si="56"/>
        <v>-28037</v>
      </c>
      <c r="AG56" s="248">
        <f t="shared" si="57"/>
        <v>9212385</v>
      </c>
      <c r="AH56" s="227"/>
      <c r="AI56" s="227"/>
      <c r="AJ56" s="227"/>
      <c r="AK56" s="227">
        <f>'Table 5C1A-Madison Prep'!AO59</f>
        <v>0</v>
      </c>
      <c r="AL56" s="227">
        <f>'Table 5C1B-DArbonne'!AO59</f>
        <v>0</v>
      </c>
      <c r="AM56" s="227">
        <f>'Table 5C1C-Intl_VIBE'!AO59</f>
        <v>0</v>
      </c>
      <c r="AN56" s="227">
        <f>'Table 5C1D-NOMMA'!AO59</f>
        <v>0</v>
      </c>
      <c r="AO56" s="227">
        <f>'Table 5C1E-LFNO'!AO59</f>
        <v>0</v>
      </c>
      <c r="AP56" s="227">
        <f>'Table 5C1F-Lake Charles Charter'!AO59</f>
        <v>0</v>
      </c>
      <c r="AQ56" s="227">
        <f>'Table 5C1G-JS Clark Academy'!AO59</f>
        <v>0</v>
      </c>
      <c r="AR56" s="227">
        <f>'Table 5C1H-Southwest LA Charter'!AO59</f>
        <v>0</v>
      </c>
      <c r="AS56" s="227">
        <f>'Table 5C1I-LA Key Academy'!AO59</f>
        <v>0</v>
      </c>
      <c r="AT56" s="227">
        <f>'Table 5C1J-Jefferson Chamber'!AO59</f>
        <v>0</v>
      </c>
      <c r="AU56" s="227">
        <f>'Table 5C1K-Tallulah Charter'!AO59</f>
        <v>0</v>
      </c>
      <c r="AV56" s="227">
        <f>'Table 5C1L-Northshore Charter'!AO59</f>
        <v>0</v>
      </c>
      <c r="AW56" s="227">
        <f>'Table 5C1M-B.R. Charter'!AO59</f>
        <v>0</v>
      </c>
      <c r="AX56" s="227">
        <f>'Table 5C1N-Delta Charter'!AO59</f>
        <v>0</v>
      </c>
      <c r="AY56" s="227">
        <f>'Table 5C1O-Impact'!AO59</f>
        <v>0</v>
      </c>
      <c r="AZ56" s="227">
        <f>+'Table 5C1P-Vision'!AO59</f>
        <v>0</v>
      </c>
      <c r="BA56" s="227">
        <f>+'Table 5C1Q-Advantage'!AO59</f>
        <v>0</v>
      </c>
      <c r="BB56" s="227">
        <f>+'Table 5C1R-Iberville'!AO59</f>
        <v>0</v>
      </c>
      <c r="BC56" s="227">
        <f>+'Table 5C1S-L.C. Coll Prep'!AO59</f>
        <v>0</v>
      </c>
      <c r="BD56" s="227">
        <f>+'Table 5C1T-Northeast'!AO59</f>
        <v>0</v>
      </c>
      <c r="BE56" s="227">
        <f>+'Table 5C1U-Acadiana Ren'!AO59</f>
        <v>0</v>
      </c>
      <c r="BF56" s="227">
        <f>+'Table 5C1V-Laf Ren'!AO59</f>
        <v>0</v>
      </c>
      <c r="BG56" s="227">
        <f>+'Table 5C1W-Willow'!AO59</f>
        <v>0</v>
      </c>
      <c r="BH56" s="227">
        <f>'Table 5C2 - LA Virtual Admy'!AP59</f>
        <v>10.380375000000015</v>
      </c>
      <c r="BI56" s="227">
        <f>'Table 5C3 - LA Connections EBR'!AP59</f>
        <v>-49.630499999999984</v>
      </c>
      <c r="BJ56" s="248">
        <f t="shared" si="58"/>
        <v>9212345.7498749997</v>
      </c>
    </row>
    <row r="57" spans="1:62" ht="14.45" customHeight="1">
      <c r="A57" s="224">
        <v>54</v>
      </c>
      <c r="B57" s="225" t="s">
        <v>125</v>
      </c>
      <c r="C57" s="226">
        <f>'Table 2_State Distrib and Adjs'!AL60</f>
        <v>351186</v>
      </c>
      <c r="D57" s="227">
        <f>-'Table 5A3_OJJ'!W59</f>
        <v>-328</v>
      </c>
      <c r="E57" s="227"/>
      <c r="F57" s="227"/>
      <c r="G57" s="227">
        <f>-'Table 5C1A-Madison Prep'!AI60</f>
        <v>0</v>
      </c>
      <c r="H57" s="227">
        <f>-'Table 5C1B-DArbonne'!AI60</f>
        <v>0</v>
      </c>
      <c r="I57" s="227">
        <f>-'Table 5C1C-Intl_VIBE'!AI60</f>
        <v>0</v>
      </c>
      <c r="J57" s="227">
        <f>-'Table 5C1D-NOMMA'!AI60</f>
        <v>0</v>
      </c>
      <c r="K57" s="227">
        <f>-'Table 5C1E-LFNO'!AI60</f>
        <v>0</v>
      </c>
      <c r="L57" s="227">
        <f>-'Table 5C1F-Lake Charles Charter'!AI60</f>
        <v>0</v>
      </c>
      <c r="M57" s="227">
        <f>-'Table 5C1G-JS Clark Academy'!AI60</f>
        <v>0</v>
      </c>
      <c r="N57" s="227">
        <f>-'Table 5C1H-Southwest LA Charter'!AI60</f>
        <v>0</v>
      </c>
      <c r="O57" s="227">
        <f>-'Table 5C1I-LA Key Academy'!AI60</f>
        <v>0</v>
      </c>
      <c r="P57" s="227">
        <f>-'Table 5C1J-Jefferson Chamber'!AI60</f>
        <v>0</v>
      </c>
      <c r="Q57" s="227">
        <f>-'Table 5C1K-Tallulah Charter'!AI60</f>
        <v>-517</v>
      </c>
      <c r="R57" s="227">
        <f>-'Table 5C1L-Northshore Charter'!AI60</f>
        <v>0</v>
      </c>
      <c r="S57" s="227">
        <f>-'Table 5C1M-B.R. Charter'!AI60</f>
        <v>0</v>
      </c>
      <c r="T57" s="227">
        <f>-'Table 5C1N-Delta Charter'!AI60</f>
        <v>-2805</v>
      </c>
      <c r="U57" s="227">
        <f>-'Table 5C1O-Impact'!AI60</f>
        <v>0</v>
      </c>
      <c r="V57" s="227">
        <f>-'Table 5C1P-Vision'!AI60</f>
        <v>0</v>
      </c>
      <c r="W57" s="227">
        <f>-'Table 5C1Q-Advantage'!AI60</f>
        <v>0</v>
      </c>
      <c r="X57" s="227">
        <f>-'Table 5C1R-Iberville'!AI60</f>
        <v>0</v>
      </c>
      <c r="Y57" s="227">
        <f>-'Table 5C1S-L.C. Coll Prep'!AI60</f>
        <v>0</v>
      </c>
      <c r="Z57" s="227">
        <f>-'Table 5C1T-Northeast'!AI60</f>
        <v>0</v>
      </c>
      <c r="AA57" s="227">
        <f>-'Table 5C1U-Acadiana Ren'!AI60</f>
        <v>0</v>
      </c>
      <c r="AB57" s="227">
        <f>-'Table 5C1V-Laf Ren'!AI60</f>
        <v>0</v>
      </c>
      <c r="AC57" s="227">
        <f>-'Table 5C1W-Willow'!AI60</f>
        <v>0</v>
      </c>
      <c r="AD57" s="227">
        <f>-'Table 5C2 - LA Virtual Admy'!AJ60</f>
        <v>-466</v>
      </c>
      <c r="AE57" s="227">
        <f>-'Table 5C3 - LA Connections EBR'!AJ60</f>
        <v>-5032</v>
      </c>
      <c r="AF57" s="227">
        <f t="shared" si="56"/>
        <v>-9148</v>
      </c>
      <c r="AG57" s="248">
        <f t="shared" si="57"/>
        <v>342038</v>
      </c>
      <c r="AH57" s="227"/>
      <c r="AI57" s="227"/>
      <c r="AJ57" s="227"/>
      <c r="AK57" s="227">
        <f>'Table 5C1A-Madison Prep'!AO60</f>
        <v>0</v>
      </c>
      <c r="AL57" s="227">
        <f>'Table 5C1B-DArbonne'!AO60</f>
        <v>0</v>
      </c>
      <c r="AM57" s="227">
        <f>'Table 5C1C-Intl_VIBE'!AO60</f>
        <v>0</v>
      </c>
      <c r="AN57" s="227">
        <f>'Table 5C1D-NOMMA'!AO60</f>
        <v>0</v>
      </c>
      <c r="AO57" s="227">
        <f>'Table 5C1E-LFNO'!AO60</f>
        <v>0</v>
      </c>
      <c r="AP57" s="227">
        <f>'Table 5C1F-Lake Charles Charter'!AO60</f>
        <v>0</v>
      </c>
      <c r="AQ57" s="227">
        <f>'Table 5C1G-JS Clark Academy'!AO60</f>
        <v>0</v>
      </c>
      <c r="AR57" s="227">
        <f>'Table 5C1H-Southwest LA Charter'!AO60</f>
        <v>0</v>
      </c>
      <c r="AS57" s="227">
        <f>'Table 5C1I-LA Key Academy'!AO60</f>
        <v>0</v>
      </c>
      <c r="AT57" s="227">
        <f>'Table 5C1J-Jefferson Chamber'!AO60</f>
        <v>0</v>
      </c>
      <c r="AU57" s="227">
        <f>'Table 5C1K-Tallulah Charter'!AO60</f>
        <v>-5.1875</v>
      </c>
      <c r="AV57" s="227">
        <f>'Table 5C1L-Northshore Charter'!AO60</f>
        <v>0</v>
      </c>
      <c r="AW57" s="227">
        <f>'Table 5C1M-B.R. Charter'!AO60</f>
        <v>0</v>
      </c>
      <c r="AX57" s="227">
        <f>'Table 5C1N-Delta Charter'!AO60</f>
        <v>-0.67999999999999261</v>
      </c>
      <c r="AY57" s="227">
        <f>'Table 5C1O-Impact'!AO60</f>
        <v>0</v>
      </c>
      <c r="AZ57" s="227">
        <f>+'Table 5C1P-Vision'!AO60</f>
        <v>0</v>
      </c>
      <c r="BA57" s="227">
        <f>+'Table 5C1Q-Advantage'!AO60</f>
        <v>0</v>
      </c>
      <c r="BB57" s="227">
        <f>+'Table 5C1R-Iberville'!AO60</f>
        <v>0</v>
      </c>
      <c r="BC57" s="227">
        <f>+'Table 5C1S-L.C. Coll Prep'!AO60</f>
        <v>0</v>
      </c>
      <c r="BD57" s="227">
        <f>+'Table 5C1T-Northeast'!AO60</f>
        <v>0</v>
      </c>
      <c r="BE57" s="227">
        <f>+'Table 5C1U-Acadiana Ren'!AO60</f>
        <v>0</v>
      </c>
      <c r="BF57" s="227">
        <f>+'Table 5C1V-Laf Ren'!AO60</f>
        <v>0</v>
      </c>
      <c r="BG57" s="227">
        <f>+'Table 5C1W-Willow'!AO60</f>
        <v>0</v>
      </c>
      <c r="BH57" s="227">
        <f>'Table 5C2 - LA Virtual Admy'!AP60</f>
        <v>-4.6687500000000002</v>
      </c>
      <c r="BI57" s="227">
        <f>'Table 5C3 - LA Connections EBR'!AP60</f>
        <v>-37.808999999999997</v>
      </c>
      <c r="BJ57" s="248">
        <f t="shared" si="58"/>
        <v>341989.65474999999</v>
      </c>
    </row>
    <row r="58" spans="1:62" ht="14.45" customHeight="1">
      <c r="A58" s="3">
        <v>55</v>
      </c>
      <c r="B58" s="7" t="s">
        <v>126</v>
      </c>
      <c r="C58" s="9">
        <f>'Table 2_State Distrib and Adjs'!AL61</f>
        <v>7330295</v>
      </c>
      <c r="D58" s="10">
        <f>-'Table 5A3_OJJ'!W60</f>
        <v>-5695</v>
      </c>
      <c r="E58" s="10"/>
      <c r="F58" s="10"/>
      <c r="G58" s="10">
        <f>-'Table 5C1A-Madison Prep'!AI61</f>
        <v>0</v>
      </c>
      <c r="H58" s="10">
        <f>-'Table 5C1B-DArbonne'!AI61</f>
        <v>0</v>
      </c>
      <c r="I58" s="10">
        <f>-'Table 5C1C-Intl_VIBE'!AI61</f>
        <v>0</v>
      </c>
      <c r="J58" s="10">
        <f>-'Table 5C1D-NOMMA'!AI61</f>
        <v>0</v>
      </c>
      <c r="K58" s="10">
        <f>-'Table 5C1E-LFNO'!AI61</f>
        <v>0</v>
      </c>
      <c r="L58" s="10">
        <f>-'Table 5C1F-Lake Charles Charter'!AI61</f>
        <v>0</v>
      </c>
      <c r="M58" s="10">
        <f>-'Table 5C1G-JS Clark Academy'!AI61</f>
        <v>0</v>
      </c>
      <c r="N58" s="10">
        <f>-'Table 5C1H-Southwest LA Charter'!AI61</f>
        <v>0</v>
      </c>
      <c r="O58" s="10">
        <f>-'Table 5C1I-LA Key Academy'!AI61</f>
        <v>0</v>
      </c>
      <c r="P58" s="10">
        <f>-'Table 5C1J-Jefferson Chamber'!AI61</f>
        <v>0</v>
      </c>
      <c r="Q58" s="10">
        <f>-'Table 5C1K-Tallulah Charter'!AI61</f>
        <v>0</v>
      </c>
      <c r="R58" s="10">
        <f>-'Table 5C1L-Northshore Charter'!AI61</f>
        <v>0</v>
      </c>
      <c r="S58" s="10">
        <f>-'Table 5C1M-B.R. Charter'!AI61</f>
        <v>0</v>
      </c>
      <c r="T58" s="10">
        <f>-'Table 5C1N-Delta Charter'!AI61</f>
        <v>0</v>
      </c>
      <c r="U58" s="10">
        <f>-'Table 5C1O-Impact'!AI61</f>
        <v>0</v>
      </c>
      <c r="V58" s="10">
        <f>-'Table 5C1P-Vision'!AI61</f>
        <v>0</v>
      </c>
      <c r="W58" s="10">
        <f>-'Table 5C1Q-Advantage'!AI61</f>
        <v>0</v>
      </c>
      <c r="X58" s="10">
        <f>-'Table 5C1R-Iberville'!AI61</f>
        <v>0</v>
      </c>
      <c r="Y58" s="10">
        <f>-'Table 5C1S-L.C. Coll Prep'!AI61</f>
        <v>0</v>
      </c>
      <c r="Z58" s="10">
        <f>-'Table 5C1T-Northeast'!AI61</f>
        <v>0</v>
      </c>
      <c r="AA58" s="10">
        <f>-'Table 5C1U-Acadiana Ren'!AI61</f>
        <v>1122</v>
      </c>
      <c r="AB58" s="10">
        <f>-'Table 5C1V-Laf Ren'!AI61</f>
        <v>0</v>
      </c>
      <c r="AC58" s="10">
        <f>-'Table 5C1W-Willow'!AI61</f>
        <v>0</v>
      </c>
      <c r="AD58" s="10">
        <f>-'Table 5C2 - LA Virtual Admy'!AJ61</f>
        <v>-15138</v>
      </c>
      <c r="AE58" s="10">
        <f>-'Table 5C3 - LA Connections EBR'!AJ61</f>
        <v>-18424</v>
      </c>
      <c r="AF58" s="10">
        <f t="shared" si="56"/>
        <v>-38135</v>
      </c>
      <c r="AG58" s="15">
        <f t="shared" si="57"/>
        <v>7292160</v>
      </c>
      <c r="AH58" s="10"/>
      <c r="AI58" s="10"/>
      <c r="AJ58" s="10"/>
      <c r="AK58" s="10">
        <f>'Table 5C1A-Madison Prep'!AO61</f>
        <v>0</v>
      </c>
      <c r="AL58" s="10">
        <f>'Table 5C1B-DArbonne'!AO61</f>
        <v>0</v>
      </c>
      <c r="AM58" s="10">
        <f>'Table 5C1C-Intl_VIBE'!AO61</f>
        <v>0</v>
      </c>
      <c r="AN58" s="10">
        <f>'Table 5C1D-NOMMA'!AO61</f>
        <v>0</v>
      </c>
      <c r="AO58" s="10">
        <f>'Table 5C1E-LFNO'!AO61</f>
        <v>0</v>
      </c>
      <c r="AP58" s="10">
        <f>'Table 5C1F-Lake Charles Charter'!AO61</f>
        <v>0</v>
      </c>
      <c r="AQ58" s="10">
        <f>'Table 5C1G-JS Clark Academy'!AO61</f>
        <v>0</v>
      </c>
      <c r="AR58" s="10">
        <f>'Table 5C1H-Southwest LA Charter'!AO61</f>
        <v>0</v>
      </c>
      <c r="AS58" s="10">
        <f>'Table 5C1I-LA Key Academy'!AO61</f>
        <v>0</v>
      </c>
      <c r="AT58" s="10">
        <f>'Table 5C1J-Jefferson Chamber'!AO61</f>
        <v>0</v>
      </c>
      <c r="AU58" s="10">
        <f>'Table 5C1K-Tallulah Charter'!AO61</f>
        <v>0</v>
      </c>
      <c r="AV58" s="10">
        <f>'Table 5C1L-Northshore Charter'!AO61</f>
        <v>0</v>
      </c>
      <c r="AW58" s="10">
        <f>'Table 5C1M-B.R. Charter'!AO61</f>
        <v>0</v>
      </c>
      <c r="AX58" s="10">
        <f>'Table 5C1N-Delta Charter'!AO61</f>
        <v>0</v>
      </c>
      <c r="AY58" s="10">
        <f>'Table 5C1O-Impact'!AO61</f>
        <v>0</v>
      </c>
      <c r="AZ58" s="10">
        <f>+'Table 5C1P-Vision'!AO61</f>
        <v>0</v>
      </c>
      <c r="BA58" s="10">
        <f>+'Table 5C1Q-Advantage'!AO61</f>
        <v>0</v>
      </c>
      <c r="BB58" s="10">
        <f>+'Table 5C1R-Iberville'!AO61</f>
        <v>0</v>
      </c>
      <c r="BC58" s="10">
        <f>+'Table 5C1S-L.C. Coll Prep'!AO61</f>
        <v>0</v>
      </c>
      <c r="BD58" s="10">
        <f>+'Table 5C1T-Northeast'!AO61</f>
        <v>0</v>
      </c>
      <c r="BE58" s="10">
        <f>+'Table 5C1U-Acadiana Ren'!AO61</f>
        <v>0</v>
      </c>
      <c r="BF58" s="10">
        <f>+'Table 5C1V-Laf Ren'!AO61</f>
        <v>0</v>
      </c>
      <c r="BG58" s="10">
        <f>+'Table 5C1W-Willow'!AO61</f>
        <v>0</v>
      </c>
      <c r="BH58" s="10">
        <f>'Table 5C2 - LA Virtual Admy'!AP61</f>
        <v>-53.749124999999935</v>
      </c>
      <c r="BI58" s="10">
        <f>'Table 5C3 - LA Connections EBR'!AP61</f>
        <v>-179.172</v>
      </c>
      <c r="BJ58" s="15">
        <f t="shared" si="58"/>
        <v>7291927.0788749997</v>
      </c>
    </row>
    <row r="59" spans="1:62" ht="14.45" customHeight="1">
      <c r="A59" s="224">
        <v>56</v>
      </c>
      <c r="B59" s="225" t="s">
        <v>127</v>
      </c>
      <c r="C59" s="226">
        <f>'Table 2_State Distrib and Adjs'!AL62</f>
        <v>970482</v>
      </c>
      <c r="D59" s="227">
        <f>-'Table 5A3_OJJ'!W61</f>
        <v>0</v>
      </c>
      <c r="E59" s="227"/>
      <c r="F59" s="227"/>
      <c r="G59" s="227">
        <f>-'Table 5C1A-Madison Prep'!AI62</f>
        <v>0</v>
      </c>
      <c r="H59" s="227">
        <f>-'Table 5C1B-DArbonne'!AI62</f>
        <v>-169330</v>
      </c>
      <c r="I59" s="227">
        <f>-'Table 5C1C-Intl_VIBE'!AI62</f>
        <v>0</v>
      </c>
      <c r="J59" s="227">
        <f>-'Table 5C1D-NOMMA'!AI62</f>
        <v>0</v>
      </c>
      <c r="K59" s="227">
        <f>-'Table 5C1E-LFNO'!AI62</f>
        <v>0</v>
      </c>
      <c r="L59" s="227">
        <f>-'Table 5C1F-Lake Charles Charter'!AI62</f>
        <v>0</v>
      </c>
      <c r="M59" s="227">
        <f>-'Table 5C1G-JS Clark Academy'!AI62</f>
        <v>0</v>
      </c>
      <c r="N59" s="227">
        <f>-'Table 5C1H-Southwest LA Charter'!AI62</f>
        <v>0</v>
      </c>
      <c r="O59" s="227">
        <f>-'Table 5C1I-LA Key Academy'!AI62</f>
        <v>0</v>
      </c>
      <c r="P59" s="227">
        <f>-'Table 5C1J-Jefferson Chamber'!AI62</f>
        <v>0</v>
      </c>
      <c r="Q59" s="227">
        <f>-'Table 5C1K-Tallulah Charter'!AI62</f>
        <v>0</v>
      </c>
      <c r="R59" s="227">
        <f>-'Table 5C1L-Northshore Charter'!AI62</f>
        <v>0</v>
      </c>
      <c r="S59" s="227">
        <f>-'Table 5C1M-B.R. Charter'!AI62</f>
        <v>0</v>
      </c>
      <c r="T59" s="227">
        <f>-'Table 5C1N-Delta Charter'!AI62</f>
        <v>0</v>
      </c>
      <c r="U59" s="227">
        <f>-'Table 5C1O-Impact'!AI62</f>
        <v>0</v>
      </c>
      <c r="V59" s="227">
        <f>-'Table 5C1P-Vision'!AI62</f>
        <v>0</v>
      </c>
      <c r="W59" s="227">
        <f>-'Table 5C1Q-Advantage'!AI62</f>
        <v>0</v>
      </c>
      <c r="X59" s="227">
        <f>-'Table 5C1R-Iberville'!AI62</f>
        <v>0</v>
      </c>
      <c r="Y59" s="227">
        <f>-'Table 5C1S-L.C. Coll Prep'!AI62</f>
        <v>0</v>
      </c>
      <c r="Z59" s="227">
        <f>-'Table 5C1T-Northeast'!AI62</f>
        <v>-17259</v>
      </c>
      <c r="AA59" s="227">
        <f>-'Table 5C1U-Acadiana Ren'!AI62</f>
        <v>0</v>
      </c>
      <c r="AB59" s="227">
        <f>-'Table 5C1V-Laf Ren'!AI62</f>
        <v>0</v>
      </c>
      <c r="AC59" s="227">
        <f>-'Table 5C1W-Willow'!AI62</f>
        <v>0</v>
      </c>
      <c r="AD59" s="227">
        <f>-'Table 5C2 - LA Virtual Admy'!AJ62</f>
        <v>-4481</v>
      </c>
      <c r="AE59" s="227">
        <f>-'Table 5C3 - LA Connections EBR'!AJ62</f>
        <v>-1357</v>
      </c>
      <c r="AF59" s="227">
        <f t="shared" si="56"/>
        <v>-192427</v>
      </c>
      <c r="AG59" s="248">
        <f t="shared" si="57"/>
        <v>778055</v>
      </c>
      <c r="AH59" s="227"/>
      <c r="AI59" s="227"/>
      <c r="AJ59" s="227"/>
      <c r="AK59" s="227">
        <f>'Table 5C1A-Madison Prep'!AO62</f>
        <v>0</v>
      </c>
      <c r="AL59" s="227">
        <f>'Table 5C1B-DArbonne'!AO62</f>
        <v>-486.29499999999916</v>
      </c>
      <c r="AM59" s="227">
        <f>'Table 5C1C-Intl_VIBE'!AO62</f>
        <v>0</v>
      </c>
      <c r="AN59" s="227">
        <f>'Table 5C1D-NOMMA'!AO62</f>
        <v>0</v>
      </c>
      <c r="AO59" s="227">
        <f>'Table 5C1E-LFNO'!AO62</f>
        <v>0</v>
      </c>
      <c r="AP59" s="227">
        <f>'Table 5C1F-Lake Charles Charter'!AO62</f>
        <v>0</v>
      </c>
      <c r="AQ59" s="227">
        <f>'Table 5C1G-JS Clark Academy'!AO62</f>
        <v>0</v>
      </c>
      <c r="AR59" s="227">
        <f>'Table 5C1H-Southwest LA Charter'!AO62</f>
        <v>0</v>
      </c>
      <c r="AS59" s="227">
        <f>'Table 5C1I-LA Key Academy'!AO62</f>
        <v>0</v>
      </c>
      <c r="AT59" s="227">
        <f>'Table 5C1J-Jefferson Chamber'!AO62</f>
        <v>0</v>
      </c>
      <c r="AU59" s="227">
        <f>'Table 5C1K-Tallulah Charter'!AO62</f>
        <v>0</v>
      </c>
      <c r="AV59" s="227">
        <f>'Table 5C1L-Northshore Charter'!AO62</f>
        <v>0</v>
      </c>
      <c r="AW59" s="227">
        <f>'Table 5C1M-B.R. Charter'!AO62</f>
        <v>0</v>
      </c>
      <c r="AX59" s="227">
        <f>'Table 5C1N-Delta Charter'!AO62</f>
        <v>0</v>
      </c>
      <c r="AY59" s="227">
        <f>'Table 5C1O-Impact'!AO62</f>
        <v>0</v>
      </c>
      <c r="AZ59" s="227">
        <f>+'Table 5C1P-Vision'!AO62</f>
        <v>0</v>
      </c>
      <c r="BA59" s="227">
        <f>+'Table 5C1Q-Advantage'!AO62</f>
        <v>0</v>
      </c>
      <c r="BB59" s="227">
        <f>+'Table 5C1R-Iberville'!AO62</f>
        <v>0</v>
      </c>
      <c r="BC59" s="227">
        <f>+'Table 5C1S-L.C. Coll Prep'!AO62</f>
        <v>0</v>
      </c>
      <c r="BD59" s="227">
        <f>+'Table 5C1T-Northeast'!AO62</f>
        <v>-163.47750000000002</v>
      </c>
      <c r="BE59" s="227">
        <f>+'Table 5C1U-Acadiana Ren'!AO62</f>
        <v>0</v>
      </c>
      <c r="BF59" s="227">
        <f>+'Table 5C1V-Laf Ren'!AO62</f>
        <v>0</v>
      </c>
      <c r="BG59" s="227">
        <f>+'Table 5C1W-Willow'!AO62</f>
        <v>0</v>
      </c>
      <c r="BH59" s="227">
        <f>'Table 5C2 - LA Virtual Admy'!AP62</f>
        <v>-32.033250000000002</v>
      </c>
      <c r="BI59" s="227">
        <f>'Table 5C3 - LA Connections EBR'!AP62</f>
        <v>-9.5703750000000021</v>
      </c>
      <c r="BJ59" s="248">
        <f t="shared" si="58"/>
        <v>777363.62387499993</v>
      </c>
    </row>
    <row r="60" spans="1:62" ht="14.45" customHeight="1">
      <c r="A60" s="224">
        <v>57</v>
      </c>
      <c r="B60" s="225" t="s">
        <v>128</v>
      </c>
      <c r="C60" s="226">
        <f>'Table 2_State Distrib and Adjs'!AL63</f>
        <v>4126693</v>
      </c>
      <c r="D60" s="227">
        <f>-'Table 5A3_OJJ'!W62</f>
        <v>-1070</v>
      </c>
      <c r="E60" s="227"/>
      <c r="F60" s="227"/>
      <c r="G60" s="227">
        <f>-'Table 5C1A-Madison Prep'!AI63</f>
        <v>0</v>
      </c>
      <c r="H60" s="227">
        <f>-'Table 5C1B-DArbonne'!AI63</f>
        <v>0</v>
      </c>
      <c r="I60" s="227">
        <f>-'Table 5C1C-Intl_VIBE'!AI63</f>
        <v>0</v>
      </c>
      <c r="J60" s="227">
        <f>-'Table 5C1D-NOMMA'!AI63</f>
        <v>0</v>
      </c>
      <c r="K60" s="227">
        <f>-'Table 5C1E-LFNO'!AI63</f>
        <v>0</v>
      </c>
      <c r="L60" s="227">
        <f>-'Table 5C1F-Lake Charles Charter'!AI63</f>
        <v>0</v>
      </c>
      <c r="M60" s="227">
        <f>-'Table 5C1G-JS Clark Academy'!AI63</f>
        <v>0</v>
      </c>
      <c r="N60" s="227">
        <f>-'Table 5C1H-Southwest LA Charter'!AI63</f>
        <v>0</v>
      </c>
      <c r="O60" s="227">
        <f>-'Table 5C1I-LA Key Academy'!AI63</f>
        <v>0</v>
      </c>
      <c r="P60" s="227">
        <f>-'Table 5C1J-Jefferson Chamber'!AI63</f>
        <v>0</v>
      </c>
      <c r="Q60" s="227">
        <f>-'Table 5C1K-Tallulah Charter'!AI63</f>
        <v>0</v>
      </c>
      <c r="R60" s="227">
        <f>-'Table 5C1L-Northshore Charter'!AI63</f>
        <v>0</v>
      </c>
      <c r="S60" s="227">
        <f>-'Table 5C1M-B.R. Charter'!AI63</f>
        <v>0</v>
      </c>
      <c r="T60" s="227">
        <f>-'Table 5C1N-Delta Charter'!AI63</f>
        <v>0</v>
      </c>
      <c r="U60" s="227">
        <f>-'Table 5C1O-Impact'!AI63</f>
        <v>0</v>
      </c>
      <c r="V60" s="227">
        <f>-'Table 5C1P-Vision'!AI63</f>
        <v>0</v>
      </c>
      <c r="W60" s="227">
        <f>-'Table 5C1Q-Advantage'!AI63</f>
        <v>0</v>
      </c>
      <c r="X60" s="227">
        <f>-'Table 5C1R-Iberville'!AI63</f>
        <v>0</v>
      </c>
      <c r="Y60" s="227">
        <f>-'Table 5C1S-L.C. Coll Prep'!AI63</f>
        <v>0</v>
      </c>
      <c r="Z60" s="227">
        <f>-'Table 5C1T-Northeast'!AI63</f>
        <v>0</v>
      </c>
      <c r="AA60" s="227">
        <f>-'Table 5C1U-Acadiana Ren'!AI63</f>
        <v>-1726</v>
      </c>
      <c r="AB60" s="227">
        <f>-'Table 5C1V-Laf Ren'!AI63</f>
        <v>2364</v>
      </c>
      <c r="AC60" s="227">
        <f>-'Table 5C1W-Willow'!AI63</f>
        <v>-4320</v>
      </c>
      <c r="AD60" s="227">
        <f>-'Table 5C2 - LA Virtual Admy'!AJ63</f>
        <v>-10480</v>
      </c>
      <c r="AE60" s="227">
        <f>-'Table 5C3 - LA Connections EBR'!AJ63</f>
        <v>-3584</v>
      </c>
      <c r="AF60" s="227">
        <f t="shared" si="56"/>
        <v>-18816</v>
      </c>
      <c r="AG60" s="248">
        <f t="shared" si="57"/>
        <v>4107877</v>
      </c>
      <c r="AH60" s="227"/>
      <c r="AI60" s="227"/>
      <c r="AJ60" s="227"/>
      <c r="AK60" s="227">
        <f>'Table 5C1A-Madison Prep'!AO63</f>
        <v>0</v>
      </c>
      <c r="AL60" s="227">
        <f>'Table 5C1B-DArbonne'!AO63</f>
        <v>0</v>
      </c>
      <c r="AM60" s="227">
        <f>'Table 5C1C-Intl_VIBE'!AO63</f>
        <v>0</v>
      </c>
      <c r="AN60" s="227">
        <f>'Table 5C1D-NOMMA'!AO63</f>
        <v>0</v>
      </c>
      <c r="AO60" s="227">
        <f>'Table 5C1E-LFNO'!AO63</f>
        <v>0</v>
      </c>
      <c r="AP60" s="227">
        <f>'Table 5C1F-Lake Charles Charter'!AO63</f>
        <v>0</v>
      </c>
      <c r="AQ60" s="227">
        <f>'Table 5C1G-JS Clark Academy'!AO63</f>
        <v>0</v>
      </c>
      <c r="AR60" s="227">
        <f>'Table 5C1H-Southwest LA Charter'!AO63</f>
        <v>0</v>
      </c>
      <c r="AS60" s="227">
        <f>'Table 5C1I-LA Key Academy'!AO63</f>
        <v>0</v>
      </c>
      <c r="AT60" s="227">
        <f>'Table 5C1J-Jefferson Chamber'!AO63</f>
        <v>0</v>
      </c>
      <c r="AU60" s="227">
        <f>'Table 5C1K-Tallulah Charter'!AO63</f>
        <v>0</v>
      </c>
      <c r="AV60" s="227">
        <f>'Table 5C1L-Northshore Charter'!AO63</f>
        <v>0</v>
      </c>
      <c r="AW60" s="227">
        <f>'Table 5C1M-B.R. Charter'!AO63</f>
        <v>0</v>
      </c>
      <c r="AX60" s="227">
        <f>'Table 5C1N-Delta Charter'!AO63</f>
        <v>0</v>
      </c>
      <c r="AY60" s="227">
        <f>'Table 5C1O-Impact'!AO63</f>
        <v>0</v>
      </c>
      <c r="AZ60" s="227">
        <f>+'Table 5C1P-Vision'!AO63</f>
        <v>0</v>
      </c>
      <c r="BA60" s="227">
        <f>+'Table 5C1Q-Advantage'!AO63</f>
        <v>0</v>
      </c>
      <c r="BB60" s="227">
        <f>+'Table 5C1R-Iberville'!AO63</f>
        <v>0</v>
      </c>
      <c r="BC60" s="227">
        <f>+'Table 5C1S-L.C. Coll Prep'!AO63</f>
        <v>0</v>
      </c>
      <c r="BD60" s="227">
        <f>+'Table 5C1T-Northeast'!AO63</f>
        <v>0</v>
      </c>
      <c r="BE60" s="227">
        <f>+'Table 5C1U-Acadiana Ren'!AO63</f>
        <v>-36.749999999999986</v>
      </c>
      <c r="BF60" s="227">
        <f>+'Table 5C1V-Laf Ren'!AO63</f>
        <v>177.88750000000002</v>
      </c>
      <c r="BG60" s="227">
        <f>+'Table 5C1W-Willow'!AO63</f>
        <v>-43.3125</v>
      </c>
      <c r="BH60" s="227">
        <f>'Table 5C2 - LA Virtual Admy'!AP63</f>
        <v>-46.501875000000013</v>
      </c>
      <c r="BI60" s="227">
        <f>'Table 5C3 - LA Connections EBR'!AP63</f>
        <v>-28.389375000000001</v>
      </c>
      <c r="BJ60" s="248">
        <f t="shared" si="58"/>
        <v>4107899.9337500003</v>
      </c>
    </row>
    <row r="61" spans="1:62" ht="14.45" customHeight="1">
      <c r="A61" s="224">
        <v>58</v>
      </c>
      <c r="B61" s="225" t="s">
        <v>129</v>
      </c>
      <c r="C61" s="226">
        <f>'Table 2_State Distrib and Adjs'!AL64</f>
        <v>4324954</v>
      </c>
      <c r="D61" s="227">
        <f>-'Table 5A3_OJJ'!W63</f>
        <v>0</v>
      </c>
      <c r="E61" s="227"/>
      <c r="F61" s="227"/>
      <c r="G61" s="227">
        <f>-'Table 5C1A-Madison Prep'!AI64</f>
        <v>0</v>
      </c>
      <c r="H61" s="227">
        <f>-'Table 5C1B-DArbonne'!AI64</f>
        <v>0</v>
      </c>
      <c r="I61" s="227">
        <f>-'Table 5C1C-Intl_VIBE'!AI64</f>
        <v>0</v>
      </c>
      <c r="J61" s="227">
        <f>-'Table 5C1D-NOMMA'!AI64</f>
        <v>0</v>
      </c>
      <c r="K61" s="227">
        <f>-'Table 5C1E-LFNO'!AI64</f>
        <v>0</v>
      </c>
      <c r="L61" s="227">
        <f>-'Table 5C1F-Lake Charles Charter'!AI64</f>
        <v>0</v>
      </c>
      <c r="M61" s="227">
        <f>-'Table 5C1G-JS Clark Academy'!AI64</f>
        <v>0</v>
      </c>
      <c r="N61" s="227">
        <f>-'Table 5C1H-Southwest LA Charter'!AI64</f>
        <v>0</v>
      </c>
      <c r="O61" s="227">
        <f>-'Table 5C1I-LA Key Academy'!AI64</f>
        <v>0</v>
      </c>
      <c r="P61" s="227">
        <f>-'Table 5C1J-Jefferson Chamber'!AI64</f>
        <v>0</v>
      </c>
      <c r="Q61" s="227">
        <f>-'Table 5C1K-Tallulah Charter'!AI64</f>
        <v>0</v>
      </c>
      <c r="R61" s="227">
        <f>-'Table 5C1L-Northshore Charter'!AI64</f>
        <v>0</v>
      </c>
      <c r="S61" s="227">
        <f>-'Table 5C1M-B.R. Charter'!AI64</f>
        <v>0</v>
      </c>
      <c r="T61" s="227">
        <f>-'Table 5C1N-Delta Charter'!AI64</f>
        <v>0</v>
      </c>
      <c r="U61" s="227">
        <f>-'Table 5C1O-Impact'!AI64</f>
        <v>0</v>
      </c>
      <c r="V61" s="227">
        <f>-'Table 5C1P-Vision'!AI64</f>
        <v>0</v>
      </c>
      <c r="W61" s="227">
        <f>-'Table 5C1Q-Advantage'!AI64</f>
        <v>0</v>
      </c>
      <c r="X61" s="227">
        <f>-'Table 5C1R-Iberville'!AI64</f>
        <v>0</v>
      </c>
      <c r="Y61" s="227">
        <f>-'Table 5C1S-L.C. Coll Prep'!AI64</f>
        <v>0</v>
      </c>
      <c r="Z61" s="227">
        <f>-'Table 5C1T-Northeast'!AI64</f>
        <v>0</v>
      </c>
      <c r="AA61" s="227">
        <f>-'Table 5C1U-Acadiana Ren'!AI64</f>
        <v>0</v>
      </c>
      <c r="AB61" s="227">
        <f>-'Table 5C1V-Laf Ren'!AI64</f>
        <v>0</v>
      </c>
      <c r="AC61" s="227">
        <f>-'Table 5C1W-Willow'!AI64</f>
        <v>0</v>
      </c>
      <c r="AD61" s="227">
        <f>-'Table 5C2 - LA Virtual Admy'!AJ64</f>
        <v>-6158</v>
      </c>
      <c r="AE61" s="227">
        <f>-'Table 5C3 - LA Connections EBR'!AJ64</f>
        <v>-5659</v>
      </c>
      <c r="AF61" s="227">
        <f t="shared" si="56"/>
        <v>-11817</v>
      </c>
      <c r="AG61" s="248">
        <f t="shared" si="57"/>
        <v>4313137</v>
      </c>
      <c r="AH61" s="227"/>
      <c r="AI61" s="227"/>
      <c r="AJ61" s="227"/>
      <c r="AK61" s="227">
        <f>'Table 5C1A-Madison Prep'!AO64</f>
        <v>0</v>
      </c>
      <c r="AL61" s="227">
        <f>'Table 5C1B-DArbonne'!AO64</f>
        <v>0</v>
      </c>
      <c r="AM61" s="227">
        <f>'Table 5C1C-Intl_VIBE'!AO64</f>
        <v>0</v>
      </c>
      <c r="AN61" s="227">
        <f>'Table 5C1D-NOMMA'!AO64</f>
        <v>0</v>
      </c>
      <c r="AO61" s="227">
        <f>'Table 5C1E-LFNO'!AO64</f>
        <v>0</v>
      </c>
      <c r="AP61" s="227">
        <f>'Table 5C1F-Lake Charles Charter'!AO64</f>
        <v>0</v>
      </c>
      <c r="AQ61" s="227">
        <f>'Table 5C1G-JS Clark Academy'!AO64</f>
        <v>0</v>
      </c>
      <c r="AR61" s="227">
        <f>'Table 5C1H-Southwest LA Charter'!AO64</f>
        <v>0</v>
      </c>
      <c r="AS61" s="227">
        <f>'Table 5C1I-LA Key Academy'!AO64</f>
        <v>0</v>
      </c>
      <c r="AT61" s="227">
        <f>'Table 5C1J-Jefferson Chamber'!AO64</f>
        <v>0</v>
      </c>
      <c r="AU61" s="227">
        <f>'Table 5C1K-Tallulah Charter'!AO64</f>
        <v>0</v>
      </c>
      <c r="AV61" s="227">
        <f>'Table 5C1L-Northshore Charter'!AO64</f>
        <v>0</v>
      </c>
      <c r="AW61" s="227">
        <f>'Table 5C1M-B.R. Charter'!AO64</f>
        <v>0</v>
      </c>
      <c r="AX61" s="227">
        <f>'Table 5C1N-Delta Charter'!AO64</f>
        <v>0</v>
      </c>
      <c r="AY61" s="227">
        <f>'Table 5C1O-Impact'!AO64</f>
        <v>0</v>
      </c>
      <c r="AZ61" s="227">
        <f>+'Table 5C1P-Vision'!AO64</f>
        <v>0</v>
      </c>
      <c r="BA61" s="227">
        <f>+'Table 5C1Q-Advantage'!AO64</f>
        <v>0</v>
      </c>
      <c r="BB61" s="227">
        <f>+'Table 5C1R-Iberville'!AO64</f>
        <v>0</v>
      </c>
      <c r="BC61" s="227">
        <f>+'Table 5C1S-L.C. Coll Prep'!AO64</f>
        <v>0</v>
      </c>
      <c r="BD61" s="227">
        <f>+'Table 5C1T-Northeast'!AO64</f>
        <v>0</v>
      </c>
      <c r="BE61" s="227">
        <f>+'Table 5C1U-Acadiana Ren'!AO64</f>
        <v>0</v>
      </c>
      <c r="BF61" s="227">
        <f>+'Table 5C1V-Laf Ren'!AO64</f>
        <v>0</v>
      </c>
      <c r="BG61" s="227">
        <f>+'Table 5C1W-Willow'!AO64</f>
        <v>0</v>
      </c>
      <c r="BH61" s="227">
        <f>'Table 5C2 - LA Virtual Admy'!AP64</f>
        <v>19.543500000000051</v>
      </c>
      <c r="BI61" s="227">
        <f>'Table 5C3 - LA Connections EBR'!AP64</f>
        <v>-24.731999999999999</v>
      </c>
      <c r="BJ61" s="248">
        <f t="shared" si="58"/>
        <v>4313131.8114999998</v>
      </c>
    </row>
    <row r="62" spans="1:62" ht="14.45" customHeight="1">
      <c r="A62" s="224">
        <v>59</v>
      </c>
      <c r="B62" s="225" t="s">
        <v>130</v>
      </c>
      <c r="C62" s="226">
        <f>'Table 2_State Distrib and Adjs'!AL65</f>
        <v>3128523</v>
      </c>
      <c r="D62" s="227">
        <f>-'Table 5A3_OJJ'!W64</f>
        <v>-155</v>
      </c>
      <c r="E62" s="227"/>
      <c r="F62" s="227"/>
      <c r="G62" s="227">
        <f>-'Table 5C1A-Madison Prep'!AI65</f>
        <v>0</v>
      </c>
      <c r="H62" s="227">
        <f>-'Table 5C1B-DArbonne'!AI65</f>
        <v>0</v>
      </c>
      <c r="I62" s="227">
        <f>-'Table 5C1C-Intl_VIBE'!AI65</f>
        <v>0</v>
      </c>
      <c r="J62" s="227">
        <f>-'Table 5C1D-NOMMA'!AI65</f>
        <v>0</v>
      </c>
      <c r="K62" s="227">
        <f>-'Table 5C1E-LFNO'!AI65</f>
        <v>0</v>
      </c>
      <c r="L62" s="227">
        <f>-'Table 5C1F-Lake Charles Charter'!AI65</f>
        <v>0</v>
      </c>
      <c r="M62" s="227">
        <f>-'Table 5C1G-JS Clark Academy'!AI65</f>
        <v>0</v>
      </c>
      <c r="N62" s="227">
        <f>-'Table 5C1H-Southwest LA Charter'!AI65</f>
        <v>0</v>
      </c>
      <c r="O62" s="227">
        <f>-'Table 5C1I-LA Key Academy'!AI65</f>
        <v>0</v>
      </c>
      <c r="P62" s="227">
        <f>-'Table 5C1J-Jefferson Chamber'!AI65</f>
        <v>-190</v>
      </c>
      <c r="Q62" s="227">
        <f>-'Table 5C1K-Tallulah Charter'!AI65</f>
        <v>0</v>
      </c>
      <c r="R62" s="227">
        <f>-'Table 5C1L-Northshore Charter'!AI65</f>
        <v>-2303</v>
      </c>
      <c r="S62" s="227">
        <f>-'Table 5C1M-B.R. Charter'!AI65</f>
        <v>0</v>
      </c>
      <c r="T62" s="227">
        <f>-'Table 5C1N-Delta Charter'!AI65</f>
        <v>0</v>
      </c>
      <c r="U62" s="227">
        <f>-'Table 5C1O-Impact'!AI65</f>
        <v>0</v>
      </c>
      <c r="V62" s="227">
        <f>-'Table 5C1P-Vision'!AI65</f>
        <v>0</v>
      </c>
      <c r="W62" s="227">
        <f>-'Table 5C1Q-Advantage'!AI65</f>
        <v>0</v>
      </c>
      <c r="X62" s="227">
        <f>-'Table 5C1R-Iberville'!AI65</f>
        <v>0</v>
      </c>
      <c r="Y62" s="227">
        <f>-'Table 5C1S-L.C. Coll Prep'!AI65</f>
        <v>0</v>
      </c>
      <c r="Z62" s="227">
        <f>-'Table 5C1T-Northeast'!AI65</f>
        <v>0</v>
      </c>
      <c r="AA62" s="227">
        <f>-'Table 5C1U-Acadiana Ren'!AI65</f>
        <v>0</v>
      </c>
      <c r="AB62" s="227">
        <f>-'Table 5C1V-Laf Ren'!AI65</f>
        <v>0</v>
      </c>
      <c r="AC62" s="227">
        <f>-'Table 5C1W-Willow'!AI65</f>
        <v>0</v>
      </c>
      <c r="AD62" s="227">
        <f>-'Table 5C2 - LA Virtual Admy'!AJ65</f>
        <v>-1505</v>
      </c>
      <c r="AE62" s="227">
        <f>-'Table 5C3 - LA Connections EBR'!AJ65</f>
        <v>-3386</v>
      </c>
      <c r="AF62" s="227">
        <f t="shared" si="56"/>
        <v>-7539</v>
      </c>
      <c r="AG62" s="248">
        <f t="shared" si="57"/>
        <v>3120984</v>
      </c>
      <c r="AH62" s="227"/>
      <c r="AI62" s="227"/>
      <c r="AJ62" s="227"/>
      <c r="AK62" s="227">
        <f>'Table 5C1A-Madison Prep'!AO65</f>
        <v>0</v>
      </c>
      <c r="AL62" s="227">
        <f>'Table 5C1B-DArbonne'!AO65</f>
        <v>0</v>
      </c>
      <c r="AM62" s="227">
        <f>'Table 5C1C-Intl_VIBE'!AO65</f>
        <v>0</v>
      </c>
      <c r="AN62" s="227">
        <f>'Table 5C1D-NOMMA'!AO65</f>
        <v>0</v>
      </c>
      <c r="AO62" s="227">
        <f>'Table 5C1E-LFNO'!AO65</f>
        <v>0</v>
      </c>
      <c r="AP62" s="227">
        <f>'Table 5C1F-Lake Charles Charter'!AO65</f>
        <v>0</v>
      </c>
      <c r="AQ62" s="227">
        <f>'Table 5C1G-JS Clark Academy'!AO65</f>
        <v>0</v>
      </c>
      <c r="AR62" s="227">
        <f>'Table 5C1H-Southwest LA Charter'!AO65</f>
        <v>0</v>
      </c>
      <c r="AS62" s="227">
        <f>'Table 5C1I-LA Key Academy'!AO65</f>
        <v>0</v>
      </c>
      <c r="AT62" s="227">
        <f>'Table 5C1J-Jefferson Chamber'!AO65</f>
        <v>-1.9012500000000001</v>
      </c>
      <c r="AU62" s="227">
        <f>'Table 5C1K-Tallulah Charter'!AO65</f>
        <v>0</v>
      </c>
      <c r="AV62" s="227">
        <f>'Table 5C1L-Northshore Charter'!AO65</f>
        <v>-11.628749999999997</v>
      </c>
      <c r="AW62" s="227">
        <f>'Table 5C1M-B.R. Charter'!AO65</f>
        <v>0</v>
      </c>
      <c r="AX62" s="227">
        <f>'Table 5C1N-Delta Charter'!AO65</f>
        <v>0</v>
      </c>
      <c r="AY62" s="227">
        <f>'Table 5C1O-Impact'!AO65</f>
        <v>0</v>
      </c>
      <c r="AZ62" s="227">
        <f>+'Table 5C1P-Vision'!AO65</f>
        <v>0</v>
      </c>
      <c r="BA62" s="227">
        <f>+'Table 5C1Q-Advantage'!AO65</f>
        <v>0</v>
      </c>
      <c r="BB62" s="227">
        <f>+'Table 5C1R-Iberville'!AO65</f>
        <v>0</v>
      </c>
      <c r="BC62" s="227">
        <f>+'Table 5C1S-L.C. Coll Prep'!AO65</f>
        <v>0</v>
      </c>
      <c r="BD62" s="227">
        <f>+'Table 5C1T-Northeast'!AO65</f>
        <v>0</v>
      </c>
      <c r="BE62" s="227">
        <f>+'Table 5C1U-Acadiana Ren'!AO65</f>
        <v>0</v>
      </c>
      <c r="BF62" s="227">
        <f>+'Table 5C1V-Laf Ren'!AO65</f>
        <v>0</v>
      </c>
      <c r="BG62" s="227">
        <f>+'Table 5C1W-Willow'!AO65</f>
        <v>0</v>
      </c>
      <c r="BH62" s="227">
        <f>'Table 5C2 - LA Virtual Admy'!AP65</f>
        <v>13.290749999999989</v>
      </c>
      <c r="BI62" s="227">
        <f>'Table 5C3 - LA Connections EBR'!AP65</f>
        <v>-45.066375000000001</v>
      </c>
      <c r="BJ62" s="248">
        <f t="shared" si="58"/>
        <v>3120938.694375</v>
      </c>
    </row>
    <row r="63" spans="1:62" ht="14.45" customHeight="1">
      <c r="A63" s="3">
        <v>60</v>
      </c>
      <c r="B63" s="7" t="s">
        <v>131</v>
      </c>
      <c r="C63" s="9">
        <f>'Table 2_State Distrib and Adjs'!AL66</f>
        <v>3028874</v>
      </c>
      <c r="D63" s="10">
        <f>-'Table 5A3_OJJ'!W65</f>
        <v>-1008</v>
      </c>
      <c r="E63" s="10"/>
      <c r="F63" s="10"/>
      <c r="G63" s="10">
        <f>-'Table 5C1A-Madison Prep'!AI66</f>
        <v>0</v>
      </c>
      <c r="H63" s="10">
        <f>-'Table 5C1B-DArbonne'!AI66</f>
        <v>0</v>
      </c>
      <c r="I63" s="10">
        <f>-'Table 5C1C-Intl_VIBE'!AI66</f>
        <v>0</v>
      </c>
      <c r="J63" s="10">
        <f>-'Table 5C1D-NOMMA'!AI66</f>
        <v>0</v>
      </c>
      <c r="K63" s="10">
        <f>-'Table 5C1E-LFNO'!AI66</f>
        <v>0</v>
      </c>
      <c r="L63" s="10">
        <f>-'Table 5C1F-Lake Charles Charter'!AI66</f>
        <v>0</v>
      </c>
      <c r="M63" s="10">
        <f>-'Table 5C1G-JS Clark Academy'!AI66</f>
        <v>0</v>
      </c>
      <c r="N63" s="10">
        <f>-'Table 5C1H-Southwest LA Charter'!AI66</f>
        <v>0</v>
      </c>
      <c r="O63" s="10">
        <f>-'Table 5C1I-LA Key Academy'!AI66</f>
        <v>0</v>
      </c>
      <c r="P63" s="10">
        <f>-'Table 5C1J-Jefferson Chamber'!AI66</f>
        <v>0</v>
      </c>
      <c r="Q63" s="10">
        <f>-'Table 5C1K-Tallulah Charter'!AI66</f>
        <v>0</v>
      </c>
      <c r="R63" s="10">
        <f>-'Table 5C1L-Northshore Charter'!AI66</f>
        <v>0</v>
      </c>
      <c r="S63" s="10">
        <f>-'Table 5C1M-B.R. Charter'!AI66</f>
        <v>0</v>
      </c>
      <c r="T63" s="10">
        <f>-'Table 5C1N-Delta Charter'!AI66</f>
        <v>0</v>
      </c>
      <c r="U63" s="10">
        <f>-'Table 5C1O-Impact'!AI66</f>
        <v>0</v>
      </c>
      <c r="V63" s="10">
        <f>-'Table 5C1P-Vision'!AI66</f>
        <v>0</v>
      </c>
      <c r="W63" s="10">
        <f>-'Table 5C1Q-Advantage'!AI66</f>
        <v>0</v>
      </c>
      <c r="X63" s="10">
        <f>-'Table 5C1R-Iberville'!AI66</f>
        <v>0</v>
      </c>
      <c r="Y63" s="10">
        <f>-'Table 5C1S-L.C. Coll Prep'!AI66</f>
        <v>0</v>
      </c>
      <c r="Z63" s="10">
        <f>-'Table 5C1T-Northeast'!AI66</f>
        <v>0</v>
      </c>
      <c r="AA63" s="10">
        <f>-'Table 5C1U-Acadiana Ren'!AI66</f>
        <v>0</v>
      </c>
      <c r="AB63" s="10">
        <f>-'Table 5C1V-Laf Ren'!AI66</f>
        <v>0</v>
      </c>
      <c r="AC63" s="10">
        <f>-'Table 5C1W-Willow'!AI66</f>
        <v>0</v>
      </c>
      <c r="AD63" s="10">
        <f>-'Table 5C2 - LA Virtual Admy'!AJ66</f>
        <v>-815</v>
      </c>
      <c r="AE63" s="10">
        <f>-'Table 5C3 - LA Connections EBR'!AJ66</f>
        <v>-9158</v>
      </c>
      <c r="AF63" s="10">
        <f t="shared" si="56"/>
        <v>-10981</v>
      </c>
      <c r="AG63" s="15">
        <f t="shared" si="57"/>
        <v>3017893</v>
      </c>
      <c r="AH63" s="10"/>
      <c r="AI63" s="10"/>
      <c r="AJ63" s="10"/>
      <c r="AK63" s="10">
        <f>'Table 5C1A-Madison Prep'!AO66</f>
        <v>0</v>
      </c>
      <c r="AL63" s="10">
        <f>'Table 5C1B-DArbonne'!AO66</f>
        <v>0</v>
      </c>
      <c r="AM63" s="10">
        <f>'Table 5C1C-Intl_VIBE'!AO66</f>
        <v>0</v>
      </c>
      <c r="AN63" s="10">
        <f>'Table 5C1D-NOMMA'!AO66</f>
        <v>0</v>
      </c>
      <c r="AO63" s="10">
        <f>'Table 5C1E-LFNO'!AO66</f>
        <v>0</v>
      </c>
      <c r="AP63" s="10">
        <f>'Table 5C1F-Lake Charles Charter'!AO66</f>
        <v>0</v>
      </c>
      <c r="AQ63" s="10">
        <f>'Table 5C1G-JS Clark Academy'!AO66</f>
        <v>0</v>
      </c>
      <c r="AR63" s="10">
        <f>'Table 5C1H-Southwest LA Charter'!AO66</f>
        <v>0</v>
      </c>
      <c r="AS63" s="10">
        <f>'Table 5C1I-LA Key Academy'!AO66</f>
        <v>0</v>
      </c>
      <c r="AT63" s="10">
        <f>'Table 5C1J-Jefferson Chamber'!AO66</f>
        <v>0</v>
      </c>
      <c r="AU63" s="10">
        <f>'Table 5C1K-Tallulah Charter'!AO66</f>
        <v>0</v>
      </c>
      <c r="AV63" s="10">
        <f>'Table 5C1L-Northshore Charter'!AO66</f>
        <v>0</v>
      </c>
      <c r="AW63" s="10">
        <f>'Table 5C1M-B.R. Charter'!AO66</f>
        <v>0</v>
      </c>
      <c r="AX63" s="10">
        <f>'Table 5C1N-Delta Charter'!AO66</f>
        <v>0</v>
      </c>
      <c r="AY63" s="10">
        <f>'Table 5C1O-Impact'!AO66</f>
        <v>0</v>
      </c>
      <c r="AZ63" s="10">
        <f>+'Table 5C1P-Vision'!AO66</f>
        <v>0</v>
      </c>
      <c r="BA63" s="10">
        <f>+'Table 5C1Q-Advantage'!AO66</f>
        <v>0</v>
      </c>
      <c r="BB63" s="10">
        <f>+'Table 5C1R-Iberville'!AO66</f>
        <v>0</v>
      </c>
      <c r="BC63" s="10">
        <f>+'Table 5C1S-L.C. Coll Prep'!AO66</f>
        <v>0</v>
      </c>
      <c r="BD63" s="10">
        <f>+'Table 5C1T-Northeast'!AO66</f>
        <v>0</v>
      </c>
      <c r="BE63" s="10">
        <f>+'Table 5C1U-Acadiana Ren'!AO66</f>
        <v>0</v>
      </c>
      <c r="BF63" s="10">
        <f>+'Table 5C1V-Laf Ren'!AO66</f>
        <v>0</v>
      </c>
      <c r="BG63" s="10">
        <f>+'Table 5C1W-Willow'!AO66</f>
        <v>0</v>
      </c>
      <c r="BH63" s="10">
        <f>'Table 5C2 - LA Virtual Admy'!AP66</f>
        <v>33.003000000000014</v>
      </c>
      <c r="BI63" s="10">
        <f>'Table 5C3 - LA Connections EBR'!AP66</f>
        <v>-40.576499999999953</v>
      </c>
      <c r="BJ63" s="15">
        <f t="shared" si="58"/>
        <v>3017885.4265000001</v>
      </c>
    </row>
    <row r="64" spans="1:62" ht="14.45" customHeight="1">
      <c r="A64" s="224">
        <v>61</v>
      </c>
      <c r="B64" s="225" t="s">
        <v>132</v>
      </c>
      <c r="C64" s="226">
        <f>'Table 2_State Distrib and Adjs'!AL67</f>
        <v>1125842</v>
      </c>
      <c r="D64" s="227">
        <f>-'Table 5A3_OJJ'!W66</f>
        <v>-358</v>
      </c>
      <c r="E64" s="227"/>
      <c r="F64" s="227"/>
      <c r="G64" s="227">
        <f>-'Table 5C1A-Madison Prep'!AI67</f>
        <v>-1231</v>
      </c>
      <c r="H64" s="227">
        <f>-'Table 5C1B-DArbonne'!AI67</f>
        <v>0</v>
      </c>
      <c r="I64" s="227">
        <f>-'Table 5C1C-Intl_VIBE'!AI67</f>
        <v>0</v>
      </c>
      <c r="J64" s="227">
        <f>-'Table 5C1D-NOMMA'!AI67</f>
        <v>0</v>
      </c>
      <c r="K64" s="227">
        <f>-'Table 5C1E-LFNO'!AI67</f>
        <v>0</v>
      </c>
      <c r="L64" s="227">
        <f>-'Table 5C1F-Lake Charles Charter'!AI67</f>
        <v>0</v>
      </c>
      <c r="M64" s="227">
        <f>-'Table 5C1G-JS Clark Academy'!AI67</f>
        <v>0</v>
      </c>
      <c r="N64" s="227">
        <f>-'Table 5C1H-Southwest LA Charter'!AI67</f>
        <v>0</v>
      </c>
      <c r="O64" s="227">
        <f>-'Table 5C1I-LA Key Academy'!AI67</f>
        <v>-2235</v>
      </c>
      <c r="P64" s="227">
        <f>-'Table 5C1J-Jefferson Chamber'!AI67</f>
        <v>0</v>
      </c>
      <c r="Q64" s="227">
        <f>-'Table 5C1K-Tallulah Charter'!AI67</f>
        <v>0</v>
      </c>
      <c r="R64" s="227">
        <f>-'Table 5C1L-Northshore Charter'!AI67</f>
        <v>0</v>
      </c>
      <c r="S64" s="227">
        <f>-'Table 5C1M-B.R. Charter'!AI67</f>
        <v>-1681</v>
      </c>
      <c r="T64" s="227">
        <f>-'Table 5C1N-Delta Charter'!AI67</f>
        <v>0</v>
      </c>
      <c r="U64" s="227">
        <f>-'Table 5C1O-Impact'!AI67</f>
        <v>0</v>
      </c>
      <c r="V64" s="227">
        <f>-'Table 5C1P-Vision'!AI67</f>
        <v>0</v>
      </c>
      <c r="W64" s="227">
        <f>-'Table 5C1Q-Advantage'!AI67</f>
        <v>-2519</v>
      </c>
      <c r="X64" s="227">
        <f>-'Table 5C1R-Iberville'!AI67</f>
        <v>-9512</v>
      </c>
      <c r="Y64" s="227">
        <f>-'Table 5C1S-L.C. Coll Prep'!AI67</f>
        <v>0</v>
      </c>
      <c r="Z64" s="227">
        <f>-'Table 5C1T-Northeast'!AI67</f>
        <v>0</v>
      </c>
      <c r="AA64" s="227">
        <f>-'Table 5C1U-Acadiana Ren'!AI67</f>
        <v>0</v>
      </c>
      <c r="AB64" s="227">
        <f>-'Table 5C1V-Laf Ren'!AI67</f>
        <v>0</v>
      </c>
      <c r="AC64" s="227">
        <f>-'Table 5C1W-Willow'!AI67</f>
        <v>0</v>
      </c>
      <c r="AD64" s="227">
        <f>-'Table 5C2 - LA Virtual Admy'!AJ67</f>
        <v>-6044</v>
      </c>
      <c r="AE64" s="227">
        <f>-'Table 5C3 - LA Connections EBR'!AJ67</f>
        <v>-7009</v>
      </c>
      <c r="AF64" s="227">
        <f t="shared" si="56"/>
        <v>-30589</v>
      </c>
      <c r="AG64" s="248">
        <f t="shared" si="57"/>
        <v>1095253</v>
      </c>
      <c r="AH64" s="227"/>
      <c r="AI64" s="227"/>
      <c r="AJ64" s="227"/>
      <c r="AK64" s="227">
        <f>'Table 5C1A-Madison Prep'!AO67</f>
        <v>-16.8325</v>
      </c>
      <c r="AL64" s="227">
        <f>'Table 5C1B-DArbonne'!AO67</f>
        <v>0</v>
      </c>
      <c r="AM64" s="227">
        <f>'Table 5C1C-Intl_VIBE'!AO67</f>
        <v>0</v>
      </c>
      <c r="AN64" s="227">
        <f>'Table 5C1D-NOMMA'!AO67</f>
        <v>0</v>
      </c>
      <c r="AO64" s="227">
        <f>'Table 5C1E-LFNO'!AO67</f>
        <v>0</v>
      </c>
      <c r="AP64" s="227">
        <f>'Table 5C1F-Lake Charles Charter'!AO67</f>
        <v>0</v>
      </c>
      <c r="AQ64" s="227">
        <f>'Table 5C1G-JS Clark Academy'!AO67</f>
        <v>0</v>
      </c>
      <c r="AR64" s="227">
        <f>'Table 5C1H-Southwest LA Charter'!AO67</f>
        <v>0</v>
      </c>
      <c r="AS64" s="227">
        <f>'Table 5C1I-LA Key Academy'!AO67</f>
        <v>-67.375</v>
      </c>
      <c r="AT64" s="227">
        <f>'Table 5C1J-Jefferson Chamber'!AO67</f>
        <v>0</v>
      </c>
      <c r="AU64" s="227">
        <f>'Table 5C1K-Tallulah Charter'!AO67</f>
        <v>0</v>
      </c>
      <c r="AV64" s="227">
        <f>'Table 5C1L-Northshore Charter'!AO67</f>
        <v>0</v>
      </c>
      <c r="AW64" s="227">
        <f>'Table 5C1M-B.R. Charter'!AO67</f>
        <v>-16.8475</v>
      </c>
      <c r="AX64" s="227">
        <f>'Table 5C1N-Delta Charter'!AO67</f>
        <v>0</v>
      </c>
      <c r="AY64" s="227">
        <f>'Table 5C1O-Impact'!AO67</f>
        <v>0</v>
      </c>
      <c r="AZ64" s="227">
        <f>+'Table 5C1P-Vision'!AO67</f>
        <v>0</v>
      </c>
      <c r="BA64" s="227">
        <f>+'Table 5C1Q-Advantage'!AO67</f>
        <v>-50.542500000000004</v>
      </c>
      <c r="BB64" s="227">
        <f>+'Table 5C1R-Iberville'!AO67</f>
        <v>-92.541249999999991</v>
      </c>
      <c r="BC64" s="227">
        <f>+'Table 5C1S-L.C. Coll Prep'!AO67</f>
        <v>0</v>
      </c>
      <c r="BD64" s="227">
        <f>+'Table 5C1T-Northeast'!AO67</f>
        <v>0</v>
      </c>
      <c r="BE64" s="227">
        <f>+'Table 5C1U-Acadiana Ren'!AO67</f>
        <v>0</v>
      </c>
      <c r="BF64" s="227">
        <f>+'Table 5C1V-Laf Ren'!AO67</f>
        <v>0</v>
      </c>
      <c r="BG64" s="227">
        <f>+'Table 5C1W-Willow'!AO67</f>
        <v>0</v>
      </c>
      <c r="BH64" s="227">
        <f>'Table 5C2 - LA Virtual Admy'!AP67</f>
        <v>-30.244500000000002</v>
      </c>
      <c r="BI64" s="227">
        <f>'Table 5C3 - LA Connections EBR'!AP67</f>
        <v>-60.515999999999963</v>
      </c>
      <c r="BJ64" s="248">
        <f t="shared" si="58"/>
        <v>1094918.10075</v>
      </c>
    </row>
    <row r="65" spans="1:62" ht="14.45" customHeight="1">
      <c r="A65" s="224">
        <v>62</v>
      </c>
      <c r="B65" s="225" t="s">
        <v>133</v>
      </c>
      <c r="C65" s="226">
        <f>'Table 2_State Distrib and Adjs'!AL68</f>
        <v>1011536</v>
      </c>
      <c r="D65" s="227">
        <f>-'Table 5A3_OJJ'!W67</f>
        <v>-166</v>
      </c>
      <c r="E65" s="227"/>
      <c r="F65" s="227"/>
      <c r="G65" s="227">
        <f>-'Table 5C1A-Madison Prep'!AI68</f>
        <v>0</v>
      </c>
      <c r="H65" s="227">
        <f>-'Table 5C1B-DArbonne'!AI68</f>
        <v>0</v>
      </c>
      <c r="I65" s="227">
        <f>-'Table 5C1C-Intl_VIBE'!AI68</f>
        <v>0</v>
      </c>
      <c r="J65" s="227">
        <f>-'Table 5C1D-NOMMA'!AI68</f>
        <v>0</v>
      </c>
      <c r="K65" s="227">
        <f>-'Table 5C1E-LFNO'!AI68</f>
        <v>0</v>
      </c>
      <c r="L65" s="227">
        <f>-'Table 5C1F-Lake Charles Charter'!AI68</f>
        <v>0</v>
      </c>
      <c r="M65" s="227">
        <f>-'Table 5C1G-JS Clark Academy'!AI68</f>
        <v>0</v>
      </c>
      <c r="N65" s="227">
        <f>-'Table 5C1H-Southwest LA Charter'!AI68</f>
        <v>0</v>
      </c>
      <c r="O65" s="227">
        <f>-'Table 5C1I-LA Key Academy'!AI68</f>
        <v>0</v>
      </c>
      <c r="P65" s="227">
        <f>-'Table 5C1J-Jefferson Chamber'!AI68</f>
        <v>0</v>
      </c>
      <c r="Q65" s="227">
        <f>-'Table 5C1K-Tallulah Charter'!AI68</f>
        <v>0</v>
      </c>
      <c r="R65" s="227">
        <f>-'Table 5C1L-Northshore Charter'!AI68</f>
        <v>0</v>
      </c>
      <c r="S65" s="227">
        <f>-'Table 5C1M-B.R. Charter'!AI68</f>
        <v>0</v>
      </c>
      <c r="T65" s="227">
        <f>-'Table 5C1N-Delta Charter'!AI68</f>
        <v>0</v>
      </c>
      <c r="U65" s="227">
        <f>-'Table 5C1O-Impact'!AI68</f>
        <v>0</v>
      </c>
      <c r="V65" s="227">
        <f>-'Table 5C1P-Vision'!AI68</f>
        <v>0</v>
      </c>
      <c r="W65" s="227">
        <f>-'Table 5C1Q-Advantage'!AI68</f>
        <v>0</v>
      </c>
      <c r="X65" s="227">
        <f>-'Table 5C1R-Iberville'!AI68</f>
        <v>0</v>
      </c>
      <c r="Y65" s="227">
        <f>-'Table 5C1S-L.C. Coll Prep'!AI68</f>
        <v>0</v>
      </c>
      <c r="Z65" s="227">
        <f>-'Table 5C1T-Northeast'!AI68</f>
        <v>0</v>
      </c>
      <c r="AA65" s="227">
        <f>-'Table 5C1U-Acadiana Ren'!AI68</f>
        <v>0</v>
      </c>
      <c r="AB65" s="227">
        <f>-'Table 5C1V-Laf Ren'!AI68</f>
        <v>0</v>
      </c>
      <c r="AC65" s="227">
        <f>-'Table 5C1W-Willow'!AI68</f>
        <v>0</v>
      </c>
      <c r="AD65" s="227">
        <f>-'Table 5C2 - LA Virtual Admy'!AJ68</f>
        <v>1213</v>
      </c>
      <c r="AE65" s="227">
        <f>-'Table 5C3 - LA Connections EBR'!AJ68</f>
        <v>-380</v>
      </c>
      <c r="AF65" s="227">
        <f t="shared" si="56"/>
        <v>667</v>
      </c>
      <c r="AG65" s="248">
        <f t="shared" si="57"/>
        <v>1012203</v>
      </c>
      <c r="AH65" s="227"/>
      <c r="AI65" s="227"/>
      <c r="AJ65" s="227"/>
      <c r="AK65" s="227">
        <f>'Table 5C1A-Madison Prep'!AO68</f>
        <v>0</v>
      </c>
      <c r="AL65" s="227">
        <f>'Table 5C1B-DArbonne'!AO68</f>
        <v>0</v>
      </c>
      <c r="AM65" s="227">
        <f>'Table 5C1C-Intl_VIBE'!AO68</f>
        <v>0</v>
      </c>
      <c r="AN65" s="227">
        <f>'Table 5C1D-NOMMA'!AO68</f>
        <v>0</v>
      </c>
      <c r="AO65" s="227">
        <f>'Table 5C1E-LFNO'!AO68</f>
        <v>0</v>
      </c>
      <c r="AP65" s="227">
        <f>'Table 5C1F-Lake Charles Charter'!AO68</f>
        <v>0</v>
      </c>
      <c r="AQ65" s="227">
        <f>'Table 5C1G-JS Clark Academy'!AO68</f>
        <v>0</v>
      </c>
      <c r="AR65" s="227">
        <f>'Table 5C1H-Southwest LA Charter'!AO68</f>
        <v>0</v>
      </c>
      <c r="AS65" s="227">
        <f>'Table 5C1I-LA Key Academy'!AO68</f>
        <v>0</v>
      </c>
      <c r="AT65" s="227">
        <f>'Table 5C1J-Jefferson Chamber'!AO68</f>
        <v>0</v>
      </c>
      <c r="AU65" s="227">
        <f>'Table 5C1K-Tallulah Charter'!AO68</f>
        <v>0</v>
      </c>
      <c r="AV65" s="227">
        <f>'Table 5C1L-Northshore Charter'!AO68</f>
        <v>0</v>
      </c>
      <c r="AW65" s="227">
        <f>'Table 5C1M-B.R. Charter'!AO68</f>
        <v>0</v>
      </c>
      <c r="AX65" s="227">
        <f>'Table 5C1N-Delta Charter'!AO68</f>
        <v>0</v>
      </c>
      <c r="AY65" s="227">
        <f>'Table 5C1O-Impact'!AO68</f>
        <v>0</v>
      </c>
      <c r="AZ65" s="227">
        <f>+'Table 5C1P-Vision'!AO68</f>
        <v>0</v>
      </c>
      <c r="BA65" s="227">
        <f>+'Table 5C1Q-Advantage'!AO68</f>
        <v>0</v>
      </c>
      <c r="BB65" s="227">
        <f>+'Table 5C1R-Iberville'!AO68</f>
        <v>0</v>
      </c>
      <c r="BC65" s="227">
        <f>+'Table 5C1S-L.C. Coll Prep'!AO68</f>
        <v>0</v>
      </c>
      <c r="BD65" s="227">
        <f>+'Table 5C1T-Northeast'!AO68</f>
        <v>0</v>
      </c>
      <c r="BE65" s="227">
        <f>+'Table 5C1U-Acadiana Ren'!AO68</f>
        <v>0</v>
      </c>
      <c r="BF65" s="227">
        <f>+'Table 5C1V-Laf Ren'!AO68</f>
        <v>0</v>
      </c>
      <c r="BG65" s="227">
        <f>+'Table 5C1W-Willow'!AO68</f>
        <v>0</v>
      </c>
      <c r="BH65" s="227">
        <f>'Table 5C2 - LA Virtual Admy'!AP68</f>
        <v>26.479125</v>
      </c>
      <c r="BI65" s="227">
        <f>'Table 5C3 - LA Connections EBR'!AP68</f>
        <v>-5.1075000000000008</v>
      </c>
      <c r="BJ65" s="248">
        <f t="shared" si="58"/>
        <v>1012224.3716249999</v>
      </c>
    </row>
    <row r="66" spans="1:62" ht="14.45" customHeight="1">
      <c r="A66" s="224">
        <v>63</v>
      </c>
      <c r="B66" s="225" t="s">
        <v>134</v>
      </c>
      <c r="C66" s="226">
        <f>'Table 2_State Distrib and Adjs'!AL69</f>
        <v>762089</v>
      </c>
      <c r="D66" s="227">
        <f>-'Table 5A3_OJJ'!W68</f>
        <v>-217</v>
      </c>
      <c r="E66" s="227"/>
      <c r="F66" s="227"/>
      <c r="G66" s="227">
        <f>-'Table 5C1A-Madison Prep'!AI69</f>
        <v>0</v>
      </c>
      <c r="H66" s="227">
        <f>-'Table 5C1B-DArbonne'!AI69</f>
        <v>0</v>
      </c>
      <c r="I66" s="227">
        <f>-'Table 5C1C-Intl_VIBE'!AI69</f>
        <v>0</v>
      </c>
      <c r="J66" s="227">
        <f>-'Table 5C1D-NOMMA'!AI69</f>
        <v>0</v>
      </c>
      <c r="K66" s="227">
        <f>-'Table 5C1E-LFNO'!AI69</f>
        <v>0</v>
      </c>
      <c r="L66" s="227">
        <f>-'Table 5C1F-Lake Charles Charter'!AI69</f>
        <v>0</v>
      </c>
      <c r="M66" s="227">
        <f>-'Table 5C1G-JS Clark Academy'!AI69</f>
        <v>0</v>
      </c>
      <c r="N66" s="227">
        <f>-'Table 5C1H-Southwest LA Charter'!AI69</f>
        <v>0</v>
      </c>
      <c r="O66" s="227">
        <f>-'Table 5C1I-LA Key Academy'!AI69</f>
        <v>0</v>
      </c>
      <c r="P66" s="227">
        <f>-'Table 5C1J-Jefferson Chamber'!AI69</f>
        <v>0</v>
      </c>
      <c r="Q66" s="227">
        <f>-'Table 5C1K-Tallulah Charter'!AI69</f>
        <v>0</v>
      </c>
      <c r="R66" s="227">
        <f>-'Table 5C1L-Northshore Charter'!AI69</f>
        <v>0</v>
      </c>
      <c r="S66" s="227">
        <f>-'Table 5C1M-B.R. Charter'!AI69</f>
        <v>0</v>
      </c>
      <c r="T66" s="227">
        <f>-'Table 5C1N-Delta Charter'!AI69</f>
        <v>0</v>
      </c>
      <c r="U66" s="227">
        <f>-'Table 5C1O-Impact'!AI69</f>
        <v>0</v>
      </c>
      <c r="V66" s="227">
        <f>-'Table 5C1P-Vision'!AI69</f>
        <v>0</v>
      </c>
      <c r="W66" s="227">
        <f>-'Table 5C1Q-Advantage'!AI69</f>
        <v>0</v>
      </c>
      <c r="X66" s="227">
        <f>-'Table 5C1R-Iberville'!AI69</f>
        <v>0</v>
      </c>
      <c r="Y66" s="227">
        <f>-'Table 5C1S-L.C. Coll Prep'!AI69</f>
        <v>0</v>
      </c>
      <c r="Z66" s="227">
        <f>-'Table 5C1T-Northeast'!AI69</f>
        <v>0</v>
      </c>
      <c r="AA66" s="227">
        <f>-'Table 5C1U-Acadiana Ren'!AI69</f>
        <v>0</v>
      </c>
      <c r="AB66" s="227">
        <f>-'Table 5C1V-Laf Ren'!AI69</f>
        <v>0</v>
      </c>
      <c r="AC66" s="227">
        <f>-'Table 5C1W-Willow'!AI69</f>
        <v>0</v>
      </c>
      <c r="AD66" s="227">
        <f>-'Table 5C2 - LA Virtual Admy'!AJ69</f>
        <v>-10020</v>
      </c>
      <c r="AE66" s="227">
        <f>-'Table 5C3 - LA Connections EBR'!AJ69</f>
        <v>-5455</v>
      </c>
      <c r="AF66" s="227">
        <f t="shared" si="56"/>
        <v>-15692</v>
      </c>
      <c r="AG66" s="248">
        <f t="shared" si="57"/>
        <v>746397</v>
      </c>
      <c r="AH66" s="227"/>
      <c r="AI66" s="227"/>
      <c r="AJ66" s="227"/>
      <c r="AK66" s="227">
        <f>'Table 5C1A-Madison Prep'!AO69</f>
        <v>0</v>
      </c>
      <c r="AL66" s="227">
        <f>'Table 5C1B-DArbonne'!AO69</f>
        <v>0</v>
      </c>
      <c r="AM66" s="227">
        <f>'Table 5C1C-Intl_VIBE'!AO69</f>
        <v>0</v>
      </c>
      <c r="AN66" s="227">
        <f>'Table 5C1D-NOMMA'!AO69</f>
        <v>0</v>
      </c>
      <c r="AO66" s="227">
        <f>'Table 5C1E-LFNO'!AO69</f>
        <v>0</v>
      </c>
      <c r="AP66" s="227">
        <f>'Table 5C1F-Lake Charles Charter'!AO69</f>
        <v>0</v>
      </c>
      <c r="AQ66" s="227">
        <f>'Table 5C1G-JS Clark Academy'!AO69</f>
        <v>0</v>
      </c>
      <c r="AR66" s="227">
        <f>'Table 5C1H-Southwest LA Charter'!AO69</f>
        <v>0</v>
      </c>
      <c r="AS66" s="227">
        <f>'Table 5C1I-LA Key Academy'!AO69</f>
        <v>0</v>
      </c>
      <c r="AT66" s="227">
        <f>'Table 5C1J-Jefferson Chamber'!AO69</f>
        <v>0</v>
      </c>
      <c r="AU66" s="227">
        <f>'Table 5C1K-Tallulah Charter'!AO69</f>
        <v>0</v>
      </c>
      <c r="AV66" s="227">
        <f>'Table 5C1L-Northshore Charter'!AO69</f>
        <v>0</v>
      </c>
      <c r="AW66" s="227">
        <f>'Table 5C1M-B.R. Charter'!AO69</f>
        <v>0</v>
      </c>
      <c r="AX66" s="227">
        <f>'Table 5C1N-Delta Charter'!AO69</f>
        <v>0</v>
      </c>
      <c r="AY66" s="227">
        <f>'Table 5C1O-Impact'!AO69</f>
        <v>0</v>
      </c>
      <c r="AZ66" s="227">
        <f>+'Table 5C1P-Vision'!AO69</f>
        <v>0</v>
      </c>
      <c r="BA66" s="227">
        <f>+'Table 5C1Q-Advantage'!AO69</f>
        <v>0</v>
      </c>
      <c r="BB66" s="227">
        <f>+'Table 5C1R-Iberville'!AO69</f>
        <v>0</v>
      </c>
      <c r="BC66" s="227">
        <f>+'Table 5C1S-L.C. Coll Prep'!AO69</f>
        <v>0</v>
      </c>
      <c r="BD66" s="227">
        <f>+'Table 5C1T-Northeast'!AO69</f>
        <v>0</v>
      </c>
      <c r="BE66" s="227">
        <f>+'Table 5C1U-Acadiana Ren'!AO69</f>
        <v>0</v>
      </c>
      <c r="BF66" s="227">
        <f>+'Table 5C1V-Laf Ren'!AO69</f>
        <v>0</v>
      </c>
      <c r="BG66" s="227">
        <f>+'Table 5C1W-Willow'!AO69</f>
        <v>0</v>
      </c>
      <c r="BH66" s="227">
        <f>'Table 5C2 - LA Virtual Admy'!AP69</f>
        <v>-84.04649999999998</v>
      </c>
      <c r="BI66" s="227">
        <f>'Table 5C3 - LA Connections EBR'!AP69</f>
        <v>-74.955375000000004</v>
      </c>
      <c r="BJ66" s="248">
        <f t="shared" si="58"/>
        <v>746237.99812499993</v>
      </c>
    </row>
    <row r="67" spans="1:62" ht="14.45" customHeight="1">
      <c r="A67" s="224">
        <v>64</v>
      </c>
      <c r="B67" s="225" t="s">
        <v>135</v>
      </c>
      <c r="C67" s="226">
        <f>'Table 2_State Distrib and Adjs'!AL70</f>
        <v>1328245</v>
      </c>
      <c r="D67" s="227">
        <f>-'Table 5A3_OJJ'!W69</f>
        <v>-156</v>
      </c>
      <c r="E67" s="227"/>
      <c r="F67" s="227"/>
      <c r="G67" s="227">
        <f>-'Table 5C1A-Madison Prep'!AI70</f>
        <v>0</v>
      </c>
      <c r="H67" s="227">
        <f>-'Table 5C1B-DArbonne'!AI70</f>
        <v>0</v>
      </c>
      <c r="I67" s="227">
        <f>-'Table 5C1C-Intl_VIBE'!AI70</f>
        <v>0</v>
      </c>
      <c r="J67" s="227">
        <f>-'Table 5C1D-NOMMA'!AI70</f>
        <v>0</v>
      </c>
      <c r="K67" s="227">
        <f>-'Table 5C1E-LFNO'!AI70</f>
        <v>0</v>
      </c>
      <c r="L67" s="227">
        <f>-'Table 5C1F-Lake Charles Charter'!AI70</f>
        <v>0</v>
      </c>
      <c r="M67" s="227">
        <f>-'Table 5C1G-JS Clark Academy'!AI70</f>
        <v>0</v>
      </c>
      <c r="N67" s="227">
        <f>-'Table 5C1H-Southwest LA Charter'!AI70</f>
        <v>0</v>
      </c>
      <c r="O67" s="227">
        <f>-'Table 5C1I-LA Key Academy'!AI70</f>
        <v>0</v>
      </c>
      <c r="P67" s="227">
        <f>-'Table 5C1J-Jefferson Chamber'!AI70</f>
        <v>0</v>
      </c>
      <c r="Q67" s="227">
        <f>-'Table 5C1K-Tallulah Charter'!AI70</f>
        <v>0</v>
      </c>
      <c r="R67" s="227">
        <f>-'Table 5C1L-Northshore Charter'!AI70</f>
        <v>0</v>
      </c>
      <c r="S67" s="227">
        <f>-'Table 5C1M-B.R. Charter'!AI70</f>
        <v>0</v>
      </c>
      <c r="T67" s="227">
        <f>-'Table 5C1N-Delta Charter'!AI70</f>
        <v>0</v>
      </c>
      <c r="U67" s="227">
        <f>-'Table 5C1O-Impact'!AI70</f>
        <v>0</v>
      </c>
      <c r="V67" s="227">
        <f>-'Table 5C1P-Vision'!AI70</f>
        <v>0</v>
      </c>
      <c r="W67" s="227">
        <f>-'Table 5C1Q-Advantage'!AI70</f>
        <v>0</v>
      </c>
      <c r="X67" s="227">
        <f>-'Table 5C1R-Iberville'!AI70</f>
        <v>0</v>
      </c>
      <c r="Y67" s="227">
        <f>-'Table 5C1S-L.C. Coll Prep'!AI70</f>
        <v>0</v>
      </c>
      <c r="Z67" s="227">
        <f>-'Table 5C1T-Northeast'!AI70</f>
        <v>0</v>
      </c>
      <c r="AA67" s="227">
        <f>-'Table 5C1U-Acadiana Ren'!AI70</f>
        <v>0</v>
      </c>
      <c r="AB67" s="227">
        <f>-'Table 5C1V-Laf Ren'!AI70</f>
        <v>0</v>
      </c>
      <c r="AC67" s="227">
        <f>-'Table 5C1W-Willow'!AI70</f>
        <v>0</v>
      </c>
      <c r="AD67" s="227">
        <f>-'Table 5C2 - LA Virtual Admy'!AJ70</f>
        <v>-2366</v>
      </c>
      <c r="AE67" s="227">
        <f>-'Table 5C3 - LA Connections EBR'!AJ70</f>
        <v>-1834</v>
      </c>
      <c r="AF67" s="227">
        <f t="shared" si="56"/>
        <v>-4356</v>
      </c>
      <c r="AG67" s="248">
        <f t="shared" si="57"/>
        <v>1323889</v>
      </c>
      <c r="AH67" s="227"/>
      <c r="AI67" s="227"/>
      <c r="AJ67" s="227"/>
      <c r="AK67" s="227">
        <f>'Table 5C1A-Madison Prep'!AO70</f>
        <v>0</v>
      </c>
      <c r="AL67" s="227">
        <f>'Table 5C1B-DArbonne'!AO70</f>
        <v>0</v>
      </c>
      <c r="AM67" s="227">
        <f>'Table 5C1C-Intl_VIBE'!AO70</f>
        <v>0</v>
      </c>
      <c r="AN67" s="227">
        <f>'Table 5C1D-NOMMA'!AO70</f>
        <v>0</v>
      </c>
      <c r="AO67" s="227">
        <f>'Table 5C1E-LFNO'!AO70</f>
        <v>0</v>
      </c>
      <c r="AP67" s="227">
        <f>'Table 5C1F-Lake Charles Charter'!AO70</f>
        <v>0</v>
      </c>
      <c r="AQ67" s="227">
        <f>'Table 5C1G-JS Clark Academy'!AO70</f>
        <v>0</v>
      </c>
      <c r="AR67" s="227">
        <f>'Table 5C1H-Southwest LA Charter'!AO70</f>
        <v>0</v>
      </c>
      <c r="AS67" s="227">
        <f>'Table 5C1I-LA Key Academy'!AO70</f>
        <v>0</v>
      </c>
      <c r="AT67" s="227">
        <f>'Table 5C1J-Jefferson Chamber'!AO70</f>
        <v>0</v>
      </c>
      <c r="AU67" s="227">
        <f>'Table 5C1K-Tallulah Charter'!AO70</f>
        <v>0</v>
      </c>
      <c r="AV67" s="227">
        <f>'Table 5C1L-Northshore Charter'!AO70</f>
        <v>0</v>
      </c>
      <c r="AW67" s="227">
        <f>'Table 5C1M-B.R. Charter'!AO70</f>
        <v>0</v>
      </c>
      <c r="AX67" s="227">
        <f>'Table 5C1N-Delta Charter'!AO70</f>
        <v>0</v>
      </c>
      <c r="AY67" s="227">
        <f>'Table 5C1O-Impact'!AO70</f>
        <v>0</v>
      </c>
      <c r="AZ67" s="227">
        <f>+'Table 5C1P-Vision'!AO70</f>
        <v>0</v>
      </c>
      <c r="BA67" s="227">
        <f>+'Table 5C1Q-Advantage'!AO70</f>
        <v>0</v>
      </c>
      <c r="BB67" s="227">
        <f>+'Table 5C1R-Iberville'!AO70</f>
        <v>0</v>
      </c>
      <c r="BC67" s="227">
        <f>+'Table 5C1S-L.C. Coll Prep'!AO70</f>
        <v>0</v>
      </c>
      <c r="BD67" s="227">
        <f>+'Table 5C1T-Northeast'!AO70</f>
        <v>0</v>
      </c>
      <c r="BE67" s="227">
        <f>+'Table 5C1U-Acadiana Ren'!AO70</f>
        <v>0</v>
      </c>
      <c r="BF67" s="227">
        <f>+'Table 5C1V-Laf Ren'!AO70</f>
        <v>0</v>
      </c>
      <c r="BG67" s="227">
        <f>+'Table 5C1W-Willow'!AO70</f>
        <v>0</v>
      </c>
      <c r="BH67" s="227">
        <f>'Table 5C2 - LA Virtual Admy'!AP70</f>
        <v>-13.520249999999994</v>
      </c>
      <c r="BI67" s="227">
        <f>'Table 5C3 - LA Connections EBR'!AP70</f>
        <v>-13.155749999999998</v>
      </c>
      <c r="BJ67" s="248">
        <f t="shared" si="58"/>
        <v>1323862.324</v>
      </c>
    </row>
    <row r="68" spans="1:62" ht="14.45" customHeight="1">
      <c r="A68" s="3">
        <v>65</v>
      </c>
      <c r="B68" s="7" t="s">
        <v>136</v>
      </c>
      <c r="C68" s="9">
        <f>'Table 2_State Distrib and Adjs'!AL71</f>
        <v>3656624</v>
      </c>
      <c r="D68" s="10">
        <f>-'Table 5A3_OJJ'!W70</f>
        <v>0</v>
      </c>
      <c r="E68" s="10"/>
      <c r="F68" s="10"/>
      <c r="G68" s="10">
        <f>-'Table 5C1A-Madison Prep'!AI71</f>
        <v>0</v>
      </c>
      <c r="H68" s="10">
        <f>-'Table 5C1B-DArbonne'!AI71</f>
        <v>1898</v>
      </c>
      <c r="I68" s="10">
        <f>-'Table 5C1C-Intl_VIBE'!AI71</f>
        <v>0</v>
      </c>
      <c r="J68" s="10">
        <f>-'Table 5C1D-NOMMA'!AI71</f>
        <v>0</v>
      </c>
      <c r="K68" s="10">
        <f>-'Table 5C1E-LFNO'!AI71</f>
        <v>0</v>
      </c>
      <c r="L68" s="10">
        <f>-'Table 5C1F-Lake Charles Charter'!AI71</f>
        <v>0</v>
      </c>
      <c r="M68" s="10">
        <f>-'Table 5C1G-JS Clark Academy'!AI71</f>
        <v>0</v>
      </c>
      <c r="N68" s="10">
        <f>-'Table 5C1H-Southwest LA Charter'!AI71</f>
        <v>47</v>
      </c>
      <c r="O68" s="10">
        <f>-'Table 5C1I-LA Key Academy'!AI71</f>
        <v>0</v>
      </c>
      <c r="P68" s="10">
        <f>-'Table 5C1J-Jefferson Chamber'!AI71</f>
        <v>0</v>
      </c>
      <c r="Q68" s="10">
        <f>-'Table 5C1K-Tallulah Charter'!AI71</f>
        <v>0</v>
      </c>
      <c r="R68" s="10">
        <f>-'Table 5C1L-Northshore Charter'!AI71</f>
        <v>0</v>
      </c>
      <c r="S68" s="10">
        <f>-'Table 5C1M-B.R. Charter'!AI71</f>
        <v>0</v>
      </c>
      <c r="T68" s="10">
        <f>-'Table 5C1N-Delta Charter'!AI71</f>
        <v>0</v>
      </c>
      <c r="U68" s="10">
        <f>-'Table 5C1O-Impact'!AI71</f>
        <v>0</v>
      </c>
      <c r="V68" s="10">
        <f>-'Table 5C1P-Vision'!AI71</f>
        <v>127430</v>
      </c>
      <c r="W68" s="10">
        <f>-'Table 5C1Q-Advantage'!AI71</f>
        <v>0</v>
      </c>
      <c r="X68" s="10">
        <f>-'Table 5C1R-Iberville'!AI71</f>
        <v>0</v>
      </c>
      <c r="Y68" s="10">
        <f>-'Table 5C1S-L.C. Coll Prep'!AI71</f>
        <v>0</v>
      </c>
      <c r="Z68" s="10">
        <f>-'Table 5C1T-Northeast'!AI71</f>
        <v>0</v>
      </c>
      <c r="AA68" s="10">
        <f>-'Table 5C1U-Acadiana Ren'!AI71</f>
        <v>0</v>
      </c>
      <c r="AB68" s="10">
        <f>-'Table 5C1V-Laf Ren'!AI71</f>
        <v>0</v>
      </c>
      <c r="AC68" s="10">
        <f>-'Table 5C1W-Willow'!AI71</f>
        <v>0</v>
      </c>
      <c r="AD68" s="10">
        <f>-'Table 5C2 - LA Virtual Admy'!AJ71</f>
        <v>-9364</v>
      </c>
      <c r="AE68" s="10">
        <f>-'Table 5C3 - LA Connections EBR'!AJ71</f>
        <v>2189</v>
      </c>
      <c r="AF68" s="10">
        <f t="shared" ref="AF68:AF72" si="59">SUM(D68:AE68)</f>
        <v>122200</v>
      </c>
      <c r="AG68" s="15">
        <f t="shared" ref="AG68:AG72" si="60">C68+AF68</f>
        <v>3778824</v>
      </c>
      <c r="AH68" s="10"/>
      <c r="AI68" s="10"/>
      <c r="AJ68" s="10"/>
      <c r="AK68" s="10">
        <f>'Table 5C1A-Madison Prep'!AO71</f>
        <v>0</v>
      </c>
      <c r="AL68" s="10">
        <f>'Table 5C1B-DArbonne'!AO71</f>
        <v>31.806250000000002</v>
      </c>
      <c r="AM68" s="10">
        <f>'Table 5C1C-Intl_VIBE'!AO71</f>
        <v>0</v>
      </c>
      <c r="AN68" s="10">
        <f>'Table 5C1D-NOMMA'!AO71</f>
        <v>0</v>
      </c>
      <c r="AO68" s="10">
        <f>'Table 5C1E-LFNO'!AO71</f>
        <v>0</v>
      </c>
      <c r="AP68" s="10">
        <f>'Table 5C1F-Lake Charles Charter'!AO71</f>
        <v>0</v>
      </c>
      <c r="AQ68" s="10">
        <f>'Table 5C1G-JS Clark Academy'!AO71</f>
        <v>0</v>
      </c>
      <c r="AR68" s="10">
        <f>'Table 5C1H-Southwest LA Charter'!AO71</f>
        <v>0</v>
      </c>
      <c r="AS68" s="10">
        <f>'Table 5C1I-LA Key Academy'!AO71</f>
        <v>0</v>
      </c>
      <c r="AT68" s="10">
        <f>'Table 5C1J-Jefferson Chamber'!AO71</f>
        <v>0</v>
      </c>
      <c r="AU68" s="10">
        <f>'Table 5C1K-Tallulah Charter'!AO71</f>
        <v>0</v>
      </c>
      <c r="AV68" s="10">
        <f>'Table 5C1L-Northshore Charter'!AO71</f>
        <v>0</v>
      </c>
      <c r="AW68" s="10">
        <f>'Table 5C1M-B.R. Charter'!AO71</f>
        <v>0</v>
      </c>
      <c r="AX68" s="10">
        <f>'Table 5C1N-Delta Charter'!AO71</f>
        <v>0</v>
      </c>
      <c r="AY68" s="10">
        <f>'Table 5C1O-Impact'!AO71</f>
        <v>0</v>
      </c>
      <c r="AZ68" s="10">
        <f>+'Table 5C1P-Vision'!AO71</f>
        <v>1916.25</v>
      </c>
      <c r="BA68" s="10">
        <f>+'Table 5C1Q-Advantage'!AO71</f>
        <v>0</v>
      </c>
      <c r="BB68" s="10">
        <f>+'Table 5C1R-Iberville'!AO71</f>
        <v>0</v>
      </c>
      <c r="BC68" s="10">
        <f>+'Table 5C1S-L.C. Coll Prep'!AO71</f>
        <v>0</v>
      </c>
      <c r="BD68" s="10">
        <f>+'Table 5C1T-Northeast'!AO71</f>
        <v>0</v>
      </c>
      <c r="BE68" s="10">
        <f>+'Table 5C1U-Acadiana Ren'!AO71</f>
        <v>0</v>
      </c>
      <c r="BF68" s="10">
        <f>+'Table 5C1V-Laf Ren'!AO71</f>
        <v>0</v>
      </c>
      <c r="BG68" s="10">
        <f>+'Table 5C1W-Willow'!AO71</f>
        <v>0</v>
      </c>
      <c r="BH68" s="10">
        <f>'Table 5C2 - LA Virtual Admy'!AP71</f>
        <v>-93.87</v>
      </c>
      <c r="BI68" s="10">
        <f>'Table 5C3 - LA Connections EBR'!AP71</f>
        <v>0</v>
      </c>
      <c r="BJ68" s="15">
        <f t="shared" ref="BJ68:BJ72" si="61">SUM(AG68:BI68)</f>
        <v>3780678.1862499998</v>
      </c>
    </row>
    <row r="69" spans="1:62" ht="14.45" customHeight="1">
      <c r="A69" s="224">
        <v>66</v>
      </c>
      <c r="B69" s="225" t="s">
        <v>137</v>
      </c>
      <c r="C69" s="226">
        <f>'Table 2_State Distrib and Adjs'!AL72</f>
        <v>857806</v>
      </c>
      <c r="D69" s="227">
        <f>-'Table 5A3_OJJ'!W71</f>
        <v>0</v>
      </c>
      <c r="E69" s="227"/>
      <c r="F69" s="227"/>
      <c r="G69" s="227">
        <f>-'Table 5C1A-Madison Prep'!AI72</f>
        <v>0</v>
      </c>
      <c r="H69" s="227">
        <f>-'Table 5C1B-DArbonne'!AI72</f>
        <v>0</v>
      </c>
      <c r="I69" s="227">
        <f>-'Table 5C1C-Intl_VIBE'!AI72</f>
        <v>0</v>
      </c>
      <c r="J69" s="227">
        <f>-'Table 5C1D-NOMMA'!AI72</f>
        <v>0</v>
      </c>
      <c r="K69" s="227">
        <f>-'Table 5C1E-LFNO'!AI72</f>
        <v>0</v>
      </c>
      <c r="L69" s="227">
        <f>-'Table 5C1F-Lake Charles Charter'!AI72</f>
        <v>0</v>
      </c>
      <c r="M69" s="227">
        <f>-'Table 5C1G-JS Clark Academy'!AI72</f>
        <v>0</v>
      </c>
      <c r="N69" s="227">
        <f>-'Table 5C1H-Southwest LA Charter'!AI72</f>
        <v>0</v>
      </c>
      <c r="O69" s="227">
        <f>-'Table 5C1I-LA Key Academy'!AI72</f>
        <v>0</v>
      </c>
      <c r="P69" s="227">
        <f>-'Table 5C1J-Jefferson Chamber'!AI72</f>
        <v>0</v>
      </c>
      <c r="Q69" s="227">
        <f>-'Table 5C1K-Tallulah Charter'!AI72</f>
        <v>0</v>
      </c>
      <c r="R69" s="227">
        <f>-'Table 5C1L-Northshore Charter'!AI72</f>
        <v>-149576</v>
      </c>
      <c r="S69" s="227">
        <f>-'Table 5C1M-B.R. Charter'!AI72</f>
        <v>0</v>
      </c>
      <c r="T69" s="227">
        <f>-'Table 5C1N-Delta Charter'!AI72</f>
        <v>0</v>
      </c>
      <c r="U69" s="227">
        <f>-'Table 5C1O-Impact'!AI72</f>
        <v>0</v>
      </c>
      <c r="V69" s="227">
        <f>-'Table 5C1P-Vision'!AI72</f>
        <v>0</v>
      </c>
      <c r="W69" s="227">
        <f>-'Table 5C1Q-Advantage'!AI72</f>
        <v>0</v>
      </c>
      <c r="X69" s="227">
        <f>-'Table 5C1R-Iberville'!AI72</f>
        <v>0</v>
      </c>
      <c r="Y69" s="227">
        <f>-'Table 5C1S-L.C. Coll Prep'!AI72</f>
        <v>0</v>
      </c>
      <c r="Z69" s="227">
        <f>-'Table 5C1T-Northeast'!AI72</f>
        <v>0</v>
      </c>
      <c r="AA69" s="227">
        <f>-'Table 5C1U-Acadiana Ren'!AI72</f>
        <v>0</v>
      </c>
      <c r="AB69" s="227">
        <f>-'Table 5C1V-Laf Ren'!AI72</f>
        <v>0</v>
      </c>
      <c r="AC69" s="227">
        <f>-'Table 5C1W-Willow'!AI72</f>
        <v>0</v>
      </c>
      <c r="AD69" s="227">
        <f>-'Table 5C2 - LA Virtual Admy'!AJ72</f>
        <v>4322</v>
      </c>
      <c r="AE69" s="227">
        <f>-'Table 5C3 - LA Connections EBR'!AJ72</f>
        <v>1727</v>
      </c>
      <c r="AF69" s="227">
        <f t="shared" si="59"/>
        <v>-143527</v>
      </c>
      <c r="AG69" s="248">
        <f t="shared" si="60"/>
        <v>714279</v>
      </c>
      <c r="AH69" s="227"/>
      <c r="AI69" s="227"/>
      <c r="AJ69" s="227"/>
      <c r="AK69" s="227">
        <f>'Table 5C1A-Madison Prep'!AO72</f>
        <v>0</v>
      </c>
      <c r="AL69" s="227">
        <f>'Table 5C1B-DArbonne'!AO72</f>
        <v>0</v>
      </c>
      <c r="AM69" s="227">
        <f>'Table 5C1C-Intl_VIBE'!AO72</f>
        <v>0</v>
      </c>
      <c r="AN69" s="227">
        <f>'Table 5C1D-NOMMA'!AO72</f>
        <v>0</v>
      </c>
      <c r="AO69" s="227">
        <f>'Table 5C1E-LFNO'!AO72</f>
        <v>0</v>
      </c>
      <c r="AP69" s="227">
        <f>'Table 5C1F-Lake Charles Charter'!AO72</f>
        <v>0</v>
      </c>
      <c r="AQ69" s="227">
        <f>'Table 5C1G-JS Clark Academy'!AO72</f>
        <v>0</v>
      </c>
      <c r="AR69" s="227">
        <f>'Table 5C1H-Southwest LA Charter'!AO72</f>
        <v>0</v>
      </c>
      <c r="AS69" s="227">
        <f>'Table 5C1I-LA Key Academy'!AO72</f>
        <v>0</v>
      </c>
      <c r="AT69" s="227">
        <f>'Table 5C1J-Jefferson Chamber'!AO72</f>
        <v>0</v>
      </c>
      <c r="AU69" s="227">
        <f>'Table 5C1K-Tallulah Charter'!AO72</f>
        <v>0</v>
      </c>
      <c r="AV69" s="227">
        <f>'Table 5C1L-Northshore Charter'!AO72</f>
        <v>-2269.2224999999999</v>
      </c>
      <c r="AW69" s="227">
        <f>'Table 5C1M-B.R. Charter'!AO72</f>
        <v>0</v>
      </c>
      <c r="AX69" s="227">
        <f>'Table 5C1N-Delta Charter'!AO72</f>
        <v>0</v>
      </c>
      <c r="AY69" s="227">
        <f>'Table 5C1O-Impact'!AO72</f>
        <v>0</v>
      </c>
      <c r="AZ69" s="227">
        <f>+'Table 5C1P-Vision'!AO72</f>
        <v>0</v>
      </c>
      <c r="BA69" s="227">
        <f>+'Table 5C1Q-Advantage'!AO72</f>
        <v>0</v>
      </c>
      <c r="BB69" s="227">
        <f>+'Table 5C1R-Iberville'!AO72</f>
        <v>0</v>
      </c>
      <c r="BC69" s="227">
        <f>+'Table 5C1S-L.C. Coll Prep'!AO72</f>
        <v>0</v>
      </c>
      <c r="BD69" s="227">
        <f>+'Table 5C1T-Northeast'!AO72</f>
        <v>0</v>
      </c>
      <c r="BE69" s="227">
        <f>+'Table 5C1U-Acadiana Ren'!AO72</f>
        <v>0</v>
      </c>
      <c r="BF69" s="227">
        <f>+'Table 5C1V-Laf Ren'!AO72</f>
        <v>0</v>
      </c>
      <c r="BG69" s="227">
        <f>+'Table 5C1W-Willow'!AO72</f>
        <v>0</v>
      </c>
      <c r="BH69" s="227">
        <f>'Table 5C2 - LA Virtual Admy'!AP72</f>
        <v>81.222749999999991</v>
      </c>
      <c r="BI69" s="227">
        <f>'Table 5C3 - LA Connections EBR'!AP72</f>
        <v>37.901249999999997</v>
      </c>
      <c r="BJ69" s="248">
        <f t="shared" si="61"/>
        <v>712128.90149999992</v>
      </c>
    </row>
    <row r="70" spans="1:62" ht="14.45" customHeight="1">
      <c r="A70" s="224">
        <v>67</v>
      </c>
      <c r="B70" s="225" t="s">
        <v>28</v>
      </c>
      <c r="C70" s="226">
        <f>'Table 2_State Distrib and Adjs'!AL73</f>
        <v>2441005</v>
      </c>
      <c r="D70" s="227">
        <f>-'Table 5A3_OJJ'!W72</f>
        <v>0</v>
      </c>
      <c r="E70" s="227"/>
      <c r="F70" s="227"/>
      <c r="G70" s="227">
        <f>-'Table 5C1A-Madison Prep'!AI73</f>
        <v>-586</v>
      </c>
      <c r="H70" s="227">
        <f>-'Table 5C1B-DArbonne'!AI73</f>
        <v>0</v>
      </c>
      <c r="I70" s="227">
        <f>-'Table 5C1C-Intl_VIBE'!AI73</f>
        <v>0</v>
      </c>
      <c r="J70" s="227">
        <f>-'Table 5C1D-NOMMA'!AI73</f>
        <v>0</v>
      </c>
      <c r="K70" s="227">
        <f>-'Table 5C1E-LFNO'!AI73</f>
        <v>0</v>
      </c>
      <c r="L70" s="227">
        <f>-'Table 5C1F-Lake Charles Charter'!AI73</f>
        <v>0</v>
      </c>
      <c r="M70" s="227">
        <f>-'Table 5C1G-JS Clark Academy'!AI73</f>
        <v>0</v>
      </c>
      <c r="N70" s="227">
        <f>-'Table 5C1H-Southwest LA Charter'!AI73</f>
        <v>0</v>
      </c>
      <c r="O70" s="227">
        <f>-'Table 5C1I-LA Key Academy'!AI73</f>
        <v>0</v>
      </c>
      <c r="P70" s="227">
        <f>-'Table 5C1J-Jefferson Chamber'!AI73</f>
        <v>0</v>
      </c>
      <c r="Q70" s="227">
        <f>-'Table 5C1K-Tallulah Charter'!AI73</f>
        <v>0</v>
      </c>
      <c r="R70" s="227">
        <f>-'Table 5C1L-Northshore Charter'!AI73</f>
        <v>0</v>
      </c>
      <c r="S70" s="227">
        <f>-'Table 5C1M-B.R. Charter'!AI73</f>
        <v>0</v>
      </c>
      <c r="T70" s="227">
        <f>-'Table 5C1N-Delta Charter'!AI73</f>
        <v>0</v>
      </c>
      <c r="U70" s="227">
        <f>-'Table 5C1O-Impact'!AI73</f>
        <v>-3193</v>
      </c>
      <c r="V70" s="227">
        <f>-'Table 5C1P-Vision'!AI73</f>
        <v>0</v>
      </c>
      <c r="W70" s="227">
        <f>-'Table 5C1Q-Advantage'!AI73</f>
        <v>-2568</v>
      </c>
      <c r="X70" s="227">
        <f>-'Table 5C1R-Iberville'!AI73</f>
        <v>0</v>
      </c>
      <c r="Y70" s="227">
        <f>-'Table 5C1S-L.C. Coll Prep'!AI73</f>
        <v>0</v>
      </c>
      <c r="Z70" s="227">
        <f>-'Table 5C1T-Northeast'!AI73</f>
        <v>0</v>
      </c>
      <c r="AA70" s="227">
        <f>-'Table 5C1U-Acadiana Ren'!AI73</f>
        <v>0</v>
      </c>
      <c r="AB70" s="227">
        <f>-'Table 5C1V-Laf Ren'!AI73</f>
        <v>0</v>
      </c>
      <c r="AC70" s="227">
        <f>-'Table 5C1W-Willow'!AI73</f>
        <v>0</v>
      </c>
      <c r="AD70" s="227">
        <f>-'Table 5C2 - LA Virtual Admy'!AJ73</f>
        <v>-4962</v>
      </c>
      <c r="AE70" s="227">
        <f>-'Table 5C3 - LA Connections EBR'!AJ73</f>
        <v>3499</v>
      </c>
      <c r="AF70" s="227">
        <f t="shared" si="59"/>
        <v>-7810</v>
      </c>
      <c r="AG70" s="248">
        <f t="shared" si="60"/>
        <v>2433195</v>
      </c>
      <c r="AH70" s="227"/>
      <c r="AI70" s="227"/>
      <c r="AJ70" s="227"/>
      <c r="AK70" s="227">
        <f>'Table 5C1A-Madison Prep'!AO73</f>
        <v>-0.40499999999999403</v>
      </c>
      <c r="AL70" s="227">
        <f>'Table 5C1B-DArbonne'!AO73</f>
        <v>0</v>
      </c>
      <c r="AM70" s="227">
        <f>'Table 5C1C-Intl_VIBE'!AO73</f>
        <v>0</v>
      </c>
      <c r="AN70" s="227">
        <f>'Table 5C1D-NOMMA'!AO73</f>
        <v>0</v>
      </c>
      <c r="AO70" s="227">
        <f>'Table 5C1E-LFNO'!AO73</f>
        <v>0</v>
      </c>
      <c r="AP70" s="227">
        <f>'Table 5C1F-Lake Charles Charter'!AO73</f>
        <v>0</v>
      </c>
      <c r="AQ70" s="227">
        <f>'Table 5C1G-JS Clark Academy'!AO73</f>
        <v>0</v>
      </c>
      <c r="AR70" s="227">
        <f>'Table 5C1H-Southwest LA Charter'!AO73</f>
        <v>0</v>
      </c>
      <c r="AS70" s="227">
        <f>'Table 5C1I-LA Key Academy'!AO73</f>
        <v>0</v>
      </c>
      <c r="AT70" s="227">
        <f>'Table 5C1J-Jefferson Chamber'!AO73</f>
        <v>0</v>
      </c>
      <c r="AU70" s="227">
        <f>'Table 5C1K-Tallulah Charter'!AO73</f>
        <v>0</v>
      </c>
      <c r="AV70" s="227">
        <f>'Table 5C1L-Northshore Charter'!AO73</f>
        <v>0</v>
      </c>
      <c r="AW70" s="227">
        <f>'Table 5C1M-B.R. Charter'!AO73</f>
        <v>0</v>
      </c>
      <c r="AX70" s="227">
        <f>'Table 5C1N-Delta Charter'!AO73</f>
        <v>0</v>
      </c>
      <c r="AY70" s="227">
        <f>'Table 5C1O-Impact'!AO73</f>
        <v>-63.362500000000004</v>
      </c>
      <c r="AZ70" s="227">
        <f>+'Table 5C1P-Vision'!AO73</f>
        <v>0</v>
      </c>
      <c r="BA70" s="227">
        <f>+'Table 5C1Q-Advantage'!AO73</f>
        <v>-63.362500000000004</v>
      </c>
      <c r="BB70" s="227">
        <f>+'Table 5C1R-Iberville'!AO73</f>
        <v>0</v>
      </c>
      <c r="BC70" s="227">
        <f>+'Table 5C1S-L.C. Coll Prep'!AO73</f>
        <v>0</v>
      </c>
      <c r="BD70" s="227">
        <f>+'Table 5C1T-Northeast'!AO73</f>
        <v>0</v>
      </c>
      <c r="BE70" s="227">
        <f>+'Table 5C1U-Acadiana Ren'!AO73</f>
        <v>0</v>
      </c>
      <c r="BF70" s="227">
        <f>+'Table 5C1V-Laf Ren'!AO73</f>
        <v>0</v>
      </c>
      <c r="BG70" s="227">
        <f>+'Table 5C1W-Willow'!AO73</f>
        <v>0</v>
      </c>
      <c r="BH70" s="227">
        <f>'Table 5C2 - LA Virtual Admy'!AP73</f>
        <v>-34.701750000000011</v>
      </c>
      <c r="BI70" s="227">
        <f>'Table 5C3 - LA Connections EBR'!AP73</f>
        <v>0</v>
      </c>
      <c r="BJ70" s="248">
        <f t="shared" si="61"/>
        <v>2433033.1682500006</v>
      </c>
    </row>
    <row r="71" spans="1:62" ht="14.45" customHeight="1">
      <c r="A71" s="224">
        <v>68</v>
      </c>
      <c r="B71" s="225" t="s">
        <v>27</v>
      </c>
      <c r="C71" s="226">
        <f>'Table 2_State Distrib and Adjs'!AL74</f>
        <v>616786</v>
      </c>
      <c r="D71" s="227">
        <f>-'Table 5A3_OJJ'!W73</f>
        <v>-59</v>
      </c>
      <c r="E71" s="227"/>
      <c r="F71" s="227"/>
      <c r="G71" s="227">
        <f>-'Table 5C1A-Madison Prep'!AI74</f>
        <v>-953</v>
      </c>
      <c r="H71" s="227">
        <f>-'Table 5C1B-DArbonne'!AI74</f>
        <v>0</v>
      </c>
      <c r="I71" s="227">
        <f>-'Table 5C1C-Intl_VIBE'!AI74</f>
        <v>0</v>
      </c>
      <c r="J71" s="227">
        <f>-'Table 5C1D-NOMMA'!AI74</f>
        <v>0</v>
      </c>
      <c r="K71" s="227">
        <f>-'Table 5C1E-LFNO'!AI74</f>
        <v>0</v>
      </c>
      <c r="L71" s="227">
        <f>-'Table 5C1F-Lake Charles Charter'!AI74</f>
        <v>0</v>
      </c>
      <c r="M71" s="227">
        <f>-'Table 5C1G-JS Clark Academy'!AI74</f>
        <v>0</v>
      </c>
      <c r="N71" s="227">
        <f>-'Table 5C1H-Southwest LA Charter'!AI74</f>
        <v>0</v>
      </c>
      <c r="O71" s="227">
        <f>-'Table 5C1I-LA Key Academy'!AI74</f>
        <v>0</v>
      </c>
      <c r="P71" s="227">
        <f>-'Table 5C1J-Jefferson Chamber'!AI74</f>
        <v>0</v>
      </c>
      <c r="Q71" s="227">
        <f>-'Table 5C1K-Tallulah Charter'!AI74</f>
        <v>0</v>
      </c>
      <c r="R71" s="227">
        <f>-'Table 5C1L-Northshore Charter'!AI74</f>
        <v>0</v>
      </c>
      <c r="S71" s="227">
        <f>-'Table 5C1M-B.R. Charter'!AI74</f>
        <v>484</v>
      </c>
      <c r="T71" s="227">
        <f>-'Table 5C1N-Delta Charter'!AI74</f>
        <v>0</v>
      </c>
      <c r="U71" s="227">
        <f>-'Table 5C1O-Impact'!AI74</f>
        <v>-11566</v>
      </c>
      <c r="V71" s="227">
        <f>-'Table 5C1P-Vision'!AI74</f>
        <v>0</v>
      </c>
      <c r="W71" s="227">
        <f>-'Table 5C1Q-Advantage'!AI74</f>
        <v>-49200</v>
      </c>
      <c r="X71" s="227">
        <f>-'Table 5C1R-Iberville'!AI74</f>
        <v>0</v>
      </c>
      <c r="Y71" s="227">
        <f>-'Table 5C1S-L.C. Coll Prep'!AI74</f>
        <v>0</v>
      </c>
      <c r="Z71" s="227">
        <f>-'Table 5C1T-Northeast'!AI74</f>
        <v>0</v>
      </c>
      <c r="AA71" s="227">
        <f>-'Table 5C1U-Acadiana Ren'!AI74</f>
        <v>0</v>
      </c>
      <c r="AB71" s="227">
        <f>-'Table 5C1V-Laf Ren'!AI74</f>
        <v>0</v>
      </c>
      <c r="AC71" s="227">
        <f>-'Table 5C1W-Willow'!AI74</f>
        <v>0</v>
      </c>
      <c r="AD71" s="227">
        <f>-'Table 5C2 - LA Virtual Admy'!AJ74</f>
        <v>-913</v>
      </c>
      <c r="AE71" s="227">
        <f>-'Table 5C3 - LA Connections EBR'!AJ74</f>
        <v>2603</v>
      </c>
      <c r="AF71" s="227">
        <f t="shared" si="59"/>
        <v>-59604</v>
      </c>
      <c r="AG71" s="248">
        <f t="shared" si="60"/>
        <v>557182</v>
      </c>
      <c r="AH71" s="227"/>
      <c r="AI71" s="227"/>
      <c r="AJ71" s="227"/>
      <c r="AK71" s="227">
        <f>'Table 5C1A-Madison Prep'!AO74</f>
        <v>-14.4925</v>
      </c>
      <c r="AL71" s="227">
        <f>'Table 5C1B-DArbonne'!AO74</f>
        <v>0</v>
      </c>
      <c r="AM71" s="227">
        <f>'Table 5C1C-Intl_VIBE'!AO74</f>
        <v>0</v>
      </c>
      <c r="AN71" s="227">
        <f>'Table 5C1D-NOMMA'!AO74</f>
        <v>0</v>
      </c>
      <c r="AO71" s="227">
        <f>'Table 5C1E-LFNO'!AO74</f>
        <v>0</v>
      </c>
      <c r="AP71" s="227">
        <f>'Table 5C1F-Lake Charles Charter'!AO74</f>
        <v>0</v>
      </c>
      <c r="AQ71" s="227">
        <f>'Table 5C1G-JS Clark Academy'!AO74</f>
        <v>0</v>
      </c>
      <c r="AR71" s="227">
        <f>'Table 5C1H-Southwest LA Charter'!AO74</f>
        <v>0</v>
      </c>
      <c r="AS71" s="227">
        <f>'Table 5C1I-LA Key Academy'!AO74</f>
        <v>0</v>
      </c>
      <c r="AT71" s="227">
        <f>'Table 5C1J-Jefferson Chamber'!AO74</f>
        <v>0</v>
      </c>
      <c r="AU71" s="227">
        <f>'Table 5C1K-Tallulah Charter'!AO74</f>
        <v>0</v>
      </c>
      <c r="AV71" s="227">
        <f>'Table 5C1L-Northshore Charter'!AO74</f>
        <v>0</v>
      </c>
      <c r="AW71" s="227">
        <f>'Table 5C1M-B.R. Charter'!AO74</f>
        <v>0</v>
      </c>
      <c r="AX71" s="227">
        <f>'Table 5C1N-Delta Charter'!AO74</f>
        <v>0</v>
      </c>
      <c r="AY71" s="227">
        <f>'Table 5C1O-Impact'!AO74</f>
        <v>654.72000000000014</v>
      </c>
      <c r="AZ71" s="227">
        <f>+'Table 5C1P-Vision'!AO74</f>
        <v>0</v>
      </c>
      <c r="BA71" s="227">
        <f>+'Table 5C1Q-Advantage'!AO74</f>
        <v>182.90750000000003</v>
      </c>
      <c r="BB71" s="227">
        <f>+'Table 5C1R-Iberville'!AO74</f>
        <v>0</v>
      </c>
      <c r="BC71" s="227">
        <f>+'Table 5C1S-L.C. Coll Prep'!AO74</f>
        <v>0</v>
      </c>
      <c r="BD71" s="227">
        <f>+'Table 5C1T-Northeast'!AO74</f>
        <v>0</v>
      </c>
      <c r="BE71" s="227">
        <f>+'Table 5C1U-Acadiana Ren'!AO74</f>
        <v>0</v>
      </c>
      <c r="BF71" s="227">
        <f>+'Table 5C1V-Laf Ren'!AO74</f>
        <v>0</v>
      </c>
      <c r="BG71" s="227">
        <f>+'Table 5C1W-Willow'!AO74</f>
        <v>0</v>
      </c>
      <c r="BH71" s="227">
        <f>'Table 5C2 - LA Virtual Admy'!AP74</f>
        <v>0.86625000000000085</v>
      </c>
      <c r="BI71" s="227">
        <f>'Table 5C3 - LA Connections EBR'!AP74</f>
        <v>0</v>
      </c>
      <c r="BJ71" s="248">
        <f t="shared" si="61"/>
        <v>558006.00124999986</v>
      </c>
    </row>
    <row r="72" spans="1:62" ht="14.45" customHeight="1">
      <c r="A72" s="2">
        <v>69</v>
      </c>
      <c r="B72" s="6" t="s">
        <v>147</v>
      </c>
      <c r="C72" s="54">
        <f>'Table 2_State Distrib and Adjs'!AL75</f>
        <v>2549602</v>
      </c>
      <c r="D72" s="45">
        <f>-'Table 5A3_OJJ'!W74</f>
        <v>0</v>
      </c>
      <c r="E72" s="45"/>
      <c r="F72" s="45"/>
      <c r="G72" s="45">
        <f>-'Table 5C1A-Madison Prep'!AI75</f>
        <v>25</v>
      </c>
      <c r="H72" s="45">
        <f>-'Table 5C1B-DArbonne'!AI75</f>
        <v>0</v>
      </c>
      <c r="I72" s="45">
        <f>-'Table 5C1C-Intl_VIBE'!AI75</f>
        <v>0</v>
      </c>
      <c r="J72" s="45">
        <f>-'Table 5C1D-NOMMA'!AI75</f>
        <v>0</v>
      </c>
      <c r="K72" s="45">
        <f>-'Table 5C1E-LFNO'!AI75</f>
        <v>0</v>
      </c>
      <c r="L72" s="45">
        <f>-'Table 5C1F-Lake Charles Charter'!AI75</f>
        <v>0</v>
      </c>
      <c r="M72" s="45">
        <f>-'Table 5C1G-JS Clark Academy'!AI75</f>
        <v>0</v>
      </c>
      <c r="N72" s="45">
        <f>-'Table 5C1H-Southwest LA Charter'!AI75</f>
        <v>0</v>
      </c>
      <c r="O72" s="45">
        <f>-'Table 5C1I-LA Key Academy'!AI75</f>
        <v>-1604</v>
      </c>
      <c r="P72" s="45">
        <f>-'Table 5C1J-Jefferson Chamber'!AI75</f>
        <v>0</v>
      </c>
      <c r="Q72" s="45">
        <f>-'Table 5C1K-Tallulah Charter'!AI75</f>
        <v>0</v>
      </c>
      <c r="R72" s="45">
        <f>-'Table 5C1L-Northshore Charter'!AI75</f>
        <v>0</v>
      </c>
      <c r="S72" s="45">
        <f>-'Table 5C1M-B.R. Charter'!AI75</f>
        <v>0</v>
      </c>
      <c r="T72" s="45">
        <f>-'Table 5C1N-Delta Charter'!AI75</f>
        <v>0</v>
      </c>
      <c r="U72" s="45">
        <f>-'Table 5C1O-Impact'!AI75</f>
        <v>0</v>
      </c>
      <c r="V72" s="45">
        <f>-'Table 5C1P-Vision'!AI75</f>
        <v>0</v>
      </c>
      <c r="W72" s="45">
        <f>-'Table 5C1Q-Advantage'!AI75</f>
        <v>-1221</v>
      </c>
      <c r="X72" s="45">
        <f>-'Table 5C1R-Iberville'!AI75</f>
        <v>0</v>
      </c>
      <c r="Y72" s="45">
        <f>-'Table 5C1S-L.C. Coll Prep'!AI75</f>
        <v>0</v>
      </c>
      <c r="Z72" s="45">
        <f>-'Table 5C1T-Northeast'!AI75</f>
        <v>0</v>
      </c>
      <c r="AA72" s="45">
        <f>-'Table 5C1U-Acadiana Ren'!AI75</f>
        <v>0</v>
      </c>
      <c r="AB72" s="45">
        <f>-'Table 5C1V-Laf Ren'!AI75</f>
        <v>0</v>
      </c>
      <c r="AC72" s="45">
        <f>-'Table 5C1W-Willow'!AI75</f>
        <v>0</v>
      </c>
      <c r="AD72" s="45">
        <f>-'Table 5C2 - LA Virtual Admy'!AJ75</f>
        <v>-1380</v>
      </c>
      <c r="AE72" s="45">
        <f>-'Table 5C3 - LA Connections EBR'!AJ75</f>
        <v>5707</v>
      </c>
      <c r="AF72" s="45">
        <f t="shared" si="59"/>
        <v>1527</v>
      </c>
      <c r="AG72" s="103">
        <f t="shared" si="60"/>
        <v>2551129</v>
      </c>
      <c r="AH72" s="45"/>
      <c r="AI72" s="45"/>
      <c r="AJ72" s="45"/>
      <c r="AK72" s="45">
        <f>'Table 5C1A-Madison Prep'!AO75</f>
        <v>8.4849999999999994</v>
      </c>
      <c r="AL72" s="45">
        <f>'Table 5C1B-DArbonne'!AO75</f>
        <v>0</v>
      </c>
      <c r="AM72" s="45">
        <f>'Table 5C1C-Intl_VIBE'!AO75</f>
        <v>0</v>
      </c>
      <c r="AN72" s="45">
        <f>'Table 5C1D-NOMMA'!AO75</f>
        <v>0</v>
      </c>
      <c r="AO72" s="45">
        <f>'Table 5C1E-LFNO'!AO75</f>
        <v>0</v>
      </c>
      <c r="AP72" s="45">
        <f>'Table 5C1F-Lake Charles Charter'!AO75</f>
        <v>0</v>
      </c>
      <c r="AQ72" s="45">
        <f>'Table 5C1G-JS Clark Academy'!AO75</f>
        <v>0</v>
      </c>
      <c r="AR72" s="45">
        <f>'Table 5C1H-Southwest LA Charter'!AO75</f>
        <v>0</v>
      </c>
      <c r="AS72" s="45">
        <f>'Table 5C1I-LA Key Academy'!AO75</f>
        <v>-8.1649999999999991</v>
      </c>
      <c r="AT72" s="45">
        <f>'Table 5C1J-Jefferson Chamber'!AO75</f>
        <v>0</v>
      </c>
      <c r="AU72" s="45">
        <f>'Table 5C1K-Tallulah Charter'!AO75</f>
        <v>0</v>
      </c>
      <c r="AV72" s="45">
        <f>'Table 5C1L-Northshore Charter'!AO75</f>
        <v>0</v>
      </c>
      <c r="AW72" s="45">
        <f>'Table 5C1M-B.R. Charter'!AO75</f>
        <v>0</v>
      </c>
      <c r="AX72" s="45">
        <f>'Table 5C1N-Delta Charter'!AO75</f>
        <v>0</v>
      </c>
      <c r="AY72" s="45">
        <f>'Table 5C1O-Impact'!AO75</f>
        <v>0</v>
      </c>
      <c r="AZ72" s="45">
        <f>+'Table 5C1P-Vision'!AO75</f>
        <v>0</v>
      </c>
      <c r="BA72" s="45">
        <f>+'Table 5C1Q-Advantage'!AO75</f>
        <v>-24.975000000000001</v>
      </c>
      <c r="BB72" s="45">
        <f>+'Table 5C1R-Iberville'!AO75</f>
        <v>0</v>
      </c>
      <c r="BC72" s="45">
        <f>+'Table 5C1S-L.C. Coll Prep'!AO75</f>
        <v>0</v>
      </c>
      <c r="BD72" s="45">
        <f>+'Table 5C1T-Northeast'!AO75</f>
        <v>0</v>
      </c>
      <c r="BE72" s="45">
        <f>+'Table 5C1U-Acadiana Ren'!AO75</f>
        <v>0</v>
      </c>
      <c r="BF72" s="45">
        <f>+'Table 5C1V-Laf Ren'!AO75</f>
        <v>0</v>
      </c>
      <c r="BG72" s="45">
        <f>+'Table 5C1W-Willow'!AO75</f>
        <v>0</v>
      </c>
      <c r="BH72" s="45">
        <f>'Table 5C2 - LA Virtual Admy'!AP75</f>
        <v>16.712999999999994</v>
      </c>
      <c r="BI72" s="45">
        <f>'Table 5C3 - LA Connections EBR'!AP75</f>
        <v>0</v>
      </c>
      <c r="BJ72" s="103">
        <f t="shared" si="61"/>
        <v>2551121.0579999997</v>
      </c>
    </row>
    <row r="73" spans="1:62" ht="14.45" customHeight="1" thickBot="1">
      <c r="A73" s="236"/>
      <c r="B73" s="237" t="s">
        <v>138</v>
      </c>
      <c r="C73" s="251">
        <f t="shared" ref="C73:BJ73" si="62">SUM(C4:C72)</f>
        <v>278709094</v>
      </c>
      <c r="D73" s="251">
        <f>SUM(D4:D72)</f>
        <v>-93319</v>
      </c>
      <c r="E73" s="251">
        <f t="shared" si="62"/>
        <v>-1168644</v>
      </c>
      <c r="F73" s="251">
        <f t="shared" si="62"/>
        <v>-13457976</v>
      </c>
      <c r="G73" s="251">
        <f t="shared" si="62"/>
        <v>-192247</v>
      </c>
      <c r="H73" s="251">
        <f t="shared" si="62"/>
        <v>-181479</v>
      </c>
      <c r="I73" s="251">
        <f t="shared" si="62"/>
        <v>-287175</v>
      </c>
      <c r="J73" s="251">
        <f t="shared" si="62"/>
        <v>-244988</v>
      </c>
      <c r="K73" s="251">
        <f t="shared" si="62"/>
        <v>-206026</v>
      </c>
      <c r="L73" s="251">
        <f t="shared" si="62"/>
        <v>-333550</v>
      </c>
      <c r="M73" s="251">
        <f t="shared" si="62"/>
        <v>-32393</v>
      </c>
      <c r="N73" s="251">
        <f t="shared" si="62"/>
        <v>-360380</v>
      </c>
      <c r="O73" s="251">
        <f t="shared" si="62"/>
        <v>-109681</v>
      </c>
      <c r="P73" s="251">
        <f t="shared" si="62"/>
        <v>-54703</v>
      </c>
      <c r="Q73" s="251">
        <f t="shared" si="62"/>
        <v>-110050</v>
      </c>
      <c r="R73" s="251">
        <f t="shared" si="62"/>
        <v>-152418</v>
      </c>
      <c r="S73" s="251">
        <f t="shared" si="62"/>
        <v>-301304</v>
      </c>
      <c r="T73" s="251">
        <f t="shared" si="62"/>
        <v>-126617</v>
      </c>
      <c r="U73" s="251">
        <f>SUM(U4:U72)</f>
        <v>-70144</v>
      </c>
      <c r="V73" s="251">
        <f t="shared" ref="V73:AC73" si="63">SUM(V4:V72)</f>
        <v>-6279</v>
      </c>
      <c r="W73" s="251">
        <f t="shared" si="63"/>
        <v>-132122</v>
      </c>
      <c r="X73" s="251">
        <f t="shared" si="63"/>
        <v>-232885</v>
      </c>
      <c r="Y73" s="251">
        <f t="shared" si="63"/>
        <v>-34008</v>
      </c>
      <c r="Z73" s="251">
        <f t="shared" si="63"/>
        <v>-42548</v>
      </c>
      <c r="AA73" s="251">
        <f t="shared" si="63"/>
        <v>-371395</v>
      </c>
      <c r="AB73" s="251">
        <f t="shared" si="63"/>
        <v>-210361</v>
      </c>
      <c r="AC73" s="251">
        <f t="shared" si="63"/>
        <v>-170890</v>
      </c>
      <c r="AD73" s="251">
        <f>SUM(AD4:AD72)</f>
        <v>-667674</v>
      </c>
      <c r="AE73" s="251">
        <f>SUM(AE4:AE72)</f>
        <v>-734173</v>
      </c>
      <c r="AF73" s="251">
        <f t="shared" si="62"/>
        <v>-20085429</v>
      </c>
      <c r="AG73" s="252">
        <f t="shared" si="62"/>
        <v>258623665</v>
      </c>
      <c r="AH73" s="251">
        <f t="shared" si="62"/>
        <v>7839.6412500000006</v>
      </c>
      <c r="AI73" s="251">
        <f t="shared" si="62"/>
        <v>1119.9487500000032</v>
      </c>
      <c r="AJ73" s="251">
        <f>SUM(AJ4:AJ72)</f>
        <v>-26931.168749999837</v>
      </c>
      <c r="AK73" s="251">
        <f t="shared" si="62"/>
        <v>-1110.2699999999998</v>
      </c>
      <c r="AL73" s="251">
        <f t="shared" si="62"/>
        <v>-654.01624999999922</v>
      </c>
      <c r="AM73" s="251">
        <f t="shared" si="62"/>
        <v>-1053.5037500000003</v>
      </c>
      <c r="AN73" s="251">
        <f t="shared" si="62"/>
        <v>-2428.9375000000005</v>
      </c>
      <c r="AO73" s="251">
        <f t="shared" si="62"/>
        <v>-1686.03125</v>
      </c>
      <c r="AP73" s="251">
        <f t="shared" si="62"/>
        <v>-53.263750000000073</v>
      </c>
      <c r="AQ73" s="251">
        <f t="shared" si="62"/>
        <v>-127.44624999999991</v>
      </c>
      <c r="AR73" s="251">
        <f t="shared" si="62"/>
        <v>-2424.67625</v>
      </c>
      <c r="AS73" s="251">
        <f t="shared" si="62"/>
        <v>-835.65624999999989</v>
      </c>
      <c r="AT73" s="251">
        <f t="shared" si="62"/>
        <v>-124.2312499999999</v>
      </c>
      <c r="AU73" s="251">
        <f t="shared" si="62"/>
        <v>-521.25749999999971</v>
      </c>
      <c r="AV73" s="251">
        <f t="shared" si="62"/>
        <v>-2294.07375</v>
      </c>
      <c r="AW73" s="251">
        <f t="shared" si="62"/>
        <v>-2727.2287500000002</v>
      </c>
      <c r="AX73" s="251">
        <f t="shared" si="62"/>
        <v>-563.87249999999995</v>
      </c>
      <c r="AY73" s="251">
        <f t="shared" si="62"/>
        <v>158.06000000000006</v>
      </c>
      <c r="AZ73" s="251">
        <f t="shared" si="62"/>
        <v>709.64125000000013</v>
      </c>
      <c r="BA73" s="251">
        <f t="shared" si="62"/>
        <v>45.88375000000007</v>
      </c>
      <c r="BB73" s="251">
        <f t="shared" si="62"/>
        <v>2500.4237499999999</v>
      </c>
      <c r="BC73" s="251">
        <f t="shared" si="62"/>
        <v>77.529999999999973</v>
      </c>
      <c r="BD73" s="251">
        <f t="shared" si="62"/>
        <v>-161.89125000000007</v>
      </c>
      <c r="BE73" s="251">
        <f t="shared" si="62"/>
        <v>-1213.0550000000003</v>
      </c>
      <c r="BF73" s="251">
        <f t="shared" si="62"/>
        <v>1044.8462500000001</v>
      </c>
      <c r="BG73" s="251">
        <f t="shared" si="62"/>
        <v>602.8149999999996</v>
      </c>
      <c r="BH73" s="251">
        <f>SUM(BH4:BH72)</f>
        <v>-734.59575000000098</v>
      </c>
      <c r="BI73" s="251">
        <f>SUM(BI4:BI72)</f>
        <v>-5804.1112500000008</v>
      </c>
      <c r="BJ73" s="252">
        <f t="shared" si="62"/>
        <v>258586314.50299999</v>
      </c>
    </row>
    <row r="74" spans="1:62" ht="13.5" thickTop="1"/>
  </sheetData>
  <printOptions horizontalCentered="1"/>
  <pageMargins left="0.4" right="0.4" top="1.01" bottom="0.75" header="0.3" footer="0.3"/>
  <pageSetup paperSize="5" scale="70" firstPageNumber="11" orientation="portrait" r:id="rId1"/>
  <headerFooter>
    <oddHeader>&amp;L&amp;"Arial,Bold"&amp;14&amp;K000000Table 2A-2:  FY2014-15 Budget Letter (March 2015)
MFP Transfer Amount (Monthly Amount)</oddHeader>
    <oddFooter>&amp;R&amp;P</oddFooter>
  </headerFooter>
  <colBreaks count="1" manualBreakCount="1">
    <brk id="33" max="72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customWidth="1"/>
    <col min="4" max="4" width="13.7109375" style="784" customWidth="1"/>
    <col min="5" max="5" width="9.85546875" style="784" customWidth="1"/>
    <col min="6" max="7" width="12.28515625" style="784" customWidth="1"/>
    <col min="8" max="8" width="11.5703125" style="784" customWidth="1"/>
    <col min="9" max="12" width="12" style="784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5.28515625" style="784" customWidth="1"/>
    <col min="23" max="23" width="14.28515625" style="784" customWidth="1"/>
    <col min="24" max="24" width="15.28515625" style="784" customWidth="1"/>
    <col min="25" max="25" width="13.28515625" style="784" customWidth="1"/>
    <col min="26" max="26" width="12.28515625" style="784" customWidth="1"/>
    <col min="27" max="28" width="15.7109375" style="784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4" width="10.7109375" style="784" bestFit="1" customWidth="1"/>
    <col min="35" max="35" width="14.42578125" style="784" bestFit="1" customWidth="1"/>
    <col min="36" max="36" width="14.28515625" style="784" customWidth="1"/>
    <col min="37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672</v>
      </c>
      <c r="B1" s="1577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33" customHeight="1">
      <c r="A2" s="1578"/>
      <c r="B2" s="1579"/>
      <c r="C2" s="619"/>
      <c r="D2" s="620"/>
      <c r="E2" s="620"/>
      <c r="F2" s="620"/>
      <c r="G2" s="620"/>
      <c r="H2" s="620"/>
      <c r="I2" s="1411" t="s">
        <v>1036</v>
      </c>
      <c r="J2" s="1411"/>
      <c r="K2" s="1411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1035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85" t="s">
        <v>1037</v>
      </c>
      <c r="J3" s="1518" t="s">
        <v>554</v>
      </c>
      <c r="K3" s="1585" t="s">
        <v>1033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1543" t="s">
        <v>871</v>
      </c>
      <c r="W3" s="1587" t="s">
        <v>906</v>
      </c>
      <c r="X3" s="1507" t="s">
        <v>1038</v>
      </c>
      <c r="Y3" s="1507" t="s">
        <v>861</v>
      </c>
      <c r="Z3" s="1507" t="s">
        <v>859</v>
      </c>
      <c r="AA3" s="1215" t="s">
        <v>1034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586"/>
      <c r="J4" s="1470"/>
      <c r="K4" s="1586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1544"/>
      <c r="W4" s="1588"/>
      <c r="X4" s="1470"/>
      <c r="Y4" s="1470"/>
      <c r="Z4" s="1470"/>
      <c r="AA4" s="1214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si="1"/>
        <v>8</v>
      </c>
      <c r="K5" s="23">
        <f t="shared" si="1"/>
        <v>9</v>
      </c>
      <c r="L5" s="23">
        <f t="shared" si="1"/>
        <v>10</v>
      </c>
      <c r="M5" s="23">
        <f t="shared" si="1"/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si="1"/>
        <v>15</v>
      </c>
      <c r="R5" s="23">
        <f t="shared" si="1"/>
        <v>16</v>
      </c>
      <c r="S5" s="23">
        <f t="shared" si="1"/>
        <v>17</v>
      </c>
      <c r="T5" s="23">
        <f t="shared" ref="T5" si="2">S5+1</f>
        <v>18</v>
      </c>
      <c r="U5" s="23">
        <f t="shared" ref="U5" si="3">T5+1</f>
        <v>19</v>
      </c>
      <c r="V5" s="23">
        <f t="shared" si="1"/>
        <v>20</v>
      </c>
      <c r="W5" s="23">
        <f t="shared" si="1"/>
        <v>21</v>
      </c>
      <c r="X5" s="23">
        <f t="shared" si="1"/>
        <v>22</v>
      </c>
      <c r="Y5" s="23">
        <f t="shared" si="1"/>
        <v>23</v>
      </c>
      <c r="Z5" s="23">
        <f t="shared" si="1"/>
        <v>24</v>
      </c>
      <c r="AA5" s="23">
        <f t="shared" si="1"/>
        <v>25</v>
      </c>
      <c r="AB5" s="23">
        <f t="shared" si="1"/>
        <v>26</v>
      </c>
      <c r="AC5" s="23">
        <f t="shared" si="1"/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si="1"/>
        <v>31</v>
      </c>
      <c r="AH5" s="23">
        <f t="shared" si="1"/>
        <v>32</v>
      </c>
      <c r="AI5" s="23">
        <f t="shared" si="1"/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Advantage'!K4</f>
        <v>0</v>
      </c>
      <c r="J7" s="210">
        <f>'[1]Feb midyear Advantage'!K4</f>
        <v>0</v>
      </c>
      <c r="K7" s="211">
        <f>I7+J7</f>
        <v>0</v>
      </c>
      <c r="L7" s="344">
        <f>+H7+K7</f>
        <v>0</v>
      </c>
      <c r="M7" s="273">
        <f t="shared" ref="M7:M70" si="4"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(4*'[2]Table 5C1Q-Advantage'!S7)+(4*'[3]Table 5C1Q-Advantage'!S7)</f>
        <v>0</v>
      </c>
      <c r="R7" s="210">
        <f>+P7-Q7</f>
        <v>0</v>
      </c>
      <c r="S7" s="350">
        <f t="shared" ref="S7:S38" si="5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Advantage'!E4</f>
        <v>0</v>
      </c>
      <c r="X7" s="276">
        <f>+U7*W7</f>
        <v>0</v>
      </c>
      <c r="Y7" s="883">
        <f>'[1]Feb midyear Advantage'!E4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(4*'[2]Table 5C1Q-Advantage'!AI7)+(4*'[3]Table 5C1Q-Advantage'!AI7)</f>
        <v>0</v>
      </c>
      <c r="AH7" s="279">
        <f>+AF7-AG7</f>
        <v>0</v>
      </c>
      <c r="AI7" s="323">
        <f t="shared" ref="AI7:AI38" si="6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7">+AN7-AM7</f>
        <v>0</v>
      </c>
    </row>
    <row r="8" spans="1:41" ht="16.149999999999999" customHeight="1">
      <c r="A8" s="198">
        <v>2</v>
      </c>
      <c r="B8" s="199" t="s">
        <v>74</v>
      </c>
      <c r="C8" s="995">
        <v>0</v>
      </c>
      <c r="D8" s="201">
        <f>+'Table 5C1A-Madison Prep'!D8</f>
        <v>6316.6266417386641</v>
      </c>
      <c r="E8" s="202">
        <f t="shared" ref="E8:E71" si="8">C8*D8</f>
        <v>0</v>
      </c>
      <c r="F8" s="202">
        <f>+'Table 5C1A-Madison Prep'!F8</f>
        <v>842.32</v>
      </c>
      <c r="G8" s="202">
        <f t="shared" ref="G8:G71" si="9">C8*F8</f>
        <v>0</v>
      </c>
      <c r="H8" s="345">
        <f t="shared" ref="H8:H71" si="10">E8+G8</f>
        <v>0</v>
      </c>
      <c r="I8" s="203">
        <f>'[1]Oct midyear Advantage'!K5</f>
        <v>0</v>
      </c>
      <c r="J8" s="203">
        <f>'[1]Feb midyear Advantage'!K5</f>
        <v>0</v>
      </c>
      <c r="K8" s="204">
        <f t="shared" ref="K8:K71" si="11">I8+J8</f>
        <v>0</v>
      </c>
      <c r="L8" s="345">
        <f t="shared" ref="L8:L71" si="12">+H8+K8</f>
        <v>0</v>
      </c>
      <c r="M8" s="286">
        <f t="shared" si="4"/>
        <v>0</v>
      </c>
      <c r="N8" s="345">
        <f t="shared" ref="N8:N71" si="13">SUM(L8:M8)</f>
        <v>0</v>
      </c>
      <c r="O8" s="201">
        <v>0</v>
      </c>
      <c r="P8" s="351">
        <f t="shared" ref="P8:P71" si="14">SUM(N8:O8)</f>
        <v>0</v>
      </c>
      <c r="Q8" s="203">
        <f>(4*'[2]Table 5C1Q-Advantage'!S8)+(4*'[3]Table 5C1Q-Advantage'!S8)</f>
        <v>0</v>
      </c>
      <c r="R8" s="203">
        <f t="shared" ref="R8:R71" si="15">+P8-Q8</f>
        <v>0</v>
      </c>
      <c r="S8" s="351">
        <f t="shared" si="5"/>
        <v>0</v>
      </c>
      <c r="T8" s="351">
        <f t="shared" ref="T8:T71" si="16">+P8</f>
        <v>0</v>
      </c>
      <c r="U8" s="287">
        <f>'Table 5C1A-Madison Prep'!U8</f>
        <v>2786</v>
      </c>
      <c r="V8" s="328">
        <f t="shared" ref="V8:V71" si="17">C8*U8</f>
        <v>0</v>
      </c>
      <c r="W8" s="289">
        <f>'[1]Oct midyear Advantage'!E5</f>
        <v>0</v>
      </c>
      <c r="X8" s="290">
        <f t="shared" ref="X8:X71" si="18">+U8*W8</f>
        <v>0</v>
      </c>
      <c r="Y8" s="289">
        <f>'[1]Feb midyear Advantage'!E5</f>
        <v>0</v>
      </c>
      <c r="Z8" s="290">
        <f t="shared" ref="Z8:Z71" si="19">+U8*Y8*0.5</f>
        <v>0</v>
      </c>
      <c r="AA8" s="288">
        <f t="shared" ref="AA8:AA71" si="20">+X8+Z8</f>
        <v>0</v>
      </c>
      <c r="AB8" s="324">
        <f t="shared" ref="AB8:AB71" si="21">+V8+AA8</f>
        <v>0</v>
      </c>
      <c r="AC8" s="292">
        <f t="shared" ref="AC8:AC71" si="22">-(0.25%*AB8)</f>
        <v>0</v>
      </c>
      <c r="AD8" s="324">
        <f t="shared" ref="AD8:AD71" si="23">SUM(AB8:AC8)</f>
        <v>0</v>
      </c>
      <c r="AE8" s="293">
        <v>0</v>
      </c>
      <c r="AF8" s="324">
        <f t="shared" ref="AF8:AF71" si="24">SUM(AD8:AE8)</f>
        <v>0</v>
      </c>
      <c r="AG8" s="293">
        <f>(4*'[2]Table 5C1Q-Advantage'!AI8)+(4*'[3]Table 5C1Q-Advantage'!AI8)</f>
        <v>0</v>
      </c>
      <c r="AH8" s="293">
        <f t="shared" ref="AH8:AH71" si="25">+AF8-AG8</f>
        <v>0</v>
      </c>
      <c r="AI8" s="324">
        <f t="shared" si="6"/>
        <v>0</v>
      </c>
      <c r="AJ8" s="321">
        <f t="shared" ref="AJ8:AJ71" si="26">T8+AF8</f>
        <v>0</v>
      </c>
      <c r="AK8" s="342">
        <f t="shared" ref="AK8:AK71" si="27">S8+AI8</f>
        <v>0</v>
      </c>
      <c r="AM8" s="286">
        <v>0</v>
      </c>
      <c r="AN8" s="286">
        <f t="shared" ref="AN8:AN71" si="28">+AC8</f>
        <v>0</v>
      </c>
      <c r="AO8" s="286">
        <f t="shared" si="7"/>
        <v>0</v>
      </c>
    </row>
    <row r="9" spans="1:41" ht="16.149999999999999" customHeight="1">
      <c r="A9" s="198">
        <v>3</v>
      </c>
      <c r="B9" s="199" t="s">
        <v>75</v>
      </c>
      <c r="C9" s="995">
        <v>0</v>
      </c>
      <c r="D9" s="201">
        <f>+'Table 5C1A-Madison Prep'!D9</f>
        <v>4155.1862027396819</v>
      </c>
      <c r="E9" s="202">
        <f t="shared" si="8"/>
        <v>0</v>
      </c>
      <c r="F9" s="202">
        <f>+'Table 5C1A-Madison Prep'!F9</f>
        <v>596.84</v>
      </c>
      <c r="G9" s="202">
        <f t="shared" si="9"/>
        <v>0</v>
      </c>
      <c r="H9" s="345">
        <f t="shared" si="10"/>
        <v>0</v>
      </c>
      <c r="I9" s="203">
        <f>'[1]Oct midyear Advantage'!K6</f>
        <v>0</v>
      </c>
      <c r="J9" s="203">
        <f>'[1]Feb midyear Advantage'!K6</f>
        <v>0</v>
      </c>
      <c r="K9" s="204">
        <f t="shared" si="11"/>
        <v>0</v>
      </c>
      <c r="L9" s="345">
        <f t="shared" si="12"/>
        <v>0</v>
      </c>
      <c r="M9" s="286">
        <f t="shared" si="4"/>
        <v>0</v>
      </c>
      <c r="N9" s="345">
        <f t="shared" si="13"/>
        <v>0</v>
      </c>
      <c r="O9" s="201">
        <v>0</v>
      </c>
      <c r="P9" s="351">
        <f t="shared" si="14"/>
        <v>0</v>
      </c>
      <c r="Q9" s="203">
        <f>(4*'[2]Table 5C1Q-Advantage'!S9)+(4*'[3]Table 5C1Q-Advantage'!S9)</f>
        <v>0</v>
      </c>
      <c r="R9" s="203">
        <f t="shared" si="15"/>
        <v>0</v>
      </c>
      <c r="S9" s="351">
        <f t="shared" si="5"/>
        <v>0</v>
      </c>
      <c r="T9" s="351">
        <f t="shared" si="16"/>
        <v>0</v>
      </c>
      <c r="U9" s="287">
        <f>'Table 5C1A-Madison Prep'!U9</f>
        <v>5927</v>
      </c>
      <c r="V9" s="328">
        <f t="shared" si="17"/>
        <v>0</v>
      </c>
      <c r="W9" s="289">
        <f>'[1]Oct midyear Advantage'!E6</f>
        <v>0</v>
      </c>
      <c r="X9" s="290">
        <f t="shared" si="18"/>
        <v>0</v>
      </c>
      <c r="Y9" s="289">
        <f>'[1]Feb midyear Advantage'!E6</f>
        <v>0</v>
      </c>
      <c r="Z9" s="290">
        <f t="shared" si="19"/>
        <v>0</v>
      </c>
      <c r="AA9" s="288">
        <f t="shared" si="20"/>
        <v>0</v>
      </c>
      <c r="AB9" s="324">
        <f t="shared" si="21"/>
        <v>0</v>
      </c>
      <c r="AC9" s="292">
        <f t="shared" si="22"/>
        <v>0</v>
      </c>
      <c r="AD9" s="324">
        <f t="shared" si="23"/>
        <v>0</v>
      </c>
      <c r="AE9" s="293">
        <v>0</v>
      </c>
      <c r="AF9" s="324">
        <f t="shared" si="24"/>
        <v>0</v>
      </c>
      <c r="AG9" s="293">
        <f>(4*'[2]Table 5C1Q-Advantage'!AI9)+(4*'[3]Table 5C1Q-Advantage'!AI9)</f>
        <v>0</v>
      </c>
      <c r="AH9" s="293">
        <f t="shared" si="25"/>
        <v>0</v>
      </c>
      <c r="AI9" s="324">
        <f t="shared" si="6"/>
        <v>0</v>
      </c>
      <c r="AJ9" s="321">
        <f t="shared" si="26"/>
        <v>0</v>
      </c>
      <c r="AK9" s="342">
        <f t="shared" si="27"/>
        <v>0</v>
      </c>
      <c r="AM9" s="286">
        <v>0</v>
      </c>
      <c r="AN9" s="286">
        <f t="shared" si="28"/>
        <v>0</v>
      </c>
      <c r="AO9" s="286">
        <f t="shared" si="7"/>
        <v>0</v>
      </c>
    </row>
    <row r="10" spans="1:41" ht="16.149999999999999" customHeight="1">
      <c r="A10" s="198">
        <v>4</v>
      </c>
      <c r="B10" s="199" t="s">
        <v>76</v>
      </c>
      <c r="C10" s="995">
        <v>0</v>
      </c>
      <c r="D10" s="201">
        <f>+'Table 5C1A-Madison Prep'!D10</f>
        <v>6119.0581446878568</v>
      </c>
      <c r="E10" s="202">
        <f t="shared" si="8"/>
        <v>0</v>
      </c>
      <c r="F10" s="202">
        <f>+'Table 5C1A-Madison Prep'!F10</f>
        <v>585.76</v>
      </c>
      <c r="G10" s="202">
        <f t="shared" si="9"/>
        <v>0</v>
      </c>
      <c r="H10" s="345">
        <f t="shared" si="10"/>
        <v>0</v>
      </c>
      <c r="I10" s="203">
        <f>'[1]Oct midyear Advantage'!K7</f>
        <v>0</v>
      </c>
      <c r="J10" s="203">
        <f>'[1]Feb midyear Advantage'!K7</f>
        <v>0</v>
      </c>
      <c r="K10" s="204">
        <f t="shared" si="11"/>
        <v>0</v>
      </c>
      <c r="L10" s="345">
        <f t="shared" si="12"/>
        <v>0</v>
      </c>
      <c r="M10" s="286">
        <f t="shared" si="4"/>
        <v>0</v>
      </c>
      <c r="N10" s="345">
        <f t="shared" si="13"/>
        <v>0</v>
      </c>
      <c r="O10" s="201">
        <v>0</v>
      </c>
      <c r="P10" s="351">
        <f t="shared" si="14"/>
        <v>0</v>
      </c>
      <c r="Q10" s="203">
        <f>(4*'[2]Table 5C1Q-Advantage'!S10)+(4*'[3]Table 5C1Q-Advantage'!S10)</f>
        <v>0</v>
      </c>
      <c r="R10" s="203">
        <f t="shared" si="15"/>
        <v>0</v>
      </c>
      <c r="S10" s="351">
        <f t="shared" si="5"/>
        <v>0</v>
      </c>
      <c r="T10" s="351">
        <f t="shared" si="16"/>
        <v>0</v>
      </c>
      <c r="U10" s="287">
        <f>'Table 5C1A-Madison Prep'!U10</f>
        <v>4203</v>
      </c>
      <c r="V10" s="328">
        <f t="shared" si="17"/>
        <v>0</v>
      </c>
      <c r="W10" s="289">
        <f>'[1]Oct midyear Advantage'!E7</f>
        <v>0</v>
      </c>
      <c r="X10" s="290">
        <f t="shared" si="18"/>
        <v>0</v>
      </c>
      <c r="Y10" s="289">
        <f>'[1]Feb midyear Advantage'!E7</f>
        <v>0</v>
      </c>
      <c r="Z10" s="290">
        <f t="shared" si="19"/>
        <v>0</v>
      </c>
      <c r="AA10" s="288">
        <f t="shared" si="20"/>
        <v>0</v>
      </c>
      <c r="AB10" s="324">
        <f t="shared" si="21"/>
        <v>0</v>
      </c>
      <c r="AC10" s="292">
        <f t="shared" si="22"/>
        <v>0</v>
      </c>
      <c r="AD10" s="324">
        <f t="shared" si="23"/>
        <v>0</v>
      </c>
      <c r="AE10" s="293">
        <v>0</v>
      </c>
      <c r="AF10" s="324">
        <f t="shared" si="24"/>
        <v>0</v>
      </c>
      <c r="AG10" s="293">
        <f>(4*'[2]Table 5C1Q-Advantage'!AI10)+(4*'[3]Table 5C1Q-Advantage'!AI10)</f>
        <v>0</v>
      </c>
      <c r="AH10" s="293">
        <f t="shared" si="25"/>
        <v>0</v>
      </c>
      <c r="AI10" s="324">
        <f t="shared" si="6"/>
        <v>0</v>
      </c>
      <c r="AJ10" s="321">
        <f t="shared" si="26"/>
        <v>0</v>
      </c>
      <c r="AK10" s="342">
        <f t="shared" si="27"/>
        <v>0</v>
      </c>
      <c r="AM10" s="286">
        <v>0</v>
      </c>
      <c r="AN10" s="286">
        <f t="shared" si="28"/>
        <v>0</v>
      </c>
      <c r="AO10" s="286">
        <f t="shared" si="7"/>
        <v>0</v>
      </c>
    </row>
    <row r="11" spans="1:41" ht="16.149999999999999" customHeight="1">
      <c r="A11" s="191">
        <v>5</v>
      </c>
      <c r="B11" s="192" t="s">
        <v>77</v>
      </c>
      <c r="C11" s="996">
        <v>0</v>
      </c>
      <c r="D11" s="194">
        <f>+'Table 5C1A-Madison Prep'!D11</f>
        <v>5268.940566009911</v>
      </c>
      <c r="E11" s="195">
        <f t="shared" si="8"/>
        <v>0</v>
      </c>
      <c r="F11" s="195">
        <f>+'Table 5C1A-Madison Prep'!F11</f>
        <v>555.91</v>
      </c>
      <c r="G11" s="195">
        <f t="shared" si="9"/>
        <v>0</v>
      </c>
      <c r="H11" s="346">
        <f t="shared" si="10"/>
        <v>0</v>
      </c>
      <c r="I11" s="196">
        <f>'[1]Oct midyear Advantage'!K8</f>
        <v>0</v>
      </c>
      <c r="J11" s="196">
        <f>'[1]Feb midyear Advantage'!K8</f>
        <v>0</v>
      </c>
      <c r="K11" s="197">
        <f t="shared" si="11"/>
        <v>0</v>
      </c>
      <c r="L11" s="346">
        <f t="shared" si="12"/>
        <v>0</v>
      </c>
      <c r="M11" s="296">
        <f t="shared" si="4"/>
        <v>0</v>
      </c>
      <c r="N11" s="346">
        <f t="shared" si="13"/>
        <v>0</v>
      </c>
      <c r="O11" s="194">
        <v>0</v>
      </c>
      <c r="P11" s="352">
        <f t="shared" si="14"/>
        <v>0</v>
      </c>
      <c r="Q11" s="196">
        <f>(4*'[2]Table 5C1Q-Advantage'!S11)+(4*'[3]Table 5C1Q-Advantage'!S11)</f>
        <v>0</v>
      </c>
      <c r="R11" s="196">
        <f t="shared" si="15"/>
        <v>0</v>
      </c>
      <c r="S11" s="352">
        <f t="shared" si="5"/>
        <v>0</v>
      </c>
      <c r="T11" s="352">
        <f t="shared" si="16"/>
        <v>0</v>
      </c>
      <c r="U11" s="281">
        <f>'Table 5C1A-Madison Prep'!U11</f>
        <v>1923</v>
      </c>
      <c r="V11" s="329">
        <f t="shared" si="17"/>
        <v>0</v>
      </c>
      <c r="W11" s="884">
        <f>'[1]Oct midyear Advantage'!E8</f>
        <v>0</v>
      </c>
      <c r="X11" s="282">
        <f t="shared" si="18"/>
        <v>0</v>
      </c>
      <c r="Y11" s="884">
        <f>'[1]Feb midyear Advantage'!E8</f>
        <v>0</v>
      </c>
      <c r="Z11" s="282">
        <f t="shared" si="19"/>
        <v>0</v>
      </c>
      <c r="AA11" s="283">
        <f t="shared" si="20"/>
        <v>0</v>
      </c>
      <c r="AB11" s="325">
        <f t="shared" si="21"/>
        <v>0</v>
      </c>
      <c r="AC11" s="298">
        <f t="shared" si="22"/>
        <v>0</v>
      </c>
      <c r="AD11" s="325">
        <f t="shared" si="23"/>
        <v>0</v>
      </c>
      <c r="AE11" s="284">
        <v>0</v>
      </c>
      <c r="AF11" s="325">
        <f t="shared" si="24"/>
        <v>0</v>
      </c>
      <c r="AG11" s="284">
        <f>(4*'[2]Table 5C1Q-Advantage'!AI11)+(4*'[3]Table 5C1Q-Advantage'!AI11)</f>
        <v>0</v>
      </c>
      <c r="AH11" s="284">
        <f t="shared" si="25"/>
        <v>0</v>
      </c>
      <c r="AI11" s="325">
        <f t="shared" si="6"/>
        <v>0</v>
      </c>
      <c r="AJ11" s="338">
        <f t="shared" si="26"/>
        <v>0</v>
      </c>
      <c r="AK11" s="343">
        <f t="shared" si="27"/>
        <v>0</v>
      </c>
      <c r="AM11" s="296">
        <v>0</v>
      </c>
      <c r="AN11" s="296">
        <f t="shared" si="28"/>
        <v>0</v>
      </c>
      <c r="AO11" s="296">
        <f t="shared" si="7"/>
        <v>0</v>
      </c>
    </row>
    <row r="12" spans="1:41" ht="16.149999999999999" customHeight="1">
      <c r="A12" s="205">
        <v>6</v>
      </c>
      <c r="B12" s="206" t="s">
        <v>78</v>
      </c>
      <c r="C12" s="994">
        <v>0</v>
      </c>
      <c r="D12" s="208">
        <f>+'Table 5C1A-Madison Prep'!D12</f>
        <v>5378.5086124955869</v>
      </c>
      <c r="E12" s="209">
        <f t="shared" si="8"/>
        <v>0</v>
      </c>
      <c r="F12" s="209">
        <f>+'Table 5C1A-Madison Prep'!F12</f>
        <v>545.4799999999999</v>
      </c>
      <c r="G12" s="209">
        <f t="shared" si="9"/>
        <v>0</v>
      </c>
      <c r="H12" s="344">
        <f t="shared" si="10"/>
        <v>0</v>
      </c>
      <c r="I12" s="210">
        <f>'[1]Oct midyear Advantage'!K9</f>
        <v>0</v>
      </c>
      <c r="J12" s="210">
        <f>'[1]Feb midyear Advantage'!K9</f>
        <v>0</v>
      </c>
      <c r="K12" s="211">
        <f t="shared" si="11"/>
        <v>0</v>
      </c>
      <c r="L12" s="344">
        <f t="shared" si="12"/>
        <v>0</v>
      </c>
      <c r="M12" s="273">
        <f t="shared" si="4"/>
        <v>0</v>
      </c>
      <c r="N12" s="344">
        <f t="shared" si="13"/>
        <v>0</v>
      </c>
      <c r="O12" s="208">
        <v>0</v>
      </c>
      <c r="P12" s="350">
        <f t="shared" si="14"/>
        <v>0</v>
      </c>
      <c r="Q12" s="210">
        <f>(4*'[2]Table 5C1Q-Advantage'!S12)+(4*'[3]Table 5C1Q-Advantage'!S12)</f>
        <v>0</v>
      </c>
      <c r="R12" s="210">
        <f t="shared" si="15"/>
        <v>0</v>
      </c>
      <c r="S12" s="350">
        <f t="shared" si="5"/>
        <v>0</v>
      </c>
      <c r="T12" s="350">
        <f t="shared" si="16"/>
        <v>0</v>
      </c>
      <c r="U12" s="274">
        <f>'Table 5C1A-Madison Prep'!U12</f>
        <v>4057</v>
      </c>
      <c r="V12" s="327">
        <f t="shared" si="17"/>
        <v>0</v>
      </c>
      <c r="W12" s="883">
        <f>'[1]Oct midyear Advantage'!E9</f>
        <v>0</v>
      </c>
      <c r="X12" s="276">
        <f t="shared" si="18"/>
        <v>0</v>
      </c>
      <c r="Y12" s="883">
        <f>'[1]Feb midyear Advantage'!E9</f>
        <v>0</v>
      </c>
      <c r="Z12" s="276">
        <f t="shared" si="19"/>
        <v>0</v>
      </c>
      <c r="AA12" s="275">
        <f t="shared" si="20"/>
        <v>0</v>
      </c>
      <c r="AB12" s="323">
        <f t="shared" si="21"/>
        <v>0</v>
      </c>
      <c r="AC12" s="278">
        <f t="shared" si="22"/>
        <v>0</v>
      </c>
      <c r="AD12" s="323">
        <f t="shared" si="23"/>
        <v>0</v>
      </c>
      <c r="AE12" s="279">
        <v>0</v>
      </c>
      <c r="AF12" s="323">
        <f t="shared" si="24"/>
        <v>0</v>
      </c>
      <c r="AG12" s="279">
        <f>(4*'[2]Table 5C1Q-Advantage'!AI12)+(4*'[3]Table 5C1Q-Advantage'!AI12)</f>
        <v>0</v>
      </c>
      <c r="AH12" s="279">
        <f t="shared" si="25"/>
        <v>0</v>
      </c>
      <c r="AI12" s="323">
        <f t="shared" si="6"/>
        <v>0</v>
      </c>
      <c r="AJ12" s="337">
        <f t="shared" si="26"/>
        <v>0</v>
      </c>
      <c r="AK12" s="341">
        <f t="shared" si="27"/>
        <v>0</v>
      </c>
      <c r="AM12" s="273">
        <v>0</v>
      </c>
      <c r="AN12" s="273">
        <f t="shared" si="28"/>
        <v>0</v>
      </c>
      <c r="AO12" s="273">
        <f t="shared" si="7"/>
        <v>0</v>
      </c>
    </row>
    <row r="13" spans="1:41" ht="16.149999999999999" customHeight="1">
      <c r="A13" s="198">
        <v>7</v>
      </c>
      <c r="B13" s="199" t="s">
        <v>79</v>
      </c>
      <c r="C13" s="995">
        <v>0</v>
      </c>
      <c r="D13" s="201">
        <f>+'Table 5C1A-Madison Prep'!D13</f>
        <v>2243.0031963470319</v>
      </c>
      <c r="E13" s="202">
        <f t="shared" si="8"/>
        <v>0</v>
      </c>
      <c r="F13" s="202">
        <f>+'Table 5C1A-Madison Prep'!F13</f>
        <v>756.91999999999985</v>
      </c>
      <c r="G13" s="202">
        <f t="shared" si="9"/>
        <v>0</v>
      </c>
      <c r="H13" s="345">
        <f t="shared" si="10"/>
        <v>0</v>
      </c>
      <c r="I13" s="203">
        <f>'[1]Oct midyear Advantage'!K10</f>
        <v>0</v>
      </c>
      <c r="J13" s="203">
        <f>'[1]Feb midyear Advantage'!K10</f>
        <v>0</v>
      </c>
      <c r="K13" s="204">
        <f t="shared" si="11"/>
        <v>0</v>
      </c>
      <c r="L13" s="345">
        <f t="shared" si="12"/>
        <v>0</v>
      </c>
      <c r="M13" s="286">
        <f t="shared" si="4"/>
        <v>0</v>
      </c>
      <c r="N13" s="345">
        <f t="shared" si="13"/>
        <v>0</v>
      </c>
      <c r="O13" s="201">
        <v>0</v>
      </c>
      <c r="P13" s="351">
        <f t="shared" si="14"/>
        <v>0</v>
      </c>
      <c r="Q13" s="203">
        <f>(4*'[2]Table 5C1Q-Advantage'!S13)+(4*'[3]Table 5C1Q-Advantage'!S13)</f>
        <v>0</v>
      </c>
      <c r="R13" s="203">
        <f t="shared" si="15"/>
        <v>0</v>
      </c>
      <c r="S13" s="351">
        <f t="shared" si="5"/>
        <v>0</v>
      </c>
      <c r="T13" s="351">
        <f t="shared" si="16"/>
        <v>0</v>
      </c>
      <c r="U13" s="287">
        <f>'Table 5C1A-Madison Prep'!U13</f>
        <v>12112</v>
      </c>
      <c r="V13" s="328">
        <f t="shared" si="17"/>
        <v>0</v>
      </c>
      <c r="W13" s="289">
        <f>'[1]Oct midyear Advantage'!E10</f>
        <v>0</v>
      </c>
      <c r="X13" s="290">
        <f t="shared" si="18"/>
        <v>0</v>
      </c>
      <c r="Y13" s="289">
        <f>'[1]Feb midyear Advantage'!E10</f>
        <v>0</v>
      </c>
      <c r="Z13" s="290">
        <f t="shared" si="19"/>
        <v>0</v>
      </c>
      <c r="AA13" s="288">
        <f t="shared" si="20"/>
        <v>0</v>
      </c>
      <c r="AB13" s="324">
        <f t="shared" si="21"/>
        <v>0</v>
      </c>
      <c r="AC13" s="292">
        <f t="shared" si="22"/>
        <v>0</v>
      </c>
      <c r="AD13" s="324">
        <f t="shared" si="23"/>
        <v>0</v>
      </c>
      <c r="AE13" s="293">
        <v>0</v>
      </c>
      <c r="AF13" s="324">
        <f t="shared" si="24"/>
        <v>0</v>
      </c>
      <c r="AG13" s="293">
        <f>(4*'[2]Table 5C1Q-Advantage'!AI13)+(4*'[3]Table 5C1Q-Advantage'!AI13)</f>
        <v>0</v>
      </c>
      <c r="AH13" s="293">
        <f t="shared" si="25"/>
        <v>0</v>
      </c>
      <c r="AI13" s="324">
        <f t="shared" si="6"/>
        <v>0</v>
      </c>
      <c r="AJ13" s="321">
        <f t="shared" si="26"/>
        <v>0</v>
      </c>
      <c r="AK13" s="342">
        <f t="shared" si="27"/>
        <v>0</v>
      </c>
      <c r="AM13" s="286">
        <v>0</v>
      </c>
      <c r="AN13" s="286">
        <f t="shared" si="28"/>
        <v>0</v>
      </c>
      <c r="AO13" s="286">
        <f t="shared" si="7"/>
        <v>0</v>
      </c>
    </row>
    <row r="14" spans="1:41" ht="16.149999999999999" customHeight="1">
      <c r="A14" s="198">
        <v>8</v>
      </c>
      <c r="B14" s="199" t="s">
        <v>80</v>
      </c>
      <c r="C14" s="995">
        <v>0</v>
      </c>
      <c r="D14" s="201">
        <f>+'Table 5C1A-Madison Prep'!D14</f>
        <v>4669.802459558854</v>
      </c>
      <c r="E14" s="202">
        <f t="shared" si="8"/>
        <v>0</v>
      </c>
      <c r="F14" s="202">
        <f>+'Table 5C1A-Madison Prep'!F14</f>
        <v>725.76</v>
      </c>
      <c r="G14" s="202">
        <f t="shared" si="9"/>
        <v>0</v>
      </c>
      <c r="H14" s="345">
        <f t="shared" si="10"/>
        <v>0</v>
      </c>
      <c r="I14" s="203">
        <f>'[1]Oct midyear Advantage'!K11</f>
        <v>0</v>
      </c>
      <c r="J14" s="203">
        <f>'[1]Feb midyear Advantage'!K11</f>
        <v>0</v>
      </c>
      <c r="K14" s="204">
        <f t="shared" si="11"/>
        <v>0</v>
      </c>
      <c r="L14" s="345">
        <f t="shared" si="12"/>
        <v>0</v>
      </c>
      <c r="M14" s="286">
        <f t="shared" si="4"/>
        <v>0</v>
      </c>
      <c r="N14" s="345">
        <f t="shared" si="13"/>
        <v>0</v>
      </c>
      <c r="O14" s="201">
        <v>0</v>
      </c>
      <c r="P14" s="351">
        <f t="shared" si="14"/>
        <v>0</v>
      </c>
      <c r="Q14" s="203">
        <f>(4*'[2]Table 5C1Q-Advantage'!S14)+(4*'[3]Table 5C1Q-Advantage'!S14)</f>
        <v>0</v>
      </c>
      <c r="R14" s="203">
        <f t="shared" si="15"/>
        <v>0</v>
      </c>
      <c r="S14" s="351">
        <f t="shared" si="5"/>
        <v>0</v>
      </c>
      <c r="T14" s="351">
        <f t="shared" si="16"/>
        <v>0</v>
      </c>
      <c r="U14" s="287">
        <f>'Table 5C1A-Madison Prep'!U14</f>
        <v>4124</v>
      </c>
      <c r="V14" s="328">
        <f t="shared" si="17"/>
        <v>0</v>
      </c>
      <c r="W14" s="289">
        <f>'[1]Oct midyear Advantage'!E11</f>
        <v>0</v>
      </c>
      <c r="X14" s="290">
        <f t="shared" si="18"/>
        <v>0</v>
      </c>
      <c r="Y14" s="289">
        <f>'[1]Feb midyear Advantage'!E11</f>
        <v>0</v>
      </c>
      <c r="Z14" s="290">
        <f t="shared" si="19"/>
        <v>0</v>
      </c>
      <c r="AA14" s="288">
        <f t="shared" si="20"/>
        <v>0</v>
      </c>
      <c r="AB14" s="324">
        <f t="shared" si="21"/>
        <v>0</v>
      </c>
      <c r="AC14" s="292">
        <f t="shared" si="22"/>
        <v>0</v>
      </c>
      <c r="AD14" s="324">
        <f t="shared" si="23"/>
        <v>0</v>
      </c>
      <c r="AE14" s="293">
        <v>0</v>
      </c>
      <c r="AF14" s="324">
        <f t="shared" si="24"/>
        <v>0</v>
      </c>
      <c r="AG14" s="293">
        <f>(4*'[2]Table 5C1Q-Advantage'!AI14)+(4*'[3]Table 5C1Q-Advantage'!AI14)</f>
        <v>0</v>
      </c>
      <c r="AH14" s="293">
        <f t="shared" si="25"/>
        <v>0</v>
      </c>
      <c r="AI14" s="324">
        <f t="shared" si="6"/>
        <v>0</v>
      </c>
      <c r="AJ14" s="321">
        <f t="shared" si="26"/>
        <v>0</v>
      </c>
      <c r="AK14" s="342">
        <f t="shared" si="27"/>
        <v>0</v>
      </c>
      <c r="AM14" s="286">
        <v>0</v>
      </c>
      <c r="AN14" s="286">
        <f t="shared" si="28"/>
        <v>0</v>
      </c>
      <c r="AO14" s="286">
        <f t="shared" si="7"/>
        <v>0</v>
      </c>
    </row>
    <row r="15" spans="1:41" ht="16.149999999999999" customHeight="1">
      <c r="A15" s="198">
        <v>9</v>
      </c>
      <c r="B15" s="199" t="s">
        <v>81</v>
      </c>
      <c r="C15" s="995">
        <v>0</v>
      </c>
      <c r="D15" s="201">
        <f>+'Table 5C1A-Madison Prep'!D15</f>
        <v>4632.4615072045008</v>
      </c>
      <c r="E15" s="202">
        <f t="shared" si="8"/>
        <v>0</v>
      </c>
      <c r="F15" s="202">
        <f>+'Table 5C1A-Madison Prep'!F15</f>
        <v>744.76</v>
      </c>
      <c r="G15" s="202">
        <f t="shared" si="9"/>
        <v>0</v>
      </c>
      <c r="H15" s="345">
        <f t="shared" si="10"/>
        <v>0</v>
      </c>
      <c r="I15" s="203">
        <f>'[1]Oct midyear Advantage'!K12</f>
        <v>0</v>
      </c>
      <c r="J15" s="203">
        <f>'[1]Feb midyear Advantage'!K12</f>
        <v>0</v>
      </c>
      <c r="K15" s="204">
        <f t="shared" si="11"/>
        <v>0</v>
      </c>
      <c r="L15" s="345">
        <f t="shared" si="12"/>
        <v>0</v>
      </c>
      <c r="M15" s="286">
        <f t="shared" si="4"/>
        <v>0</v>
      </c>
      <c r="N15" s="345">
        <f t="shared" si="13"/>
        <v>0</v>
      </c>
      <c r="O15" s="201">
        <v>0</v>
      </c>
      <c r="P15" s="351">
        <f t="shared" si="14"/>
        <v>0</v>
      </c>
      <c r="Q15" s="203">
        <f>(4*'[2]Table 5C1Q-Advantage'!S15)+(4*'[3]Table 5C1Q-Advantage'!S15)</f>
        <v>0</v>
      </c>
      <c r="R15" s="203">
        <f t="shared" si="15"/>
        <v>0</v>
      </c>
      <c r="S15" s="351">
        <f t="shared" si="5"/>
        <v>0</v>
      </c>
      <c r="T15" s="351">
        <f t="shared" si="16"/>
        <v>0</v>
      </c>
      <c r="U15" s="287">
        <f>'Table 5C1A-Madison Prep'!U15</f>
        <v>4901</v>
      </c>
      <c r="V15" s="328">
        <f t="shared" si="17"/>
        <v>0</v>
      </c>
      <c r="W15" s="289">
        <f>'[1]Oct midyear Advantage'!E12</f>
        <v>0</v>
      </c>
      <c r="X15" s="290">
        <f t="shared" si="18"/>
        <v>0</v>
      </c>
      <c r="Y15" s="289">
        <f>'[1]Feb midyear Advantage'!E12</f>
        <v>0</v>
      </c>
      <c r="Z15" s="290">
        <f t="shared" si="19"/>
        <v>0</v>
      </c>
      <c r="AA15" s="288">
        <f t="shared" si="20"/>
        <v>0</v>
      </c>
      <c r="AB15" s="324">
        <f t="shared" si="21"/>
        <v>0</v>
      </c>
      <c r="AC15" s="292">
        <f t="shared" si="22"/>
        <v>0</v>
      </c>
      <c r="AD15" s="324">
        <f t="shared" si="23"/>
        <v>0</v>
      </c>
      <c r="AE15" s="293">
        <v>0</v>
      </c>
      <c r="AF15" s="324">
        <f t="shared" si="24"/>
        <v>0</v>
      </c>
      <c r="AG15" s="293">
        <f>(4*'[2]Table 5C1Q-Advantage'!AI15)+(4*'[3]Table 5C1Q-Advantage'!AI15)</f>
        <v>0</v>
      </c>
      <c r="AH15" s="293">
        <f t="shared" si="25"/>
        <v>0</v>
      </c>
      <c r="AI15" s="324">
        <f t="shared" si="6"/>
        <v>0</v>
      </c>
      <c r="AJ15" s="321">
        <f t="shared" si="26"/>
        <v>0</v>
      </c>
      <c r="AK15" s="342">
        <f t="shared" si="27"/>
        <v>0</v>
      </c>
      <c r="AM15" s="286">
        <v>0</v>
      </c>
      <c r="AN15" s="286">
        <f t="shared" si="28"/>
        <v>0</v>
      </c>
      <c r="AO15" s="286">
        <f t="shared" si="7"/>
        <v>0</v>
      </c>
    </row>
    <row r="16" spans="1:41" ht="16.149999999999999" customHeight="1">
      <c r="A16" s="191">
        <v>10</v>
      </c>
      <c r="B16" s="192" t="s">
        <v>82</v>
      </c>
      <c r="C16" s="996">
        <v>0</v>
      </c>
      <c r="D16" s="194">
        <f>+'Table 5C1A-Madison Prep'!D16</f>
        <v>4384.374733918472</v>
      </c>
      <c r="E16" s="195">
        <f t="shared" si="8"/>
        <v>0</v>
      </c>
      <c r="F16" s="195">
        <f>+'Table 5C1A-Madison Prep'!F16</f>
        <v>608.04000000000008</v>
      </c>
      <c r="G16" s="195">
        <f t="shared" si="9"/>
        <v>0</v>
      </c>
      <c r="H16" s="346">
        <f t="shared" si="10"/>
        <v>0</v>
      </c>
      <c r="I16" s="196">
        <f>'[1]Oct midyear Advantage'!K13</f>
        <v>0</v>
      </c>
      <c r="J16" s="196">
        <f>'[1]Feb midyear Advantage'!K13</f>
        <v>0</v>
      </c>
      <c r="K16" s="197">
        <f t="shared" si="11"/>
        <v>0</v>
      </c>
      <c r="L16" s="346">
        <f t="shared" si="12"/>
        <v>0</v>
      </c>
      <c r="M16" s="296">
        <f t="shared" si="4"/>
        <v>0</v>
      </c>
      <c r="N16" s="346">
        <f t="shared" si="13"/>
        <v>0</v>
      </c>
      <c r="O16" s="194">
        <v>0</v>
      </c>
      <c r="P16" s="352">
        <f t="shared" si="14"/>
        <v>0</v>
      </c>
      <c r="Q16" s="196">
        <f>(4*'[2]Table 5C1Q-Advantage'!S16)+(4*'[3]Table 5C1Q-Advantage'!S16)</f>
        <v>0</v>
      </c>
      <c r="R16" s="196">
        <f t="shared" si="15"/>
        <v>0</v>
      </c>
      <c r="S16" s="352">
        <f t="shared" si="5"/>
        <v>0</v>
      </c>
      <c r="T16" s="352">
        <f t="shared" si="16"/>
        <v>0</v>
      </c>
      <c r="U16" s="281">
        <f>'Table 5C1A-Madison Prep'!U16</f>
        <v>4619</v>
      </c>
      <c r="V16" s="329">
        <f t="shared" si="17"/>
        <v>0</v>
      </c>
      <c r="W16" s="884">
        <f>'[1]Oct midyear Advantage'!E13</f>
        <v>0</v>
      </c>
      <c r="X16" s="282">
        <f t="shared" si="18"/>
        <v>0</v>
      </c>
      <c r="Y16" s="884">
        <f>'[1]Feb midyear Advantage'!E13</f>
        <v>0</v>
      </c>
      <c r="Z16" s="282">
        <f t="shared" si="19"/>
        <v>0</v>
      </c>
      <c r="AA16" s="283">
        <f t="shared" si="20"/>
        <v>0</v>
      </c>
      <c r="AB16" s="325">
        <f t="shared" si="21"/>
        <v>0</v>
      </c>
      <c r="AC16" s="298">
        <f t="shared" si="22"/>
        <v>0</v>
      </c>
      <c r="AD16" s="325">
        <f t="shared" si="23"/>
        <v>0</v>
      </c>
      <c r="AE16" s="284">
        <v>0</v>
      </c>
      <c r="AF16" s="325">
        <f t="shared" si="24"/>
        <v>0</v>
      </c>
      <c r="AG16" s="284">
        <f>(4*'[2]Table 5C1Q-Advantage'!AI16)+(4*'[3]Table 5C1Q-Advantage'!AI16)</f>
        <v>0</v>
      </c>
      <c r="AH16" s="284">
        <f t="shared" si="25"/>
        <v>0</v>
      </c>
      <c r="AI16" s="325">
        <f t="shared" si="6"/>
        <v>0</v>
      </c>
      <c r="AJ16" s="338">
        <f t="shared" si="26"/>
        <v>0</v>
      </c>
      <c r="AK16" s="343">
        <f t="shared" si="27"/>
        <v>0</v>
      </c>
      <c r="AM16" s="296">
        <v>0</v>
      </c>
      <c r="AN16" s="296">
        <f t="shared" si="28"/>
        <v>0</v>
      </c>
      <c r="AO16" s="296">
        <f t="shared" si="7"/>
        <v>0</v>
      </c>
    </row>
    <row r="17" spans="1:41" ht="16.149999999999999" customHeight="1">
      <c r="A17" s="205">
        <v>11</v>
      </c>
      <c r="B17" s="206" t="s">
        <v>83</v>
      </c>
      <c r="C17" s="994">
        <v>0</v>
      </c>
      <c r="D17" s="208">
        <f>+'Table 5C1A-Madison Prep'!D17</f>
        <v>7098.5372236353351</v>
      </c>
      <c r="E17" s="209">
        <f t="shared" si="8"/>
        <v>0</v>
      </c>
      <c r="F17" s="209">
        <f>+'Table 5C1A-Madison Prep'!F17</f>
        <v>706.55</v>
      </c>
      <c r="G17" s="209">
        <f t="shared" si="9"/>
        <v>0</v>
      </c>
      <c r="H17" s="344">
        <f t="shared" si="10"/>
        <v>0</v>
      </c>
      <c r="I17" s="210">
        <f>'[1]Oct midyear Advantage'!K14</f>
        <v>0</v>
      </c>
      <c r="J17" s="210">
        <f>'[1]Feb midyear Advantage'!K14</f>
        <v>0</v>
      </c>
      <c r="K17" s="211">
        <f t="shared" si="11"/>
        <v>0</v>
      </c>
      <c r="L17" s="344">
        <f t="shared" si="12"/>
        <v>0</v>
      </c>
      <c r="M17" s="273">
        <f t="shared" si="4"/>
        <v>0</v>
      </c>
      <c r="N17" s="344">
        <f t="shared" si="13"/>
        <v>0</v>
      </c>
      <c r="O17" s="208">
        <v>0</v>
      </c>
      <c r="P17" s="350">
        <f t="shared" si="14"/>
        <v>0</v>
      </c>
      <c r="Q17" s="210">
        <f>(4*'[2]Table 5C1Q-Advantage'!S17)+(4*'[3]Table 5C1Q-Advantage'!S17)</f>
        <v>0</v>
      </c>
      <c r="R17" s="210">
        <f t="shared" si="15"/>
        <v>0</v>
      </c>
      <c r="S17" s="350">
        <f t="shared" si="5"/>
        <v>0</v>
      </c>
      <c r="T17" s="350">
        <f t="shared" si="16"/>
        <v>0</v>
      </c>
      <c r="U17" s="274">
        <f>'Table 5C1A-Madison Prep'!U17</f>
        <v>3580</v>
      </c>
      <c r="V17" s="327">
        <f t="shared" si="17"/>
        <v>0</v>
      </c>
      <c r="W17" s="883">
        <f>'[1]Oct midyear Advantage'!E14</f>
        <v>0</v>
      </c>
      <c r="X17" s="276">
        <f t="shared" si="18"/>
        <v>0</v>
      </c>
      <c r="Y17" s="883">
        <f>'[1]Feb midyear Advantage'!E14</f>
        <v>0</v>
      </c>
      <c r="Z17" s="276">
        <f t="shared" si="19"/>
        <v>0</v>
      </c>
      <c r="AA17" s="275">
        <f t="shared" si="20"/>
        <v>0</v>
      </c>
      <c r="AB17" s="323">
        <f t="shared" si="21"/>
        <v>0</v>
      </c>
      <c r="AC17" s="278">
        <f t="shared" si="22"/>
        <v>0</v>
      </c>
      <c r="AD17" s="323">
        <f t="shared" si="23"/>
        <v>0</v>
      </c>
      <c r="AE17" s="279">
        <v>0</v>
      </c>
      <c r="AF17" s="323">
        <f t="shared" si="24"/>
        <v>0</v>
      </c>
      <c r="AG17" s="279">
        <f>(4*'[2]Table 5C1Q-Advantage'!AI17)+(4*'[3]Table 5C1Q-Advantage'!AI17)</f>
        <v>0</v>
      </c>
      <c r="AH17" s="279">
        <f t="shared" si="25"/>
        <v>0</v>
      </c>
      <c r="AI17" s="323">
        <f t="shared" si="6"/>
        <v>0</v>
      </c>
      <c r="AJ17" s="337">
        <f t="shared" si="26"/>
        <v>0</v>
      </c>
      <c r="AK17" s="341">
        <f t="shared" si="27"/>
        <v>0</v>
      </c>
      <c r="AM17" s="273">
        <v>0</v>
      </c>
      <c r="AN17" s="273">
        <f t="shared" si="28"/>
        <v>0</v>
      </c>
      <c r="AO17" s="273">
        <f t="shared" si="7"/>
        <v>0</v>
      </c>
    </row>
    <row r="18" spans="1:41" ht="16.149999999999999" customHeight="1">
      <c r="A18" s="198">
        <v>12</v>
      </c>
      <c r="B18" s="199" t="s">
        <v>84</v>
      </c>
      <c r="C18" s="995">
        <v>0</v>
      </c>
      <c r="D18" s="201">
        <f>+'Table 5C1A-Madison Prep'!D18</f>
        <v>1666.6040983606558</v>
      </c>
      <c r="E18" s="202">
        <f t="shared" si="8"/>
        <v>0</v>
      </c>
      <c r="F18" s="202">
        <f>+'Table 5C1A-Madison Prep'!F18</f>
        <v>1063.31</v>
      </c>
      <c r="G18" s="202">
        <f t="shared" si="9"/>
        <v>0</v>
      </c>
      <c r="H18" s="345">
        <f t="shared" si="10"/>
        <v>0</v>
      </c>
      <c r="I18" s="203">
        <f>'[1]Oct midyear Advantage'!K15</f>
        <v>0</v>
      </c>
      <c r="J18" s="203">
        <f>'[1]Feb midyear Advantage'!K15</f>
        <v>0</v>
      </c>
      <c r="K18" s="204">
        <f t="shared" si="11"/>
        <v>0</v>
      </c>
      <c r="L18" s="345">
        <f t="shared" si="12"/>
        <v>0</v>
      </c>
      <c r="M18" s="286">
        <f t="shared" si="4"/>
        <v>0</v>
      </c>
      <c r="N18" s="345">
        <f t="shared" si="13"/>
        <v>0</v>
      </c>
      <c r="O18" s="201">
        <v>0</v>
      </c>
      <c r="P18" s="351">
        <f t="shared" si="14"/>
        <v>0</v>
      </c>
      <c r="Q18" s="203">
        <f>(4*'[2]Table 5C1Q-Advantage'!S18)+(4*'[3]Table 5C1Q-Advantage'!S18)</f>
        <v>0</v>
      </c>
      <c r="R18" s="203">
        <f t="shared" si="15"/>
        <v>0</v>
      </c>
      <c r="S18" s="351">
        <f t="shared" si="5"/>
        <v>0</v>
      </c>
      <c r="T18" s="351">
        <f t="shared" si="16"/>
        <v>0</v>
      </c>
      <c r="U18" s="287">
        <f>'Table 5C1A-Madison Prep'!U18</f>
        <v>8094</v>
      </c>
      <c r="V18" s="328">
        <f t="shared" si="17"/>
        <v>0</v>
      </c>
      <c r="W18" s="289">
        <f>'[1]Oct midyear Advantage'!E15</f>
        <v>0</v>
      </c>
      <c r="X18" s="290">
        <f t="shared" si="18"/>
        <v>0</v>
      </c>
      <c r="Y18" s="289">
        <f>'[1]Feb midyear Advantage'!E15</f>
        <v>0</v>
      </c>
      <c r="Z18" s="290">
        <f t="shared" si="19"/>
        <v>0</v>
      </c>
      <c r="AA18" s="288">
        <f t="shared" si="20"/>
        <v>0</v>
      </c>
      <c r="AB18" s="324">
        <f t="shared" si="21"/>
        <v>0</v>
      </c>
      <c r="AC18" s="292">
        <f t="shared" si="22"/>
        <v>0</v>
      </c>
      <c r="AD18" s="324">
        <f t="shared" si="23"/>
        <v>0</v>
      </c>
      <c r="AE18" s="293">
        <v>0</v>
      </c>
      <c r="AF18" s="324">
        <f t="shared" si="24"/>
        <v>0</v>
      </c>
      <c r="AG18" s="293">
        <f>(4*'[2]Table 5C1Q-Advantage'!AI18)+(4*'[3]Table 5C1Q-Advantage'!AI18)</f>
        <v>0</v>
      </c>
      <c r="AH18" s="293">
        <f t="shared" si="25"/>
        <v>0</v>
      </c>
      <c r="AI18" s="324">
        <f t="shared" si="6"/>
        <v>0</v>
      </c>
      <c r="AJ18" s="321">
        <f t="shared" si="26"/>
        <v>0</v>
      </c>
      <c r="AK18" s="342">
        <f t="shared" si="27"/>
        <v>0</v>
      </c>
      <c r="AM18" s="286">
        <v>0</v>
      </c>
      <c r="AN18" s="286">
        <f t="shared" si="28"/>
        <v>0</v>
      </c>
      <c r="AO18" s="286">
        <f t="shared" si="7"/>
        <v>0</v>
      </c>
    </row>
    <row r="19" spans="1:41" ht="16.149999999999999" customHeight="1">
      <c r="A19" s="198">
        <v>13</v>
      </c>
      <c r="B19" s="199" t="s">
        <v>85</v>
      </c>
      <c r="C19" s="995">
        <v>0</v>
      </c>
      <c r="D19" s="201">
        <f>+'Table 5C1A-Madison Prep'!D19</f>
        <v>6433.6297758332212</v>
      </c>
      <c r="E19" s="202">
        <f t="shared" si="8"/>
        <v>0</v>
      </c>
      <c r="F19" s="202">
        <f>+'Table 5C1A-Madison Prep'!F19</f>
        <v>749.43000000000006</v>
      </c>
      <c r="G19" s="202">
        <f t="shared" si="9"/>
        <v>0</v>
      </c>
      <c r="H19" s="345">
        <f t="shared" si="10"/>
        <v>0</v>
      </c>
      <c r="I19" s="203">
        <f>'[1]Oct midyear Advantage'!K16</f>
        <v>0</v>
      </c>
      <c r="J19" s="203">
        <f>'[1]Feb midyear Advantage'!K16</f>
        <v>0</v>
      </c>
      <c r="K19" s="204">
        <f t="shared" si="11"/>
        <v>0</v>
      </c>
      <c r="L19" s="345">
        <f t="shared" si="12"/>
        <v>0</v>
      </c>
      <c r="M19" s="286">
        <f t="shared" si="4"/>
        <v>0</v>
      </c>
      <c r="N19" s="345">
        <f t="shared" si="13"/>
        <v>0</v>
      </c>
      <c r="O19" s="201">
        <v>0</v>
      </c>
      <c r="P19" s="351">
        <f t="shared" si="14"/>
        <v>0</v>
      </c>
      <c r="Q19" s="203">
        <f>(4*'[2]Table 5C1Q-Advantage'!S19)+(4*'[3]Table 5C1Q-Advantage'!S19)</f>
        <v>0</v>
      </c>
      <c r="R19" s="203">
        <f t="shared" si="15"/>
        <v>0</v>
      </c>
      <c r="S19" s="351">
        <f t="shared" si="5"/>
        <v>0</v>
      </c>
      <c r="T19" s="351">
        <f t="shared" si="16"/>
        <v>0</v>
      </c>
      <c r="U19" s="287">
        <f>'Table 5C1A-Madison Prep'!U19</f>
        <v>2762</v>
      </c>
      <c r="V19" s="328">
        <f t="shared" si="17"/>
        <v>0</v>
      </c>
      <c r="W19" s="289">
        <f>'[1]Oct midyear Advantage'!E16</f>
        <v>0</v>
      </c>
      <c r="X19" s="290">
        <f t="shared" si="18"/>
        <v>0</v>
      </c>
      <c r="Y19" s="289">
        <f>'[1]Feb midyear Advantage'!E16</f>
        <v>0</v>
      </c>
      <c r="Z19" s="290">
        <f t="shared" si="19"/>
        <v>0</v>
      </c>
      <c r="AA19" s="288">
        <f t="shared" si="20"/>
        <v>0</v>
      </c>
      <c r="AB19" s="324">
        <f t="shared" si="21"/>
        <v>0</v>
      </c>
      <c r="AC19" s="292">
        <f t="shared" si="22"/>
        <v>0</v>
      </c>
      <c r="AD19" s="324">
        <f t="shared" si="23"/>
        <v>0</v>
      </c>
      <c r="AE19" s="293">
        <v>0</v>
      </c>
      <c r="AF19" s="324">
        <f t="shared" si="24"/>
        <v>0</v>
      </c>
      <c r="AG19" s="293">
        <f>(4*'[2]Table 5C1Q-Advantage'!AI19)+(4*'[3]Table 5C1Q-Advantage'!AI19)</f>
        <v>0</v>
      </c>
      <c r="AH19" s="293">
        <f t="shared" si="25"/>
        <v>0</v>
      </c>
      <c r="AI19" s="324">
        <f t="shared" si="6"/>
        <v>0</v>
      </c>
      <c r="AJ19" s="321">
        <f t="shared" si="26"/>
        <v>0</v>
      </c>
      <c r="AK19" s="342">
        <f t="shared" si="27"/>
        <v>0</v>
      </c>
      <c r="AM19" s="286">
        <v>0</v>
      </c>
      <c r="AN19" s="286">
        <f t="shared" si="28"/>
        <v>0</v>
      </c>
      <c r="AO19" s="286">
        <f t="shared" si="7"/>
        <v>0</v>
      </c>
    </row>
    <row r="20" spans="1:41" ht="16.149999999999999" customHeight="1">
      <c r="A20" s="198">
        <v>14</v>
      </c>
      <c r="B20" s="199" t="s">
        <v>86</v>
      </c>
      <c r="C20" s="995">
        <v>0</v>
      </c>
      <c r="D20" s="201">
        <f>+'Table 5C1A-Madison Prep'!D20</f>
        <v>5334.9509412500001</v>
      </c>
      <c r="E20" s="202">
        <f t="shared" si="8"/>
        <v>0</v>
      </c>
      <c r="F20" s="202">
        <f>+'Table 5C1A-Madison Prep'!F20</f>
        <v>809.9799999999999</v>
      </c>
      <c r="G20" s="202">
        <f t="shared" si="9"/>
        <v>0</v>
      </c>
      <c r="H20" s="345">
        <f t="shared" si="10"/>
        <v>0</v>
      </c>
      <c r="I20" s="203">
        <f>'[1]Oct midyear Advantage'!K17</f>
        <v>0</v>
      </c>
      <c r="J20" s="203">
        <f>'[1]Feb midyear Advantage'!K17</f>
        <v>0</v>
      </c>
      <c r="K20" s="204">
        <f t="shared" si="11"/>
        <v>0</v>
      </c>
      <c r="L20" s="345">
        <f t="shared" si="12"/>
        <v>0</v>
      </c>
      <c r="M20" s="286">
        <f t="shared" si="4"/>
        <v>0</v>
      </c>
      <c r="N20" s="345">
        <f t="shared" si="13"/>
        <v>0</v>
      </c>
      <c r="O20" s="201">
        <v>0</v>
      </c>
      <c r="P20" s="351">
        <f t="shared" si="14"/>
        <v>0</v>
      </c>
      <c r="Q20" s="203">
        <f>(4*'[2]Table 5C1Q-Advantage'!S20)+(4*'[3]Table 5C1Q-Advantage'!S20)</f>
        <v>0</v>
      </c>
      <c r="R20" s="203">
        <f t="shared" si="15"/>
        <v>0</v>
      </c>
      <c r="S20" s="351">
        <f t="shared" si="5"/>
        <v>0</v>
      </c>
      <c r="T20" s="351">
        <f t="shared" si="16"/>
        <v>0</v>
      </c>
      <c r="U20" s="287">
        <f>'Table 5C1A-Madison Prep'!U20</f>
        <v>4171</v>
      </c>
      <c r="V20" s="328">
        <f t="shared" si="17"/>
        <v>0</v>
      </c>
      <c r="W20" s="289">
        <f>'[1]Oct midyear Advantage'!E17</f>
        <v>0</v>
      </c>
      <c r="X20" s="290">
        <f t="shared" si="18"/>
        <v>0</v>
      </c>
      <c r="Y20" s="289">
        <f>'[1]Feb midyear Advantage'!E17</f>
        <v>0</v>
      </c>
      <c r="Z20" s="290">
        <f t="shared" si="19"/>
        <v>0</v>
      </c>
      <c r="AA20" s="288">
        <f t="shared" si="20"/>
        <v>0</v>
      </c>
      <c r="AB20" s="324">
        <f t="shared" si="21"/>
        <v>0</v>
      </c>
      <c r="AC20" s="292">
        <f t="shared" si="22"/>
        <v>0</v>
      </c>
      <c r="AD20" s="324">
        <f t="shared" si="23"/>
        <v>0</v>
      </c>
      <c r="AE20" s="293">
        <v>0</v>
      </c>
      <c r="AF20" s="324">
        <f t="shared" si="24"/>
        <v>0</v>
      </c>
      <c r="AG20" s="293">
        <f>(4*'[2]Table 5C1Q-Advantage'!AI20)+(4*'[3]Table 5C1Q-Advantage'!AI20)</f>
        <v>0</v>
      </c>
      <c r="AH20" s="293">
        <f t="shared" si="25"/>
        <v>0</v>
      </c>
      <c r="AI20" s="324">
        <f t="shared" si="6"/>
        <v>0</v>
      </c>
      <c r="AJ20" s="321">
        <f t="shared" si="26"/>
        <v>0</v>
      </c>
      <c r="AK20" s="342">
        <f t="shared" si="27"/>
        <v>0</v>
      </c>
      <c r="AM20" s="286">
        <v>0</v>
      </c>
      <c r="AN20" s="286">
        <f t="shared" si="28"/>
        <v>0</v>
      </c>
      <c r="AO20" s="286">
        <f t="shared" si="7"/>
        <v>0</v>
      </c>
    </row>
    <row r="21" spans="1:41" ht="16.149999999999999" customHeight="1">
      <c r="A21" s="191">
        <v>15</v>
      </c>
      <c r="B21" s="192" t="s">
        <v>87</v>
      </c>
      <c r="C21" s="996">
        <v>0</v>
      </c>
      <c r="D21" s="194">
        <f>+'Table 5C1A-Madison Prep'!D21</f>
        <v>5749.8285214059952</v>
      </c>
      <c r="E21" s="195">
        <f t="shared" si="8"/>
        <v>0</v>
      </c>
      <c r="F21" s="195">
        <f>+'Table 5C1A-Madison Prep'!F21</f>
        <v>553.79999999999995</v>
      </c>
      <c r="G21" s="195">
        <f t="shared" si="9"/>
        <v>0</v>
      </c>
      <c r="H21" s="346">
        <f t="shared" si="10"/>
        <v>0</v>
      </c>
      <c r="I21" s="196">
        <f>'[1]Oct midyear Advantage'!K18</f>
        <v>0</v>
      </c>
      <c r="J21" s="196">
        <f>'[1]Feb midyear Advantage'!K18</f>
        <v>0</v>
      </c>
      <c r="K21" s="197">
        <f t="shared" si="11"/>
        <v>0</v>
      </c>
      <c r="L21" s="346">
        <f t="shared" si="12"/>
        <v>0</v>
      </c>
      <c r="M21" s="296">
        <f t="shared" si="4"/>
        <v>0</v>
      </c>
      <c r="N21" s="346">
        <f t="shared" si="13"/>
        <v>0</v>
      </c>
      <c r="O21" s="194">
        <v>0</v>
      </c>
      <c r="P21" s="352">
        <f t="shared" si="14"/>
        <v>0</v>
      </c>
      <c r="Q21" s="196">
        <f>(4*'[2]Table 5C1Q-Advantage'!S21)+(4*'[3]Table 5C1Q-Advantage'!S21)</f>
        <v>0</v>
      </c>
      <c r="R21" s="196">
        <f t="shared" si="15"/>
        <v>0</v>
      </c>
      <c r="S21" s="352">
        <f t="shared" si="5"/>
        <v>0</v>
      </c>
      <c r="T21" s="352">
        <f t="shared" si="16"/>
        <v>0</v>
      </c>
      <c r="U21" s="281">
        <f>'Table 5C1A-Madison Prep'!U21</f>
        <v>2880</v>
      </c>
      <c r="V21" s="329">
        <f t="shared" si="17"/>
        <v>0</v>
      </c>
      <c r="W21" s="884">
        <f>'[1]Oct midyear Advantage'!E18</f>
        <v>0</v>
      </c>
      <c r="X21" s="282">
        <f t="shared" si="18"/>
        <v>0</v>
      </c>
      <c r="Y21" s="884">
        <f>'[1]Feb midyear Advantage'!E18</f>
        <v>0</v>
      </c>
      <c r="Z21" s="282">
        <f t="shared" si="19"/>
        <v>0</v>
      </c>
      <c r="AA21" s="283">
        <f t="shared" si="20"/>
        <v>0</v>
      </c>
      <c r="AB21" s="325">
        <f t="shared" si="21"/>
        <v>0</v>
      </c>
      <c r="AC21" s="298">
        <f t="shared" si="22"/>
        <v>0</v>
      </c>
      <c r="AD21" s="325">
        <f t="shared" si="23"/>
        <v>0</v>
      </c>
      <c r="AE21" s="284">
        <v>0</v>
      </c>
      <c r="AF21" s="325">
        <f t="shared" si="24"/>
        <v>0</v>
      </c>
      <c r="AG21" s="284">
        <f>(4*'[2]Table 5C1Q-Advantage'!AI21)+(4*'[3]Table 5C1Q-Advantage'!AI21)</f>
        <v>0</v>
      </c>
      <c r="AH21" s="284">
        <f t="shared" si="25"/>
        <v>0</v>
      </c>
      <c r="AI21" s="325">
        <f t="shared" si="6"/>
        <v>0</v>
      </c>
      <c r="AJ21" s="338">
        <f t="shared" si="26"/>
        <v>0</v>
      </c>
      <c r="AK21" s="343">
        <f t="shared" si="27"/>
        <v>0</v>
      </c>
      <c r="AM21" s="296">
        <v>0</v>
      </c>
      <c r="AN21" s="296">
        <f t="shared" si="28"/>
        <v>0</v>
      </c>
      <c r="AO21" s="296">
        <f t="shared" si="7"/>
        <v>0</v>
      </c>
    </row>
    <row r="22" spans="1:41" ht="16.149999999999999" customHeight="1">
      <c r="A22" s="205">
        <v>16</v>
      </c>
      <c r="B22" s="206" t="s">
        <v>88</v>
      </c>
      <c r="C22" s="994">
        <v>0</v>
      </c>
      <c r="D22" s="208">
        <f>+'Table 5C1A-Madison Prep'!D22</f>
        <v>1980.2494354342025</v>
      </c>
      <c r="E22" s="209">
        <f t="shared" si="8"/>
        <v>0</v>
      </c>
      <c r="F22" s="209">
        <f>+'Table 5C1A-Madison Prep'!F22</f>
        <v>686.73</v>
      </c>
      <c r="G22" s="209">
        <f t="shared" si="9"/>
        <v>0</v>
      </c>
      <c r="H22" s="344">
        <f t="shared" si="10"/>
        <v>0</v>
      </c>
      <c r="I22" s="210">
        <f>'[1]Oct midyear Advantage'!K19</f>
        <v>0</v>
      </c>
      <c r="J22" s="210">
        <f>'[1]Feb midyear Advantage'!K19</f>
        <v>0</v>
      </c>
      <c r="K22" s="211">
        <f t="shared" si="11"/>
        <v>0</v>
      </c>
      <c r="L22" s="344">
        <f t="shared" si="12"/>
        <v>0</v>
      </c>
      <c r="M22" s="273">
        <f t="shared" si="4"/>
        <v>0</v>
      </c>
      <c r="N22" s="344">
        <f t="shared" si="13"/>
        <v>0</v>
      </c>
      <c r="O22" s="208">
        <v>0</v>
      </c>
      <c r="P22" s="350">
        <f t="shared" si="14"/>
        <v>0</v>
      </c>
      <c r="Q22" s="210">
        <f>(4*'[2]Table 5C1Q-Advantage'!S22)+(4*'[3]Table 5C1Q-Advantage'!S22)</f>
        <v>0</v>
      </c>
      <c r="R22" s="210">
        <f t="shared" si="15"/>
        <v>0</v>
      </c>
      <c r="S22" s="350">
        <f t="shared" si="5"/>
        <v>0</v>
      </c>
      <c r="T22" s="350">
        <f t="shared" si="16"/>
        <v>0</v>
      </c>
      <c r="U22" s="274">
        <f>'Table 5C1A-Madison Prep'!U22</f>
        <v>13021</v>
      </c>
      <c r="V22" s="327">
        <f t="shared" si="17"/>
        <v>0</v>
      </c>
      <c r="W22" s="883">
        <f>'[1]Oct midyear Advantage'!E19</f>
        <v>0</v>
      </c>
      <c r="X22" s="276">
        <f t="shared" si="18"/>
        <v>0</v>
      </c>
      <c r="Y22" s="883">
        <f>'[1]Feb midyear Advantage'!E19</f>
        <v>0</v>
      </c>
      <c r="Z22" s="276">
        <f t="shared" si="19"/>
        <v>0</v>
      </c>
      <c r="AA22" s="275">
        <f t="shared" si="20"/>
        <v>0</v>
      </c>
      <c r="AB22" s="323">
        <f t="shared" si="21"/>
        <v>0</v>
      </c>
      <c r="AC22" s="278">
        <f t="shared" si="22"/>
        <v>0</v>
      </c>
      <c r="AD22" s="323">
        <f t="shared" si="23"/>
        <v>0</v>
      </c>
      <c r="AE22" s="279">
        <v>0</v>
      </c>
      <c r="AF22" s="323">
        <f t="shared" si="24"/>
        <v>0</v>
      </c>
      <c r="AG22" s="279">
        <f>(4*'[2]Table 5C1Q-Advantage'!AI22)+(4*'[3]Table 5C1Q-Advantage'!AI22)</f>
        <v>0</v>
      </c>
      <c r="AH22" s="279">
        <f t="shared" si="25"/>
        <v>0</v>
      </c>
      <c r="AI22" s="323">
        <f t="shared" si="6"/>
        <v>0</v>
      </c>
      <c r="AJ22" s="337">
        <f t="shared" si="26"/>
        <v>0</v>
      </c>
      <c r="AK22" s="341">
        <f t="shared" si="27"/>
        <v>0</v>
      </c>
      <c r="AM22" s="273">
        <v>0</v>
      </c>
      <c r="AN22" s="273">
        <f t="shared" si="28"/>
        <v>0</v>
      </c>
      <c r="AO22" s="273">
        <f t="shared" si="7"/>
        <v>0</v>
      </c>
    </row>
    <row r="23" spans="1:41" ht="16.149999999999999" customHeight="1">
      <c r="A23" s="198">
        <v>17</v>
      </c>
      <c r="B23" s="199" t="s">
        <v>89</v>
      </c>
      <c r="C23" s="995">
        <v>0</v>
      </c>
      <c r="D23" s="201">
        <f>+'Table 5C1A-Madison Prep'!D23</f>
        <v>3363.5980368254495</v>
      </c>
      <c r="E23" s="202">
        <f t="shared" si="8"/>
        <v>0</v>
      </c>
      <c r="F23" s="202">
        <f>+'Table 5C1A-Madison Prep'!F23</f>
        <v>801.47762416806802</v>
      </c>
      <c r="G23" s="202">
        <f t="shared" si="9"/>
        <v>0</v>
      </c>
      <c r="H23" s="345">
        <f t="shared" si="10"/>
        <v>0</v>
      </c>
      <c r="I23" s="203">
        <f>'[1]Oct midyear Advantage'!K20</f>
        <v>545624.91159015079</v>
      </c>
      <c r="J23" s="203">
        <f>'[1]Feb midyear Advantage'!K20</f>
        <v>0</v>
      </c>
      <c r="K23" s="204">
        <f t="shared" si="11"/>
        <v>545624.91159015079</v>
      </c>
      <c r="L23" s="345">
        <f t="shared" si="12"/>
        <v>545624.91159015079</v>
      </c>
      <c r="M23" s="286">
        <f t="shared" si="4"/>
        <v>-1364.062278975377</v>
      </c>
      <c r="N23" s="345">
        <f t="shared" si="13"/>
        <v>544260.84931117541</v>
      </c>
      <c r="O23" s="201">
        <v>0</v>
      </c>
      <c r="P23" s="351">
        <f t="shared" si="14"/>
        <v>544260.84931117541</v>
      </c>
      <c r="Q23" s="203">
        <f>(4*'[2]Table 5C1Q-Advantage'!S23)+(4*'[3]Table 5C1Q-Advantage'!S23)</f>
        <v>364228</v>
      </c>
      <c r="R23" s="203">
        <f t="shared" si="15"/>
        <v>180032.84931117541</v>
      </c>
      <c r="S23" s="351">
        <f t="shared" si="5"/>
        <v>45008</v>
      </c>
      <c r="T23" s="351">
        <f t="shared" si="16"/>
        <v>544260.84931117541</v>
      </c>
      <c r="U23" s="287">
        <f>'Table 5C1A-Madison Prep'!U23</f>
        <v>6954</v>
      </c>
      <c r="V23" s="328">
        <f t="shared" si="17"/>
        <v>0</v>
      </c>
      <c r="W23" s="289">
        <f>'[1]Oct midyear Advantage'!E20</f>
        <v>131</v>
      </c>
      <c r="X23" s="290">
        <f t="shared" si="18"/>
        <v>910974</v>
      </c>
      <c r="Y23" s="289">
        <f>'[1]Feb midyear Advantage'!E20</f>
        <v>0</v>
      </c>
      <c r="Z23" s="290">
        <f t="shared" si="19"/>
        <v>0</v>
      </c>
      <c r="AA23" s="288">
        <f t="shared" si="20"/>
        <v>910974</v>
      </c>
      <c r="AB23" s="324">
        <f t="shared" si="21"/>
        <v>910974</v>
      </c>
      <c r="AC23" s="292">
        <f t="shared" si="22"/>
        <v>-2277.4349999999999</v>
      </c>
      <c r="AD23" s="324">
        <f t="shared" si="23"/>
        <v>908696.56499999994</v>
      </c>
      <c r="AE23" s="293">
        <v>0</v>
      </c>
      <c r="AF23" s="324">
        <f t="shared" si="24"/>
        <v>908696.56499999994</v>
      </c>
      <c r="AG23" s="293">
        <f>(4*'[2]Table 5C1Q-Advantage'!AI23)+(4*'[3]Table 5C1Q-Advantage'!AI23)</f>
        <v>616504</v>
      </c>
      <c r="AH23" s="293">
        <f t="shared" si="25"/>
        <v>292192.56499999994</v>
      </c>
      <c r="AI23" s="324">
        <f t="shared" si="6"/>
        <v>73048</v>
      </c>
      <c r="AJ23" s="321">
        <f t="shared" si="26"/>
        <v>1452957.4143111752</v>
      </c>
      <c r="AK23" s="342">
        <f t="shared" si="27"/>
        <v>118056</v>
      </c>
      <c r="AM23" s="286">
        <v>-2344.125</v>
      </c>
      <c r="AN23" s="286">
        <f t="shared" si="28"/>
        <v>-2277.4349999999999</v>
      </c>
      <c r="AO23" s="286">
        <f t="shared" si="7"/>
        <v>66.690000000000055</v>
      </c>
    </row>
    <row r="24" spans="1:41" ht="16.149999999999999" customHeight="1">
      <c r="A24" s="198">
        <v>18</v>
      </c>
      <c r="B24" s="199" t="s">
        <v>90</v>
      </c>
      <c r="C24" s="995">
        <v>0</v>
      </c>
      <c r="D24" s="201">
        <f>+'Table 5C1A-Madison Prep'!D24</f>
        <v>6354.5533500475731</v>
      </c>
      <c r="E24" s="202">
        <f t="shared" si="8"/>
        <v>0</v>
      </c>
      <c r="F24" s="202">
        <f>+'Table 5C1A-Madison Prep'!F24</f>
        <v>845.94999999999993</v>
      </c>
      <c r="G24" s="202">
        <f t="shared" si="9"/>
        <v>0</v>
      </c>
      <c r="H24" s="345">
        <f t="shared" si="10"/>
        <v>0</v>
      </c>
      <c r="I24" s="203">
        <f>'[1]Oct midyear Advantage'!K21</f>
        <v>0</v>
      </c>
      <c r="J24" s="203">
        <f>'[1]Feb midyear Advantage'!K21</f>
        <v>0</v>
      </c>
      <c r="K24" s="204">
        <f t="shared" si="11"/>
        <v>0</v>
      </c>
      <c r="L24" s="345">
        <f t="shared" si="12"/>
        <v>0</v>
      </c>
      <c r="M24" s="286">
        <f t="shared" si="4"/>
        <v>0</v>
      </c>
      <c r="N24" s="345">
        <f t="shared" si="13"/>
        <v>0</v>
      </c>
      <c r="O24" s="201">
        <v>0</v>
      </c>
      <c r="P24" s="351">
        <f t="shared" si="14"/>
        <v>0</v>
      </c>
      <c r="Q24" s="203">
        <f>(4*'[2]Table 5C1Q-Advantage'!S24)+(4*'[3]Table 5C1Q-Advantage'!S24)</f>
        <v>0</v>
      </c>
      <c r="R24" s="203">
        <f t="shared" si="15"/>
        <v>0</v>
      </c>
      <c r="S24" s="351">
        <f t="shared" si="5"/>
        <v>0</v>
      </c>
      <c r="T24" s="351">
        <f t="shared" si="16"/>
        <v>0</v>
      </c>
      <c r="U24" s="287">
        <f>'Table 5C1A-Madison Prep'!U24</f>
        <v>2442</v>
      </c>
      <c r="V24" s="328">
        <f t="shared" si="17"/>
        <v>0</v>
      </c>
      <c r="W24" s="289">
        <f>'[1]Oct midyear Advantage'!E21</f>
        <v>0</v>
      </c>
      <c r="X24" s="290">
        <f t="shared" si="18"/>
        <v>0</v>
      </c>
      <c r="Y24" s="289">
        <f>'[1]Feb midyear Advantage'!E21</f>
        <v>0</v>
      </c>
      <c r="Z24" s="290">
        <f t="shared" si="19"/>
        <v>0</v>
      </c>
      <c r="AA24" s="288">
        <f t="shared" si="20"/>
        <v>0</v>
      </c>
      <c r="AB24" s="324">
        <f t="shared" si="21"/>
        <v>0</v>
      </c>
      <c r="AC24" s="292">
        <f t="shared" si="22"/>
        <v>0</v>
      </c>
      <c r="AD24" s="324">
        <f t="shared" si="23"/>
        <v>0</v>
      </c>
      <c r="AE24" s="293">
        <v>0</v>
      </c>
      <c r="AF24" s="324">
        <f t="shared" si="24"/>
        <v>0</v>
      </c>
      <c r="AG24" s="293">
        <f>(4*'[2]Table 5C1Q-Advantage'!AI24)+(4*'[3]Table 5C1Q-Advantage'!AI24)</f>
        <v>0</v>
      </c>
      <c r="AH24" s="293">
        <f t="shared" si="25"/>
        <v>0</v>
      </c>
      <c r="AI24" s="324">
        <f t="shared" si="6"/>
        <v>0</v>
      </c>
      <c r="AJ24" s="321">
        <f t="shared" si="26"/>
        <v>0</v>
      </c>
      <c r="AK24" s="342">
        <f t="shared" si="27"/>
        <v>0</v>
      </c>
      <c r="AM24" s="286">
        <v>0</v>
      </c>
      <c r="AN24" s="286">
        <f t="shared" si="28"/>
        <v>0</v>
      </c>
      <c r="AO24" s="286">
        <f t="shared" si="7"/>
        <v>0</v>
      </c>
    </row>
    <row r="25" spans="1:41" ht="16.149999999999999" customHeight="1">
      <c r="A25" s="198">
        <v>19</v>
      </c>
      <c r="B25" s="199" t="s">
        <v>91</v>
      </c>
      <c r="C25" s="995">
        <v>0</v>
      </c>
      <c r="D25" s="201">
        <f>+'Table 5C1A-Madison Prep'!D25</f>
        <v>5314.3921869460446</v>
      </c>
      <c r="E25" s="202">
        <f t="shared" si="8"/>
        <v>0</v>
      </c>
      <c r="F25" s="202">
        <f>+'Table 5C1A-Madison Prep'!F25</f>
        <v>905.43</v>
      </c>
      <c r="G25" s="202">
        <f t="shared" si="9"/>
        <v>0</v>
      </c>
      <c r="H25" s="345">
        <f t="shared" si="10"/>
        <v>0</v>
      </c>
      <c r="I25" s="203">
        <f>'[1]Oct midyear Advantage'!K22</f>
        <v>49758.577495568359</v>
      </c>
      <c r="J25" s="203">
        <f>'[1]Feb midyear Advantage'!K22</f>
        <v>3109.9110934730224</v>
      </c>
      <c r="K25" s="204">
        <f t="shared" si="11"/>
        <v>52868.488589041379</v>
      </c>
      <c r="L25" s="345">
        <f t="shared" si="12"/>
        <v>52868.488589041379</v>
      </c>
      <c r="M25" s="286">
        <f t="shared" si="4"/>
        <v>-132.17122147260346</v>
      </c>
      <c r="N25" s="345">
        <f t="shared" si="13"/>
        <v>52736.317367568772</v>
      </c>
      <c r="O25" s="201">
        <v>0</v>
      </c>
      <c r="P25" s="351">
        <f t="shared" si="14"/>
        <v>52736.317367568772</v>
      </c>
      <c r="Q25" s="203">
        <f>(4*'[2]Table 5C1Q-Advantage'!S25)+(4*'[3]Table 5C1Q-Advantage'!S25)</f>
        <v>24816</v>
      </c>
      <c r="R25" s="203">
        <f t="shared" si="15"/>
        <v>27920.317367568772</v>
      </c>
      <c r="S25" s="351">
        <f t="shared" si="5"/>
        <v>6980</v>
      </c>
      <c r="T25" s="351">
        <f t="shared" si="16"/>
        <v>52736.317367568772</v>
      </c>
      <c r="U25" s="287">
        <f>'Table 5C1A-Madison Prep'!U25</f>
        <v>3051</v>
      </c>
      <c r="V25" s="328">
        <f t="shared" si="17"/>
        <v>0</v>
      </c>
      <c r="W25" s="289">
        <f>'[1]Oct midyear Advantage'!E22</f>
        <v>8</v>
      </c>
      <c r="X25" s="290">
        <f t="shared" si="18"/>
        <v>24408</v>
      </c>
      <c r="Y25" s="289">
        <f>'[1]Feb midyear Advantage'!E22</f>
        <v>1</v>
      </c>
      <c r="Z25" s="290">
        <f t="shared" si="19"/>
        <v>1525.5</v>
      </c>
      <c r="AA25" s="288">
        <f t="shared" si="20"/>
        <v>25933.5</v>
      </c>
      <c r="AB25" s="324">
        <f t="shared" si="21"/>
        <v>25933.5</v>
      </c>
      <c r="AC25" s="292">
        <f t="shared" si="22"/>
        <v>-64.833749999999995</v>
      </c>
      <c r="AD25" s="324">
        <f t="shared" si="23"/>
        <v>25868.666249999998</v>
      </c>
      <c r="AE25" s="293">
        <v>0</v>
      </c>
      <c r="AF25" s="324">
        <f t="shared" si="24"/>
        <v>25868.666249999998</v>
      </c>
      <c r="AG25" s="293">
        <f>(4*'[2]Table 5C1Q-Advantage'!AI25)+(4*'[3]Table 5C1Q-Advantage'!AI25)</f>
        <v>11604</v>
      </c>
      <c r="AH25" s="293">
        <f t="shared" si="25"/>
        <v>14264.666249999998</v>
      </c>
      <c r="AI25" s="324">
        <f t="shared" si="6"/>
        <v>3566</v>
      </c>
      <c r="AJ25" s="321">
        <f t="shared" si="26"/>
        <v>78604.983617568767</v>
      </c>
      <c r="AK25" s="342">
        <f t="shared" si="27"/>
        <v>10546</v>
      </c>
      <c r="AM25" s="286">
        <v>0</v>
      </c>
      <c r="AN25" s="286">
        <f t="shared" si="28"/>
        <v>-64.833749999999995</v>
      </c>
      <c r="AO25" s="286">
        <f t="shared" si="7"/>
        <v>-64.833749999999995</v>
      </c>
    </row>
    <row r="26" spans="1:41" ht="16.149999999999999" customHeight="1">
      <c r="A26" s="191">
        <v>20</v>
      </c>
      <c r="B26" s="192" t="s">
        <v>92</v>
      </c>
      <c r="C26" s="996">
        <v>0</v>
      </c>
      <c r="D26" s="194">
        <f>+'Table 5C1A-Madison Prep'!D26</f>
        <v>5278.5201565562011</v>
      </c>
      <c r="E26" s="195">
        <f t="shared" si="8"/>
        <v>0</v>
      </c>
      <c r="F26" s="195">
        <f>+'Table 5C1A-Madison Prep'!F26</f>
        <v>586.16999999999996</v>
      </c>
      <c r="G26" s="195">
        <f t="shared" si="9"/>
        <v>0</v>
      </c>
      <c r="H26" s="346">
        <f t="shared" si="10"/>
        <v>0</v>
      </c>
      <c r="I26" s="196">
        <f>'[1]Oct midyear Advantage'!K23</f>
        <v>0</v>
      </c>
      <c r="J26" s="196">
        <f>'[1]Feb midyear Advantage'!K23</f>
        <v>0</v>
      </c>
      <c r="K26" s="197">
        <f t="shared" si="11"/>
        <v>0</v>
      </c>
      <c r="L26" s="346">
        <f t="shared" si="12"/>
        <v>0</v>
      </c>
      <c r="M26" s="296">
        <f t="shared" si="4"/>
        <v>0</v>
      </c>
      <c r="N26" s="346">
        <f t="shared" si="13"/>
        <v>0</v>
      </c>
      <c r="O26" s="194">
        <v>0</v>
      </c>
      <c r="P26" s="352">
        <f t="shared" si="14"/>
        <v>0</v>
      </c>
      <c r="Q26" s="196">
        <f>(4*'[2]Table 5C1Q-Advantage'!S26)+(4*'[3]Table 5C1Q-Advantage'!S26)</f>
        <v>0</v>
      </c>
      <c r="R26" s="196">
        <f t="shared" si="15"/>
        <v>0</v>
      </c>
      <c r="S26" s="352">
        <f t="shared" si="5"/>
        <v>0</v>
      </c>
      <c r="T26" s="352">
        <f t="shared" si="16"/>
        <v>0</v>
      </c>
      <c r="U26" s="281">
        <f>'Table 5C1A-Madison Prep'!U26</f>
        <v>2484</v>
      </c>
      <c r="V26" s="329">
        <f t="shared" si="17"/>
        <v>0</v>
      </c>
      <c r="W26" s="884">
        <f>'[1]Oct midyear Advantage'!E23</f>
        <v>0</v>
      </c>
      <c r="X26" s="282">
        <f t="shared" si="18"/>
        <v>0</v>
      </c>
      <c r="Y26" s="884">
        <f>'[1]Feb midyear Advantage'!E23</f>
        <v>0</v>
      </c>
      <c r="Z26" s="282">
        <f t="shared" si="19"/>
        <v>0</v>
      </c>
      <c r="AA26" s="283">
        <f t="shared" si="20"/>
        <v>0</v>
      </c>
      <c r="AB26" s="325">
        <f t="shared" si="21"/>
        <v>0</v>
      </c>
      <c r="AC26" s="298">
        <f t="shared" si="22"/>
        <v>0</v>
      </c>
      <c r="AD26" s="325">
        <f t="shared" si="23"/>
        <v>0</v>
      </c>
      <c r="AE26" s="284">
        <v>0</v>
      </c>
      <c r="AF26" s="325">
        <f t="shared" si="24"/>
        <v>0</v>
      </c>
      <c r="AG26" s="284">
        <f>(4*'[2]Table 5C1Q-Advantage'!AI26)+(4*'[3]Table 5C1Q-Advantage'!AI26)</f>
        <v>0</v>
      </c>
      <c r="AH26" s="284">
        <f t="shared" si="25"/>
        <v>0</v>
      </c>
      <c r="AI26" s="325">
        <f t="shared" si="6"/>
        <v>0</v>
      </c>
      <c r="AJ26" s="338">
        <f t="shared" si="26"/>
        <v>0</v>
      </c>
      <c r="AK26" s="343">
        <f t="shared" si="27"/>
        <v>0</v>
      </c>
      <c r="AM26" s="296">
        <v>0</v>
      </c>
      <c r="AN26" s="296">
        <f t="shared" si="28"/>
        <v>0</v>
      </c>
      <c r="AO26" s="296">
        <f t="shared" si="7"/>
        <v>0</v>
      </c>
    </row>
    <row r="27" spans="1:41" ht="16.149999999999999" customHeight="1">
      <c r="A27" s="205">
        <v>21</v>
      </c>
      <c r="B27" s="206" t="s">
        <v>93</v>
      </c>
      <c r="C27" s="994">
        <v>0</v>
      </c>
      <c r="D27" s="208">
        <f>+'Table 5C1A-Madison Prep'!D27</f>
        <v>6082.3042295867763</v>
      </c>
      <c r="E27" s="209">
        <f t="shared" si="8"/>
        <v>0</v>
      </c>
      <c r="F27" s="209">
        <f>+'Table 5C1A-Madison Prep'!F27</f>
        <v>610.35</v>
      </c>
      <c r="G27" s="209">
        <f t="shared" si="9"/>
        <v>0</v>
      </c>
      <c r="H27" s="344">
        <f t="shared" si="10"/>
        <v>0</v>
      </c>
      <c r="I27" s="210">
        <f>'[1]Oct midyear Advantage'!K24</f>
        <v>0</v>
      </c>
      <c r="J27" s="210">
        <f>'[1]Feb midyear Advantage'!K24</f>
        <v>0</v>
      </c>
      <c r="K27" s="211">
        <f t="shared" si="11"/>
        <v>0</v>
      </c>
      <c r="L27" s="344">
        <f t="shared" si="12"/>
        <v>0</v>
      </c>
      <c r="M27" s="273">
        <f t="shared" si="4"/>
        <v>0</v>
      </c>
      <c r="N27" s="344">
        <f t="shared" si="13"/>
        <v>0</v>
      </c>
      <c r="O27" s="208">
        <v>0</v>
      </c>
      <c r="P27" s="350">
        <f t="shared" si="14"/>
        <v>0</v>
      </c>
      <c r="Q27" s="210">
        <f>(4*'[2]Table 5C1Q-Advantage'!S27)+(4*'[3]Table 5C1Q-Advantage'!S27)</f>
        <v>0</v>
      </c>
      <c r="R27" s="210">
        <f t="shared" si="15"/>
        <v>0</v>
      </c>
      <c r="S27" s="350">
        <f t="shared" si="5"/>
        <v>0</v>
      </c>
      <c r="T27" s="350">
        <f t="shared" si="16"/>
        <v>0</v>
      </c>
      <c r="U27" s="274">
        <f>'Table 5C1A-Madison Prep'!U27</f>
        <v>2487</v>
      </c>
      <c r="V27" s="327">
        <f t="shared" si="17"/>
        <v>0</v>
      </c>
      <c r="W27" s="883">
        <f>'[1]Oct midyear Advantage'!E24</f>
        <v>0</v>
      </c>
      <c r="X27" s="276">
        <f t="shared" si="18"/>
        <v>0</v>
      </c>
      <c r="Y27" s="883">
        <f>'[1]Feb midyear Advantage'!E24</f>
        <v>0</v>
      </c>
      <c r="Z27" s="276">
        <f t="shared" si="19"/>
        <v>0</v>
      </c>
      <c r="AA27" s="275">
        <f t="shared" si="20"/>
        <v>0</v>
      </c>
      <c r="AB27" s="323">
        <f t="shared" si="21"/>
        <v>0</v>
      </c>
      <c r="AC27" s="278">
        <f t="shared" si="22"/>
        <v>0</v>
      </c>
      <c r="AD27" s="323">
        <f t="shared" si="23"/>
        <v>0</v>
      </c>
      <c r="AE27" s="279">
        <v>0</v>
      </c>
      <c r="AF27" s="323">
        <f t="shared" si="24"/>
        <v>0</v>
      </c>
      <c r="AG27" s="279">
        <f>(4*'[2]Table 5C1Q-Advantage'!AI27)+(4*'[3]Table 5C1Q-Advantage'!AI27)</f>
        <v>0</v>
      </c>
      <c r="AH27" s="279">
        <f t="shared" si="25"/>
        <v>0</v>
      </c>
      <c r="AI27" s="323">
        <f t="shared" si="6"/>
        <v>0</v>
      </c>
      <c r="AJ27" s="337">
        <f t="shared" si="26"/>
        <v>0</v>
      </c>
      <c r="AK27" s="341">
        <f t="shared" si="27"/>
        <v>0</v>
      </c>
      <c r="AM27" s="273">
        <v>0</v>
      </c>
      <c r="AN27" s="273">
        <f t="shared" si="28"/>
        <v>0</v>
      </c>
      <c r="AO27" s="273">
        <f t="shared" si="7"/>
        <v>0</v>
      </c>
    </row>
    <row r="28" spans="1:41" ht="16.149999999999999" customHeight="1">
      <c r="A28" s="198">
        <v>22</v>
      </c>
      <c r="B28" s="199" t="s">
        <v>94</v>
      </c>
      <c r="C28" s="995">
        <v>0</v>
      </c>
      <c r="D28" s="201">
        <f>+'Table 5C1A-Madison Prep'!D28</f>
        <v>6416.1099808195995</v>
      </c>
      <c r="E28" s="202">
        <f t="shared" si="8"/>
        <v>0</v>
      </c>
      <c r="F28" s="202">
        <f>+'Table 5C1A-Madison Prep'!F28</f>
        <v>496.36</v>
      </c>
      <c r="G28" s="202">
        <f t="shared" si="9"/>
        <v>0</v>
      </c>
      <c r="H28" s="345">
        <f t="shared" si="10"/>
        <v>0</v>
      </c>
      <c r="I28" s="203">
        <f>'[1]Oct midyear Advantage'!K25</f>
        <v>0</v>
      </c>
      <c r="J28" s="203">
        <f>'[1]Feb midyear Advantage'!K25</f>
        <v>0</v>
      </c>
      <c r="K28" s="204">
        <f t="shared" si="11"/>
        <v>0</v>
      </c>
      <c r="L28" s="345">
        <f t="shared" si="12"/>
        <v>0</v>
      </c>
      <c r="M28" s="286">
        <f t="shared" si="4"/>
        <v>0</v>
      </c>
      <c r="N28" s="345">
        <f t="shared" si="13"/>
        <v>0</v>
      </c>
      <c r="O28" s="201">
        <v>0</v>
      </c>
      <c r="P28" s="351">
        <f t="shared" si="14"/>
        <v>0</v>
      </c>
      <c r="Q28" s="203">
        <f>(4*'[2]Table 5C1Q-Advantage'!S28)+(4*'[3]Table 5C1Q-Advantage'!S28)</f>
        <v>0</v>
      </c>
      <c r="R28" s="203">
        <f t="shared" si="15"/>
        <v>0</v>
      </c>
      <c r="S28" s="351">
        <f t="shared" si="5"/>
        <v>0</v>
      </c>
      <c r="T28" s="351">
        <f t="shared" si="16"/>
        <v>0</v>
      </c>
      <c r="U28" s="287">
        <f>'Table 5C1A-Madison Prep'!U28</f>
        <v>1584</v>
      </c>
      <c r="V28" s="328">
        <f t="shared" si="17"/>
        <v>0</v>
      </c>
      <c r="W28" s="289">
        <f>'[1]Oct midyear Advantage'!E25</f>
        <v>0</v>
      </c>
      <c r="X28" s="290">
        <f t="shared" si="18"/>
        <v>0</v>
      </c>
      <c r="Y28" s="289">
        <f>'[1]Feb midyear Advantage'!E25</f>
        <v>0</v>
      </c>
      <c r="Z28" s="290">
        <f t="shared" si="19"/>
        <v>0</v>
      </c>
      <c r="AA28" s="288">
        <f t="shared" si="20"/>
        <v>0</v>
      </c>
      <c r="AB28" s="324">
        <f t="shared" si="21"/>
        <v>0</v>
      </c>
      <c r="AC28" s="292">
        <f t="shared" si="22"/>
        <v>0</v>
      </c>
      <c r="AD28" s="324">
        <f t="shared" si="23"/>
        <v>0</v>
      </c>
      <c r="AE28" s="293">
        <v>0</v>
      </c>
      <c r="AF28" s="324">
        <f t="shared" si="24"/>
        <v>0</v>
      </c>
      <c r="AG28" s="293">
        <f>(4*'[2]Table 5C1Q-Advantage'!AI28)+(4*'[3]Table 5C1Q-Advantage'!AI28)</f>
        <v>0</v>
      </c>
      <c r="AH28" s="293">
        <f t="shared" si="25"/>
        <v>0</v>
      </c>
      <c r="AI28" s="324">
        <f t="shared" si="6"/>
        <v>0</v>
      </c>
      <c r="AJ28" s="321">
        <f t="shared" si="26"/>
        <v>0</v>
      </c>
      <c r="AK28" s="342">
        <f t="shared" si="27"/>
        <v>0</v>
      </c>
      <c r="AM28" s="286">
        <v>0</v>
      </c>
      <c r="AN28" s="286">
        <f t="shared" si="28"/>
        <v>0</v>
      </c>
      <c r="AO28" s="286">
        <f t="shared" si="7"/>
        <v>0</v>
      </c>
    </row>
    <row r="29" spans="1:41" ht="16.149999999999999" customHeight="1">
      <c r="A29" s="198">
        <v>23</v>
      </c>
      <c r="B29" s="199" t="s">
        <v>95</v>
      </c>
      <c r="C29" s="995">
        <v>0</v>
      </c>
      <c r="D29" s="201">
        <f>+'Table 5C1A-Madison Prep'!D29</f>
        <v>5011.0215265979159</v>
      </c>
      <c r="E29" s="202">
        <f t="shared" si="8"/>
        <v>0</v>
      </c>
      <c r="F29" s="202">
        <f>+'Table 5C1A-Madison Prep'!F29</f>
        <v>688.58</v>
      </c>
      <c r="G29" s="202">
        <f t="shared" si="9"/>
        <v>0</v>
      </c>
      <c r="H29" s="345">
        <f t="shared" si="10"/>
        <v>0</v>
      </c>
      <c r="I29" s="203">
        <f>'[1]Oct midyear Advantage'!K26</f>
        <v>0</v>
      </c>
      <c r="J29" s="203">
        <f>'[1]Feb midyear Advantage'!K26</f>
        <v>0</v>
      </c>
      <c r="K29" s="204">
        <f t="shared" si="11"/>
        <v>0</v>
      </c>
      <c r="L29" s="345">
        <f t="shared" si="12"/>
        <v>0</v>
      </c>
      <c r="M29" s="286">
        <f t="shared" si="4"/>
        <v>0</v>
      </c>
      <c r="N29" s="345">
        <f t="shared" si="13"/>
        <v>0</v>
      </c>
      <c r="O29" s="201">
        <v>0</v>
      </c>
      <c r="P29" s="351">
        <f t="shared" si="14"/>
        <v>0</v>
      </c>
      <c r="Q29" s="203">
        <f>(4*'[2]Table 5C1Q-Advantage'!S29)+(4*'[3]Table 5C1Q-Advantage'!S29)</f>
        <v>0</v>
      </c>
      <c r="R29" s="203">
        <f t="shared" si="15"/>
        <v>0</v>
      </c>
      <c r="S29" s="351">
        <f t="shared" si="5"/>
        <v>0</v>
      </c>
      <c r="T29" s="351">
        <f t="shared" si="16"/>
        <v>0</v>
      </c>
      <c r="U29" s="287">
        <f>'Table 5C1A-Madison Prep'!U29</f>
        <v>3500</v>
      </c>
      <c r="V29" s="328">
        <f t="shared" si="17"/>
        <v>0</v>
      </c>
      <c r="W29" s="289">
        <f>'[1]Oct midyear Advantage'!E26</f>
        <v>0</v>
      </c>
      <c r="X29" s="290">
        <f t="shared" si="18"/>
        <v>0</v>
      </c>
      <c r="Y29" s="289">
        <f>'[1]Feb midyear Advantage'!E26</f>
        <v>0</v>
      </c>
      <c r="Z29" s="290">
        <f t="shared" si="19"/>
        <v>0</v>
      </c>
      <c r="AA29" s="288">
        <f t="shared" si="20"/>
        <v>0</v>
      </c>
      <c r="AB29" s="324">
        <f t="shared" si="21"/>
        <v>0</v>
      </c>
      <c r="AC29" s="292">
        <f t="shared" si="22"/>
        <v>0</v>
      </c>
      <c r="AD29" s="324">
        <f t="shared" si="23"/>
        <v>0</v>
      </c>
      <c r="AE29" s="293">
        <v>0</v>
      </c>
      <c r="AF29" s="324">
        <f t="shared" si="24"/>
        <v>0</v>
      </c>
      <c r="AG29" s="293">
        <f>(4*'[2]Table 5C1Q-Advantage'!AI29)+(4*'[3]Table 5C1Q-Advantage'!AI29)</f>
        <v>0</v>
      </c>
      <c r="AH29" s="293">
        <f t="shared" si="25"/>
        <v>0</v>
      </c>
      <c r="AI29" s="324">
        <f t="shared" si="6"/>
        <v>0</v>
      </c>
      <c r="AJ29" s="321">
        <f t="shared" si="26"/>
        <v>0</v>
      </c>
      <c r="AK29" s="342">
        <f t="shared" si="27"/>
        <v>0</v>
      </c>
      <c r="AM29" s="286">
        <v>0</v>
      </c>
      <c r="AN29" s="286">
        <f t="shared" si="28"/>
        <v>0</v>
      </c>
      <c r="AO29" s="286">
        <f t="shared" si="7"/>
        <v>0</v>
      </c>
    </row>
    <row r="30" spans="1:41" ht="16.149999999999999" customHeight="1">
      <c r="A30" s="198">
        <v>24</v>
      </c>
      <c r="B30" s="199" t="s">
        <v>96</v>
      </c>
      <c r="C30" s="995">
        <v>0</v>
      </c>
      <c r="D30" s="201">
        <f>+'Table 5C1A-Madison Prep'!D30</f>
        <v>2611.6740361576999</v>
      </c>
      <c r="E30" s="202">
        <f t="shared" si="8"/>
        <v>0</v>
      </c>
      <c r="F30" s="202">
        <f>+'Table 5C1A-Madison Prep'!F30</f>
        <v>854.24999999999989</v>
      </c>
      <c r="G30" s="202">
        <f t="shared" si="9"/>
        <v>0</v>
      </c>
      <c r="H30" s="345">
        <f t="shared" si="10"/>
        <v>0</v>
      </c>
      <c r="I30" s="203">
        <f>'[1]Oct midyear Advantage'!K27</f>
        <v>0</v>
      </c>
      <c r="J30" s="203">
        <f>'[1]Feb midyear Advantage'!K27</f>
        <v>0</v>
      </c>
      <c r="K30" s="204">
        <f t="shared" si="11"/>
        <v>0</v>
      </c>
      <c r="L30" s="345">
        <f t="shared" si="12"/>
        <v>0</v>
      </c>
      <c r="M30" s="286">
        <f t="shared" si="4"/>
        <v>0</v>
      </c>
      <c r="N30" s="345">
        <f t="shared" si="13"/>
        <v>0</v>
      </c>
      <c r="O30" s="201">
        <v>0</v>
      </c>
      <c r="P30" s="351">
        <f t="shared" si="14"/>
        <v>0</v>
      </c>
      <c r="Q30" s="203">
        <f>(4*'[2]Table 5C1Q-Advantage'!S30)+(4*'[3]Table 5C1Q-Advantage'!S30)</f>
        <v>0</v>
      </c>
      <c r="R30" s="203">
        <f t="shared" si="15"/>
        <v>0</v>
      </c>
      <c r="S30" s="351">
        <f t="shared" si="5"/>
        <v>0</v>
      </c>
      <c r="T30" s="351">
        <f t="shared" si="16"/>
        <v>0</v>
      </c>
      <c r="U30" s="287">
        <f>'Table 5C1A-Madison Prep'!U30</f>
        <v>11051</v>
      </c>
      <c r="V30" s="328">
        <f t="shared" si="17"/>
        <v>0</v>
      </c>
      <c r="W30" s="289">
        <f>'[1]Oct midyear Advantage'!E27</f>
        <v>0</v>
      </c>
      <c r="X30" s="290">
        <f t="shared" si="18"/>
        <v>0</v>
      </c>
      <c r="Y30" s="289">
        <f>'[1]Feb midyear Advantage'!E27</f>
        <v>0</v>
      </c>
      <c r="Z30" s="290">
        <f t="shared" si="19"/>
        <v>0</v>
      </c>
      <c r="AA30" s="288">
        <f t="shared" si="20"/>
        <v>0</v>
      </c>
      <c r="AB30" s="324">
        <f t="shared" si="21"/>
        <v>0</v>
      </c>
      <c r="AC30" s="292">
        <f t="shared" si="22"/>
        <v>0</v>
      </c>
      <c r="AD30" s="324">
        <f t="shared" si="23"/>
        <v>0</v>
      </c>
      <c r="AE30" s="293">
        <v>0</v>
      </c>
      <c r="AF30" s="324">
        <f t="shared" si="24"/>
        <v>0</v>
      </c>
      <c r="AG30" s="293">
        <f>(4*'[2]Table 5C1Q-Advantage'!AI30)+(4*'[3]Table 5C1Q-Advantage'!AI30)</f>
        <v>0</v>
      </c>
      <c r="AH30" s="293">
        <f t="shared" si="25"/>
        <v>0</v>
      </c>
      <c r="AI30" s="324">
        <f t="shared" si="6"/>
        <v>0</v>
      </c>
      <c r="AJ30" s="321">
        <f t="shared" si="26"/>
        <v>0</v>
      </c>
      <c r="AK30" s="342">
        <f t="shared" si="27"/>
        <v>0</v>
      </c>
      <c r="AM30" s="286">
        <v>0</v>
      </c>
      <c r="AN30" s="286">
        <f t="shared" si="28"/>
        <v>0</v>
      </c>
      <c r="AO30" s="286">
        <f t="shared" si="7"/>
        <v>0</v>
      </c>
    </row>
    <row r="31" spans="1:41" ht="16.149999999999999" customHeight="1">
      <c r="A31" s="191">
        <v>25</v>
      </c>
      <c r="B31" s="192" t="s">
        <v>97</v>
      </c>
      <c r="C31" s="996">
        <v>0</v>
      </c>
      <c r="D31" s="194">
        <f>+'Table 5C1A-Madison Prep'!D31</f>
        <v>4173.0720274945697</v>
      </c>
      <c r="E31" s="195">
        <f t="shared" si="8"/>
        <v>0</v>
      </c>
      <c r="F31" s="195">
        <f>+'Table 5C1A-Madison Prep'!F31</f>
        <v>653.73</v>
      </c>
      <c r="G31" s="195">
        <f t="shared" si="9"/>
        <v>0</v>
      </c>
      <c r="H31" s="346">
        <f t="shared" si="10"/>
        <v>0</v>
      </c>
      <c r="I31" s="196">
        <f>'[1]Oct midyear Advantage'!K28</f>
        <v>0</v>
      </c>
      <c r="J31" s="196">
        <f>'[1]Feb midyear Advantage'!K28</f>
        <v>0</v>
      </c>
      <c r="K31" s="197">
        <f t="shared" si="11"/>
        <v>0</v>
      </c>
      <c r="L31" s="346">
        <f t="shared" si="12"/>
        <v>0</v>
      </c>
      <c r="M31" s="296">
        <f t="shared" si="4"/>
        <v>0</v>
      </c>
      <c r="N31" s="346">
        <f t="shared" si="13"/>
        <v>0</v>
      </c>
      <c r="O31" s="194">
        <v>0</v>
      </c>
      <c r="P31" s="352">
        <f t="shared" si="14"/>
        <v>0</v>
      </c>
      <c r="Q31" s="196">
        <f>(4*'[2]Table 5C1Q-Advantage'!S31)+(4*'[3]Table 5C1Q-Advantage'!S31)</f>
        <v>0</v>
      </c>
      <c r="R31" s="196">
        <f t="shared" si="15"/>
        <v>0</v>
      </c>
      <c r="S31" s="352">
        <f t="shared" si="5"/>
        <v>0</v>
      </c>
      <c r="T31" s="352">
        <f t="shared" si="16"/>
        <v>0</v>
      </c>
      <c r="U31" s="281">
        <f>'Table 5C1A-Madison Prep'!U31</f>
        <v>5156</v>
      </c>
      <c r="V31" s="329">
        <f t="shared" si="17"/>
        <v>0</v>
      </c>
      <c r="W31" s="884">
        <f>'[1]Oct midyear Advantage'!E28</f>
        <v>0</v>
      </c>
      <c r="X31" s="282">
        <f t="shared" si="18"/>
        <v>0</v>
      </c>
      <c r="Y31" s="884">
        <f>'[1]Feb midyear Advantage'!E28</f>
        <v>0</v>
      </c>
      <c r="Z31" s="282">
        <f t="shared" si="19"/>
        <v>0</v>
      </c>
      <c r="AA31" s="283">
        <f t="shared" si="20"/>
        <v>0</v>
      </c>
      <c r="AB31" s="325">
        <f t="shared" si="21"/>
        <v>0</v>
      </c>
      <c r="AC31" s="298">
        <f t="shared" si="22"/>
        <v>0</v>
      </c>
      <c r="AD31" s="325">
        <f t="shared" si="23"/>
        <v>0</v>
      </c>
      <c r="AE31" s="284">
        <v>0</v>
      </c>
      <c r="AF31" s="325">
        <f t="shared" si="24"/>
        <v>0</v>
      </c>
      <c r="AG31" s="284">
        <f>(4*'[2]Table 5C1Q-Advantage'!AI31)+(4*'[3]Table 5C1Q-Advantage'!AI31)</f>
        <v>0</v>
      </c>
      <c r="AH31" s="284">
        <f t="shared" si="25"/>
        <v>0</v>
      </c>
      <c r="AI31" s="325">
        <f t="shared" si="6"/>
        <v>0</v>
      </c>
      <c r="AJ31" s="338">
        <f t="shared" si="26"/>
        <v>0</v>
      </c>
      <c r="AK31" s="343">
        <f t="shared" si="27"/>
        <v>0</v>
      </c>
      <c r="AM31" s="296">
        <v>0</v>
      </c>
      <c r="AN31" s="296">
        <f t="shared" si="28"/>
        <v>0</v>
      </c>
      <c r="AO31" s="296">
        <f t="shared" si="7"/>
        <v>0</v>
      </c>
    </row>
    <row r="32" spans="1:41" ht="16.149999999999999" customHeight="1">
      <c r="A32" s="205">
        <v>26</v>
      </c>
      <c r="B32" s="206" t="s">
        <v>98</v>
      </c>
      <c r="C32" s="994">
        <v>0</v>
      </c>
      <c r="D32" s="208">
        <f>+'Table 5C1A-Madison Prep'!D32</f>
        <v>3424.5649970570835</v>
      </c>
      <c r="E32" s="209">
        <f t="shared" si="8"/>
        <v>0</v>
      </c>
      <c r="F32" s="209">
        <f>+'Table 5C1A-Madison Prep'!F32</f>
        <v>836.83</v>
      </c>
      <c r="G32" s="209">
        <f t="shared" si="9"/>
        <v>0</v>
      </c>
      <c r="H32" s="344">
        <f t="shared" si="10"/>
        <v>0</v>
      </c>
      <c r="I32" s="210">
        <f>'[1]Oct midyear Advantage'!K29</f>
        <v>0</v>
      </c>
      <c r="J32" s="210">
        <f>'[1]Feb midyear Advantage'!K29</f>
        <v>0</v>
      </c>
      <c r="K32" s="211">
        <f t="shared" si="11"/>
        <v>0</v>
      </c>
      <c r="L32" s="344">
        <f t="shared" si="12"/>
        <v>0</v>
      </c>
      <c r="M32" s="273">
        <f t="shared" si="4"/>
        <v>0</v>
      </c>
      <c r="N32" s="344">
        <f t="shared" si="13"/>
        <v>0</v>
      </c>
      <c r="O32" s="208">
        <v>0</v>
      </c>
      <c r="P32" s="350">
        <f t="shared" si="14"/>
        <v>0</v>
      </c>
      <c r="Q32" s="210">
        <f>(4*'[2]Table 5C1Q-Advantage'!S32)+(4*'[3]Table 5C1Q-Advantage'!S32)</f>
        <v>0</v>
      </c>
      <c r="R32" s="210">
        <f t="shared" si="15"/>
        <v>0</v>
      </c>
      <c r="S32" s="350">
        <f t="shared" si="5"/>
        <v>0</v>
      </c>
      <c r="T32" s="350">
        <f t="shared" si="16"/>
        <v>0</v>
      </c>
      <c r="U32" s="274">
        <f>'Table 5C1A-Madison Prep'!U32</f>
        <v>5153</v>
      </c>
      <c r="V32" s="327">
        <f t="shared" si="17"/>
        <v>0</v>
      </c>
      <c r="W32" s="883">
        <f>'[1]Oct midyear Advantage'!E29</f>
        <v>0</v>
      </c>
      <c r="X32" s="276">
        <f t="shared" si="18"/>
        <v>0</v>
      </c>
      <c r="Y32" s="883">
        <f>'[1]Feb midyear Advantage'!E29</f>
        <v>0</v>
      </c>
      <c r="Z32" s="276">
        <f t="shared" si="19"/>
        <v>0</v>
      </c>
      <c r="AA32" s="275">
        <f t="shared" si="20"/>
        <v>0</v>
      </c>
      <c r="AB32" s="323">
        <f t="shared" si="21"/>
        <v>0</v>
      </c>
      <c r="AC32" s="278">
        <f t="shared" si="22"/>
        <v>0</v>
      </c>
      <c r="AD32" s="323">
        <f t="shared" si="23"/>
        <v>0</v>
      </c>
      <c r="AE32" s="279">
        <v>0</v>
      </c>
      <c r="AF32" s="323">
        <f t="shared" si="24"/>
        <v>0</v>
      </c>
      <c r="AG32" s="279">
        <f>(4*'[2]Table 5C1Q-Advantage'!AI32)+(4*'[3]Table 5C1Q-Advantage'!AI32)</f>
        <v>0</v>
      </c>
      <c r="AH32" s="279">
        <f t="shared" si="25"/>
        <v>0</v>
      </c>
      <c r="AI32" s="323">
        <f t="shared" si="6"/>
        <v>0</v>
      </c>
      <c r="AJ32" s="337">
        <f t="shared" si="26"/>
        <v>0</v>
      </c>
      <c r="AK32" s="341">
        <f t="shared" si="27"/>
        <v>0</v>
      </c>
      <c r="AM32" s="273">
        <v>0</v>
      </c>
      <c r="AN32" s="273">
        <f t="shared" si="28"/>
        <v>0</v>
      </c>
      <c r="AO32" s="273">
        <f t="shared" si="7"/>
        <v>0</v>
      </c>
    </row>
    <row r="33" spans="1:41" ht="16.149999999999999" customHeight="1">
      <c r="A33" s="198">
        <v>27</v>
      </c>
      <c r="B33" s="199" t="s">
        <v>99</v>
      </c>
      <c r="C33" s="995">
        <v>0</v>
      </c>
      <c r="D33" s="201">
        <f>+'Table 5C1A-Madison Prep'!D33</f>
        <v>5804.9013839977006</v>
      </c>
      <c r="E33" s="202">
        <f t="shared" si="8"/>
        <v>0</v>
      </c>
      <c r="F33" s="202">
        <f>+'Table 5C1A-Madison Prep'!F33</f>
        <v>693.06</v>
      </c>
      <c r="G33" s="202">
        <f t="shared" si="9"/>
        <v>0</v>
      </c>
      <c r="H33" s="345">
        <f t="shared" si="10"/>
        <v>0</v>
      </c>
      <c r="I33" s="203">
        <f>'[1]Oct midyear Advantage'!K30</f>
        <v>0</v>
      </c>
      <c r="J33" s="203">
        <f>'[1]Feb midyear Advantage'!K30</f>
        <v>0</v>
      </c>
      <c r="K33" s="204">
        <f t="shared" si="11"/>
        <v>0</v>
      </c>
      <c r="L33" s="345">
        <f t="shared" si="12"/>
        <v>0</v>
      </c>
      <c r="M33" s="286">
        <f t="shared" si="4"/>
        <v>0</v>
      </c>
      <c r="N33" s="345">
        <f t="shared" si="13"/>
        <v>0</v>
      </c>
      <c r="O33" s="201">
        <v>0</v>
      </c>
      <c r="P33" s="351">
        <f t="shared" si="14"/>
        <v>0</v>
      </c>
      <c r="Q33" s="203">
        <f>(4*'[2]Table 5C1Q-Advantage'!S33)+(4*'[3]Table 5C1Q-Advantage'!S33)</f>
        <v>0</v>
      </c>
      <c r="R33" s="203">
        <f t="shared" si="15"/>
        <v>0</v>
      </c>
      <c r="S33" s="351">
        <f t="shared" si="5"/>
        <v>0</v>
      </c>
      <c r="T33" s="351">
        <f t="shared" si="16"/>
        <v>0</v>
      </c>
      <c r="U33" s="287">
        <f>'Table 5C1A-Madison Prep'!U33</f>
        <v>3225</v>
      </c>
      <c r="V33" s="328">
        <f t="shared" si="17"/>
        <v>0</v>
      </c>
      <c r="W33" s="289">
        <f>'[1]Oct midyear Advantage'!E30</f>
        <v>0</v>
      </c>
      <c r="X33" s="290">
        <f t="shared" si="18"/>
        <v>0</v>
      </c>
      <c r="Y33" s="289">
        <f>'[1]Feb midyear Advantage'!E30</f>
        <v>0</v>
      </c>
      <c r="Z33" s="290">
        <f t="shared" si="19"/>
        <v>0</v>
      </c>
      <c r="AA33" s="288">
        <f t="shared" si="20"/>
        <v>0</v>
      </c>
      <c r="AB33" s="324">
        <f t="shared" si="21"/>
        <v>0</v>
      </c>
      <c r="AC33" s="292">
        <f t="shared" si="22"/>
        <v>0</v>
      </c>
      <c r="AD33" s="324">
        <f t="shared" si="23"/>
        <v>0</v>
      </c>
      <c r="AE33" s="293">
        <v>0</v>
      </c>
      <c r="AF33" s="324">
        <f t="shared" si="24"/>
        <v>0</v>
      </c>
      <c r="AG33" s="293">
        <f>(4*'[2]Table 5C1Q-Advantage'!AI33)+(4*'[3]Table 5C1Q-Advantage'!AI33)</f>
        <v>0</v>
      </c>
      <c r="AH33" s="293">
        <f t="shared" si="25"/>
        <v>0</v>
      </c>
      <c r="AI33" s="324">
        <f t="shared" si="6"/>
        <v>0</v>
      </c>
      <c r="AJ33" s="321">
        <f t="shared" si="26"/>
        <v>0</v>
      </c>
      <c r="AK33" s="342">
        <f t="shared" si="27"/>
        <v>0</v>
      </c>
      <c r="AM33" s="286">
        <v>0</v>
      </c>
      <c r="AN33" s="286">
        <f t="shared" si="28"/>
        <v>0</v>
      </c>
      <c r="AO33" s="286">
        <f t="shared" si="7"/>
        <v>0</v>
      </c>
    </row>
    <row r="34" spans="1:41" ht="16.149999999999999" customHeight="1">
      <c r="A34" s="198">
        <v>28</v>
      </c>
      <c r="B34" s="199" t="s">
        <v>100</v>
      </c>
      <c r="C34" s="995">
        <v>0</v>
      </c>
      <c r="D34" s="201">
        <f>+'Table 5C1A-Madison Prep'!D34</f>
        <v>3137.4158846568821</v>
      </c>
      <c r="E34" s="202">
        <f t="shared" si="8"/>
        <v>0</v>
      </c>
      <c r="F34" s="202">
        <f>+'Table 5C1A-Madison Prep'!F34</f>
        <v>694.4</v>
      </c>
      <c r="G34" s="202">
        <f t="shared" si="9"/>
        <v>0</v>
      </c>
      <c r="H34" s="345">
        <f t="shared" si="10"/>
        <v>0</v>
      </c>
      <c r="I34" s="203">
        <f>'[1]Oct midyear Advantage'!K31</f>
        <v>0</v>
      </c>
      <c r="J34" s="203">
        <f>'[1]Feb midyear Advantage'!K31</f>
        <v>0</v>
      </c>
      <c r="K34" s="204">
        <f t="shared" si="11"/>
        <v>0</v>
      </c>
      <c r="L34" s="345">
        <f t="shared" si="12"/>
        <v>0</v>
      </c>
      <c r="M34" s="286">
        <f t="shared" si="4"/>
        <v>0</v>
      </c>
      <c r="N34" s="345">
        <f t="shared" si="13"/>
        <v>0</v>
      </c>
      <c r="O34" s="201">
        <v>0</v>
      </c>
      <c r="P34" s="351">
        <f t="shared" si="14"/>
        <v>0</v>
      </c>
      <c r="Q34" s="203">
        <f>(4*'[2]Table 5C1Q-Advantage'!S34)+(4*'[3]Table 5C1Q-Advantage'!S34)</f>
        <v>0</v>
      </c>
      <c r="R34" s="203">
        <f t="shared" si="15"/>
        <v>0</v>
      </c>
      <c r="S34" s="351">
        <f t="shared" si="5"/>
        <v>0</v>
      </c>
      <c r="T34" s="351">
        <f t="shared" si="16"/>
        <v>0</v>
      </c>
      <c r="U34" s="287">
        <f>'Table 5C1A-Madison Prep'!U34</f>
        <v>5816</v>
      </c>
      <c r="V34" s="328">
        <f t="shared" si="17"/>
        <v>0</v>
      </c>
      <c r="W34" s="289">
        <f>'[1]Oct midyear Advantage'!E31</f>
        <v>0</v>
      </c>
      <c r="X34" s="290">
        <f t="shared" si="18"/>
        <v>0</v>
      </c>
      <c r="Y34" s="289">
        <f>'[1]Feb midyear Advantage'!E31</f>
        <v>0</v>
      </c>
      <c r="Z34" s="290">
        <f t="shared" si="19"/>
        <v>0</v>
      </c>
      <c r="AA34" s="288">
        <f t="shared" si="20"/>
        <v>0</v>
      </c>
      <c r="AB34" s="324">
        <f t="shared" si="21"/>
        <v>0</v>
      </c>
      <c r="AC34" s="292">
        <f t="shared" si="22"/>
        <v>0</v>
      </c>
      <c r="AD34" s="324">
        <f t="shared" si="23"/>
        <v>0</v>
      </c>
      <c r="AE34" s="293">
        <v>0</v>
      </c>
      <c r="AF34" s="324">
        <f t="shared" si="24"/>
        <v>0</v>
      </c>
      <c r="AG34" s="293">
        <f>(4*'[2]Table 5C1Q-Advantage'!AI34)+(4*'[3]Table 5C1Q-Advantage'!AI34)</f>
        <v>0</v>
      </c>
      <c r="AH34" s="293">
        <f t="shared" si="25"/>
        <v>0</v>
      </c>
      <c r="AI34" s="324">
        <f t="shared" si="6"/>
        <v>0</v>
      </c>
      <c r="AJ34" s="321">
        <f t="shared" si="26"/>
        <v>0</v>
      </c>
      <c r="AK34" s="342">
        <f t="shared" si="27"/>
        <v>0</v>
      </c>
      <c r="AM34" s="286">
        <v>0</v>
      </c>
      <c r="AN34" s="286">
        <f t="shared" si="28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v>0</v>
      </c>
      <c r="D35" s="201">
        <f>+'Table 5C1A-Madison Prep'!D35</f>
        <v>3839.0123210173724</v>
      </c>
      <c r="E35" s="202">
        <f t="shared" si="8"/>
        <v>0</v>
      </c>
      <c r="F35" s="202">
        <f>+'Table 5C1A-Madison Prep'!F35</f>
        <v>754.94999999999993</v>
      </c>
      <c r="G35" s="202">
        <f t="shared" si="9"/>
        <v>0</v>
      </c>
      <c r="H35" s="345">
        <f t="shared" si="10"/>
        <v>0</v>
      </c>
      <c r="I35" s="203">
        <f>'[1]Oct midyear Advantage'!K32</f>
        <v>0</v>
      </c>
      <c r="J35" s="203">
        <f>'[1]Feb midyear Advantage'!K32</f>
        <v>0</v>
      </c>
      <c r="K35" s="204">
        <f t="shared" si="11"/>
        <v>0</v>
      </c>
      <c r="L35" s="345">
        <f t="shared" si="12"/>
        <v>0</v>
      </c>
      <c r="M35" s="286">
        <f t="shared" si="4"/>
        <v>0</v>
      </c>
      <c r="N35" s="345">
        <f t="shared" si="13"/>
        <v>0</v>
      </c>
      <c r="O35" s="201">
        <v>0</v>
      </c>
      <c r="P35" s="351">
        <f t="shared" si="14"/>
        <v>0</v>
      </c>
      <c r="Q35" s="203">
        <f>(4*'[2]Table 5C1Q-Advantage'!S35)+(4*'[3]Table 5C1Q-Advantage'!S35)</f>
        <v>0</v>
      </c>
      <c r="R35" s="203">
        <f t="shared" si="15"/>
        <v>0</v>
      </c>
      <c r="S35" s="351">
        <f t="shared" si="5"/>
        <v>0</v>
      </c>
      <c r="T35" s="351">
        <f t="shared" si="16"/>
        <v>0</v>
      </c>
      <c r="U35" s="287">
        <f>'Table 5C1A-Madison Prep'!U35</f>
        <v>5046</v>
      </c>
      <c r="V35" s="328">
        <f t="shared" si="17"/>
        <v>0</v>
      </c>
      <c r="W35" s="289">
        <f>'[1]Oct midyear Advantage'!E32</f>
        <v>0</v>
      </c>
      <c r="X35" s="290">
        <f t="shared" si="18"/>
        <v>0</v>
      </c>
      <c r="Y35" s="289">
        <f>'[1]Feb midyear Advantage'!E32</f>
        <v>0</v>
      </c>
      <c r="Z35" s="290">
        <f t="shared" si="19"/>
        <v>0</v>
      </c>
      <c r="AA35" s="288">
        <f t="shared" si="20"/>
        <v>0</v>
      </c>
      <c r="AB35" s="324">
        <f t="shared" si="21"/>
        <v>0</v>
      </c>
      <c r="AC35" s="292">
        <f t="shared" si="22"/>
        <v>0</v>
      </c>
      <c r="AD35" s="324">
        <f t="shared" si="23"/>
        <v>0</v>
      </c>
      <c r="AE35" s="293">
        <v>0</v>
      </c>
      <c r="AF35" s="324">
        <f t="shared" si="24"/>
        <v>0</v>
      </c>
      <c r="AG35" s="293">
        <f>(4*'[2]Table 5C1Q-Advantage'!AI35)+(4*'[3]Table 5C1Q-Advantage'!AI35)</f>
        <v>0</v>
      </c>
      <c r="AH35" s="293">
        <f t="shared" si="25"/>
        <v>0</v>
      </c>
      <c r="AI35" s="324">
        <f t="shared" si="6"/>
        <v>0</v>
      </c>
      <c r="AJ35" s="321">
        <f t="shared" si="26"/>
        <v>0</v>
      </c>
      <c r="AK35" s="342">
        <f t="shared" si="27"/>
        <v>0</v>
      </c>
      <c r="AM35" s="286">
        <v>0</v>
      </c>
      <c r="AN35" s="286">
        <f t="shared" si="28"/>
        <v>0</v>
      </c>
      <c r="AO35" s="286">
        <f t="shared" ref="AO35:AO75" si="29">+AN35-AM35</f>
        <v>0</v>
      </c>
    </row>
    <row r="36" spans="1:41" ht="16.149999999999999" customHeight="1">
      <c r="A36" s="191">
        <v>30</v>
      </c>
      <c r="B36" s="192" t="s">
        <v>102</v>
      </c>
      <c r="C36" s="996">
        <v>0</v>
      </c>
      <c r="D36" s="194">
        <f>+'Table 5C1A-Madison Prep'!D36</f>
        <v>5804.5327273996763</v>
      </c>
      <c r="E36" s="195">
        <f t="shared" si="8"/>
        <v>0</v>
      </c>
      <c r="F36" s="195">
        <f>+'Table 5C1A-Madison Prep'!F36</f>
        <v>727.17</v>
      </c>
      <c r="G36" s="195">
        <f t="shared" si="9"/>
        <v>0</v>
      </c>
      <c r="H36" s="346">
        <f t="shared" si="10"/>
        <v>0</v>
      </c>
      <c r="I36" s="196">
        <f>'[1]Oct midyear Advantage'!K33</f>
        <v>0</v>
      </c>
      <c r="J36" s="196">
        <f>'[1]Feb midyear Advantage'!K33</f>
        <v>0</v>
      </c>
      <c r="K36" s="197">
        <f t="shared" si="11"/>
        <v>0</v>
      </c>
      <c r="L36" s="346">
        <f t="shared" si="12"/>
        <v>0</v>
      </c>
      <c r="M36" s="296">
        <f t="shared" si="4"/>
        <v>0</v>
      </c>
      <c r="N36" s="346">
        <f t="shared" si="13"/>
        <v>0</v>
      </c>
      <c r="O36" s="194">
        <v>0</v>
      </c>
      <c r="P36" s="352">
        <f t="shared" si="14"/>
        <v>0</v>
      </c>
      <c r="Q36" s="196">
        <f>(4*'[2]Table 5C1Q-Advantage'!S36)+(4*'[3]Table 5C1Q-Advantage'!S36)</f>
        <v>0</v>
      </c>
      <c r="R36" s="196">
        <f t="shared" si="15"/>
        <v>0</v>
      </c>
      <c r="S36" s="352">
        <f t="shared" si="5"/>
        <v>0</v>
      </c>
      <c r="T36" s="352">
        <f t="shared" si="16"/>
        <v>0</v>
      </c>
      <c r="U36" s="281">
        <f>'Table 5C1A-Madison Prep'!U36</f>
        <v>3999</v>
      </c>
      <c r="V36" s="329">
        <f t="shared" si="17"/>
        <v>0</v>
      </c>
      <c r="W36" s="884">
        <f>'[1]Oct midyear Advantage'!E33</f>
        <v>0</v>
      </c>
      <c r="X36" s="282">
        <f t="shared" si="18"/>
        <v>0</v>
      </c>
      <c r="Y36" s="884">
        <f>'[1]Feb midyear Advantage'!E33</f>
        <v>0</v>
      </c>
      <c r="Z36" s="282">
        <f t="shared" si="19"/>
        <v>0</v>
      </c>
      <c r="AA36" s="283">
        <f t="shared" si="20"/>
        <v>0</v>
      </c>
      <c r="AB36" s="325">
        <f t="shared" si="21"/>
        <v>0</v>
      </c>
      <c r="AC36" s="298">
        <f t="shared" si="22"/>
        <v>0</v>
      </c>
      <c r="AD36" s="325">
        <f t="shared" si="23"/>
        <v>0</v>
      </c>
      <c r="AE36" s="284">
        <v>0</v>
      </c>
      <c r="AF36" s="325">
        <f t="shared" si="24"/>
        <v>0</v>
      </c>
      <c r="AG36" s="284">
        <f>(4*'[2]Table 5C1Q-Advantage'!AI36)+(4*'[3]Table 5C1Q-Advantage'!AI36)</f>
        <v>0</v>
      </c>
      <c r="AH36" s="284">
        <f t="shared" si="25"/>
        <v>0</v>
      </c>
      <c r="AI36" s="325">
        <f t="shared" si="6"/>
        <v>0</v>
      </c>
      <c r="AJ36" s="338">
        <f t="shared" si="26"/>
        <v>0</v>
      </c>
      <c r="AK36" s="343">
        <f t="shared" si="27"/>
        <v>0</v>
      </c>
      <c r="AM36" s="296">
        <v>0</v>
      </c>
      <c r="AN36" s="296">
        <f t="shared" si="28"/>
        <v>0</v>
      </c>
      <c r="AO36" s="296">
        <f t="shared" si="29"/>
        <v>0</v>
      </c>
    </row>
    <row r="37" spans="1:41" ht="16.149999999999999" customHeight="1">
      <c r="A37" s="205">
        <v>31</v>
      </c>
      <c r="B37" s="206" t="s">
        <v>103</v>
      </c>
      <c r="C37" s="994">
        <v>0</v>
      </c>
      <c r="D37" s="208">
        <f>+'Table 5C1A-Madison Prep'!D37</f>
        <v>4520.6176716868531</v>
      </c>
      <c r="E37" s="209">
        <f t="shared" si="8"/>
        <v>0</v>
      </c>
      <c r="F37" s="209">
        <f>+'Table 5C1A-Madison Prep'!F37</f>
        <v>620.83000000000004</v>
      </c>
      <c r="G37" s="209">
        <f t="shared" si="9"/>
        <v>0</v>
      </c>
      <c r="H37" s="344">
        <f t="shared" si="10"/>
        <v>0</v>
      </c>
      <c r="I37" s="210">
        <f>'[1]Oct midyear Advantage'!K34</f>
        <v>0</v>
      </c>
      <c r="J37" s="210">
        <f>'[1]Feb midyear Advantage'!K34</f>
        <v>0</v>
      </c>
      <c r="K37" s="211">
        <f t="shared" si="11"/>
        <v>0</v>
      </c>
      <c r="L37" s="344">
        <f t="shared" si="12"/>
        <v>0</v>
      </c>
      <c r="M37" s="273">
        <f t="shared" si="4"/>
        <v>0</v>
      </c>
      <c r="N37" s="344">
        <f t="shared" si="13"/>
        <v>0</v>
      </c>
      <c r="O37" s="208">
        <v>0</v>
      </c>
      <c r="P37" s="350">
        <f t="shared" si="14"/>
        <v>0</v>
      </c>
      <c r="Q37" s="210">
        <f>(4*'[2]Table 5C1Q-Advantage'!S37)+(4*'[3]Table 5C1Q-Advantage'!S37)</f>
        <v>0</v>
      </c>
      <c r="R37" s="210">
        <f t="shared" si="15"/>
        <v>0</v>
      </c>
      <c r="S37" s="350">
        <f t="shared" si="5"/>
        <v>0</v>
      </c>
      <c r="T37" s="350">
        <f t="shared" si="16"/>
        <v>0</v>
      </c>
      <c r="U37" s="274">
        <f>'Table 5C1A-Madison Prep'!U37</f>
        <v>5028</v>
      </c>
      <c r="V37" s="327">
        <f t="shared" si="17"/>
        <v>0</v>
      </c>
      <c r="W37" s="883">
        <f>'[1]Oct midyear Advantage'!E34</f>
        <v>0</v>
      </c>
      <c r="X37" s="276">
        <f t="shared" si="18"/>
        <v>0</v>
      </c>
      <c r="Y37" s="883">
        <f>'[1]Feb midyear Advantage'!E34</f>
        <v>0</v>
      </c>
      <c r="Z37" s="276">
        <f t="shared" si="19"/>
        <v>0</v>
      </c>
      <c r="AA37" s="275">
        <f t="shared" si="20"/>
        <v>0</v>
      </c>
      <c r="AB37" s="323">
        <f t="shared" si="21"/>
        <v>0</v>
      </c>
      <c r="AC37" s="278">
        <f t="shared" si="22"/>
        <v>0</v>
      </c>
      <c r="AD37" s="323">
        <f t="shared" si="23"/>
        <v>0</v>
      </c>
      <c r="AE37" s="279">
        <v>0</v>
      </c>
      <c r="AF37" s="323">
        <f t="shared" si="24"/>
        <v>0</v>
      </c>
      <c r="AG37" s="279">
        <f>(4*'[2]Table 5C1Q-Advantage'!AI37)+(4*'[3]Table 5C1Q-Advantage'!AI37)</f>
        <v>0</v>
      </c>
      <c r="AH37" s="279">
        <f t="shared" si="25"/>
        <v>0</v>
      </c>
      <c r="AI37" s="323">
        <f t="shared" si="6"/>
        <v>0</v>
      </c>
      <c r="AJ37" s="337">
        <f t="shared" si="26"/>
        <v>0</v>
      </c>
      <c r="AK37" s="341">
        <f t="shared" si="27"/>
        <v>0</v>
      </c>
      <c r="AM37" s="273">
        <v>0</v>
      </c>
      <c r="AN37" s="273">
        <f t="shared" si="28"/>
        <v>0</v>
      </c>
      <c r="AO37" s="273">
        <f t="shared" si="29"/>
        <v>0</v>
      </c>
    </row>
    <row r="38" spans="1:41" ht="16.149999999999999" customHeight="1">
      <c r="A38" s="198">
        <v>32</v>
      </c>
      <c r="B38" s="199" t="s">
        <v>104</v>
      </c>
      <c r="C38" s="995">
        <v>0</v>
      </c>
      <c r="D38" s="201">
        <f>+'Table 5C1A-Madison Prep'!D38</f>
        <v>5652.819189061127</v>
      </c>
      <c r="E38" s="202">
        <f t="shared" si="8"/>
        <v>0</v>
      </c>
      <c r="F38" s="202">
        <f>+'Table 5C1A-Madison Prep'!F38</f>
        <v>559.77</v>
      </c>
      <c r="G38" s="202">
        <f t="shared" si="9"/>
        <v>0</v>
      </c>
      <c r="H38" s="345">
        <f t="shared" si="10"/>
        <v>0</v>
      </c>
      <c r="I38" s="203">
        <f>'[1]Oct midyear Advantage'!K35</f>
        <v>0</v>
      </c>
      <c r="J38" s="203">
        <f>'[1]Feb midyear Advantage'!K35</f>
        <v>0</v>
      </c>
      <c r="K38" s="204">
        <f t="shared" si="11"/>
        <v>0</v>
      </c>
      <c r="L38" s="345">
        <f t="shared" si="12"/>
        <v>0</v>
      </c>
      <c r="M38" s="286">
        <f t="shared" si="4"/>
        <v>0</v>
      </c>
      <c r="N38" s="345">
        <f t="shared" si="13"/>
        <v>0</v>
      </c>
      <c r="O38" s="201">
        <v>0</v>
      </c>
      <c r="P38" s="351">
        <f t="shared" si="14"/>
        <v>0</v>
      </c>
      <c r="Q38" s="203">
        <f>(4*'[2]Table 5C1Q-Advantage'!S38)+(4*'[3]Table 5C1Q-Advantage'!S38)</f>
        <v>0</v>
      </c>
      <c r="R38" s="203">
        <f t="shared" si="15"/>
        <v>0</v>
      </c>
      <c r="S38" s="351">
        <f t="shared" si="5"/>
        <v>0</v>
      </c>
      <c r="T38" s="351">
        <f t="shared" si="16"/>
        <v>0</v>
      </c>
      <c r="U38" s="287">
        <f>'Table 5C1A-Madison Prep'!U38</f>
        <v>2139</v>
      </c>
      <c r="V38" s="328">
        <f t="shared" si="17"/>
        <v>0</v>
      </c>
      <c r="W38" s="289">
        <f>'[1]Oct midyear Advantage'!E35</f>
        <v>0</v>
      </c>
      <c r="X38" s="290">
        <f t="shared" si="18"/>
        <v>0</v>
      </c>
      <c r="Y38" s="289">
        <f>'[1]Feb midyear Advantage'!E35</f>
        <v>0</v>
      </c>
      <c r="Z38" s="290">
        <f t="shared" si="19"/>
        <v>0</v>
      </c>
      <c r="AA38" s="288">
        <f t="shared" si="20"/>
        <v>0</v>
      </c>
      <c r="AB38" s="324">
        <f t="shared" si="21"/>
        <v>0</v>
      </c>
      <c r="AC38" s="292">
        <f t="shared" si="22"/>
        <v>0</v>
      </c>
      <c r="AD38" s="324">
        <f t="shared" si="23"/>
        <v>0</v>
      </c>
      <c r="AE38" s="293">
        <v>0</v>
      </c>
      <c r="AF38" s="324">
        <f t="shared" si="24"/>
        <v>0</v>
      </c>
      <c r="AG38" s="293">
        <f>(4*'[2]Table 5C1Q-Advantage'!AI38)+(4*'[3]Table 5C1Q-Advantage'!AI38)</f>
        <v>0</v>
      </c>
      <c r="AH38" s="293">
        <f t="shared" si="25"/>
        <v>0</v>
      </c>
      <c r="AI38" s="324">
        <f t="shared" si="6"/>
        <v>0</v>
      </c>
      <c r="AJ38" s="321">
        <f t="shared" si="26"/>
        <v>0</v>
      </c>
      <c r="AK38" s="342">
        <f t="shared" si="27"/>
        <v>0</v>
      </c>
      <c r="AM38" s="286">
        <v>0</v>
      </c>
      <c r="AN38" s="286">
        <f t="shared" si="28"/>
        <v>0</v>
      </c>
      <c r="AO38" s="286">
        <f t="shared" si="29"/>
        <v>0</v>
      </c>
    </row>
    <row r="39" spans="1:41" ht="16.149999999999999" customHeight="1">
      <c r="A39" s="198">
        <v>33</v>
      </c>
      <c r="B39" s="199" t="s">
        <v>105</v>
      </c>
      <c r="C39" s="995">
        <v>0</v>
      </c>
      <c r="D39" s="201">
        <f>+'Table 5C1A-Madison Prep'!D39</f>
        <v>5456.2254558085233</v>
      </c>
      <c r="E39" s="202">
        <f t="shared" si="8"/>
        <v>0</v>
      </c>
      <c r="F39" s="202">
        <f>+'Table 5C1A-Madison Prep'!F39</f>
        <v>655.31000000000006</v>
      </c>
      <c r="G39" s="202">
        <f t="shared" si="9"/>
        <v>0</v>
      </c>
      <c r="H39" s="345">
        <f t="shared" si="10"/>
        <v>0</v>
      </c>
      <c r="I39" s="203">
        <f>'[1]Oct midyear Advantage'!K36</f>
        <v>0</v>
      </c>
      <c r="J39" s="203">
        <f>'[1]Feb midyear Advantage'!K36</f>
        <v>0</v>
      </c>
      <c r="K39" s="204">
        <f t="shared" si="11"/>
        <v>0</v>
      </c>
      <c r="L39" s="345">
        <f t="shared" si="12"/>
        <v>0</v>
      </c>
      <c r="M39" s="286">
        <f t="shared" si="4"/>
        <v>0</v>
      </c>
      <c r="N39" s="345">
        <f t="shared" si="13"/>
        <v>0</v>
      </c>
      <c r="O39" s="201">
        <v>0</v>
      </c>
      <c r="P39" s="351">
        <f t="shared" si="14"/>
        <v>0</v>
      </c>
      <c r="Q39" s="203">
        <f>(4*'[2]Table 5C1Q-Advantage'!S39)+(4*'[3]Table 5C1Q-Advantage'!S39)</f>
        <v>0</v>
      </c>
      <c r="R39" s="203">
        <f t="shared" si="15"/>
        <v>0</v>
      </c>
      <c r="S39" s="351">
        <f t="shared" ref="S39:S70" si="30">ROUND(R39/$S$88,0)</f>
        <v>0</v>
      </c>
      <c r="T39" s="351">
        <f t="shared" si="16"/>
        <v>0</v>
      </c>
      <c r="U39" s="287">
        <f>'Table 5C1A-Madison Prep'!U39</f>
        <v>3784</v>
      </c>
      <c r="V39" s="328">
        <f t="shared" si="17"/>
        <v>0</v>
      </c>
      <c r="W39" s="289">
        <f>'[1]Oct midyear Advantage'!E36</f>
        <v>0</v>
      </c>
      <c r="X39" s="290">
        <f t="shared" si="18"/>
        <v>0</v>
      </c>
      <c r="Y39" s="289">
        <f>'[1]Feb midyear Advantage'!E36</f>
        <v>0</v>
      </c>
      <c r="Z39" s="290">
        <f t="shared" si="19"/>
        <v>0</v>
      </c>
      <c r="AA39" s="288">
        <f t="shared" si="20"/>
        <v>0</v>
      </c>
      <c r="AB39" s="324">
        <f t="shared" si="21"/>
        <v>0</v>
      </c>
      <c r="AC39" s="292">
        <f t="shared" si="22"/>
        <v>0</v>
      </c>
      <c r="AD39" s="324">
        <f t="shared" si="23"/>
        <v>0</v>
      </c>
      <c r="AE39" s="293">
        <v>0</v>
      </c>
      <c r="AF39" s="324">
        <f t="shared" si="24"/>
        <v>0</v>
      </c>
      <c r="AG39" s="293">
        <f>(4*'[2]Table 5C1Q-Advantage'!AI39)+(4*'[3]Table 5C1Q-Advantage'!AI39)</f>
        <v>0</v>
      </c>
      <c r="AH39" s="293">
        <f t="shared" si="25"/>
        <v>0</v>
      </c>
      <c r="AI39" s="324">
        <f t="shared" ref="AI39:AI70" si="31">ROUND(AH39/$AI$88,0)</f>
        <v>0</v>
      </c>
      <c r="AJ39" s="321">
        <f t="shared" si="26"/>
        <v>0</v>
      </c>
      <c r="AK39" s="342">
        <f t="shared" si="27"/>
        <v>0</v>
      </c>
      <c r="AM39" s="286">
        <v>0</v>
      </c>
      <c r="AN39" s="286">
        <f t="shared" si="28"/>
        <v>0</v>
      </c>
      <c r="AO39" s="286">
        <f t="shared" si="29"/>
        <v>0</v>
      </c>
    </row>
    <row r="40" spans="1:41" ht="16.149999999999999" customHeight="1">
      <c r="A40" s="198">
        <v>34</v>
      </c>
      <c r="B40" s="199" t="s">
        <v>106</v>
      </c>
      <c r="C40" s="995">
        <v>0</v>
      </c>
      <c r="D40" s="201">
        <f>+'Table 5C1A-Madison Prep'!D40</f>
        <v>6292.0976842789005</v>
      </c>
      <c r="E40" s="202">
        <f t="shared" si="8"/>
        <v>0</v>
      </c>
      <c r="F40" s="202">
        <f>+'Table 5C1A-Madison Prep'!F40</f>
        <v>644.11000000000013</v>
      </c>
      <c r="G40" s="202">
        <f t="shared" si="9"/>
        <v>0</v>
      </c>
      <c r="H40" s="345">
        <f t="shared" si="10"/>
        <v>0</v>
      </c>
      <c r="I40" s="203">
        <f>'[1]Oct midyear Advantage'!K37</f>
        <v>0</v>
      </c>
      <c r="J40" s="203">
        <f>'[1]Feb midyear Advantage'!K37</f>
        <v>0</v>
      </c>
      <c r="K40" s="204">
        <f t="shared" si="11"/>
        <v>0</v>
      </c>
      <c r="L40" s="345">
        <f t="shared" si="12"/>
        <v>0</v>
      </c>
      <c r="M40" s="286">
        <f t="shared" si="4"/>
        <v>0</v>
      </c>
      <c r="N40" s="345">
        <f t="shared" si="13"/>
        <v>0</v>
      </c>
      <c r="O40" s="201">
        <v>0</v>
      </c>
      <c r="P40" s="351">
        <f t="shared" si="14"/>
        <v>0</v>
      </c>
      <c r="Q40" s="203">
        <f>(4*'[2]Table 5C1Q-Advantage'!S40)+(4*'[3]Table 5C1Q-Advantage'!S40)</f>
        <v>0</v>
      </c>
      <c r="R40" s="203">
        <f t="shared" si="15"/>
        <v>0</v>
      </c>
      <c r="S40" s="351">
        <f t="shared" si="30"/>
        <v>0</v>
      </c>
      <c r="T40" s="351">
        <f t="shared" si="16"/>
        <v>0</v>
      </c>
      <c r="U40" s="287">
        <f>'Table 5C1A-Madison Prep'!U40</f>
        <v>2911</v>
      </c>
      <c r="V40" s="328">
        <f t="shared" si="17"/>
        <v>0</v>
      </c>
      <c r="W40" s="289">
        <f>'[1]Oct midyear Advantage'!E37</f>
        <v>0</v>
      </c>
      <c r="X40" s="290">
        <f t="shared" si="18"/>
        <v>0</v>
      </c>
      <c r="Y40" s="289">
        <f>'[1]Feb midyear Advantage'!E37</f>
        <v>0</v>
      </c>
      <c r="Z40" s="290">
        <f t="shared" si="19"/>
        <v>0</v>
      </c>
      <c r="AA40" s="288">
        <f t="shared" si="20"/>
        <v>0</v>
      </c>
      <c r="AB40" s="324">
        <f t="shared" si="21"/>
        <v>0</v>
      </c>
      <c r="AC40" s="292">
        <f t="shared" si="22"/>
        <v>0</v>
      </c>
      <c r="AD40" s="324">
        <f t="shared" si="23"/>
        <v>0</v>
      </c>
      <c r="AE40" s="293">
        <v>0</v>
      </c>
      <c r="AF40" s="324">
        <f t="shared" si="24"/>
        <v>0</v>
      </c>
      <c r="AG40" s="293">
        <f>(4*'[2]Table 5C1Q-Advantage'!AI40)+(4*'[3]Table 5C1Q-Advantage'!AI40)</f>
        <v>0</v>
      </c>
      <c r="AH40" s="293">
        <f t="shared" si="25"/>
        <v>0</v>
      </c>
      <c r="AI40" s="324">
        <f t="shared" si="31"/>
        <v>0</v>
      </c>
      <c r="AJ40" s="321">
        <f t="shared" si="26"/>
        <v>0</v>
      </c>
      <c r="AK40" s="342">
        <f t="shared" si="27"/>
        <v>0</v>
      </c>
      <c r="AM40" s="286">
        <v>0</v>
      </c>
      <c r="AN40" s="286">
        <f t="shared" si="28"/>
        <v>0</v>
      </c>
      <c r="AO40" s="286">
        <f t="shared" si="29"/>
        <v>0</v>
      </c>
    </row>
    <row r="41" spans="1:41" ht="16.149999999999999" customHeight="1">
      <c r="A41" s="191">
        <v>35</v>
      </c>
      <c r="B41" s="192" t="s">
        <v>107</v>
      </c>
      <c r="C41" s="996">
        <v>0</v>
      </c>
      <c r="D41" s="194">
        <f>+'Table 5C1A-Madison Prep'!D41</f>
        <v>5166.2482060477605</v>
      </c>
      <c r="E41" s="195">
        <f t="shared" si="8"/>
        <v>0</v>
      </c>
      <c r="F41" s="195">
        <f>+'Table 5C1A-Madison Prep'!F41</f>
        <v>537.96</v>
      </c>
      <c r="G41" s="195">
        <f t="shared" si="9"/>
        <v>0</v>
      </c>
      <c r="H41" s="346">
        <f t="shared" si="10"/>
        <v>0</v>
      </c>
      <c r="I41" s="196">
        <f>'[1]Oct midyear Advantage'!K38</f>
        <v>0</v>
      </c>
      <c r="J41" s="196">
        <f>'[1]Feb midyear Advantage'!K38</f>
        <v>0</v>
      </c>
      <c r="K41" s="197">
        <f t="shared" si="11"/>
        <v>0</v>
      </c>
      <c r="L41" s="346">
        <f t="shared" si="12"/>
        <v>0</v>
      </c>
      <c r="M41" s="296">
        <f t="shared" si="4"/>
        <v>0</v>
      </c>
      <c r="N41" s="346">
        <f t="shared" si="13"/>
        <v>0</v>
      </c>
      <c r="O41" s="194">
        <v>0</v>
      </c>
      <c r="P41" s="352">
        <f t="shared" si="14"/>
        <v>0</v>
      </c>
      <c r="Q41" s="196">
        <f>(4*'[2]Table 5C1Q-Advantage'!S41)+(4*'[3]Table 5C1Q-Advantage'!S41)</f>
        <v>0</v>
      </c>
      <c r="R41" s="196">
        <f t="shared" si="15"/>
        <v>0</v>
      </c>
      <c r="S41" s="352">
        <f t="shared" si="30"/>
        <v>0</v>
      </c>
      <c r="T41" s="352">
        <f t="shared" si="16"/>
        <v>0</v>
      </c>
      <c r="U41" s="281">
        <f>'Table 5C1A-Madison Prep'!U41</f>
        <v>3337</v>
      </c>
      <c r="V41" s="329">
        <f t="shared" si="17"/>
        <v>0</v>
      </c>
      <c r="W41" s="884">
        <f>'[1]Oct midyear Advantage'!E38</f>
        <v>0</v>
      </c>
      <c r="X41" s="282">
        <f t="shared" si="18"/>
        <v>0</v>
      </c>
      <c r="Y41" s="884">
        <f>'[1]Feb midyear Advantage'!E38</f>
        <v>0</v>
      </c>
      <c r="Z41" s="282">
        <f t="shared" si="19"/>
        <v>0</v>
      </c>
      <c r="AA41" s="283">
        <f t="shared" si="20"/>
        <v>0</v>
      </c>
      <c r="AB41" s="325">
        <f t="shared" si="21"/>
        <v>0</v>
      </c>
      <c r="AC41" s="298">
        <f t="shared" si="22"/>
        <v>0</v>
      </c>
      <c r="AD41" s="325">
        <f t="shared" si="23"/>
        <v>0</v>
      </c>
      <c r="AE41" s="284">
        <v>0</v>
      </c>
      <c r="AF41" s="325">
        <f t="shared" si="24"/>
        <v>0</v>
      </c>
      <c r="AG41" s="284">
        <f>(4*'[2]Table 5C1Q-Advantage'!AI41)+(4*'[3]Table 5C1Q-Advantage'!AI41)</f>
        <v>0</v>
      </c>
      <c r="AH41" s="284">
        <f t="shared" si="25"/>
        <v>0</v>
      </c>
      <c r="AI41" s="325">
        <f t="shared" si="31"/>
        <v>0</v>
      </c>
      <c r="AJ41" s="338">
        <f t="shared" si="26"/>
        <v>0</v>
      </c>
      <c r="AK41" s="343">
        <f t="shared" si="27"/>
        <v>0</v>
      </c>
      <c r="AM41" s="296">
        <v>0</v>
      </c>
      <c r="AN41" s="296">
        <f t="shared" si="28"/>
        <v>0</v>
      </c>
      <c r="AO41" s="296">
        <f t="shared" si="29"/>
        <v>0</v>
      </c>
    </row>
    <row r="42" spans="1:41" ht="16.149999999999999" customHeight="1">
      <c r="A42" s="205">
        <v>36</v>
      </c>
      <c r="B42" s="206" t="s">
        <v>108</v>
      </c>
      <c r="C42" s="994">
        <v>0</v>
      </c>
      <c r="D42" s="208">
        <f>+'Table 5C1A-Madison Prep'!D42</f>
        <v>3602.7009974327857</v>
      </c>
      <c r="E42" s="209">
        <f t="shared" si="8"/>
        <v>0</v>
      </c>
      <c r="F42" s="209">
        <f>+'Table 5C1A-Madison Prep'!F42</f>
        <v>746.0335616438357</v>
      </c>
      <c r="G42" s="209">
        <f t="shared" si="9"/>
        <v>0</v>
      </c>
      <c r="H42" s="344">
        <f t="shared" si="10"/>
        <v>0</v>
      </c>
      <c r="I42" s="210">
        <f>'[1]Oct midyear Advantage'!K39</f>
        <v>0</v>
      </c>
      <c r="J42" s="210">
        <f>'[1]Feb midyear Advantage'!K39</f>
        <v>0</v>
      </c>
      <c r="K42" s="211">
        <f t="shared" si="11"/>
        <v>0</v>
      </c>
      <c r="L42" s="344">
        <f t="shared" si="12"/>
        <v>0</v>
      </c>
      <c r="M42" s="273">
        <f t="shared" si="4"/>
        <v>0</v>
      </c>
      <c r="N42" s="344">
        <f t="shared" si="13"/>
        <v>0</v>
      </c>
      <c r="O42" s="208">
        <v>0</v>
      </c>
      <c r="P42" s="350">
        <f t="shared" si="14"/>
        <v>0</v>
      </c>
      <c r="Q42" s="210">
        <f>(4*'[2]Table 5C1Q-Advantage'!S42)+(4*'[3]Table 5C1Q-Advantage'!S42)</f>
        <v>0</v>
      </c>
      <c r="R42" s="210">
        <f t="shared" si="15"/>
        <v>0</v>
      </c>
      <c r="S42" s="350">
        <f t="shared" si="30"/>
        <v>0</v>
      </c>
      <c r="T42" s="350">
        <f t="shared" si="16"/>
        <v>0</v>
      </c>
      <c r="U42" s="274">
        <f>'Table 5C1A-Madison Prep'!U42</f>
        <v>5469</v>
      </c>
      <c r="V42" s="327">
        <f t="shared" si="17"/>
        <v>0</v>
      </c>
      <c r="W42" s="883">
        <f>'[1]Oct midyear Advantage'!E39</f>
        <v>0</v>
      </c>
      <c r="X42" s="276">
        <f t="shared" si="18"/>
        <v>0</v>
      </c>
      <c r="Y42" s="883">
        <f>'[1]Feb midyear Advantage'!E39</f>
        <v>0</v>
      </c>
      <c r="Z42" s="276">
        <f t="shared" si="19"/>
        <v>0</v>
      </c>
      <c r="AA42" s="275">
        <f t="shared" si="20"/>
        <v>0</v>
      </c>
      <c r="AB42" s="323">
        <f t="shared" si="21"/>
        <v>0</v>
      </c>
      <c r="AC42" s="278">
        <f t="shared" si="22"/>
        <v>0</v>
      </c>
      <c r="AD42" s="323">
        <f t="shared" si="23"/>
        <v>0</v>
      </c>
      <c r="AE42" s="279">
        <v>0</v>
      </c>
      <c r="AF42" s="323">
        <f t="shared" si="24"/>
        <v>0</v>
      </c>
      <c r="AG42" s="279">
        <f>(4*'[2]Table 5C1Q-Advantage'!AI42)+(4*'[3]Table 5C1Q-Advantage'!AI42)</f>
        <v>0</v>
      </c>
      <c r="AH42" s="279">
        <f t="shared" si="25"/>
        <v>0</v>
      </c>
      <c r="AI42" s="323">
        <f t="shared" si="31"/>
        <v>0</v>
      </c>
      <c r="AJ42" s="337">
        <f t="shared" si="26"/>
        <v>0</v>
      </c>
      <c r="AK42" s="341">
        <f t="shared" si="27"/>
        <v>0</v>
      </c>
      <c r="AM42" s="273">
        <v>0</v>
      </c>
      <c r="AN42" s="273">
        <f t="shared" si="28"/>
        <v>0</v>
      </c>
      <c r="AO42" s="273">
        <f t="shared" si="29"/>
        <v>0</v>
      </c>
    </row>
    <row r="43" spans="1:41" ht="16.149999999999999" customHeight="1">
      <c r="A43" s="198">
        <v>37</v>
      </c>
      <c r="B43" s="199" t="s">
        <v>109</v>
      </c>
      <c r="C43" s="995">
        <v>0</v>
      </c>
      <c r="D43" s="201">
        <f>+'Table 5C1A-Madison Prep'!D43</f>
        <v>5665.3839260317691</v>
      </c>
      <c r="E43" s="202">
        <f t="shared" si="8"/>
        <v>0</v>
      </c>
      <c r="F43" s="202">
        <f>+'Table 5C1A-Madison Prep'!F43</f>
        <v>653.61</v>
      </c>
      <c r="G43" s="202">
        <f t="shared" si="9"/>
        <v>0</v>
      </c>
      <c r="H43" s="345">
        <f t="shared" si="10"/>
        <v>0</v>
      </c>
      <c r="I43" s="203">
        <f>'[1]Oct midyear Advantage'!K40</f>
        <v>0</v>
      </c>
      <c r="J43" s="203">
        <f>'[1]Feb midyear Advantage'!K40</f>
        <v>0</v>
      </c>
      <c r="K43" s="204">
        <f t="shared" si="11"/>
        <v>0</v>
      </c>
      <c r="L43" s="345">
        <f t="shared" si="12"/>
        <v>0</v>
      </c>
      <c r="M43" s="286">
        <f t="shared" si="4"/>
        <v>0</v>
      </c>
      <c r="N43" s="345">
        <f t="shared" si="13"/>
        <v>0</v>
      </c>
      <c r="O43" s="201">
        <v>0</v>
      </c>
      <c r="P43" s="351">
        <f t="shared" si="14"/>
        <v>0</v>
      </c>
      <c r="Q43" s="203">
        <f>(4*'[2]Table 5C1Q-Advantage'!S43)+(4*'[3]Table 5C1Q-Advantage'!S43)</f>
        <v>0</v>
      </c>
      <c r="R43" s="203">
        <f t="shared" si="15"/>
        <v>0</v>
      </c>
      <c r="S43" s="351">
        <f t="shared" si="30"/>
        <v>0</v>
      </c>
      <c r="T43" s="351">
        <f t="shared" si="16"/>
        <v>0</v>
      </c>
      <c r="U43" s="287">
        <f>'Table 5C1A-Madison Prep'!U43</f>
        <v>3424</v>
      </c>
      <c r="V43" s="328">
        <f t="shared" si="17"/>
        <v>0</v>
      </c>
      <c r="W43" s="289">
        <f>'[1]Oct midyear Advantage'!E40</f>
        <v>0</v>
      </c>
      <c r="X43" s="290">
        <f t="shared" si="18"/>
        <v>0</v>
      </c>
      <c r="Y43" s="289">
        <f>'[1]Feb midyear Advantage'!E40</f>
        <v>0</v>
      </c>
      <c r="Z43" s="290">
        <f t="shared" si="19"/>
        <v>0</v>
      </c>
      <c r="AA43" s="288">
        <f t="shared" si="20"/>
        <v>0</v>
      </c>
      <c r="AB43" s="324">
        <f t="shared" si="21"/>
        <v>0</v>
      </c>
      <c r="AC43" s="292">
        <f t="shared" si="22"/>
        <v>0</v>
      </c>
      <c r="AD43" s="324">
        <f t="shared" si="23"/>
        <v>0</v>
      </c>
      <c r="AE43" s="293">
        <v>0</v>
      </c>
      <c r="AF43" s="324">
        <f t="shared" si="24"/>
        <v>0</v>
      </c>
      <c r="AG43" s="293">
        <f>(4*'[2]Table 5C1Q-Advantage'!AI43)+(4*'[3]Table 5C1Q-Advantage'!AI43)</f>
        <v>0</v>
      </c>
      <c r="AH43" s="293">
        <f t="shared" si="25"/>
        <v>0</v>
      </c>
      <c r="AI43" s="324">
        <f t="shared" si="31"/>
        <v>0</v>
      </c>
      <c r="AJ43" s="321">
        <f t="shared" si="26"/>
        <v>0</v>
      </c>
      <c r="AK43" s="342">
        <f t="shared" si="27"/>
        <v>0</v>
      </c>
      <c r="AM43" s="286">
        <v>0</v>
      </c>
      <c r="AN43" s="286">
        <f t="shared" si="28"/>
        <v>0</v>
      </c>
      <c r="AO43" s="286">
        <f t="shared" si="29"/>
        <v>0</v>
      </c>
    </row>
    <row r="44" spans="1:41" ht="16.149999999999999" customHeight="1">
      <c r="A44" s="198">
        <v>38</v>
      </c>
      <c r="B44" s="199" t="s">
        <v>110</v>
      </c>
      <c r="C44" s="995">
        <v>0</v>
      </c>
      <c r="D44" s="201">
        <f>+'Table 5C1A-Madison Prep'!D44</f>
        <v>2088.8017552916881</v>
      </c>
      <c r="E44" s="202">
        <f t="shared" si="8"/>
        <v>0</v>
      </c>
      <c r="F44" s="202">
        <f>+'Table 5C1A-Madison Prep'!F44</f>
        <v>829.92000000000007</v>
      </c>
      <c r="G44" s="202">
        <f t="shared" si="9"/>
        <v>0</v>
      </c>
      <c r="H44" s="345">
        <f t="shared" si="10"/>
        <v>0</v>
      </c>
      <c r="I44" s="203">
        <f>'[1]Oct midyear Advantage'!K41</f>
        <v>0</v>
      </c>
      <c r="J44" s="203">
        <f>'[1]Feb midyear Advantage'!K41</f>
        <v>0</v>
      </c>
      <c r="K44" s="204">
        <f t="shared" si="11"/>
        <v>0</v>
      </c>
      <c r="L44" s="345">
        <f t="shared" si="12"/>
        <v>0</v>
      </c>
      <c r="M44" s="286">
        <f t="shared" si="4"/>
        <v>0</v>
      </c>
      <c r="N44" s="345">
        <f t="shared" si="13"/>
        <v>0</v>
      </c>
      <c r="O44" s="201">
        <v>0</v>
      </c>
      <c r="P44" s="351">
        <f t="shared" si="14"/>
        <v>0</v>
      </c>
      <c r="Q44" s="203">
        <f>(4*'[2]Table 5C1Q-Advantage'!S44)+(4*'[3]Table 5C1Q-Advantage'!S44)</f>
        <v>0</v>
      </c>
      <c r="R44" s="203">
        <f t="shared" si="15"/>
        <v>0</v>
      </c>
      <c r="S44" s="351">
        <f t="shared" si="30"/>
        <v>0</v>
      </c>
      <c r="T44" s="351">
        <f t="shared" si="16"/>
        <v>0</v>
      </c>
      <c r="U44" s="287">
        <f>'Table 5C1A-Madison Prep'!U44</f>
        <v>11060</v>
      </c>
      <c r="V44" s="328">
        <f t="shared" si="17"/>
        <v>0</v>
      </c>
      <c r="W44" s="289">
        <f>'[1]Oct midyear Advantage'!E41</f>
        <v>0</v>
      </c>
      <c r="X44" s="290">
        <f t="shared" si="18"/>
        <v>0</v>
      </c>
      <c r="Y44" s="289">
        <f>'[1]Feb midyear Advantage'!E41</f>
        <v>0</v>
      </c>
      <c r="Z44" s="290">
        <f t="shared" si="19"/>
        <v>0</v>
      </c>
      <c r="AA44" s="288">
        <f t="shared" si="20"/>
        <v>0</v>
      </c>
      <c r="AB44" s="324">
        <f t="shared" si="21"/>
        <v>0</v>
      </c>
      <c r="AC44" s="292">
        <f t="shared" si="22"/>
        <v>0</v>
      </c>
      <c r="AD44" s="324">
        <f t="shared" si="23"/>
        <v>0</v>
      </c>
      <c r="AE44" s="293">
        <v>0</v>
      </c>
      <c r="AF44" s="324">
        <f t="shared" si="24"/>
        <v>0</v>
      </c>
      <c r="AG44" s="293">
        <f>(4*'[2]Table 5C1Q-Advantage'!AI44)+(4*'[3]Table 5C1Q-Advantage'!AI44)</f>
        <v>0</v>
      </c>
      <c r="AH44" s="293">
        <f t="shared" si="25"/>
        <v>0</v>
      </c>
      <c r="AI44" s="324">
        <f t="shared" si="31"/>
        <v>0</v>
      </c>
      <c r="AJ44" s="321">
        <f t="shared" si="26"/>
        <v>0</v>
      </c>
      <c r="AK44" s="342">
        <f t="shared" si="27"/>
        <v>0</v>
      </c>
      <c r="AM44" s="286">
        <v>0</v>
      </c>
      <c r="AN44" s="286">
        <f t="shared" si="28"/>
        <v>0</v>
      </c>
      <c r="AO44" s="286">
        <f t="shared" si="29"/>
        <v>0</v>
      </c>
    </row>
    <row r="45" spans="1:41" ht="16.149999999999999" customHeight="1">
      <c r="A45" s="198">
        <v>39</v>
      </c>
      <c r="B45" s="199" t="s">
        <v>111</v>
      </c>
      <c r="C45" s="995">
        <v>0</v>
      </c>
      <c r="D45" s="201">
        <f>+'Table 5C1A-Madison Prep'!D45</f>
        <v>3656.9056809295676</v>
      </c>
      <c r="E45" s="202">
        <f t="shared" si="8"/>
        <v>0</v>
      </c>
      <c r="F45" s="202">
        <f>+'Table 5C1A-Madison Prep'!F45</f>
        <v>779.65573042776396</v>
      </c>
      <c r="G45" s="202">
        <f t="shared" si="9"/>
        <v>0</v>
      </c>
      <c r="H45" s="345">
        <f t="shared" si="10"/>
        <v>0</v>
      </c>
      <c r="I45" s="203">
        <f>'[1]Oct midyear Advantage'!K42</f>
        <v>0</v>
      </c>
      <c r="J45" s="203">
        <f>'[1]Feb midyear Advantage'!K42</f>
        <v>0</v>
      </c>
      <c r="K45" s="204">
        <f t="shared" si="11"/>
        <v>0</v>
      </c>
      <c r="L45" s="345">
        <f t="shared" si="12"/>
        <v>0</v>
      </c>
      <c r="M45" s="286">
        <f t="shared" si="4"/>
        <v>0</v>
      </c>
      <c r="N45" s="345">
        <f t="shared" si="13"/>
        <v>0</v>
      </c>
      <c r="O45" s="201">
        <v>0</v>
      </c>
      <c r="P45" s="351">
        <f t="shared" si="14"/>
        <v>0</v>
      </c>
      <c r="Q45" s="203">
        <f>(4*'[2]Table 5C1Q-Advantage'!S45)+(4*'[3]Table 5C1Q-Advantage'!S45)</f>
        <v>0</v>
      </c>
      <c r="R45" s="203">
        <f t="shared" si="15"/>
        <v>0</v>
      </c>
      <c r="S45" s="351">
        <f t="shared" si="30"/>
        <v>0</v>
      </c>
      <c r="T45" s="351">
        <f t="shared" si="16"/>
        <v>0</v>
      </c>
      <c r="U45" s="287">
        <f>'Table 5C1A-Madison Prep'!U45</f>
        <v>4922</v>
      </c>
      <c r="V45" s="328">
        <f t="shared" si="17"/>
        <v>0</v>
      </c>
      <c r="W45" s="289">
        <f>'[1]Oct midyear Advantage'!E42</f>
        <v>0</v>
      </c>
      <c r="X45" s="290">
        <f t="shared" si="18"/>
        <v>0</v>
      </c>
      <c r="Y45" s="289">
        <f>'[1]Feb midyear Advantage'!E42</f>
        <v>0</v>
      </c>
      <c r="Z45" s="290">
        <f t="shared" si="19"/>
        <v>0</v>
      </c>
      <c r="AA45" s="288">
        <f t="shared" si="20"/>
        <v>0</v>
      </c>
      <c r="AB45" s="324">
        <f t="shared" si="21"/>
        <v>0</v>
      </c>
      <c r="AC45" s="292">
        <f t="shared" si="22"/>
        <v>0</v>
      </c>
      <c r="AD45" s="324">
        <f t="shared" si="23"/>
        <v>0</v>
      </c>
      <c r="AE45" s="293">
        <v>0</v>
      </c>
      <c r="AF45" s="324">
        <f t="shared" si="24"/>
        <v>0</v>
      </c>
      <c r="AG45" s="293">
        <f>(4*'[2]Table 5C1Q-Advantage'!AI45)+(4*'[3]Table 5C1Q-Advantage'!AI45)</f>
        <v>0</v>
      </c>
      <c r="AH45" s="293">
        <f t="shared" si="25"/>
        <v>0</v>
      </c>
      <c r="AI45" s="324">
        <f t="shared" si="31"/>
        <v>0</v>
      </c>
      <c r="AJ45" s="321">
        <f t="shared" si="26"/>
        <v>0</v>
      </c>
      <c r="AK45" s="342">
        <f t="shared" si="27"/>
        <v>0</v>
      </c>
      <c r="AM45" s="286">
        <v>0</v>
      </c>
      <c r="AN45" s="286">
        <f t="shared" si="28"/>
        <v>0</v>
      </c>
      <c r="AO45" s="286">
        <f t="shared" si="29"/>
        <v>0</v>
      </c>
    </row>
    <row r="46" spans="1:41" ht="16.149999999999999" customHeight="1">
      <c r="A46" s="191">
        <v>40</v>
      </c>
      <c r="B46" s="192" t="s">
        <v>112</v>
      </c>
      <c r="C46" s="996">
        <v>0</v>
      </c>
      <c r="D46" s="194">
        <f>+'Table 5C1A-Madison Prep'!D46</f>
        <v>5121.8110285698403</v>
      </c>
      <c r="E46" s="195">
        <f t="shared" si="8"/>
        <v>0</v>
      </c>
      <c r="F46" s="195">
        <f>+'Table 5C1A-Madison Prep'!F46</f>
        <v>700.2700000000001</v>
      </c>
      <c r="G46" s="195">
        <f t="shared" si="9"/>
        <v>0</v>
      </c>
      <c r="H46" s="346">
        <f t="shared" si="10"/>
        <v>0</v>
      </c>
      <c r="I46" s="196">
        <f>'[1]Oct midyear Advantage'!K43</f>
        <v>0</v>
      </c>
      <c r="J46" s="196">
        <f>'[1]Feb midyear Advantage'!K43</f>
        <v>0</v>
      </c>
      <c r="K46" s="197">
        <f t="shared" si="11"/>
        <v>0</v>
      </c>
      <c r="L46" s="346">
        <f t="shared" si="12"/>
        <v>0</v>
      </c>
      <c r="M46" s="296">
        <f t="shared" si="4"/>
        <v>0</v>
      </c>
      <c r="N46" s="346">
        <f t="shared" si="13"/>
        <v>0</v>
      </c>
      <c r="O46" s="194">
        <v>0</v>
      </c>
      <c r="P46" s="352">
        <f t="shared" si="14"/>
        <v>0</v>
      </c>
      <c r="Q46" s="196">
        <f>(4*'[2]Table 5C1Q-Advantage'!S46)+(4*'[3]Table 5C1Q-Advantage'!S46)</f>
        <v>0</v>
      </c>
      <c r="R46" s="196">
        <f t="shared" si="15"/>
        <v>0</v>
      </c>
      <c r="S46" s="352">
        <f t="shared" si="30"/>
        <v>0</v>
      </c>
      <c r="T46" s="352">
        <f t="shared" si="16"/>
        <v>0</v>
      </c>
      <c r="U46" s="281">
        <f>'Table 5C1A-Madison Prep'!U46</f>
        <v>3152</v>
      </c>
      <c r="V46" s="329">
        <f t="shared" si="17"/>
        <v>0</v>
      </c>
      <c r="W46" s="884">
        <f>'[1]Oct midyear Advantage'!E43</f>
        <v>0</v>
      </c>
      <c r="X46" s="282">
        <f t="shared" si="18"/>
        <v>0</v>
      </c>
      <c r="Y46" s="884">
        <f>'[1]Feb midyear Advantage'!E43</f>
        <v>0</v>
      </c>
      <c r="Z46" s="282">
        <f t="shared" si="19"/>
        <v>0</v>
      </c>
      <c r="AA46" s="283">
        <f t="shared" si="20"/>
        <v>0</v>
      </c>
      <c r="AB46" s="325">
        <f t="shared" si="21"/>
        <v>0</v>
      </c>
      <c r="AC46" s="298">
        <f t="shared" si="22"/>
        <v>0</v>
      </c>
      <c r="AD46" s="325">
        <f t="shared" si="23"/>
        <v>0</v>
      </c>
      <c r="AE46" s="284">
        <v>0</v>
      </c>
      <c r="AF46" s="325">
        <f t="shared" si="24"/>
        <v>0</v>
      </c>
      <c r="AG46" s="284">
        <f>(4*'[2]Table 5C1Q-Advantage'!AI46)+(4*'[3]Table 5C1Q-Advantage'!AI46)</f>
        <v>0</v>
      </c>
      <c r="AH46" s="284">
        <f t="shared" si="25"/>
        <v>0</v>
      </c>
      <c r="AI46" s="325">
        <f t="shared" si="31"/>
        <v>0</v>
      </c>
      <c r="AJ46" s="338">
        <f t="shared" si="26"/>
        <v>0</v>
      </c>
      <c r="AK46" s="343">
        <f t="shared" si="27"/>
        <v>0</v>
      </c>
      <c r="AM46" s="296">
        <v>0</v>
      </c>
      <c r="AN46" s="296">
        <f t="shared" si="28"/>
        <v>0</v>
      </c>
      <c r="AO46" s="296">
        <f t="shared" si="29"/>
        <v>0</v>
      </c>
    </row>
    <row r="47" spans="1:41" ht="16.149999999999999" customHeight="1">
      <c r="A47" s="205">
        <v>41</v>
      </c>
      <c r="B47" s="206" t="s">
        <v>113</v>
      </c>
      <c r="C47" s="994">
        <v>0</v>
      </c>
      <c r="D47" s="208">
        <f>+'Table 5C1A-Madison Prep'!D47</f>
        <v>3291.1948574716475</v>
      </c>
      <c r="E47" s="209">
        <f t="shared" si="8"/>
        <v>0</v>
      </c>
      <c r="F47" s="209">
        <f>+'Table 5C1A-Madison Prep'!F47</f>
        <v>886.22</v>
      </c>
      <c r="G47" s="209">
        <f t="shared" si="9"/>
        <v>0</v>
      </c>
      <c r="H47" s="344">
        <f t="shared" si="10"/>
        <v>0</v>
      </c>
      <c r="I47" s="210">
        <f>'[1]Oct midyear Advantage'!K44</f>
        <v>0</v>
      </c>
      <c r="J47" s="210">
        <f>'[1]Feb midyear Advantage'!K44</f>
        <v>0</v>
      </c>
      <c r="K47" s="211">
        <f t="shared" si="11"/>
        <v>0</v>
      </c>
      <c r="L47" s="344">
        <f t="shared" si="12"/>
        <v>0</v>
      </c>
      <c r="M47" s="273">
        <f t="shared" si="4"/>
        <v>0</v>
      </c>
      <c r="N47" s="344">
        <f t="shared" si="13"/>
        <v>0</v>
      </c>
      <c r="O47" s="208">
        <v>0</v>
      </c>
      <c r="P47" s="350">
        <f t="shared" si="14"/>
        <v>0</v>
      </c>
      <c r="Q47" s="210">
        <f>(4*'[2]Table 5C1Q-Advantage'!S47)+(4*'[3]Table 5C1Q-Advantage'!S47)</f>
        <v>0</v>
      </c>
      <c r="R47" s="210">
        <f t="shared" si="15"/>
        <v>0</v>
      </c>
      <c r="S47" s="350">
        <f t="shared" si="30"/>
        <v>0</v>
      </c>
      <c r="T47" s="350">
        <f t="shared" si="16"/>
        <v>0</v>
      </c>
      <c r="U47" s="274">
        <f>'Table 5C1A-Madison Prep'!U47</f>
        <v>9422</v>
      </c>
      <c r="V47" s="327">
        <f t="shared" si="17"/>
        <v>0</v>
      </c>
      <c r="W47" s="883">
        <f>'[1]Oct midyear Advantage'!E44</f>
        <v>0</v>
      </c>
      <c r="X47" s="276">
        <f t="shared" si="18"/>
        <v>0</v>
      </c>
      <c r="Y47" s="883">
        <f>'[1]Feb midyear Advantage'!E44</f>
        <v>0</v>
      </c>
      <c r="Z47" s="276">
        <f t="shared" si="19"/>
        <v>0</v>
      </c>
      <c r="AA47" s="275">
        <f t="shared" si="20"/>
        <v>0</v>
      </c>
      <c r="AB47" s="323">
        <f t="shared" si="21"/>
        <v>0</v>
      </c>
      <c r="AC47" s="278">
        <f t="shared" si="22"/>
        <v>0</v>
      </c>
      <c r="AD47" s="323">
        <f t="shared" si="23"/>
        <v>0</v>
      </c>
      <c r="AE47" s="279">
        <v>0</v>
      </c>
      <c r="AF47" s="323">
        <f t="shared" si="24"/>
        <v>0</v>
      </c>
      <c r="AG47" s="279">
        <f>(4*'[2]Table 5C1Q-Advantage'!AI47)+(4*'[3]Table 5C1Q-Advantage'!AI47)</f>
        <v>0</v>
      </c>
      <c r="AH47" s="279">
        <f t="shared" si="25"/>
        <v>0</v>
      </c>
      <c r="AI47" s="323">
        <f t="shared" si="31"/>
        <v>0</v>
      </c>
      <c r="AJ47" s="337">
        <f t="shared" si="26"/>
        <v>0</v>
      </c>
      <c r="AK47" s="341">
        <f t="shared" si="27"/>
        <v>0</v>
      </c>
      <c r="AM47" s="273">
        <v>0</v>
      </c>
      <c r="AN47" s="273">
        <f t="shared" si="28"/>
        <v>0</v>
      </c>
      <c r="AO47" s="273">
        <f t="shared" si="29"/>
        <v>0</v>
      </c>
    </row>
    <row r="48" spans="1:41" ht="16.149999999999999" customHeight="1">
      <c r="A48" s="198">
        <v>42</v>
      </c>
      <c r="B48" s="199" t="s">
        <v>114</v>
      </c>
      <c r="C48" s="995">
        <v>0</v>
      </c>
      <c r="D48" s="201">
        <f>+'Table 5C1A-Madison Prep'!D48</f>
        <v>5113.6077751368684</v>
      </c>
      <c r="E48" s="202">
        <f t="shared" si="8"/>
        <v>0</v>
      </c>
      <c r="F48" s="202">
        <f>+'Table 5C1A-Madison Prep'!F48</f>
        <v>534.28</v>
      </c>
      <c r="G48" s="202">
        <f t="shared" si="9"/>
        <v>0</v>
      </c>
      <c r="H48" s="345">
        <f t="shared" si="10"/>
        <v>0</v>
      </c>
      <c r="I48" s="203">
        <f>'[1]Oct midyear Advantage'!K45</f>
        <v>0</v>
      </c>
      <c r="J48" s="203">
        <f>'[1]Feb midyear Advantage'!K45</f>
        <v>0</v>
      </c>
      <c r="K48" s="204">
        <f t="shared" si="11"/>
        <v>0</v>
      </c>
      <c r="L48" s="345">
        <f t="shared" si="12"/>
        <v>0</v>
      </c>
      <c r="M48" s="286">
        <f t="shared" si="4"/>
        <v>0</v>
      </c>
      <c r="N48" s="345">
        <f t="shared" si="13"/>
        <v>0</v>
      </c>
      <c r="O48" s="201">
        <v>0</v>
      </c>
      <c r="P48" s="351">
        <f t="shared" si="14"/>
        <v>0</v>
      </c>
      <c r="Q48" s="203">
        <f>(4*'[2]Table 5C1Q-Advantage'!S48)+(4*'[3]Table 5C1Q-Advantage'!S48)</f>
        <v>0</v>
      </c>
      <c r="R48" s="203">
        <f t="shared" si="15"/>
        <v>0</v>
      </c>
      <c r="S48" s="351">
        <f t="shared" si="30"/>
        <v>0</v>
      </c>
      <c r="T48" s="351">
        <f t="shared" si="16"/>
        <v>0</v>
      </c>
      <c r="U48" s="287">
        <f>'Table 5C1A-Madison Prep'!U48</f>
        <v>3415</v>
      </c>
      <c r="V48" s="328">
        <f t="shared" si="17"/>
        <v>0</v>
      </c>
      <c r="W48" s="289">
        <f>'[1]Oct midyear Advantage'!E45</f>
        <v>0</v>
      </c>
      <c r="X48" s="290">
        <f t="shared" si="18"/>
        <v>0</v>
      </c>
      <c r="Y48" s="289">
        <f>'[1]Feb midyear Advantage'!E45</f>
        <v>0</v>
      </c>
      <c r="Z48" s="290">
        <f t="shared" si="19"/>
        <v>0</v>
      </c>
      <c r="AA48" s="288">
        <f t="shared" si="20"/>
        <v>0</v>
      </c>
      <c r="AB48" s="324">
        <f t="shared" si="21"/>
        <v>0</v>
      </c>
      <c r="AC48" s="292">
        <f t="shared" si="22"/>
        <v>0</v>
      </c>
      <c r="AD48" s="324">
        <f t="shared" si="23"/>
        <v>0</v>
      </c>
      <c r="AE48" s="293">
        <v>0</v>
      </c>
      <c r="AF48" s="324">
        <f t="shared" si="24"/>
        <v>0</v>
      </c>
      <c r="AG48" s="293">
        <f>(4*'[2]Table 5C1Q-Advantage'!AI48)+(4*'[3]Table 5C1Q-Advantage'!AI48)</f>
        <v>0</v>
      </c>
      <c r="AH48" s="293">
        <f t="shared" si="25"/>
        <v>0</v>
      </c>
      <c r="AI48" s="324">
        <f t="shared" si="31"/>
        <v>0</v>
      </c>
      <c r="AJ48" s="321">
        <f t="shared" si="26"/>
        <v>0</v>
      </c>
      <c r="AK48" s="342">
        <f t="shared" si="27"/>
        <v>0</v>
      </c>
      <c r="AM48" s="286">
        <v>0</v>
      </c>
      <c r="AN48" s="286">
        <f t="shared" si="28"/>
        <v>0</v>
      </c>
      <c r="AO48" s="286">
        <f t="shared" si="29"/>
        <v>0</v>
      </c>
    </row>
    <row r="49" spans="1:41" ht="16.149999999999999" customHeight="1">
      <c r="A49" s="198">
        <v>43</v>
      </c>
      <c r="B49" s="199" t="s">
        <v>115</v>
      </c>
      <c r="C49" s="995">
        <v>0</v>
      </c>
      <c r="D49" s="201">
        <f>+'Table 5C1A-Madison Prep'!D49</f>
        <v>5788.74387205947</v>
      </c>
      <c r="E49" s="202">
        <f t="shared" si="8"/>
        <v>0</v>
      </c>
      <c r="F49" s="202">
        <f>+'Table 5C1A-Madison Prep'!F49</f>
        <v>574.6099999999999</v>
      </c>
      <c r="G49" s="202">
        <f t="shared" si="9"/>
        <v>0</v>
      </c>
      <c r="H49" s="345">
        <f t="shared" si="10"/>
        <v>0</v>
      </c>
      <c r="I49" s="203">
        <f>'[1]Oct midyear Advantage'!K46</f>
        <v>0</v>
      </c>
      <c r="J49" s="203">
        <f>'[1]Feb midyear Advantage'!K46</f>
        <v>0</v>
      </c>
      <c r="K49" s="204">
        <f t="shared" si="11"/>
        <v>0</v>
      </c>
      <c r="L49" s="345">
        <f t="shared" si="12"/>
        <v>0</v>
      </c>
      <c r="M49" s="286">
        <f t="shared" si="4"/>
        <v>0</v>
      </c>
      <c r="N49" s="345">
        <f t="shared" si="13"/>
        <v>0</v>
      </c>
      <c r="O49" s="201">
        <v>0</v>
      </c>
      <c r="P49" s="351">
        <f t="shared" si="14"/>
        <v>0</v>
      </c>
      <c r="Q49" s="203">
        <f>(4*'[2]Table 5C1Q-Advantage'!S49)+(4*'[3]Table 5C1Q-Advantage'!S49)</f>
        <v>0</v>
      </c>
      <c r="R49" s="203">
        <f t="shared" si="15"/>
        <v>0</v>
      </c>
      <c r="S49" s="351">
        <f t="shared" si="30"/>
        <v>0</v>
      </c>
      <c r="T49" s="351">
        <f t="shared" si="16"/>
        <v>0</v>
      </c>
      <c r="U49" s="287">
        <f>'Table 5C1A-Madison Prep'!U49</f>
        <v>3334</v>
      </c>
      <c r="V49" s="328">
        <f t="shared" si="17"/>
        <v>0</v>
      </c>
      <c r="W49" s="289">
        <f>'[1]Oct midyear Advantage'!E46</f>
        <v>0</v>
      </c>
      <c r="X49" s="290">
        <f t="shared" si="18"/>
        <v>0</v>
      </c>
      <c r="Y49" s="289">
        <f>'[1]Feb midyear Advantage'!E46</f>
        <v>0</v>
      </c>
      <c r="Z49" s="290">
        <f t="shared" si="19"/>
        <v>0</v>
      </c>
      <c r="AA49" s="288">
        <f t="shared" si="20"/>
        <v>0</v>
      </c>
      <c r="AB49" s="324">
        <f t="shared" si="21"/>
        <v>0</v>
      </c>
      <c r="AC49" s="292">
        <f t="shared" si="22"/>
        <v>0</v>
      </c>
      <c r="AD49" s="324">
        <f t="shared" si="23"/>
        <v>0</v>
      </c>
      <c r="AE49" s="293">
        <v>0</v>
      </c>
      <c r="AF49" s="324">
        <f t="shared" si="24"/>
        <v>0</v>
      </c>
      <c r="AG49" s="293">
        <f>(4*'[2]Table 5C1Q-Advantage'!AI49)+(4*'[3]Table 5C1Q-Advantage'!AI49)</f>
        <v>0</v>
      </c>
      <c r="AH49" s="293">
        <f t="shared" si="25"/>
        <v>0</v>
      </c>
      <c r="AI49" s="324">
        <f t="shared" si="31"/>
        <v>0</v>
      </c>
      <c r="AJ49" s="321">
        <f t="shared" si="26"/>
        <v>0</v>
      </c>
      <c r="AK49" s="342">
        <f t="shared" si="27"/>
        <v>0</v>
      </c>
      <c r="AM49" s="286">
        <v>0</v>
      </c>
      <c r="AN49" s="286">
        <f t="shared" si="28"/>
        <v>0</v>
      </c>
      <c r="AO49" s="286">
        <f t="shared" si="29"/>
        <v>0</v>
      </c>
    </row>
    <row r="50" spans="1:41" ht="16.149999999999999" customHeight="1">
      <c r="A50" s="198">
        <v>44</v>
      </c>
      <c r="B50" s="199" t="s">
        <v>116</v>
      </c>
      <c r="C50" s="995">
        <v>0</v>
      </c>
      <c r="D50" s="201">
        <f>+'Table 5C1A-Madison Prep'!D50</f>
        <v>4897.5958151820359</v>
      </c>
      <c r="E50" s="202">
        <f t="shared" si="8"/>
        <v>0</v>
      </c>
      <c r="F50" s="202">
        <f>+'Table 5C1A-Madison Prep'!F50</f>
        <v>663.16000000000008</v>
      </c>
      <c r="G50" s="202">
        <f t="shared" si="9"/>
        <v>0</v>
      </c>
      <c r="H50" s="345">
        <f t="shared" si="10"/>
        <v>0</v>
      </c>
      <c r="I50" s="203">
        <f>'[1]Oct midyear Advantage'!K47</f>
        <v>0</v>
      </c>
      <c r="J50" s="203">
        <f>'[1]Feb midyear Advantage'!K47</f>
        <v>0</v>
      </c>
      <c r="K50" s="204">
        <f t="shared" si="11"/>
        <v>0</v>
      </c>
      <c r="L50" s="345">
        <f t="shared" si="12"/>
        <v>0</v>
      </c>
      <c r="M50" s="286">
        <f t="shared" si="4"/>
        <v>0</v>
      </c>
      <c r="N50" s="345">
        <f t="shared" si="13"/>
        <v>0</v>
      </c>
      <c r="O50" s="201">
        <v>0</v>
      </c>
      <c r="P50" s="351">
        <f t="shared" si="14"/>
        <v>0</v>
      </c>
      <c r="Q50" s="203">
        <f>(4*'[2]Table 5C1Q-Advantage'!S50)+(4*'[3]Table 5C1Q-Advantage'!S50)</f>
        <v>0</v>
      </c>
      <c r="R50" s="203">
        <f t="shared" si="15"/>
        <v>0</v>
      </c>
      <c r="S50" s="351">
        <f t="shared" si="30"/>
        <v>0</v>
      </c>
      <c r="T50" s="351">
        <f t="shared" si="16"/>
        <v>0</v>
      </c>
      <c r="U50" s="287">
        <f>'Table 5C1A-Madison Prep'!U50</f>
        <v>3587</v>
      </c>
      <c r="V50" s="328">
        <f t="shared" si="17"/>
        <v>0</v>
      </c>
      <c r="W50" s="289">
        <f>'[1]Oct midyear Advantage'!E47</f>
        <v>0</v>
      </c>
      <c r="X50" s="290">
        <f t="shared" si="18"/>
        <v>0</v>
      </c>
      <c r="Y50" s="289">
        <f>'[1]Feb midyear Advantage'!E47</f>
        <v>0</v>
      </c>
      <c r="Z50" s="290">
        <f t="shared" si="19"/>
        <v>0</v>
      </c>
      <c r="AA50" s="288">
        <f t="shared" si="20"/>
        <v>0</v>
      </c>
      <c r="AB50" s="324">
        <f t="shared" si="21"/>
        <v>0</v>
      </c>
      <c r="AC50" s="292">
        <f t="shared" si="22"/>
        <v>0</v>
      </c>
      <c r="AD50" s="324">
        <f t="shared" si="23"/>
        <v>0</v>
      </c>
      <c r="AE50" s="293">
        <v>0</v>
      </c>
      <c r="AF50" s="324">
        <f t="shared" si="24"/>
        <v>0</v>
      </c>
      <c r="AG50" s="293">
        <f>(4*'[2]Table 5C1Q-Advantage'!AI50)+(4*'[3]Table 5C1Q-Advantage'!AI50)</f>
        <v>0</v>
      </c>
      <c r="AH50" s="293">
        <f t="shared" si="25"/>
        <v>0</v>
      </c>
      <c r="AI50" s="324">
        <f t="shared" si="31"/>
        <v>0</v>
      </c>
      <c r="AJ50" s="321">
        <f t="shared" si="26"/>
        <v>0</v>
      </c>
      <c r="AK50" s="342">
        <f t="shared" si="27"/>
        <v>0</v>
      </c>
      <c r="AM50" s="286">
        <v>0</v>
      </c>
      <c r="AN50" s="286">
        <f t="shared" si="28"/>
        <v>0</v>
      </c>
      <c r="AO50" s="286">
        <f t="shared" si="29"/>
        <v>0</v>
      </c>
    </row>
    <row r="51" spans="1:41" ht="16.149999999999999" customHeight="1">
      <c r="A51" s="191">
        <v>45</v>
      </c>
      <c r="B51" s="192" t="s">
        <v>117</v>
      </c>
      <c r="C51" s="996">
        <v>0</v>
      </c>
      <c r="D51" s="194">
        <f>+'Table 5C1A-Madison Prep'!D51</f>
        <v>2054.0472499469101</v>
      </c>
      <c r="E51" s="195">
        <f t="shared" si="8"/>
        <v>0</v>
      </c>
      <c r="F51" s="195">
        <f>+'Table 5C1A-Madison Prep'!F51</f>
        <v>753.96000000000015</v>
      </c>
      <c r="G51" s="195">
        <f t="shared" si="9"/>
        <v>0</v>
      </c>
      <c r="H51" s="346">
        <f t="shared" si="10"/>
        <v>0</v>
      </c>
      <c r="I51" s="196">
        <f>'[1]Oct midyear Advantage'!K48</f>
        <v>0</v>
      </c>
      <c r="J51" s="196">
        <f>'[1]Feb midyear Advantage'!K48</f>
        <v>0</v>
      </c>
      <c r="K51" s="197">
        <f t="shared" si="11"/>
        <v>0</v>
      </c>
      <c r="L51" s="346">
        <f t="shared" si="12"/>
        <v>0</v>
      </c>
      <c r="M51" s="296">
        <f t="shared" si="4"/>
        <v>0</v>
      </c>
      <c r="N51" s="346">
        <f t="shared" si="13"/>
        <v>0</v>
      </c>
      <c r="O51" s="194">
        <v>0</v>
      </c>
      <c r="P51" s="352">
        <f t="shared" si="14"/>
        <v>0</v>
      </c>
      <c r="Q51" s="196">
        <f>(4*'[2]Table 5C1Q-Advantage'!S51)+(4*'[3]Table 5C1Q-Advantage'!S51)</f>
        <v>0</v>
      </c>
      <c r="R51" s="196">
        <f t="shared" si="15"/>
        <v>0</v>
      </c>
      <c r="S51" s="352">
        <f t="shared" si="30"/>
        <v>0</v>
      </c>
      <c r="T51" s="352">
        <f t="shared" si="16"/>
        <v>0</v>
      </c>
      <c r="U51" s="281">
        <f>'Table 5C1A-Madison Prep'!U51</f>
        <v>12134</v>
      </c>
      <c r="V51" s="329">
        <f t="shared" si="17"/>
        <v>0</v>
      </c>
      <c r="W51" s="884">
        <f>'[1]Oct midyear Advantage'!E48</f>
        <v>0</v>
      </c>
      <c r="X51" s="282">
        <f t="shared" si="18"/>
        <v>0</v>
      </c>
      <c r="Y51" s="884">
        <f>'[1]Feb midyear Advantage'!E48</f>
        <v>0</v>
      </c>
      <c r="Z51" s="282">
        <f t="shared" si="19"/>
        <v>0</v>
      </c>
      <c r="AA51" s="283">
        <f t="shared" si="20"/>
        <v>0</v>
      </c>
      <c r="AB51" s="325">
        <f t="shared" si="21"/>
        <v>0</v>
      </c>
      <c r="AC51" s="298">
        <f t="shared" si="22"/>
        <v>0</v>
      </c>
      <c r="AD51" s="325">
        <f t="shared" si="23"/>
        <v>0</v>
      </c>
      <c r="AE51" s="284">
        <v>0</v>
      </c>
      <c r="AF51" s="325">
        <f t="shared" si="24"/>
        <v>0</v>
      </c>
      <c r="AG51" s="284">
        <f>(4*'[2]Table 5C1Q-Advantage'!AI51)+(4*'[3]Table 5C1Q-Advantage'!AI51)</f>
        <v>0</v>
      </c>
      <c r="AH51" s="284">
        <f t="shared" si="25"/>
        <v>0</v>
      </c>
      <c r="AI51" s="325">
        <f t="shared" si="31"/>
        <v>0</v>
      </c>
      <c r="AJ51" s="338">
        <f t="shared" si="26"/>
        <v>0</v>
      </c>
      <c r="AK51" s="343">
        <f t="shared" si="27"/>
        <v>0</v>
      </c>
      <c r="AM51" s="296">
        <v>0</v>
      </c>
      <c r="AN51" s="296">
        <f t="shared" si="28"/>
        <v>0</v>
      </c>
      <c r="AO51" s="296">
        <f t="shared" si="29"/>
        <v>0</v>
      </c>
    </row>
    <row r="52" spans="1:41" ht="16.149999999999999" customHeight="1">
      <c r="A52" s="205">
        <v>46</v>
      </c>
      <c r="B52" s="206" t="s">
        <v>118</v>
      </c>
      <c r="C52" s="994">
        <v>0</v>
      </c>
      <c r="D52" s="208">
        <f>+'Table 5C1A-Madison Prep'!D52</f>
        <v>6051.2144468088381</v>
      </c>
      <c r="E52" s="209">
        <f t="shared" si="8"/>
        <v>0</v>
      </c>
      <c r="F52" s="209">
        <f>+'Table 5C1A-Madison Prep'!F52</f>
        <v>728.06</v>
      </c>
      <c r="G52" s="209">
        <f t="shared" si="9"/>
        <v>0</v>
      </c>
      <c r="H52" s="344">
        <f t="shared" si="10"/>
        <v>0</v>
      </c>
      <c r="I52" s="210">
        <f>'[1]Oct midyear Advantage'!K49</f>
        <v>0</v>
      </c>
      <c r="J52" s="210">
        <f>'[1]Feb midyear Advantage'!K49</f>
        <v>0</v>
      </c>
      <c r="K52" s="211">
        <f t="shared" si="11"/>
        <v>0</v>
      </c>
      <c r="L52" s="344">
        <f t="shared" si="12"/>
        <v>0</v>
      </c>
      <c r="M52" s="273">
        <f t="shared" si="4"/>
        <v>0</v>
      </c>
      <c r="N52" s="344">
        <f t="shared" si="13"/>
        <v>0</v>
      </c>
      <c r="O52" s="208">
        <v>0</v>
      </c>
      <c r="P52" s="350">
        <f t="shared" si="14"/>
        <v>0</v>
      </c>
      <c r="Q52" s="210">
        <f>(4*'[2]Table 5C1Q-Advantage'!S52)+(4*'[3]Table 5C1Q-Advantage'!S52)</f>
        <v>0</v>
      </c>
      <c r="R52" s="210">
        <f t="shared" si="15"/>
        <v>0</v>
      </c>
      <c r="S52" s="350">
        <f t="shared" si="30"/>
        <v>0</v>
      </c>
      <c r="T52" s="350">
        <f t="shared" si="16"/>
        <v>0</v>
      </c>
      <c r="U52" s="274">
        <f>'Table 5C1A-Madison Prep'!U52</f>
        <v>2554</v>
      </c>
      <c r="V52" s="327">
        <f t="shared" si="17"/>
        <v>0</v>
      </c>
      <c r="W52" s="883">
        <f>'[1]Oct midyear Advantage'!E49</f>
        <v>0</v>
      </c>
      <c r="X52" s="276">
        <f t="shared" si="18"/>
        <v>0</v>
      </c>
      <c r="Y52" s="883">
        <f>'[1]Feb midyear Advantage'!E49</f>
        <v>0</v>
      </c>
      <c r="Z52" s="276">
        <f t="shared" si="19"/>
        <v>0</v>
      </c>
      <c r="AA52" s="275">
        <f t="shared" si="20"/>
        <v>0</v>
      </c>
      <c r="AB52" s="323">
        <f t="shared" si="21"/>
        <v>0</v>
      </c>
      <c r="AC52" s="278">
        <f t="shared" si="22"/>
        <v>0</v>
      </c>
      <c r="AD52" s="323">
        <f t="shared" si="23"/>
        <v>0</v>
      </c>
      <c r="AE52" s="279">
        <v>0</v>
      </c>
      <c r="AF52" s="323">
        <f t="shared" si="24"/>
        <v>0</v>
      </c>
      <c r="AG52" s="279">
        <f>(4*'[2]Table 5C1Q-Advantage'!AI52)+(4*'[3]Table 5C1Q-Advantage'!AI52)</f>
        <v>0</v>
      </c>
      <c r="AH52" s="279">
        <f t="shared" si="25"/>
        <v>0</v>
      </c>
      <c r="AI52" s="323">
        <f t="shared" si="31"/>
        <v>0</v>
      </c>
      <c r="AJ52" s="337">
        <f t="shared" si="26"/>
        <v>0</v>
      </c>
      <c r="AK52" s="341">
        <f t="shared" si="27"/>
        <v>0</v>
      </c>
      <c r="AM52" s="273">
        <v>0</v>
      </c>
      <c r="AN52" s="273">
        <f t="shared" si="28"/>
        <v>0</v>
      </c>
      <c r="AO52" s="273">
        <f t="shared" si="29"/>
        <v>0</v>
      </c>
    </row>
    <row r="53" spans="1:41" ht="16.149999999999999" customHeight="1">
      <c r="A53" s="198">
        <v>47</v>
      </c>
      <c r="B53" s="199" t="s">
        <v>119</v>
      </c>
      <c r="C53" s="995">
        <v>0</v>
      </c>
      <c r="D53" s="201">
        <f>+'Table 5C1A-Madison Prep'!D53</f>
        <v>2524.1485257646736</v>
      </c>
      <c r="E53" s="202">
        <f t="shared" si="8"/>
        <v>0</v>
      </c>
      <c r="F53" s="202">
        <f>+'Table 5C1A-Madison Prep'!F53</f>
        <v>910.76</v>
      </c>
      <c r="G53" s="202">
        <f t="shared" si="9"/>
        <v>0</v>
      </c>
      <c r="H53" s="345">
        <f t="shared" si="10"/>
        <v>0</v>
      </c>
      <c r="I53" s="203">
        <f>'[1]Oct midyear Advantage'!K50</f>
        <v>0</v>
      </c>
      <c r="J53" s="203">
        <f>'[1]Feb midyear Advantage'!K50</f>
        <v>0</v>
      </c>
      <c r="K53" s="204">
        <f t="shared" si="11"/>
        <v>0</v>
      </c>
      <c r="L53" s="345">
        <f t="shared" si="12"/>
        <v>0</v>
      </c>
      <c r="M53" s="286">
        <f t="shared" si="4"/>
        <v>0</v>
      </c>
      <c r="N53" s="345">
        <f t="shared" si="13"/>
        <v>0</v>
      </c>
      <c r="O53" s="201">
        <v>0</v>
      </c>
      <c r="P53" s="351">
        <f t="shared" si="14"/>
        <v>0</v>
      </c>
      <c r="Q53" s="203">
        <f>(4*'[2]Table 5C1Q-Advantage'!S53)+(4*'[3]Table 5C1Q-Advantage'!S53)</f>
        <v>0</v>
      </c>
      <c r="R53" s="203">
        <f t="shared" si="15"/>
        <v>0</v>
      </c>
      <c r="S53" s="351">
        <f t="shared" si="30"/>
        <v>0</v>
      </c>
      <c r="T53" s="351">
        <f t="shared" si="16"/>
        <v>0</v>
      </c>
      <c r="U53" s="287">
        <f>'Table 5C1A-Madison Prep'!U53</f>
        <v>11506</v>
      </c>
      <c r="V53" s="328">
        <f t="shared" si="17"/>
        <v>0</v>
      </c>
      <c r="W53" s="289">
        <f>'[1]Oct midyear Advantage'!E50</f>
        <v>0</v>
      </c>
      <c r="X53" s="290">
        <f t="shared" si="18"/>
        <v>0</v>
      </c>
      <c r="Y53" s="289">
        <f>'[1]Feb midyear Advantage'!E50</f>
        <v>0</v>
      </c>
      <c r="Z53" s="290">
        <f t="shared" si="19"/>
        <v>0</v>
      </c>
      <c r="AA53" s="288">
        <f t="shared" si="20"/>
        <v>0</v>
      </c>
      <c r="AB53" s="324">
        <f t="shared" si="21"/>
        <v>0</v>
      </c>
      <c r="AC53" s="292">
        <f t="shared" si="22"/>
        <v>0</v>
      </c>
      <c r="AD53" s="324">
        <f t="shared" si="23"/>
        <v>0</v>
      </c>
      <c r="AE53" s="293">
        <v>0</v>
      </c>
      <c r="AF53" s="324">
        <f t="shared" si="24"/>
        <v>0</v>
      </c>
      <c r="AG53" s="293">
        <f>(4*'[2]Table 5C1Q-Advantage'!AI53)+(4*'[3]Table 5C1Q-Advantage'!AI53)</f>
        <v>0</v>
      </c>
      <c r="AH53" s="293">
        <f t="shared" si="25"/>
        <v>0</v>
      </c>
      <c r="AI53" s="324">
        <f t="shared" si="31"/>
        <v>0</v>
      </c>
      <c r="AJ53" s="321">
        <f t="shared" si="26"/>
        <v>0</v>
      </c>
      <c r="AK53" s="342">
        <f t="shared" si="27"/>
        <v>0</v>
      </c>
      <c r="AM53" s="286">
        <v>0</v>
      </c>
      <c r="AN53" s="286">
        <f t="shared" si="28"/>
        <v>0</v>
      </c>
      <c r="AO53" s="286">
        <f t="shared" si="29"/>
        <v>0</v>
      </c>
    </row>
    <row r="54" spans="1:41" ht="16.149999999999999" customHeight="1">
      <c r="A54" s="198">
        <v>48</v>
      </c>
      <c r="B54" s="199" t="s">
        <v>144</v>
      </c>
      <c r="C54" s="995">
        <v>0</v>
      </c>
      <c r="D54" s="201">
        <f>+'Table 5C1A-Madison Prep'!D54</f>
        <v>3983.3582529800719</v>
      </c>
      <c r="E54" s="202">
        <f t="shared" si="8"/>
        <v>0</v>
      </c>
      <c r="F54" s="202">
        <f>+'Table 5C1A-Madison Prep'!F54</f>
        <v>871.07</v>
      </c>
      <c r="G54" s="202">
        <f t="shared" si="9"/>
        <v>0</v>
      </c>
      <c r="H54" s="345">
        <f t="shared" si="10"/>
        <v>0</v>
      </c>
      <c r="I54" s="203">
        <f>'[1]Oct midyear Advantage'!K51</f>
        <v>0</v>
      </c>
      <c r="J54" s="203">
        <f>'[1]Feb midyear Advantage'!K51</f>
        <v>0</v>
      </c>
      <c r="K54" s="204">
        <f t="shared" si="11"/>
        <v>0</v>
      </c>
      <c r="L54" s="345">
        <f t="shared" si="12"/>
        <v>0</v>
      </c>
      <c r="M54" s="286">
        <f t="shared" si="4"/>
        <v>0</v>
      </c>
      <c r="N54" s="345">
        <f t="shared" si="13"/>
        <v>0</v>
      </c>
      <c r="O54" s="201">
        <v>0</v>
      </c>
      <c r="P54" s="351">
        <f t="shared" si="14"/>
        <v>0</v>
      </c>
      <c r="Q54" s="203">
        <f>(4*'[2]Table 5C1Q-Advantage'!S54)+(4*'[3]Table 5C1Q-Advantage'!S54)</f>
        <v>0</v>
      </c>
      <c r="R54" s="203">
        <f t="shared" si="15"/>
        <v>0</v>
      </c>
      <c r="S54" s="351">
        <f t="shared" si="30"/>
        <v>0</v>
      </c>
      <c r="T54" s="351">
        <f t="shared" si="16"/>
        <v>0</v>
      </c>
      <c r="U54" s="287">
        <f>'Table 5C1A-Madison Prep'!U54</f>
        <v>6827</v>
      </c>
      <c r="V54" s="328">
        <f t="shared" si="17"/>
        <v>0</v>
      </c>
      <c r="W54" s="289">
        <f>'[1]Oct midyear Advantage'!E51</f>
        <v>0</v>
      </c>
      <c r="X54" s="290">
        <f t="shared" si="18"/>
        <v>0</v>
      </c>
      <c r="Y54" s="289">
        <f>'[1]Feb midyear Advantage'!E51</f>
        <v>0</v>
      </c>
      <c r="Z54" s="290">
        <f t="shared" si="19"/>
        <v>0</v>
      </c>
      <c r="AA54" s="288">
        <f t="shared" si="20"/>
        <v>0</v>
      </c>
      <c r="AB54" s="324">
        <f t="shared" si="21"/>
        <v>0</v>
      </c>
      <c r="AC54" s="292">
        <f t="shared" si="22"/>
        <v>0</v>
      </c>
      <c r="AD54" s="324">
        <f t="shared" si="23"/>
        <v>0</v>
      </c>
      <c r="AE54" s="293">
        <v>0</v>
      </c>
      <c r="AF54" s="324">
        <f t="shared" si="24"/>
        <v>0</v>
      </c>
      <c r="AG54" s="293">
        <f>(4*'[2]Table 5C1Q-Advantage'!AI54)+(4*'[3]Table 5C1Q-Advantage'!AI54)</f>
        <v>0</v>
      </c>
      <c r="AH54" s="293">
        <f t="shared" si="25"/>
        <v>0</v>
      </c>
      <c r="AI54" s="324">
        <f t="shared" si="31"/>
        <v>0</v>
      </c>
      <c r="AJ54" s="321">
        <f t="shared" si="26"/>
        <v>0</v>
      </c>
      <c r="AK54" s="342">
        <f t="shared" si="27"/>
        <v>0</v>
      </c>
      <c r="AM54" s="286">
        <v>0</v>
      </c>
      <c r="AN54" s="286">
        <f t="shared" si="28"/>
        <v>0</v>
      </c>
      <c r="AO54" s="286">
        <f t="shared" si="29"/>
        <v>0</v>
      </c>
    </row>
    <row r="55" spans="1:41" ht="16.149999999999999" customHeight="1">
      <c r="A55" s="198">
        <v>49</v>
      </c>
      <c r="B55" s="199" t="s">
        <v>120</v>
      </c>
      <c r="C55" s="995">
        <v>0</v>
      </c>
      <c r="D55" s="201">
        <f>+'Table 5C1A-Madison Prep'!D55</f>
        <v>4995.8755315659191</v>
      </c>
      <c r="E55" s="202">
        <f t="shared" si="8"/>
        <v>0</v>
      </c>
      <c r="F55" s="202">
        <f>+'Table 5C1A-Madison Prep'!F55</f>
        <v>574.43999999999994</v>
      </c>
      <c r="G55" s="202">
        <f t="shared" si="9"/>
        <v>0</v>
      </c>
      <c r="H55" s="345">
        <f t="shared" si="10"/>
        <v>0</v>
      </c>
      <c r="I55" s="203">
        <f>'[1]Oct midyear Advantage'!K52</f>
        <v>0</v>
      </c>
      <c r="J55" s="203">
        <f>'[1]Feb midyear Advantage'!K52</f>
        <v>0</v>
      </c>
      <c r="K55" s="204">
        <f t="shared" si="11"/>
        <v>0</v>
      </c>
      <c r="L55" s="345">
        <f t="shared" si="12"/>
        <v>0</v>
      </c>
      <c r="M55" s="286">
        <f t="shared" si="4"/>
        <v>0</v>
      </c>
      <c r="N55" s="345">
        <f t="shared" si="13"/>
        <v>0</v>
      </c>
      <c r="O55" s="201">
        <v>0</v>
      </c>
      <c r="P55" s="351">
        <f t="shared" si="14"/>
        <v>0</v>
      </c>
      <c r="Q55" s="203">
        <f>(4*'[2]Table 5C1Q-Advantage'!S55)+(4*'[3]Table 5C1Q-Advantage'!S55)</f>
        <v>0</v>
      </c>
      <c r="R55" s="203">
        <f t="shared" si="15"/>
        <v>0</v>
      </c>
      <c r="S55" s="351">
        <f t="shared" si="30"/>
        <v>0</v>
      </c>
      <c r="T55" s="351">
        <f t="shared" si="16"/>
        <v>0</v>
      </c>
      <c r="U55" s="287">
        <f>'Table 5C1A-Madison Prep'!U55</f>
        <v>2399</v>
      </c>
      <c r="V55" s="328">
        <f t="shared" si="17"/>
        <v>0</v>
      </c>
      <c r="W55" s="289">
        <f>'[1]Oct midyear Advantage'!E52</f>
        <v>0</v>
      </c>
      <c r="X55" s="290">
        <f t="shared" si="18"/>
        <v>0</v>
      </c>
      <c r="Y55" s="289">
        <f>'[1]Feb midyear Advantage'!E52</f>
        <v>0</v>
      </c>
      <c r="Z55" s="290">
        <f t="shared" si="19"/>
        <v>0</v>
      </c>
      <c r="AA55" s="288">
        <f t="shared" si="20"/>
        <v>0</v>
      </c>
      <c r="AB55" s="324">
        <f t="shared" si="21"/>
        <v>0</v>
      </c>
      <c r="AC55" s="292">
        <f t="shared" si="22"/>
        <v>0</v>
      </c>
      <c r="AD55" s="324">
        <f t="shared" si="23"/>
        <v>0</v>
      </c>
      <c r="AE55" s="293">
        <v>0</v>
      </c>
      <c r="AF55" s="324">
        <f t="shared" si="24"/>
        <v>0</v>
      </c>
      <c r="AG55" s="293">
        <f>(4*'[2]Table 5C1Q-Advantage'!AI55)+(4*'[3]Table 5C1Q-Advantage'!AI55)</f>
        <v>0</v>
      </c>
      <c r="AH55" s="293">
        <f t="shared" si="25"/>
        <v>0</v>
      </c>
      <c r="AI55" s="324">
        <f t="shared" si="31"/>
        <v>0</v>
      </c>
      <c r="AJ55" s="321">
        <f t="shared" si="26"/>
        <v>0</v>
      </c>
      <c r="AK55" s="342">
        <f t="shared" si="27"/>
        <v>0</v>
      </c>
      <c r="AM55" s="286">
        <v>0</v>
      </c>
      <c r="AN55" s="286">
        <f t="shared" si="28"/>
        <v>0</v>
      </c>
      <c r="AO55" s="286">
        <f t="shared" si="29"/>
        <v>0</v>
      </c>
    </row>
    <row r="56" spans="1:41" ht="16.149999999999999" customHeight="1">
      <c r="A56" s="191">
        <v>50</v>
      </c>
      <c r="B56" s="192" t="s">
        <v>121</v>
      </c>
      <c r="C56" s="996">
        <v>0</v>
      </c>
      <c r="D56" s="194">
        <f>+'Table 5C1A-Madison Prep'!D56</f>
        <v>5177.6892722701677</v>
      </c>
      <c r="E56" s="195">
        <f t="shared" si="8"/>
        <v>0</v>
      </c>
      <c r="F56" s="195">
        <f>+'Table 5C1A-Madison Prep'!F56</f>
        <v>634.46</v>
      </c>
      <c r="G56" s="195">
        <f t="shared" si="9"/>
        <v>0</v>
      </c>
      <c r="H56" s="346">
        <f t="shared" si="10"/>
        <v>0</v>
      </c>
      <c r="I56" s="196">
        <f>'[1]Oct midyear Advantage'!K53</f>
        <v>0</v>
      </c>
      <c r="J56" s="196">
        <f>'[1]Feb midyear Advantage'!K53</f>
        <v>0</v>
      </c>
      <c r="K56" s="197">
        <f t="shared" si="11"/>
        <v>0</v>
      </c>
      <c r="L56" s="346">
        <f t="shared" si="12"/>
        <v>0</v>
      </c>
      <c r="M56" s="296">
        <f t="shared" si="4"/>
        <v>0</v>
      </c>
      <c r="N56" s="346">
        <f t="shared" si="13"/>
        <v>0</v>
      </c>
      <c r="O56" s="194">
        <v>0</v>
      </c>
      <c r="P56" s="352">
        <f t="shared" si="14"/>
        <v>0</v>
      </c>
      <c r="Q56" s="196">
        <f>(4*'[2]Table 5C1Q-Advantage'!S56)+(4*'[3]Table 5C1Q-Advantage'!S56)</f>
        <v>0</v>
      </c>
      <c r="R56" s="196">
        <f t="shared" si="15"/>
        <v>0</v>
      </c>
      <c r="S56" s="352">
        <f t="shared" si="30"/>
        <v>0</v>
      </c>
      <c r="T56" s="352">
        <f t="shared" si="16"/>
        <v>0</v>
      </c>
      <c r="U56" s="281">
        <f>'Table 5C1A-Madison Prep'!U56</f>
        <v>3413</v>
      </c>
      <c r="V56" s="329">
        <f t="shared" si="17"/>
        <v>0</v>
      </c>
      <c r="W56" s="884">
        <f>'[1]Oct midyear Advantage'!E53</f>
        <v>0</v>
      </c>
      <c r="X56" s="282">
        <f t="shared" si="18"/>
        <v>0</v>
      </c>
      <c r="Y56" s="884">
        <f>'[1]Feb midyear Advantage'!E53</f>
        <v>0</v>
      </c>
      <c r="Z56" s="282">
        <f t="shared" si="19"/>
        <v>0</v>
      </c>
      <c r="AA56" s="283">
        <f t="shared" si="20"/>
        <v>0</v>
      </c>
      <c r="AB56" s="325">
        <f t="shared" si="21"/>
        <v>0</v>
      </c>
      <c r="AC56" s="298">
        <f t="shared" si="22"/>
        <v>0</v>
      </c>
      <c r="AD56" s="325">
        <f t="shared" si="23"/>
        <v>0</v>
      </c>
      <c r="AE56" s="284">
        <v>0</v>
      </c>
      <c r="AF56" s="325">
        <f t="shared" si="24"/>
        <v>0</v>
      </c>
      <c r="AG56" s="284">
        <f>(4*'[2]Table 5C1Q-Advantage'!AI56)+(4*'[3]Table 5C1Q-Advantage'!AI56)</f>
        <v>0</v>
      </c>
      <c r="AH56" s="284">
        <f t="shared" si="25"/>
        <v>0</v>
      </c>
      <c r="AI56" s="325">
        <f t="shared" si="31"/>
        <v>0</v>
      </c>
      <c r="AJ56" s="338">
        <f t="shared" si="26"/>
        <v>0</v>
      </c>
      <c r="AK56" s="343">
        <f t="shared" si="27"/>
        <v>0</v>
      </c>
      <c r="AM56" s="296">
        <v>0</v>
      </c>
      <c r="AN56" s="296">
        <f t="shared" si="28"/>
        <v>0</v>
      </c>
      <c r="AO56" s="296">
        <f t="shared" si="29"/>
        <v>0</v>
      </c>
    </row>
    <row r="57" spans="1:41" ht="16.149999999999999" customHeight="1">
      <c r="A57" s="205">
        <v>51</v>
      </c>
      <c r="B57" s="206" t="s">
        <v>122</v>
      </c>
      <c r="C57" s="994">
        <v>0</v>
      </c>
      <c r="D57" s="208">
        <f>+'Table 5C1A-Madison Prep'!D57</f>
        <v>4154.1928602178996</v>
      </c>
      <c r="E57" s="209">
        <f t="shared" si="8"/>
        <v>0</v>
      </c>
      <c r="F57" s="209">
        <f>+'Table 5C1A-Madison Prep'!F57</f>
        <v>706.66</v>
      </c>
      <c r="G57" s="209">
        <f t="shared" si="9"/>
        <v>0</v>
      </c>
      <c r="H57" s="344">
        <f t="shared" si="10"/>
        <v>0</v>
      </c>
      <c r="I57" s="210">
        <f>'[1]Oct midyear Advantage'!K54</f>
        <v>0</v>
      </c>
      <c r="J57" s="210">
        <f>'[1]Feb midyear Advantage'!K54</f>
        <v>0</v>
      </c>
      <c r="K57" s="211">
        <f t="shared" si="11"/>
        <v>0</v>
      </c>
      <c r="L57" s="344">
        <f t="shared" si="12"/>
        <v>0</v>
      </c>
      <c r="M57" s="273">
        <f t="shared" si="4"/>
        <v>0</v>
      </c>
      <c r="N57" s="344">
        <f t="shared" si="13"/>
        <v>0</v>
      </c>
      <c r="O57" s="208">
        <v>0</v>
      </c>
      <c r="P57" s="350">
        <f t="shared" si="14"/>
        <v>0</v>
      </c>
      <c r="Q57" s="210">
        <f>(4*'[2]Table 5C1Q-Advantage'!S57)+(4*'[3]Table 5C1Q-Advantage'!S57)</f>
        <v>0</v>
      </c>
      <c r="R57" s="210">
        <f t="shared" si="15"/>
        <v>0</v>
      </c>
      <c r="S57" s="350">
        <f t="shared" si="30"/>
        <v>0</v>
      </c>
      <c r="T57" s="350">
        <f t="shared" si="16"/>
        <v>0</v>
      </c>
      <c r="U57" s="274">
        <f>'Table 5C1A-Madison Prep'!U57</f>
        <v>4512</v>
      </c>
      <c r="V57" s="327">
        <f t="shared" si="17"/>
        <v>0</v>
      </c>
      <c r="W57" s="883">
        <f>'[1]Oct midyear Advantage'!E54</f>
        <v>0</v>
      </c>
      <c r="X57" s="276">
        <f t="shared" si="18"/>
        <v>0</v>
      </c>
      <c r="Y57" s="883">
        <f>'[1]Feb midyear Advantage'!E54</f>
        <v>0</v>
      </c>
      <c r="Z57" s="276">
        <f t="shared" si="19"/>
        <v>0</v>
      </c>
      <c r="AA57" s="275">
        <f t="shared" si="20"/>
        <v>0</v>
      </c>
      <c r="AB57" s="323">
        <f t="shared" si="21"/>
        <v>0</v>
      </c>
      <c r="AC57" s="278">
        <f t="shared" si="22"/>
        <v>0</v>
      </c>
      <c r="AD57" s="323">
        <f t="shared" si="23"/>
        <v>0</v>
      </c>
      <c r="AE57" s="279">
        <v>0</v>
      </c>
      <c r="AF57" s="323">
        <f t="shared" si="24"/>
        <v>0</v>
      </c>
      <c r="AG57" s="279">
        <f>(4*'[2]Table 5C1Q-Advantage'!AI57)+(4*'[3]Table 5C1Q-Advantage'!AI57)</f>
        <v>0</v>
      </c>
      <c r="AH57" s="279">
        <f t="shared" si="25"/>
        <v>0</v>
      </c>
      <c r="AI57" s="323">
        <f t="shared" si="31"/>
        <v>0</v>
      </c>
      <c r="AJ57" s="337">
        <f t="shared" si="26"/>
        <v>0</v>
      </c>
      <c r="AK57" s="341">
        <f t="shared" si="27"/>
        <v>0</v>
      </c>
      <c r="AM57" s="273">
        <v>0</v>
      </c>
      <c r="AN57" s="273">
        <f t="shared" si="28"/>
        <v>0</v>
      </c>
      <c r="AO57" s="273">
        <f t="shared" si="29"/>
        <v>0</v>
      </c>
    </row>
    <row r="58" spans="1:41" ht="16.149999999999999" customHeight="1">
      <c r="A58" s="198">
        <v>52</v>
      </c>
      <c r="B58" s="199" t="s">
        <v>123</v>
      </c>
      <c r="C58" s="995">
        <v>0</v>
      </c>
      <c r="D58" s="201">
        <f>+'Table 5C1A-Madison Prep'!D58</f>
        <v>5062.2745845228173</v>
      </c>
      <c r="E58" s="202">
        <f t="shared" si="8"/>
        <v>0</v>
      </c>
      <c r="F58" s="202">
        <f>+'Table 5C1A-Madison Prep'!F58</f>
        <v>658.37</v>
      </c>
      <c r="G58" s="202">
        <f t="shared" si="9"/>
        <v>0</v>
      </c>
      <c r="H58" s="345">
        <f t="shared" si="10"/>
        <v>0</v>
      </c>
      <c r="I58" s="203">
        <f>'[1]Oct midyear Advantage'!K55</f>
        <v>0</v>
      </c>
      <c r="J58" s="203">
        <f>'[1]Feb midyear Advantage'!K55</f>
        <v>0</v>
      </c>
      <c r="K58" s="204">
        <f t="shared" si="11"/>
        <v>0</v>
      </c>
      <c r="L58" s="345">
        <f t="shared" si="12"/>
        <v>0</v>
      </c>
      <c r="M58" s="286">
        <f t="shared" si="4"/>
        <v>0</v>
      </c>
      <c r="N58" s="345">
        <f t="shared" si="13"/>
        <v>0</v>
      </c>
      <c r="O58" s="201">
        <v>0</v>
      </c>
      <c r="P58" s="351">
        <f t="shared" si="14"/>
        <v>0</v>
      </c>
      <c r="Q58" s="203">
        <f>(4*'[2]Table 5C1Q-Advantage'!S58)+(4*'[3]Table 5C1Q-Advantage'!S58)</f>
        <v>0</v>
      </c>
      <c r="R58" s="203">
        <f t="shared" si="15"/>
        <v>0</v>
      </c>
      <c r="S58" s="351">
        <f t="shared" si="30"/>
        <v>0</v>
      </c>
      <c r="T58" s="351">
        <f t="shared" si="16"/>
        <v>0</v>
      </c>
      <c r="U58" s="287">
        <f>'Table 5C1A-Madison Prep'!U58</f>
        <v>5289</v>
      </c>
      <c r="V58" s="328">
        <f t="shared" si="17"/>
        <v>0</v>
      </c>
      <c r="W58" s="289">
        <f>'[1]Oct midyear Advantage'!E55</f>
        <v>0</v>
      </c>
      <c r="X58" s="290">
        <f t="shared" si="18"/>
        <v>0</v>
      </c>
      <c r="Y58" s="289">
        <f>'[1]Feb midyear Advantage'!E55</f>
        <v>0</v>
      </c>
      <c r="Z58" s="290">
        <f t="shared" si="19"/>
        <v>0</v>
      </c>
      <c r="AA58" s="288">
        <f t="shared" si="20"/>
        <v>0</v>
      </c>
      <c r="AB58" s="324">
        <f t="shared" si="21"/>
        <v>0</v>
      </c>
      <c r="AC58" s="292">
        <f t="shared" si="22"/>
        <v>0</v>
      </c>
      <c r="AD58" s="324">
        <f t="shared" si="23"/>
        <v>0</v>
      </c>
      <c r="AE58" s="293">
        <v>0</v>
      </c>
      <c r="AF58" s="324">
        <f t="shared" si="24"/>
        <v>0</v>
      </c>
      <c r="AG58" s="293">
        <f>(4*'[2]Table 5C1Q-Advantage'!AI58)+(4*'[3]Table 5C1Q-Advantage'!AI58)</f>
        <v>0</v>
      </c>
      <c r="AH58" s="293">
        <f t="shared" si="25"/>
        <v>0</v>
      </c>
      <c r="AI58" s="324">
        <f t="shared" si="31"/>
        <v>0</v>
      </c>
      <c r="AJ58" s="321">
        <f t="shared" si="26"/>
        <v>0</v>
      </c>
      <c r="AK58" s="342">
        <f t="shared" si="27"/>
        <v>0</v>
      </c>
      <c r="AM58" s="286">
        <v>0</v>
      </c>
      <c r="AN58" s="286">
        <f t="shared" si="28"/>
        <v>0</v>
      </c>
      <c r="AO58" s="286">
        <f t="shared" si="29"/>
        <v>0</v>
      </c>
    </row>
    <row r="59" spans="1:41" ht="16.149999999999999" customHeight="1">
      <c r="A59" s="198">
        <v>53</v>
      </c>
      <c r="B59" s="199" t="s">
        <v>124</v>
      </c>
      <c r="C59" s="995">
        <v>0</v>
      </c>
      <c r="D59" s="201">
        <f>+'Table 5C1A-Madison Prep'!D59</f>
        <v>5060.1508194045482</v>
      </c>
      <c r="E59" s="202">
        <f t="shared" si="8"/>
        <v>0</v>
      </c>
      <c r="F59" s="202">
        <f>+'Table 5C1A-Madison Prep'!F59</f>
        <v>689.74</v>
      </c>
      <c r="G59" s="202">
        <f t="shared" si="9"/>
        <v>0</v>
      </c>
      <c r="H59" s="345">
        <f t="shared" si="10"/>
        <v>0</v>
      </c>
      <c r="I59" s="203">
        <f>'[1]Oct midyear Advantage'!K56</f>
        <v>0</v>
      </c>
      <c r="J59" s="203">
        <f>'[1]Feb midyear Advantage'!K56</f>
        <v>0</v>
      </c>
      <c r="K59" s="204">
        <f t="shared" si="11"/>
        <v>0</v>
      </c>
      <c r="L59" s="345">
        <f t="shared" si="12"/>
        <v>0</v>
      </c>
      <c r="M59" s="286">
        <f t="shared" si="4"/>
        <v>0</v>
      </c>
      <c r="N59" s="345">
        <f t="shared" si="13"/>
        <v>0</v>
      </c>
      <c r="O59" s="201">
        <v>0</v>
      </c>
      <c r="P59" s="351">
        <f t="shared" si="14"/>
        <v>0</v>
      </c>
      <c r="Q59" s="203">
        <f>(4*'[2]Table 5C1Q-Advantage'!S59)+(4*'[3]Table 5C1Q-Advantage'!S59)</f>
        <v>0</v>
      </c>
      <c r="R59" s="203">
        <f t="shared" si="15"/>
        <v>0</v>
      </c>
      <c r="S59" s="351">
        <f t="shared" si="30"/>
        <v>0</v>
      </c>
      <c r="T59" s="351">
        <f t="shared" si="16"/>
        <v>0</v>
      </c>
      <c r="U59" s="287">
        <f>'Table 5C1A-Madison Prep'!U59</f>
        <v>2101</v>
      </c>
      <c r="V59" s="328">
        <f t="shared" si="17"/>
        <v>0</v>
      </c>
      <c r="W59" s="289">
        <f>'[1]Oct midyear Advantage'!E56</f>
        <v>0</v>
      </c>
      <c r="X59" s="290">
        <f t="shared" si="18"/>
        <v>0</v>
      </c>
      <c r="Y59" s="289">
        <f>'[1]Feb midyear Advantage'!E56</f>
        <v>0</v>
      </c>
      <c r="Z59" s="290">
        <f t="shared" si="19"/>
        <v>0</v>
      </c>
      <c r="AA59" s="288">
        <f t="shared" si="20"/>
        <v>0</v>
      </c>
      <c r="AB59" s="324">
        <f t="shared" si="21"/>
        <v>0</v>
      </c>
      <c r="AC59" s="292">
        <f t="shared" si="22"/>
        <v>0</v>
      </c>
      <c r="AD59" s="324">
        <f t="shared" si="23"/>
        <v>0</v>
      </c>
      <c r="AE59" s="293">
        <v>0</v>
      </c>
      <c r="AF59" s="324">
        <f t="shared" si="24"/>
        <v>0</v>
      </c>
      <c r="AG59" s="293">
        <f>(4*'[2]Table 5C1Q-Advantage'!AI59)+(4*'[3]Table 5C1Q-Advantage'!AI59)</f>
        <v>0</v>
      </c>
      <c r="AH59" s="293">
        <f t="shared" si="25"/>
        <v>0</v>
      </c>
      <c r="AI59" s="324">
        <f t="shared" si="31"/>
        <v>0</v>
      </c>
      <c r="AJ59" s="321">
        <f t="shared" si="26"/>
        <v>0</v>
      </c>
      <c r="AK59" s="342">
        <f t="shared" si="27"/>
        <v>0</v>
      </c>
      <c r="AM59" s="286">
        <v>0</v>
      </c>
      <c r="AN59" s="286">
        <f t="shared" si="28"/>
        <v>0</v>
      </c>
      <c r="AO59" s="286">
        <f t="shared" si="29"/>
        <v>0</v>
      </c>
    </row>
    <row r="60" spans="1:41" ht="16.149999999999999" customHeight="1">
      <c r="A60" s="198">
        <v>54</v>
      </c>
      <c r="B60" s="199" t="s">
        <v>125</v>
      </c>
      <c r="C60" s="995">
        <v>0</v>
      </c>
      <c r="D60" s="201">
        <f>+'Table 5C1A-Madison Prep'!D60</f>
        <v>5867.0798370516713</v>
      </c>
      <c r="E60" s="202">
        <f t="shared" si="8"/>
        <v>0</v>
      </c>
      <c r="F60" s="202">
        <f>+'Table 5C1A-Madison Prep'!F60</f>
        <v>951.45</v>
      </c>
      <c r="G60" s="202">
        <f t="shared" si="9"/>
        <v>0</v>
      </c>
      <c r="H60" s="345">
        <f t="shared" si="10"/>
        <v>0</v>
      </c>
      <c r="I60" s="203">
        <f>'[1]Oct midyear Advantage'!K57</f>
        <v>0</v>
      </c>
      <c r="J60" s="203">
        <f>'[1]Feb midyear Advantage'!K57</f>
        <v>0</v>
      </c>
      <c r="K60" s="204">
        <f t="shared" si="11"/>
        <v>0</v>
      </c>
      <c r="L60" s="345">
        <f t="shared" si="12"/>
        <v>0</v>
      </c>
      <c r="M60" s="286">
        <f t="shared" si="4"/>
        <v>0</v>
      </c>
      <c r="N60" s="345">
        <f t="shared" si="13"/>
        <v>0</v>
      </c>
      <c r="O60" s="201">
        <v>0</v>
      </c>
      <c r="P60" s="351">
        <f t="shared" si="14"/>
        <v>0</v>
      </c>
      <c r="Q60" s="203">
        <f>(4*'[2]Table 5C1Q-Advantage'!S60)+(4*'[3]Table 5C1Q-Advantage'!S60)</f>
        <v>0</v>
      </c>
      <c r="R60" s="203">
        <f t="shared" si="15"/>
        <v>0</v>
      </c>
      <c r="S60" s="351">
        <f t="shared" si="30"/>
        <v>0</v>
      </c>
      <c r="T60" s="351">
        <f t="shared" si="16"/>
        <v>0</v>
      </c>
      <c r="U60" s="287">
        <f>'Table 5C1A-Madison Prep'!U60</f>
        <v>4150</v>
      </c>
      <c r="V60" s="328">
        <f t="shared" si="17"/>
        <v>0</v>
      </c>
      <c r="W60" s="289">
        <f>'[1]Oct midyear Advantage'!E57</f>
        <v>0</v>
      </c>
      <c r="X60" s="290">
        <f t="shared" si="18"/>
        <v>0</v>
      </c>
      <c r="Y60" s="289">
        <f>'[1]Feb midyear Advantage'!E57</f>
        <v>0</v>
      </c>
      <c r="Z60" s="290">
        <f t="shared" si="19"/>
        <v>0</v>
      </c>
      <c r="AA60" s="288">
        <f t="shared" si="20"/>
        <v>0</v>
      </c>
      <c r="AB60" s="324">
        <f t="shared" si="21"/>
        <v>0</v>
      </c>
      <c r="AC60" s="292">
        <f t="shared" si="22"/>
        <v>0</v>
      </c>
      <c r="AD60" s="324">
        <f t="shared" si="23"/>
        <v>0</v>
      </c>
      <c r="AE60" s="293">
        <v>0</v>
      </c>
      <c r="AF60" s="324">
        <f t="shared" si="24"/>
        <v>0</v>
      </c>
      <c r="AG60" s="293">
        <f>(4*'[2]Table 5C1Q-Advantage'!AI60)+(4*'[3]Table 5C1Q-Advantage'!AI60)</f>
        <v>0</v>
      </c>
      <c r="AH60" s="293">
        <f t="shared" si="25"/>
        <v>0</v>
      </c>
      <c r="AI60" s="324">
        <f t="shared" si="31"/>
        <v>0</v>
      </c>
      <c r="AJ60" s="321">
        <f t="shared" si="26"/>
        <v>0</v>
      </c>
      <c r="AK60" s="342">
        <f t="shared" si="27"/>
        <v>0</v>
      </c>
      <c r="AM60" s="286">
        <v>0</v>
      </c>
      <c r="AN60" s="286">
        <f t="shared" si="28"/>
        <v>0</v>
      </c>
      <c r="AO60" s="286">
        <f t="shared" si="29"/>
        <v>0</v>
      </c>
    </row>
    <row r="61" spans="1:41" ht="16.149999999999999" customHeight="1">
      <c r="A61" s="191">
        <v>55</v>
      </c>
      <c r="B61" s="192" t="s">
        <v>126</v>
      </c>
      <c r="C61" s="996">
        <v>0</v>
      </c>
      <c r="D61" s="194">
        <f>+'Table 5C1A-Madison Prep'!D61</f>
        <v>4266.8225491298481</v>
      </c>
      <c r="E61" s="195">
        <f t="shared" si="8"/>
        <v>0</v>
      </c>
      <c r="F61" s="195">
        <f>+'Table 5C1A-Madison Prep'!F61</f>
        <v>795.14</v>
      </c>
      <c r="G61" s="195">
        <f t="shared" si="9"/>
        <v>0</v>
      </c>
      <c r="H61" s="346">
        <f t="shared" si="10"/>
        <v>0</v>
      </c>
      <c r="I61" s="196">
        <f>'[1]Oct midyear Advantage'!K58</f>
        <v>0</v>
      </c>
      <c r="J61" s="196">
        <f>'[1]Feb midyear Advantage'!K58</f>
        <v>0</v>
      </c>
      <c r="K61" s="197">
        <f t="shared" si="11"/>
        <v>0</v>
      </c>
      <c r="L61" s="346">
        <f t="shared" si="12"/>
        <v>0</v>
      </c>
      <c r="M61" s="296">
        <f t="shared" si="4"/>
        <v>0</v>
      </c>
      <c r="N61" s="346">
        <f t="shared" si="13"/>
        <v>0</v>
      </c>
      <c r="O61" s="194">
        <v>0</v>
      </c>
      <c r="P61" s="352">
        <f t="shared" si="14"/>
        <v>0</v>
      </c>
      <c r="Q61" s="196">
        <f>(4*'[2]Table 5C1Q-Advantage'!S61)+(4*'[3]Table 5C1Q-Advantage'!S61)</f>
        <v>0</v>
      </c>
      <c r="R61" s="196">
        <f t="shared" si="15"/>
        <v>0</v>
      </c>
      <c r="S61" s="352">
        <f t="shared" si="30"/>
        <v>0</v>
      </c>
      <c r="T61" s="352">
        <f t="shared" si="16"/>
        <v>0</v>
      </c>
      <c r="U61" s="281">
        <f>'Table 5C1A-Madison Prep'!U61</f>
        <v>3637</v>
      </c>
      <c r="V61" s="329">
        <f t="shared" si="17"/>
        <v>0</v>
      </c>
      <c r="W61" s="884">
        <f>'[1]Oct midyear Advantage'!E58</f>
        <v>0</v>
      </c>
      <c r="X61" s="282">
        <f t="shared" si="18"/>
        <v>0</v>
      </c>
      <c r="Y61" s="884">
        <f>'[1]Feb midyear Advantage'!E58</f>
        <v>0</v>
      </c>
      <c r="Z61" s="282">
        <f t="shared" si="19"/>
        <v>0</v>
      </c>
      <c r="AA61" s="283">
        <f t="shared" si="20"/>
        <v>0</v>
      </c>
      <c r="AB61" s="325">
        <f t="shared" si="21"/>
        <v>0</v>
      </c>
      <c r="AC61" s="298">
        <f t="shared" si="22"/>
        <v>0</v>
      </c>
      <c r="AD61" s="325">
        <f t="shared" si="23"/>
        <v>0</v>
      </c>
      <c r="AE61" s="284">
        <v>0</v>
      </c>
      <c r="AF61" s="325">
        <f t="shared" si="24"/>
        <v>0</v>
      </c>
      <c r="AG61" s="284">
        <f>(4*'[2]Table 5C1Q-Advantage'!AI61)+(4*'[3]Table 5C1Q-Advantage'!AI61)</f>
        <v>0</v>
      </c>
      <c r="AH61" s="284">
        <f t="shared" si="25"/>
        <v>0</v>
      </c>
      <c r="AI61" s="325">
        <f t="shared" si="31"/>
        <v>0</v>
      </c>
      <c r="AJ61" s="338">
        <f t="shared" si="26"/>
        <v>0</v>
      </c>
      <c r="AK61" s="343">
        <f t="shared" si="27"/>
        <v>0</v>
      </c>
      <c r="AM61" s="296">
        <v>0</v>
      </c>
      <c r="AN61" s="296">
        <f t="shared" si="28"/>
        <v>0</v>
      </c>
      <c r="AO61" s="296">
        <f t="shared" si="29"/>
        <v>0</v>
      </c>
    </row>
    <row r="62" spans="1:41" ht="16.149999999999999" customHeight="1">
      <c r="A62" s="205">
        <v>56</v>
      </c>
      <c r="B62" s="206" t="s">
        <v>127</v>
      </c>
      <c r="C62" s="994">
        <v>0</v>
      </c>
      <c r="D62" s="208">
        <f>+'Table 5C1A-Madison Prep'!D62</f>
        <v>5028.4909408288286</v>
      </c>
      <c r="E62" s="209">
        <f t="shared" si="8"/>
        <v>0</v>
      </c>
      <c r="F62" s="209">
        <f>+'Table 5C1A-Madison Prep'!F62</f>
        <v>614.66000000000008</v>
      </c>
      <c r="G62" s="209">
        <f t="shared" si="9"/>
        <v>0</v>
      </c>
      <c r="H62" s="344">
        <f t="shared" si="10"/>
        <v>0</v>
      </c>
      <c r="I62" s="210">
        <f>'[1]Oct midyear Advantage'!K59</f>
        <v>0</v>
      </c>
      <c r="J62" s="210">
        <f>'[1]Feb midyear Advantage'!K59</f>
        <v>0</v>
      </c>
      <c r="K62" s="211">
        <f t="shared" si="11"/>
        <v>0</v>
      </c>
      <c r="L62" s="344">
        <f t="shared" si="12"/>
        <v>0</v>
      </c>
      <c r="M62" s="273">
        <f t="shared" si="4"/>
        <v>0</v>
      </c>
      <c r="N62" s="344">
        <f t="shared" si="13"/>
        <v>0</v>
      </c>
      <c r="O62" s="208">
        <v>0</v>
      </c>
      <c r="P62" s="350">
        <f t="shared" si="14"/>
        <v>0</v>
      </c>
      <c r="Q62" s="210">
        <f>(4*'[2]Table 5C1Q-Advantage'!S62)+(4*'[3]Table 5C1Q-Advantage'!S62)</f>
        <v>0</v>
      </c>
      <c r="R62" s="210">
        <f t="shared" si="15"/>
        <v>0</v>
      </c>
      <c r="S62" s="350">
        <f t="shared" si="30"/>
        <v>0</v>
      </c>
      <c r="T62" s="350">
        <f t="shared" si="16"/>
        <v>0</v>
      </c>
      <c r="U62" s="274">
        <f>'Table 5C1A-Madison Prep'!U62</f>
        <v>2857</v>
      </c>
      <c r="V62" s="327">
        <f t="shared" si="17"/>
        <v>0</v>
      </c>
      <c r="W62" s="883">
        <f>'[1]Oct midyear Advantage'!E59</f>
        <v>0</v>
      </c>
      <c r="X62" s="276">
        <f t="shared" si="18"/>
        <v>0</v>
      </c>
      <c r="Y62" s="883">
        <f>'[1]Feb midyear Advantage'!E59</f>
        <v>0</v>
      </c>
      <c r="Z62" s="276">
        <f t="shared" si="19"/>
        <v>0</v>
      </c>
      <c r="AA62" s="275">
        <f t="shared" si="20"/>
        <v>0</v>
      </c>
      <c r="AB62" s="323">
        <f t="shared" si="21"/>
        <v>0</v>
      </c>
      <c r="AC62" s="278">
        <f t="shared" si="22"/>
        <v>0</v>
      </c>
      <c r="AD62" s="323">
        <f t="shared" si="23"/>
        <v>0</v>
      </c>
      <c r="AE62" s="279">
        <v>0</v>
      </c>
      <c r="AF62" s="323">
        <f t="shared" si="24"/>
        <v>0</v>
      </c>
      <c r="AG62" s="279">
        <f>(4*'[2]Table 5C1Q-Advantage'!AI62)+(4*'[3]Table 5C1Q-Advantage'!AI62)</f>
        <v>0</v>
      </c>
      <c r="AH62" s="279">
        <f t="shared" si="25"/>
        <v>0</v>
      </c>
      <c r="AI62" s="323">
        <f t="shared" si="31"/>
        <v>0</v>
      </c>
      <c r="AJ62" s="337">
        <f t="shared" si="26"/>
        <v>0</v>
      </c>
      <c r="AK62" s="341">
        <f t="shared" si="27"/>
        <v>0</v>
      </c>
      <c r="AM62" s="273">
        <v>0</v>
      </c>
      <c r="AN62" s="273">
        <f t="shared" si="28"/>
        <v>0</v>
      </c>
      <c r="AO62" s="273">
        <f t="shared" si="29"/>
        <v>0</v>
      </c>
    </row>
    <row r="63" spans="1:41" ht="16.149999999999999" customHeight="1">
      <c r="A63" s="198">
        <v>57</v>
      </c>
      <c r="B63" s="199" t="s">
        <v>128</v>
      </c>
      <c r="C63" s="995">
        <v>0</v>
      </c>
      <c r="D63" s="201">
        <f>+'Table 5C1A-Madison Prep'!D63</f>
        <v>4625.9922979230687</v>
      </c>
      <c r="E63" s="202">
        <f t="shared" si="8"/>
        <v>0</v>
      </c>
      <c r="F63" s="202">
        <f>+'Table 5C1A-Madison Prep'!F63</f>
        <v>764.51</v>
      </c>
      <c r="G63" s="202">
        <f t="shared" si="9"/>
        <v>0</v>
      </c>
      <c r="H63" s="345">
        <f t="shared" si="10"/>
        <v>0</v>
      </c>
      <c r="I63" s="203">
        <f>'[1]Oct midyear Advantage'!K60</f>
        <v>0</v>
      </c>
      <c r="J63" s="203">
        <f>'[1]Feb midyear Advantage'!K60</f>
        <v>0</v>
      </c>
      <c r="K63" s="204">
        <f t="shared" si="11"/>
        <v>0</v>
      </c>
      <c r="L63" s="345">
        <f t="shared" si="12"/>
        <v>0</v>
      </c>
      <c r="M63" s="286">
        <f t="shared" si="4"/>
        <v>0</v>
      </c>
      <c r="N63" s="345">
        <f t="shared" si="13"/>
        <v>0</v>
      </c>
      <c r="O63" s="201">
        <v>0</v>
      </c>
      <c r="P63" s="351">
        <f t="shared" si="14"/>
        <v>0</v>
      </c>
      <c r="Q63" s="203">
        <f>(4*'[2]Table 5C1Q-Advantage'!S63)+(4*'[3]Table 5C1Q-Advantage'!S63)</f>
        <v>0</v>
      </c>
      <c r="R63" s="203">
        <f t="shared" si="15"/>
        <v>0</v>
      </c>
      <c r="S63" s="351">
        <f t="shared" si="30"/>
        <v>0</v>
      </c>
      <c r="T63" s="351">
        <f t="shared" si="16"/>
        <v>0</v>
      </c>
      <c r="U63" s="287">
        <f>'Table 5C1A-Madison Prep'!U63</f>
        <v>3465</v>
      </c>
      <c r="V63" s="328">
        <f t="shared" si="17"/>
        <v>0</v>
      </c>
      <c r="W63" s="289">
        <f>'[1]Oct midyear Advantage'!E60</f>
        <v>0</v>
      </c>
      <c r="X63" s="290">
        <f t="shared" si="18"/>
        <v>0</v>
      </c>
      <c r="Y63" s="289">
        <f>'[1]Feb midyear Advantage'!E60</f>
        <v>0</v>
      </c>
      <c r="Z63" s="290">
        <f t="shared" si="19"/>
        <v>0</v>
      </c>
      <c r="AA63" s="288">
        <f t="shared" si="20"/>
        <v>0</v>
      </c>
      <c r="AB63" s="324">
        <f t="shared" si="21"/>
        <v>0</v>
      </c>
      <c r="AC63" s="292">
        <f t="shared" si="22"/>
        <v>0</v>
      </c>
      <c r="AD63" s="324">
        <f t="shared" si="23"/>
        <v>0</v>
      </c>
      <c r="AE63" s="293">
        <v>0</v>
      </c>
      <c r="AF63" s="324">
        <f t="shared" si="24"/>
        <v>0</v>
      </c>
      <c r="AG63" s="293">
        <f>(4*'[2]Table 5C1Q-Advantage'!AI63)+(4*'[3]Table 5C1Q-Advantage'!AI63)</f>
        <v>0</v>
      </c>
      <c r="AH63" s="293">
        <f t="shared" si="25"/>
        <v>0</v>
      </c>
      <c r="AI63" s="324">
        <f t="shared" si="31"/>
        <v>0</v>
      </c>
      <c r="AJ63" s="321">
        <f t="shared" si="26"/>
        <v>0</v>
      </c>
      <c r="AK63" s="342">
        <f t="shared" si="27"/>
        <v>0</v>
      </c>
      <c r="AM63" s="286">
        <v>0</v>
      </c>
      <c r="AN63" s="286">
        <f t="shared" si="28"/>
        <v>0</v>
      </c>
      <c r="AO63" s="286">
        <f t="shared" si="29"/>
        <v>0</v>
      </c>
    </row>
    <row r="64" spans="1:41" ht="16.149999999999999" customHeight="1">
      <c r="A64" s="198">
        <v>58</v>
      </c>
      <c r="B64" s="199" t="s">
        <v>129</v>
      </c>
      <c r="C64" s="995">
        <v>0</v>
      </c>
      <c r="D64" s="201">
        <f>+'Table 5C1A-Madison Prep'!D64</f>
        <v>5673.1129637882123</v>
      </c>
      <c r="E64" s="202">
        <f t="shared" si="8"/>
        <v>0</v>
      </c>
      <c r="F64" s="202">
        <f>+'Table 5C1A-Madison Prep'!F64</f>
        <v>697.04</v>
      </c>
      <c r="G64" s="202">
        <f t="shared" si="9"/>
        <v>0</v>
      </c>
      <c r="H64" s="345">
        <f t="shared" si="10"/>
        <v>0</v>
      </c>
      <c r="I64" s="203">
        <f>'[1]Oct midyear Advantage'!K61</f>
        <v>0</v>
      </c>
      <c r="J64" s="203">
        <f>'[1]Feb midyear Advantage'!K61</f>
        <v>0</v>
      </c>
      <c r="K64" s="204">
        <f t="shared" si="11"/>
        <v>0</v>
      </c>
      <c r="L64" s="345">
        <f t="shared" si="12"/>
        <v>0</v>
      </c>
      <c r="M64" s="286">
        <f t="shared" si="4"/>
        <v>0</v>
      </c>
      <c r="N64" s="345">
        <f t="shared" si="13"/>
        <v>0</v>
      </c>
      <c r="O64" s="201">
        <v>0</v>
      </c>
      <c r="P64" s="351">
        <f t="shared" si="14"/>
        <v>0</v>
      </c>
      <c r="Q64" s="203">
        <f>(4*'[2]Table 5C1Q-Advantage'!S64)+(4*'[3]Table 5C1Q-Advantage'!S64)</f>
        <v>0</v>
      </c>
      <c r="R64" s="203">
        <f t="shared" si="15"/>
        <v>0</v>
      </c>
      <c r="S64" s="351">
        <f t="shared" si="30"/>
        <v>0</v>
      </c>
      <c r="T64" s="351">
        <f t="shared" si="16"/>
        <v>0</v>
      </c>
      <c r="U64" s="287">
        <f>'Table 5C1A-Madison Prep'!U64</f>
        <v>2167</v>
      </c>
      <c r="V64" s="328">
        <f t="shared" si="17"/>
        <v>0</v>
      </c>
      <c r="W64" s="289">
        <f>'[1]Oct midyear Advantage'!E61</f>
        <v>0</v>
      </c>
      <c r="X64" s="290">
        <f t="shared" si="18"/>
        <v>0</v>
      </c>
      <c r="Y64" s="289">
        <f>'[1]Feb midyear Advantage'!E61</f>
        <v>0</v>
      </c>
      <c r="Z64" s="290">
        <f t="shared" si="19"/>
        <v>0</v>
      </c>
      <c r="AA64" s="288">
        <f t="shared" si="20"/>
        <v>0</v>
      </c>
      <c r="AB64" s="324">
        <f t="shared" si="21"/>
        <v>0</v>
      </c>
      <c r="AC64" s="292">
        <f t="shared" si="22"/>
        <v>0</v>
      </c>
      <c r="AD64" s="324">
        <f t="shared" si="23"/>
        <v>0</v>
      </c>
      <c r="AE64" s="293">
        <v>0</v>
      </c>
      <c r="AF64" s="324">
        <f t="shared" si="24"/>
        <v>0</v>
      </c>
      <c r="AG64" s="293">
        <f>(4*'[2]Table 5C1Q-Advantage'!AI64)+(4*'[3]Table 5C1Q-Advantage'!AI64)</f>
        <v>0</v>
      </c>
      <c r="AH64" s="293">
        <f t="shared" si="25"/>
        <v>0</v>
      </c>
      <c r="AI64" s="324">
        <f t="shared" si="31"/>
        <v>0</v>
      </c>
      <c r="AJ64" s="321">
        <f t="shared" si="26"/>
        <v>0</v>
      </c>
      <c r="AK64" s="342">
        <f t="shared" si="27"/>
        <v>0</v>
      </c>
      <c r="AM64" s="286">
        <v>0</v>
      </c>
      <c r="AN64" s="286">
        <f t="shared" si="28"/>
        <v>0</v>
      </c>
      <c r="AO64" s="286">
        <f t="shared" si="29"/>
        <v>0</v>
      </c>
    </row>
    <row r="65" spans="1:41" ht="16.149999999999999" customHeight="1">
      <c r="A65" s="198">
        <v>59</v>
      </c>
      <c r="B65" s="199" t="s">
        <v>130</v>
      </c>
      <c r="C65" s="995">
        <v>0</v>
      </c>
      <c r="D65" s="201">
        <f>+'Table 5C1A-Madison Prep'!D65</f>
        <v>6621.946293521848</v>
      </c>
      <c r="E65" s="202">
        <f t="shared" si="8"/>
        <v>0</v>
      </c>
      <c r="F65" s="202">
        <f>+'Table 5C1A-Madison Prep'!F65</f>
        <v>689.52</v>
      </c>
      <c r="G65" s="202">
        <f t="shared" si="9"/>
        <v>0</v>
      </c>
      <c r="H65" s="345">
        <f t="shared" si="10"/>
        <v>0</v>
      </c>
      <c r="I65" s="203">
        <f>'[1]Oct midyear Advantage'!K62</f>
        <v>0</v>
      </c>
      <c r="J65" s="203">
        <f>'[1]Feb midyear Advantage'!K62</f>
        <v>0</v>
      </c>
      <c r="K65" s="204">
        <f t="shared" si="11"/>
        <v>0</v>
      </c>
      <c r="L65" s="345">
        <f t="shared" si="12"/>
        <v>0</v>
      </c>
      <c r="M65" s="286">
        <f t="shared" si="4"/>
        <v>0</v>
      </c>
      <c r="N65" s="345">
        <f t="shared" si="13"/>
        <v>0</v>
      </c>
      <c r="O65" s="201">
        <v>0</v>
      </c>
      <c r="P65" s="351">
        <f t="shared" si="14"/>
        <v>0</v>
      </c>
      <c r="Q65" s="203">
        <f>(4*'[2]Table 5C1Q-Advantage'!S65)+(4*'[3]Table 5C1Q-Advantage'!S65)</f>
        <v>0</v>
      </c>
      <c r="R65" s="203">
        <f t="shared" si="15"/>
        <v>0</v>
      </c>
      <c r="S65" s="351">
        <f t="shared" si="30"/>
        <v>0</v>
      </c>
      <c r="T65" s="351">
        <f t="shared" si="16"/>
        <v>0</v>
      </c>
      <c r="U65" s="287">
        <f>'Table 5C1A-Madison Prep'!U65</f>
        <v>1521</v>
      </c>
      <c r="V65" s="328">
        <f t="shared" si="17"/>
        <v>0</v>
      </c>
      <c r="W65" s="289">
        <f>'[1]Oct midyear Advantage'!E62</f>
        <v>0</v>
      </c>
      <c r="X65" s="290">
        <f t="shared" si="18"/>
        <v>0</v>
      </c>
      <c r="Y65" s="289">
        <f>'[1]Feb midyear Advantage'!E62</f>
        <v>0</v>
      </c>
      <c r="Z65" s="290">
        <f t="shared" si="19"/>
        <v>0</v>
      </c>
      <c r="AA65" s="288">
        <f t="shared" si="20"/>
        <v>0</v>
      </c>
      <c r="AB65" s="324">
        <f t="shared" si="21"/>
        <v>0</v>
      </c>
      <c r="AC65" s="292">
        <f t="shared" si="22"/>
        <v>0</v>
      </c>
      <c r="AD65" s="324">
        <f t="shared" si="23"/>
        <v>0</v>
      </c>
      <c r="AE65" s="293">
        <v>0</v>
      </c>
      <c r="AF65" s="324">
        <f t="shared" si="24"/>
        <v>0</v>
      </c>
      <c r="AG65" s="293">
        <f>(4*'[2]Table 5C1Q-Advantage'!AI65)+(4*'[3]Table 5C1Q-Advantage'!AI65)</f>
        <v>0</v>
      </c>
      <c r="AH65" s="293">
        <f t="shared" si="25"/>
        <v>0</v>
      </c>
      <c r="AI65" s="324">
        <f t="shared" si="31"/>
        <v>0</v>
      </c>
      <c r="AJ65" s="321">
        <f t="shared" si="26"/>
        <v>0</v>
      </c>
      <c r="AK65" s="342">
        <f t="shared" si="27"/>
        <v>0</v>
      </c>
      <c r="AM65" s="286">
        <v>0</v>
      </c>
      <c r="AN65" s="286">
        <f t="shared" si="28"/>
        <v>0</v>
      </c>
      <c r="AO65" s="286">
        <f t="shared" si="29"/>
        <v>0</v>
      </c>
    </row>
    <row r="66" spans="1:41" ht="16.149999999999999" customHeight="1">
      <c r="A66" s="191">
        <v>60</v>
      </c>
      <c r="B66" s="192" t="s">
        <v>131</v>
      </c>
      <c r="C66" s="996">
        <v>0</v>
      </c>
      <c r="D66" s="194">
        <f>+'Table 5C1A-Madison Prep'!D66</f>
        <v>5301.224090063828</v>
      </c>
      <c r="E66" s="195">
        <f t="shared" si="8"/>
        <v>0</v>
      </c>
      <c r="F66" s="195">
        <f>+'Table 5C1A-Madison Prep'!F66</f>
        <v>594.04</v>
      </c>
      <c r="G66" s="195">
        <f t="shared" si="9"/>
        <v>0</v>
      </c>
      <c r="H66" s="346">
        <f t="shared" si="10"/>
        <v>0</v>
      </c>
      <c r="I66" s="196">
        <f>'[1]Oct midyear Advantage'!K63</f>
        <v>0</v>
      </c>
      <c r="J66" s="196">
        <f>'[1]Feb midyear Advantage'!K63</f>
        <v>0</v>
      </c>
      <c r="K66" s="197">
        <f t="shared" si="11"/>
        <v>0</v>
      </c>
      <c r="L66" s="346">
        <f t="shared" si="12"/>
        <v>0</v>
      </c>
      <c r="M66" s="296">
        <f t="shared" si="4"/>
        <v>0</v>
      </c>
      <c r="N66" s="346">
        <f t="shared" si="13"/>
        <v>0</v>
      </c>
      <c r="O66" s="194">
        <v>0</v>
      </c>
      <c r="P66" s="352">
        <f t="shared" si="14"/>
        <v>0</v>
      </c>
      <c r="Q66" s="196">
        <f>(4*'[2]Table 5C1Q-Advantage'!S66)+(4*'[3]Table 5C1Q-Advantage'!S66)</f>
        <v>0</v>
      </c>
      <c r="R66" s="196">
        <f t="shared" si="15"/>
        <v>0</v>
      </c>
      <c r="S66" s="352">
        <f t="shared" si="30"/>
        <v>0</v>
      </c>
      <c r="T66" s="352">
        <f t="shared" si="16"/>
        <v>0</v>
      </c>
      <c r="U66" s="281">
        <f>'Table 5C1A-Madison Prep'!U66</f>
        <v>4024</v>
      </c>
      <c r="V66" s="329">
        <f t="shared" si="17"/>
        <v>0</v>
      </c>
      <c r="W66" s="884">
        <f>'[1]Oct midyear Advantage'!E63</f>
        <v>0</v>
      </c>
      <c r="X66" s="282">
        <f t="shared" si="18"/>
        <v>0</v>
      </c>
      <c r="Y66" s="884">
        <f>'[1]Feb midyear Advantage'!E63</f>
        <v>0</v>
      </c>
      <c r="Z66" s="282">
        <f t="shared" si="19"/>
        <v>0</v>
      </c>
      <c r="AA66" s="283">
        <f t="shared" si="20"/>
        <v>0</v>
      </c>
      <c r="AB66" s="325">
        <f t="shared" si="21"/>
        <v>0</v>
      </c>
      <c r="AC66" s="298">
        <f t="shared" si="22"/>
        <v>0</v>
      </c>
      <c r="AD66" s="325">
        <f t="shared" si="23"/>
        <v>0</v>
      </c>
      <c r="AE66" s="284">
        <v>0</v>
      </c>
      <c r="AF66" s="325">
        <f t="shared" si="24"/>
        <v>0</v>
      </c>
      <c r="AG66" s="284">
        <f>(4*'[2]Table 5C1Q-Advantage'!AI66)+(4*'[3]Table 5C1Q-Advantage'!AI66)</f>
        <v>0</v>
      </c>
      <c r="AH66" s="284">
        <f t="shared" si="25"/>
        <v>0</v>
      </c>
      <c r="AI66" s="325">
        <f t="shared" si="31"/>
        <v>0</v>
      </c>
      <c r="AJ66" s="338">
        <f t="shared" si="26"/>
        <v>0</v>
      </c>
      <c r="AK66" s="343">
        <f t="shared" si="27"/>
        <v>0</v>
      </c>
      <c r="AM66" s="296">
        <v>0</v>
      </c>
      <c r="AN66" s="296">
        <f t="shared" si="28"/>
        <v>0</v>
      </c>
      <c r="AO66" s="296">
        <f t="shared" si="29"/>
        <v>0</v>
      </c>
    </row>
    <row r="67" spans="1:41" ht="16.149999999999999" customHeight="1">
      <c r="A67" s="205">
        <v>61</v>
      </c>
      <c r="B67" s="206" t="s">
        <v>132</v>
      </c>
      <c r="C67" s="994">
        <v>0</v>
      </c>
      <c r="D67" s="208">
        <f>+'Table 5C1A-Madison Prep'!D67</f>
        <v>2854.1575356369185</v>
      </c>
      <c r="E67" s="209">
        <f t="shared" si="8"/>
        <v>0</v>
      </c>
      <c r="F67" s="209">
        <f>+'Table 5C1A-Madison Prep'!F67</f>
        <v>833.70999999999992</v>
      </c>
      <c r="G67" s="209">
        <f t="shared" si="9"/>
        <v>0</v>
      </c>
      <c r="H67" s="344">
        <f t="shared" si="10"/>
        <v>0</v>
      </c>
      <c r="I67" s="210">
        <f>'[1]Oct midyear Advantage'!K64</f>
        <v>11063.602606910756</v>
      </c>
      <c r="J67" s="210">
        <f>'[1]Feb midyear Advantage'!K64</f>
        <v>0</v>
      </c>
      <c r="K67" s="211">
        <f t="shared" si="11"/>
        <v>11063.602606910756</v>
      </c>
      <c r="L67" s="344">
        <f t="shared" si="12"/>
        <v>11063.602606910756</v>
      </c>
      <c r="M67" s="273">
        <f t="shared" si="4"/>
        <v>-27.65900651727689</v>
      </c>
      <c r="N67" s="344">
        <f t="shared" si="13"/>
        <v>11035.943600393479</v>
      </c>
      <c r="O67" s="208">
        <v>0</v>
      </c>
      <c r="P67" s="350">
        <f t="shared" si="14"/>
        <v>11035.943600393479</v>
      </c>
      <c r="Q67" s="210">
        <f>(4*'[2]Table 5C1Q-Advantage'!S67)+(4*'[3]Table 5C1Q-Advantage'!S67)</f>
        <v>5516</v>
      </c>
      <c r="R67" s="210">
        <f t="shared" si="15"/>
        <v>5519.9436003934788</v>
      </c>
      <c r="S67" s="350">
        <f t="shared" si="30"/>
        <v>1380</v>
      </c>
      <c r="T67" s="350">
        <f t="shared" si="16"/>
        <v>11035.943600393479</v>
      </c>
      <c r="U67" s="274">
        <f>'Table 5C1A-Madison Prep'!U67</f>
        <v>6739</v>
      </c>
      <c r="V67" s="327">
        <f t="shared" si="17"/>
        <v>0</v>
      </c>
      <c r="W67" s="883">
        <f>'[1]Oct midyear Advantage'!E64</f>
        <v>3</v>
      </c>
      <c r="X67" s="276">
        <f t="shared" si="18"/>
        <v>20217</v>
      </c>
      <c r="Y67" s="883">
        <f>'[1]Feb midyear Advantage'!E64</f>
        <v>0</v>
      </c>
      <c r="Z67" s="276">
        <f t="shared" si="19"/>
        <v>0</v>
      </c>
      <c r="AA67" s="275">
        <f t="shared" si="20"/>
        <v>20217</v>
      </c>
      <c r="AB67" s="323">
        <f t="shared" si="21"/>
        <v>20217</v>
      </c>
      <c r="AC67" s="278">
        <f t="shared" si="22"/>
        <v>-50.542500000000004</v>
      </c>
      <c r="AD67" s="323">
        <f t="shared" si="23"/>
        <v>20166.4575</v>
      </c>
      <c r="AE67" s="279">
        <v>0</v>
      </c>
      <c r="AF67" s="323">
        <f t="shared" si="24"/>
        <v>20166.4575</v>
      </c>
      <c r="AG67" s="279">
        <f>(4*'[2]Table 5C1Q-Advantage'!AI67)+(4*'[3]Table 5C1Q-Advantage'!AI67)</f>
        <v>10092</v>
      </c>
      <c r="AH67" s="279">
        <f t="shared" si="25"/>
        <v>10074.4575</v>
      </c>
      <c r="AI67" s="323">
        <f t="shared" si="31"/>
        <v>2519</v>
      </c>
      <c r="AJ67" s="337">
        <f t="shared" si="26"/>
        <v>31202.401100393479</v>
      </c>
      <c r="AK67" s="341">
        <f t="shared" si="27"/>
        <v>3899</v>
      </c>
      <c r="AM67" s="273">
        <v>0</v>
      </c>
      <c r="AN67" s="273">
        <f t="shared" si="28"/>
        <v>-50.542500000000004</v>
      </c>
      <c r="AO67" s="273">
        <f t="shared" si="29"/>
        <v>-50.542500000000004</v>
      </c>
    </row>
    <row r="68" spans="1:41" ht="16.149999999999999" customHeight="1">
      <c r="A68" s="198">
        <v>62</v>
      </c>
      <c r="B68" s="199" t="s">
        <v>133</v>
      </c>
      <c r="C68" s="995">
        <v>0</v>
      </c>
      <c r="D68" s="201">
        <f>+'Table 5C1A-Madison Prep'!D68</f>
        <v>5901.074538516008</v>
      </c>
      <c r="E68" s="202">
        <f t="shared" si="8"/>
        <v>0</v>
      </c>
      <c r="F68" s="202">
        <f>+'Table 5C1A-Madison Prep'!F68</f>
        <v>516.08000000000004</v>
      </c>
      <c r="G68" s="202">
        <f t="shared" si="9"/>
        <v>0</v>
      </c>
      <c r="H68" s="345">
        <f t="shared" si="10"/>
        <v>0</v>
      </c>
      <c r="I68" s="203">
        <f>'[1]Oct midyear Advantage'!K65</f>
        <v>0</v>
      </c>
      <c r="J68" s="203">
        <f>'[1]Feb midyear Advantage'!K65</f>
        <v>0</v>
      </c>
      <c r="K68" s="204">
        <f t="shared" si="11"/>
        <v>0</v>
      </c>
      <c r="L68" s="345">
        <f t="shared" si="12"/>
        <v>0</v>
      </c>
      <c r="M68" s="286">
        <f t="shared" si="4"/>
        <v>0</v>
      </c>
      <c r="N68" s="345">
        <f t="shared" si="13"/>
        <v>0</v>
      </c>
      <c r="O68" s="201">
        <v>0</v>
      </c>
      <c r="P68" s="351">
        <f t="shared" si="14"/>
        <v>0</v>
      </c>
      <c r="Q68" s="203">
        <f>(4*'[2]Table 5C1Q-Advantage'!S68)+(4*'[3]Table 5C1Q-Advantage'!S68)</f>
        <v>0</v>
      </c>
      <c r="R68" s="203">
        <f t="shared" si="15"/>
        <v>0</v>
      </c>
      <c r="S68" s="351">
        <f t="shared" si="30"/>
        <v>0</v>
      </c>
      <c r="T68" s="351">
        <f t="shared" si="16"/>
        <v>0</v>
      </c>
      <c r="U68" s="287">
        <f>'Table 5C1A-Madison Prep'!U68</f>
        <v>2089</v>
      </c>
      <c r="V68" s="328">
        <f t="shared" si="17"/>
        <v>0</v>
      </c>
      <c r="W68" s="289">
        <f>'[1]Oct midyear Advantage'!E65</f>
        <v>0</v>
      </c>
      <c r="X68" s="290">
        <f t="shared" si="18"/>
        <v>0</v>
      </c>
      <c r="Y68" s="289">
        <f>'[1]Feb midyear Advantage'!E65</f>
        <v>0</v>
      </c>
      <c r="Z68" s="290">
        <f t="shared" si="19"/>
        <v>0</v>
      </c>
      <c r="AA68" s="288">
        <f t="shared" si="20"/>
        <v>0</v>
      </c>
      <c r="AB68" s="324">
        <f t="shared" si="21"/>
        <v>0</v>
      </c>
      <c r="AC68" s="292">
        <f t="shared" si="22"/>
        <v>0</v>
      </c>
      <c r="AD68" s="324">
        <f t="shared" si="23"/>
        <v>0</v>
      </c>
      <c r="AE68" s="293">
        <v>0</v>
      </c>
      <c r="AF68" s="324">
        <f t="shared" si="24"/>
        <v>0</v>
      </c>
      <c r="AG68" s="293">
        <f>(4*'[2]Table 5C1Q-Advantage'!AI68)+(4*'[3]Table 5C1Q-Advantage'!AI68)</f>
        <v>0</v>
      </c>
      <c r="AH68" s="293">
        <f t="shared" si="25"/>
        <v>0</v>
      </c>
      <c r="AI68" s="324">
        <f t="shared" si="31"/>
        <v>0</v>
      </c>
      <c r="AJ68" s="321">
        <f t="shared" si="26"/>
        <v>0</v>
      </c>
      <c r="AK68" s="342">
        <f t="shared" si="27"/>
        <v>0</v>
      </c>
      <c r="AM68" s="286">
        <v>0</v>
      </c>
      <c r="AN68" s="286">
        <f t="shared" si="28"/>
        <v>0</v>
      </c>
      <c r="AO68" s="286">
        <f t="shared" si="29"/>
        <v>0</v>
      </c>
    </row>
    <row r="69" spans="1:41" ht="16.149999999999999" customHeight="1">
      <c r="A69" s="198">
        <v>63</v>
      </c>
      <c r="B69" s="199" t="s">
        <v>134</v>
      </c>
      <c r="C69" s="995">
        <v>0</v>
      </c>
      <c r="D69" s="201">
        <f>+'Table 5C1A-Madison Prep'!D69</f>
        <v>4124.3813481848092</v>
      </c>
      <c r="E69" s="202">
        <f t="shared" si="8"/>
        <v>0</v>
      </c>
      <c r="F69" s="202">
        <f>+'Table 5C1A-Madison Prep'!F69</f>
        <v>756.79</v>
      </c>
      <c r="G69" s="202">
        <f t="shared" si="9"/>
        <v>0</v>
      </c>
      <c r="H69" s="345">
        <f t="shared" si="10"/>
        <v>0</v>
      </c>
      <c r="I69" s="203">
        <f>'[1]Oct midyear Advantage'!K66</f>
        <v>0</v>
      </c>
      <c r="J69" s="203">
        <f>'[1]Feb midyear Advantage'!K66</f>
        <v>0</v>
      </c>
      <c r="K69" s="204">
        <f t="shared" si="11"/>
        <v>0</v>
      </c>
      <c r="L69" s="345">
        <f t="shared" si="12"/>
        <v>0</v>
      </c>
      <c r="M69" s="286">
        <f t="shared" si="4"/>
        <v>0</v>
      </c>
      <c r="N69" s="345">
        <f t="shared" si="13"/>
        <v>0</v>
      </c>
      <c r="O69" s="201">
        <v>0</v>
      </c>
      <c r="P69" s="351">
        <f t="shared" si="14"/>
        <v>0</v>
      </c>
      <c r="Q69" s="203">
        <f>(4*'[2]Table 5C1Q-Advantage'!S69)+(4*'[3]Table 5C1Q-Advantage'!S69)</f>
        <v>0</v>
      </c>
      <c r="R69" s="203">
        <f t="shared" si="15"/>
        <v>0</v>
      </c>
      <c r="S69" s="351">
        <f t="shared" si="30"/>
        <v>0</v>
      </c>
      <c r="T69" s="351">
        <f t="shared" si="16"/>
        <v>0</v>
      </c>
      <c r="U69" s="287">
        <f>'Table 5C1A-Madison Prep'!U69</f>
        <v>7403</v>
      </c>
      <c r="V69" s="328">
        <f t="shared" si="17"/>
        <v>0</v>
      </c>
      <c r="W69" s="289">
        <f>'[1]Oct midyear Advantage'!E66</f>
        <v>0</v>
      </c>
      <c r="X69" s="290">
        <f t="shared" si="18"/>
        <v>0</v>
      </c>
      <c r="Y69" s="289">
        <f>'[1]Feb midyear Advantage'!E66</f>
        <v>0</v>
      </c>
      <c r="Z69" s="290">
        <f t="shared" si="19"/>
        <v>0</v>
      </c>
      <c r="AA69" s="288">
        <f t="shared" si="20"/>
        <v>0</v>
      </c>
      <c r="AB69" s="324">
        <f t="shared" si="21"/>
        <v>0</v>
      </c>
      <c r="AC69" s="292">
        <f t="shared" si="22"/>
        <v>0</v>
      </c>
      <c r="AD69" s="324">
        <f t="shared" si="23"/>
        <v>0</v>
      </c>
      <c r="AE69" s="293">
        <v>0</v>
      </c>
      <c r="AF69" s="324">
        <f t="shared" si="24"/>
        <v>0</v>
      </c>
      <c r="AG69" s="293">
        <f>(4*'[2]Table 5C1Q-Advantage'!AI69)+(4*'[3]Table 5C1Q-Advantage'!AI69)</f>
        <v>0</v>
      </c>
      <c r="AH69" s="293">
        <f t="shared" si="25"/>
        <v>0</v>
      </c>
      <c r="AI69" s="324">
        <f t="shared" si="31"/>
        <v>0</v>
      </c>
      <c r="AJ69" s="321">
        <f t="shared" si="26"/>
        <v>0</v>
      </c>
      <c r="AK69" s="342">
        <f t="shared" si="27"/>
        <v>0</v>
      </c>
      <c r="AM69" s="286">
        <v>0</v>
      </c>
      <c r="AN69" s="286">
        <f t="shared" si="28"/>
        <v>0</v>
      </c>
      <c r="AO69" s="286">
        <f t="shared" si="29"/>
        <v>0</v>
      </c>
    </row>
    <row r="70" spans="1:41" ht="16.149999999999999" customHeight="1">
      <c r="A70" s="198">
        <v>64</v>
      </c>
      <c r="B70" s="199" t="s">
        <v>135</v>
      </c>
      <c r="C70" s="995">
        <v>0</v>
      </c>
      <c r="D70" s="201">
        <f>+'Table 5C1A-Madison Prep'!D70</f>
        <v>6277.8307532778254</v>
      </c>
      <c r="E70" s="202">
        <f t="shared" si="8"/>
        <v>0</v>
      </c>
      <c r="F70" s="202">
        <f>+'Table 5C1A-Madison Prep'!F70</f>
        <v>592.66</v>
      </c>
      <c r="G70" s="202">
        <f t="shared" si="9"/>
        <v>0</v>
      </c>
      <c r="H70" s="345">
        <f t="shared" si="10"/>
        <v>0</v>
      </c>
      <c r="I70" s="203">
        <f>'[1]Oct midyear Advantage'!K67</f>
        <v>0</v>
      </c>
      <c r="J70" s="203">
        <f>'[1]Feb midyear Advantage'!K67</f>
        <v>0</v>
      </c>
      <c r="K70" s="204">
        <f t="shared" si="11"/>
        <v>0</v>
      </c>
      <c r="L70" s="345">
        <f t="shared" si="12"/>
        <v>0</v>
      </c>
      <c r="M70" s="286">
        <f t="shared" si="4"/>
        <v>0</v>
      </c>
      <c r="N70" s="345">
        <f t="shared" si="13"/>
        <v>0</v>
      </c>
      <c r="O70" s="201">
        <v>0</v>
      </c>
      <c r="P70" s="351">
        <f t="shared" si="14"/>
        <v>0</v>
      </c>
      <c r="Q70" s="203">
        <f>(4*'[2]Table 5C1Q-Advantage'!S70)+(4*'[3]Table 5C1Q-Advantage'!S70)</f>
        <v>0</v>
      </c>
      <c r="R70" s="203">
        <f t="shared" si="15"/>
        <v>0</v>
      </c>
      <c r="S70" s="351">
        <f t="shared" si="30"/>
        <v>0</v>
      </c>
      <c r="T70" s="351">
        <f t="shared" si="16"/>
        <v>0</v>
      </c>
      <c r="U70" s="287">
        <f>'Table 5C1A-Madison Prep'!U70</f>
        <v>2802</v>
      </c>
      <c r="V70" s="328">
        <f t="shared" si="17"/>
        <v>0</v>
      </c>
      <c r="W70" s="289">
        <f>'[1]Oct midyear Advantage'!E67</f>
        <v>0</v>
      </c>
      <c r="X70" s="290">
        <f t="shared" si="18"/>
        <v>0</v>
      </c>
      <c r="Y70" s="289">
        <f>'[1]Feb midyear Advantage'!E67</f>
        <v>0</v>
      </c>
      <c r="Z70" s="290">
        <f t="shared" si="19"/>
        <v>0</v>
      </c>
      <c r="AA70" s="288">
        <f t="shared" si="20"/>
        <v>0</v>
      </c>
      <c r="AB70" s="324">
        <f t="shared" si="21"/>
        <v>0</v>
      </c>
      <c r="AC70" s="292">
        <f t="shared" si="22"/>
        <v>0</v>
      </c>
      <c r="AD70" s="324">
        <f t="shared" si="23"/>
        <v>0</v>
      </c>
      <c r="AE70" s="293">
        <v>0</v>
      </c>
      <c r="AF70" s="324">
        <f t="shared" si="24"/>
        <v>0</v>
      </c>
      <c r="AG70" s="293">
        <f>(4*'[2]Table 5C1Q-Advantage'!AI70)+(4*'[3]Table 5C1Q-Advantage'!AI70)</f>
        <v>0</v>
      </c>
      <c r="AH70" s="293">
        <f t="shared" si="25"/>
        <v>0</v>
      </c>
      <c r="AI70" s="324">
        <f t="shared" si="31"/>
        <v>0</v>
      </c>
      <c r="AJ70" s="321">
        <f t="shared" si="26"/>
        <v>0</v>
      </c>
      <c r="AK70" s="342">
        <f t="shared" si="27"/>
        <v>0</v>
      </c>
      <c r="AM70" s="286">
        <v>0</v>
      </c>
      <c r="AN70" s="286">
        <f t="shared" si="28"/>
        <v>0</v>
      </c>
      <c r="AO70" s="286">
        <f t="shared" si="29"/>
        <v>0</v>
      </c>
    </row>
    <row r="71" spans="1:41" ht="16.149999999999999" customHeight="1">
      <c r="A71" s="191">
        <v>65</v>
      </c>
      <c r="B71" s="192" t="s">
        <v>136</v>
      </c>
      <c r="C71" s="996">
        <v>0</v>
      </c>
      <c r="D71" s="194">
        <f>+'Table 5C1A-Madison Prep'!D71</f>
        <v>4775.1605543943642</v>
      </c>
      <c r="E71" s="195">
        <f t="shared" si="8"/>
        <v>0</v>
      </c>
      <c r="F71" s="195">
        <f>+'Table 5C1A-Madison Prep'!F71</f>
        <v>829.12</v>
      </c>
      <c r="G71" s="195">
        <f t="shared" si="9"/>
        <v>0</v>
      </c>
      <c r="H71" s="346">
        <f t="shared" si="10"/>
        <v>0</v>
      </c>
      <c r="I71" s="196">
        <f>'[1]Oct midyear Advantage'!K68</f>
        <v>0</v>
      </c>
      <c r="J71" s="196">
        <f>'[1]Feb midyear Advantage'!K68</f>
        <v>0</v>
      </c>
      <c r="K71" s="197">
        <f t="shared" si="11"/>
        <v>0</v>
      </c>
      <c r="L71" s="346">
        <f t="shared" si="12"/>
        <v>0</v>
      </c>
      <c r="M71" s="296">
        <f t="shared" ref="M71:M74" si="32">-(0.25%*L71)</f>
        <v>0</v>
      </c>
      <c r="N71" s="346">
        <f t="shared" si="13"/>
        <v>0</v>
      </c>
      <c r="O71" s="194">
        <v>0</v>
      </c>
      <c r="P71" s="352">
        <f t="shared" si="14"/>
        <v>0</v>
      </c>
      <c r="Q71" s="196">
        <f>(4*'[2]Table 5C1Q-Advantage'!S71)+(4*'[3]Table 5C1Q-Advantage'!S71)</f>
        <v>0</v>
      </c>
      <c r="R71" s="196">
        <f t="shared" si="15"/>
        <v>0</v>
      </c>
      <c r="S71" s="352">
        <f t="shared" ref="S71:S75" si="33">ROUND(R71/$S$88,0)</f>
        <v>0</v>
      </c>
      <c r="T71" s="352">
        <f t="shared" si="16"/>
        <v>0</v>
      </c>
      <c r="U71" s="281">
        <f>'Table 5C1A-Madison Prep'!U71</f>
        <v>5215</v>
      </c>
      <c r="V71" s="329">
        <f t="shared" si="17"/>
        <v>0</v>
      </c>
      <c r="W71" s="884">
        <f>'[1]Oct midyear Advantage'!E68</f>
        <v>0</v>
      </c>
      <c r="X71" s="282">
        <f t="shared" si="18"/>
        <v>0</v>
      </c>
      <c r="Y71" s="884">
        <f>'[1]Feb midyear Advantage'!E68</f>
        <v>0</v>
      </c>
      <c r="Z71" s="282">
        <f t="shared" si="19"/>
        <v>0</v>
      </c>
      <c r="AA71" s="283">
        <f t="shared" si="20"/>
        <v>0</v>
      </c>
      <c r="AB71" s="325">
        <f t="shared" si="21"/>
        <v>0</v>
      </c>
      <c r="AC71" s="298">
        <f t="shared" si="22"/>
        <v>0</v>
      </c>
      <c r="AD71" s="325">
        <f t="shared" si="23"/>
        <v>0</v>
      </c>
      <c r="AE71" s="284">
        <v>0</v>
      </c>
      <c r="AF71" s="325">
        <f t="shared" si="24"/>
        <v>0</v>
      </c>
      <c r="AG71" s="284">
        <f>(4*'[2]Table 5C1Q-Advantage'!AI71)+(4*'[3]Table 5C1Q-Advantage'!AI71)</f>
        <v>0</v>
      </c>
      <c r="AH71" s="284">
        <f t="shared" si="25"/>
        <v>0</v>
      </c>
      <c r="AI71" s="325">
        <f t="shared" ref="AI71:AI75" si="34">ROUND(AH71/$AI$88,0)</f>
        <v>0</v>
      </c>
      <c r="AJ71" s="338">
        <f t="shared" si="26"/>
        <v>0</v>
      </c>
      <c r="AK71" s="343">
        <f t="shared" si="27"/>
        <v>0</v>
      </c>
      <c r="AM71" s="296">
        <v>0</v>
      </c>
      <c r="AN71" s="296">
        <f t="shared" si="28"/>
        <v>0</v>
      </c>
      <c r="AO71" s="296">
        <f t="shared" si="29"/>
        <v>0</v>
      </c>
    </row>
    <row r="72" spans="1:41" ht="16.149999999999999" customHeight="1">
      <c r="A72" s="205">
        <v>66</v>
      </c>
      <c r="B72" s="206" t="s">
        <v>137</v>
      </c>
      <c r="C72" s="994">
        <v>0</v>
      </c>
      <c r="D72" s="208">
        <f>+'Table 5C1A-Madison Prep'!D72</f>
        <v>6564.0085433910035</v>
      </c>
      <c r="E72" s="209">
        <f t="shared" ref="E72:E75" si="35">C72*D72</f>
        <v>0</v>
      </c>
      <c r="F72" s="209">
        <f>+'Table 5C1A-Madison Prep'!F72</f>
        <v>730.06</v>
      </c>
      <c r="G72" s="209">
        <f t="shared" ref="G72:G75" si="36">C72*F72</f>
        <v>0</v>
      </c>
      <c r="H72" s="344">
        <f t="shared" ref="H72:H75" si="37">E72+G72</f>
        <v>0</v>
      </c>
      <c r="I72" s="210">
        <f>'[1]Oct midyear Advantage'!K69</f>
        <v>0</v>
      </c>
      <c r="J72" s="210">
        <f>'[1]Feb midyear Advantage'!K69</f>
        <v>0</v>
      </c>
      <c r="K72" s="211">
        <f t="shared" ref="K72:K75" si="38">I72+J72</f>
        <v>0</v>
      </c>
      <c r="L72" s="344">
        <f t="shared" ref="L72:L75" si="39">+H72+K72</f>
        <v>0</v>
      </c>
      <c r="M72" s="273">
        <f t="shared" si="32"/>
        <v>0</v>
      </c>
      <c r="N72" s="344">
        <f t="shared" ref="N72:N75" si="40">SUM(L72:M72)</f>
        <v>0</v>
      </c>
      <c r="O72" s="208">
        <v>0</v>
      </c>
      <c r="P72" s="350">
        <f t="shared" ref="P72:P75" si="41">SUM(N72:O72)</f>
        <v>0</v>
      </c>
      <c r="Q72" s="210">
        <f>(4*'[2]Table 5C1Q-Advantage'!S72)+(4*'[3]Table 5C1Q-Advantage'!S72)</f>
        <v>0</v>
      </c>
      <c r="R72" s="210">
        <f t="shared" ref="R72:R75" si="42">+P72-Q72</f>
        <v>0</v>
      </c>
      <c r="S72" s="350">
        <f t="shared" si="33"/>
        <v>0</v>
      </c>
      <c r="T72" s="350">
        <f t="shared" ref="T72:T75" si="43">+P72</f>
        <v>0</v>
      </c>
      <c r="U72" s="274">
        <f>'Table 5C1A-Madison Prep'!U72</f>
        <v>3609</v>
      </c>
      <c r="V72" s="327">
        <f t="shared" ref="V72:V75" si="44">C72*U72</f>
        <v>0</v>
      </c>
      <c r="W72" s="883">
        <f>'[1]Oct midyear Advantage'!E69</f>
        <v>0</v>
      </c>
      <c r="X72" s="276">
        <f t="shared" ref="X72:X75" si="45">+U72*W72</f>
        <v>0</v>
      </c>
      <c r="Y72" s="883">
        <f>'[1]Feb midyear Advantage'!E69</f>
        <v>0</v>
      </c>
      <c r="Z72" s="276">
        <f t="shared" ref="Z72:Z75" si="46">+U72*Y72*0.5</f>
        <v>0</v>
      </c>
      <c r="AA72" s="275">
        <f t="shared" ref="AA72:AA75" si="47">+X72+Z72</f>
        <v>0</v>
      </c>
      <c r="AB72" s="323">
        <f t="shared" ref="AB72:AB75" si="48">+V72+AA72</f>
        <v>0</v>
      </c>
      <c r="AC72" s="278">
        <f t="shared" ref="AC72:AC75" si="49">-(0.25%*AB72)</f>
        <v>0</v>
      </c>
      <c r="AD72" s="323">
        <f t="shared" ref="AD72:AD75" si="50">SUM(AB72:AC72)</f>
        <v>0</v>
      </c>
      <c r="AE72" s="279">
        <v>0</v>
      </c>
      <c r="AF72" s="323">
        <f t="shared" ref="AF72:AF75" si="51">SUM(AD72:AE72)</f>
        <v>0</v>
      </c>
      <c r="AG72" s="279">
        <f>(4*'[2]Table 5C1Q-Advantage'!AI72)+(4*'[3]Table 5C1Q-Advantage'!AI72)</f>
        <v>0</v>
      </c>
      <c r="AH72" s="279">
        <f t="shared" ref="AH72:AH75" si="52">+AF72-AG72</f>
        <v>0</v>
      </c>
      <c r="AI72" s="323">
        <f t="shared" si="34"/>
        <v>0</v>
      </c>
      <c r="AJ72" s="337">
        <f t="shared" ref="AJ72:AJ75" si="53">T72+AF72</f>
        <v>0</v>
      </c>
      <c r="AK72" s="341">
        <f t="shared" ref="AK72:AK75" si="54">S72+AI72</f>
        <v>0</v>
      </c>
      <c r="AM72" s="310">
        <v>0</v>
      </c>
      <c r="AN72" s="310">
        <f t="shared" ref="AN72:AN75" si="55">+AC72</f>
        <v>0</v>
      </c>
      <c r="AO72" s="310">
        <f t="shared" si="29"/>
        <v>0</v>
      </c>
    </row>
    <row r="73" spans="1:41" ht="16.149999999999999" customHeight="1">
      <c r="A73" s="198">
        <v>67</v>
      </c>
      <c r="B73" s="199" t="s">
        <v>28</v>
      </c>
      <c r="C73" s="995">
        <v>0</v>
      </c>
      <c r="D73" s="201">
        <f>+'Table 5C1A-Madison Prep'!D73</f>
        <v>5029.1467736134118</v>
      </c>
      <c r="E73" s="202">
        <f t="shared" si="35"/>
        <v>0</v>
      </c>
      <c r="F73" s="202">
        <f>+'Table 5C1A-Madison Prep'!F73</f>
        <v>715.61</v>
      </c>
      <c r="G73" s="202">
        <f t="shared" si="36"/>
        <v>0</v>
      </c>
      <c r="H73" s="345">
        <f t="shared" si="37"/>
        <v>0</v>
      </c>
      <c r="I73" s="203">
        <f>'[1]Oct midyear Advantage'!K70</f>
        <v>34468.540641680469</v>
      </c>
      <c r="J73" s="203">
        <f>'[1]Feb midyear Advantage'!K70</f>
        <v>-5744.7567736134115</v>
      </c>
      <c r="K73" s="204">
        <f t="shared" si="38"/>
        <v>28723.783868067057</v>
      </c>
      <c r="L73" s="345">
        <f t="shared" si="39"/>
        <v>28723.783868067057</v>
      </c>
      <c r="M73" s="286">
        <f t="shared" si="32"/>
        <v>-71.809459670167641</v>
      </c>
      <c r="N73" s="345">
        <f t="shared" si="40"/>
        <v>28651.974408396891</v>
      </c>
      <c r="O73" s="201">
        <v>0</v>
      </c>
      <c r="P73" s="351">
        <f t="shared" si="41"/>
        <v>28651.974408396891</v>
      </c>
      <c r="Q73" s="203">
        <f>(4*'[2]Table 5C1Q-Advantage'!S73)+(4*'[3]Table 5C1Q-Advantage'!S73)</f>
        <v>17192</v>
      </c>
      <c r="R73" s="203">
        <f t="shared" si="42"/>
        <v>11459.974408396891</v>
      </c>
      <c r="S73" s="351">
        <f t="shared" si="33"/>
        <v>2865</v>
      </c>
      <c r="T73" s="351">
        <f t="shared" si="43"/>
        <v>28651.974408396891</v>
      </c>
      <c r="U73" s="287">
        <f>'Table 5C1A-Madison Prep'!U73</f>
        <v>5069</v>
      </c>
      <c r="V73" s="328">
        <f t="shared" si="44"/>
        <v>0</v>
      </c>
      <c r="W73" s="289">
        <f>'[1]Oct midyear Advantage'!E70</f>
        <v>6</v>
      </c>
      <c r="X73" s="290">
        <f t="shared" si="45"/>
        <v>30414</v>
      </c>
      <c r="Y73" s="289">
        <f>'[1]Feb midyear Advantage'!E70</f>
        <v>-2</v>
      </c>
      <c r="Z73" s="290">
        <f t="shared" si="46"/>
        <v>-5069</v>
      </c>
      <c r="AA73" s="288">
        <f t="shared" si="47"/>
        <v>25345</v>
      </c>
      <c r="AB73" s="324">
        <f t="shared" si="48"/>
        <v>25345</v>
      </c>
      <c r="AC73" s="292">
        <f t="shared" si="49"/>
        <v>-63.362500000000004</v>
      </c>
      <c r="AD73" s="324">
        <f t="shared" si="50"/>
        <v>25281.637500000001</v>
      </c>
      <c r="AE73" s="293">
        <v>0</v>
      </c>
      <c r="AF73" s="324">
        <f t="shared" si="51"/>
        <v>25281.637500000001</v>
      </c>
      <c r="AG73" s="293">
        <f>(4*'[2]Table 5C1Q-Advantage'!AI73)+(4*'[3]Table 5C1Q-Advantage'!AI73)</f>
        <v>15008</v>
      </c>
      <c r="AH73" s="293">
        <f t="shared" si="52"/>
        <v>10273.637500000001</v>
      </c>
      <c r="AI73" s="324">
        <f t="shared" si="34"/>
        <v>2568</v>
      </c>
      <c r="AJ73" s="321">
        <f t="shared" si="53"/>
        <v>53933.611908396895</v>
      </c>
      <c r="AK73" s="342">
        <f t="shared" si="54"/>
        <v>5433</v>
      </c>
      <c r="AM73" s="310">
        <v>0</v>
      </c>
      <c r="AN73" s="310">
        <f t="shared" si="55"/>
        <v>-63.362500000000004</v>
      </c>
      <c r="AO73" s="310">
        <f t="shared" si="29"/>
        <v>-63.362500000000004</v>
      </c>
    </row>
    <row r="74" spans="1:41" ht="16.149999999999999" customHeight="1">
      <c r="A74" s="198">
        <v>68</v>
      </c>
      <c r="B74" s="199" t="s">
        <v>27</v>
      </c>
      <c r="C74" s="995">
        <v>0</v>
      </c>
      <c r="D74" s="201">
        <f>+'Table 5C1A-Madison Prep'!D74</f>
        <v>6390.1644202560601</v>
      </c>
      <c r="E74" s="202">
        <f t="shared" si="35"/>
        <v>0</v>
      </c>
      <c r="F74" s="202">
        <f>+'Table 5C1A-Madison Prep'!F74</f>
        <v>798.7</v>
      </c>
      <c r="G74" s="202">
        <f t="shared" si="36"/>
        <v>0</v>
      </c>
      <c r="H74" s="345">
        <f t="shared" si="37"/>
        <v>0</v>
      </c>
      <c r="I74" s="203">
        <f>'[1]Oct midyear Advantage'!K71</f>
        <v>1502472.6638335164</v>
      </c>
      <c r="J74" s="203">
        <f>'[1]Feb midyear Advantage'!K71</f>
        <v>-39538.754311408331</v>
      </c>
      <c r="K74" s="204">
        <f t="shared" si="38"/>
        <v>1462933.909522108</v>
      </c>
      <c r="L74" s="345">
        <f t="shared" si="39"/>
        <v>1462933.909522108</v>
      </c>
      <c r="M74" s="286">
        <f t="shared" si="32"/>
        <v>-3657.3347738052703</v>
      </c>
      <c r="N74" s="345">
        <f t="shared" si="40"/>
        <v>1459276.5747483028</v>
      </c>
      <c r="O74" s="201">
        <v>0</v>
      </c>
      <c r="P74" s="351">
        <f t="shared" si="41"/>
        <v>1459276.5747483028</v>
      </c>
      <c r="Q74" s="203">
        <f>(4*'[2]Table 5C1Q-Advantage'!S74)+(4*'[3]Table 5C1Q-Advantage'!S74)</f>
        <v>1044560</v>
      </c>
      <c r="R74" s="203">
        <f t="shared" si="42"/>
        <v>414716.57474830281</v>
      </c>
      <c r="S74" s="351">
        <f t="shared" si="33"/>
        <v>103679</v>
      </c>
      <c r="T74" s="351">
        <f t="shared" si="43"/>
        <v>1459276.5747483028</v>
      </c>
      <c r="U74" s="287">
        <f>'Table 5C1A-Madison Prep'!U74</f>
        <v>2880</v>
      </c>
      <c r="V74" s="328">
        <f t="shared" si="44"/>
        <v>0</v>
      </c>
      <c r="W74" s="289">
        <f>'[1]Oct midyear Advantage'!E71</f>
        <v>209</v>
      </c>
      <c r="X74" s="290">
        <f t="shared" si="45"/>
        <v>601920</v>
      </c>
      <c r="Y74" s="289">
        <f>'[1]Feb midyear Advantage'!E71</f>
        <v>-11</v>
      </c>
      <c r="Z74" s="290">
        <f t="shared" si="46"/>
        <v>-15840</v>
      </c>
      <c r="AA74" s="288">
        <f t="shared" si="47"/>
        <v>586080</v>
      </c>
      <c r="AB74" s="324">
        <f t="shared" si="48"/>
        <v>586080</v>
      </c>
      <c r="AC74" s="292">
        <f t="shared" si="49"/>
        <v>-1465.2</v>
      </c>
      <c r="AD74" s="324">
        <f t="shared" si="50"/>
        <v>584614.80000000005</v>
      </c>
      <c r="AE74" s="293">
        <v>0</v>
      </c>
      <c r="AF74" s="324">
        <f t="shared" si="51"/>
        <v>584614.80000000005</v>
      </c>
      <c r="AG74" s="293">
        <f>(4*'[2]Table 5C1Q-Advantage'!AI74)+(4*'[3]Table 5C1Q-Advantage'!AI74)</f>
        <v>387816</v>
      </c>
      <c r="AH74" s="293">
        <f t="shared" si="52"/>
        <v>196798.80000000005</v>
      </c>
      <c r="AI74" s="324">
        <f t="shared" si="34"/>
        <v>49200</v>
      </c>
      <c r="AJ74" s="321">
        <f t="shared" si="53"/>
        <v>2043891.3747483029</v>
      </c>
      <c r="AK74" s="342">
        <f t="shared" si="54"/>
        <v>152879</v>
      </c>
      <c r="AM74" s="310">
        <v>-1648.1075000000001</v>
      </c>
      <c r="AN74" s="310">
        <f t="shared" si="55"/>
        <v>-1465.2</v>
      </c>
      <c r="AO74" s="310">
        <f t="shared" si="29"/>
        <v>182.90750000000003</v>
      </c>
    </row>
    <row r="75" spans="1:41" ht="16.149999999999999" customHeight="1">
      <c r="A75" s="198">
        <v>69</v>
      </c>
      <c r="B75" s="199" t="s">
        <v>147</v>
      </c>
      <c r="C75" s="995">
        <v>0</v>
      </c>
      <c r="D75" s="201">
        <f>+'Table 5C1A-Madison Prep'!D75</f>
        <v>5722.4947921281337</v>
      </c>
      <c r="E75" s="202">
        <f t="shared" si="35"/>
        <v>0</v>
      </c>
      <c r="F75" s="202">
        <f>+'Table 5C1A-Madison Prep'!F75</f>
        <v>705.67</v>
      </c>
      <c r="G75" s="202">
        <f t="shared" si="36"/>
        <v>0</v>
      </c>
      <c r="H75" s="345">
        <f t="shared" si="37"/>
        <v>0</v>
      </c>
      <c r="I75" s="203">
        <f>'[1]Oct midyear Advantage'!K72</f>
        <v>19284.494376384402</v>
      </c>
      <c r="J75" s="203">
        <f>'[1]Feb midyear Advantage'!K72</f>
        <v>0</v>
      </c>
      <c r="K75" s="204">
        <f t="shared" si="38"/>
        <v>19284.494376384402</v>
      </c>
      <c r="L75" s="345">
        <f t="shared" si="39"/>
        <v>19284.494376384402</v>
      </c>
      <c r="M75" s="286">
        <f>-(0.25%*L75)</f>
        <v>-48.211235940961004</v>
      </c>
      <c r="N75" s="345">
        <f t="shared" si="40"/>
        <v>19236.28314044344</v>
      </c>
      <c r="O75" s="201">
        <v>0</v>
      </c>
      <c r="P75" s="351">
        <f t="shared" si="41"/>
        <v>19236.28314044344</v>
      </c>
      <c r="Q75" s="203">
        <f>(4*'[2]Table 5C1Q-Advantage'!S75)+(4*'[3]Table 5C1Q-Advantage'!S75)</f>
        <v>9620</v>
      </c>
      <c r="R75" s="203">
        <f t="shared" si="42"/>
        <v>9616.2831404434401</v>
      </c>
      <c r="S75" s="351">
        <f t="shared" si="33"/>
        <v>2404</v>
      </c>
      <c r="T75" s="351">
        <f t="shared" si="43"/>
        <v>19236.28314044344</v>
      </c>
      <c r="U75" s="287">
        <f>'Table 5C1A-Madison Prep'!U75</f>
        <v>3330</v>
      </c>
      <c r="V75" s="328">
        <f t="shared" si="44"/>
        <v>0</v>
      </c>
      <c r="W75" s="289">
        <f>'[1]Oct midyear Advantage'!E72</f>
        <v>3</v>
      </c>
      <c r="X75" s="290">
        <f t="shared" si="45"/>
        <v>9990</v>
      </c>
      <c r="Y75" s="289">
        <f>'[1]Feb midyear Advantage'!E72</f>
        <v>0</v>
      </c>
      <c r="Z75" s="290">
        <f t="shared" si="46"/>
        <v>0</v>
      </c>
      <c r="AA75" s="288">
        <f t="shared" si="47"/>
        <v>9990</v>
      </c>
      <c r="AB75" s="324">
        <f t="shared" si="48"/>
        <v>9990</v>
      </c>
      <c r="AC75" s="292">
        <f t="shared" si="49"/>
        <v>-24.975000000000001</v>
      </c>
      <c r="AD75" s="324">
        <f t="shared" si="50"/>
        <v>9965.0249999999996</v>
      </c>
      <c r="AE75" s="293">
        <v>0</v>
      </c>
      <c r="AF75" s="324">
        <f t="shared" si="51"/>
        <v>9965.0249999999996</v>
      </c>
      <c r="AG75" s="293">
        <f>(4*'[2]Table 5C1Q-Advantage'!AI75)+(4*'[3]Table 5C1Q-Advantage'!AI75)</f>
        <v>5080</v>
      </c>
      <c r="AH75" s="293">
        <f t="shared" si="52"/>
        <v>4885.0249999999996</v>
      </c>
      <c r="AI75" s="324">
        <f t="shared" si="34"/>
        <v>1221</v>
      </c>
      <c r="AJ75" s="321">
        <f t="shared" si="53"/>
        <v>29201.308140443442</v>
      </c>
      <c r="AK75" s="342">
        <f t="shared" si="54"/>
        <v>3625</v>
      </c>
      <c r="AM75" s="300">
        <v>0</v>
      </c>
      <c r="AN75" s="300">
        <f t="shared" si="55"/>
        <v>-24.975000000000001</v>
      </c>
      <c r="AO75" s="300">
        <f t="shared" si="29"/>
        <v>-24.975000000000001</v>
      </c>
    </row>
    <row r="76" spans="1:41" ht="16.149999999999999" customHeight="1" thickBot="1">
      <c r="A76" s="1442" t="s">
        <v>711</v>
      </c>
      <c r="B76" s="1415"/>
      <c r="C76" s="1001">
        <f>SUM(C7:C75)</f>
        <v>0</v>
      </c>
      <c r="D76" s="28">
        <f>+'Table 5C1A-Madison Prep'!D76</f>
        <v>4479.9292126977662</v>
      </c>
      <c r="E76" s="35">
        <f>SUM(E7:E75)</f>
        <v>0</v>
      </c>
      <c r="F76" s="35">
        <f>+'Table 5C1A-Madison Prep'!F76</f>
        <v>704.64781030742063</v>
      </c>
      <c r="G76" s="35">
        <f>SUM(G7:G75)</f>
        <v>0</v>
      </c>
      <c r="H76" s="348">
        <f>SUM(H7:H75)</f>
        <v>0</v>
      </c>
      <c r="I76" s="70">
        <f>SUM(I7:I75)</f>
        <v>2162672.7905442109</v>
      </c>
      <c r="J76" s="70">
        <f>SUM(J7:J75)</f>
        <v>-42173.599991548719</v>
      </c>
      <c r="K76" s="56">
        <f t="shared" ref="K76:T76" si="56">SUM(K7:K75)</f>
        <v>2120499.1905526621</v>
      </c>
      <c r="L76" s="364">
        <f t="shared" si="56"/>
        <v>2120499.1905526621</v>
      </c>
      <c r="M76" s="36">
        <f t="shared" si="56"/>
        <v>-5301.2479763816564</v>
      </c>
      <c r="N76" s="348">
        <f t="shared" si="56"/>
        <v>2115197.9425762808</v>
      </c>
      <c r="O76" s="28">
        <f t="shared" si="56"/>
        <v>0</v>
      </c>
      <c r="P76" s="354">
        <f t="shared" si="56"/>
        <v>2115197.9425762808</v>
      </c>
      <c r="Q76" s="70">
        <f t="shared" si="56"/>
        <v>1465932</v>
      </c>
      <c r="R76" s="70">
        <f t="shared" si="56"/>
        <v>649265.9425762808</v>
      </c>
      <c r="S76" s="354">
        <f t="shared" si="56"/>
        <v>162316</v>
      </c>
      <c r="T76" s="354">
        <f t="shared" si="56"/>
        <v>2115197.9425762808</v>
      </c>
      <c r="U76" s="83"/>
      <c r="V76" s="330">
        <f t="shared" ref="V76:AK76" si="57">SUM(V7:V75)</f>
        <v>0</v>
      </c>
      <c r="W76" s="74">
        <f t="shared" si="57"/>
        <v>360</v>
      </c>
      <c r="X76" s="75">
        <f t="shared" si="57"/>
        <v>1597923</v>
      </c>
      <c r="Y76" s="74">
        <f t="shared" si="57"/>
        <v>-12</v>
      </c>
      <c r="Z76" s="75">
        <f t="shared" si="57"/>
        <v>-19383.5</v>
      </c>
      <c r="AA76" s="63">
        <f t="shared" si="57"/>
        <v>1578539.5</v>
      </c>
      <c r="AB76" s="332">
        <f t="shared" si="57"/>
        <v>1578539.5</v>
      </c>
      <c r="AC76" s="37">
        <f t="shared" si="57"/>
        <v>-3946.3487499999997</v>
      </c>
      <c r="AD76" s="330">
        <f t="shared" si="57"/>
        <v>1574593.1512499999</v>
      </c>
      <c r="AE76" s="85">
        <f t="shared" si="57"/>
        <v>0</v>
      </c>
      <c r="AF76" s="330">
        <f t="shared" si="57"/>
        <v>1574593.1512499999</v>
      </c>
      <c r="AG76" s="75">
        <f t="shared" si="57"/>
        <v>1046104</v>
      </c>
      <c r="AH76" s="75">
        <f t="shared" si="57"/>
        <v>528489.15125</v>
      </c>
      <c r="AI76" s="330">
        <f t="shared" si="57"/>
        <v>132122</v>
      </c>
      <c r="AJ76" s="339">
        <f t="shared" si="57"/>
        <v>3689791.0938262809</v>
      </c>
      <c r="AK76" s="339">
        <f t="shared" si="57"/>
        <v>294438</v>
      </c>
      <c r="AM76" s="36">
        <f>SUM(AM7:AM75)</f>
        <v>-3992.2325000000001</v>
      </c>
      <c r="AN76" s="36">
        <f>SUM(AN7:AN75)</f>
        <v>-3946.3487499999997</v>
      </c>
      <c r="AO76" s="36">
        <f>SUM(AO7:AO75)</f>
        <v>45.88375000000007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4'!$E114</f>
        <v>0</v>
      </c>
      <c r="Q77" s="222">
        <f>(4*'[2]Table 5C1Q-Advantage'!S77)+(4*'[3]Table 5C1Q-Advantage'!S77)</f>
        <v>0</v>
      </c>
      <c r="R77" s="222">
        <f t="shared" ref="R77" si="58">+P77-Q77</f>
        <v>0</v>
      </c>
      <c r="S77" s="295">
        <f t="shared" ref="S77:S81" si="59">ROUND(R77/$S$88,0)</f>
        <v>0</v>
      </c>
      <c r="T77" s="295">
        <f>'Table 4 Level 4'!$E114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60">T77+AF77</f>
        <v>0</v>
      </c>
      <c r="AK77" s="321">
        <f t="shared" ref="AK77:AK81" si="61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4'!$J114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60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4'!$L114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60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4'!$M114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60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4'!O114</f>
        <v>0</v>
      </c>
      <c r="Q81" s="217">
        <f>(4*'[2]Table 5C1Q-Advantage'!S81)+(4*'[3]Table 5C1Q-Advantage'!S81)</f>
        <v>0</v>
      </c>
      <c r="R81" s="217">
        <f t="shared" ref="R81" si="62">+P81-Q81</f>
        <v>0</v>
      </c>
      <c r="S81" s="353">
        <f t="shared" si="59"/>
        <v>0</v>
      </c>
      <c r="T81" s="353">
        <f>P81</f>
        <v>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60"/>
        <v>0</v>
      </c>
      <c r="AK81" s="322">
        <f t="shared" si="61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0</v>
      </c>
      <c r="D82" s="128">
        <f t="shared" ref="D82:AK82" si="63">SUM(D76:D81)</f>
        <v>4479.9292126977662</v>
      </c>
      <c r="E82" s="128">
        <f t="shared" si="63"/>
        <v>0</v>
      </c>
      <c r="F82" s="128">
        <f t="shared" si="63"/>
        <v>704.64781030742063</v>
      </c>
      <c r="G82" s="128">
        <f t="shared" si="63"/>
        <v>0</v>
      </c>
      <c r="H82" s="128">
        <f t="shared" si="63"/>
        <v>0</v>
      </c>
      <c r="I82" s="133">
        <f t="shared" si="63"/>
        <v>2162672.7905442109</v>
      </c>
      <c r="J82" s="133">
        <f t="shared" si="63"/>
        <v>-42173.599991548719</v>
      </c>
      <c r="K82" s="133">
        <f t="shared" si="63"/>
        <v>2120499.1905526621</v>
      </c>
      <c r="L82" s="128">
        <f t="shared" si="63"/>
        <v>2120499.1905526621</v>
      </c>
      <c r="M82" s="133">
        <f t="shared" si="63"/>
        <v>-5301.2479763816564</v>
      </c>
      <c r="N82" s="128">
        <f t="shared" si="63"/>
        <v>2115197.9425762808</v>
      </c>
      <c r="O82" s="128">
        <f t="shared" si="63"/>
        <v>0</v>
      </c>
      <c r="P82" s="355">
        <f t="shared" si="63"/>
        <v>2115197.9425762808</v>
      </c>
      <c r="Q82" s="133">
        <f t="shared" si="63"/>
        <v>1465932</v>
      </c>
      <c r="R82" s="133">
        <f t="shared" si="63"/>
        <v>649265.9425762808</v>
      </c>
      <c r="S82" s="355">
        <f t="shared" si="63"/>
        <v>162316</v>
      </c>
      <c r="T82" s="355">
        <f t="shared" si="63"/>
        <v>2115197.9425762808</v>
      </c>
      <c r="U82" s="137"/>
      <c r="V82" s="134">
        <f t="shared" si="63"/>
        <v>0</v>
      </c>
      <c r="W82" s="136">
        <f t="shared" si="63"/>
        <v>360</v>
      </c>
      <c r="X82" s="134">
        <f t="shared" si="63"/>
        <v>1597923</v>
      </c>
      <c r="Y82" s="136">
        <f t="shared" si="63"/>
        <v>-12</v>
      </c>
      <c r="Z82" s="134">
        <f t="shared" si="63"/>
        <v>-19383.5</v>
      </c>
      <c r="AA82" s="134">
        <f t="shared" si="63"/>
        <v>1578539.5</v>
      </c>
      <c r="AB82" s="134">
        <f t="shared" si="63"/>
        <v>1578539.5</v>
      </c>
      <c r="AC82" s="134">
        <f t="shared" si="63"/>
        <v>-3946.3487499999997</v>
      </c>
      <c r="AD82" s="134">
        <f t="shared" si="63"/>
        <v>1574593.1512499999</v>
      </c>
      <c r="AE82" s="134">
        <f t="shared" si="63"/>
        <v>0</v>
      </c>
      <c r="AF82" s="134">
        <f t="shared" si="63"/>
        <v>1574593.1512499999</v>
      </c>
      <c r="AG82" s="134">
        <f t="shared" si="63"/>
        <v>1046104</v>
      </c>
      <c r="AH82" s="134">
        <f t="shared" si="63"/>
        <v>528489.15125</v>
      </c>
      <c r="AI82" s="134">
        <f t="shared" si="63"/>
        <v>132122</v>
      </c>
      <c r="AJ82" s="320">
        <f t="shared" si="63"/>
        <v>3689791.0938262809</v>
      </c>
      <c r="AK82" s="320">
        <f t="shared" si="63"/>
        <v>294438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-5824.0114367884626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522.76346040680619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4">
    <mergeCell ref="C1:L1"/>
    <mergeCell ref="U1:AB1"/>
    <mergeCell ref="Y3:Y4"/>
    <mergeCell ref="Z3:Z4"/>
    <mergeCell ref="AB3:AB4"/>
    <mergeCell ref="M1:T1"/>
    <mergeCell ref="W2:AA2"/>
    <mergeCell ref="AG3:AG4"/>
    <mergeCell ref="AH3:AH4"/>
    <mergeCell ref="AI3:AI4"/>
    <mergeCell ref="AF3:AF4"/>
    <mergeCell ref="X3:X4"/>
    <mergeCell ref="AK1:AK4"/>
    <mergeCell ref="I2:K2"/>
    <mergeCell ref="C3:C4"/>
    <mergeCell ref="D3:D4"/>
    <mergeCell ref="E3:E4"/>
    <mergeCell ref="U3:U4"/>
    <mergeCell ref="F3:F4"/>
    <mergeCell ref="G3:G4"/>
    <mergeCell ref="H3:H4"/>
    <mergeCell ref="I3:I4"/>
    <mergeCell ref="J3:J4"/>
    <mergeCell ref="K3:K4"/>
    <mergeCell ref="L3:L4"/>
    <mergeCell ref="N3:N4"/>
    <mergeCell ref="AD3:AD4"/>
    <mergeCell ref="T3:T4"/>
    <mergeCell ref="AJ1:AJ4"/>
    <mergeCell ref="V3:V4"/>
    <mergeCell ref="A82:B82"/>
    <mergeCell ref="A76:B76"/>
    <mergeCell ref="A77:B77"/>
    <mergeCell ref="A78:B78"/>
    <mergeCell ref="A79:B79"/>
    <mergeCell ref="A80:B80"/>
    <mergeCell ref="A81:B81"/>
    <mergeCell ref="A1:B4"/>
    <mergeCell ref="O3:O4"/>
    <mergeCell ref="P3:P4"/>
    <mergeCell ref="S3:S4"/>
    <mergeCell ref="W3:W4"/>
    <mergeCell ref="AC1:AI1"/>
    <mergeCell ref="AE3:AE4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5C1-Q: FY2014-15 MFP Budget Letter (March 2015)
Advantage Charter Academy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7" sqref="C7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customWidth="1"/>
    <col min="4" max="4" width="13.7109375" style="784" customWidth="1"/>
    <col min="5" max="5" width="9.85546875" style="784" customWidth="1"/>
    <col min="6" max="7" width="12.28515625" style="784" customWidth="1"/>
    <col min="8" max="8" width="11.5703125" style="784" customWidth="1"/>
    <col min="9" max="12" width="12" style="784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5.28515625" style="784" customWidth="1"/>
    <col min="23" max="23" width="14.28515625" style="784" customWidth="1"/>
    <col min="24" max="24" width="15.28515625" style="784" customWidth="1"/>
    <col min="25" max="25" width="13.28515625" style="784" customWidth="1"/>
    <col min="26" max="26" width="12.28515625" style="784" customWidth="1"/>
    <col min="27" max="28" width="15.7109375" style="784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4" width="10.7109375" style="784" bestFit="1" customWidth="1"/>
    <col min="35" max="35" width="14.42578125" style="784" bestFit="1" customWidth="1"/>
    <col min="36" max="36" width="14.28515625" style="784" customWidth="1"/>
    <col min="37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671</v>
      </c>
      <c r="B1" s="1577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33" customHeight="1">
      <c r="A2" s="1578"/>
      <c r="B2" s="1579"/>
      <c r="C2" s="619"/>
      <c r="D2" s="620"/>
      <c r="E2" s="620"/>
      <c r="F2" s="620"/>
      <c r="G2" s="620"/>
      <c r="H2" s="620"/>
      <c r="I2" s="1411" t="s">
        <v>1036</v>
      </c>
      <c r="J2" s="1411"/>
      <c r="K2" s="1411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1035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85" t="s">
        <v>1037</v>
      </c>
      <c r="J3" s="1518" t="s">
        <v>554</v>
      </c>
      <c r="K3" s="1585" t="s">
        <v>1033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1543" t="s">
        <v>871</v>
      </c>
      <c r="W3" s="1587" t="s">
        <v>906</v>
      </c>
      <c r="X3" s="1507" t="s">
        <v>1038</v>
      </c>
      <c r="Y3" s="1507" t="s">
        <v>861</v>
      </c>
      <c r="Z3" s="1507" t="s">
        <v>859</v>
      </c>
      <c r="AA3" s="1215" t="s">
        <v>1034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586"/>
      <c r="J4" s="1470"/>
      <c r="K4" s="1586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1544"/>
      <c r="W4" s="1588"/>
      <c r="X4" s="1470"/>
      <c r="Y4" s="1470"/>
      <c r="Z4" s="1470"/>
      <c r="AA4" s="1214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si="1"/>
        <v>8</v>
      </c>
      <c r="K5" s="23">
        <f t="shared" si="1"/>
        <v>9</v>
      </c>
      <c r="L5" s="23">
        <f t="shared" si="1"/>
        <v>10</v>
      </c>
      <c r="M5" s="23">
        <f t="shared" si="1"/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si="1"/>
        <v>15</v>
      </c>
      <c r="R5" s="23">
        <f t="shared" si="1"/>
        <v>16</v>
      </c>
      <c r="S5" s="23">
        <f t="shared" si="1"/>
        <v>17</v>
      </c>
      <c r="T5" s="23">
        <f t="shared" ref="T5" si="2">S5+1</f>
        <v>18</v>
      </c>
      <c r="U5" s="23">
        <f t="shared" ref="U5" si="3">T5+1</f>
        <v>19</v>
      </c>
      <c r="V5" s="23">
        <f t="shared" si="1"/>
        <v>20</v>
      </c>
      <c r="W5" s="23">
        <f t="shared" si="1"/>
        <v>21</v>
      </c>
      <c r="X5" s="23">
        <f t="shared" si="1"/>
        <v>22</v>
      </c>
      <c r="Y5" s="23">
        <f t="shared" si="1"/>
        <v>23</v>
      </c>
      <c r="Z5" s="23">
        <f t="shared" si="1"/>
        <v>24</v>
      </c>
      <c r="AA5" s="23">
        <f t="shared" si="1"/>
        <v>25</v>
      </c>
      <c r="AB5" s="23">
        <f t="shared" si="1"/>
        <v>26</v>
      </c>
      <c r="AC5" s="23">
        <f t="shared" si="1"/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si="1"/>
        <v>31</v>
      </c>
      <c r="AH5" s="23">
        <f t="shared" si="1"/>
        <v>32</v>
      </c>
      <c r="AI5" s="23">
        <f t="shared" si="1"/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Iberville'!K4</f>
        <v>0</v>
      </c>
      <c r="J7" s="210">
        <f>'[1]Feb midyear Iberville'!K4</f>
        <v>0</v>
      </c>
      <c r="K7" s="211">
        <f>I7+J7</f>
        <v>0</v>
      </c>
      <c r="L7" s="344">
        <f>+H7+K7</f>
        <v>0</v>
      </c>
      <c r="M7" s="273">
        <f t="shared" ref="M7:M70" si="4"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(4*'[2]Table 5C1R-Iberville'!S7)+(4*'[3]Table 5C1R-Iberville'!S7)</f>
        <v>0</v>
      </c>
      <c r="R7" s="210">
        <f>+P7-Q7</f>
        <v>0</v>
      </c>
      <c r="S7" s="350">
        <f t="shared" ref="S7:S38" si="5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Iberville'!E4</f>
        <v>0</v>
      </c>
      <c r="X7" s="276">
        <f>+U7*W7</f>
        <v>0</v>
      </c>
      <c r="Y7" s="883">
        <f>'[1]Feb midyear Iberville'!E4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(4*'[2]Table 5C1R-Iberville'!AI7)+(4*'[3]Table 5C1R-Iberville'!AI7)</f>
        <v>0</v>
      </c>
      <c r="AH7" s="279">
        <f>+AF7-AG7</f>
        <v>0</v>
      </c>
      <c r="AI7" s="323">
        <f t="shared" ref="AI7:AI38" si="6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7">+AN7-AM7</f>
        <v>0</v>
      </c>
    </row>
    <row r="8" spans="1:41" ht="16.149999999999999" customHeight="1">
      <c r="A8" s="198">
        <v>2</v>
      </c>
      <c r="B8" s="199" t="s">
        <v>74</v>
      </c>
      <c r="C8" s="995">
        <v>0</v>
      </c>
      <c r="D8" s="201">
        <f>+'Table 5C1A-Madison Prep'!D8</f>
        <v>6316.6266417386641</v>
      </c>
      <c r="E8" s="202">
        <f t="shared" ref="E8:E71" si="8">C8*D8</f>
        <v>0</v>
      </c>
      <c r="F8" s="202">
        <f>+'Table 5C1A-Madison Prep'!F8</f>
        <v>842.32</v>
      </c>
      <c r="G8" s="202">
        <f t="shared" ref="G8:G71" si="9">C8*F8</f>
        <v>0</v>
      </c>
      <c r="H8" s="345">
        <f t="shared" ref="H8:H71" si="10">E8+G8</f>
        <v>0</v>
      </c>
      <c r="I8" s="203">
        <f>'[1]Oct midyear Iberville'!K5</f>
        <v>0</v>
      </c>
      <c r="J8" s="203">
        <f>'[1]Feb midyear Iberville'!K5</f>
        <v>0</v>
      </c>
      <c r="K8" s="204">
        <f t="shared" ref="K8:K71" si="11">I8+J8</f>
        <v>0</v>
      </c>
      <c r="L8" s="345">
        <f t="shared" ref="L8:L71" si="12">+H8+K8</f>
        <v>0</v>
      </c>
      <c r="M8" s="286">
        <f t="shared" si="4"/>
        <v>0</v>
      </c>
      <c r="N8" s="345">
        <f t="shared" ref="N8:N71" si="13">SUM(L8:M8)</f>
        <v>0</v>
      </c>
      <c r="O8" s="201">
        <v>0</v>
      </c>
      <c r="P8" s="351">
        <f t="shared" ref="P8:P71" si="14">SUM(N8:O8)</f>
        <v>0</v>
      </c>
      <c r="Q8" s="203">
        <f>(4*'[2]Table 5C1R-Iberville'!S8)+(4*'[3]Table 5C1R-Iberville'!S8)</f>
        <v>0</v>
      </c>
      <c r="R8" s="203">
        <f t="shared" ref="R8:R71" si="15">+P8-Q8</f>
        <v>0</v>
      </c>
      <c r="S8" s="351">
        <f t="shared" si="5"/>
        <v>0</v>
      </c>
      <c r="T8" s="351">
        <f t="shared" ref="T8:T71" si="16">+P8</f>
        <v>0</v>
      </c>
      <c r="U8" s="287">
        <f>'Table 5C1A-Madison Prep'!U8</f>
        <v>2786</v>
      </c>
      <c r="V8" s="328">
        <f t="shared" ref="V8:V71" si="17">C8*U8</f>
        <v>0</v>
      </c>
      <c r="W8" s="289">
        <f>'[1]Oct midyear Iberville'!E5</f>
        <v>0</v>
      </c>
      <c r="X8" s="290">
        <f t="shared" ref="X8:X71" si="18">+U8*W8</f>
        <v>0</v>
      </c>
      <c r="Y8" s="289">
        <f>'[1]Feb midyear Iberville'!E5</f>
        <v>0</v>
      </c>
      <c r="Z8" s="290">
        <f t="shared" ref="Z8:Z71" si="19">+U8*Y8*0.5</f>
        <v>0</v>
      </c>
      <c r="AA8" s="288">
        <f t="shared" ref="AA8:AA71" si="20">+X8+Z8</f>
        <v>0</v>
      </c>
      <c r="AB8" s="324">
        <f t="shared" ref="AB8:AB71" si="21">+V8+AA8</f>
        <v>0</v>
      </c>
      <c r="AC8" s="292">
        <f t="shared" ref="AC8:AC71" si="22">-(0.25%*AB8)</f>
        <v>0</v>
      </c>
      <c r="AD8" s="324">
        <f t="shared" ref="AD8:AD71" si="23">SUM(AB8:AC8)</f>
        <v>0</v>
      </c>
      <c r="AE8" s="293">
        <v>0</v>
      </c>
      <c r="AF8" s="324">
        <f t="shared" ref="AF8:AF71" si="24">SUM(AD8:AE8)</f>
        <v>0</v>
      </c>
      <c r="AG8" s="293">
        <f>(4*'[2]Table 5C1R-Iberville'!AI8)+(4*'[3]Table 5C1R-Iberville'!AI8)</f>
        <v>0</v>
      </c>
      <c r="AH8" s="293">
        <f t="shared" ref="AH8:AH71" si="25">+AF8-AG8</f>
        <v>0</v>
      </c>
      <c r="AI8" s="324">
        <f t="shared" si="6"/>
        <v>0</v>
      </c>
      <c r="AJ8" s="321">
        <f t="shared" ref="AJ8:AJ71" si="26">T8+AF8</f>
        <v>0</v>
      </c>
      <c r="AK8" s="342">
        <f t="shared" ref="AK8:AK71" si="27">S8+AI8</f>
        <v>0</v>
      </c>
      <c r="AM8" s="286">
        <v>0</v>
      </c>
      <c r="AN8" s="286">
        <f t="shared" ref="AN8:AN71" si="28">+AC8</f>
        <v>0</v>
      </c>
      <c r="AO8" s="286">
        <f t="shared" si="7"/>
        <v>0</v>
      </c>
    </row>
    <row r="9" spans="1:41" ht="16.149999999999999" customHeight="1">
      <c r="A9" s="198">
        <v>3</v>
      </c>
      <c r="B9" s="199" t="s">
        <v>75</v>
      </c>
      <c r="C9" s="995">
        <v>0</v>
      </c>
      <c r="D9" s="201">
        <f>+'Table 5C1A-Madison Prep'!D9</f>
        <v>4155.1862027396819</v>
      </c>
      <c r="E9" s="202">
        <f t="shared" si="8"/>
        <v>0</v>
      </c>
      <c r="F9" s="202">
        <f>+'Table 5C1A-Madison Prep'!F9</f>
        <v>596.84</v>
      </c>
      <c r="G9" s="202">
        <f t="shared" si="9"/>
        <v>0</v>
      </c>
      <c r="H9" s="345">
        <f t="shared" si="10"/>
        <v>0</v>
      </c>
      <c r="I9" s="203">
        <f>'[1]Oct midyear Iberville'!K6</f>
        <v>14256.078608219046</v>
      </c>
      <c r="J9" s="203">
        <f>'[1]Feb midyear Iberville'!K6</f>
        <v>-2376.013101369841</v>
      </c>
      <c r="K9" s="204">
        <f t="shared" si="11"/>
        <v>11880.065506849205</v>
      </c>
      <c r="L9" s="345">
        <f t="shared" si="12"/>
        <v>11880.065506849205</v>
      </c>
      <c r="M9" s="286">
        <f t="shared" si="4"/>
        <v>-29.700163767123012</v>
      </c>
      <c r="N9" s="345">
        <f t="shared" si="13"/>
        <v>11850.365343082081</v>
      </c>
      <c r="O9" s="201">
        <v>0</v>
      </c>
      <c r="P9" s="351">
        <f t="shared" si="14"/>
        <v>11850.365343082081</v>
      </c>
      <c r="Q9" s="203">
        <f>(4*'[2]Table 5C1R-Iberville'!S9)+(4*'[3]Table 5C1R-Iberville'!S9)</f>
        <v>13432</v>
      </c>
      <c r="R9" s="203">
        <f t="shared" si="15"/>
        <v>-1581.6346569179186</v>
      </c>
      <c r="S9" s="351">
        <f t="shared" si="5"/>
        <v>-395</v>
      </c>
      <c r="T9" s="351">
        <f t="shared" si="16"/>
        <v>11850.365343082081</v>
      </c>
      <c r="U9" s="287">
        <f>'Table 5C1A-Madison Prep'!U9</f>
        <v>5927</v>
      </c>
      <c r="V9" s="328">
        <f t="shared" si="17"/>
        <v>0</v>
      </c>
      <c r="W9" s="289">
        <f>'[1]Oct midyear Iberville'!E6</f>
        <v>3</v>
      </c>
      <c r="X9" s="290">
        <f t="shared" si="18"/>
        <v>17781</v>
      </c>
      <c r="Y9" s="289">
        <f>'[1]Feb midyear Iberville'!E6</f>
        <v>-1</v>
      </c>
      <c r="Z9" s="290">
        <f t="shared" si="19"/>
        <v>-2963.5</v>
      </c>
      <c r="AA9" s="288">
        <f t="shared" si="20"/>
        <v>14817.5</v>
      </c>
      <c r="AB9" s="324">
        <f t="shared" si="21"/>
        <v>14817.5</v>
      </c>
      <c r="AC9" s="292">
        <f t="shared" si="22"/>
        <v>-37.043750000000003</v>
      </c>
      <c r="AD9" s="324">
        <f t="shared" si="23"/>
        <v>14780.456249999999</v>
      </c>
      <c r="AE9" s="293">
        <v>0</v>
      </c>
      <c r="AF9" s="324">
        <f t="shared" si="24"/>
        <v>14780.456249999999</v>
      </c>
      <c r="AG9" s="293">
        <f>(4*'[2]Table 5C1R-Iberville'!AI9)+(4*'[3]Table 5C1R-Iberville'!AI9)</f>
        <v>16308</v>
      </c>
      <c r="AH9" s="293">
        <f t="shared" si="25"/>
        <v>-1527.5437500000007</v>
      </c>
      <c r="AI9" s="324">
        <f t="shared" si="6"/>
        <v>-382</v>
      </c>
      <c r="AJ9" s="321">
        <f t="shared" si="26"/>
        <v>26630.821593082081</v>
      </c>
      <c r="AK9" s="342">
        <f t="shared" si="27"/>
        <v>-777</v>
      </c>
      <c r="AM9" s="286">
        <v>-115.4</v>
      </c>
      <c r="AN9" s="286">
        <f t="shared" si="28"/>
        <v>-37.043750000000003</v>
      </c>
      <c r="AO9" s="286">
        <f t="shared" si="7"/>
        <v>78.356250000000003</v>
      </c>
    </row>
    <row r="10" spans="1:41" ht="16.149999999999999" customHeight="1">
      <c r="A10" s="198">
        <v>4</v>
      </c>
      <c r="B10" s="199" t="s">
        <v>76</v>
      </c>
      <c r="C10" s="995">
        <v>0</v>
      </c>
      <c r="D10" s="201">
        <f>+'Table 5C1A-Madison Prep'!D10</f>
        <v>6119.0581446878568</v>
      </c>
      <c r="E10" s="202">
        <f t="shared" si="8"/>
        <v>0</v>
      </c>
      <c r="F10" s="202">
        <f>+'Table 5C1A-Madison Prep'!F10</f>
        <v>585.76</v>
      </c>
      <c r="G10" s="202">
        <f t="shared" si="9"/>
        <v>0</v>
      </c>
      <c r="H10" s="345">
        <f t="shared" si="10"/>
        <v>0</v>
      </c>
      <c r="I10" s="203">
        <f>'[1]Oct midyear Iberville'!K7</f>
        <v>0</v>
      </c>
      <c r="J10" s="203">
        <f>'[1]Feb midyear Iberville'!K7</f>
        <v>0</v>
      </c>
      <c r="K10" s="204">
        <f t="shared" si="11"/>
        <v>0</v>
      </c>
      <c r="L10" s="345">
        <f t="shared" si="12"/>
        <v>0</v>
      </c>
      <c r="M10" s="286">
        <f t="shared" si="4"/>
        <v>0</v>
      </c>
      <c r="N10" s="345">
        <f t="shared" si="13"/>
        <v>0</v>
      </c>
      <c r="O10" s="201">
        <v>0</v>
      </c>
      <c r="P10" s="351">
        <f t="shared" si="14"/>
        <v>0</v>
      </c>
      <c r="Q10" s="203">
        <f>(4*'[2]Table 5C1R-Iberville'!S10)+(4*'[3]Table 5C1R-Iberville'!S10)</f>
        <v>0</v>
      </c>
      <c r="R10" s="203">
        <f t="shared" si="15"/>
        <v>0</v>
      </c>
      <c r="S10" s="351">
        <f t="shared" si="5"/>
        <v>0</v>
      </c>
      <c r="T10" s="351">
        <f t="shared" si="16"/>
        <v>0</v>
      </c>
      <c r="U10" s="287">
        <f>'Table 5C1A-Madison Prep'!U10</f>
        <v>4203</v>
      </c>
      <c r="V10" s="328">
        <f t="shared" si="17"/>
        <v>0</v>
      </c>
      <c r="W10" s="289">
        <f>'[1]Oct midyear Iberville'!E7</f>
        <v>0</v>
      </c>
      <c r="X10" s="290">
        <f t="shared" si="18"/>
        <v>0</v>
      </c>
      <c r="Y10" s="289">
        <f>'[1]Feb midyear Iberville'!E7</f>
        <v>0</v>
      </c>
      <c r="Z10" s="290">
        <f t="shared" si="19"/>
        <v>0</v>
      </c>
      <c r="AA10" s="288">
        <f t="shared" si="20"/>
        <v>0</v>
      </c>
      <c r="AB10" s="324">
        <f t="shared" si="21"/>
        <v>0</v>
      </c>
      <c r="AC10" s="292">
        <f t="shared" si="22"/>
        <v>0</v>
      </c>
      <c r="AD10" s="324">
        <f t="shared" si="23"/>
        <v>0</v>
      </c>
      <c r="AE10" s="293">
        <v>0</v>
      </c>
      <c r="AF10" s="324">
        <f t="shared" si="24"/>
        <v>0</v>
      </c>
      <c r="AG10" s="293">
        <f>(4*'[2]Table 5C1R-Iberville'!AI10)+(4*'[3]Table 5C1R-Iberville'!AI10)</f>
        <v>0</v>
      </c>
      <c r="AH10" s="293">
        <f t="shared" si="25"/>
        <v>0</v>
      </c>
      <c r="AI10" s="324">
        <f t="shared" si="6"/>
        <v>0</v>
      </c>
      <c r="AJ10" s="321">
        <f t="shared" si="26"/>
        <v>0</v>
      </c>
      <c r="AK10" s="342">
        <f t="shared" si="27"/>
        <v>0</v>
      </c>
      <c r="AM10" s="286">
        <v>0</v>
      </c>
      <c r="AN10" s="286">
        <f t="shared" si="28"/>
        <v>0</v>
      </c>
      <c r="AO10" s="286">
        <f t="shared" si="7"/>
        <v>0</v>
      </c>
    </row>
    <row r="11" spans="1:41" ht="16.149999999999999" customHeight="1">
      <c r="A11" s="191">
        <v>5</v>
      </c>
      <c r="B11" s="192" t="s">
        <v>77</v>
      </c>
      <c r="C11" s="996">
        <v>0</v>
      </c>
      <c r="D11" s="194">
        <f>+'Table 5C1A-Madison Prep'!D11</f>
        <v>5268.940566009911</v>
      </c>
      <c r="E11" s="195">
        <f t="shared" si="8"/>
        <v>0</v>
      </c>
      <c r="F11" s="195">
        <f>+'Table 5C1A-Madison Prep'!F11</f>
        <v>555.91</v>
      </c>
      <c r="G11" s="195">
        <f t="shared" si="9"/>
        <v>0</v>
      </c>
      <c r="H11" s="346">
        <f t="shared" si="10"/>
        <v>0</v>
      </c>
      <c r="I11" s="196">
        <f>'[1]Oct midyear Iberville'!K8</f>
        <v>0</v>
      </c>
      <c r="J11" s="196">
        <f>'[1]Feb midyear Iberville'!K8</f>
        <v>0</v>
      </c>
      <c r="K11" s="197">
        <f t="shared" si="11"/>
        <v>0</v>
      </c>
      <c r="L11" s="346">
        <f t="shared" si="12"/>
        <v>0</v>
      </c>
      <c r="M11" s="296">
        <f t="shared" si="4"/>
        <v>0</v>
      </c>
      <c r="N11" s="346">
        <f t="shared" si="13"/>
        <v>0</v>
      </c>
      <c r="O11" s="194">
        <v>0</v>
      </c>
      <c r="P11" s="352">
        <f t="shared" si="14"/>
        <v>0</v>
      </c>
      <c r="Q11" s="196">
        <f>(4*'[2]Table 5C1R-Iberville'!S11)+(4*'[3]Table 5C1R-Iberville'!S11)</f>
        <v>0</v>
      </c>
      <c r="R11" s="196">
        <f t="shared" si="15"/>
        <v>0</v>
      </c>
      <c r="S11" s="352">
        <f t="shared" si="5"/>
        <v>0</v>
      </c>
      <c r="T11" s="352">
        <f t="shared" si="16"/>
        <v>0</v>
      </c>
      <c r="U11" s="281">
        <f>'Table 5C1A-Madison Prep'!U11</f>
        <v>1923</v>
      </c>
      <c r="V11" s="329">
        <f t="shared" si="17"/>
        <v>0</v>
      </c>
      <c r="W11" s="884">
        <f>'[1]Oct midyear Iberville'!E8</f>
        <v>0</v>
      </c>
      <c r="X11" s="282">
        <f t="shared" si="18"/>
        <v>0</v>
      </c>
      <c r="Y11" s="884">
        <f>'[1]Feb midyear Iberville'!E8</f>
        <v>0</v>
      </c>
      <c r="Z11" s="282">
        <f t="shared" si="19"/>
        <v>0</v>
      </c>
      <c r="AA11" s="283">
        <f t="shared" si="20"/>
        <v>0</v>
      </c>
      <c r="AB11" s="325">
        <f t="shared" si="21"/>
        <v>0</v>
      </c>
      <c r="AC11" s="298">
        <f t="shared" si="22"/>
        <v>0</v>
      </c>
      <c r="AD11" s="325">
        <f t="shared" si="23"/>
        <v>0</v>
      </c>
      <c r="AE11" s="284">
        <v>0</v>
      </c>
      <c r="AF11" s="325">
        <f t="shared" si="24"/>
        <v>0</v>
      </c>
      <c r="AG11" s="284">
        <f>(4*'[2]Table 5C1R-Iberville'!AI11)+(4*'[3]Table 5C1R-Iberville'!AI11)</f>
        <v>0</v>
      </c>
      <c r="AH11" s="284">
        <f t="shared" si="25"/>
        <v>0</v>
      </c>
      <c r="AI11" s="325">
        <f t="shared" si="6"/>
        <v>0</v>
      </c>
      <c r="AJ11" s="338">
        <f t="shared" si="26"/>
        <v>0</v>
      </c>
      <c r="AK11" s="343">
        <f t="shared" si="27"/>
        <v>0</v>
      </c>
      <c r="AM11" s="296">
        <v>0</v>
      </c>
      <c r="AN11" s="296">
        <f t="shared" si="28"/>
        <v>0</v>
      </c>
      <c r="AO11" s="296">
        <f t="shared" si="7"/>
        <v>0</v>
      </c>
    </row>
    <row r="12" spans="1:41" ht="16.149999999999999" customHeight="1">
      <c r="A12" s="205">
        <v>6</v>
      </c>
      <c r="B12" s="206" t="s">
        <v>78</v>
      </c>
      <c r="C12" s="994">
        <v>0</v>
      </c>
      <c r="D12" s="208">
        <f>+'Table 5C1A-Madison Prep'!D12</f>
        <v>5378.5086124955869</v>
      </c>
      <c r="E12" s="209">
        <f t="shared" si="8"/>
        <v>0</v>
      </c>
      <c r="F12" s="209">
        <f>+'Table 5C1A-Madison Prep'!F12</f>
        <v>545.4799999999999</v>
      </c>
      <c r="G12" s="209">
        <f t="shared" si="9"/>
        <v>0</v>
      </c>
      <c r="H12" s="344">
        <f t="shared" si="10"/>
        <v>0</v>
      </c>
      <c r="I12" s="210">
        <f>'[1]Oct midyear Iberville'!K9</f>
        <v>0</v>
      </c>
      <c r="J12" s="210">
        <f>'[1]Feb midyear Iberville'!K9</f>
        <v>0</v>
      </c>
      <c r="K12" s="211">
        <f t="shared" si="11"/>
        <v>0</v>
      </c>
      <c r="L12" s="344">
        <f t="shared" si="12"/>
        <v>0</v>
      </c>
      <c r="M12" s="273">
        <f t="shared" si="4"/>
        <v>0</v>
      </c>
      <c r="N12" s="344">
        <f t="shared" si="13"/>
        <v>0</v>
      </c>
      <c r="O12" s="208">
        <v>0</v>
      </c>
      <c r="P12" s="350">
        <f t="shared" si="14"/>
        <v>0</v>
      </c>
      <c r="Q12" s="210">
        <f>(4*'[2]Table 5C1R-Iberville'!S12)+(4*'[3]Table 5C1R-Iberville'!S12)</f>
        <v>0</v>
      </c>
      <c r="R12" s="210">
        <f t="shared" si="15"/>
        <v>0</v>
      </c>
      <c r="S12" s="350">
        <f t="shared" si="5"/>
        <v>0</v>
      </c>
      <c r="T12" s="350">
        <f t="shared" si="16"/>
        <v>0</v>
      </c>
      <c r="U12" s="274">
        <f>'Table 5C1A-Madison Prep'!U12</f>
        <v>4057</v>
      </c>
      <c r="V12" s="327">
        <f t="shared" si="17"/>
        <v>0</v>
      </c>
      <c r="W12" s="883">
        <f>'[1]Oct midyear Iberville'!E9</f>
        <v>0</v>
      </c>
      <c r="X12" s="276">
        <f t="shared" si="18"/>
        <v>0</v>
      </c>
      <c r="Y12" s="883">
        <f>'[1]Feb midyear Iberville'!E9</f>
        <v>0</v>
      </c>
      <c r="Z12" s="276">
        <f t="shared" si="19"/>
        <v>0</v>
      </c>
      <c r="AA12" s="275">
        <f t="shared" si="20"/>
        <v>0</v>
      </c>
      <c r="AB12" s="323">
        <f t="shared" si="21"/>
        <v>0</v>
      </c>
      <c r="AC12" s="278">
        <f t="shared" si="22"/>
        <v>0</v>
      </c>
      <c r="AD12" s="323">
        <f t="shared" si="23"/>
        <v>0</v>
      </c>
      <c r="AE12" s="279">
        <v>0</v>
      </c>
      <c r="AF12" s="323">
        <f t="shared" si="24"/>
        <v>0</v>
      </c>
      <c r="AG12" s="279">
        <f>(4*'[2]Table 5C1R-Iberville'!AI12)+(4*'[3]Table 5C1R-Iberville'!AI12)</f>
        <v>0</v>
      </c>
      <c r="AH12" s="279">
        <f t="shared" si="25"/>
        <v>0</v>
      </c>
      <c r="AI12" s="323">
        <f t="shared" si="6"/>
        <v>0</v>
      </c>
      <c r="AJ12" s="337">
        <f t="shared" si="26"/>
        <v>0</v>
      </c>
      <c r="AK12" s="341">
        <f t="shared" si="27"/>
        <v>0</v>
      </c>
      <c r="AM12" s="273">
        <v>0</v>
      </c>
      <c r="AN12" s="273">
        <f t="shared" si="28"/>
        <v>0</v>
      </c>
      <c r="AO12" s="273">
        <f t="shared" si="7"/>
        <v>0</v>
      </c>
    </row>
    <row r="13" spans="1:41" ht="16.149999999999999" customHeight="1">
      <c r="A13" s="198">
        <v>7</v>
      </c>
      <c r="B13" s="199" t="s">
        <v>79</v>
      </c>
      <c r="C13" s="995">
        <v>0</v>
      </c>
      <c r="D13" s="201">
        <f>+'Table 5C1A-Madison Prep'!D13</f>
        <v>2243.0031963470319</v>
      </c>
      <c r="E13" s="202">
        <f t="shared" si="8"/>
        <v>0</v>
      </c>
      <c r="F13" s="202">
        <f>+'Table 5C1A-Madison Prep'!F13</f>
        <v>756.91999999999985</v>
      </c>
      <c r="G13" s="202">
        <f t="shared" si="9"/>
        <v>0</v>
      </c>
      <c r="H13" s="345">
        <f t="shared" si="10"/>
        <v>0</v>
      </c>
      <c r="I13" s="203">
        <f>'[1]Oct midyear Iberville'!K10</f>
        <v>0</v>
      </c>
      <c r="J13" s="203">
        <f>'[1]Feb midyear Iberville'!K10</f>
        <v>0</v>
      </c>
      <c r="K13" s="204">
        <f t="shared" si="11"/>
        <v>0</v>
      </c>
      <c r="L13" s="345">
        <f t="shared" si="12"/>
        <v>0</v>
      </c>
      <c r="M13" s="286">
        <f t="shared" si="4"/>
        <v>0</v>
      </c>
      <c r="N13" s="345">
        <f t="shared" si="13"/>
        <v>0</v>
      </c>
      <c r="O13" s="201">
        <v>0</v>
      </c>
      <c r="P13" s="351">
        <f t="shared" si="14"/>
        <v>0</v>
      </c>
      <c r="Q13" s="203">
        <f>(4*'[2]Table 5C1R-Iberville'!S13)+(4*'[3]Table 5C1R-Iberville'!S13)</f>
        <v>0</v>
      </c>
      <c r="R13" s="203">
        <f t="shared" si="15"/>
        <v>0</v>
      </c>
      <c r="S13" s="351">
        <f t="shared" si="5"/>
        <v>0</v>
      </c>
      <c r="T13" s="351">
        <f t="shared" si="16"/>
        <v>0</v>
      </c>
      <c r="U13" s="287">
        <f>'Table 5C1A-Madison Prep'!U13</f>
        <v>12112</v>
      </c>
      <c r="V13" s="328">
        <f t="shared" si="17"/>
        <v>0</v>
      </c>
      <c r="W13" s="289">
        <f>'[1]Oct midyear Iberville'!E10</f>
        <v>0</v>
      </c>
      <c r="X13" s="290">
        <f t="shared" si="18"/>
        <v>0</v>
      </c>
      <c r="Y13" s="289">
        <f>'[1]Feb midyear Iberville'!E10</f>
        <v>0</v>
      </c>
      <c r="Z13" s="290">
        <f t="shared" si="19"/>
        <v>0</v>
      </c>
      <c r="AA13" s="288">
        <f t="shared" si="20"/>
        <v>0</v>
      </c>
      <c r="AB13" s="324">
        <f t="shared" si="21"/>
        <v>0</v>
      </c>
      <c r="AC13" s="292">
        <f t="shared" si="22"/>
        <v>0</v>
      </c>
      <c r="AD13" s="324">
        <f t="shared" si="23"/>
        <v>0</v>
      </c>
      <c r="AE13" s="293">
        <v>0</v>
      </c>
      <c r="AF13" s="324">
        <f t="shared" si="24"/>
        <v>0</v>
      </c>
      <c r="AG13" s="293">
        <f>(4*'[2]Table 5C1R-Iberville'!AI13)+(4*'[3]Table 5C1R-Iberville'!AI13)</f>
        <v>0</v>
      </c>
      <c r="AH13" s="293">
        <f t="shared" si="25"/>
        <v>0</v>
      </c>
      <c r="AI13" s="324">
        <f t="shared" si="6"/>
        <v>0</v>
      </c>
      <c r="AJ13" s="321">
        <f t="shared" si="26"/>
        <v>0</v>
      </c>
      <c r="AK13" s="342">
        <f t="shared" si="27"/>
        <v>0</v>
      </c>
      <c r="AM13" s="286">
        <v>0</v>
      </c>
      <c r="AN13" s="286">
        <f t="shared" si="28"/>
        <v>0</v>
      </c>
      <c r="AO13" s="286">
        <f t="shared" si="7"/>
        <v>0</v>
      </c>
    </row>
    <row r="14" spans="1:41" ht="16.149999999999999" customHeight="1">
      <c r="A14" s="198">
        <v>8</v>
      </c>
      <c r="B14" s="199" t="s">
        <v>80</v>
      </c>
      <c r="C14" s="995">
        <v>0</v>
      </c>
      <c r="D14" s="201">
        <f>+'Table 5C1A-Madison Prep'!D14</f>
        <v>4669.802459558854</v>
      </c>
      <c r="E14" s="202">
        <f t="shared" si="8"/>
        <v>0</v>
      </c>
      <c r="F14" s="202">
        <f>+'Table 5C1A-Madison Prep'!F14</f>
        <v>725.76</v>
      </c>
      <c r="G14" s="202">
        <f t="shared" si="9"/>
        <v>0</v>
      </c>
      <c r="H14" s="345">
        <f t="shared" si="10"/>
        <v>0</v>
      </c>
      <c r="I14" s="203">
        <f>'[1]Oct midyear Iberville'!K11</f>
        <v>0</v>
      </c>
      <c r="J14" s="203">
        <f>'[1]Feb midyear Iberville'!K11</f>
        <v>0</v>
      </c>
      <c r="K14" s="204">
        <f t="shared" si="11"/>
        <v>0</v>
      </c>
      <c r="L14" s="345">
        <f t="shared" si="12"/>
        <v>0</v>
      </c>
      <c r="M14" s="286">
        <f t="shared" si="4"/>
        <v>0</v>
      </c>
      <c r="N14" s="345">
        <f t="shared" si="13"/>
        <v>0</v>
      </c>
      <c r="O14" s="201">
        <v>0</v>
      </c>
      <c r="P14" s="351">
        <f t="shared" si="14"/>
        <v>0</v>
      </c>
      <c r="Q14" s="203">
        <f>(4*'[2]Table 5C1R-Iberville'!S14)+(4*'[3]Table 5C1R-Iberville'!S14)</f>
        <v>0</v>
      </c>
      <c r="R14" s="203">
        <f t="shared" si="15"/>
        <v>0</v>
      </c>
      <c r="S14" s="351">
        <f t="shared" si="5"/>
        <v>0</v>
      </c>
      <c r="T14" s="351">
        <f t="shared" si="16"/>
        <v>0</v>
      </c>
      <c r="U14" s="287">
        <f>'Table 5C1A-Madison Prep'!U14</f>
        <v>4124</v>
      </c>
      <c r="V14" s="328">
        <f t="shared" si="17"/>
        <v>0</v>
      </c>
      <c r="W14" s="289">
        <f>'[1]Oct midyear Iberville'!E11</f>
        <v>0</v>
      </c>
      <c r="X14" s="290">
        <f t="shared" si="18"/>
        <v>0</v>
      </c>
      <c r="Y14" s="289">
        <f>'[1]Feb midyear Iberville'!E11</f>
        <v>0</v>
      </c>
      <c r="Z14" s="290">
        <f t="shared" si="19"/>
        <v>0</v>
      </c>
      <c r="AA14" s="288">
        <f t="shared" si="20"/>
        <v>0</v>
      </c>
      <c r="AB14" s="324">
        <f t="shared" si="21"/>
        <v>0</v>
      </c>
      <c r="AC14" s="292">
        <f t="shared" si="22"/>
        <v>0</v>
      </c>
      <c r="AD14" s="324">
        <f t="shared" si="23"/>
        <v>0</v>
      </c>
      <c r="AE14" s="293">
        <v>0</v>
      </c>
      <c r="AF14" s="324">
        <f t="shared" si="24"/>
        <v>0</v>
      </c>
      <c r="AG14" s="293">
        <f>(4*'[2]Table 5C1R-Iberville'!AI14)+(4*'[3]Table 5C1R-Iberville'!AI14)</f>
        <v>0</v>
      </c>
      <c r="AH14" s="293">
        <f t="shared" si="25"/>
        <v>0</v>
      </c>
      <c r="AI14" s="324">
        <f t="shared" si="6"/>
        <v>0</v>
      </c>
      <c r="AJ14" s="321">
        <f t="shared" si="26"/>
        <v>0</v>
      </c>
      <c r="AK14" s="342">
        <f t="shared" si="27"/>
        <v>0</v>
      </c>
      <c r="AM14" s="286">
        <v>0</v>
      </c>
      <c r="AN14" s="286">
        <f t="shared" si="28"/>
        <v>0</v>
      </c>
      <c r="AO14" s="286">
        <f t="shared" si="7"/>
        <v>0</v>
      </c>
    </row>
    <row r="15" spans="1:41" ht="16.149999999999999" customHeight="1">
      <c r="A15" s="198">
        <v>9</v>
      </c>
      <c r="B15" s="199" t="s">
        <v>81</v>
      </c>
      <c r="C15" s="995">
        <v>0</v>
      </c>
      <c r="D15" s="201">
        <f>+'Table 5C1A-Madison Prep'!D15</f>
        <v>4632.4615072045008</v>
      </c>
      <c r="E15" s="202">
        <f t="shared" si="8"/>
        <v>0</v>
      </c>
      <c r="F15" s="202">
        <f>+'Table 5C1A-Madison Prep'!F15</f>
        <v>744.76</v>
      </c>
      <c r="G15" s="202">
        <f t="shared" si="9"/>
        <v>0</v>
      </c>
      <c r="H15" s="345">
        <f t="shared" si="10"/>
        <v>0</v>
      </c>
      <c r="I15" s="203">
        <f>'[1]Oct midyear Iberville'!K12</f>
        <v>0</v>
      </c>
      <c r="J15" s="203">
        <f>'[1]Feb midyear Iberville'!K12</f>
        <v>0</v>
      </c>
      <c r="K15" s="204">
        <f t="shared" si="11"/>
        <v>0</v>
      </c>
      <c r="L15" s="345">
        <f t="shared" si="12"/>
        <v>0</v>
      </c>
      <c r="M15" s="286">
        <f t="shared" si="4"/>
        <v>0</v>
      </c>
      <c r="N15" s="345">
        <f t="shared" si="13"/>
        <v>0</v>
      </c>
      <c r="O15" s="201">
        <v>0</v>
      </c>
      <c r="P15" s="351">
        <f t="shared" si="14"/>
        <v>0</v>
      </c>
      <c r="Q15" s="203">
        <f>(4*'[2]Table 5C1R-Iberville'!S15)+(4*'[3]Table 5C1R-Iberville'!S15)</f>
        <v>0</v>
      </c>
      <c r="R15" s="203">
        <f t="shared" si="15"/>
        <v>0</v>
      </c>
      <c r="S15" s="351">
        <f t="shared" si="5"/>
        <v>0</v>
      </c>
      <c r="T15" s="351">
        <f t="shared" si="16"/>
        <v>0</v>
      </c>
      <c r="U15" s="287">
        <f>'Table 5C1A-Madison Prep'!U15</f>
        <v>4901</v>
      </c>
      <c r="V15" s="328">
        <f t="shared" si="17"/>
        <v>0</v>
      </c>
      <c r="W15" s="289">
        <f>'[1]Oct midyear Iberville'!E12</f>
        <v>0</v>
      </c>
      <c r="X15" s="290">
        <f t="shared" si="18"/>
        <v>0</v>
      </c>
      <c r="Y15" s="289">
        <f>'[1]Feb midyear Iberville'!E12</f>
        <v>0</v>
      </c>
      <c r="Z15" s="290">
        <f t="shared" si="19"/>
        <v>0</v>
      </c>
      <c r="AA15" s="288">
        <f t="shared" si="20"/>
        <v>0</v>
      </c>
      <c r="AB15" s="324">
        <f t="shared" si="21"/>
        <v>0</v>
      </c>
      <c r="AC15" s="292">
        <f t="shared" si="22"/>
        <v>0</v>
      </c>
      <c r="AD15" s="324">
        <f t="shared" si="23"/>
        <v>0</v>
      </c>
      <c r="AE15" s="293">
        <v>0</v>
      </c>
      <c r="AF15" s="324">
        <f t="shared" si="24"/>
        <v>0</v>
      </c>
      <c r="AG15" s="293">
        <f>(4*'[2]Table 5C1R-Iberville'!AI15)+(4*'[3]Table 5C1R-Iberville'!AI15)</f>
        <v>0</v>
      </c>
      <c r="AH15" s="293">
        <f t="shared" si="25"/>
        <v>0</v>
      </c>
      <c r="AI15" s="324">
        <f t="shared" si="6"/>
        <v>0</v>
      </c>
      <c r="AJ15" s="321">
        <f t="shared" si="26"/>
        <v>0</v>
      </c>
      <c r="AK15" s="342">
        <f t="shared" si="27"/>
        <v>0</v>
      </c>
      <c r="AM15" s="286">
        <v>0</v>
      </c>
      <c r="AN15" s="286">
        <f t="shared" si="28"/>
        <v>0</v>
      </c>
      <c r="AO15" s="286">
        <f t="shared" si="7"/>
        <v>0</v>
      </c>
    </row>
    <row r="16" spans="1:41" ht="16.149999999999999" customHeight="1">
      <c r="A16" s="191">
        <v>10</v>
      </c>
      <c r="B16" s="192" t="s">
        <v>82</v>
      </c>
      <c r="C16" s="996">
        <v>0</v>
      </c>
      <c r="D16" s="194">
        <f>+'Table 5C1A-Madison Prep'!D16</f>
        <v>4384.374733918472</v>
      </c>
      <c r="E16" s="195">
        <f t="shared" si="8"/>
        <v>0</v>
      </c>
      <c r="F16" s="195">
        <f>+'Table 5C1A-Madison Prep'!F16</f>
        <v>608.04000000000008</v>
      </c>
      <c r="G16" s="195">
        <f t="shared" si="9"/>
        <v>0</v>
      </c>
      <c r="H16" s="346">
        <f t="shared" si="10"/>
        <v>0</v>
      </c>
      <c r="I16" s="196">
        <f>'[1]Oct midyear Iberville'!K13</f>
        <v>0</v>
      </c>
      <c r="J16" s="196">
        <f>'[1]Feb midyear Iberville'!K13</f>
        <v>0</v>
      </c>
      <c r="K16" s="197">
        <f t="shared" si="11"/>
        <v>0</v>
      </c>
      <c r="L16" s="346">
        <f t="shared" si="12"/>
        <v>0</v>
      </c>
      <c r="M16" s="296">
        <f t="shared" si="4"/>
        <v>0</v>
      </c>
      <c r="N16" s="346">
        <f t="shared" si="13"/>
        <v>0</v>
      </c>
      <c r="O16" s="194">
        <v>0</v>
      </c>
      <c r="P16" s="352">
        <f t="shared" si="14"/>
        <v>0</v>
      </c>
      <c r="Q16" s="196">
        <f>(4*'[2]Table 5C1R-Iberville'!S16)+(4*'[3]Table 5C1R-Iberville'!S16)</f>
        <v>0</v>
      </c>
      <c r="R16" s="196">
        <f t="shared" si="15"/>
        <v>0</v>
      </c>
      <c r="S16" s="352">
        <f t="shared" si="5"/>
        <v>0</v>
      </c>
      <c r="T16" s="352">
        <f t="shared" si="16"/>
        <v>0</v>
      </c>
      <c r="U16" s="281">
        <f>'Table 5C1A-Madison Prep'!U16</f>
        <v>4619</v>
      </c>
      <c r="V16" s="329">
        <f t="shared" si="17"/>
        <v>0</v>
      </c>
      <c r="W16" s="884">
        <f>'[1]Oct midyear Iberville'!E13</f>
        <v>0</v>
      </c>
      <c r="X16" s="282">
        <f t="shared" si="18"/>
        <v>0</v>
      </c>
      <c r="Y16" s="884">
        <f>'[1]Feb midyear Iberville'!E13</f>
        <v>0</v>
      </c>
      <c r="Z16" s="282">
        <f t="shared" si="19"/>
        <v>0</v>
      </c>
      <c r="AA16" s="283">
        <f t="shared" si="20"/>
        <v>0</v>
      </c>
      <c r="AB16" s="325">
        <f t="shared" si="21"/>
        <v>0</v>
      </c>
      <c r="AC16" s="298">
        <f t="shared" si="22"/>
        <v>0</v>
      </c>
      <c r="AD16" s="325">
        <f t="shared" si="23"/>
        <v>0</v>
      </c>
      <c r="AE16" s="284">
        <v>0</v>
      </c>
      <c r="AF16" s="325">
        <f t="shared" si="24"/>
        <v>0</v>
      </c>
      <c r="AG16" s="284">
        <f>(4*'[2]Table 5C1R-Iberville'!AI16)+(4*'[3]Table 5C1R-Iberville'!AI16)</f>
        <v>0</v>
      </c>
      <c r="AH16" s="284">
        <f t="shared" si="25"/>
        <v>0</v>
      </c>
      <c r="AI16" s="325">
        <f t="shared" si="6"/>
        <v>0</v>
      </c>
      <c r="AJ16" s="338">
        <f t="shared" si="26"/>
        <v>0</v>
      </c>
      <c r="AK16" s="343">
        <f t="shared" si="27"/>
        <v>0</v>
      </c>
      <c r="AM16" s="296">
        <v>0</v>
      </c>
      <c r="AN16" s="296">
        <f t="shared" si="28"/>
        <v>0</v>
      </c>
      <c r="AO16" s="296">
        <f t="shared" si="7"/>
        <v>0</v>
      </c>
    </row>
    <row r="17" spans="1:41" ht="16.149999999999999" customHeight="1">
      <c r="A17" s="205">
        <v>11</v>
      </c>
      <c r="B17" s="206" t="s">
        <v>83</v>
      </c>
      <c r="C17" s="994">
        <v>0</v>
      </c>
      <c r="D17" s="208">
        <f>+'Table 5C1A-Madison Prep'!D17</f>
        <v>7098.5372236353351</v>
      </c>
      <c r="E17" s="209">
        <f t="shared" si="8"/>
        <v>0</v>
      </c>
      <c r="F17" s="209">
        <f>+'Table 5C1A-Madison Prep'!F17</f>
        <v>706.55</v>
      </c>
      <c r="G17" s="209">
        <f t="shared" si="9"/>
        <v>0</v>
      </c>
      <c r="H17" s="344">
        <f t="shared" si="10"/>
        <v>0</v>
      </c>
      <c r="I17" s="210">
        <f>'[1]Oct midyear Iberville'!K14</f>
        <v>0</v>
      </c>
      <c r="J17" s="210">
        <f>'[1]Feb midyear Iberville'!K14</f>
        <v>0</v>
      </c>
      <c r="K17" s="211">
        <f t="shared" si="11"/>
        <v>0</v>
      </c>
      <c r="L17" s="344">
        <f t="shared" si="12"/>
        <v>0</v>
      </c>
      <c r="M17" s="273">
        <f t="shared" si="4"/>
        <v>0</v>
      </c>
      <c r="N17" s="344">
        <f t="shared" si="13"/>
        <v>0</v>
      </c>
      <c r="O17" s="208">
        <v>0</v>
      </c>
      <c r="P17" s="350">
        <f t="shared" si="14"/>
        <v>0</v>
      </c>
      <c r="Q17" s="210">
        <f>(4*'[2]Table 5C1R-Iberville'!S17)+(4*'[3]Table 5C1R-Iberville'!S17)</f>
        <v>0</v>
      </c>
      <c r="R17" s="210">
        <f t="shared" si="15"/>
        <v>0</v>
      </c>
      <c r="S17" s="350">
        <f t="shared" si="5"/>
        <v>0</v>
      </c>
      <c r="T17" s="350">
        <f t="shared" si="16"/>
        <v>0</v>
      </c>
      <c r="U17" s="274">
        <f>'Table 5C1A-Madison Prep'!U17</f>
        <v>3580</v>
      </c>
      <c r="V17" s="327">
        <f t="shared" si="17"/>
        <v>0</v>
      </c>
      <c r="W17" s="883">
        <f>'[1]Oct midyear Iberville'!E14</f>
        <v>0</v>
      </c>
      <c r="X17" s="276">
        <f t="shared" si="18"/>
        <v>0</v>
      </c>
      <c r="Y17" s="883">
        <f>'[1]Feb midyear Iberville'!E14</f>
        <v>0</v>
      </c>
      <c r="Z17" s="276">
        <f t="shared" si="19"/>
        <v>0</v>
      </c>
      <c r="AA17" s="275">
        <f t="shared" si="20"/>
        <v>0</v>
      </c>
      <c r="AB17" s="323">
        <f t="shared" si="21"/>
        <v>0</v>
      </c>
      <c r="AC17" s="278">
        <f t="shared" si="22"/>
        <v>0</v>
      </c>
      <c r="AD17" s="323">
        <f t="shared" si="23"/>
        <v>0</v>
      </c>
      <c r="AE17" s="279">
        <v>0</v>
      </c>
      <c r="AF17" s="323">
        <f t="shared" si="24"/>
        <v>0</v>
      </c>
      <c r="AG17" s="279">
        <f>(4*'[2]Table 5C1R-Iberville'!AI17)+(4*'[3]Table 5C1R-Iberville'!AI17)</f>
        <v>0</v>
      </c>
      <c r="AH17" s="279">
        <f t="shared" si="25"/>
        <v>0</v>
      </c>
      <c r="AI17" s="323">
        <f t="shared" si="6"/>
        <v>0</v>
      </c>
      <c r="AJ17" s="337">
        <f t="shared" si="26"/>
        <v>0</v>
      </c>
      <c r="AK17" s="341">
        <f t="shared" si="27"/>
        <v>0</v>
      </c>
      <c r="AM17" s="273">
        <v>0</v>
      </c>
      <c r="AN17" s="273">
        <f t="shared" si="28"/>
        <v>0</v>
      </c>
      <c r="AO17" s="273">
        <f t="shared" si="7"/>
        <v>0</v>
      </c>
    </row>
    <row r="18" spans="1:41" ht="16.149999999999999" customHeight="1">
      <c r="A18" s="198">
        <v>12</v>
      </c>
      <c r="B18" s="199" t="s">
        <v>84</v>
      </c>
      <c r="C18" s="995">
        <v>0</v>
      </c>
      <c r="D18" s="201">
        <f>+'Table 5C1A-Madison Prep'!D18</f>
        <v>1666.6040983606558</v>
      </c>
      <c r="E18" s="202">
        <f t="shared" si="8"/>
        <v>0</v>
      </c>
      <c r="F18" s="202">
        <f>+'Table 5C1A-Madison Prep'!F18</f>
        <v>1063.31</v>
      </c>
      <c r="G18" s="202">
        <f t="shared" si="9"/>
        <v>0</v>
      </c>
      <c r="H18" s="345">
        <f t="shared" si="10"/>
        <v>0</v>
      </c>
      <c r="I18" s="203">
        <f>'[1]Oct midyear Iberville'!K15</f>
        <v>0</v>
      </c>
      <c r="J18" s="203">
        <f>'[1]Feb midyear Iberville'!K15</f>
        <v>0</v>
      </c>
      <c r="K18" s="204">
        <f t="shared" si="11"/>
        <v>0</v>
      </c>
      <c r="L18" s="345">
        <f t="shared" si="12"/>
        <v>0</v>
      </c>
      <c r="M18" s="286">
        <f t="shared" si="4"/>
        <v>0</v>
      </c>
      <c r="N18" s="345">
        <f t="shared" si="13"/>
        <v>0</v>
      </c>
      <c r="O18" s="201">
        <v>0</v>
      </c>
      <c r="P18" s="351">
        <f t="shared" si="14"/>
        <v>0</v>
      </c>
      <c r="Q18" s="203">
        <f>(4*'[2]Table 5C1R-Iberville'!S18)+(4*'[3]Table 5C1R-Iberville'!S18)</f>
        <v>0</v>
      </c>
      <c r="R18" s="203">
        <f t="shared" si="15"/>
        <v>0</v>
      </c>
      <c r="S18" s="351">
        <f t="shared" si="5"/>
        <v>0</v>
      </c>
      <c r="T18" s="351">
        <f t="shared" si="16"/>
        <v>0</v>
      </c>
      <c r="U18" s="287">
        <f>'Table 5C1A-Madison Prep'!U18</f>
        <v>8094</v>
      </c>
      <c r="V18" s="328">
        <f t="shared" si="17"/>
        <v>0</v>
      </c>
      <c r="W18" s="289">
        <f>'[1]Oct midyear Iberville'!E15</f>
        <v>0</v>
      </c>
      <c r="X18" s="290">
        <f t="shared" si="18"/>
        <v>0</v>
      </c>
      <c r="Y18" s="289">
        <f>'[1]Feb midyear Iberville'!E15</f>
        <v>0</v>
      </c>
      <c r="Z18" s="290">
        <f t="shared" si="19"/>
        <v>0</v>
      </c>
      <c r="AA18" s="288">
        <f t="shared" si="20"/>
        <v>0</v>
      </c>
      <c r="AB18" s="324">
        <f t="shared" si="21"/>
        <v>0</v>
      </c>
      <c r="AC18" s="292">
        <f t="shared" si="22"/>
        <v>0</v>
      </c>
      <c r="AD18" s="324">
        <f t="shared" si="23"/>
        <v>0</v>
      </c>
      <c r="AE18" s="293">
        <v>0</v>
      </c>
      <c r="AF18" s="324">
        <f t="shared" si="24"/>
        <v>0</v>
      </c>
      <c r="AG18" s="293">
        <f>(4*'[2]Table 5C1R-Iberville'!AI18)+(4*'[3]Table 5C1R-Iberville'!AI18)</f>
        <v>0</v>
      </c>
      <c r="AH18" s="293">
        <f t="shared" si="25"/>
        <v>0</v>
      </c>
      <c r="AI18" s="324">
        <f t="shared" si="6"/>
        <v>0</v>
      </c>
      <c r="AJ18" s="321">
        <f t="shared" si="26"/>
        <v>0</v>
      </c>
      <c r="AK18" s="342">
        <f t="shared" si="27"/>
        <v>0</v>
      </c>
      <c r="AM18" s="286">
        <v>0</v>
      </c>
      <c r="AN18" s="286">
        <f t="shared" si="28"/>
        <v>0</v>
      </c>
      <c r="AO18" s="286">
        <f t="shared" si="7"/>
        <v>0</v>
      </c>
    </row>
    <row r="19" spans="1:41" ht="16.149999999999999" customHeight="1">
      <c r="A19" s="198">
        <v>13</v>
      </c>
      <c r="B19" s="199" t="s">
        <v>85</v>
      </c>
      <c r="C19" s="995">
        <v>0</v>
      </c>
      <c r="D19" s="201">
        <f>+'Table 5C1A-Madison Prep'!D19</f>
        <v>6433.6297758332212</v>
      </c>
      <c r="E19" s="202">
        <f t="shared" si="8"/>
        <v>0</v>
      </c>
      <c r="F19" s="202">
        <f>+'Table 5C1A-Madison Prep'!F19</f>
        <v>749.43000000000006</v>
      </c>
      <c r="G19" s="202">
        <f t="shared" si="9"/>
        <v>0</v>
      </c>
      <c r="H19" s="345">
        <f t="shared" si="10"/>
        <v>0</v>
      </c>
      <c r="I19" s="203">
        <f>'[1]Oct midyear Iberville'!K16</f>
        <v>0</v>
      </c>
      <c r="J19" s="203">
        <f>'[1]Feb midyear Iberville'!K16</f>
        <v>0</v>
      </c>
      <c r="K19" s="204">
        <f t="shared" si="11"/>
        <v>0</v>
      </c>
      <c r="L19" s="345">
        <f t="shared" si="12"/>
        <v>0</v>
      </c>
      <c r="M19" s="286">
        <f t="shared" si="4"/>
        <v>0</v>
      </c>
      <c r="N19" s="345">
        <f t="shared" si="13"/>
        <v>0</v>
      </c>
      <c r="O19" s="201">
        <v>0</v>
      </c>
      <c r="P19" s="351">
        <f t="shared" si="14"/>
        <v>0</v>
      </c>
      <c r="Q19" s="203">
        <f>(4*'[2]Table 5C1R-Iberville'!S19)+(4*'[3]Table 5C1R-Iberville'!S19)</f>
        <v>0</v>
      </c>
      <c r="R19" s="203">
        <f t="shared" si="15"/>
        <v>0</v>
      </c>
      <c r="S19" s="351">
        <f t="shared" si="5"/>
        <v>0</v>
      </c>
      <c r="T19" s="351">
        <f t="shared" si="16"/>
        <v>0</v>
      </c>
      <c r="U19" s="287">
        <f>'Table 5C1A-Madison Prep'!U19</f>
        <v>2762</v>
      </c>
      <c r="V19" s="328">
        <f t="shared" si="17"/>
        <v>0</v>
      </c>
      <c r="W19" s="289">
        <f>'[1]Oct midyear Iberville'!E16</f>
        <v>0</v>
      </c>
      <c r="X19" s="290">
        <f t="shared" si="18"/>
        <v>0</v>
      </c>
      <c r="Y19" s="289">
        <f>'[1]Feb midyear Iberville'!E16</f>
        <v>0</v>
      </c>
      <c r="Z19" s="290">
        <f t="shared" si="19"/>
        <v>0</v>
      </c>
      <c r="AA19" s="288">
        <f t="shared" si="20"/>
        <v>0</v>
      </c>
      <c r="AB19" s="324">
        <f t="shared" si="21"/>
        <v>0</v>
      </c>
      <c r="AC19" s="292">
        <f t="shared" si="22"/>
        <v>0</v>
      </c>
      <c r="AD19" s="324">
        <f t="shared" si="23"/>
        <v>0</v>
      </c>
      <c r="AE19" s="293">
        <v>0</v>
      </c>
      <c r="AF19" s="324">
        <f t="shared" si="24"/>
        <v>0</v>
      </c>
      <c r="AG19" s="293">
        <f>(4*'[2]Table 5C1R-Iberville'!AI19)+(4*'[3]Table 5C1R-Iberville'!AI19)</f>
        <v>0</v>
      </c>
      <c r="AH19" s="293">
        <f t="shared" si="25"/>
        <v>0</v>
      </c>
      <c r="AI19" s="324">
        <f t="shared" si="6"/>
        <v>0</v>
      </c>
      <c r="AJ19" s="321">
        <f t="shared" si="26"/>
        <v>0</v>
      </c>
      <c r="AK19" s="342">
        <f t="shared" si="27"/>
        <v>0</v>
      </c>
      <c r="AM19" s="286">
        <v>0</v>
      </c>
      <c r="AN19" s="286">
        <f t="shared" si="28"/>
        <v>0</v>
      </c>
      <c r="AO19" s="286">
        <f t="shared" si="7"/>
        <v>0</v>
      </c>
    </row>
    <row r="20" spans="1:41" ht="16.149999999999999" customHeight="1">
      <c r="A20" s="198">
        <v>14</v>
      </c>
      <c r="B20" s="199" t="s">
        <v>86</v>
      </c>
      <c r="C20" s="995">
        <v>0</v>
      </c>
      <c r="D20" s="201">
        <f>+'Table 5C1A-Madison Prep'!D20</f>
        <v>5334.9509412500001</v>
      </c>
      <c r="E20" s="202">
        <f t="shared" si="8"/>
        <v>0</v>
      </c>
      <c r="F20" s="202">
        <f>+'Table 5C1A-Madison Prep'!F20</f>
        <v>809.9799999999999</v>
      </c>
      <c r="G20" s="202">
        <f t="shared" si="9"/>
        <v>0</v>
      </c>
      <c r="H20" s="345">
        <f t="shared" si="10"/>
        <v>0</v>
      </c>
      <c r="I20" s="203">
        <f>'[1]Oct midyear Iberville'!K17</f>
        <v>0</v>
      </c>
      <c r="J20" s="203">
        <f>'[1]Feb midyear Iberville'!K17</f>
        <v>0</v>
      </c>
      <c r="K20" s="204">
        <f t="shared" si="11"/>
        <v>0</v>
      </c>
      <c r="L20" s="345">
        <f t="shared" si="12"/>
        <v>0</v>
      </c>
      <c r="M20" s="286">
        <f t="shared" si="4"/>
        <v>0</v>
      </c>
      <c r="N20" s="345">
        <f t="shared" si="13"/>
        <v>0</v>
      </c>
      <c r="O20" s="201">
        <v>0</v>
      </c>
      <c r="P20" s="351">
        <f t="shared" si="14"/>
        <v>0</v>
      </c>
      <c r="Q20" s="203">
        <f>(4*'[2]Table 5C1R-Iberville'!S20)+(4*'[3]Table 5C1R-Iberville'!S20)</f>
        <v>0</v>
      </c>
      <c r="R20" s="203">
        <f t="shared" si="15"/>
        <v>0</v>
      </c>
      <c r="S20" s="351">
        <f t="shared" si="5"/>
        <v>0</v>
      </c>
      <c r="T20" s="351">
        <f t="shared" si="16"/>
        <v>0</v>
      </c>
      <c r="U20" s="287">
        <f>'Table 5C1A-Madison Prep'!U20</f>
        <v>4171</v>
      </c>
      <c r="V20" s="328">
        <f t="shared" si="17"/>
        <v>0</v>
      </c>
      <c r="W20" s="289">
        <f>'[1]Oct midyear Iberville'!E17</f>
        <v>0</v>
      </c>
      <c r="X20" s="290">
        <f t="shared" si="18"/>
        <v>0</v>
      </c>
      <c r="Y20" s="289">
        <f>'[1]Feb midyear Iberville'!E17</f>
        <v>0</v>
      </c>
      <c r="Z20" s="290">
        <f t="shared" si="19"/>
        <v>0</v>
      </c>
      <c r="AA20" s="288">
        <f t="shared" si="20"/>
        <v>0</v>
      </c>
      <c r="AB20" s="324">
        <f t="shared" si="21"/>
        <v>0</v>
      </c>
      <c r="AC20" s="292">
        <f t="shared" si="22"/>
        <v>0</v>
      </c>
      <c r="AD20" s="324">
        <f t="shared" si="23"/>
        <v>0</v>
      </c>
      <c r="AE20" s="293">
        <v>0</v>
      </c>
      <c r="AF20" s="324">
        <f t="shared" si="24"/>
        <v>0</v>
      </c>
      <c r="AG20" s="293">
        <f>(4*'[2]Table 5C1R-Iberville'!AI20)+(4*'[3]Table 5C1R-Iberville'!AI20)</f>
        <v>0</v>
      </c>
      <c r="AH20" s="293">
        <f t="shared" si="25"/>
        <v>0</v>
      </c>
      <c r="AI20" s="324">
        <f t="shared" si="6"/>
        <v>0</v>
      </c>
      <c r="AJ20" s="321">
        <f t="shared" si="26"/>
        <v>0</v>
      </c>
      <c r="AK20" s="342">
        <f t="shared" si="27"/>
        <v>0</v>
      </c>
      <c r="AM20" s="286">
        <v>0</v>
      </c>
      <c r="AN20" s="286">
        <f t="shared" si="28"/>
        <v>0</v>
      </c>
      <c r="AO20" s="286">
        <f t="shared" si="7"/>
        <v>0</v>
      </c>
    </row>
    <row r="21" spans="1:41" ht="16.149999999999999" customHeight="1">
      <c r="A21" s="191">
        <v>15</v>
      </c>
      <c r="B21" s="192" t="s">
        <v>87</v>
      </c>
      <c r="C21" s="996">
        <v>0</v>
      </c>
      <c r="D21" s="194">
        <f>+'Table 5C1A-Madison Prep'!D21</f>
        <v>5749.8285214059952</v>
      </c>
      <c r="E21" s="195">
        <f t="shared" si="8"/>
        <v>0</v>
      </c>
      <c r="F21" s="195">
        <f>+'Table 5C1A-Madison Prep'!F21</f>
        <v>553.79999999999995</v>
      </c>
      <c r="G21" s="195">
        <f t="shared" si="9"/>
        <v>0</v>
      </c>
      <c r="H21" s="346">
        <f t="shared" si="10"/>
        <v>0</v>
      </c>
      <c r="I21" s="196">
        <f>'[1]Oct midyear Iberville'!K18</f>
        <v>0</v>
      </c>
      <c r="J21" s="196">
        <f>'[1]Feb midyear Iberville'!K18</f>
        <v>0</v>
      </c>
      <c r="K21" s="197">
        <f t="shared" si="11"/>
        <v>0</v>
      </c>
      <c r="L21" s="346">
        <f t="shared" si="12"/>
        <v>0</v>
      </c>
      <c r="M21" s="296">
        <f t="shared" si="4"/>
        <v>0</v>
      </c>
      <c r="N21" s="346">
        <f t="shared" si="13"/>
        <v>0</v>
      </c>
      <c r="O21" s="194">
        <v>0</v>
      </c>
      <c r="P21" s="352">
        <f t="shared" si="14"/>
        <v>0</v>
      </c>
      <c r="Q21" s="196">
        <f>(4*'[2]Table 5C1R-Iberville'!S21)+(4*'[3]Table 5C1R-Iberville'!S21)</f>
        <v>0</v>
      </c>
      <c r="R21" s="196">
        <f t="shared" si="15"/>
        <v>0</v>
      </c>
      <c r="S21" s="352">
        <f t="shared" si="5"/>
        <v>0</v>
      </c>
      <c r="T21" s="352">
        <f t="shared" si="16"/>
        <v>0</v>
      </c>
      <c r="U21" s="281">
        <f>'Table 5C1A-Madison Prep'!U21</f>
        <v>2880</v>
      </c>
      <c r="V21" s="329">
        <f t="shared" si="17"/>
        <v>0</v>
      </c>
      <c r="W21" s="884">
        <f>'[1]Oct midyear Iberville'!E18</f>
        <v>0</v>
      </c>
      <c r="X21" s="282">
        <f t="shared" si="18"/>
        <v>0</v>
      </c>
      <c r="Y21" s="884">
        <f>'[1]Feb midyear Iberville'!E18</f>
        <v>0</v>
      </c>
      <c r="Z21" s="282">
        <f t="shared" si="19"/>
        <v>0</v>
      </c>
      <c r="AA21" s="283">
        <f t="shared" si="20"/>
        <v>0</v>
      </c>
      <c r="AB21" s="325">
        <f t="shared" si="21"/>
        <v>0</v>
      </c>
      <c r="AC21" s="298">
        <f t="shared" si="22"/>
        <v>0</v>
      </c>
      <c r="AD21" s="325">
        <f t="shared" si="23"/>
        <v>0</v>
      </c>
      <c r="AE21" s="284">
        <v>0</v>
      </c>
      <c r="AF21" s="325">
        <f t="shared" si="24"/>
        <v>0</v>
      </c>
      <c r="AG21" s="284">
        <f>(4*'[2]Table 5C1R-Iberville'!AI21)+(4*'[3]Table 5C1R-Iberville'!AI21)</f>
        <v>0</v>
      </c>
      <c r="AH21" s="284">
        <f t="shared" si="25"/>
        <v>0</v>
      </c>
      <c r="AI21" s="325">
        <f t="shared" si="6"/>
        <v>0</v>
      </c>
      <c r="AJ21" s="338">
        <f t="shared" si="26"/>
        <v>0</v>
      </c>
      <c r="AK21" s="343">
        <f t="shared" si="27"/>
        <v>0</v>
      </c>
      <c r="AM21" s="296">
        <v>0</v>
      </c>
      <c r="AN21" s="296">
        <f t="shared" si="28"/>
        <v>0</v>
      </c>
      <c r="AO21" s="296">
        <f t="shared" si="7"/>
        <v>0</v>
      </c>
    </row>
    <row r="22" spans="1:41" ht="16.149999999999999" customHeight="1">
      <c r="A22" s="205">
        <v>16</v>
      </c>
      <c r="B22" s="206" t="s">
        <v>88</v>
      </c>
      <c r="C22" s="994">
        <v>0</v>
      </c>
      <c r="D22" s="208">
        <f>+'Table 5C1A-Madison Prep'!D22</f>
        <v>1980.2494354342025</v>
      </c>
      <c r="E22" s="209">
        <f t="shared" si="8"/>
        <v>0</v>
      </c>
      <c r="F22" s="209">
        <f>+'Table 5C1A-Madison Prep'!F22</f>
        <v>686.73</v>
      </c>
      <c r="G22" s="209">
        <f t="shared" si="9"/>
        <v>0</v>
      </c>
      <c r="H22" s="344">
        <f t="shared" si="10"/>
        <v>0</v>
      </c>
      <c r="I22" s="210">
        <f>'[1]Oct midyear Iberville'!K19</f>
        <v>0</v>
      </c>
      <c r="J22" s="210">
        <f>'[1]Feb midyear Iberville'!K19</f>
        <v>0</v>
      </c>
      <c r="K22" s="211">
        <f t="shared" si="11"/>
        <v>0</v>
      </c>
      <c r="L22" s="344">
        <f t="shared" si="12"/>
        <v>0</v>
      </c>
      <c r="M22" s="273">
        <f t="shared" si="4"/>
        <v>0</v>
      </c>
      <c r="N22" s="344">
        <f t="shared" si="13"/>
        <v>0</v>
      </c>
      <c r="O22" s="208">
        <v>0</v>
      </c>
      <c r="P22" s="350">
        <f t="shared" si="14"/>
        <v>0</v>
      </c>
      <c r="Q22" s="210">
        <f>(4*'[2]Table 5C1R-Iberville'!S22)+(4*'[3]Table 5C1R-Iberville'!S22)</f>
        <v>0</v>
      </c>
      <c r="R22" s="210">
        <f t="shared" si="15"/>
        <v>0</v>
      </c>
      <c r="S22" s="350">
        <f t="shared" si="5"/>
        <v>0</v>
      </c>
      <c r="T22" s="350">
        <f t="shared" si="16"/>
        <v>0</v>
      </c>
      <c r="U22" s="274">
        <f>'Table 5C1A-Madison Prep'!U22</f>
        <v>13021</v>
      </c>
      <c r="V22" s="327">
        <f t="shared" si="17"/>
        <v>0</v>
      </c>
      <c r="W22" s="883">
        <f>'[1]Oct midyear Iberville'!E19</f>
        <v>0</v>
      </c>
      <c r="X22" s="276">
        <f t="shared" si="18"/>
        <v>0</v>
      </c>
      <c r="Y22" s="883">
        <f>'[1]Feb midyear Iberville'!E19</f>
        <v>0</v>
      </c>
      <c r="Z22" s="276">
        <f t="shared" si="19"/>
        <v>0</v>
      </c>
      <c r="AA22" s="275">
        <f t="shared" si="20"/>
        <v>0</v>
      </c>
      <c r="AB22" s="323">
        <f t="shared" si="21"/>
        <v>0</v>
      </c>
      <c r="AC22" s="278">
        <f t="shared" si="22"/>
        <v>0</v>
      </c>
      <c r="AD22" s="323">
        <f t="shared" si="23"/>
        <v>0</v>
      </c>
      <c r="AE22" s="279">
        <v>0</v>
      </c>
      <c r="AF22" s="323">
        <f t="shared" si="24"/>
        <v>0</v>
      </c>
      <c r="AG22" s="279">
        <f>(4*'[2]Table 5C1R-Iberville'!AI22)+(4*'[3]Table 5C1R-Iberville'!AI22)</f>
        <v>0</v>
      </c>
      <c r="AH22" s="279">
        <f t="shared" si="25"/>
        <v>0</v>
      </c>
      <c r="AI22" s="323">
        <f t="shared" si="6"/>
        <v>0</v>
      </c>
      <c r="AJ22" s="337">
        <f t="shared" si="26"/>
        <v>0</v>
      </c>
      <c r="AK22" s="341">
        <f t="shared" si="27"/>
        <v>0</v>
      </c>
      <c r="AM22" s="273">
        <v>0</v>
      </c>
      <c r="AN22" s="273">
        <f t="shared" si="28"/>
        <v>0</v>
      </c>
      <c r="AO22" s="273">
        <f t="shared" si="7"/>
        <v>0</v>
      </c>
    </row>
    <row r="23" spans="1:41" ht="16.149999999999999" customHeight="1">
      <c r="A23" s="198">
        <v>17</v>
      </c>
      <c r="B23" s="199" t="s">
        <v>89</v>
      </c>
      <c r="C23" s="995">
        <v>0</v>
      </c>
      <c r="D23" s="201">
        <f>+'Table 5C1A-Madison Prep'!D23</f>
        <v>3363.5980368254495</v>
      </c>
      <c r="E23" s="202">
        <f t="shared" si="8"/>
        <v>0</v>
      </c>
      <c r="F23" s="202">
        <f>+'Table 5C1A-Madison Prep'!F23</f>
        <v>801.47762416806802</v>
      </c>
      <c r="G23" s="202">
        <f t="shared" si="9"/>
        <v>0</v>
      </c>
      <c r="H23" s="345">
        <f t="shared" si="10"/>
        <v>0</v>
      </c>
      <c r="I23" s="203">
        <f>'[1]Oct midyear Iberville'!K20</f>
        <v>8330.1513219870358</v>
      </c>
      <c r="J23" s="203">
        <f>'[1]Feb midyear Iberville'!K20</f>
        <v>-4165.0756609935179</v>
      </c>
      <c r="K23" s="204">
        <f t="shared" si="11"/>
        <v>4165.0756609935179</v>
      </c>
      <c r="L23" s="345">
        <f t="shared" si="12"/>
        <v>4165.0756609935179</v>
      </c>
      <c r="M23" s="286">
        <f t="shared" si="4"/>
        <v>-10.412689152483795</v>
      </c>
      <c r="N23" s="345">
        <f t="shared" si="13"/>
        <v>4154.6629718410341</v>
      </c>
      <c r="O23" s="201">
        <v>0</v>
      </c>
      <c r="P23" s="351">
        <f t="shared" si="14"/>
        <v>4154.6629718410341</v>
      </c>
      <c r="Q23" s="203">
        <f>(4*'[2]Table 5C1R-Iberville'!S23)+(4*'[3]Table 5C1R-Iberville'!S23)</f>
        <v>9696</v>
      </c>
      <c r="R23" s="203">
        <f t="shared" si="15"/>
        <v>-5541.3370281589659</v>
      </c>
      <c r="S23" s="351">
        <f t="shared" si="5"/>
        <v>-1385</v>
      </c>
      <c r="T23" s="351">
        <f t="shared" si="16"/>
        <v>4154.6629718410341</v>
      </c>
      <c r="U23" s="287">
        <f>'Table 5C1A-Madison Prep'!U23</f>
        <v>6954</v>
      </c>
      <c r="V23" s="328">
        <f t="shared" si="17"/>
        <v>0</v>
      </c>
      <c r="W23" s="289">
        <f>'[1]Oct midyear Iberville'!E20</f>
        <v>2</v>
      </c>
      <c r="X23" s="290">
        <f t="shared" si="18"/>
        <v>13908</v>
      </c>
      <c r="Y23" s="289">
        <f>'[1]Feb midyear Iberville'!E20</f>
        <v>-2</v>
      </c>
      <c r="Z23" s="290">
        <f t="shared" si="19"/>
        <v>-6954</v>
      </c>
      <c r="AA23" s="288">
        <f t="shared" si="20"/>
        <v>6954</v>
      </c>
      <c r="AB23" s="324">
        <f t="shared" si="21"/>
        <v>6954</v>
      </c>
      <c r="AC23" s="292">
        <f t="shared" si="22"/>
        <v>-17.385000000000002</v>
      </c>
      <c r="AD23" s="324">
        <f t="shared" si="23"/>
        <v>6936.6149999999998</v>
      </c>
      <c r="AE23" s="293">
        <v>0</v>
      </c>
      <c r="AF23" s="324">
        <f t="shared" si="24"/>
        <v>6936.6149999999998</v>
      </c>
      <c r="AG23" s="293">
        <f>(4*'[2]Table 5C1R-Iberville'!AI23)+(4*'[3]Table 5C1R-Iberville'!AI23)</f>
        <v>16408</v>
      </c>
      <c r="AH23" s="293">
        <f t="shared" si="25"/>
        <v>-9471.3850000000002</v>
      </c>
      <c r="AI23" s="324">
        <f t="shared" si="6"/>
        <v>-2368</v>
      </c>
      <c r="AJ23" s="321">
        <f t="shared" si="26"/>
        <v>11091.277971841035</v>
      </c>
      <c r="AK23" s="342">
        <f t="shared" si="27"/>
        <v>-3753</v>
      </c>
      <c r="AM23" s="286">
        <v>-141</v>
      </c>
      <c r="AN23" s="286">
        <f t="shared" si="28"/>
        <v>-17.385000000000002</v>
      </c>
      <c r="AO23" s="286">
        <f t="shared" si="7"/>
        <v>123.61499999999999</v>
      </c>
    </row>
    <row r="24" spans="1:41" ht="16.149999999999999" customHeight="1">
      <c r="A24" s="198">
        <v>18</v>
      </c>
      <c r="B24" s="199" t="s">
        <v>90</v>
      </c>
      <c r="C24" s="995">
        <v>0</v>
      </c>
      <c r="D24" s="201">
        <f>+'Table 5C1A-Madison Prep'!D24</f>
        <v>6354.5533500475731</v>
      </c>
      <c r="E24" s="202">
        <f t="shared" si="8"/>
        <v>0</v>
      </c>
      <c r="F24" s="202">
        <f>+'Table 5C1A-Madison Prep'!F24</f>
        <v>845.94999999999993</v>
      </c>
      <c r="G24" s="202">
        <f t="shared" si="9"/>
        <v>0</v>
      </c>
      <c r="H24" s="345">
        <f t="shared" si="10"/>
        <v>0</v>
      </c>
      <c r="I24" s="203">
        <f>'[1]Oct midyear Iberville'!K21</f>
        <v>0</v>
      </c>
      <c r="J24" s="203">
        <f>'[1]Feb midyear Iberville'!K21</f>
        <v>0</v>
      </c>
      <c r="K24" s="204">
        <f t="shared" si="11"/>
        <v>0</v>
      </c>
      <c r="L24" s="345">
        <f t="shared" si="12"/>
        <v>0</v>
      </c>
      <c r="M24" s="286">
        <f t="shared" si="4"/>
        <v>0</v>
      </c>
      <c r="N24" s="345">
        <f t="shared" si="13"/>
        <v>0</v>
      </c>
      <c r="O24" s="201">
        <v>0</v>
      </c>
      <c r="P24" s="351">
        <f t="shared" si="14"/>
        <v>0</v>
      </c>
      <c r="Q24" s="203">
        <f>(4*'[2]Table 5C1R-Iberville'!S24)+(4*'[3]Table 5C1R-Iberville'!S24)</f>
        <v>0</v>
      </c>
      <c r="R24" s="203">
        <f t="shared" si="15"/>
        <v>0</v>
      </c>
      <c r="S24" s="351">
        <f t="shared" si="5"/>
        <v>0</v>
      </c>
      <c r="T24" s="351">
        <f t="shared" si="16"/>
        <v>0</v>
      </c>
      <c r="U24" s="287">
        <f>'Table 5C1A-Madison Prep'!U24</f>
        <v>2442</v>
      </c>
      <c r="V24" s="328">
        <f t="shared" si="17"/>
        <v>0</v>
      </c>
      <c r="W24" s="289">
        <f>'[1]Oct midyear Iberville'!E21</f>
        <v>0</v>
      </c>
      <c r="X24" s="290">
        <f t="shared" si="18"/>
        <v>0</v>
      </c>
      <c r="Y24" s="289">
        <f>'[1]Feb midyear Iberville'!E21</f>
        <v>0</v>
      </c>
      <c r="Z24" s="290">
        <f t="shared" si="19"/>
        <v>0</v>
      </c>
      <c r="AA24" s="288">
        <f t="shared" si="20"/>
        <v>0</v>
      </c>
      <c r="AB24" s="324">
        <f t="shared" si="21"/>
        <v>0</v>
      </c>
      <c r="AC24" s="292">
        <f t="shared" si="22"/>
        <v>0</v>
      </c>
      <c r="AD24" s="324">
        <f t="shared" si="23"/>
        <v>0</v>
      </c>
      <c r="AE24" s="293">
        <v>0</v>
      </c>
      <c r="AF24" s="324">
        <f t="shared" si="24"/>
        <v>0</v>
      </c>
      <c r="AG24" s="293">
        <f>(4*'[2]Table 5C1R-Iberville'!AI24)+(4*'[3]Table 5C1R-Iberville'!AI24)</f>
        <v>0</v>
      </c>
      <c r="AH24" s="293">
        <f t="shared" si="25"/>
        <v>0</v>
      </c>
      <c r="AI24" s="324">
        <f t="shared" si="6"/>
        <v>0</v>
      </c>
      <c r="AJ24" s="321">
        <f t="shared" si="26"/>
        <v>0</v>
      </c>
      <c r="AK24" s="342">
        <f t="shared" si="27"/>
        <v>0</v>
      </c>
      <c r="AM24" s="286">
        <v>0</v>
      </c>
      <c r="AN24" s="286">
        <f t="shared" si="28"/>
        <v>0</v>
      </c>
      <c r="AO24" s="286">
        <f t="shared" si="7"/>
        <v>0</v>
      </c>
    </row>
    <row r="25" spans="1:41" ht="16.149999999999999" customHeight="1">
      <c r="A25" s="198">
        <v>19</v>
      </c>
      <c r="B25" s="199" t="s">
        <v>91</v>
      </c>
      <c r="C25" s="995">
        <v>0</v>
      </c>
      <c r="D25" s="201">
        <f>+'Table 5C1A-Madison Prep'!D25</f>
        <v>5314.3921869460446</v>
      </c>
      <c r="E25" s="202">
        <f t="shared" si="8"/>
        <v>0</v>
      </c>
      <c r="F25" s="202">
        <f>+'Table 5C1A-Madison Prep'!F25</f>
        <v>905.43</v>
      </c>
      <c r="G25" s="202">
        <f t="shared" si="9"/>
        <v>0</v>
      </c>
      <c r="H25" s="345">
        <f t="shared" si="10"/>
        <v>0</v>
      </c>
      <c r="I25" s="203">
        <f>'[1]Oct midyear Iberville'!K22</f>
        <v>0</v>
      </c>
      <c r="J25" s="203">
        <f>'[1]Feb midyear Iberville'!K22</f>
        <v>0</v>
      </c>
      <c r="K25" s="204">
        <f t="shared" si="11"/>
        <v>0</v>
      </c>
      <c r="L25" s="345">
        <f t="shared" si="12"/>
        <v>0</v>
      </c>
      <c r="M25" s="286">
        <f t="shared" si="4"/>
        <v>0</v>
      </c>
      <c r="N25" s="345">
        <f t="shared" si="13"/>
        <v>0</v>
      </c>
      <c r="O25" s="201">
        <v>0</v>
      </c>
      <c r="P25" s="351">
        <f t="shared" si="14"/>
        <v>0</v>
      </c>
      <c r="Q25" s="203">
        <f>(4*'[2]Table 5C1R-Iberville'!S25)+(4*'[3]Table 5C1R-Iberville'!S25)</f>
        <v>0</v>
      </c>
      <c r="R25" s="203">
        <f t="shared" si="15"/>
        <v>0</v>
      </c>
      <c r="S25" s="351">
        <f t="shared" si="5"/>
        <v>0</v>
      </c>
      <c r="T25" s="351">
        <f t="shared" si="16"/>
        <v>0</v>
      </c>
      <c r="U25" s="287">
        <f>'Table 5C1A-Madison Prep'!U25</f>
        <v>3051</v>
      </c>
      <c r="V25" s="328">
        <f t="shared" si="17"/>
        <v>0</v>
      </c>
      <c r="W25" s="289">
        <f>'[1]Oct midyear Iberville'!E22</f>
        <v>0</v>
      </c>
      <c r="X25" s="290">
        <f t="shared" si="18"/>
        <v>0</v>
      </c>
      <c r="Y25" s="289">
        <f>'[1]Feb midyear Iberville'!E22</f>
        <v>0</v>
      </c>
      <c r="Z25" s="290">
        <f t="shared" si="19"/>
        <v>0</v>
      </c>
      <c r="AA25" s="288">
        <f t="shared" si="20"/>
        <v>0</v>
      </c>
      <c r="AB25" s="324">
        <f t="shared" si="21"/>
        <v>0</v>
      </c>
      <c r="AC25" s="292">
        <f t="shared" si="22"/>
        <v>0</v>
      </c>
      <c r="AD25" s="324">
        <f t="shared" si="23"/>
        <v>0</v>
      </c>
      <c r="AE25" s="293">
        <v>0</v>
      </c>
      <c r="AF25" s="324">
        <f t="shared" si="24"/>
        <v>0</v>
      </c>
      <c r="AG25" s="293">
        <f>(4*'[2]Table 5C1R-Iberville'!AI25)+(4*'[3]Table 5C1R-Iberville'!AI25)</f>
        <v>0</v>
      </c>
      <c r="AH25" s="293">
        <f t="shared" si="25"/>
        <v>0</v>
      </c>
      <c r="AI25" s="324">
        <f t="shared" si="6"/>
        <v>0</v>
      </c>
      <c r="AJ25" s="321">
        <f t="shared" si="26"/>
        <v>0</v>
      </c>
      <c r="AK25" s="342">
        <f t="shared" si="27"/>
        <v>0</v>
      </c>
      <c r="AM25" s="286">
        <v>0</v>
      </c>
      <c r="AN25" s="286">
        <f t="shared" si="28"/>
        <v>0</v>
      </c>
      <c r="AO25" s="286">
        <f t="shared" si="7"/>
        <v>0</v>
      </c>
    </row>
    <row r="26" spans="1:41" ht="16.149999999999999" customHeight="1">
      <c r="A26" s="191">
        <v>20</v>
      </c>
      <c r="B26" s="192" t="s">
        <v>92</v>
      </c>
      <c r="C26" s="996">
        <v>0</v>
      </c>
      <c r="D26" s="194">
        <f>+'Table 5C1A-Madison Prep'!D26</f>
        <v>5278.5201565562011</v>
      </c>
      <c r="E26" s="195">
        <f t="shared" si="8"/>
        <v>0</v>
      </c>
      <c r="F26" s="195">
        <f>+'Table 5C1A-Madison Prep'!F26</f>
        <v>586.16999999999996</v>
      </c>
      <c r="G26" s="195">
        <f t="shared" si="9"/>
        <v>0</v>
      </c>
      <c r="H26" s="346">
        <f t="shared" si="10"/>
        <v>0</v>
      </c>
      <c r="I26" s="196">
        <f>'[1]Oct midyear Iberville'!K23</f>
        <v>0</v>
      </c>
      <c r="J26" s="196">
        <f>'[1]Feb midyear Iberville'!K23</f>
        <v>0</v>
      </c>
      <c r="K26" s="197">
        <f t="shared" si="11"/>
        <v>0</v>
      </c>
      <c r="L26" s="346">
        <f t="shared" si="12"/>
        <v>0</v>
      </c>
      <c r="M26" s="296">
        <f t="shared" si="4"/>
        <v>0</v>
      </c>
      <c r="N26" s="346">
        <f t="shared" si="13"/>
        <v>0</v>
      </c>
      <c r="O26" s="194">
        <v>0</v>
      </c>
      <c r="P26" s="352">
        <f t="shared" si="14"/>
        <v>0</v>
      </c>
      <c r="Q26" s="196">
        <f>(4*'[2]Table 5C1R-Iberville'!S26)+(4*'[3]Table 5C1R-Iberville'!S26)</f>
        <v>0</v>
      </c>
      <c r="R26" s="196">
        <f t="shared" si="15"/>
        <v>0</v>
      </c>
      <c r="S26" s="352">
        <f t="shared" si="5"/>
        <v>0</v>
      </c>
      <c r="T26" s="352">
        <f t="shared" si="16"/>
        <v>0</v>
      </c>
      <c r="U26" s="281">
        <f>'Table 5C1A-Madison Prep'!U26</f>
        <v>2484</v>
      </c>
      <c r="V26" s="329">
        <f t="shared" si="17"/>
        <v>0</v>
      </c>
      <c r="W26" s="884">
        <f>'[1]Oct midyear Iberville'!E23</f>
        <v>0</v>
      </c>
      <c r="X26" s="282">
        <f t="shared" si="18"/>
        <v>0</v>
      </c>
      <c r="Y26" s="884">
        <f>'[1]Feb midyear Iberville'!E23</f>
        <v>0</v>
      </c>
      <c r="Z26" s="282">
        <f t="shared" si="19"/>
        <v>0</v>
      </c>
      <c r="AA26" s="283">
        <f t="shared" si="20"/>
        <v>0</v>
      </c>
      <c r="AB26" s="325">
        <f t="shared" si="21"/>
        <v>0</v>
      </c>
      <c r="AC26" s="298">
        <f t="shared" si="22"/>
        <v>0</v>
      </c>
      <c r="AD26" s="325">
        <f t="shared" si="23"/>
        <v>0</v>
      </c>
      <c r="AE26" s="284">
        <v>0</v>
      </c>
      <c r="AF26" s="325">
        <f t="shared" si="24"/>
        <v>0</v>
      </c>
      <c r="AG26" s="284">
        <f>(4*'[2]Table 5C1R-Iberville'!AI26)+(4*'[3]Table 5C1R-Iberville'!AI26)</f>
        <v>0</v>
      </c>
      <c r="AH26" s="284">
        <f t="shared" si="25"/>
        <v>0</v>
      </c>
      <c r="AI26" s="325">
        <f t="shared" si="6"/>
        <v>0</v>
      </c>
      <c r="AJ26" s="338">
        <f t="shared" si="26"/>
        <v>0</v>
      </c>
      <c r="AK26" s="343">
        <f t="shared" si="27"/>
        <v>0</v>
      </c>
      <c r="AM26" s="296">
        <v>0</v>
      </c>
      <c r="AN26" s="296">
        <f t="shared" si="28"/>
        <v>0</v>
      </c>
      <c r="AO26" s="296">
        <f t="shared" si="7"/>
        <v>0</v>
      </c>
    </row>
    <row r="27" spans="1:41" ht="16.149999999999999" customHeight="1">
      <c r="A27" s="205">
        <v>21</v>
      </c>
      <c r="B27" s="206" t="s">
        <v>93</v>
      </c>
      <c r="C27" s="994">
        <v>0</v>
      </c>
      <c r="D27" s="208">
        <f>+'Table 5C1A-Madison Prep'!D27</f>
        <v>6082.3042295867763</v>
      </c>
      <c r="E27" s="209">
        <f t="shared" si="8"/>
        <v>0</v>
      </c>
      <c r="F27" s="209">
        <f>+'Table 5C1A-Madison Prep'!F27</f>
        <v>610.35</v>
      </c>
      <c r="G27" s="209">
        <f t="shared" si="9"/>
        <v>0</v>
      </c>
      <c r="H27" s="344">
        <f t="shared" si="10"/>
        <v>0</v>
      </c>
      <c r="I27" s="210">
        <f>'[1]Oct midyear Iberville'!K24</f>
        <v>0</v>
      </c>
      <c r="J27" s="210">
        <f>'[1]Feb midyear Iberville'!K24</f>
        <v>0</v>
      </c>
      <c r="K27" s="211">
        <f t="shared" si="11"/>
        <v>0</v>
      </c>
      <c r="L27" s="344">
        <f t="shared" si="12"/>
        <v>0</v>
      </c>
      <c r="M27" s="273">
        <f t="shared" si="4"/>
        <v>0</v>
      </c>
      <c r="N27" s="344">
        <f t="shared" si="13"/>
        <v>0</v>
      </c>
      <c r="O27" s="208">
        <v>0</v>
      </c>
      <c r="P27" s="350">
        <f t="shared" si="14"/>
        <v>0</v>
      </c>
      <c r="Q27" s="210">
        <f>(4*'[2]Table 5C1R-Iberville'!S27)+(4*'[3]Table 5C1R-Iberville'!S27)</f>
        <v>0</v>
      </c>
      <c r="R27" s="210">
        <f t="shared" si="15"/>
        <v>0</v>
      </c>
      <c r="S27" s="350">
        <f t="shared" si="5"/>
        <v>0</v>
      </c>
      <c r="T27" s="350">
        <f t="shared" si="16"/>
        <v>0</v>
      </c>
      <c r="U27" s="274">
        <f>'Table 5C1A-Madison Prep'!U27</f>
        <v>2487</v>
      </c>
      <c r="V27" s="327">
        <f t="shared" si="17"/>
        <v>0</v>
      </c>
      <c r="W27" s="883">
        <f>'[1]Oct midyear Iberville'!E24</f>
        <v>0</v>
      </c>
      <c r="X27" s="276">
        <f t="shared" si="18"/>
        <v>0</v>
      </c>
      <c r="Y27" s="883">
        <f>'[1]Feb midyear Iberville'!E24</f>
        <v>0</v>
      </c>
      <c r="Z27" s="276">
        <f t="shared" si="19"/>
        <v>0</v>
      </c>
      <c r="AA27" s="275">
        <f t="shared" si="20"/>
        <v>0</v>
      </c>
      <c r="AB27" s="323">
        <f t="shared" si="21"/>
        <v>0</v>
      </c>
      <c r="AC27" s="278">
        <f t="shared" si="22"/>
        <v>0</v>
      </c>
      <c r="AD27" s="323">
        <f t="shared" si="23"/>
        <v>0</v>
      </c>
      <c r="AE27" s="279">
        <v>0</v>
      </c>
      <c r="AF27" s="323">
        <f t="shared" si="24"/>
        <v>0</v>
      </c>
      <c r="AG27" s="279">
        <f>(4*'[2]Table 5C1R-Iberville'!AI27)+(4*'[3]Table 5C1R-Iberville'!AI27)</f>
        <v>0</v>
      </c>
      <c r="AH27" s="279">
        <f t="shared" si="25"/>
        <v>0</v>
      </c>
      <c r="AI27" s="323">
        <f t="shared" si="6"/>
        <v>0</v>
      </c>
      <c r="AJ27" s="337">
        <f t="shared" si="26"/>
        <v>0</v>
      </c>
      <c r="AK27" s="341">
        <f t="shared" si="27"/>
        <v>0</v>
      </c>
      <c r="AM27" s="273">
        <v>0</v>
      </c>
      <c r="AN27" s="273">
        <f t="shared" si="28"/>
        <v>0</v>
      </c>
      <c r="AO27" s="273">
        <f t="shared" si="7"/>
        <v>0</v>
      </c>
    </row>
    <row r="28" spans="1:41" ht="16.149999999999999" customHeight="1">
      <c r="A28" s="198">
        <v>22</v>
      </c>
      <c r="B28" s="199" t="s">
        <v>94</v>
      </c>
      <c r="C28" s="995">
        <v>0</v>
      </c>
      <c r="D28" s="201">
        <f>+'Table 5C1A-Madison Prep'!D28</f>
        <v>6416.1099808195995</v>
      </c>
      <c r="E28" s="202">
        <f t="shared" si="8"/>
        <v>0</v>
      </c>
      <c r="F28" s="202">
        <f>+'Table 5C1A-Madison Prep'!F28</f>
        <v>496.36</v>
      </c>
      <c r="G28" s="202">
        <f t="shared" si="9"/>
        <v>0</v>
      </c>
      <c r="H28" s="345">
        <f t="shared" si="10"/>
        <v>0</v>
      </c>
      <c r="I28" s="203">
        <f>'[1]Oct midyear Iberville'!K25</f>
        <v>0</v>
      </c>
      <c r="J28" s="203">
        <f>'[1]Feb midyear Iberville'!K25</f>
        <v>0</v>
      </c>
      <c r="K28" s="204">
        <f t="shared" si="11"/>
        <v>0</v>
      </c>
      <c r="L28" s="345">
        <f t="shared" si="12"/>
        <v>0</v>
      </c>
      <c r="M28" s="286">
        <f t="shared" si="4"/>
        <v>0</v>
      </c>
      <c r="N28" s="345">
        <f t="shared" si="13"/>
        <v>0</v>
      </c>
      <c r="O28" s="201">
        <v>0</v>
      </c>
      <c r="P28" s="351">
        <f t="shared" si="14"/>
        <v>0</v>
      </c>
      <c r="Q28" s="203">
        <f>(4*'[2]Table 5C1R-Iberville'!S28)+(4*'[3]Table 5C1R-Iberville'!S28)</f>
        <v>0</v>
      </c>
      <c r="R28" s="203">
        <f t="shared" si="15"/>
        <v>0</v>
      </c>
      <c r="S28" s="351">
        <f t="shared" si="5"/>
        <v>0</v>
      </c>
      <c r="T28" s="351">
        <f t="shared" si="16"/>
        <v>0</v>
      </c>
      <c r="U28" s="287">
        <f>'Table 5C1A-Madison Prep'!U28</f>
        <v>1584</v>
      </c>
      <c r="V28" s="328">
        <f t="shared" si="17"/>
        <v>0</v>
      </c>
      <c r="W28" s="289">
        <f>'[1]Oct midyear Iberville'!E25</f>
        <v>0</v>
      </c>
      <c r="X28" s="290">
        <f t="shared" si="18"/>
        <v>0</v>
      </c>
      <c r="Y28" s="289">
        <f>'[1]Feb midyear Iberville'!E25</f>
        <v>0</v>
      </c>
      <c r="Z28" s="290">
        <f t="shared" si="19"/>
        <v>0</v>
      </c>
      <c r="AA28" s="288">
        <f t="shared" si="20"/>
        <v>0</v>
      </c>
      <c r="AB28" s="324">
        <f t="shared" si="21"/>
        <v>0</v>
      </c>
      <c r="AC28" s="292">
        <f t="shared" si="22"/>
        <v>0</v>
      </c>
      <c r="AD28" s="324">
        <f t="shared" si="23"/>
        <v>0</v>
      </c>
      <c r="AE28" s="293">
        <v>0</v>
      </c>
      <c r="AF28" s="324">
        <f t="shared" si="24"/>
        <v>0</v>
      </c>
      <c r="AG28" s="293">
        <f>(4*'[2]Table 5C1R-Iberville'!AI28)+(4*'[3]Table 5C1R-Iberville'!AI28)</f>
        <v>0</v>
      </c>
      <c r="AH28" s="293">
        <f t="shared" si="25"/>
        <v>0</v>
      </c>
      <c r="AI28" s="324">
        <f t="shared" si="6"/>
        <v>0</v>
      </c>
      <c r="AJ28" s="321">
        <f t="shared" si="26"/>
        <v>0</v>
      </c>
      <c r="AK28" s="342">
        <f t="shared" si="27"/>
        <v>0</v>
      </c>
      <c r="AM28" s="286">
        <v>0</v>
      </c>
      <c r="AN28" s="286">
        <f t="shared" si="28"/>
        <v>0</v>
      </c>
      <c r="AO28" s="286">
        <f t="shared" si="7"/>
        <v>0</v>
      </c>
    </row>
    <row r="29" spans="1:41" ht="16.149999999999999" customHeight="1">
      <c r="A29" s="198">
        <v>23</v>
      </c>
      <c r="B29" s="199" t="s">
        <v>95</v>
      </c>
      <c r="C29" s="995">
        <v>0</v>
      </c>
      <c r="D29" s="201">
        <f>+'Table 5C1A-Madison Prep'!D29</f>
        <v>5011.0215265979159</v>
      </c>
      <c r="E29" s="202">
        <f t="shared" si="8"/>
        <v>0</v>
      </c>
      <c r="F29" s="202">
        <f>+'Table 5C1A-Madison Prep'!F29</f>
        <v>688.58</v>
      </c>
      <c r="G29" s="202">
        <f t="shared" si="9"/>
        <v>0</v>
      </c>
      <c r="H29" s="345">
        <f t="shared" si="10"/>
        <v>0</v>
      </c>
      <c r="I29" s="203">
        <f>'[1]Oct midyear Iberville'!K26</f>
        <v>0</v>
      </c>
      <c r="J29" s="203">
        <f>'[1]Feb midyear Iberville'!K26</f>
        <v>0</v>
      </c>
      <c r="K29" s="204">
        <f t="shared" si="11"/>
        <v>0</v>
      </c>
      <c r="L29" s="345">
        <f t="shared" si="12"/>
        <v>0</v>
      </c>
      <c r="M29" s="286">
        <f t="shared" si="4"/>
        <v>0</v>
      </c>
      <c r="N29" s="345">
        <f t="shared" si="13"/>
        <v>0</v>
      </c>
      <c r="O29" s="201">
        <v>0</v>
      </c>
      <c r="P29" s="351">
        <f t="shared" si="14"/>
        <v>0</v>
      </c>
      <c r="Q29" s="203">
        <f>(4*'[2]Table 5C1R-Iberville'!S29)+(4*'[3]Table 5C1R-Iberville'!S29)</f>
        <v>0</v>
      </c>
      <c r="R29" s="203">
        <f t="shared" si="15"/>
        <v>0</v>
      </c>
      <c r="S29" s="351">
        <f t="shared" si="5"/>
        <v>0</v>
      </c>
      <c r="T29" s="351">
        <f t="shared" si="16"/>
        <v>0</v>
      </c>
      <c r="U29" s="287">
        <f>'Table 5C1A-Madison Prep'!U29</f>
        <v>3500</v>
      </c>
      <c r="V29" s="328">
        <f t="shared" si="17"/>
        <v>0</v>
      </c>
      <c r="W29" s="289">
        <f>'[1]Oct midyear Iberville'!E26</f>
        <v>0</v>
      </c>
      <c r="X29" s="290">
        <f t="shared" si="18"/>
        <v>0</v>
      </c>
      <c r="Y29" s="289">
        <f>'[1]Feb midyear Iberville'!E26</f>
        <v>0</v>
      </c>
      <c r="Z29" s="290">
        <f t="shared" si="19"/>
        <v>0</v>
      </c>
      <c r="AA29" s="288">
        <f t="shared" si="20"/>
        <v>0</v>
      </c>
      <c r="AB29" s="324">
        <f t="shared" si="21"/>
        <v>0</v>
      </c>
      <c r="AC29" s="292">
        <f t="shared" si="22"/>
        <v>0</v>
      </c>
      <c r="AD29" s="324">
        <f t="shared" si="23"/>
        <v>0</v>
      </c>
      <c r="AE29" s="293">
        <v>0</v>
      </c>
      <c r="AF29" s="324">
        <f t="shared" si="24"/>
        <v>0</v>
      </c>
      <c r="AG29" s="293">
        <f>(4*'[2]Table 5C1R-Iberville'!AI29)+(4*'[3]Table 5C1R-Iberville'!AI29)</f>
        <v>0</v>
      </c>
      <c r="AH29" s="293">
        <f t="shared" si="25"/>
        <v>0</v>
      </c>
      <c r="AI29" s="324">
        <f t="shared" si="6"/>
        <v>0</v>
      </c>
      <c r="AJ29" s="321">
        <f t="shared" si="26"/>
        <v>0</v>
      </c>
      <c r="AK29" s="342">
        <f t="shared" si="27"/>
        <v>0</v>
      </c>
      <c r="AM29" s="286">
        <v>0</v>
      </c>
      <c r="AN29" s="286">
        <f t="shared" si="28"/>
        <v>0</v>
      </c>
      <c r="AO29" s="286">
        <f t="shared" si="7"/>
        <v>0</v>
      </c>
    </row>
    <row r="30" spans="1:41" ht="16.149999999999999" customHeight="1">
      <c r="A30" s="198">
        <v>24</v>
      </c>
      <c r="B30" s="199" t="s">
        <v>96</v>
      </c>
      <c r="C30" s="995">
        <v>0</v>
      </c>
      <c r="D30" s="201">
        <f>+'Table 5C1A-Madison Prep'!D30</f>
        <v>2611.6740361576999</v>
      </c>
      <c r="E30" s="202">
        <f t="shared" si="8"/>
        <v>0</v>
      </c>
      <c r="F30" s="202">
        <f>+'Table 5C1A-Madison Prep'!F30</f>
        <v>854.24999999999989</v>
      </c>
      <c r="G30" s="202">
        <f t="shared" si="9"/>
        <v>0</v>
      </c>
      <c r="H30" s="345">
        <f t="shared" si="10"/>
        <v>0</v>
      </c>
      <c r="I30" s="203">
        <f>'[1]Oct midyear Iberville'!K27</f>
        <v>887276.55325637117</v>
      </c>
      <c r="J30" s="203">
        <f>'[1]Feb midyear Iberville'!K27</f>
        <v>-1732.96201807885</v>
      </c>
      <c r="K30" s="204">
        <f t="shared" si="11"/>
        <v>885543.59123829228</v>
      </c>
      <c r="L30" s="345">
        <f t="shared" si="12"/>
        <v>885543.59123829228</v>
      </c>
      <c r="M30" s="286">
        <f t="shared" si="4"/>
        <v>-2213.8589780957309</v>
      </c>
      <c r="N30" s="345">
        <f t="shared" si="13"/>
        <v>883329.73226019659</v>
      </c>
      <c r="O30" s="201">
        <v>0</v>
      </c>
      <c r="P30" s="351">
        <f t="shared" si="14"/>
        <v>883329.73226019659</v>
      </c>
      <c r="Q30" s="203">
        <f>(4*'[2]Table 5C1R-Iberville'!S30)+(4*'[3]Table 5C1R-Iberville'!S30)</f>
        <v>659184</v>
      </c>
      <c r="R30" s="203">
        <f t="shared" si="15"/>
        <v>224145.73226019659</v>
      </c>
      <c r="S30" s="351">
        <f t="shared" si="5"/>
        <v>56036</v>
      </c>
      <c r="T30" s="351">
        <f t="shared" si="16"/>
        <v>883329.73226019659</v>
      </c>
      <c r="U30" s="287">
        <f>'Table 5C1A-Madison Prep'!U30</f>
        <v>11051</v>
      </c>
      <c r="V30" s="328">
        <f t="shared" si="17"/>
        <v>0</v>
      </c>
      <c r="W30" s="289">
        <f>'[1]Oct midyear Iberville'!E27</f>
        <v>256</v>
      </c>
      <c r="X30" s="290">
        <f t="shared" si="18"/>
        <v>2829056</v>
      </c>
      <c r="Y30" s="289">
        <f>'[1]Feb midyear Iberville'!E27</f>
        <v>-1</v>
      </c>
      <c r="Z30" s="290">
        <f t="shared" si="19"/>
        <v>-5525.5</v>
      </c>
      <c r="AA30" s="288">
        <f t="shared" si="20"/>
        <v>2823530.5</v>
      </c>
      <c r="AB30" s="324">
        <f t="shared" si="21"/>
        <v>2823530.5</v>
      </c>
      <c r="AC30" s="292">
        <f t="shared" si="22"/>
        <v>-7058.8262500000001</v>
      </c>
      <c r="AD30" s="324">
        <f t="shared" si="23"/>
        <v>2816471.6737500001</v>
      </c>
      <c r="AE30" s="293">
        <v>0</v>
      </c>
      <c r="AF30" s="324">
        <f t="shared" si="24"/>
        <v>2816471.6737500001</v>
      </c>
      <c r="AG30" s="293">
        <f>(4*'[2]Table 5C1R-Iberville'!AI30)+(4*'[3]Table 5C1R-Iberville'!AI30)</f>
        <v>1911980</v>
      </c>
      <c r="AH30" s="293">
        <f t="shared" si="25"/>
        <v>904491.67375000007</v>
      </c>
      <c r="AI30" s="324">
        <f t="shared" si="6"/>
        <v>226123</v>
      </c>
      <c r="AJ30" s="321">
        <f t="shared" si="26"/>
        <v>3699801.4060101965</v>
      </c>
      <c r="AK30" s="342">
        <f t="shared" si="27"/>
        <v>282159</v>
      </c>
      <c r="AM30" s="286">
        <v>-9449.82</v>
      </c>
      <c r="AN30" s="286">
        <f t="shared" si="28"/>
        <v>-7058.8262500000001</v>
      </c>
      <c r="AO30" s="286">
        <f t="shared" si="7"/>
        <v>2390.9937499999996</v>
      </c>
    </row>
    <row r="31" spans="1:41" ht="16.149999999999999" customHeight="1">
      <c r="A31" s="191">
        <v>25</v>
      </c>
      <c r="B31" s="192" t="s">
        <v>97</v>
      </c>
      <c r="C31" s="996">
        <v>0</v>
      </c>
      <c r="D31" s="194">
        <f>+'Table 5C1A-Madison Prep'!D31</f>
        <v>4173.0720274945697</v>
      </c>
      <c r="E31" s="195">
        <f t="shared" si="8"/>
        <v>0</v>
      </c>
      <c r="F31" s="195">
        <f>+'Table 5C1A-Madison Prep'!F31</f>
        <v>653.73</v>
      </c>
      <c r="G31" s="195">
        <f t="shared" si="9"/>
        <v>0</v>
      </c>
      <c r="H31" s="346">
        <f t="shared" si="10"/>
        <v>0</v>
      </c>
      <c r="I31" s="196">
        <f>'[1]Oct midyear Iberville'!K28</f>
        <v>0</v>
      </c>
      <c r="J31" s="196">
        <f>'[1]Feb midyear Iberville'!K28</f>
        <v>0</v>
      </c>
      <c r="K31" s="197">
        <f t="shared" si="11"/>
        <v>0</v>
      </c>
      <c r="L31" s="346">
        <f t="shared" si="12"/>
        <v>0</v>
      </c>
      <c r="M31" s="296">
        <f t="shared" si="4"/>
        <v>0</v>
      </c>
      <c r="N31" s="346">
        <f t="shared" si="13"/>
        <v>0</v>
      </c>
      <c r="O31" s="194">
        <v>0</v>
      </c>
      <c r="P31" s="352">
        <f t="shared" si="14"/>
        <v>0</v>
      </c>
      <c r="Q31" s="196">
        <f>(4*'[2]Table 5C1R-Iberville'!S31)+(4*'[3]Table 5C1R-Iberville'!S31)</f>
        <v>0</v>
      </c>
      <c r="R31" s="196">
        <f t="shared" si="15"/>
        <v>0</v>
      </c>
      <c r="S31" s="352">
        <f t="shared" si="5"/>
        <v>0</v>
      </c>
      <c r="T31" s="352">
        <f t="shared" si="16"/>
        <v>0</v>
      </c>
      <c r="U31" s="281">
        <f>'Table 5C1A-Madison Prep'!U31</f>
        <v>5156</v>
      </c>
      <c r="V31" s="329">
        <f t="shared" si="17"/>
        <v>0</v>
      </c>
      <c r="W31" s="884">
        <f>'[1]Oct midyear Iberville'!E28</f>
        <v>0</v>
      </c>
      <c r="X31" s="282">
        <f t="shared" si="18"/>
        <v>0</v>
      </c>
      <c r="Y31" s="884">
        <f>'[1]Feb midyear Iberville'!E28</f>
        <v>0</v>
      </c>
      <c r="Z31" s="282">
        <f t="shared" si="19"/>
        <v>0</v>
      </c>
      <c r="AA31" s="283">
        <f t="shared" si="20"/>
        <v>0</v>
      </c>
      <c r="AB31" s="325">
        <f t="shared" si="21"/>
        <v>0</v>
      </c>
      <c r="AC31" s="298">
        <f t="shared" si="22"/>
        <v>0</v>
      </c>
      <c r="AD31" s="325">
        <f t="shared" si="23"/>
        <v>0</v>
      </c>
      <c r="AE31" s="284">
        <v>0</v>
      </c>
      <c r="AF31" s="325">
        <f t="shared" si="24"/>
        <v>0</v>
      </c>
      <c r="AG31" s="284">
        <f>(4*'[2]Table 5C1R-Iberville'!AI31)+(4*'[3]Table 5C1R-Iberville'!AI31)</f>
        <v>0</v>
      </c>
      <c r="AH31" s="284">
        <f t="shared" si="25"/>
        <v>0</v>
      </c>
      <c r="AI31" s="325">
        <f t="shared" si="6"/>
        <v>0</v>
      </c>
      <c r="AJ31" s="338">
        <f t="shared" si="26"/>
        <v>0</v>
      </c>
      <c r="AK31" s="343">
        <f t="shared" si="27"/>
        <v>0</v>
      </c>
      <c r="AM31" s="296">
        <v>0</v>
      </c>
      <c r="AN31" s="296">
        <f t="shared" si="28"/>
        <v>0</v>
      </c>
      <c r="AO31" s="296">
        <f t="shared" si="7"/>
        <v>0</v>
      </c>
    </row>
    <row r="32" spans="1:41" ht="16.149999999999999" customHeight="1">
      <c r="A32" s="205">
        <v>26</v>
      </c>
      <c r="B32" s="206" t="s">
        <v>98</v>
      </c>
      <c r="C32" s="994">
        <v>0</v>
      </c>
      <c r="D32" s="208">
        <f>+'Table 5C1A-Madison Prep'!D32</f>
        <v>3424.5649970570835</v>
      </c>
      <c r="E32" s="209">
        <f t="shared" si="8"/>
        <v>0</v>
      </c>
      <c r="F32" s="209">
        <f>+'Table 5C1A-Madison Prep'!F32</f>
        <v>836.83</v>
      </c>
      <c r="G32" s="209">
        <f t="shared" si="9"/>
        <v>0</v>
      </c>
      <c r="H32" s="344">
        <f t="shared" si="10"/>
        <v>0</v>
      </c>
      <c r="I32" s="210">
        <f>'[1]Oct midyear Iberville'!K29</f>
        <v>0</v>
      </c>
      <c r="J32" s="210">
        <f>'[1]Feb midyear Iberville'!K29</f>
        <v>0</v>
      </c>
      <c r="K32" s="211">
        <f t="shared" si="11"/>
        <v>0</v>
      </c>
      <c r="L32" s="344">
        <f t="shared" si="12"/>
        <v>0</v>
      </c>
      <c r="M32" s="273">
        <f t="shared" si="4"/>
        <v>0</v>
      </c>
      <c r="N32" s="344">
        <f t="shared" si="13"/>
        <v>0</v>
      </c>
      <c r="O32" s="208">
        <v>0</v>
      </c>
      <c r="P32" s="350">
        <f t="shared" si="14"/>
        <v>0</v>
      </c>
      <c r="Q32" s="210">
        <f>(4*'[2]Table 5C1R-Iberville'!S32)+(4*'[3]Table 5C1R-Iberville'!S32)</f>
        <v>0</v>
      </c>
      <c r="R32" s="210">
        <f t="shared" si="15"/>
        <v>0</v>
      </c>
      <c r="S32" s="350">
        <f t="shared" si="5"/>
        <v>0</v>
      </c>
      <c r="T32" s="350">
        <f t="shared" si="16"/>
        <v>0</v>
      </c>
      <c r="U32" s="274">
        <f>'Table 5C1A-Madison Prep'!U32</f>
        <v>5153</v>
      </c>
      <c r="V32" s="327">
        <f t="shared" si="17"/>
        <v>0</v>
      </c>
      <c r="W32" s="883">
        <f>'[1]Oct midyear Iberville'!E29</f>
        <v>0</v>
      </c>
      <c r="X32" s="276">
        <f t="shared" si="18"/>
        <v>0</v>
      </c>
      <c r="Y32" s="883">
        <f>'[1]Feb midyear Iberville'!E29</f>
        <v>0</v>
      </c>
      <c r="Z32" s="276">
        <f t="shared" si="19"/>
        <v>0</v>
      </c>
      <c r="AA32" s="275">
        <f t="shared" si="20"/>
        <v>0</v>
      </c>
      <c r="AB32" s="323">
        <f t="shared" si="21"/>
        <v>0</v>
      </c>
      <c r="AC32" s="278">
        <f t="shared" si="22"/>
        <v>0</v>
      </c>
      <c r="AD32" s="323">
        <f t="shared" si="23"/>
        <v>0</v>
      </c>
      <c r="AE32" s="279">
        <v>0</v>
      </c>
      <c r="AF32" s="323">
        <f t="shared" si="24"/>
        <v>0</v>
      </c>
      <c r="AG32" s="279">
        <f>(4*'[2]Table 5C1R-Iberville'!AI32)+(4*'[3]Table 5C1R-Iberville'!AI32)</f>
        <v>0</v>
      </c>
      <c r="AH32" s="279">
        <f t="shared" si="25"/>
        <v>0</v>
      </c>
      <c r="AI32" s="323">
        <f t="shared" si="6"/>
        <v>0</v>
      </c>
      <c r="AJ32" s="337">
        <f t="shared" si="26"/>
        <v>0</v>
      </c>
      <c r="AK32" s="341">
        <f t="shared" si="27"/>
        <v>0</v>
      </c>
      <c r="AM32" s="273">
        <v>0</v>
      </c>
      <c r="AN32" s="273">
        <f t="shared" si="28"/>
        <v>0</v>
      </c>
      <c r="AO32" s="273">
        <f t="shared" si="7"/>
        <v>0</v>
      </c>
    </row>
    <row r="33" spans="1:41" ht="16.149999999999999" customHeight="1">
      <c r="A33" s="198">
        <v>27</v>
      </c>
      <c r="B33" s="199" t="s">
        <v>99</v>
      </c>
      <c r="C33" s="995">
        <v>0</v>
      </c>
      <c r="D33" s="201">
        <f>+'Table 5C1A-Madison Prep'!D33</f>
        <v>5804.9013839977006</v>
      </c>
      <c r="E33" s="202">
        <f t="shared" si="8"/>
        <v>0</v>
      </c>
      <c r="F33" s="202">
        <f>+'Table 5C1A-Madison Prep'!F33</f>
        <v>693.06</v>
      </c>
      <c r="G33" s="202">
        <f t="shared" si="9"/>
        <v>0</v>
      </c>
      <c r="H33" s="345">
        <f t="shared" si="10"/>
        <v>0</v>
      </c>
      <c r="I33" s="203">
        <f>'[1]Oct midyear Iberville'!K30</f>
        <v>0</v>
      </c>
      <c r="J33" s="203">
        <f>'[1]Feb midyear Iberville'!K30</f>
        <v>0</v>
      </c>
      <c r="K33" s="204">
        <f t="shared" si="11"/>
        <v>0</v>
      </c>
      <c r="L33" s="345">
        <f t="shared" si="12"/>
        <v>0</v>
      </c>
      <c r="M33" s="286">
        <f t="shared" si="4"/>
        <v>0</v>
      </c>
      <c r="N33" s="345">
        <f t="shared" si="13"/>
        <v>0</v>
      </c>
      <c r="O33" s="201">
        <v>0</v>
      </c>
      <c r="P33" s="351">
        <f t="shared" si="14"/>
        <v>0</v>
      </c>
      <c r="Q33" s="203">
        <f>(4*'[2]Table 5C1R-Iberville'!S33)+(4*'[3]Table 5C1R-Iberville'!S33)</f>
        <v>0</v>
      </c>
      <c r="R33" s="203">
        <f t="shared" si="15"/>
        <v>0</v>
      </c>
      <c r="S33" s="351">
        <f t="shared" si="5"/>
        <v>0</v>
      </c>
      <c r="T33" s="351">
        <f t="shared" si="16"/>
        <v>0</v>
      </c>
      <c r="U33" s="287">
        <f>'Table 5C1A-Madison Prep'!U33</f>
        <v>3225</v>
      </c>
      <c r="V33" s="328">
        <f t="shared" si="17"/>
        <v>0</v>
      </c>
      <c r="W33" s="289">
        <f>'[1]Oct midyear Iberville'!E30</f>
        <v>0</v>
      </c>
      <c r="X33" s="290">
        <f t="shared" si="18"/>
        <v>0</v>
      </c>
      <c r="Y33" s="289">
        <f>'[1]Feb midyear Iberville'!E30</f>
        <v>0</v>
      </c>
      <c r="Z33" s="290">
        <f t="shared" si="19"/>
        <v>0</v>
      </c>
      <c r="AA33" s="288">
        <f t="shared" si="20"/>
        <v>0</v>
      </c>
      <c r="AB33" s="324">
        <f t="shared" si="21"/>
        <v>0</v>
      </c>
      <c r="AC33" s="292">
        <f t="shared" si="22"/>
        <v>0</v>
      </c>
      <c r="AD33" s="324">
        <f t="shared" si="23"/>
        <v>0</v>
      </c>
      <c r="AE33" s="293">
        <v>0</v>
      </c>
      <c r="AF33" s="324">
        <f t="shared" si="24"/>
        <v>0</v>
      </c>
      <c r="AG33" s="293">
        <f>(4*'[2]Table 5C1R-Iberville'!AI33)+(4*'[3]Table 5C1R-Iberville'!AI33)</f>
        <v>0</v>
      </c>
      <c r="AH33" s="293">
        <f t="shared" si="25"/>
        <v>0</v>
      </c>
      <c r="AI33" s="324">
        <f t="shared" si="6"/>
        <v>0</v>
      </c>
      <c r="AJ33" s="321">
        <f t="shared" si="26"/>
        <v>0</v>
      </c>
      <c r="AK33" s="342">
        <f t="shared" si="27"/>
        <v>0</v>
      </c>
      <c r="AM33" s="286">
        <v>0</v>
      </c>
      <c r="AN33" s="286">
        <f t="shared" si="28"/>
        <v>0</v>
      </c>
      <c r="AO33" s="286">
        <f t="shared" si="7"/>
        <v>0</v>
      </c>
    </row>
    <row r="34" spans="1:41" ht="16.149999999999999" customHeight="1">
      <c r="A34" s="198">
        <v>28</v>
      </c>
      <c r="B34" s="199" t="s">
        <v>100</v>
      </c>
      <c r="C34" s="995">
        <v>0</v>
      </c>
      <c r="D34" s="201">
        <f>+'Table 5C1A-Madison Prep'!D34</f>
        <v>3137.4158846568821</v>
      </c>
      <c r="E34" s="202">
        <f t="shared" si="8"/>
        <v>0</v>
      </c>
      <c r="F34" s="202">
        <f>+'Table 5C1A-Madison Prep'!F34</f>
        <v>694.4</v>
      </c>
      <c r="G34" s="202">
        <f t="shared" si="9"/>
        <v>0</v>
      </c>
      <c r="H34" s="345">
        <f t="shared" si="10"/>
        <v>0</v>
      </c>
      <c r="I34" s="203">
        <f>'[1]Oct midyear Iberville'!K31</f>
        <v>0</v>
      </c>
      <c r="J34" s="203">
        <f>'[1]Feb midyear Iberville'!K31</f>
        <v>0</v>
      </c>
      <c r="K34" s="204">
        <f t="shared" si="11"/>
        <v>0</v>
      </c>
      <c r="L34" s="345">
        <f t="shared" si="12"/>
        <v>0</v>
      </c>
      <c r="M34" s="286">
        <f t="shared" si="4"/>
        <v>0</v>
      </c>
      <c r="N34" s="345">
        <f t="shared" si="13"/>
        <v>0</v>
      </c>
      <c r="O34" s="201">
        <v>0</v>
      </c>
      <c r="P34" s="351">
        <f t="shared" si="14"/>
        <v>0</v>
      </c>
      <c r="Q34" s="203">
        <f>(4*'[2]Table 5C1R-Iberville'!S34)+(4*'[3]Table 5C1R-Iberville'!S34)</f>
        <v>0</v>
      </c>
      <c r="R34" s="203">
        <f t="shared" si="15"/>
        <v>0</v>
      </c>
      <c r="S34" s="351">
        <f t="shared" si="5"/>
        <v>0</v>
      </c>
      <c r="T34" s="351">
        <f t="shared" si="16"/>
        <v>0</v>
      </c>
      <c r="U34" s="287">
        <f>'Table 5C1A-Madison Prep'!U34</f>
        <v>5816</v>
      </c>
      <c r="V34" s="328">
        <f t="shared" si="17"/>
        <v>0</v>
      </c>
      <c r="W34" s="289">
        <f>'[1]Oct midyear Iberville'!E31</f>
        <v>0</v>
      </c>
      <c r="X34" s="290">
        <f t="shared" si="18"/>
        <v>0</v>
      </c>
      <c r="Y34" s="289">
        <f>'[1]Feb midyear Iberville'!E31</f>
        <v>0</v>
      </c>
      <c r="Z34" s="290">
        <f t="shared" si="19"/>
        <v>0</v>
      </c>
      <c r="AA34" s="288">
        <f t="shared" si="20"/>
        <v>0</v>
      </c>
      <c r="AB34" s="324">
        <f t="shared" si="21"/>
        <v>0</v>
      </c>
      <c r="AC34" s="292">
        <f t="shared" si="22"/>
        <v>0</v>
      </c>
      <c r="AD34" s="324">
        <f t="shared" si="23"/>
        <v>0</v>
      </c>
      <c r="AE34" s="293">
        <v>0</v>
      </c>
      <c r="AF34" s="324">
        <f t="shared" si="24"/>
        <v>0</v>
      </c>
      <c r="AG34" s="293">
        <f>(4*'[2]Table 5C1R-Iberville'!AI34)+(4*'[3]Table 5C1R-Iberville'!AI34)</f>
        <v>0</v>
      </c>
      <c r="AH34" s="293">
        <f t="shared" si="25"/>
        <v>0</v>
      </c>
      <c r="AI34" s="324">
        <f t="shared" si="6"/>
        <v>0</v>
      </c>
      <c r="AJ34" s="321">
        <f t="shared" si="26"/>
        <v>0</v>
      </c>
      <c r="AK34" s="342">
        <f t="shared" si="27"/>
        <v>0</v>
      </c>
      <c r="AM34" s="286">
        <v>0</v>
      </c>
      <c r="AN34" s="286">
        <f t="shared" si="28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v>0</v>
      </c>
      <c r="D35" s="201">
        <f>+'Table 5C1A-Madison Prep'!D35</f>
        <v>3839.0123210173724</v>
      </c>
      <c r="E35" s="202">
        <f t="shared" si="8"/>
        <v>0</v>
      </c>
      <c r="F35" s="202">
        <f>+'Table 5C1A-Madison Prep'!F35</f>
        <v>754.94999999999993</v>
      </c>
      <c r="G35" s="202">
        <f t="shared" si="9"/>
        <v>0</v>
      </c>
      <c r="H35" s="345">
        <f t="shared" si="10"/>
        <v>0</v>
      </c>
      <c r="I35" s="203">
        <f>'[1]Oct midyear Iberville'!K32</f>
        <v>0</v>
      </c>
      <c r="J35" s="203">
        <f>'[1]Feb midyear Iberville'!K32</f>
        <v>0</v>
      </c>
      <c r="K35" s="204">
        <f t="shared" si="11"/>
        <v>0</v>
      </c>
      <c r="L35" s="345">
        <f t="shared" si="12"/>
        <v>0</v>
      </c>
      <c r="M35" s="286">
        <f t="shared" si="4"/>
        <v>0</v>
      </c>
      <c r="N35" s="345">
        <f t="shared" si="13"/>
        <v>0</v>
      </c>
      <c r="O35" s="201">
        <v>0</v>
      </c>
      <c r="P35" s="351">
        <f t="shared" si="14"/>
        <v>0</v>
      </c>
      <c r="Q35" s="203">
        <f>(4*'[2]Table 5C1R-Iberville'!S35)+(4*'[3]Table 5C1R-Iberville'!S35)</f>
        <v>0</v>
      </c>
      <c r="R35" s="203">
        <f t="shared" si="15"/>
        <v>0</v>
      </c>
      <c r="S35" s="351">
        <f t="shared" si="5"/>
        <v>0</v>
      </c>
      <c r="T35" s="351">
        <f t="shared" si="16"/>
        <v>0</v>
      </c>
      <c r="U35" s="287">
        <f>'Table 5C1A-Madison Prep'!U35</f>
        <v>5046</v>
      </c>
      <c r="V35" s="328">
        <f t="shared" si="17"/>
        <v>0</v>
      </c>
      <c r="W35" s="289">
        <f>'[1]Oct midyear Iberville'!E32</f>
        <v>0</v>
      </c>
      <c r="X35" s="290">
        <f t="shared" si="18"/>
        <v>0</v>
      </c>
      <c r="Y35" s="289">
        <f>'[1]Feb midyear Iberville'!E32</f>
        <v>0</v>
      </c>
      <c r="Z35" s="290">
        <f t="shared" si="19"/>
        <v>0</v>
      </c>
      <c r="AA35" s="288">
        <f t="shared" si="20"/>
        <v>0</v>
      </c>
      <c r="AB35" s="324">
        <f t="shared" si="21"/>
        <v>0</v>
      </c>
      <c r="AC35" s="292">
        <f t="shared" si="22"/>
        <v>0</v>
      </c>
      <c r="AD35" s="324">
        <f t="shared" si="23"/>
        <v>0</v>
      </c>
      <c r="AE35" s="293">
        <v>0</v>
      </c>
      <c r="AF35" s="324">
        <f t="shared" si="24"/>
        <v>0</v>
      </c>
      <c r="AG35" s="293">
        <f>(4*'[2]Table 5C1R-Iberville'!AI35)+(4*'[3]Table 5C1R-Iberville'!AI35)</f>
        <v>0</v>
      </c>
      <c r="AH35" s="293">
        <f t="shared" si="25"/>
        <v>0</v>
      </c>
      <c r="AI35" s="324">
        <f t="shared" si="6"/>
        <v>0</v>
      </c>
      <c r="AJ35" s="321">
        <f t="shared" si="26"/>
        <v>0</v>
      </c>
      <c r="AK35" s="342">
        <f t="shared" si="27"/>
        <v>0</v>
      </c>
      <c r="AM35" s="286">
        <v>0</v>
      </c>
      <c r="AN35" s="286">
        <f t="shared" si="28"/>
        <v>0</v>
      </c>
      <c r="AO35" s="286">
        <f t="shared" ref="AO35:AO75" si="29">+AN35-AM35</f>
        <v>0</v>
      </c>
    </row>
    <row r="36" spans="1:41" ht="16.149999999999999" customHeight="1">
      <c r="A36" s="191">
        <v>30</v>
      </c>
      <c r="B36" s="192" t="s">
        <v>102</v>
      </c>
      <c r="C36" s="996">
        <v>0</v>
      </c>
      <c r="D36" s="194">
        <f>+'Table 5C1A-Madison Prep'!D36</f>
        <v>5804.5327273996763</v>
      </c>
      <c r="E36" s="195">
        <f t="shared" si="8"/>
        <v>0</v>
      </c>
      <c r="F36" s="195">
        <f>+'Table 5C1A-Madison Prep'!F36</f>
        <v>727.17</v>
      </c>
      <c r="G36" s="195">
        <f t="shared" si="9"/>
        <v>0</v>
      </c>
      <c r="H36" s="346">
        <f t="shared" si="10"/>
        <v>0</v>
      </c>
      <c r="I36" s="196">
        <f>'[1]Oct midyear Iberville'!K33</f>
        <v>0</v>
      </c>
      <c r="J36" s="196">
        <f>'[1]Feb midyear Iberville'!K33</f>
        <v>0</v>
      </c>
      <c r="K36" s="197">
        <f t="shared" si="11"/>
        <v>0</v>
      </c>
      <c r="L36" s="346">
        <f t="shared" si="12"/>
        <v>0</v>
      </c>
      <c r="M36" s="296">
        <f t="shared" si="4"/>
        <v>0</v>
      </c>
      <c r="N36" s="346">
        <f t="shared" si="13"/>
        <v>0</v>
      </c>
      <c r="O36" s="194">
        <v>0</v>
      </c>
      <c r="P36" s="352">
        <f t="shared" si="14"/>
        <v>0</v>
      </c>
      <c r="Q36" s="196">
        <f>(4*'[2]Table 5C1R-Iberville'!S36)+(4*'[3]Table 5C1R-Iberville'!S36)</f>
        <v>0</v>
      </c>
      <c r="R36" s="196">
        <f t="shared" si="15"/>
        <v>0</v>
      </c>
      <c r="S36" s="352">
        <f t="shared" si="5"/>
        <v>0</v>
      </c>
      <c r="T36" s="352">
        <f t="shared" si="16"/>
        <v>0</v>
      </c>
      <c r="U36" s="281">
        <f>'Table 5C1A-Madison Prep'!U36</f>
        <v>3999</v>
      </c>
      <c r="V36" s="329">
        <f t="shared" si="17"/>
        <v>0</v>
      </c>
      <c r="W36" s="884">
        <f>'[1]Oct midyear Iberville'!E33</f>
        <v>0</v>
      </c>
      <c r="X36" s="282">
        <f t="shared" si="18"/>
        <v>0</v>
      </c>
      <c r="Y36" s="884">
        <f>'[1]Feb midyear Iberville'!E33</f>
        <v>0</v>
      </c>
      <c r="Z36" s="282">
        <f t="shared" si="19"/>
        <v>0</v>
      </c>
      <c r="AA36" s="283">
        <f t="shared" si="20"/>
        <v>0</v>
      </c>
      <c r="AB36" s="325">
        <f t="shared" si="21"/>
        <v>0</v>
      </c>
      <c r="AC36" s="298">
        <f t="shared" si="22"/>
        <v>0</v>
      </c>
      <c r="AD36" s="325">
        <f t="shared" si="23"/>
        <v>0</v>
      </c>
      <c r="AE36" s="284">
        <v>0</v>
      </c>
      <c r="AF36" s="325">
        <f t="shared" si="24"/>
        <v>0</v>
      </c>
      <c r="AG36" s="284">
        <f>(4*'[2]Table 5C1R-Iberville'!AI36)+(4*'[3]Table 5C1R-Iberville'!AI36)</f>
        <v>0</v>
      </c>
      <c r="AH36" s="284">
        <f t="shared" si="25"/>
        <v>0</v>
      </c>
      <c r="AI36" s="325">
        <f t="shared" si="6"/>
        <v>0</v>
      </c>
      <c r="AJ36" s="338">
        <f t="shared" si="26"/>
        <v>0</v>
      </c>
      <c r="AK36" s="343">
        <f t="shared" si="27"/>
        <v>0</v>
      </c>
      <c r="AM36" s="296">
        <v>0</v>
      </c>
      <c r="AN36" s="296">
        <f t="shared" si="28"/>
        <v>0</v>
      </c>
      <c r="AO36" s="296">
        <f t="shared" si="29"/>
        <v>0</v>
      </c>
    </row>
    <row r="37" spans="1:41" ht="16.149999999999999" customHeight="1">
      <c r="A37" s="205">
        <v>31</v>
      </c>
      <c r="B37" s="206" t="s">
        <v>103</v>
      </c>
      <c r="C37" s="994">
        <v>0</v>
      </c>
      <c r="D37" s="208">
        <f>+'Table 5C1A-Madison Prep'!D37</f>
        <v>4520.6176716868531</v>
      </c>
      <c r="E37" s="209">
        <f t="shared" si="8"/>
        <v>0</v>
      </c>
      <c r="F37" s="209">
        <f>+'Table 5C1A-Madison Prep'!F37</f>
        <v>620.83000000000004</v>
      </c>
      <c r="G37" s="209">
        <f t="shared" si="9"/>
        <v>0</v>
      </c>
      <c r="H37" s="344">
        <f t="shared" si="10"/>
        <v>0</v>
      </c>
      <c r="I37" s="210">
        <f>'[1]Oct midyear Iberville'!K34</f>
        <v>0</v>
      </c>
      <c r="J37" s="210">
        <f>'[1]Feb midyear Iberville'!K34</f>
        <v>0</v>
      </c>
      <c r="K37" s="211">
        <f t="shared" si="11"/>
        <v>0</v>
      </c>
      <c r="L37" s="344">
        <f t="shared" si="12"/>
        <v>0</v>
      </c>
      <c r="M37" s="273">
        <f t="shared" si="4"/>
        <v>0</v>
      </c>
      <c r="N37" s="344">
        <f t="shared" si="13"/>
        <v>0</v>
      </c>
      <c r="O37" s="208">
        <v>0</v>
      </c>
      <c r="P37" s="350">
        <f t="shared" si="14"/>
        <v>0</v>
      </c>
      <c r="Q37" s="210">
        <f>(4*'[2]Table 5C1R-Iberville'!S37)+(4*'[3]Table 5C1R-Iberville'!S37)</f>
        <v>0</v>
      </c>
      <c r="R37" s="210">
        <f t="shared" si="15"/>
        <v>0</v>
      </c>
      <c r="S37" s="350">
        <f t="shared" si="5"/>
        <v>0</v>
      </c>
      <c r="T37" s="350">
        <f t="shared" si="16"/>
        <v>0</v>
      </c>
      <c r="U37" s="274">
        <f>'Table 5C1A-Madison Prep'!U37</f>
        <v>5028</v>
      </c>
      <c r="V37" s="327">
        <f t="shared" si="17"/>
        <v>0</v>
      </c>
      <c r="W37" s="883">
        <f>'[1]Oct midyear Iberville'!E34</f>
        <v>0</v>
      </c>
      <c r="X37" s="276">
        <f t="shared" si="18"/>
        <v>0</v>
      </c>
      <c r="Y37" s="883">
        <f>'[1]Feb midyear Iberville'!E34</f>
        <v>0</v>
      </c>
      <c r="Z37" s="276">
        <f t="shared" si="19"/>
        <v>0</v>
      </c>
      <c r="AA37" s="275">
        <f t="shared" si="20"/>
        <v>0</v>
      </c>
      <c r="AB37" s="323">
        <f t="shared" si="21"/>
        <v>0</v>
      </c>
      <c r="AC37" s="278">
        <f t="shared" si="22"/>
        <v>0</v>
      </c>
      <c r="AD37" s="323">
        <f t="shared" si="23"/>
        <v>0</v>
      </c>
      <c r="AE37" s="279">
        <v>0</v>
      </c>
      <c r="AF37" s="323">
        <f t="shared" si="24"/>
        <v>0</v>
      </c>
      <c r="AG37" s="279">
        <f>(4*'[2]Table 5C1R-Iberville'!AI37)+(4*'[3]Table 5C1R-Iberville'!AI37)</f>
        <v>0</v>
      </c>
      <c r="AH37" s="279">
        <f t="shared" si="25"/>
        <v>0</v>
      </c>
      <c r="AI37" s="323">
        <f t="shared" si="6"/>
        <v>0</v>
      </c>
      <c r="AJ37" s="337">
        <f t="shared" si="26"/>
        <v>0</v>
      </c>
      <c r="AK37" s="341">
        <f t="shared" si="27"/>
        <v>0</v>
      </c>
      <c r="AM37" s="273">
        <v>0</v>
      </c>
      <c r="AN37" s="273">
        <f t="shared" si="28"/>
        <v>0</v>
      </c>
      <c r="AO37" s="273">
        <f t="shared" si="29"/>
        <v>0</v>
      </c>
    </row>
    <row r="38" spans="1:41" ht="16.149999999999999" customHeight="1">
      <c r="A38" s="198">
        <v>32</v>
      </c>
      <c r="B38" s="199" t="s">
        <v>104</v>
      </c>
      <c r="C38" s="995">
        <v>0</v>
      </c>
      <c r="D38" s="201">
        <f>+'Table 5C1A-Madison Prep'!D38</f>
        <v>5652.819189061127</v>
      </c>
      <c r="E38" s="202">
        <f t="shared" si="8"/>
        <v>0</v>
      </c>
      <c r="F38" s="202">
        <f>+'Table 5C1A-Madison Prep'!F38</f>
        <v>559.77</v>
      </c>
      <c r="G38" s="202">
        <f t="shared" si="9"/>
        <v>0</v>
      </c>
      <c r="H38" s="345">
        <f t="shared" si="10"/>
        <v>0</v>
      </c>
      <c r="I38" s="203">
        <f>'[1]Oct midyear Iberville'!K35</f>
        <v>0</v>
      </c>
      <c r="J38" s="203">
        <f>'[1]Feb midyear Iberville'!K35</f>
        <v>0</v>
      </c>
      <c r="K38" s="204">
        <f t="shared" si="11"/>
        <v>0</v>
      </c>
      <c r="L38" s="345">
        <f t="shared" si="12"/>
        <v>0</v>
      </c>
      <c r="M38" s="286">
        <f t="shared" si="4"/>
        <v>0</v>
      </c>
      <c r="N38" s="345">
        <f t="shared" si="13"/>
        <v>0</v>
      </c>
      <c r="O38" s="201">
        <v>0</v>
      </c>
      <c r="P38" s="351">
        <f t="shared" si="14"/>
        <v>0</v>
      </c>
      <c r="Q38" s="203">
        <f>(4*'[2]Table 5C1R-Iberville'!S38)+(4*'[3]Table 5C1R-Iberville'!S38)</f>
        <v>0</v>
      </c>
      <c r="R38" s="203">
        <f t="shared" si="15"/>
        <v>0</v>
      </c>
      <c r="S38" s="351">
        <f t="shared" si="5"/>
        <v>0</v>
      </c>
      <c r="T38" s="351">
        <f t="shared" si="16"/>
        <v>0</v>
      </c>
      <c r="U38" s="287">
        <f>'Table 5C1A-Madison Prep'!U38</f>
        <v>2139</v>
      </c>
      <c r="V38" s="328">
        <f t="shared" si="17"/>
        <v>0</v>
      </c>
      <c r="W38" s="289">
        <f>'[1]Oct midyear Iberville'!E35</f>
        <v>0</v>
      </c>
      <c r="X38" s="290">
        <f t="shared" si="18"/>
        <v>0</v>
      </c>
      <c r="Y38" s="289">
        <f>'[1]Feb midyear Iberville'!E35</f>
        <v>0</v>
      </c>
      <c r="Z38" s="290">
        <f t="shared" si="19"/>
        <v>0</v>
      </c>
      <c r="AA38" s="288">
        <f t="shared" si="20"/>
        <v>0</v>
      </c>
      <c r="AB38" s="324">
        <f t="shared" si="21"/>
        <v>0</v>
      </c>
      <c r="AC38" s="292">
        <f t="shared" si="22"/>
        <v>0</v>
      </c>
      <c r="AD38" s="324">
        <f t="shared" si="23"/>
        <v>0</v>
      </c>
      <c r="AE38" s="293">
        <v>0</v>
      </c>
      <c r="AF38" s="324">
        <f t="shared" si="24"/>
        <v>0</v>
      </c>
      <c r="AG38" s="293">
        <f>(4*'[2]Table 5C1R-Iberville'!AI38)+(4*'[3]Table 5C1R-Iberville'!AI38)</f>
        <v>0</v>
      </c>
      <c r="AH38" s="293">
        <f t="shared" si="25"/>
        <v>0</v>
      </c>
      <c r="AI38" s="324">
        <f t="shared" si="6"/>
        <v>0</v>
      </c>
      <c r="AJ38" s="321">
        <f t="shared" si="26"/>
        <v>0</v>
      </c>
      <c r="AK38" s="342">
        <f t="shared" si="27"/>
        <v>0</v>
      </c>
      <c r="AM38" s="286">
        <v>0</v>
      </c>
      <c r="AN38" s="286">
        <f t="shared" si="28"/>
        <v>0</v>
      </c>
      <c r="AO38" s="286">
        <f t="shared" si="29"/>
        <v>0</v>
      </c>
    </row>
    <row r="39" spans="1:41" ht="16.149999999999999" customHeight="1">
      <c r="A39" s="198">
        <v>33</v>
      </c>
      <c r="B39" s="199" t="s">
        <v>105</v>
      </c>
      <c r="C39" s="995">
        <v>0</v>
      </c>
      <c r="D39" s="201">
        <f>+'Table 5C1A-Madison Prep'!D39</f>
        <v>5456.2254558085233</v>
      </c>
      <c r="E39" s="202">
        <f t="shared" si="8"/>
        <v>0</v>
      </c>
      <c r="F39" s="202">
        <f>+'Table 5C1A-Madison Prep'!F39</f>
        <v>655.31000000000006</v>
      </c>
      <c r="G39" s="202">
        <f t="shared" si="9"/>
        <v>0</v>
      </c>
      <c r="H39" s="345">
        <f t="shared" si="10"/>
        <v>0</v>
      </c>
      <c r="I39" s="203">
        <f>'[1]Oct midyear Iberville'!K36</f>
        <v>0</v>
      </c>
      <c r="J39" s="203">
        <f>'[1]Feb midyear Iberville'!K36</f>
        <v>0</v>
      </c>
      <c r="K39" s="204">
        <f t="shared" si="11"/>
        <v>0</v>
      </c>
      <c r="L39" s="345">
        <f t="shared" si="12"/>
        <v>0</v>
      </c>
      <c r="M39" s="286">
        <f t="shared" si="4"/>
        <v>0</v>
      </c>
      <c r="N39" s="345">
        <f t="shared" si="13"/>
        <v>0</v>
      </c>
      <c r="O39" s="201">
        <v>0</v>
      </c>
      <c r="P39" s="351">
        <f t="shared" si="14"/>
        <v>0</v>
      </c>
      <c r="Q39" s="203">
        <f>(4*'[2]Table 5C1R-Iberville'!S39)+(4*'[3]Table 5C1R-Iberville'!S39)</f>
        <v>0</v>
      </c>
      <c r="R39" s="203">
        <f t="shared" si="15"/>
        <v>0</v>
      </c>
      <c r="S39" s="351">
        <f t="shared" ref="S39:S70" si="30">ROUND(R39/$S$88,0)</f>
        <v>0</v>
      </c>
      <c r="T39" s="351">
        <f t="shared" si="16"/>
        <v>0</v>
      </c>
      <c r="U39" s="287">
        <f>'Table 5C1A-Madison Prep'!U39</f>
        <v>3784</v>
      </c>
      <c r="V39" s="328">
        <f t="shared" si="17"/>
        <v>0</v>
      </c>
      <c r="W39" s="289">
        <f>'[1]Oct midyear Iberville'!E36</f>
        <v>0</v>
      </c>
      <c r="X39" s="290">
        <f t="shared" si="18"/>
        <v>0</v>
      </c>
      <c r="Y39" s="289">
        <f>'[1]Feb midyear Iberville'!E36</f>
        <v>0</v>
      </c>
      <c r="Z39" s="290">
        <f t="shared" si="19"/>
        <v>0</v>
      </c>
      <c r="AA39" s="288">
        <f t="shared" si="20"/>
        <v>0</v>
      </c>
      <c r="AB39" s="324">
        <f t="shared" si="21"/>
        <v>0</v>
      </c>
      <c r="AC39" s="292">
        <f t="shared" si="22"/>
        <v>0</v>
      </c>
      <c r="AD39" s="324">
        <f t="shared" si="23"/>
        <v>0</v>
      </c>
      <c r="AE39" s="293">
        <v>0</v>
      </c>
      <c r="AF39" s="324">
        <f t="shared" si="24"/>
        <v>0</v>
      </c>
      <c r="AG39" s="293">
        <f>(4*'[2]Table 5C1R-Iberville'!AI39)+(4*'[3]Table 5C1R-Iberville'!AI39)</f>
        <v>0</v>
      </c>
      <c r="AH39" s="293">
        <f t="shared" si="25"/>
        <v>0</v>
      </c>
      <c r="AI39" s="324">
        <f t="shared" ref="AI39:AI70" si="31">ROUND(AH39/$AI$88,0)</f>
        <v>0</v>
      </c>
      <c r="AJ39" s="321">
        <f t="shared" si="26"/>
        <v>0</v>
      </c>
      <c r="AK39" s="342">
        <f t="shared" si="27"/>
        <v>0</v>
      </c>
      <c r="AM39" s="286">
        <v>0</v>
      </c>
      <c r="AN39" s="286">
        <f t="shared" si="28"/>
        <v>0</v>
      </c>
      <c r="AO39" s="286">
        <f t="shared" si="29"/>
        <v>0</v>
      </c>
    </row>
    <row r="40" spans="1:41" ht="16.149999999999999" customHeight="1">
      <c r="A40" s="198">
        <v>34</v>
      </c>
      <c r="B40" s="199" t="s">
        <v>106</v>
      </c>
      <c r="C40" s="995">
        <v>0</v>
      </c>
      <c r="D40" s="201">
        <f>+'Table 5C1A-Madison Prep'!D40</f>
        <v>6292.0976842789005</v>
      </c>
      <c r="E40" s="202">
        <f t="shared" si="8"/>
        <v>0</v>
      </c>
      <c r="F40" s="202">
        <f>+'Table 5C1A-Madison Prep'!F40</f>
        <v>644.11000000000013</v>
      </c>
      <c r="G40" s="202">
        <f t="shared" si="9"/>
        <v>0</v>
      </c>
      <c r="H40" s="345">
        <f t="shared" si="10"/>
        <v>0</v>
      </c>
      <c r="I40" s="203">
        <f>'[1]Oct midyear Iberville'!K37</f>
        <v>0</v>
      </c>
      <c r="J40" s="203">
        <f>'[1]Feb midyear Iberville'!K37</f>
        <v>0</v>
      </c>
      <c r="K40" s="204">
        <f t="shared" si="11"/>
        <v>0</v>
      </c>
      <c r="L40" s="345">
        <f t="shared" si="12"/>
        <v>0</v>
      </c>
      <c r="M40" s="286">
        <f t="shared" si="4"/>
        <v>0</v>
      </c>
      <c r="N40" s="345">
        <f t="shared" si="13"/>
        <v>0</v>
      </c>
      <c r="O40" s="201">
        <v>0</v>
      </c>
      <c r="P40" s="351">
        <f t="shared" si="14"/>
        <v>0</v>
      </c>
      <c r="Q40" s="203">
        <f>(4*'[2]Table 5C1R-Iberville'!S40)+(4*'[3]Table 5C1R-Iberville'!S40)</f>
        <v>0</v>
      </c>
      <c r="R40" s="203">
        <f t="shared" si="15"/>
        <v>0</v>
      </c>
      <c r="S40" s="351">
        <f t="shared" si="30"/>
        <v>0</v>
      </c>
      <c r="T40" s="351">
        <f t="shared" si="16"/>
        <v>0</v>
      </c>
      <c r="U40" s="287">
        <f>'Table 5C1A-Madison Prep'!U40</f>
        <v>2911</v>
      </c>
      <c r="V40" s="328">
        <f t="shared" si="17"/>
        <v>0</v>
      </c>
      <c r="W40" s="289">
        <f>'[1]Oct midyear Iberville'!E37</f>
        <v>0</v>
      </c>
      <c r="X40" s="290">
        <f t="shared" si="18"/>
        <v>0</v>
      </c>
      <c r="Y40" s="289">
        <f>'[1]Feb midyear Iberville'!E37</f>
        <v>0</v>
      </c>
      <c r="Z40" s="290">
        <f t="shared" si="19"/>
        <v>0</v>
      </c>
      <c r="AA40" s="288">
        <f t="shared" si="20"/>
        <v>0</v>
      </c>
      <c r="AB40" s="324">
        <f t="shared" si="21"/>
        <v>0</v>
      </c>
      <c r="AC40" s="292">
        <f t="shared" si="22"/>
        <v>0</v>
      </c>
      <c r="AD40" s="324">
        <f t="shared" si="23"/>
        <v>0</v>
      </c>
      <c r="AE40" s="293">
        <v>0</v>
      </c>
      <c r="AF40" s="324">
        <f t="shared" si="24"/>
        <v>0</v>
      </c>
      <c r="AG40" s="293">
        <f>(4*'[2]Table 5C1R-Iberville'!AI40)+(4*'[3]Table 5C1R-Iberville'!AI40)</f>
        <v>0</v>
      </c>
      <c r="AH40" s="293">
        <f t="shared" si="25"/>
        <v>0</v>
      </c>
      <c r="AI40" s="324">
        <f t="shared" si="31"/>
        <v>0</v>
      </c>
      <c r="AJ40" s="321">
        <f t="shared" si="26"/>
        <v>0</v>
      </c>
      <c r="AK40" s="342">
        <f t="shared" si="27"/>
        <v>0</v>
      </c>
      <c r="AM40" s="286">
        <v>0</v>
      </c>
      <c r="AN40" s="286">
        <f t="shared" si="28"/>
        <v>0</v>
      </c>
      <c r="AO40" s="286">
        <f t="shared" si="29"/>
        <v>0</v>
      </c>
    </row>
    <row r="41" spans="1:41" ht="16.149999999999999" customHeight="1">
      <c r="A41" s="191">
        <v>35</v>
      </c>
      <c r="B41" s="192" t="s">
        <v>107</v>
      </c>
      <c r="C41" s="996">
        <v>0</v>
      </c>
      <c r="D41" s="194">
        <f>+'Table 5C1A-Madison Prep'!D41</f>
        <v>5166.2482060477605</v>
      </c>
      <c r="E41" s="195">
        <f t="shared" si="8"/>
        <v>0</v>
      </c>
      <c r="F41" s="195">
        <f>+'Table 5C1A-Madison Prep'!F41</f>
        <v>537.96</v>
      </c>
      <c r="G41" s="195">
        <f t="shared" si="9"/>
        <v>0</v>
      </c>
      <c r="H41" s="346">
        <f t="shared" si="10"/>
        <v>0</v>
      </c>
      <c r="I41" s="196">
        <f>'[1]Oct midyear Iberville'!K38</f>
        <v>0</v>
      </c>
      <c r="J41" s="196">
        <f>'[1]Feb midyear Iberville'!K38</f>
        <v>0</v>
      </c>
      <c r="K41" s="197">
        <f t="shared" si="11"/>
        <v>0</v>
      </c>
      <c r="L41" s="346">
        <f t="shared" si="12"/>
        <v>0</v>
      </c>
      <c r="M41" s="296">
        <f t="shared" si="4"/>
        <v>0</v>
      </c>
      <c r="N41" s="346">
        <f t="shared" si="13"/>
        <v>0</v>
      </c>
      <c r="O41" s="194">
        <v>0</v>
      </c>
      <c r="P41" s="352">
        <f t="shared" si="14"/>
        <v>0</v>
      </c>
      <c r="Q41" s="196">
        <f>(4*'[2]Table 5C1R-Iberville'!S41)+(4*'[3]Table 5C1R-Iberville'!S41)</f>
        <v>0</v>
      </c>
      <c r="R41" s="196">
        <f t="shared" si="15"/>
        <v>0</v>
      </c>
      <c r="S41" s="352">
        <f t="shared" si="30"/>
        <v>0</v>
      </c>
      <c r="T41" s="352">
        <f t="shared" si="16"/>
        <v>0</v>
      </c>
      <c r="U41" s="281">
        <f>'Table 5C1A-Madison Prep'!U41</f>
        <v>3337</v>
      </c>
      <c r="V41" s="329">
        <f t="shared" si="17"/>
        <v>0</v>
      </c>
      <c r="W41" s="884">
        <f>'[1]Oct midyear Iberville'!E38</f>
        <v>0</v>
      </c>
      <c r="X41" s="282">
        <f t="shared" si="18"/>
        <v>0</v>
      </c>
      <c r="Y41" s="884">
        <f>'[1]Feb midyear Iberville'!E38</f>
        <v>0</v>
      </c>
      <c r="Z41" s="282">
        <f t="shared" si="19"/>
        <v>0</v>
      </c>
      <c r="AA41" s="283">
        <f t="shared" si="20"/>
        <v>0</v>
      </c>
      <c r="AB41" s="325">
        <f t="shared" si="21"/>
        <v>0</v>
      </c>
      <c r="AC41" s="298">
        <f t="shared" si="22"/>
        <v>0</v>
      </c>
      <c r="AD41" s="325">
        <f t="shared" si="23"/>
        <v>0</v>
      </c>
      <c r="AE41" s="284">
        <v>0</v>
      </c>
      <c r="AF41" s="325">
        <f t="shared" si="24"/>
        <v>0</v>
      </c>
      <c r="AG41" s="284">
        <f>(4*'[2]Table 5C1R-Iberville'!AI41)+(4*'[3]Table 5C1R-Iberville'!AI41)</f>
        <v>0</v>
      </c>
      <c r="AH41" s="284">
        <f t="shared" si="25"/>
        <v>0</v>
      </c>
      <c r="AI41" s="325">
        <f t="shared" si="31"/>
        <v>0</v>
      </c>
      <c r="AJ41" s="338">
        <f t="shared" si="26"/>
        <v>0</v>
      </c>
      <c r="AK41" s="343">
        <f t="shared" si="27"/>
        <v>0</v>
      </c>
      <c r="AM41" s="296">
        <v>0</v>
      </c>
      <c r="AN41" s="296">
        <f t="shared" si="28"/>
        <v>0</v>
      </c>
      <c r="AO41" s="296">
        <f t="shared" si="29"/>
        <v>0</v>
      </c>
    </row>
    <row r="42" spans="1:41" ht="16.149999999999999" customHeight="1">
      <c r="A42" s="205">
        <v>36</v>
      </c>
      <c r="B42" s="206" t="s">
        <v>108</v>
      </c>
      <c r="C42" s="994">
        <v>0</v>
      </c>
      <c r="D42" s="208">
        <f>+'Table 5C1A-Madison Prep'!D42</f>
        <v>3602.7009974327857</v>
      </c>
      <c r="E42" s="209">
        <f t="shared" si="8"/>
        <v>0</v>
      </c>
      <c r="F42" s="209">
        <f>+'Table 5C1A-Madison Prep'!F42</f>
        <v>746.0335616438357</v>
      </c>
      <c r="G42" s="209">
        <f t="shared" si="9"/>
        <v>0</v>
      </c>
      <c r="H42" s="344">
        <f t="shared" si="10"/>
        <v>0</v>
      </c>
      <c r="I42" s="210">
        <f>'[1]Oct midyear Iberville'!K39</f>
        <v>0</v>
      </c>
      <c r="J42" s="210">
        <f>'[1]Feb midyear Iberville'!K39</f>
        <v>0</v>
      </c>
      <c r="K42" s="211">
        <f t="shared" si="11"/>
        <v>0</v>
      </c>
      <c r="L42" s="344">
        <f t="shared" si="12"/>
        <v>0</v>
      </c>
      <c r="M42" s="273">
        <f t="shared" si="4"/>
        <v>0</v>
      </c>
      <c r="N42" s="344">
        <f t="shared" si="13"/>
        <v>0</v>
      </c>
      <c r="O42" s="208">
        <v>0</v>
      </c>
      <c r="P42" s="350">
        <f t="shared" si="14"/>
        <v>0</v>
      </c>
      <c r="Q42" s="210">
        <f>(4*'[2]Table 5C1R-Iberville'!S42)+(4*'[3]Table 5C1R-Iberville'!S42)</f>
        <v>0</v>
      </c>
      <c r="R42" s="210">
        <f t="shared" si="15"/>
        <v>0</v>
      </c>
      <c r="S42" s="350">
        <f t="shared" si="30"/>
        <v>0</v>
      </c>
      <c r="T42" s="350">
        <f t="shared" si="16"/>
        <v>0</v>
      </c>
      <c r="U42" s="274">
        <f>'Table 5C1A-Madison Prep'!U42</f>
        <v>5469</v>
      </c>
      <c r="V42" s="327">
        <f t="shared" si="17"/>
        <v>0</v>
      </c>
      <c r="W42" s="883">
        <f>'[1]Oct midyear Iberville'!E39</f>
        <v>0</v>
      </c>
      <c r="X42" s="276">
        <f t="shared" si="18"/>
        <v>0</v>
      </c>
      <c r="Y42" s="883">
        <f>'[1]Feb midyear Iberville'!E39</f>
        <v>0</v>
      </c>
      <c r="Z42" s="276">
        <f t="shared" si="19"/>
        <v>0</v>
      </c>
      <c r="AA42" s="275">
        <f t="shared" si="20"/>
        <v>0</v>
      </c>
      <c r="AB42" s="323">
        <f t="shared" si="21"/>
        <v>0</v>
      </c>
      <c r="AC42" s="278">
        <f t="shared" si="22"/>
        <v>0</v>
      </c>
      <c r="AD42" s="323">
        <f t="shared" si="23"/>
        <v>0</v>
      </c>
      <c r="AE42" s="279">
        <v>0</v>
      </c>
      <c r="AF42" s="323">
        <f t="shared" si="24"/>
        <v>0</v>
      </c>
      <c r="AG42" s="279">
        <f>(4*'[2]Table 5C1R-Iberville'!AI42)+(4*'[3]Table 5C1R-Iberville'!AI42)</f>
        <v>0</v>
      </c>
      <c r="AH42" s="279">
        <f t="shared" si="25"/>
        <v>0</v>
      </c>
      <c r="AI42" s="323">
        <f t="shared" si="31"/>
        <v>0</v>
      </c>
      <c r="AJ42" s="337">
        <f t="shared" si="26"/>
        <v>0</v>
      </c>
      <c r="AK42" s="341">
        <f t="shared" si="27"/>
        <v>0</v>
      </c>
      <c r="AM42" s="273">
        <v>0</v>
      </c>
      <c r="AN42" s="273">
        <f t="shared" si="28"/>
        <v>0</v>
      </c>
      <c r="AO42" s="273">
        <f t="shared" si="29"/>
        <v>0</v>
      </c>
    </row>
    <row r="43" spans="1:41" ht="16.149999999999999" customHeight="1">
      <c r="A43" s="198">
        <v>37</v>
      </c>
      <c r="B43" s="199" t="s">
        <v>109</v>
      </c>
      <c r="C43" s="995">
        <v>0</v>
      </c>
      <c r="D43" s="201">
        <f>+'Table 5C1A-Madison Prep'!D43</f>
        <v>5665.3839260317691</v>
      </c>
      <c r="E43" s="202">
        <f t="shared" si="8"/>
        <v>0</v>
      </c>
      <c r="F43" s="202">
        <f>+'Table 5C1A-Madison Prep'!F43</f>
        <v>653.61</v>
      </c>
      <c r="G43" s="202">
        <f t="shared" si="9"/>
        <v>0</v>
      </c>
      <c r="H43" s="345">
        <f t="shared" si="10"/>
        <v>0</v>
      </c>
      <c r="I43" s="203">
        <f>'[1]Oct midyear Iberville'!K40</f>
        <v>0</v>
      </c>
      <c r="J43" s="203">
        <f>'[1]Feb midyear Iberville'!K40</f>
        <v>0</v>
      </c>
      <c r="K43" s="204">
        <f t="shared" si="11"/>
        <v>0</v>
      </c>
      <c r="L43" s="345">
        <f t="shared" si="12"/>
        <v>0</v>
      </c>
      <c r="M43" s="286">
        <f t="shared" si="4"/>
        <v>0</v>
      </c>
      <c r="N43" s="345">
        <f t="shared" si="13"/>
        <v>0</v>
      </c>
      <c r="O43" s="201">
        <v>0</v>
      </c>
      <c r="P43" s="351">
        <f t="shared" si="14"/>
        <v>0</v>
      </c>
      <c r="Q43" s="203">
        <f>(4*'[2]Table 5C1R-Iberville'!S43)+(4*'[3]Table 5C1R-Iberville'!S43)</f>
        <v>0</v>
      </c>
      <c r="R43" s="203">
        <f t="shared" si="15"/>
        <v>0</v>
      </c>
      <c r="S43" s="351">
        <f t="shared" si="30"/>
        <v>0</v>
      </c>
      <c r="T43" s="351">
        <f t="shared" si="16"/>
        <v>0</v>
      </c>
      <c r="U43" s="287">
        <f>'Table 5C1A-Madison Prep'!U43</f>
        <v>3424</v>
      </c>
      <c r="V43" s="328">
        <f t="shared" si="17"/>
        <v>0</v>
      </c>
      <c r="W43" s="289">
        <f>'[1]Oct midyear Iberville'!E40</f>
        <v>0</v>
      </c>
      <c r="X43" s="290">
        <f t="shared" si="18"/>
        <v>0</v>
      </c>
      <c r="Y43" s="289">
        <f>'[1]Feb midyear Iberville'!E40</f>
        <v>0</v>
      </c>
      <c r="Z43" s="290">
        <f t="shared" si="19"/>
        <v>0</v>
      </c>
      <c r="AA43" s="288">
        <f t="shared" si="20"/>
        <v>0</v>
      </c>
      <c r="AB43" s="324">
        <f t="shared" si="21"/>
        <v>0</v>
      </c>
      <c r="AC43" s="292">
        <f t="shared" si="22"/>
        <v>0</v>
      </c>
      <c r="AD43" s="324">
        <f t="shared" si="23"/>
        <v>0</v>
      </c>
      <c r="AE43" s="293">
        <v>0</v>
      </c>
      <c r="AF43" s="324">
        <f t="shared" si="24"/>
        <v>0</v>
      </c>
      <c r="AG43" s="293">
        <f>(4*'[2]Table 5C1R-Iberville'!AI43)+(4*'[3]Table 5C1R-Iberville'!AI43)</f>
        <v>0</v>
      </c>
      <c r="AH43" s="293">
        <f t="shared" si="25"/>
        <v>0</v>
      </c>
      <c r="AI43" s="324">
        <f t="shared" si="31"/>
        <v>0</v>
      </c>
      <c r="AJ43" s="321">
        <f t="shared" si="26"/>
        <v>0</v>
      </c>
      <c r="AK43" s="342">
        <f t="shared" si="27"/>
        <v>0</v>
      </c>
      <c r="AM43" s="286">
        <v>0</v>
      </c>
      <c r="AN43" s="286">
        <f t="shared" si="28"/>
        <v>0</v>
      </c>
      <c r="AO43" s="286">
        <f t="shared" si="29"/>
        <v>0</v>
      </c>
    </row>
    <row r="44" spans="1:41" ht="16.149999999999999" customHeight="1">
      <c r="A44" s="198">
        <v>38</v>
      </c>
      <c r="B44" s="199" t="s">
        <v>110</v>
      </c>
      <c r="C44" s="995">
        <v>0</v>
      </c>
      <c r="D44" s="201">
        <f>+'Table 5C1A-Madison Prep'!D44</f>
        <v>2088.8017552916881</v>
      </c>
      <c r="E44" s="202">
        <f t="shared" si="8"/>
        <v>0</v>
      </c>
      <c r="F44" s="202">
        <f>+'Table 5C1A-Madison Prep'!F44</f>
        <v>829.92000000000007</v>
      </c>
      <c r="G44" s="202">
        <f t="shared" si="9"/>
        <v>0</v>
      </c>
      <c r="H44" s="345">
        <f t="shared" si="10"/>
        <v>0</v>
      </c>
      <c r="I44" s="203">
        <f>'[1]Oct midyear Iberville'!K41</f>
        <v>0</v>
      </c>
      <c r="J44" s="203">
        <f>'[1]Feb midyear Iberville'!K41</f>
        <v>0</v>
      </c>
      <c r="K44" s="204">
        <f t="shared" si="11"/>
        <v>0</v>
      </c>
      <c r="L44" s="345">
        <f t="shared" si="12"/>
        <v>0</v>
      </c>
      <c r="M44" s="286">
        <f t="shared" si="4"/>
        <v>0</v>
      </c>
      <c r="N44" s="345">
        <f t="shared" si="13"/>
        <v>0</v>
      </c>
      <c r="O44" s="201">
        <v>0</v>
      </c>
      <c r="P44" s="351">
        <f t="shared" si="14"/>
        <v>0</v>
      </c>
      <c r="Q44" s="203">
        <f>(4*'[2]Table 5C1R-Iberville'!S44)+(4*'[3]Table 5C1R-Iberville'!S44)</f>
        <v>0</v>
      </c>
      <c r="R44" s="203">
        <f t="shared" si="15"/>
        <v>0</v>
      </c>
      <c r="S44" s="351">
        <f t="shared" si="30"/>
        <v>0</v>
      </c>
      <c r="T44" s="351">
        <f t="shared" si="16"/>
        <v>0</v>
      </c>
      <c r="U44" s="287">
        <f>'Table 5C1A-Madison Prep'!U44</f>
        <v>11060</v>
      </c>
      <c r="V44" s="328">
        <f t="shared" si="17"/>
        <v>0</v>
      </c>
      <c r="W44" s="289">
        <f>'[1]Oct midyear Iberville'!E41</f>
        <v>0</v>
      </c>
      <c r="X44" s="290">
        <f t="shared" si="18"/>
        <v>0</v>
      </c>
      <c r="Y44" s="289">
        <f>'[1]Feb midyear Iberville'!E41</f>
        <v>0</v>
      </c>
      <c r="Z44" s="290">
        <f t="shared" si="19"/>
        <v>0</v>
      </c>
      <c r="AA44" s="288">
        <f t="shared" si="20"/>
        <v>0</v>
      </c>
      <c r="AB44" s="324">
        <f t="shared" si="21"/>
        <v>0</v>
      </c>
      <c r="AC44" s="292">
        <f t="shared" si="22"/>
        <v>0</v>
      </c>
      <c r="AD44" s="324">
        <f t="shared" si="23"/>
        <v>0</v>
      </c>
      <c r="AE44" s="293">
        <v>0</v>
      </c>
      <c r="AF44" s="324">
        <f t="shared" si="24"/>
        <v>0</v>
      </c>
      <c r="AG44" s="293">
        <f>(4*'[2]Table 5C1R-Iberville'!AI44)+(4*'[3]Table 5C1R-Iberville'!AI44)</f>
        <v>0</v>
      </c>
      <c r="AH44" s="293">
        <f t="shared" si="25"/>
        <v>0</v>
      </c>
      <c r="AI44" s="324">
        <f t="shared" si="31"/>
        <v>0</v>
      </c>
      <c r="AJ44" s="321">
        <f t="shared" si="26"/>
        <v>0</v>
      </c>
      <c r="AK44" s="342">
        <f t="shared" si="27"/>
        <v>0</v>
      </c>
      <c r="AM44" s="286">
        <v>0</v>
      </c>
      <c r="AN44" s="286">
        <f t="shared" si="28"/>
        <v>0</v>
      </c>
      <c r="AO44" s="286">
        <f t="shared" si="29"/>
        <v>0</v>
      </c>
    </row>
    <row r="45" spans="1:41" ht="16.149999999999999" customHeight="1">
      <c r="A45" s="198">
        <v>39</v>
      </c>
      <c r="B45" s="199" t="s">
        <v>111</v>
      </c>
      <c r="C45" s="995">
        <v>0</v>
      </c>
      <c r="D45" s="201">
        <f>+'Table 5C1A-Madison Prep'!D45</f>
        <v>3656.9056809295676</v>
      </c>
      <c r="E45" s="202">
        <f t="shared" si="8"/>
        <v>0</v>
      </c>
      <c r="F45" s="202">
        <f>+'Table 5C1A-Madison Prep'!F45</f>
        <v>779.65573042776396</v>
      </c>
      <c r="G45" s="202">
        <f t="shared" si="9"/>
        <v>0</v>
      </c>
      <c r="H45" s="345">
        <f t="shared" si="10"/>
        <v>0</v>
      </c>
      <c r="I45" s="203">
        <f>'[1]Oct midyear Iberville'!K42</f>
        <v>0</v>
      </c>
      <c r="J45" s="203">
        <f>'[1]Feb midyear Iberville'!K42</f>
        <v>0</v>
      </c>
      <c r="K45" s="204">
        <f t="shared" si="11"/>
        <v>0</v>
      </c>
      <c r="L45" s="345">
        <f t="shared" si="12"/>
        <v>0</v>
      </c>
      <c r="M45" s="286">
        <f t="shared" si="4"/>
        <v>0</v>
      </c>
      <c r="N45" s="345">
        <f t="shared" si="13"/>
        <v>0</v>
      </c>
      <c r="O45" s="201">
        <v>0</v>
      </c>
      <c r="P45" s="351">
        <f t="shared" si="14"/>
        <v>0</v>
      </c>
      <c r="Q45" s="203">
        <f>(4*'[2]Table 5C1R-Iberville'!S45)+(4*'[3]Table 5C1R-Iberville'!S45)</f>
        <v>0</v>
      </c>
      <c r="R45" s="203">
        <f t="shared" si="15"/>
        <v>0</v>
      </c>
      <c r="S45" s="351">
        <f t="shared" si="30"/>
        <v>0</v>
      </c>
      <c r="T45" s="351">
        <f t="shared" si="16"/>
        <v>0</v>
      </c>
      <c r="U45" s="287">
        <f>'Table 5C1A-Madison Prep'!U45</f>
        <v>4922</v>
      </c>
      <c r="V45" s="328">
        <f t="shared" si="17"/>
        <v>0</v>
      </c>
      <c r="W45" s="289">
        <f>'[1]Oct midyear Iberville'!E42</f>
        <v>0</v>
      </c>
      <c r="X45" s="290">
        <f t="shared" si="18"/>
        <v>0</v>
      </c>
      <c r="Y45" s="289">
        <f>'[1]Feb midyear Iberville'!E42</f>
        <v>0</v>
      </c>
      <c r="Z45" s="290">
        <f t="shared" si="19"/>
        <v>0</v>
      </c>
      <c r="AA45" s="288">
        <f t="shared" si="20"/>
        <v>0</v>
      </c>
      <c r="AB45" s="324">
        <f t="shared" si="21"/>
        <v>0</v>
      </c>
      <c r="AC45" s="292">
        <f t="shared" si="22"/>
        <v>0</v>
      </c>
      <c r="AD45" s="324">
        <f t="shared" si="23"/>
        <v>0</v>
      </c>
      <c r="AE45" s="293">
        <v>0</v>
      </c>
      <c r="AF45" s="324">
        <f t="shared" si="24"/>
        <v>0</v>
      </c>
      <c r="AG45" s="293">
        <f>(4*'[2]Table 5C1R-Iberville'!AI45)+(4*'[3]Table 5C1R-Iberville'!AI45)</f>
        <v>0</v>
      </c>
      <c r="AH45" s="293">
        <f t="shared" si="25"/>
        <v>0</v>
      </c>
      <c r="AI45" s="324">
        <f t="shared" si="31"/>
        <v>0</v>
      </c>
      <c r="AJ45" s="321">
        <f t="shared" si="26"/>
        <v>0</v>
      </c>
      <c r="AK45" s="342">
        <f t="shared" si="27"/>
        <v>0</v>
      </c>
      <c r="AM45" s="286">
        <v>0</v>
      </c>
      <c r="AN45" s="286">
        <f t="shared" si="28"/>
        <v>0</v>
      </c>
      <c r="AO45" s="286">
        <f t="shared" si="29"/>
        <v>0</v>
      </c>
    </row>
    <row r="46" spans="1:41" ht="16.149999999999999" customHeight="1">
      <c r="A46" s="191">
        <v>40</v>
      </c>
      <c r="B46" s="192" t="s">
        <v>112</v>
      </c>
      <c r="C46" s="996">
        <v>0</v>
      </c>
      <c r="D46" s="194">
        <f>+'Table 5C1A-Madison Prep'!D46</f>
        <v>5121.8110285698403</v>
      </c>
      <c r="E46" s="195">
        <f t="shared" si="8"/>
        <v>0</v>
      </c>
      <c r="F46" s="195">
        <f>+'Table 5C1A-Madison Prep'!F46</f>
        <v>700.2700000000001</v>
      </c>
      <c r="G46" s="195">
        <f t="shared" si="9"/>
        <v>0</v>
      </c>
      <c r="H46" s="346">
        <f t="shared" si="10"/>
        <v>0</v>
      </c>
      <c r="I46" s="196">
        <f>'[1]Oct midyear Iberville'!K43</f>
        <v>0</v>
      </c>
      <c r="J46" s="196">
        <f>'[1]Feb midyear Iberville'!K43</f>
        <v>0</v>
      </c>
      <c r="K46" s="197">
        <f t="shared" si="11"/>
        <v>0</v>
      </c>
      <c r="L46" s="346">
        <f t="shared" si="12"/>
        <v>0</v>
      </c>
      <c r="M46" s="296">
        <f t="shared" si="4"/>
        <v>0</v>
      </c>
      <c r="N46" s="346">
        <f t="shared" si="13"/>
        <v>0</v>
      </c>
      <c r="O46" s="194">
        <v>0</v>
      </c>
      <c r="P46" s="352">
        <f t="shared" si="14"/>
        <v>0</v>
      </c>
      <c r="Q46" s="196">
        <f>(4*'[2]Table 5C1R-Iberville'!S46)+(4*'[3]Table 5C1R-Iberville'!S46)</f>
        <v>0</v>
      </c>
      <c r="R46" s="196">
        <f t="shared" si="15"/>
        <v>0</v>
      </c>
      <c r="S46" s="352">
        <f t="shared" si="30"/>
        <v>0</v>
      </c>
      <c r="T46" s="352">
        <f t="shared" si="16"/>
        <v>0</v>
      </c>
      <c r="U46" s="281">
        <f>'Table 5C1A-Madison Prep'!U46</f>
        <v>3152</v>
      </c>
      <c r="V46" s="329">
        <f t="shared" si="17"/>
        <v>0</v>
      </c>
      <c r="W46" s="884">
        <f>'[1]Oct midyear Iberville'!E43</f>
        <v>0</v>
      </c>
      <c r="X46" s="282">
        <f t="shared" si="18"/>
        <v>0</v>
      </c>
      <c r="Y46" s="884">
        <f>'[1]Feb midyear Iberville'!E43</f>
        <v>0</v>
      </c>
      <c r="Z46" s="282">
        <f t="shared" si="19"/>
        <v>0</v>
      </c>
      <c r="AA46" s="283">
        <f t="shared" si="20"/>
        <v>0</v>
      </c>
      <c r="AB46" s="325">
        <f t="shared" si="21"/>
        <v>0</v>
      </c>
      <c r="AC46" s="298">
        <f t="shared" si="22"/>
        <v>0</v>
      </c>
      <c r="AD46" s="325">
        <f t="shared" si="23"/>
        <v>0</v>
      </c>
      <c r="AE46" s="284">
        <v>0</v>
      </c>
      <c r="AF46" s="325">
        <f t="shared" si="24"/>
        <v>0</v>
      </c>
      <c r="AG46" s="284">
        <f>(4*'[2]Table 5C1R-Iberville'!AI46)+(4*'[3]Table 5C1R-Iberville'!AI46)</f>
        <v>0</v>
      </c>
      <c r="AH46" s="284">
        <f t="shared" si="25"/>
        <v>0</v>
      </c>
      <c r="AI46" s="325">
        <f t="shared" si="31"/>
        <v>0</v>
      </c>
      <c r="AJ46" s="338">
        <f t="shared" si="26"/>
        <v>0</v>
      </c>
      <c r="AK46" s="343">
        <f t="shared" si="27"/>
        <v>0</v>
      </c>
      <c r="AM46" s="296">
        <v>0</v>
      </c>
      <c r="AN46" s="296">
        <f t="shared" si="28"/>
        <v>0</v>
      </c>
      <c r="AO46" s="296">
        <f t="shared" si="29"/>
        <v>0</v>
      </c>
    </row>
    <row r="47" spans="1:41" ht="16.149999999999999" customHeight="1">
      <c r="A47" s="205">
        <v>41</v>
      </c>
      <c r="B47" s="206" t="s">
        <v>113</v>
      </c>
      <c r="C47" s="994">
        <v>0</v>
      </c>
      <c r="D47" s="208">
        <f>+'Table 5C1A-Madison Prep'!D47</f>
        <v>3291.1948574716475</v>
      </c>
      <c r="E47" s="209">
        <f t="shared" si="8"/>
        <v>0</v>
      </c>
      <c r="F47" s="209">
        <f>+'Table 5C1A-Madison Prep'!F47</f>
        <v>886.22</v>
      </c>
      <c r="G47" s="209">
        <f t="shared" si="9"/>
        <v>0</v>
      </c>
      <c r="H47" s="344">
        <f t="shared" si="10"/>
        <v>0</v>
      </c>
      <c r="I47" s="210">
        <f>'[1]Oct midyear Iberville'!K44</f>
        <v>0</v>
      </c>
      <c r="J47" s="210">
        <f>'[1]Feb midyear Iberville'!K44</f>
        <v>0</v>
      </c>
      <c r="K47" s="211">
        <f t="shared" si="11"/>
        <v>0</v>
      </c>
      <c r="L47" s="344">
        <f t="shared" si="12"/>
        <v>0</v>
      </c>
      <c r="M47" s="273">
        <f t="shared" si="4"/>
        <v>0</v>
      </c>
      <c r="N47" s="344">
        <f t="shared" si="13"/>
        <v>0</v>
      </c>
      <c r="O47" s="208">
        <v>0</v>
      </c>
      <c r="P47" s="350">
        <f t="shared" si="14"/>
        <v>0</v>
      </c>
      <c r="Q47" s="210">
        <f>(4*'[2]Table 5C1R-Iberville'!S47)+(4*'[3]Table 5C1R-Iberville'!S47)</f>
        <v>0</v>
      </c>
      <c r="R47" s="210">
        <f t="shared" si="15"/>
        <v>0</v>
      </c>
      <c r="S47" s="350">
        <f t="shared" si="30"/>
        <v>0</v>
      </c>
      <c r="T47" s="350">
        <f t="shared" si="16"/>
        <v>0</v>
      </c>
      <c r="U47" s="274">
        <f>'Table 5C1A-Madison Prep'!U47</f>
        <v>9422</v>
      </c>
      <c r="V47" s="327">
        <f t="shared" si="17"/>
        <v>0</v>
      </c>
      <c r="W47" s="883">
        <f>'[1]Oct midyear Iberville'!E44</f>
        <v>0</v>
      </c>
      <c r="X47" s="276">
        <f t="shared" si="18"/>
        <v>0</v>
      </c>
      <c r="Y47" s="883">
        <f>'[1]Feb midyear Iberville'!E44</f>
        <v>0</v>
      </c>
      <c r="Z47" s="276">
        <f t="shared" si="19"/>
        <v>0</v>
      </c>
      <c r="AA47" s="275">
        <f t="shared" si="20"/>
        <v>0</v>
      </c>
      <c r="AB47" s="323">
        <f t="shared" si="21"/>
        <v>0</v>
      </c>
      <c r="AC47" s="278">
        <f t="shared" si="22"/>
        <v>0</v>
      </c>
      <c r="AD47" s="323">
        <f t="shared" si="23"/>
        <v>0</v>
      </c>
      <c r="AE47" s="279">
        <v>0</v>
      </c>
      <c r="AF47" s="323">
        <f t="shared" si="24"/>
        <v>0</v>
      </c>
      <c r="AG47" s="279">
        <f>(4*'[2]Table 5C1R-Iberville'!AI47)+(4*'[3]Table 5C1R-Iberville'!AI47)</f>
        <v>0</v>
      </c>
      <c r="AH47" s="279">
        <f t="shared" si="25"/>
        <v>0</v>
      </c>
      <c r="AI47" s="323">
        <f t="shared" si="31"/>
        <v>0</v>
      </c>
      <c r="AJ47" s="337">
        <f t="shared" si="26"/>
        <v>0</v>
      </c>
      <c r="AK47" s="341">
        <f t="shared" si="27"/>
        <v>0</v>
      </c>
      <c r="AM47" s="273">
        <v>0</v>
      </c>
      <c r="AN47" s="273">
        <f t="shared" si="28"/>
        <v>0</v>
      </c>
      <c r="AO47" s="273">
        <f t="shared" si="29"/>
        <v>0</v>
      </c>
    </row>
    <row r="48" spans="1:41" ht="16.149999999999999" customHeight="1">
      <c r="A48" s="198">
        <v>42</v>
      </c>
      <c r="B48" s="199" t="s">
        <v>114</v>
      </c>
      <c r="C48" s="995">
        <v>0</v>
      </c>
      <c r="D48" s="201">
        <f>+'Table 5C1A-Madison Prep'!D48</f>
        <v>5113.6077751368684</v>
      </c>
      <c r="E48" s="202">
        <f t="shared" si="8"/>
        <v>0</v>
      </c>
      <c r="F48" s="202">
        <f>+'Table 5C1A-Madison Prep'!F48</f>
        <v>534.28</v>
      </c>
      <c r="G48" s="202">
        <f t="shared" si="9"/>
        <v>0</v>
      </c>
      <c r="H48" s="345">
        <f t="shared" si="10"/>
        <v>0</v>
      </c>
      <c r="I48" s="203">
        <f>'[1]Oct midyear Iberville'!K45</f>
        <v>0</v>
      </c>
      <c r="J48" s="203">
        <f>'[1]Feb midyear Iberville'!K45</f>
        <v>0</v>
      </c>
      <c r="K48" s="204">
        <f t="shared" si="11"/>
        <v>0</v>
      </c>
      <c r="L48" s="345">
        <f t="shared" si="12"/>
        <v>0</v>
      </c>
      <c r="M48" s="286">
        <f t="shared" si="4"/>
        <v>0</v>
      </c>
      <c r="N48" s="345">
        <f t="shared" si="13"/>
        <v>0</v>
      </c>
      <c r="O48" s="201">
        <v>0</v>
      </c>
      <c r="P48" s="351">
        <f t="shared" si="14"/>
        <v>0</v>
      </c>
      <c r="Q48" s="203">
        <f>(4*'[2]Table 5C1R-Iberville'!S48)+(4*'[3]Table 5C1R-Iberville'!S48)</f>
        <v>0</v>
      </c>
      <c r="R48" s="203">
        <f t="shared" si="15"/>
        <v>0</v>
      </c>
      <c r="S48" s="351">
        <f t="shared" si="30"/>
        <v>0</v>
      </c>
      <c r="T48" s="351">
        <f t="shared" si="16"/>
        <v>0</v>
      </c>
      <c r="U48" s="287">
        <f>'Table 5C1A-Madison Prep'!U48</f>
        <v>3415</v>
      </c>
      <c r="V48" s="328">
        <f t="shared" si="17"/>
        <v>0</v>
      </c>
      <c r="W48" s="289">
        <f>'[1]Oct midyear Iberville'!E45</f>
        <v>0</v>
      </c>
      <c r="X48" s="290">
        <f t="shared" si="18"/>
        <v>0</v>
      </c>
      <c r="Y48" s="289">
        <f>'[1]Feb midyear Iberville'!E45</f>
        <v>0</v>
      </c>
      <c r="Z48" s="290">
        <f t="shared" si="19"/>
        <v>0</v>
      </c>
      <c r="AA48" s="288">
        <f t="shared" si="20"/>
        <v>0</v>
      </c>
      <c r="AB48" s="324">
        <f t="shared" si="21"/>
        <v>0</v>
      </c>
      <c r="AC48" s="292">
        <f t="shared" si="22"/>
        <v>0</v>
      </c>
      <c r="AD48" s="324">
        <f t="shared" si="23"/>
        <v>0</v>
      </c>
      <c r="AE48" s="293">
        <v>0</v>
      </c>
      <c r="AF48" s="324">
        <f t="shared" si="24"/>
        <v>0</v>
      </c>
      <c r="AG48" s="293">
        <f>(4*'[2]Table 5C1R-Iberville'!AI48)+(4*'[3]Table 5C1R-Iberville'!AI48)</f>
        <v>0</v>
      </c>
      <c r="AH48" s="293">
        <f t="shared" si="25"/>
        <v>0</v>
      </c>
      <c r="AI48" s="324">
        <f t="shared" si="31"/>
        <v>0</v>
      </c>
      <c r="AJ48" s="321">
        <f t="shared" si="26"/>
        <v>0</v>
      </c>
      <c r="AK48" s="342">
        <f t="shared" si="27"/>
        <v>0</v>
      </c>
      <c r="AM48" s="286">
        <v>0</v>
      </c>
      <c r="AN48" s="286">
        <f t="shared" si="28"/>
        <v>0</v>
      </c>
      <c r="AO48" s="286">
        <f t="shared" si="29"/>
        <v>0</v>
      </c>
    </row>
    <row r="49" spans="1:41" ht="16.149999999999999" customHeight="1">
      <c r="A49" s="198">
        <v>43</v>
      </c>
      <c r="B49" s="199" t="s">
        <v>115</v>
      </c>
      <c r="C49" s="995">
        <v>0</v>
      </c>
      <c r="D49" s="201">
        <f>+'Table 5C1A-Madison Prep'!D49</f>
        <v>5788.74387205947</v>
      </c>
      <c r="E49" s="202">
        <f t="shared" si="8"/>
        <v>0</v>
      </c>
      <c r="F49" s="202">
        <f>+'Table 5C1A-Madison Prep'!F49</f>
        <v>574.6099999999999</v>
      </c>
      <c r="G49" s="202">
        <f t="shared" si="9"/>
        <v>0</v>
      </c>
      <c r="H49" s="345">
        <f t="shared" si="10"/>
        <v>0</v>
      </c>
      <c r="I49" s="203">
        <f>'[1]Oct midyear Iberville'!K46</f>
        <v>0</v>
      </c>
      <c r="J49" s="203">
        <f>'[1]Feb midyear Iberville'!K46</f>
        <v>0</v>
      </c>
      <c r="K49" s="204">
        <f t="shared" si="11"/>
        <v>0</v>
      </c>
      <c r="L49" s="345">
        <f t="shared" si="12"/>
        <v>0</v>
      </c>
      <c r="M49" s="286">
        <f t="shared" si="4"/>
        <v>0</v>
      </c>
      <c r="N49" s="345">
        <f t="shared" si="13"/>
        <v>0</v>
      </c>
      <c r="O49" s="201">
        <v>0</v>
      </c>
      <c r="P49" s="351">
        <f t="shared" si="14"/>
        <v>0</v>
      </c>
      <c r="Q49" s="203">
        <f>(4*'[2]Table 5C1R-Iberville'!S49)+(4*'[3]Table 5C1R-Iberville'!S49)</f>
        <v>0</v>
      </c>
      <c r="R49" s="203">
        <f t="shared" si="15"/>
        <v>0</v>
      </c>
      <c r="S49" s="351">
        <f t="shared" si="30"/>
        <v>0</v>
      </c>
      <c r="T49" s="351">
        <f t="shared" si="16"/>
        <v>0</v>
      </c>
      <c r="U49" s="287">
        <f>'Table 5C1A-Madison Prep'!U49</f>
        <v>3334</v>
      </c>
      <c r="V49" s="328">
        <f t="shared" si="17"/>
        <v>0</v>
      </c>
      <c r="W49" s="289">
        <f>'[1]Oct midyear Iberville'!E46</f>
        <v>0</v>
      </c>
      <c r="X49" s="290">
        <f t="shared" si="18"/>
        <v>0</v>
      </c>
      <c r="Y49" s="289">
        <f>'[1]Feb midyear Iberville'!E46</f>
        <v>0</v>
      </c>
      <c r="Z49" s="290">
        <f t="shared" si="19"/>
        <v>0</v>
      </c>
      <c r="AA49" s="288">
        <f t="shared" si="20"/>
        <v>0</v>
      </c>
      <c r="AB49" s="324">
        <f t="shared" si="21"/>
        <v>0</v>
      </c>
      <c r="AC49" s="292">
        <f t="shared" si="22"/>
        <v>0</v>
      </c>
      <c r="AD49" s="324">
        <f t="shared" si="23"/>
        <v>0</v>
      </c>
      <c r="AE49" s="293">
        <v>0</v>
      </c>
      <c r="AF49" s="324">
        <f t="shared" si="24"/>
        <v>0</v>
      </c>
      <c r="AG49" s="293">
        <f>(4*'[2]Table 5C1R-Iberville'!AI49)+(4*'[3]Table 5C1R-Iberville'!AI49)</f>
        <v>0</v>
      </c>
      <c r="AH49" s="293">
        <f t="shared" si="25"/>
        <v>0</v>
      </c>
      <c r="AI49" s="324">
        <f t="shared" si="31"/>
        <v>0</v>
      </c>
      <c r="AJ49" s="321">
        <f t="shared" si="26"/>
        <v>0</v>
      </c>
      <c r="AK49" s="342">
        <f t="shared" si="27"/>
        <v>0</v>
      </c>
      <c r="AM49" s="286">
        <v>0</v>
      </c>
      <c r="AN49" s="286">
        <f t="shared" si="28"/>
        <v>0</v>
      </c>
      <c r="AO49" s="286">
        <f t="shared" si="29"/>
        <v>0</v>
      </c>
    </row>
    <row r="50" spans="1:41" ht="16.149999999999999" customHeight="1">
      <c r="A50" s="198">
        <v>44</v>
      </c>
      <c r="B50" s="199" t="s">
        <v>116</v>
      </c>
      <c r="C50" s="995">
        <v>0</v>
      </c>
      <c r="D50" s="201">
        <f>+'Table 5C1A-Madison Prep'!D50</f>
        <v>4897.5958151820359</v>
      </c>
      <c r="E50" s="202">
        <f t="shared" si="8"/>
        <v>0</v>
      </c>
      <c r="F50" s="202">
        <f>+'Table 5C1A-Madison Prep'!F50</f>
        <v>663.16000000000008</v>
      </c>
      <c r="G50" s="202">
        <f t="shared" si="9"/>
        <v>0</v>
      </c>
      <c r="H50" s="345">
        <f t="shared" si="10"/>
        <v>0</v>
      </c>
      <c r="I50" s="203">
        <f>'[1]Oct midyear Iberville'!K47</f>
        <v>0</v>
      </c>
      <c r="J50" s="203">
        <f>'[1]Feb midyear Iberville'!K47</f>
        <v>0</v>
      </c>
      <c r="K50" s="204">
        <f t="shared" si="11"/>
        <v>0</v>
      </c>
      <c r="L50" s="345">
        <f t="shared" si="12"/>
        <v>0</v>
      </c>
      <c r="M50" s="286">
        <f t="shared" si="4"/>
        <v>0</v>
      </c>
      <c r="N50" s="345">
        <f t="shared" si="13"/>
        <v>0</v>
      </c>
      <c r="O50" s="201">
        <v>0</v>
      </c>
      <c r="P50" s="351">
        <f t="shared" si="14"/>
        <v>0</v>
      </c>
      <c r="Q50" s="203">
        <f>(4*'[2]Table 5C1R-Iberville'!S50)+(4*'[3]Table 5C1R-Iberville'!S50)</f>
        <v>0</v>
      </c>
      <c r="R50" s="203">
        <f t="shared" si="15"/>
        <v>0</v>
      </c>
      <c r="S50" s="351">
        <f t="shared" si="30"/>
        <v>0</v>
      </c>
      <c r="T50" s="351">
        <f t="shared" si="16"/>
        <v>0</v>
      </c>
      <c r="U50" s="287">
        <f>'Table 5C1A-Madison Prep'!U50</f>
        <v>3587</v>
      </c>
      <c r="V50" s="328">
        <f t="shared" si="17"/>
        <v>0</v>
      </c>
      <c r="W50" s="289">
        <f>'[1]Oct midyear Iberville'!E47</f>
        <v>0</v>
      </c>
      <c r="X50" s="290">
        <f t="shared" si="18"/>
        <v>0</v>
      </c>
      <c r="Y50" s="289">
        <f>'[1]Feb midyear Iberville'!E47</f>
        <v>0</v>
      </c>
      <c r="Z50" s="290">
        <f t="shared" si="19"/>
        <v>0</v>
      </c>
      <c r="AA50" s="288">
        <f t="shared" si="20"/>
        <v>0</v>
      </c>
      <c r="AB50" s="324">
        <f t="shared" si="21"/>
        <v>0</v>
      </c>
      <c r="AC50" s="292">
        <f t="shared" si="22"/>
        <v>0</v>
      </c>
      <c r="AD50" s="324">
        <f t="shared" si="23"/>
        <v>0</v>
      </c>
      <c r="AE50" s="293">
        <v>0</v>
      </c>
      <c r="AF50" s="324">
        <f t="shared" si="24"/>
        <v>0</v>
      </c>
      <c r="AG50" s="293">
        <f>(4*'[2]Table 5C1R-Iberville'!AI50)+(4*'[3]Table 5C1R-Iberville'!AI50)</f>
        <v>0</v>
      </c>
      <c r="AH50" s="293">
        <f t="shared" si="25"/>
        <v>0</v>
      </c>
      <c r="AI50" s="324">
        <f t="shared" si="31"/>
        <v>0</v>
      </c>
      <c r="AJ50" s="321">
        <f t="shared" si="26"/>
        <v>0</v>
      </c>
      <c r="AK50" s="342">
        <f t="shared" si="27"/>
        <v>0</v>
      </c>
      <c r="AM50" s="286">
        <v>0</v>
      </c>
      <c r="AN50" s="286">
        <f t="shared" si="28"/>
        <v>0</v>
      </c>
      <c r="AO50" s="286">
        <f t="shared" si="29"/>
        <v>0</v>
      </c>
    </row>
    <row r="51" spans="1:41" ht="16.149999999999999" customHeight="1">
      <c r="A51" s="191">
        <v>45</v>
      </c>
      <c r="B51" s="192" t="s">
        <v>117</v>
      </c>
      <c r="C51" s="996">
        <v>0</v>
      </c>
      <c r="D51" s="194">
        <f>+'Table 5C1A-Madison Prep'!D51</f>
        <v>2054.0472499469101</v>
      </c>
      <c r="E51" s="195">
        <f t="shared" si="8"/>
        <v>0</v>
      </c>
      <c r="F51" s="195">
        <f>+'Table 5C1A-Madison Prep'!F51</f>
        <v>753.96000000000015</v>
      </c>
      <c r="G51" s="195">
        <f t="shared" si="9"/>
        <v>0</v>
      </c>
      <c r="H51" s="346">
        <f t="shared" si="10"/>
        <v>0</v>
      </c>
      <c r="I51" s="196">
        <f>'[1]Oct midyear Iberville'!K48</f>
        <v>0</v>
      </c>
      <c r="J51" s="196">
        <f>'[1]Feb midyear Iberville'!K48</f>
        <v>0</v>
      </c>
      <c r="K51" s="197">
        <f t="shared" si="11"/>
        <v>0</v>
      </c>
      <c r="L51" s="346">
        <f t="shared" si="12"/>
        <v>0</v>
      </c>
      <c r="M51" s="296">
        <f t="shared" si="4"/>
        <v>0</v>
      </c>
      <c r="N51" s="346">
        <f t="shared" si="13"/>
        <v>0</v>
      </c>
      <c r="O51" s="194">
        <v>0</v>
      </c>
      <c r="P51" s="352">
        <f t="shared" si="14"/>
        <v>0</v>
      </c>
      <c r="Q51" s="196">
        <f>(4*'[2]Table 5C1R-Iberville'!S51)+(4*'[3]Table 5C1R-Iberville'!S51)</f>
        <v>0</v>
      </c>
      <c r="R51" s="196">
        <f t="shared" si="15"/>
        <v>0</v>
      </c>
      <c r="S51" s="352">
        <f t="shared" si="30"/>
        <v>0</v>
      </c>
      <c r="T51" s="352">
        <f t="shared" si="16"/>
        <v>0</v>
      </c>
      <c r="U51" s="281">
        <f>'Table 5C1A-Madison Prep'!U51</f>
        <v>12134</v>
      </c>
      <c r="V51" s="329">
        <f t="shared" si="17"/>
        <v>0</v>
      </c>
      <c r="W51" s="884">
        <f>'[1]Oct midyear Iberville'!E48</f>
        <v>0</v>
      </c>
      <c r="X51" s="282">
        <f t="shared" si="18"/>
        <v>0</v>
      </c>
      <c r="Y51" s="884">
        <f>'[1]Feb midyear Iberville'!E48</f>
        <v>0</v>
      </c>
      <c r="Z51" s="282">
        <f t="shared" si="19"/>
        <v>0</v>
      </c>
      <c r="AA51" s="283">
        <f t="shared" si="20"/>
        <v>0</v>
      </c>
      <c r="AB51" s="325">
        <f t="shared" si="21"/>
        <v>0</v>
      </c>
      <c r="AC51" s="298">
        <f t="shared" si="22"/>
        <v>0</v>
      </c>
      <c r="AD51" s="325">
        <f t="shared" si="23"/>
        <v>0</v>
      </c>
      <c r="AE51" s="284">
        <v>0</v>
      </c>
      <c r="AF51" s="325">
        <f t="shared" si="24"/>
        <v>0</v>
      </c>
      <c r="AG51" s="284">
        <f>(4*'[2]Table 5C1R-Iberville'!AI51)+(4*'[3]Table 5C1R-Iberville'!AI51)</f>
        <v>0</v>
      </c>
      <c r="AH51" s="284">
        <f t="shared" si="25"/>
        <v>0</v>
      </c>
      <c r="AI51" s="325">
        <f t="shared" si="31"/>
        <v>0</v>
      </c>
      <c r="AJ51" s="338">
        <f t="shared" si="26"/>
        <v>0</v>
      </c>
      <c r="AK51" s="343">
        <f t="shared" si="27"/>
        <v>0</v>
      </c>
      <c r="AM51" s="296">
        <v>0</v>
      </c>
      <c r="AN51" s="296">
        <f t="shared" si="28"/>
        <v>0</v>
      </c>
      <c r="AO51" s="296">
        <f t="shared" si="29"/>
        <v>0</v>
      </c>
    </row>
    <row r="52" spans="1:41" ht="16.149999999999999" customHeight="1">
      <c r="A52" s="205">
        <v>46</v>
      </c>
      <c r="B52" s="206" t="s">
        <v>118</v>
      </c>
      <c r="C52" s="994">
        <v>0</v>
      </c>
      <c r="D52" s="208">
        <f>+'Table 5C1A-Madison Prep'!D52</f>
        <v>6051.2144468088381</v>
      </c>
      <c r="E52" s="209">
        <f t="shared" si="8"/>
        <v>0</v>
      </c>
      <c r="F52" s="209">
        <f>+'Table 5C1A-Madison Prep'!F52</f>
        <v>728.06</v>
      </c>
      <c r="G52" s="209">
        <f t="shared" si="9"/>
        <v>0</v>
      </c>
      <c r="H52" s="344">
        <f t="shared" si="10"/>
        <v>0</v>
      </c>
      <c r="I52" s="210">
        <f>'[1]Oct midyear Iberville'!K49</f>
        <v>0</v>
      </c>
      <c r="J52" s="210">
        <f>'[1]Feb midyear Iberville'!K49</f>
        <v>0</v>
      </c>
      <c r="K52" s="211">
        <f t="shared" si="11"/>
        <v>0</v>
      </c>
      <c r="L52" s="344">
        <f t="shared" si="12"/>
        <v>0</v>
      </c>
      <c r="M52" s="273">
        <f t="shared" si="4"/>
        <v>0</v>
      </c>
      <c r="N52" s="344">
        <f t="shared" si="13"/>
        <v>0</v>
      </c>
      <c r="O52" s="208">
        <v>0</v>
      </c>
      <c r="P52" s="350">
        <f t="shared" si="14"/>
        <v>0</v>
      </c>
      <c r="Q52" s="210">
        <f>(4*'[2]Table 5C1R-Iberville'!S52)+(4*'[3]Table 5C1R-Iberville'!S52)</f>
        <v>0</v>
      </c>
      <c r="R52" s="210">
        <f t="shared" si="15"/>
        <v>0</v>
      </c>
      <c r="S52" s="350">
        <f t="shared" si="30"/>
        <v>0</v>
      </c>
      <c r="T52" s="350">
        <f t="shared" si="16"/>
        <v>0</v>
      </c>
      <c r="U52" s="274">
        <f>'Table 5C1A-Madison Prep'!U52</f>
        <v>2554</v>
      </c>
      <c r="V52" s="327">
        <f t="shared" si="17"/>
        <v>0</v>
      </c>
      <c r="W52" s="883">
        <f>'[1]Oct midyear Iberville'!E49</f>
        <v>0</v>
      </c>
      <c r="X52" s="276">
        <f t="shared" si="18"/>
        <v>0</v>
      </c>
      <c r="Y52" s="883">
        <f>'[1]Feb midyear Iberville'!E49</f>
        <v>0</v>
      </c>
      <c r="Z52" s="276">
        <f t="shared" si="19"/>
        <v>0</v>
      </c>
      <c r="AA52" s="275">
        <f t="shared" si="20"/>
        <v>0</v>
      </c>
      <c r="AB52" s="323">
        <f t="shared" si="21"/>
        <v>0</v>
      </c>
      <c r="AC52" s="278">
        <f t="shared" si="22"/>
        <v>0</v>
      </c>
      <c r="AD52" s="323">
        <f t="shared" si="23"/>
        <v>0</v>
      </c>
      <c r="AE52" s="279">
        <v>0</v>
      </c>
      <c r="AF52" s="323">
        <f t="shared" si="24"/>
        <v>0</v>
      </c>
      <c r="AG52" s="279">
        <f>(4*'[2]Table 5C1R-Iberville'!AI52)+(4*'[3]Table 5C1R-Iberville'!AI52)</f>
        <v>0</v>
      </c>
      <c r="AH52" s="279">
        <f t="shared" si="25"/>
        <v>0</v>
      </c>
      <c r="AI52" s="323">
        <f t="shared" si="31"/>
        <v>0</v>
      </c>
      <c r="AJ52" s="337">
        <f t="shared" si="26"/>
        <v>0</v>
      </c>
      <c r="AK52" s="341">
        <f t="shared" si="27"/>
        <v>0</v>
      </c>
      <c r="AM52" s="273">
        <v>0</v>
      </c>
      <c r="AN52" s="273">
        <f t="shared" si="28"/>
        <v>0</v>
      </c>
      <c r="AO52" s="273">
        <f t="shared" si="29"/>
        <v>0</v>
      </c>
    </row>
    <row r="53" spans="1:41" ht="16.149999999999999" customHeight="1">
      <c r="A53" s="198">
        <v>47</v>
      </c>
      <c r="B53" s="199" t="s">
        <v>119</v>
      </c>
      <c r="C53" s="995">
        <v>0</v>
      </c>
      <c r="D53" s="201">
        <f>+'Table 5C1A-Madison Prep'!D53</f>
        <v>2524.1485257646736</v>
      </c>
      <c r="E53" s="202">
        <f t="shared" si="8"/>
        <v>0</v>
      </c>
      <c r="F53" s="202">
        <f>+'Table 5C1A-Madison Prep'!F53</f>
        <v>910.76</v>
      </c>
      <c r="G53" s="202">
        <f t="shared" si="9"/>
        <v>0</v>
      </c>
      <c r="H53" s="345">
        <f t="shared" si="10"/>
        <v>0</v>
      </c>
      <c r="I53" s="203">
        <f>'[1]Oct midyear Iberville'!K50</f>
        <v>0</v>
      </c>
      <c r="J53" s="203">
        <f>'[1]Feb midyear Iberville'!K50</f>
        <v>0</v>
      </c>
      <c r="K53" s="204">
        <f t="shared" si="11"/>
        <v>0</v>
      </c>
      <c r="L53" s="345">
        <f t="shared" si="12"/>
        <v>0</v>
      </c>
      <c r="M53" s="286">
        <f t="shared" si="4"/>
        <v>0</v>
      </c>
      <c r="N53" s="345">
        <f t="shared" si="13"/>
        <v>0</v>
      </c>
      <c r="O53" s="201">
        <v>0</v>
      </c>
      <c r="P53" s="351">
        <f t="shared" si="14"/>
        <v>0</v>
      </c>
      <c r="Q53" s="203">
        <f>(4*'[2]Table 5C1R-Iberville'!S53)+(4*'[3]Table 5C1R-Iberville'!S53)</f>
        <v>0</v>
      </c>
      <c r="R53" s="203">
        <f t="shared" si="15"/>
        <v>0</v>
      </c>
      <c r="S53" s="351">
        <f t="shared" si="30"/>
        <v>0</v>
      </c>
      <c r="T53" s="351">
        <f t="shared" si="16"/>
        <v>0</v>
      </c>
      <c r="U53" s="287">
        <f>'Table 5C1A-Madison Prep'!U53</f>
        <v>11506</v>
      </c>
      <c r="V53" s="328">
        <f t="shared" si="17"/>
        <v>0</v>
      </c>
      <c r="W53" s="289">
        <f>'[1]Oct midyear Iberville'!E50</f>
        <v>0</v>
      </c>
      <c r="X53" s="290">
        <f t="shared" si="18"/>
        <v>0</v>
      </c>
      <c r="Y53" s="289">
        <f>'[1]Feb midyear Iberville'!E50</f>
        <v>0</v>
      </c>
      <c r="Z53" s="290">
        <f t="shared" si="19"/>
        <v>0</v>
      </c>
      <c r="AA53" s="288">
        <f t="shared" si="20"/>
        <v>0</v>
      </c>
      <c r="AB53" s="324">
        <f t="shared" si="21"/>
        <v>0</v>
      </c>
      <c r="AC53" s="292">
        <f t="shared" si="22"/>
        <v>0</v>
      </c>
      <c r="AD53" s="324">
        <f t="shared" si="23"/>
        <v>0</v>
      </c>
      <c r="AE53" s="293">
        <v>0</v>
      </c>
      <c r="AF53" s="324">
        <f t="shared" si="24"/>
        <v>0</v>
      </c>
      <c r="AG53" s="293">
        <f>(4*'[2]Table 5C1R-Iberville'!AI53)+(4*'[3]Table 5C1R-Iberville'!AI53)</f>
        <v>0</v>
      </c>
      <c r="AH53" s="293">
        <f t="shared" si="25"/>
        <v>0</v>
      </c>
      <c r="AI53" s="324">
        <f t="shared" si="31"/>
        <v>0</v>
      </c>
      <c r="AJ53" s="321">
        <f t="shared" si="26"/>
        <v>0</v>
      </c>
      <c r="AK53" s="342">
        <f t="shared" si="27"/>
        <v>0</v>
      </c>
      <c r="AM53" s="286">
        <v>0</v>
      </c>
      <c r="AN53" s="286">
        <f t="shared" si="28"/>
        <v>0</v>
      </c>
      <c r="AO53" s="286">
        <f t="shared" si="29"/>
        <v>0</v>
      </c>
    </row>
    <row r="54" spans="1:41" ht="16.149999999999999" customHeight="1">
      <c r="A54" s="198">
        <v>48</v>
      </c>
      <c r="B54" s="199" t="s">
        <v>144</v>
      </c>
      <c r="C54" s="995">
        <v>0</v>
      </c>
      <c r="D54" s="201">
        <f>+'Table 5C1A-Madison Prep'!D54</f>
        <v>3983.3582529800719</v>
      </c>
      <c r="E54" s="202">
        <f t="shared" si="8"/>
        <v>0</v>
      </c>
      <c r="F54" s="202">
        <f>+'Table 5C1A-Madison Prep'!F54</f>
        <v>871.07</v>
      </c>
      <c r="G54" s="202">
        <f t="shared" si="9"/>
        <v>0</v>
      </c>
      <c r="H54" s="345">
        <f t="shared" si="10"/>
        <v>0</v>
      </c>
      <c r="I54" s="203">
        <f>'[1]Oct midyear Iberville'!K51</f>
        <v>0</v>
      </c>
      <c r="J54" s="203">
        <f>'[1]Feb midyear Iberville'!K51</f>
        <v>0</v>
      </c>
      <c r="K54" s="204">
        <f t="shared" si="11"/>
        <v>0</v>
      </c>
      <c r="L54" s="345">
        <f t="shared" si="12"/>
        <v>0</v>
      </c>
      <c r="M54" s="286">
        <f t="shared" si="4"/>
        <v>0</v>
      </c>
      <c r="N54" s="345">
        <f t="shared" si="13"/>
        <v>0</v>
      </c>
      <c r="O54" s="201">
        <v>0</v>
      </c>
      <c r="P54" s="351">
        <f t="shared" si="14"/>
        <v>0</v>
      </c>
      <c r="Q54" s="203">
        <f>(4*'[2]Table 5C1R-Iberville'!S54)+(4*'[3]Table 5C1R-Iberville'!S54)</f>
        <v>0</v>
      </c>
      <c r="R54" s="203">
        <f t="shared" si="15"/>
        <v>0</v>
      </c>
      <c r="S54" s="351">
        <f t="shared" si="30"/>
        <v>0</v>
      </c>
      <c r="T54" s="351">
        <f t="shared" si="16"/>
        <v>0</v>
      </c>
      <c r="U54" s="287">
        <f>'Table 5C1A-Madison Prep'!U54</f>
        <v>6827</v>
      </c>
      <c r="V54" s="328">
        <f t="shared" si="17"/>
        <v>0</v>
      </c>
      <c r="W54" s="289">
        <f>'[1]Oct midyear Iberville'!E51</f>
        <v>0</v>
      </c>
      <c r="X54" s="290">
        <f t="shared" si="18"/>
        <v>0</v>
      </c>
      <c r="Y54" s="289">
        <f>'[1]Feb midyear Iberville'!E51</f>
        <v>0</v>
      </c>
      <c r="Z54" s="290">
        <f t="shared" si="19"/>
        <v>0</v>
      </c>
      <c r="AA54" s="288">
        <f t="shared" si="20"/>
        <v>0</v>
      </c>
      <c r="AB54" s="324">
        <f t="shared" si="21"/>
        <v>0</v>
      </c>
      <c r="AC54" s="292">
        <f t="shared" si="22"/>
        <v>0</v>
      </c>
      <c r="AD54" s="324">
        <f t="shared" si="23"/>
        <v>0</v>
      </c>
      <c r="AE54" s="293">
        <v>0</v>
      </c>
      <c r="AF54" s="324">
        <f t="shared" si="24"/>
        <v>0</v>
      </c>
      <c r="AG54" s="293">
        <f>(4*'[2]Table 5C1R-Iberville'!AI54)+(4*'[3]Table 5C1R-Iberville'!AI54)</f>
        <v>0</v>
      </c>
      <c r="AH54" s="293">
        <f t="shared" si="25"/>
        <v>0</v>
      </c>
      <c r="AI54" s="324">
        <f t="shared" si="31"/>
        <v>0</v>
      </c>
      <c r="AJ54" s="321">
        <f t="shared" si="26"/>
        <v>0</v>
      </c>
      <c r="AK54" s="342">
        <f t="shared" si="27"/>
        <v>0</v>
      </c>
      <c r="AM54" s="286">
        <v>0</v>
      </c>
      <c r="AN54" s="286">
        <f t="shared" si="28"/>
        <v>0</v>
      </c>
      <c r="AO54" s="286">
        <f t="shared" si="29"/>
        <v>0</v>
      </c>
    </row>
    <row r="55" spans="1:41" ht="16.149999999999999" customHeight="1">
      <c r="A55" s="198">
        <v>49</v>
      </c>
      <c r="B55" s="199" t="s">
        <v>120</v>
      </c>
      <c r="C55" s="995">
        <v>0</v>
      </c>
      <c r="D55" s="201">
        <f>+'Table 5C1A-Madison Prep'!D55</f>
        <v>4995.8755315659191</v>
      </c>
      <c r="E55" s="202">
        <f t="shared" si="8"/>
        <v>0</v>
      </c>
      <c r="F55" s="202">
        <f>+'Table 5C1A-Madison Prep'!F55</f>
        <v>574.43999999999994</v>
      </c>
      <c r="G55" s="202">
        <f t="shared" si="9"/>
        <v>0</v>
      </c>
      <c r="H55" s="345">
        <f t="shared" si="10"/>
        <v>0</v>
      </c>
      <c r="I55" s="203">
        <f>'[1]Oct midyear Iberville'!K52</f>
        <v>0</v>
      </c>
      <c r="J55" s="203">
        <f>'[1]Feb midyear Iberville'!K52</f>
        <v>0</v>
      </c>
      <c r="K55" s="204">
        <f t="shared" si="11"/>
        <v>0</v>
      </c>
      <c r="L55" s="345">
        <f t="shared" si="12"/>
        <v>0</v>
      </c>
      <c r="M55" s="286">
        <f t="shared" si="4"/>
        <v>0</v>
      </c>
      <c r="N55" s="345">
        <f t="shared" si="13"/>
        <v>0</v>
      </c>
      <c r="O55" s="201">
        <v>0</v>
      </c>
      <c r="P55" s="351">
        <f t="shared" si="14"/>
        <v>0</v>
      </c>
      <c r="Q55" s="203">
        <f>(4*'[2]Table 5C1R-Iberville'!S55)+(4*'[3]Table 5C1R-Iberville'!S55)</f>
        <v>0</v>
      </c>
      <c r="R55" s="203">
        <f t="shared" si="15"/>
        <v>0</v>
      </c>
      <c r="S55" s="351">
        <f t="shared" si="30"/>
        <v>0</v>
      </c>
      <c r="T55" s="351">
        <f t="shared" si="16"/>
        <v>0</v>
      </c>
      <c r="U55" s="287">
        <f>'Table 5C1A-Madison Prep'!U55</f>
        <v>2399</v>
      </c>
      <c r="V55" s="328">
        <f t="shared" si="17"/>
        <v>0</v>
      </c>
      <c r="W55" s="289">
        <f>'[1]Oct midyear Iberville'!E52</f>
        <v>0</v>
      </c>
      <c r="X55" s="290">
        <f t="shared" si="18"/>
        <v>0</v>
      </c>
      <c r="Y55" s="289">
        <f>'[1]Feb midyear Iberville'!E52</f>
        <v>0</v>
      </c>
      <c r="Z55" s="290">
        <f t="shared" si="19"/>
        <v>0</v>
      </c>
      <c r="AA55" s="288">
        <f t="shared" si="20"/>
        <v>0</v>
      </c>
      <c r="AB55" s="324">
        <f t="shared" si="21"/>
        <v>0</v>
      </c>
      <c r="AC55" s="292">
        <f t="shared" si="22"/>
        <v>0</v>
      </c>
      <c r="AD55" s="324">
        <f t="shared" si="23"/>
        <v>0</v>
      </c>
      <c r="AE55" s="293">
        <v>0</v>
      </c>
      <c r="AF55" s="324">
        <f t="shared" si="24"/>
        <v>0</v>
      </c>
      <c r="AG55" s="293">
        <f>(4*'[2]Table 5C1R-Iberville'!AI55)+(4*'[3]Table 5C1R-Iberville'!AI55)</f>
        <v>0</v>
      </c>
      <c r="AH55" s="293">
        <f t="shared" si="25"/>
        <v>0</v>
      </c>
      <c r="AI55" s="324">
        <f t="shared" si="31"/>
        <v>0</v>
      </c>
      <c r="AJ55" s="321">
        <f t="shared" si="26"/>
        <v>0</v>
      </c>
      <c r="AK55" s="342">
        <f t="shared" si="27"/>
        <v>0</v>
      </c>
      <c r="AM55" s="286">
        <v>0</v>
      </c>
      <c r="AN55" s="286">
        <f t="shared" si="28"/>
        <v>0</v>
      </c>
      <c r="AO55" s="286">
        <f t="shared" si="29"/>
        <v>0</v>
      </c>
    </row>
    <row r="56" spans="1:41" ht="16.149999999999999" customHeight="1">
      <c r="A56" s="191">
        <v>50</v>
      </c>
      <c r="B56" s="192" t="s">
        <v>121</v>
      </c>
      <c r="C56" s="996">
        <v>0</v>
      </c>
      <c r="D56" s="194">
        <f>+'Table 5C1A-Madison Prep'!D56</f>
        <v>5177.6892722701677</v>
      </c>
      <c r="E56" s="195">
        <f t="shared" si="8"/>
        <v>0</v>
      </c>
      <c r="F56" s="195">
        <f>+'Table 5C1A-Madison Prep'!F56</f>
        <v>634.46</v>
      </c>
      <c r="G56" s="195">
        <f t="shared" si="9"/>
        <v>0</v>
      </c>
      <c r="H56" s="346">
        <f t="shared" si="10"/>
        <v>0</v>
      </c>
      <c r="I56" s="196">
        <f>'[1]Oct midyear Iberville'!K53</f>
        <v>0</v>
      </c>
      <c r="J56" s="196">
        <f>'[1]Feb midyear Iberville'!K53</f>
        <v>0</v>
      </c>
      <c r="K56" s="197">
        <f t="shared" si="11"/>
        <v>0</v>
      </c>
      <c r="L56" s="346">
        <f t="shared" si="12"/>
        <v>0</v>
      </c>
      <c r="M56" s="296">
        <f t="shared" si="4"/>
        <v>0</v>
      </c>
      <c r="N56" s="346">
        <f t="shared" si="13"/>
        <v>0</v>
      </c>
      <c r="O56" s="194">
        <v>0</v>
      </c>
      <c r="P56" s="352">
        <f t="shared" si="14"/>
        <v>0</v>
      </c>
      <c r="Q56" s="196">
        <f>(4*'[2]Table 5C1R-Iberville'!S56)+(4*'[3]Table 5C1R-Iberville'!S56)</f>
        <v>0</v>
      </c>
      <c r="R56" s="196">
        <f t="shared" si="15"/>
        <v>0</v>
      </c>
      <c r="S56" s="352">
        <f t="shared" si="30"/>
        <v>0</v>
      </c>
      <c r="T56" s="352">
        <f t="shared" si="16"/>
        <v>0</v>
      </c>
      <c r="U56" s="281">
        <f>'Table 5C1A-Madison Prep'!U56</f>
        <v>3413</v>
      </c>
      <c r="V56" s="329">
        <f t="shared" si="17"/>
        <v>0</v>
      </c>
      <c r="W56" s="884">
        <f>'[1]Oct midyear Iberville'!E53</f>
        <v>0</v>
      </c>
      <c r="X56" s="282">
        <f t="shared" si="18"/>
        <v>0</v>
      </c>
      <c r="Y56" s="884">
        <f>'[1]Feb midyear Iberville'!E53</f>
        <v>0</v>
      </c>
      <c r="Z56" s="282">
        <f t="shared" si="19"/>
        <v>0</v>
      </c>
      <c r="AA56" s="283">
        <f t="shared" si="20"/>
        <v>0</v>
      </c>
      <c r="AB56" s="325">
        <f t="shared" si="21"/>
        <v>0</v>
      </c>
      <c r="AC56" s="298">
        <f t="shared" si="22"/>
        <v>0</v>
      </c>
      <c r="AD56" s="325">
        <f t="shared" si="23"/>
        <v>0</v>
      </c>
      <c r="AE56" s="284">
        <v>0</v>
      </c>
      <c r="AF56" s="325">
        <f t="shared" si="24"/>
        <v>0</v>
      </c>
      <c r="AG56" s="284">
        <f>(4*'[2]Table 5C1R-Iberville'!AI56)+(4*'[3]Table 5C1R-Iberville'!AI56)</f>
        <v>0</v>
      </c>
      <c r="AH56" s="284">
        <f t="shared" si="25"/>
        <v>0</v>
      </c>
      <c r="AI56" s="325">
        <f t="shared" si="31"/>
        <v>0</v>
      </c>
      <c r="AJ56" s="338">
        <f t="shared" si="26"/>
        <v>0</v>
      </c>
      <c r="AK56" s="343">
        <f t="shared" si="27"/>
        <v>0</v>
      </c>
      <c r="AM56" s="296">
        <v>0</v>
      </c>
      <c r="AN56" s="296">
        <f t="shared" si="28"/>
        <v>0</v>
      </c>
      <c r="AO56" s="296">
        <f t="shared" si="29"/>
        <v>0</v>
      </c>
    </row>
    <row r="57" spans="1:41" ht="16.149999999999999" customHeight="1">
      <c r="A57" s="205">
        <v>51</v>
      </c>
      <c r="B57" s="206" t="s">
        <v>122</v>
      </c>
      <c r="C57" s="994">
        <v>0</v>
      </c>
      <c r="D57" s="208">
        <f>+'Table 5C1A-Madison Prep'!D57</f>
        <v>4154.1928602178996</v>
      </c>
      <c r="E57" s="209">
        <f t="shared" si="8"/>
        <v>0</v>
      </c>
      <c r="F57" s="209">
        <f>+'Table 5C1A-Madison Prep'!F57</f>
        <v>706.66</v>
      </c>
      <c r="G57" s="209">
        <f t="shared" si="9"/>
        <v>0</v>
      </c>
      <c r="H57" s="344">
        <f t="shared" si="10"/>
        <v>0</v>
      </c>
      <c r="I57" s="210">
        <f>'[1]Oct midyear Iberville'!K54</f>
        <v>0</v>
      </c>
      <c r="J57" s="210">
        <f>'[1]Feb midyear Iberville'!K54</f>
        <v>0</v>
      </c>
      <c r="K57" s="211">
        <f t="shared" si="11"/>
        <v>0</v>
      </c>
      <c r="L57" s="344">
        <f t="shared" si="12"/>
        <v>0</v>
      </c>
      <c r="M57" s="273">
        <f t="shared" si="4"/>
        <v>0</v>
      </c>
      <c r="N57" s="344">
        <f t="shared" si="13"/>
        <v>0</v>
      </c>
      <c r="O57" s="208">
        <v>0</v>
      </c>
      <c r="P57" s="350">
        <f t="shared" si="14"/>
        <v>0</v>
      </c>
      <c r="Q57" s="210">
        <f>(4*'[2]Table 5C1R-Iberville'!S57)+(4*'[3]Table 5C1R-Iberville'!S57)</f>
        <v>0</v>
      </c>
      <c r="R57" s="210">
        <f t="shared" si="15"/>
        <v>0</v>
      </c>
      <c r="S57" s="350">
        <f t="shared" si="30"/>
        <v>0</v>
      </c>
      <c r="T57" s="350">
        <f t="shared" si="16"/>
        <v>0</v>
      </c>
      <c r="U57" s="274">
        <f>'Table 5C1A-Madison Prep'!U57</f>
        <v>4512</v>
      </c>
      <c r="V57" s="327">
        <f t="shared" si="17"/>
        <v>0</v>
      </c>
      <c r="W57" s="883">
        <f>'[1]Oct midyear Iberville'!E54</f>
        <v>0</v>
      </c>
      <c r="X57" s="276">
        <f t="shared" si="18"/>
        <v>0</v>
      </c>
      <c r="Y57" s="883">
        <f>'[1]Feb midyear Iberville'!E54</f>
        <v>0</v>
      </c>
      <c r="Z57" s="276">
        <f t="shared" si="19"/>
        <v>0</v>
      </c>
      <c r="AA57" s="275">
        <f t="shared" si="20"/>
        <v>0</v>
      </c>
      <c r="AB57" s="323">
        <f t="shared" si="21"/>
        <v>0</v>
      </c>
      <c r="AC57" s="278">
        <f t="shared" si="22"/>
        <v>0</v>
      </c>
      <c r="AD57" s="323">
        <f t="shared" si="23"/>
        <v>0</v>
      </c>
      <c r="AE57" s="279">
        <v>0</v>
      </c>
      <c r="AF57" s="323">
        <f t="shared" si="24"/>
        <v>0</v>
      </c>
      <c r="AG57" s="279">
        <f>(4*'[2]Table 5C1R-Iberville'!AI57)+(4*'[3]Table 5C1R-Iberville'!AI57)</f>
        <v>0</v>
      </c>
      <c r="AH57" s="279">
        <f t="shared" si="25"/>
        <v>0</v>
      </c>
      <c r="AI57" s="323">
        <f t="shared" si="31"/>
        <v>0</v>
      </c>
      <c r="AJ57" s="337">
        <f t="shared" si="26"/>
        <v>0</v>
      </c>
      <c r="AK57" s="341">
        <f t="shared" si="27"/>
        <v>0</v>
      </c>
      <c r="AM57" s="273">
        <v>0</v>
      </c>
      <c r="AN57" s="273">
        <f t="shared" si="28"/>
        <v>0</v>
      </c>
      <c r="AO57" s="273">
        <f t="shared" si="29"/>
        <v>0</v>
      </c>
    </row>
    <row r="58" spans="1:41" ht="16.149999999999999" customHeight="1">
      <c r="A58" s="198">
        <v>52</v>
      </c>
      <c r="B58" s="199" t="s">
        <v>123</v>
      </c>
      <c r="C58" s="995">
        <v>0</v>
      </c>
      <c r="D58" s="201">
        <f>+'Table 5C1A-Madison Prep'!D58</f>
        <v>5062.2745845228173</v>
      </c>
      <c r="E58" s="202">
        <f t="shared" si="8"/>
        <v>0</v>
      </c>
      <c r="F58" s="202">
        <f>+'Table 5C1A-Madison Prep'!F58</f>
        <v>658.37</v>
      </c>
      <c r="G58" s="202">
        <f t="shared" si="9"/>
        <v>0</v>
      </c>
      <c r="H58" s="345">
        <f t="shared" si="10"/>
        <v>0</v>
      </c>
      <c r="I58" s="203">
        <f>'[1]Oct midyear Iberville'!K55</f>
        <v>0</v>
      </c>
      <c r="J58" s="203">
        <f>'[1]Feb midyear Iberville'!K55</f>
        <v>0</v>
      </c>
      <c r="K58" s="204">
        <f t="shared" si="11"/>
        <v>0</v>
      </c>
      <c r="L58" s="345">
        <f t="shared" si="12"/>
        <v>0</v>
      </c>
      <c r="M58" s="286">
        <f t="shared" si="4"/>
        <v>0</v>
      </c>
      <c r="N58" s="345">
        <f t="shared" si="13"/>
        <v>0</v>
      </c>
      <c r="O58" s="201">
        <v>0</v>
      </c>
      <c r="P58" s="351">
        <f t="shared" si="14"/>
        <v>0</v>
      </c>
      <c r="Q58" s="203">
        <f>(4*'[2]Table 5C1R-Iberville'!S58)+(4*'[3]Table 5C1R-Iberville'!S58)</f>
        <v>0</v>
      </c>
      <c r="R58" s="203">
        <f t="shared" si="15"/>
        <v>0</v>
      </c>
      <c r="S58" s="351">
        <f t="shared" si="30"/>
        <v>0</v>
      </c>
      <c r="T58" s="351">
        <f t="shared" si="16"/>
        <v>0</v>
      </c>
      <c r="U58" s="287">
        <f>'Table 5C1A-Madison Prep'!U58</f>
        <v>5289</v>
      </c>
      <c r="V58" s="328">
        <f t="shared" si="17"/>
        <v>0</v>
      </c>
      <c r="W58" s="289">
        <f>'[1]Oct midyear Iberville'!E55</f>
        <v>0</v>
      </c>
      <c r="X58" s="290">
        <f t="shared" si="18"/>
        <v>0</v>
      </c>
      <c r="Y58" s="289">
        <f>'[1]Feb midyear Iberville'!E55</f>
        <v>0</v>
      </c>
      <c r="Z58" s="290">
        <f t="shared" si="19"/>
        <v>0</v>
      </c>
      <c r="AA58" s="288">
        <f t="shared" si="20"/>
        <v>0</v>
      </c>
      <c r="AB58" s="324">
        <f t="shared" si="21"/>
        <v>0</v>
      </c>
      <c r="AC58" s="292">
        <f t="shared" si="22"/>
        <v>0</v>
      </c>
      <c r="AD58" s="324">
        <f t="shared" si="23"/>
        <v>0</v>
      </c>
      <c r="AE58" s="293">
        <v>0</v>
      </c>
      <c r="AF58" s="324">
        <f t="shared" si="24"/>
        <v>0</v>
      </c>
      <c r="AG58" s="293">
        <f>(4*'[2]Table 5C1R-Iberville'!AI58)+(4*'[3]Table 5C1R-Iberville'!AI58)</f>
        <v>0</v>
      </c>
      <c r="AH58" s="293">
        <f t="shared" si="25"/>
        <v>0</v>
      </c>
      <c r="AI58" s="324">
        <f t="shared" si="31"/>
        <v>0</v>
      </c>
      <c r="AJ58" s="321">
        <f t="shared" si="26"/>
        <v>0</v>
      </c>
      <c r="AK58" s="342">
        <f t="shared" si="27"/>
        <v>0</v>
      </c>
      <c r="AM58" s="286">
        <v>0</v>
      </c>
      <c r="AN58" s="286">
        <f t="shared" si="28"/>
        <v>0</v>
      </c>
      <c r="AO58" s="286">
        <f t="shared" si="29"/>
        <v>0</v>
      </c>
    </row>
    <row r="59" spans="1:41" ht="16.149999999999999" customHeight="1">
      <c r="A59" s="198">
        <v>53</v>
      </c>
      <c r="B59" s="199" t="s">
        <v>124</v>
      </c>
      <c r="C59" s="995">
        <v>0</v>
      </c>
      <c r="D59" s="201">
        <f>+'Table 5C1A-Madison Prep'!D59</f>
        <v>5060.1508194045482</v>
      </c>
      <c r="E59" s="202">
        <f t="shared" si="8"/>
        <v>0</v>
      </c>
      <c r="F59" s="202">
        <f>+'Table 5C1A-Madison Prep'!F59</f>
        <v>689.74</v>
      </c>
      <c r="G59" s="202">
        <f t="shared" si="9"/>
        <v>0</v>
      </c>
      <c r="H59" s="345">
        <f t="shared" si="10"/>
        <v>0</v>
      </c>
      <c r="I59" s="203">
        <f>'[1]Oct midyear Iberville'!K56</f>
        <v>0</v>
      </c>
      <c r="J59" s="203">
        <f>'[1]Feb midyear Iberville'!K56</f>
        <v>0</v>
      </c>
      <c r="K59" s="204">
        <f t="shared" si="11"/>
        <v>0</v>
      </c>
      <c r="L59" s="345">
        <f t="shared" si="12"/>
        <v>0</v>
      </c>
      <c r="M59" s="286">
        <f t="shared" si="4"/>
        <v>0</v>
      </c>
      <c r="N59" s="345">
        <f t="shared" si="13"/>
        <v>0</v>
      </c>
      <c r="O59" s="201">
        <v>0</v>
      </c>
      <c r="P59" s="351">
        <f t="shared" si="14"/>
        <v>0</v>
      </c>
      <c r="Q59" s="203">
        <f>(4*'[2]Table 5C1R-Iberville'!S59)+(4*'[3]Table 5C1R-Iberville'!S59)</f>
        <v>0</v>
      </c>
      <c r="R59" s="203">
        <f t="shared" si="15"/>
        <v>0</v>
      </c>
      <c r="S59" s="351">
        <f t="shared" si="30"/>
        <v>0</v>
      </c>
      <c r="T59" s="351">
        <f t="shared" si="16"/>
        <v>0</v>
      </c>
      <c r="U59" s="287">
        <f>'Table 5C1A-Madison Prep'!U59</f>
        <v>2101</v>
      </c>
      <c r="V59" s="328">
        <f t="shared" si="17"/>
        <v>0</v>
      </c>
      <c r="W59" s="289">
        <f>'[1]Oct midyear Iberville'!E56</f>
        <v>0</v>
      </c>
      <c r="X59" s="290">
        <f t="shared" si="18"/>
        <v>0</v>
      </c>
      <c r="Y59" s="289">
        <f>'[1]Feb midyear Iberville'!E56</f>
        <v>0</v>
      </c>
      <c r="Z59" s="290">
        <f t="shared" si="19"/>
        <v>0</v>
      </c>
      <c r="AA59" s="288">
        <f t="shared" si="20"/>
        <v>0</v>
      </c>
      <c r="AB59" s="324">
        <f t="shared" si="21"/>
        <v>0</v>
      </c>
      <c r="AC59" s="292">
        <f t="shared" si="22"/>
        <v>0</v>
      </c>
      <c r="AD59" s="324">
        <f t="shared" si="23"/>
        <v>0</v>
      </c>
      <c r="AE59" s="293">
        <v>0</v>
      </c>
      <c r="AF59" s="324">
        <f t="shared" si="24"/>
        <v>0</v>
      </c>
      <c r="AG59" s="293">
        <f>(4*'[2]Table 5C1R-Iberville'!AI59)+(4*'[3]Table 5C1R-Iberville'!AI59)</f>
        <v>0</v>
      </c>
      <c r="AH59" s="293">
        <f t="shared" si="25"/>
        <v>0</v>
      </c>
      <c r="AI59" s="324">
        <f t="shared" si="31"/>
        <v>0</v>
      </c>
      <c r="AJ59" s="321">
        <f t="shared" si="26"/>
        <v>0</v>
      </c>
      <c r="AK59" s="342">
        <f t="shared" si="27"/>
        <v>0</v>
      </c>
      <c r="AM59" s="286">
        <v>0</v>
      </c>
      <c r="AN59" s="286">
        <f t="shared" si="28"/>
        <v>0</v>
      </c>
      <c r="AO59" s="286">
        <f t="shared" si="29"/>
        <v>0</v>
      </c>
    </row>
    <row r="60" spans="1:41" ht="16.149999999999999" customHeight="1">
      <c r="A60" s="198">
        <v>54</v>
      </c>
      <c r="B60" s="199" t="s">
        <v>125</v>
      </c>
      <c r="C60" s="995">
        <v>0</v>
      </c>
      <c r="D60" s="201">
        <f>+'Table 5C1A-Madison Prep'!D60</f>
        <v>5867.0798370516713</v>
      </c>
      <c r="E60" s="202">
        <f t="shared" si="8"/>
        <v>0</v>
      </c>
      <c r="F60" s="202">
        <f>+'Table 5C1A-Madison Prep'!F60</f>
        <v>951.45</v>
      </c>
      <c r="G60" s="202">
        <f t="shared" si="9"/>
        <v>0</v>
      </c>
      <c r="H60" s="345">
        <f t="shared" si="10"/>
        <v>0</v>
      </c>
      <c r="I60" s="203">
        <f>'[1]Oct midyear Iberville'!K57</f>
        <v>0</v>
      </c>
      <c r="J60" s="203">
        <f>'[1]Feb midyear Iberville'!K57</f>
        <v>0</v>
      </c>
      <c r="K60" s="204">
        <f t="shared" si="11"/>
        <v>0</v>
      </c>
      <c r="L60" s="345">
        <f t="shared" si="12"/>
        <v>0</v>
      </c>
      <c r="M60" s="286">
        <f t="shared" si="4"/>
        <v>0</v>
      </c>
      <c r="N60" s="345">
        <f t="shared" si="13"/>
        <v>0</v>
      </c>
      <c r="O60" s="201">
        <v>0</v>
      </c>
      <c r="P60" s="351">
        <f t="shared" si="14"/>
        <v>0</v>
      </c>
      <c r="Q60" s="203">
        <f>(4*'[2]Table 5C1R-Iberville'!S60)+(4*'[3]Table 5C1R-Iberville'!S60)</f>
        <v>0</v>
      </c>
      <c r="R60" s="203">
        <f t="shared" si="15"/>
        <v>0</v>
      </c>
      <c r="S60" s="351">
        <f t="shared" si="30"/>
        <v>0</v>
      </c>
      <c r="T60" s="351">
        <f t="shared" si="16"/>
        <v>0</v>
      </c>
      <c r="U60" s="287">
        <f>'Table 5C1A-Madison Prep'!U60</f>
        <v>4150</v>
      </c>
      <c r="V60" s="328">
        <f t="shared" si="17"/>
        <v>0</v>
      </c>
      <c r="W60" s="289">
        <f>'[1]Oct midyear Iberville'!E57</f>
        <v>0</v>
      </c>
      <c r="X60" s="290">
        <f t="shared" si="18"/>
        <v>0</v>
      </c>
      <c r="Y60" s="289">
        <f>'[1]Feb midyear Iberville'!E57</f>
        <v>0</v>
      </c>
      <c r="Z60" s="290">
        <f t="shared" si="19"/>
        <v>0</v>
      </c>
      <c r="AA60" s="288">
        <f t="shared" si="20"/>
        <v>0</v>
      </c>
      <c r="AB60" s="324">
        <f t="shared" si="21"/>
        <v>0</v>
      </c>
      <c r="AC60" s="292">
        <f t="shared" si="22"/>
        <v>0</v>
      </c>
      <c r="AD60" s="324">
        <f t="shared" si="23"/>
        <v>0</v>
      </c>
      <c r="AE60" s="293">
        <v>0</v>
      </c>
      <c r="AF60" s="324">
        <f t="shared" si="24"/>
        <v>0</v>
      </c>
      <c r="AG60" s="293">
        <f>(4*'[2]Table 5C1R-Iberville'!AI60)+(4*'[3]Table 5C1R-Iberville'!AI60)</f>
        <v>0</v>
      </c>
      <c r="AH60" s="293">
        <f t="shared" si="25"/>
        <v>0</v>
      </c>
      <c r="AI60" s="324">
        <f t="shared" si="31"/>
        <v>0</v>
      </c>
      <c r="AJ60" s="321">
        <f t="shared" si="26"/>
        <v>0</v>
      </c>
      <c r="AK60" s="342">
        <f t="shared" si="27"/>
        <v>0</v>
      </c>
      <c r="AM60" s="286">
        <v>0</v>
      </c>
      <c r="AN60" s="286">
        <f t="shared" si="28"/>
        <v>0</v>
      </c>
      <c r="AO60" s="286">
        <f t="shared" si="29"/>
        <v>0</v>
      </c>
    </row>
    <row r="61" spans="1:41" ht="16.149999999999999" customHeight="1">
      <c r="A61" s="191">
        <v>55</v>
      </c>
      <c r="B61" s="192" t="s">
        <v>126</v>
      </c>
      <c r="C61" s="996">
        <v>0</v>
      </c>
      <c r="D61" s="194">
        <f>+'Table 5C1A-Madison Prep'!D61</f>
        <v>4266.8225491298481</v>
      </c>
      <c r="E61" s="195">
        <f t="shared" si="8"/>
        <v>0</v>
      </c>
      <c r="F61" s="195">
        <f>+'Table 5C1A-Madison Prep'!F61</f>
        <v>795.14</v>
      </c>
      <c r="G61" s="195">
        <f t="shared" si="9"/>
        <v>0</v>
      </c>
      <c r="H61" s="346">
        <f t="shared" si="10"/>
        <v>0</v>
      </c>
      <c r="I61" s="196">
        <f>'[1]Oct midyear Iberville'!K58</f>
        <v>0</v>
      </c>
      <c r="J61" s="196">
        <f>'[1]Feb midyear Iberville'!K58</f>
        <v>0</v>
      </c>
      <c r="K61" s="197">
        <f t="shared" si="11"/>
        <v>0</v>
      </c>
      <c r="L61" s="346">
        <f t="shared" si="12"/>
        <v>0</v>
      </c>
      <c r="M61" s="296">
        <f t="shared" si="4"/>
        <v>0</v>
      </c>
      <c r="N61" s="346">
        <f t="shared" si="13"/>
        <v>0</v>
      </c>
      <c r="O61" s="194">
        <v>0</v>
      </c>
      <c r="P61" s="352">
        <f t="shared" si="14"/>
        <v>0</v>
      </c>
      <c r="Q61" s="196">
        <f>(4*'[2]Table 5C1R-Iberville'!S61)+(4*'[3]Table 5C1R-Iberville'!S61)</f>
        <v>0</v>
      </c>
      <c r="R61" s="196">
        <f t="shared" si="15"/>
        <v>0</v>
      </c>
      <c r="S61" s="352">
        <f t="shared" si="30"/>
        <v>0</v>
      </c>
      <c r="T61" s="352">
        <f t="shared" si="16"/>
        <v>0</v>
      </c>
      <c r="U61" s="281">
        <f>'Table 5C1A-Madison Prep'!U61</f>
        <v>3637</v>
      </c>
      <c r="V61" s="329">
        <f t="shared" si="17"/>
        <v>0</v>
      </c>
      <c r="W61" s="884">
        <f>'[1]Oct midyear Iberville'!E58</f>
        <v>0</v>
      </c>
      <c r="X61" s="282">
        <f t="shared" si="18"/>
        <v>0</v>
      </c>
      <c r="Y61" s="884">
        <f>'[1]Feb midyear Iberville'!E58</f>
        <v>0</v>
      </c>
      <c r="Z61" s="282">
        <f t="shared" si="19"/>
        <v>0</v>
      </c>
      <c r="AA61" s="283">
        <f t="shared" si="20"/>
        <v>0</v>
      </c>
      <c r="AB61" s="325">
        <f t="shared" si="21"/>
        <v>0</v>
      </c>
      <c r="AC61" s="298">
        <f t="shared" si="22"/>
        <v>0</v>
      </c>
      <c r="AD61" s="325">
        <f t="shared" si="23"/>
        <v>0</v>
      </c>
      <c r="AE61" s="284">
        <v>0</v>
      </c>
      <c r="AF61" s="325">
        <f t="shared" si="24"/>
        <v>0</v>
      </c>
      <c r="AG61" s="284">
        <f>(4*'[2]Table 5C1R-Iberville'!AI61)+(4*'[3]Table 5C1R-Iberville'!AI61)</f>
        <v>0</v>
      </c>
      <c r="AH61" s="284">
        <f t="shared" si="25"/>
        <v>0</v>
      </c>
      <c r="AI61" s="325">
        <f t="shared" si="31"/>
        <v>0</v>
      </c>
      <c r="AJ61" s="338">
        <f t="shared" si="26"/>
        <v>0</v>
      </c>
      <c r="AK61" s="343">
        <f t="shared" si="27"/>
        <v>0</v>
      </c>
      <c r="AM61" s="296">
        <v>0</v>
      </c>
      <c r="AN61" s="296">
        <f t="shared" si="28"/>
        <v>0</v>
      </c>
      <c r="AO61" s="296">
        <f t="shared" si="29"/>
        <v>0</v>
      </c>
    </row>
    <row r="62" spans="1:41" ht="16.149999999999999" customHeight="1">
      <c r="A62" s="205">
        <v>56</v>
      </c>
      <c r="B62" s="206" t="s">
        <v>127</v>
      </c>
      <c r="C62" s="994">
        <v>0</v>
      </c>
      <c r="D62" s="208">
        <f>+'Table 5C1A-Madison Prep'!D62</f>
        <v>5028.4909408288286</v>
      </c>
      <c r="E62" s="209">
        <f t="shared" si="8"/>
        <v>0</v>
      </c>
      <c r="F62" s="209">
        <f>+'Table 5C1A-Madison Prep'!F62</f>
        <v>614.66000000000008</v>
      </c>
      <c r="G62" s="209">
        <f t="shared" si="9"/>
        <v>0</v>
      </c>
      <c r="H62" s="344">
        <f t="shared" si="10"/>
        <v>0</v>
      </c>
      <c r="I62" s="210">
        <f>'[1]Oct midyear Iberville'!K59</f>
        <v>0</v>
      </c>
      <c r="J62" s="210">
        <f>'[1]Feb midyear Iberville'!K59</f>
        <v>0</v>
      </c>
      <c r="K62" s="211">
        <f t="shared" si="11"/>
        <v>0</v>
      </c>
      <c r="L62" s="344">
        <f t="shared" si="12"/>
        <v>0</v>
      </c>
      <c r="M62" s="273">
        <f t="shared" si="4"/>
        <v>0</v>
      </c>
      <c r="N62" s="344">
        <f t="shared" si="13"/>
        <v>0</v>
      </c>
      <c r="O62" s="208">
        <v>0</v>
      </c>
      <c r="P62" s="350">
        <f t="shared" si="14"/>
        <v>0</v>
      </c>
      <c r="Q62" s="210">
        <f>(4*'[2]Table 5C1R-Iberville'!S62)+(4*'[3]Table 5C1R-Iberville'!S62)</f>
        <v>0</v>
      </c>
      <c r="R62" s="210">
        <f t="shared" si="15"/>
        <v>0</v>
      </c>
      <c r="S62" s="350">
        <f t="shared" si="30"/>
        <v>0</v>
      </c>
      <c r="T62" s="350">
        <f t="shared" si="16"/>
        <v>0</v>
      </c>
      <c r="U62" s="274">
        <f>'Table 5C1A-Madison Prep'!U62</f>
        <v>2857</v>
      </c>
      <c r="V62" s="327">
        <f t="shared" si="17"/>
        <v>0</v>
      </c>
      <c r="W62" s="883">
        <f>'[1]Oct midyear Iberville'!E59</f>
        <v>0</v>
      </c>
      <c r="X62" s="276">
        <f t="shared" si="18"/>
        <v>0</v>
      </c>
      <c r="Y62" s="883">
        <f>'[1]Feb midyear Iberville'!E59</f>
        <v>0</v>
      </c>
      <c r="Z62" s="276">
        <f t="shared" si="19"/>
        <v>0</v>
      </c>
      <c r="AA62" s="275">
        <f t="shared" si="20"/>
        <v>0</v>
      </c>
      <c r="AB62" s="323">
        <f t="shared" si="21"/>
        <v>0</v>
      </c>
      <c r="AC62" s="278">
        <f t="shared" si="22"/>
        <v>0</v>
      </c>
      <c r="AD62" s="323">
        <f t="shared" si="23"/>
        <v>0</v>
      </c>
      <c r="AE62" s="279">
        <v>0</v>
      </c>
      <c r="AF62" s="323">
        <f t="shared" si="24"/>
        <v>0</v>
      </c>
      <c r="AG62" s="279">
        <f>(4*'[2]Table 5C1R-Iberville'!AI62)+(4*'[3]Table 5C1R-Iberville'!AI62)</f>
        <v>0</v>
      </c>
      <c r="AH62" s="279">
        <f t="shared" si="25"/>
        <v>0</v>
      </c>
      <c r="AI62" s="323">
        <f t="shared" si="31"/>
        <v>0</v>
      </c>
      <c r="AJ62" s="337">
        <f t="shared" si="26"/>
        <v>0</v>
      </c>
      <c r="AK62" s="341">
        <f t="shared" si="27"/>
        <v>0</v>
      </c>
      <c r="AM62" s="273">
        <v>0</v>
      </c>
      <c r="AN62" s="273">
        <f t="shared" si="28"/>
        <v>0</v>
      </c>
      <c r="AO62" s="273">
        <f t="shared" si="29"/>
        <v>0</v>
      </c>
    </row>
    <row r="63" spans="1:41" ht="16.149999999999999" customHeight="1">
      <c r="A63" s="198">
        <v>57</v>
      </c>
      <c r="B63" s="199" t="s">
        <v>128</v>
      </c>
      <c r="C63" s="995">
        <v>0</v>
      </c>
      <c r="D63" s="201">
        <f>+'Table 5C1A-Madison Prep'!D63</f>
        <v>4625.9922979230687</v>
      </c>
      <c r="E63" s="202">
        <f t="shared" si="8"/>
        <v>0</v>
      </c>
      <c r="F63" s="202">
        <f>+'Table 5C1A-Madison Prep'!F63</f>
        <v>764.51</v>
      </c>
      <c r="G63" s="202">
        <f t="shared" si="9"/>
        <v>0</v>
      </c>
      <c r="H63" s="345">
        <f t="shared" si="10"/>
        <v>0</v>
      </c>
      <c r="I63" s="203">
        <f>'[1]Oct midyear Iberville'!K60</f>
        <v>0</v>
      </c>
      <c r="J63" s="203">
        <f>'[1]Feb midyear Iberville'!K60</f>
        <v>0</v>
      </c>
      <c r="K63" s="204">
        <f t="shared" si="11"/>
        <v>0</v>
      </c>
      <c r="L63" s="345">
        <f t="shared" si="12"/>
        <v>0</v>
      </c>
      <c r="M63" s="286">
        <f t="shared" si="4"/>
        <v>0</v>
      </c>
      <c r="N63" s="345">
        <f t="shared" si="13"/>
        <v>0</v>
      </c>
      <c r="O63" s="201">
        <v>0</v>
      </c>
      <c r="P63" s="351">
        <f t="shared" si="14"/>
        <v>0</v>
      </c>
      <c r="Q63" s="203">
        <f>(4*'[2]Table 5C1R-Iberville'!S63)+(4*'[3]Table 5C1R-Iberville'!S63)</f>
        <v>0</v>
      </c>
      <c r="R63" s="203">
        <f t="shared" si="15"/>
        <v>0</v>
      </c>
      <c r="S63" s="351">
        <f t="shared" si="30"/>
        <v>0</v>
      </c>
      <c r="T63" s="351">
        <f t="shared" si="16"/>
        <v>0</v>
      </c>
      <c r="U63" s="287">
        <f>'Table 5C1A-Madison Prep'!U63</f>
        <v>3465</v>
      </c>
      <c r="V63" s="328">
        <f t="shared" si="17"/>
        <v>0</v>
      </c>
      <c r="W63" s="289">
        <f>'[1]Oct midyear Iberville'!E60</f>
        <v>0</v>
      </c>
      <c r="X63" s="290">
        <f t="shared" si="18"/>
        <v>0</v>
      </c>
      <c r="Y63" s="289">
        <f>'[1]Feb midyear Iberville'!E60</f>
        <v>0</v>
      </c>
      <c r="Z63" s="290">
        <f t="shared" si="19"/>
        <v>0</v>
      </c>
      <c r="AA63" s="288">
        <f t="shared" si="20"/>
        <v>0</v>
      </c>
      <c r="AB63" s="324">
        <f t="shared" si="21"/>
        <v>0</v>
      </c>
      <c r="AC63" s="292">
        <f t="shared" si="22"/>
        <v>0</v>
      </c>
      <c r="AD63" s="324">
        <f t="shared" si="23"/>
        <v>0</v>
      </c>
      <c r="AE63" s="293">
        <v>0</v>
      </c>
      <c r="AF63" s="324">
        <f t="shared" si="24"/>
        <v>0</v>
      </c>
      <c r="AG63" s="293">
        <f>(4*'[2]Table 5C1R-Iberville'!AI63)+(4*'[3]Table 5C1R-Iberville'!AI63)</f>
        <v>0</v>
      </c>
      <c r="AH63" s="293">
        <f t="shared" si="25"/>
        <v>0</v>
      </c>
      <c r="AI63" s="324">
        <f t="shared" si="31"/>
        <v>0</v>
      </c>
      <c r="AJ63" s="321">
        <f t="shared" si="26"/>
        <v>0</v>
      </c>
      <c r="AK63" s="342">
        <f t="shared" si="27"/>
        <v>0</v>
      </c>
      <c r="AM63" s="286">
        <v>0</v>
      </c>
      <c r="AN63" s="286">
        <f t="shared" si="28"/>
        <v>0</v>
      </c>
      <c r="AO63" s="286">
        <f t="shared" si="29"/>
        <v>0</v>
      </c>
    </row>
    <row r="64" spans="1:41" ht="16.149999999999999" customHeight="1">
      <c r="A64" s="198">
        <v>58</v>
      </c>
      <c r="B64" s="199" t="s">
        <v>129</v>
      </c>
      <c r="C64" s="995">
        <v>0</v>
      </c>
      <c r="D64" s="201">
        <f>+'Table 5C1A-Madison Prep'!D64</f>
        <v>5673.1129637882123</v>
      </c>
      <c r="E64" s="202">
        <f t="shared" si="8"/>
        <v>0</v>
      </c>
      <c r="F64" s="202">
        <f>+'Table 5C1A-Madison Prep'!F64</f>
        <v>697.04</v>
      </c>
      <c r="G64" s="202">
        <f t="shared" si="9"/>
        <v>0</v>
      </c>
      <c r="H64" s="345">
        <f t="shared" si="10"/>
        <v>0</v>
      </c>
      <c r="I64" s="203">
        <f>'[1]Oct midyear Iberville'!K61</f>
        <v>0</v>
      </c>
      <c r="J64" s="203">
        <f>'[1]Feb midyear Iberville'!K61</f>
        <v>0</v>
      </c>
      <c r="K64" s="204">
        <f t="shared" si="11"/>
        <v>0</v>
      </c>
      <c r="L64" s="345">
        <f t="shared" si="12"/>
        <v>0</v>
      </c>
      <c r="M64" s="286">
        <f t="shared" si="4"/>
        <v>0</v>
      </c>
      <c r="N64" s="345">
        <f t="shared" si="13"/>
        <v>0</v>
      </c>
      <c r="O64" s="201">
        <v>0</v>
      </c>
      <c r="P64" s="351">
        <f t="shared" si="14"/>
        <v>0</v>
      </c>
      <c r="Q64" s="203">
        <f>(4*'[2]Table 5C1R-Iberville'!S64)+(4*'[3]Table 5C1R-Iberville'!S64)</f>
        <v>0</v>
      </c>
      <c r="R64" s="203">
        <f t="shared" si="15"/>
        <v>0</v>
      </c>
      <c r="S64" s="351">
        <f t="shared" si="30"/>
        <v>0</v>
      </c>
      <c r="T64" s="351">
        <f t="shared" si="16"/>
        <v>0</v>
      </c>
      <c r="U64" s="287">
        <f>'Table 5C1A-Madison Prep'!U64</f>
        <v>2167</v>
      </c>
      <c r="V64" s="328">
        <f t="shared" si="17"/>
        <v>0</v>
      </c>
      <c r="W64" s="289">
        <f>'[1]Oct midyear Iberville'!E61</f>
        <v>0</v>
      </c>
      <c r="X64" s="290">
        <f t="shared" si="18"/>
        <v>0</v>
      </c>
      <c r="Y64" s="289">
        <f>'[1]Feb midyear Iberville'!E61</f>
        <v>0</v>
      </c>
      <c r="Z64" s="290">
        <f t="shared" si="19"/>
        <v>0</v>
      </c>
      <c r="AA64" s="288">
        <f t="shared" si="20"/>
        <v>0</v>
      </c>
      <c r="AB64" s="324">
        <f t="shared" si="21"/>
        <v>0</v>
      </c>
      <c r="AC64" s="292">
        <f t="shared" si="22"/>
        <v>0</v>
      </c>
      <c r="AD64" s="324">
        <f t="shared" si="23"/>
        <v>0</v>
      </c>
      <c r="AE64" s="293">
        <v>0</v>
      </c>
      <c r="AF64" s="324">
        <f t="shared" si="24"/>
        <v>0</v>
      </c>
      <c r="AG64" s="293">
        <f>(4*'[2]Table 5C1R-Iberville'!AI64)+(4*'[3]Table 5C1R-Iberville'!AI64)</f>
        <v>0</v>
      </c>
      <c r="AH64" s="293">
        <f t="shared" si="25"/>
        <v>0</v>
      </c>
      <c r="AI64" s="324">
        <f t="shared" si="31"/>
        <v>0</v>
      </c>
      <c r="AJ64" s="321">
        <f t="shared" si="26"/>
        <v>0</v>
      </c>
      <c r="AK64" s="342">
        <f t="shared" si="27"/>
        <v>0</v>
      </c>
      <c r="AM64" s="286">
        <v>0</v>
      </c>
      <c r="AN64" s="286">
        <f t="shared" si="28"/>
        <v>0</v>
      </c>
      <c r="AO64" s="286">
        <f t="shared" si="29"/>
        <v>0</v>
      </c>
    </row>
    <row r="65" spans="1:41" ht="16.149999999999999" customHeight="1">
      <c r="A65" s="198">
        <v>59</v>
      </c>
      <c r="B65" s="199" t="s">
        <v>130</v>
      </c>
      <c r="C65" s="995">
        <v>0</v>
      </c>
      <c r="D65" s="201">
        <f>+'Table 5C1A-Madison Prep'!D65</f>
        <v>6621.946293521848</v>
      </c>
      <c r="E65" s="202">
        <f t="shared" si="8"/>
        <v>0</v>
      </c>
      <c r="F65" s="202">
        <f>+'Table 5C1A-Madison Prep'!F65</f>
        <v>689.52</v>
      </c>
      <c r="G65" s="202">
        <f t="shared" si="9"/>
        <v>0</v>
      </c>
      <c r="H65" s="345">
        <f t="shared" si="10"/>
        <v>0</v>
      </c>
      <c r="I65" s="203">
        <f>'[1]Oct midyear Iberville'!K62</f>
        <v>0</v>
      </c>
      <c r="J65" s="203">
        <f>'[1]Feb midyear Iberville'!K62</f>
        <v>0</v>
      </c>
      <c r="K65" s="204">
        <f t="shared" si="11"/>
        <v>0</v>
      </c>
      <c r="L65" s="345">
        <f t="shared" si="12"/>
        <v>0</v>
      </c>
      <c r="M65" s="286">
        <f t="shared" si="4"/>
        <v>0</v>
      </c>
      <c r="N65" s="345">
        <f t="shared" si="13"/>
        <v>0</v>
      </c>
      <c r="O65" s="201">
        <v>0</v>
      </c>
      <c r="P65" s="351">
        <f t="shared" si="14"/>
        <v>0</v>
      </c>
      <c r="Q65" s="203">
        <f>(4*'[2]Table 5C1R-Iberville'!S65)+(4*'[3]Table 5C1R-Iberville'!S65)</f>
        <v>0</v>
      </c>
      <c r="R65" s="203">
        <f t="shared" si="15"/>
        <v>0</v>
      </c>
      <c r="S65" s="351">
        <f t="shared" si="30"/>
        <v>0</v>
      </c>
      <c r="T65" s="351">
        <f t="shared" si="16"/>
        <v>0</v>
      </c>
      <c r="U65" s="287">
        <f>'Table 5C1A-Madison Prep'!U65</f>
        <v>1521</v>
      </c>
      <c r="V65" s="328">
        <f t="shared" si="17"/>
        <v>0</v>
      </c>
      <c r="W65" s="289">
        <f>'[1]Oct midyear Iberville'!E62</f>
        <v>0</v>
      </c>
      <c r="X65" s="290">
        <f t="shared" si="18"/>
        <v>0</v>
      </c>
      <c r="Y65" s="289">
        <f>'[1]Feb midyear Iberville'!E62</f>
        <v>0</v>
      </c>
      <c r="Z65" s="290">
        <f t="shared" si="19"/>
        <v>0</v>
      </c>
      <c r="AA65" s="288">
        <f t="shared" si="20"/>
        <v>0</v>
      </c>
      <c r="AB65" s="324">
        <f t="shared" si="21"/>
        <v>0</v>
      </c>
      <c r="AC65" s="292">
        <f t="shared" si="22"/>
        <v>0</v>
      </c>
      <c r="AD65" s="324">
        <f t="shared" si="23"/>
        <v>0</v>
      </c>
      <c r="AE65" s="293">
        <v>0</v>
      </c>
      <c r="AF65" s="324">
        <f t="shared" si="24"/>
        <v>0</v>
      </c>
      <c r="AG65" s="293">
        <f>(4*'[2]Table 5C1R-Iberville'!AI65)+(4*'[3]Table 5C1R-Iberville'!AI65)</f>
        <v>0</v>
      </c>
      <c r="AH65" s="293">
        <f t="shared" si="25"/>
        <v>0</v>
      </c>
      <c r="AI65" s="324">
        <f t="shared" si="31"/>
        <v>0</v>
      </c>
      <c r="AJ65" s="321">
        <f t="shared" si="26"/>
        <v>0</v>
      </c>
      <c r="AK65" s="342">
        <f t="shared" si="27"/>
        <v>0</v>
      </c>
      <c r="AM65" s="286">
        <v>0</v>
      </c>
      <c r="AN65" s="286">
        <f t="shared" si="28"/>
        <v>0</v>
      </c>
      <c r="AO65" s="286">
        <f t="shared" si="29"/>
        <v>0</v>
      </c>
    </row>
    <row r="66" spans="1:41" ht="16.149999999999999" customHeight="1">
      <c r="A66" s="191">
        <v>60</v>
      </c>
      <c r="B66" s="192" t="s">
        <v>131</v>
      </c>
      <c r="C66" s="996">
        <v>0</v>
      </c>
      <c r="D66" s="194">
        <f>+'Table 5C1A-Madison Prep'!D66</f>
        <v>5301.224090063828</v>
      </c>
      <c r="E66" s="195">
        <f t="shared" si="8"/>
        <v>0</v>
      </c>
      <c r="F66" s="195">
        <f>+'Table 5C1A-Madison Prep'!F66</f>
        <v>594.04</v>
      </c>
      <c r="G66" s="195">
        <f t="shared" si="9"/>
        <v>0</v>
      </c>
      <c r="H66" s="346">
        <f t="shared" si="10"/>
        <v>0</v>
      </c>
      <c r="I66" s="196">
        <f>'[1]Oct midyear Iberville'!K63</f>
        <v>0</v>
      </c>
      <c r="J66" s="196">
        <f>'[1]Feb midyear Iberville'!K63</f>
        <v>0</v>
      </c>
      <c r="K66" s="197">
        <f t="shared" si="11"/>
        <v>0</v>
      </c>
      <c r="L66" s="346">
        <f t="shared" si="12"/>
        <v>0</v>
      </c>
      <c r="M66" s="296">
        <f t="shared" si="4"/>
        <v>0</v>
      </c>
      <c r="N66" s="346">
        <f t="shared" si="13"/>
        <v>0</v>
      </c>
      <c r="O66" s="194">
        <v>0</v>
      </c>
      <c r="P66" s="352">
        <f t="shared" si="14"/>
        <v>0</v>
      </c>
      <c r="Q66" s="196">
        <f>(4*'[2]Table 5C1R-Iberville'!S66)+(4*'[3]Table 5C1R-Iberville'!S66)</f>
        <v>0</v>
      </c>
      <c r="R66" s="196">
        <f t="shared" si="15"/>
        <v>0</v>
      </c>
      <c r="S66" s="352">
        <f t="shared" si="30"/>
        <v>0</v>
      </c>
      <c r="T66" s="352">
        <f t="shared" si="16"/>
        <v>0</v>
      </c>
      <c r="U66" s="281">
        <f>'Table 5C1A-Madison Prep'!U66</f>
        <v>4024</v>
      </c>
      <c r="V66" s="329">
        <f t="shared" si="17"/>
        <v>0</v>
      </c>
      <c r="W66" s="884">
        <f>'[1]Oct midyear Iberville'!E63</f>
        <v>0</v>
      </c>
      <c r="X66" s="282">
        <f t="shared" si="18"/>
        <v>0</v>
      </c>
      <c r="Y66" s="884">
        <f>'[1]Feb midyear Iberville'!E63</f>
        <v>0</v>
      </c>
      <c r="Z66" s="282">
        <f t="shared" si="19"/>
        <v>0</v>
      </c>
      <c r="AA66" s="283">
        <f t="shared" si="20"/>
        <v>0</v>
      </c>
      <c r="AB66" s="325">
        <f t="shared" si="21"/>
        <v>0</v>
      </c>
      <c r="AC66" s="298">
        <f t="shared" si="22"/>
        <v>0</v>
      </c>
      <c r="AD66" s="325">
        <f t="shared" si="23"/>
        <v>0</v>
      </c>
      <c r="AE66" s="284">
        <v>0</v>
      </c>
      <c r="AF66" s="325">
        <f t="shared" si="24"/>
        <v>0</v>
      </c>
      <c r="AG66" s="284">
        <f>(4*'[2]Table 5C1R-Iberville'!AI66)+(4*'[3]Table 5C1R-Iberville'!AI66)</f>
        <v>0</v>
      </c>
      <c r="AH66" s="284">
        <f t="shared" si="25"/>
        <v>0</v>
      </c>
      <c r="AI66" s="325">
        <f t="shared" si="31"/>
        <v>0</v>
      </c>
      <c r="AJ66" s="338">
        <f t="shared" si="26"/>
        <v>0</v>
      </c>
      <c r="AK66" s="343">
        <f t="shared" si="27"/>
        <v>0</v>
      </c>
      <c r="AM66" s="296">
        <v>0</v>
      </c>
      <c r="AN66" s="296">
        <f t="shared" si="28"/>
        <v>0</v>
      </c>
      <c r="AO66" s="296">
        <f t="shared" si="29"/>
        <v>0</v>
      </c>
    </row>
    <row r="67" spans="1:41" ht="16.149999999999999" customHeight="1">
      <c r="A67" s="205">
        <v>61</v>
      </c>
      <c r="B67" s="206" t="s">
        <v>132</v>
      </c>
      <c r="C67" s="994">
        <v>0</v>
      </c>
      <c r="D67" s="208">
        <f>+'Table 5C1A-Madison Prep'!D67</f>
        <v>2854.1575356369185</v>
      </c>
      <c r="E67" s="209">
        <f t="shared" si="8"/>
        <v>0</v>
      </c>
      <c r="F67" s="209">
        <f>+'Table 5C1A-Madison Prep'!F67</f>
        <v>833.70999999999992</v>
      </c>
      <c r="G67" s="209">
        <f t="shared" si="9"/>
        <v>0</v>
      </c>
      <c r="H67" s="344">
        <f t="shared" si="10"/>
        <v>0</v>
      </c>
      <c r="I67" s="210">
        <f>'[1]Oct midyear Iberville'!K64</f>
        <v>47942.277963279943</v>
      </c>
      <c r="J67" s="210">
        <f>'[1]Feb midyear Iberville'!K64</f>
        <v>1843.9337678184593</v>
      </c>
      <c r="K67" s="211">
        <f t="shared" si="11"/>
        <v>49786.211731098403</v>
      </c>
      <c r="L67" s="344">
        <f t="shared" si="12"/>
        <v>49786.211731098403</v>
      </c>
      <c r="M67" s="273">
        <f t="shared" si="4"/>
        <v>-124.46552932774601</v>
      </c>
      <c r="N67" s="344">
        <f t="shared" si="13"/>
        <v>49661.746201770657</v>
      </c>
      <c r="O67" s="208">
        <v>0</v>
      </c>
      <c r="P67" s="350">
        <f t="shared" si="14"/>
        <v>49661.746201770657</v>
      </c>
      <c r="Q67" s="210">
        <f>(4*'[2]Table 5C1R-Iberville'!S67)+(4*'[3]Table 5C1R-Iberville'!S67)</f>
        <v>28816</v>
      </c>
      <c r="R67" s="210">
        <f t="shared" si="15"/>
        <v>20845.746201770657</v>
      </c>
      <c r="S67" s="350">
        <f t="shared" si="30"/>
        <v>5211</v>
      </c>
      <c r="T67" s="350">
        <f t="shared" si="16"/>
        <v>49661.746201770657</v>
      </c>
      <c r="U67" s="274">
        <f>'Table 5C1A-Madison Prep'!U67</f>
        <v>6739</v>
      </c>
      <c r="V67" s="327">
        <f t="shared" si="17"/>
        <v>0</v>
      </c>
      <c r="W67" s="883">
        <f>'[1]Oct midyear Iberville'!E64</f>
        <v>13</v>
      </c>
      <c r="X67" s="276">
        <f t="shared" si="18"/>
        <v>87607</v>
      </c>
      <c r="Y67" s="883">
        <f>'[1]Feb midyear Iberville'!E64</f>
        <v>1</v>
      </c>
      <c r="Z67" s="276">
        <f t="shared" si="19"/>
        <v>3369.5</v>
      </c>
      <c r="AA67" s="275">
        <f t="shared" si="20"/>
        <v>90976.5</v>
      </c>
      <c r="AB67" s="323">
        <f t="shared" si="21"/>
        <v>90976.5</v>
      </c>
      <c r="AC67" s="278">
        <f t="shared" si="22"/>
        <v>-227.44125</v>
      </c>
      <c r="AD67" s="323">
        <f t="shared" si="23"/>
        <v>90749.058749999997</v>
      </c>
      <c r="AE67" s="279">
        <v>0</v>
      </c>
      <c r="AF67" s="323">
        <f t="shared" si="24"/>
        <v>90749.058749999997</v>
      </c>
      <c r="AG67" s="279">
        <f>(4*'[2]Table 5C1R-Iberville'!AI67)+(4*'[3]Table 5C1R-Iberville'!AI67)</f>
        <v>52700</v>
      </c>
      <c r="AH67" s="279">
        <f t="shared" si="25"/>
        <v>38049.058749999997</v>
      </c>
      <c r="AI67" s="323">
        <f t="shared" si="31"/>
        <v>9512</v>
      </c>
      <c r="AJ67" s="337">
        <f t="shared" si="26"/>
        <v>140410.80495177064</v>
      </c>
      <c r="AK67" s="341">
        <f t="shared" si="27"/>
        <v>14723</v>
      </c>
      <c r="AM67" s="273">
        <v>-134.9</v>
      </c>
      <c r="AN67" s="273">
        <f t="shared" si="28"/>
        <v>-227.44125</v>
      </c>
      <c r="AO67" s="273">
        <f t="shared" si="29"/>
        <v>-92.541249999999991</v>
      </c>
    </row>
    <row r="68" spans="1:41" ht="16.149999999999999" customHeight="1">
      <c r="A68" s="198">
        <v>62</v>
      </c>
      <c r="B68" s="199" t="s">
        <v>133</v>
      </c>
      <c r="C68" s="995">
        <v>0</v>
      </c>
      <c r="D68" s="201">
        <f>+'Table 5C1A-Madison Prep'!D68</f>
        <v>5901.074538516008</v>
      </c>
      <c r="E68" s="202">
        <f t="shared" si="8"/>
        <v>0</v>
      </c>
      <c r="F68" s="202">
        <f>+'Table 5C1A-Madison Prep'!F68</f>
        <v>516.08000000000004</v>
      </c>
      <c r="G68" s="202">
        <f t="shared" si="9"/>
        <v>0</v>
      </c>
      <c r="H68" s="345">
        <f t="shared" si="10"/>
        <v>0</v>
      </c>
      <c r="I68" s="203">
        <f>'[1]Oct midyear Iberville'!K65</f>
        <v>0</v>
      </c>
      <c r="J68" s="203">
        <f>'[1]Feb midyear Iberville'!K65</f>
        <v>0</v>
      </c>
      <c r="K68" s="204">
        <f t="shared" si="11"/>
        <v>0</v>
      </c>
      <c r="L68" s="345">
        <f t="shared" si="12"/>
        <v>0</v>
      </c>
      <c r="M68" s="286">
        <f t="shared" si="4"/>
        <v>0</v>
      </c>
      <c r="N68" s="345">
        <f t="shared" si="13"/>
        <v>0</v>
      </c>
      <c r="O68" s="201">
        <v>0</v>
      </c>
      <c r="P68" s="351">
        <f t="shared" si="14"/>
        <v>0</v>
      </c>
      <c r="Q68" s="203">
        <f>(4*'[2]Table 5C1R-Iberville'!S68)+(4*'[3]Table 5C1R-Iberville'!S68)</f>
        <v>0</v>
      </c>
      <c r="R68" s="203">
        <f t="shared" si="15"/>
        <v>0</v>
      </c>
      <c r="S68" s="351">
        <f t="shared" si="30"/>
        <v>0</v>
      </c>
      <c r="T68" s="351">
        <f t="shared" si="16"/>
        <v>0</v>
      </c>
      <c r="U68" s="287">
        <f>'Table 5C1A-Madison Prep'!U68</f>
        <v>2089</v>
      </c>
      <c r="V68" s="328">
        <f t="shared" si="17"/>
        <v>0</v>
      </c>
      <c r="W68" s="289">
        <f>'[1]Oct midyear Iberville'!E65</f>
        <v>0</v>
      </c>
      <c r="X68" s="290">
        <f t="shared" si="18"/>
        <v>0</v>
      </c>
      <c r="Y68" s="289">
        <f>'[1]Feb midyear Iberville'!E65</f>
        <v>0</v>
      </c>
      <c r="Z68" s="290">
        <f t="shared" si="19"/>
        <v>0</v>
      </c>
      <c r="AA68" s="288">
        <f t="shared" si="20"/>
        <v>0</v>
      </c>
      <c r="AB68" s="324">
        <f t="shared" si="21"/>
        <v>0</v>
      </c>
      <c r="AC68" s="292">
        <f t="shared" si="22"/>
        <v>0</v>
      </c>
      <c r="AD68" s="324">
        <f t="shared" si="23"/>
        <v>0</v>
      </c>
      <c r="AE68" s="293">
        <v>0</v>
      </c>
      <c r="AF68" s="324">
        <f t="shared" si="24"/>
        <v>0</v>
      </c>
      <c r="AG68" s="293">
        <f>(4*'[2]Table 5C1R-Iberville'!AI68)+(4*'[3]Table 5C1R-Iberville'!AI68)</f>
        <v>0</v>
      </c>
      <c r="AH68" s="293">
        <f t="shared" si="25"/>
        <v>0</v>
      </c>
      <c r="AI68" s="324">
        <f t="shared" si="31"/>
        <v>0</v>
      </c>
      <c r="AJ68" s="321">
        <f t="shared" si="26"/>
        <v>0</v>
      </c>
      <c r="AK68" s="342">
        <f t="shared" si="27"/>
        <v>0</v>
      </c>
      <c r="AM68" s="286">
        <v>0</v>
      </c>
      <c r="AN68" s="286">
        <f t="shared" si="28"/>
        <v>0</v>
      </c>
      <c r="AO68" s="286">
        <f t="shared" si="29"/>
        <v>0</v>
      </c>
    </row>
    <row r="69" spans="1:41" ht="16.149999999999999" customHeight="1">
      <c r="A69" s="198">
        <v>63</v>
      </c>
      <c r="B69" s="199" t="s">
        <v>134</v>
      </c>
      <c r="C69" s="995">
        <v>0</v>
      </c>
      <c r="D69" s="201">
        <f>+'Table 5C1A-Madison Prep'!D69</f>
        <v>4124.3813481848092</v>
      </c>
      <c r="E69" s="202">
        <f t="shared" si="8"/>
        <v>0</v>
      </c>
      <c r="F69" s="202">
        <f>+'Table 5C1A-Madison Prep'!F69</f>
        <v>756.79</v>
      </c>
      <c r="G69" s="202">
        <f t="shared" si="9"/>
        <v>0</v>
      </c>
      <c r="H69" s="345">
        <f t="shared" si="10"/>
        <v>0</v>
      </c>
      <c r="I69" s="203">
        <f>'[1]Oct midyear Iberville'!K66</f>
        <v>0</v>
      </c>
      <c r="J69" s="203">
        <f>'[1]Feb midyear Iberville'!K66</f>
        <v>0</v>
      </c>
      <c r="K69" s="204">
        <f t="shared" si="11"/>
        <v>0</v>
      </c>
      <c r="L69" s="345">
        <f t="shared" si="12"/>
        <v>0</v>
      </c>
      <c r="M69" s="286">
        <f t="shared" si="4"/>
        <v>0</v>
      </c>
      <c r="N69" s="345">
        <f t="shared" si="13"/>
        <v>0</v>
      </c>
      <c r="O69" s="201">
        <v>0</v>
      </c>
      <c r="P69" s="351">
        <f t="shared" si="14"/>
        <v>0</v>
      </c>
      <c r="Q69" s="203">
        <f>(4*'[2]Table 5C1R-Iberville'!S69)+(4*'[3]Table 5C1R-Iberville'!S69)</f>
        <v>0</v>
      </c>
      <c r="R69" s="203">
        <f t="shared" si="15"/>
        <v>0</v>
      </c>
      <c r="S69" s="351">
        <f t="shared" si="30"/>
        <v>0</v>
      </c>
      <c r="T69" s="351">
        <f t="shared" si="16"/>
        <v>0</v>
      </c>
      <c r="U69" s="287">
        <f>'Table 5C1A-Madison Prep'!U69</f>
        <v>7403</v>
      </c>
      <c r="V69" s="328">
        <f t="shared" si="17"/>
        <v>0</v>
      </c>
      <c r="W69" s="289">
        <f>'[1]Oct midyear Iberville'!E66</f>
        <v>0</v>
      </c>
      <c r="X69" s="290">
        <f t="shared" si="18"/>
        <v>0</v>
      </c>
      <c r="Y69" s="289">
        <f>'[1]Feb midyear Iberville'!E66</f>
        <v>0</v>
      </c>
      <c r="Z69" s="290">
        <f t="shared" si="19"/>
        <v>0</v>
      </c>
      <c r="AA69" s="288">
        <f t="shared" si="20"/>
        <v>0</v>
      </c>
      <c r="AB69" s="324">
        <f t="shared" si="21"/>
        <v>0</v>
      </c>
      <c r="AC69" s="292">
        <f t="shared" si="22"/>
        <v>0</v>
      </c>
      <c r="AD69" s="324">
        <f t="shared" si="23"/>
        <v>0</v>
      </c>
      <c r="AE69" s="293">
        <v>0</v>
      </c>
      <c r="AF69" s="324">
        <f t="shared" si="24"/>
        <v>0</v>
      </c>
      <c r="AG69" s="293">
        <f>(4*'[2]Table 5C1R-Iberville'!AI69)+(4*'[3]Table 5C1R-Iberville'!AI69)</f>
        <v>0</v>
      </c>
      <c r="AH69" s="293">
        <f t="shared" si="25"/>
        <v>0</v>
      </c>
      <c r="AI69" s="324">
        <f t="shared" si="31"/>
        <v>0</v>
      </c>
      <c r="AJ69" s="321">
        <f t="shared" si="26"/>
        <v>0</v>
      </c>
      <c r="AK69" s="342">
        <f t="shared" si="27"/>
        <v>0</v>
      </c>
      <c r="AM69" s="286">
        <v>0</v>
      </c>
      <c r="AN69" s="286">
        <f t="shared" si="28"/>
        <v>0</v>
      </c>
      <c r="AO69" s="286">
        <f t="shared" si="29"/>
        <v>0</v>
      </c>
    </row>
    <row r="70" spans="1:41" ht="16.149999999999999" customHeight="1">
      <c r="A70" s="198">
        <v>64</v>
      </c>
      <c r="B70" s="199" t="s">
        <v>135</v>
      </c>
      <c r="C70" s="995">
        <v>0</v>
      </c>
      <c r="D70" s="201">
        <f>+'Table 5C1A-Madison Prep'!D70</f>
        <v>6277.8307532778254</v>
      </c>
      <c r="E70" s="202">
        <f t="shared" si="8"/>
        <v>0</v>
      </c>
      <c r="F70" s="202">
        <f>+'Table 5C1A-Madison Prep'!F70</f>
        <v>592.66</v>
      </c>
      <c r="G70" s="202">
        <f t="shared" si="9"/>
        <v>0</v>
      </c>
      <c r="H70" s="345">
        <f t="shared" si="10"/>
        <v>0</v>
      </c>
      <c r="I70" s="203">
        <f>'[1]Oct midyear Iberville'!K67</f>
        <v>0</v>
      </c>
      <c r="J70" s="203">
        <f>'[1]Feb midyear Iberville'!K67</f>
        <v>0</v>
      </c>
      <c r="K70" s="204">
        <f t="shared" si="11"/>
        <v>0</v>
      </c>
      <c r="L70" s="345">
        <f t="shared" si="12"/>
        <v>0</v>
      </c>
      <c r="M70" s="286">
        <f t="shared" si="4"/>
        <v>0</v>
      </c>
      <c r="N70" s="345">
        <f t="shared" si="13"/>
        <v>0</v>
      </c>
      <c r="O70" s="201">
        <v>0</v>
      </c>
      <c r="P70" s="351">
        <f t="shared" si="14"/>
        <v>0</v>
      </c>
      <c r="Q70" s="203">
        <f>(4*'[2]Table 5C1R-Iberville'!S70)+(4*'[3]Table 5C1R-Iberville'!S70)</f>
        <v>0</v>
      </c>
      <c r="R70" s="203">
        <f t="shared" si="15"/>
        <v>0</v>
      </c>
      <c r="S70" s="351">
        <f t="shared" si="30"/>
        <v>0</v>
      </c>
      <c r="T70" s="351">
        <f t="shared" si="16"/>
        <v>0</v>
      </c>
      <c r="U70" s="287">
        <f>'Table 5C1A-Madison Prep'!U70</f>
        <v>2802</v>
      </c>
      <c r="V70" s="328">
        <f t="shared" si="17"/>
        <v>0</v>
      </c>
      <c r="W70" s="289">
        <f>'[1]Oct midyear Iberville'!E67</f>
        <v>0</v>
      </c>
      <c r="X70" s="290">
        <f t="shared" si="18"/>
        <v>0</v>
      </c>
      <c r="Y70" s="289">
        <f>'[1]Feb midyear Iberville'!E67</f>
        <v>0</v>
      </c>
      <c r="Z70" s="290">
        <f t="shared" si="19"/>
        <v>0</v>
      </c>
      <c r="AA70" s="288">
        <f t="shared" si="20"/>
        <v>0</v>
      </c>
      <c r="AB70" s="324">
        <f t="shared" si="21"/>
        <v>0</v>
      </c>
      <c r="AC70" s="292">
        <f t="shared" si="22"/>
        <v>0</v>
      </c>
      <c r="AD70" s="324">
        <f t="shared" si="23"/>
        <v>0</v>
      </c>
      <c r="AE70" s="293">
        <v>0</v>
      </c>
      <c r="AF70" s="324">
        <f t="shared" si="24"/>
        <v>0</v>
      </c>
      <c r="AG70" s="293">
        <f>(4*'[2]Table 5C1R-Iberville'!AI70)+(4*'[3]Table 5C1R-Iberville'!AI70)</f>
        <v>0</v>
      </c>
      <c r="AH70" s="293">
        <f t="shared" si="25"/>
        <v>0</v>
      </c>
      <c r="AI70" s="324">
        <f t="shared" si="31"/>
        <v>0</v>
      </c>
      <c r="AJ70" s="321">
        <f t="shared" si="26"/>
        <v>0</v>
      </c>
      <c r="AK70" s="342">
        <f t="shared" si="27"/>
        <v>0</v>
      </c>
      <c r="AM70" s="286">
        <v>0</v>
      </c>
      <c r="AN70" s="286">
        <f t="shared" si="28"/>
        <v>0</v>
      </c>
      <c r="AO70" s="286">
        <f t="shared" si="29"/>
        <v>0</v>
      </c>
    </row>
    <row r="71" spans="1:41" ht="16.149999999999999" customHeight="1">
      <c r="A71" s="191">
        <v>65</v>
      </c>
      <c r="B71" s="192" t="s">
        <v>136</v>
      </c>
      <c r="C71" s="996">
        <v>0</v>
      </c>
      <c r="D71" s="194">
        <f>+'Table 5C1A-Madison Prep'!D71</f>
        <v>4775.1605543943642</v>
      </c>
      <c r="E71" s="195">
        <f t="shared" si="8"/>
        <v>0</v>
      </c>
      <c r="F71" s="195">
        <f>+'Table 5C1A-Madison Prep'!F71</f>
        <v>829.12</v>
      </c>
      <c r="G71" s="195">
        <f t="shared" si="9"/>
        <v>0</v>
      </c>
      <c r="H71" s="346">
        <f t="shared" si="10"/>
        <v>0</v>
      </c>
      <c r="I71" s="196">
        <f>'[1]Oct midyear Iberville'!K68</f>
        <v>0</v>
      </c>
      <c r="J71" s="196">
        <f>'[1]Feb midyear Iberville'!K68</f>
        <v>0</v>
      </c>
      <c r="K71" s="197">
        <f t="shared" si="11"/>
        <v>0</v>
      </c>
      <c r="L71" s="346">
        <f t="shared" si="12"/>
        <v>0</v>
      </c>
      <c r="M71" s="296">
        <f t="shared" ref="M71:M74" si="32">-(0.25%*L71)</f>
        <v>0</v>
      </c>
      <c r="N71" s="346">
        <f t="shared" si="13"/>
        <v>0</v>
      </c>
      <c r="O71" s="194">
        <v>0</v>
      </c>
      <c r="P71" s="352">
        <f t="shared" si="14"/>
        <v>0</v>
      </c>
      <c r="Q71" s="196">
        <f>(4*'[2]Table 5C1R-Iberville'!S71)+(4*'[3]Table 5C1R-Iberville'!S71)</f>
        <v>0</v>
      </c>
      <c r="R71" s="196">
        <f t="shared" si="15"/>
        <v>0</v>
      </c>
      <c r="S71" s="352">
        <f t="shared" ref="S71:S75" si="33">ROUND(R71/$S$88,0)</f>
        <v>0</v>
      </c>
      <c r="T71" s="352">
        <f t="shared" si="16"/>
        <v>0</v>
      </c>
      <c r="U71" s="281">
        <f>'Table 5C1A-Madison Prep'!U71</f>
        <v>5215</v>
      </c>
      <c r="V71" s="329">
        <f t="shared" si="17"/>
        <v>0</v>
      </c>
      <c r="W71" s="884">
        <f>'[1]Oct midyear Iberville'!E68</f>
        <v>0</v>
      </c>
      <c r="X71" s="282">
        <f t="shared" si="18"/>
        <v>0</v>
      </c>
      <c r="Y71" s="884">
        <f>'[1]Feb midyear Iberville'!E68</f>
        <v>0</v>
      </c>
      <c r="Z71" s="282">
        <f t="shared" si="19"/>
        <v>0</v>
      </c>
      <c r="AA71" s="283">
        <f t="shared" si="20"/>
        <v>0</v>
      </c>
      <c r="AB71" s="325">
        <f t="shared" si="21"/>
        <v>0</v>
      </c>
      <c r="AC71" s="298">
        <f t="shared" si="22"/>
        <v>0</v>
      </c>
      <c r="AD71" s="325">
        <f t="shared" si="23"/>
        <v>0</v>
      </c>
      <c r="AE71" s="284">
        <v>0</v>
      </c>
      <c r="AF71" s="325">
        <f t="shared" si="24"/>
        <v>0</v>
      </c>
      <c r="AG71" s="284">
        <f>(4*'[2]Table 5C1R-Iberville'!AI71)+(4*'[3]Table 5C1R-Iberville'!AI71)</f>
        <v>0</v>
      </c>
      <c r="AH71" s="284">
        <f t="shared" si="25"/>
        <v>0</v>
      </c>
      <c r="AI71" s="325">
        <f t="shared" ref="AI71:AI75" si="34">ROUND(AH71/$AI$88,0)</f>
        <v>0</v>
      </c>
      <c r="AJ71" s="338">
        <f t="shared" si="26"/>
        <v>0</v>
      </c>
      <c r="AK71" s="343">
        <f t="shared" si="27"/>
        <v>0</v>
      </c>
      <c r="AM71" s="296">
        <v>0</v>
      </c>
      <c r="AN71" s="296">
        <f t="shared" si="28"/>
        <v>0</v>
      </c>
      <c r="AO71" s="296">
        <f t="shared" si="29"/>
        <v>0</v>
      </c>
    </row>
    <row r="72" spans="1:41" ht="16.149999999999999" customHeight="1">
      <c r="A72" s="205">
        <v>66</v>
      </c>
      <c r="B72" s="206" t="s">
        <v>137</v>
      </c>
      <c r="C72" s="994">
        <v>0</v>
      </c>
      <c r="D72" s="208">
        <f>+'Table 5C1A-Madison Prep'!D72</f>
        <v>6564.0085433910035</v>
      </c>
      <c r="E72" s="209">
        <f t="shared" ref="E72:E75" si="35">C72*D72</f>
        <v>0</v>
      </c>
      <c r="F72" s="209">
        <f>+'Table 5C1A-Madison Prep'!F72</f>
        <v>730.06</v>
      </c>
      <c r="G72" s="209">
        <f t="shared" ref="G72:G75" si="36">C72*F72</f>
        <v>0</v>
      </c>
      <c r="H72" s="344">
        <f t="shared" ref="H72:H75" si="37">E72+G72</f>
        <v>0</v>
      </c>
      <c r="I72" s="210">
        <f>'[1]Oct midyear Iberville'!K69</f>
        <v>0</v>
      </c>
      <c r="J72" s="210">
        <f>'[1]Feb midyear Iberville'!K69</f>
        <v>0</v>
      </c>
      <c r="K72" s="211">
        <f t="shared" ref="K72:K75" si="38">I72+J72</f>
        <v>0</v>
      </c>
      <c r="L72" s="344">
        <f t="shared" ref="L72:L75" si="39">+H72+K72</f>
        <v>0</v>
      </c>
      <c r="M72" s="273">
        <f t="shared" si="32"/>
        <v>0</v>
      </c>
      <c r="N72" s="344">
        <f t="shared" ref="N72:N75" si="40">SUM(L72:M72)</f>
        <v>0</v>
      </c>
      <c r="O72" s="208">
        <v>0</v>
      </c>
      <c r="P72" s="350">
        <f t="shared" ref="P72:P75" si="41">SUM(N72:O72)</f>
        <v>0</v>
      </c>
      <c r="Q72" s="210">
        <f>(4*'[2]Table 5C1R-Iberville'!S72)+(4*'[3]Table 5C1R-Iberville'!S72)</f>
        <v>0</v>
      </c>
      <c r="R72" s="210">
        <f t="shared" ref="R72:R75" si="42">+P72-Q72</f>
        <v>0</v>
      </c>
      <c r="S72" s="350">
        <f t="shared" si="33"/>
        <v>0</v>
      </c>
      <c r="T72" s="350">
        <f t="shared" ref="T72:T75" si="43">+P72</f>
        <v>0</v>
      </c>
      <c r="U72" s="274">
        <f>'Table 5C1A-Madison Prep'!U72</f>
        <v>3609</v>
      </c>
      <c r="V72" s="327">
        <f t="shared" ref="V72:V75" si="44">C72*U72</f>
        <v>0</v>
      </c>
      <c r="W72" s="883">
        <f>'[1]Oct midyear Iberville'!E69</f>
        <v>0</v>
      </c>
      <c r="X72" s="276">
        <f t="shared" ref="X72:X75" si="45">+U72*W72</f>
        <v>0</v>
      </c>
      <c r="Y72" s="883">
        <f>'[1]Feb midyear Iberville'!E69</f>
        <v>0</v>
      </c>
      <c r="Z72" s="276">
        <f t="shared" ref="Z72:Z75" si="46">+U72*Y72*0.5</f>
        <v>0</v>
      </c>
      <c r="AA72" s="275">
        <f t="shared" ref="AA72:AA75" si="47">+X72+Z72</f>
        <v>0</v>
      </c>
      <c r="AB72" s="323">
        <f t="shared" ref="AB72:AB75" si="48">+V72+AA72</f>
        <v>0</v>
      </c>
      <c r="AC72" s="278">
        <f t="shared" ref="AC72:AC75" si="49">-(0.25%*AB72)</f>
        <v>0</v>
      </c>
      <c r="AD72" s="323">
        <f t="shared" ref="AD72:AD75" si="50">SUM(AB72:AC72)</f>
        <v>0</v>
      </c>
      <c r="AE72" s="279">
        <v>0</v>
      </c>
      <c r="AF72" s="323">
        <f t="shared" ref="AF72:AF75" si="51">SUM(AD72:AE72)</f>
        <v>0</v>
      </c>
      <c r="AG72" s="279">
        <f>(4*'[2]Table 5C1R-Iberville'!AI72)+(4*'[3]Table 5C1R-Iberville'!AI72)</f>
        <v>0</v>
      </c>
      <c r="AH72" s="279">
        <f t="shared" ref="AH72:AH75" si="52">+AF72-AG72</f>
        <v>0</v>
      </c>
      <c r="AI72" s="323">
        <f t="shared" si="34"/>
        <v>0</v>
      </c>
      <c r="AJ72" s="337">
        <f t="shared" ref="AJ72:AJ75" si="53">T72+AF72</f>
        <v>0</v>
      </c>
      <c r="AK72" s="341">
        <f t="shared" ref="AK72:AK75" si="54">S72+AI72</f>
        <v>0</v>
      </c>
      <c r="AM72" s="310">
        <v>0</v>
      </c>
      <c r="AN72" s="310">
        <f t="shared" ref="AN72:AN75" si="55">+AC72</f>
        <v>0</v>
      </c>
      <c r="AO72" s="310">
        <f t="shared" si="29"/>
        <v>0</v>
      </c>
    </row>
    <row r="73" spans="1:41" ht="16.149999999999999" customHeight="1">
      <c r="A73" s="198">
        <v>67</v>
      </c>
      <c r="B73" s="199" t="s">
        <v>28</v>
      </c>
      <c r="C73" s="995">
        <v>0</v>
      </c>
      <c r="D73" s="201">
        <f>+'Table 5C1A-Madison Prep'!D73</f>
        <v>5029.1467736134118</v>
      </c>
      <c r="E73" s="202">
        <f t="shared" si="35"/>
        <v>0</v>
      </c>
      <c r="F73" s="202">
        <f>+'Table 5C1A-Madison Prep'!F73</f>
        <v>715.61</v>
      </c>
      <c r="G73" s="202">
        <f t="shared" si="36"/>
        <v>0</v>
      </c>
      <c r="H73" s="345">
        <f t="shared" si="37"/>
        <v>0</v>
      </c>
      <c r="I73" s="203">
        <f>'[1]Oct midyear Iberville'!K70</f>
        <v>0</v>
      </c>
      <c r="J73" s="203">
        <f>'[1]Feb midyear Iberville'!K70</f>
        <v>0</v>
      </c>
      <c r="K73" s="204">
        <f t="shared" si="38"/>
        <v>0</v>
      </c>
      <c r="L73" s="345">
        <f t="shared" si="39"/>
        <v>0</v>
      </c>
      <c r="M73" s="286">
        <f t="shared" si="32"/>
        <v>0</v>
      </c>
      <c r="N73" s="345">
        <f t="shared" si="40"/>
        <v>0</v>
      </c>
      <c r="O73" s="201">
        <v>0</v>
      </c>
      <c r="P73" s="351">
        <f t="shared" si="41"/>
        <v>0</v>
      </c>
      <c r="Q73" s="203">
        <f>(4*'[2]Table 5C1R-Iberville'!S73)+(4*'[3]Table 5C1R-Iberville'!S73)</f>
        <v>0</v>
      </c>
      <c r="R73" s="203">
        <f t="shared" si="42"/>
        <v>0</v>
      </c>
      <c r="S73" s="351">
        <f t="shared" si="33"/>
        <v>0</v>
      </c>
      <c r="T73" s="351">
        <f t="shared" si="43"/>
        <v>0</v>
      </c>
      <c r="U73" s="287">
        <f>'Table 5C1A-Madison Prep'!U73</f>
        <v>5069</v>
      </c>
      <c r="V73" s="328">
        <f t="shared" si="44"/>
        <v>0</v>
      </c>
      <c r="W73" s="289">
        <f>'[1]Oct midyear Iberville'!E70</f>
        <v>0</v>
      </c>
      <c r="X73" s="290">
        <f t="shared" si="45"/>
        <v>0</v>
      </c>
      <c r="Y73" s="289">
        <f>'[1]Feb midyear Iberville'!E70</f>
        <v>0</v>
      </c>
      <c r="Z73" s="290">
        <f t="shared" si="46"/>
        <v>0</v>
      </c>
      <c r="AA73" s="288">
        <f t="shared" si="47"/>
        <v>0</v>
      </c>
      <c r="AB73" s="324">
        <f t="shared" si="48"/>
        <v>0</v>
      </c>
      <c r="AC73" s="292">
        <f t="shared" si="49"/>
        <v>0</v>
      </c>
      <c r="AD73" s="324">
        <f t="shared" si="50"/>
        <v>0</v>
      </c>
      <c r="AE73" s="293">
        <v>0</v>
      </c>
      <c r="AF73" s="324">
        <f t="shared" si="51"/>
        <v>0</v>
      </c>
      <c r="AG73" s="293">
        <f>(4*'[2]Table 5C1R-Iberville'!AI73)+(4*'[3]Table 5C1R-Iberville'!AI73)</f>
        <v>0</v>
      </c>
      <c r="AH73" s="293">
        <f t="shared" si="52"/>
        <v>0</v>
      </c>
      <c r="AI73" s="324">
        <f t="shared" si="34"/>
        <v>0</v>
      </c>
      <c r="AJ73" s="321">
        <f t="shared" si="53"/>
        <v>0</v>
      </c>
      <c r="AK73" s="342">
        <f t="shared" si="54"/>
        <v>0</v>
      </c>
      <c r="AM73" s="310">
        <v>0</v>
      </c>
      <c r="AN73" s="310">
        <f t="shared" si="55"/>
        <v>0</v>
      </c>
      <c r="AO73" s="310">
        <f t="shared" si="29"/>
        <v>0</v>
      </c>
    </row>
    <row r="74" spans="1:41" ht="16.149999999999999" customHeight="1">
      <c r="A74" s="198">
        <v>68</v>
      </c>
      <c r="B74" s="199" t="s">
        <v>27</v>
      </c>
      <c r="C74" s="995">
        <v>0</v>
      </c>
      <c r="D74" s="201">
        <f>+'Table 5C1A-Madison Prep'!D74</f>
        <v>6390.1644202560601</v>
      </c>
      <c r="E74" s="202">
        <f t="shared" si="35"/>
        <v>0</v>
      </c>
      <c r="F74" s="202">
        <f>+'Table 5C1A-Madison Prep'!F74</f>
        <v>798.7</v>
      </c>
      <c r="G74" s="202">
        <f t="shared" si="36"/>
        <v>0</v>
      </c>
      <c r="H74" s="345">
        <f t="shared" si="37"/>
        <v>0</v>
      </c>
      <c r="I74" s="203">
        <f>'[1]Oct midyear Iberville'!K71</f>
        <v>0</v>
      </c>
      <c r="J74" s="203">
        <f>'[1]Feb midyear Iberville'!K71</f>
        <v>0</v>
      </c>
      <c r="K74" s="204">
        <f t="shared" si="38"/>
        <v>0</v>
      </c>
      <c r="L74" s="345">
        <f t="shared" si="39"/>
        <v>0</v>
      </c>
      <c r="M74" s="286">
        <f t="shared" si="32"/>
        <v>0</v>
      </c>
      <c r="N74" s="345">
        <f t="shared" si="40"/>
        <v>0</v>
      </c>
      <c r="O74" s="201">
        <v>0</v>
      </c>
      <c r="P74" s="351">
        <f t="shared" si="41"/>
        <v>0</v>
      </c>
      <c r="Q74" s="203">
        <f>(4*'[2]Table 5C1R-Iberville'!S74)+(4*'[3]Table 5C1R-Iberville'!S74)</f>
        <v>0</v>
      </c>
      <c r="R74" s="203">
        <f t="shared" si="42"/>
        <v>0</v>
      </c>
      <c r="S74" s="351">
        <f t="shared" si="33"/>
        <v>0</v>
      </c>
      <c r="T74" s="351">
        <f t="shared" si="43"/>
        <v>0</v>
      </c>
      <c r="U74" s="287">
        <f>'Table 5C1A-Madison Prep'!U74</f>
        <v>2880</v>
      </c>
      <c r="V74" s="328">
        <f t="shared" si="44"/>
        <v>0</v>
      </c>
      <c r="W74" s="289">
        <f>'[1]Oct midyear Iberville'!E71</f>
        <v>0</v>
      </c>
      <c r="X74" s="290">
        <f t="shared" si="45"/>
        <v>0</v>
      </c>
      <c r="Y74" s="289">
        <f>'[1]Feb midyear Iberville'!E71</f>
        <v>0</v>
      </c>
      <c r="Z74" s="290">
        <f t="shared" si="46"/>
        <v>0</v>
      </c>
      <c r="AA74" s="288">
        <f t="shared" si="47"/>
        <v>0</v>
      </c>
      <c r="AB74" s="324">
        <f t="shared" si="48"/>
        <v>0</v>
      </c>
      <c r="AC74" s="292">
        <f t="shared" si="49"/>
        <v>0</v>
      </c>
      <c r="AD74" s="324">
        <f t="shared" si="50"/>
        <v>0</v>
      </c>
      <c r="AE74" s="293">
        <v>0</v>
      </c>
      <c r="AF74" s="324">
        <f t="shared" si="51"/>
        <v>0</v>
      </c>
      <c r="AG74" s="293">
        <f>(4*'[2]Table 5C1R-Iberville'!AI74)+(4*'[3]Table 5C1R-Iberville'!AI74)</f>
        <v>0</v>
      </c>
      <c r="AH74" s="293">
        <f t="shared" si="52"/>
        <v>0</v>
      </c>
      <c r="AI74" s="324">
        <f t="shared" si="34"/>
        <v>0</v>
      </c>
      <c r="AJ74" s="321">
        <f t="shared" si="53"/>
        <v>0</v>
      </c>
      <c r="AK74" s="342">
        <f t="shared" si="54"/>
        <v>0</v>
      </c>
      <c r="AM74" s="310">
        <v>0</v>
      </c>
      <c r="AN74" s="310">
        <f t="shared" si="55"/>
        <v>0</v>
      </c>
      <c r="AO74" s="310">
        <f t="shared" si="29"/>
        <v>0</v>
      </c>
    </row>
    <row r="75" spans="1:41" ht="16.149999999999999" customHeight="1">
      <c r="A75" s="198">
        <v>69</v>
      </c>
      <c r="B75" s="199" t="s">
        <v>147</v>
      </c>
      <c r="C75" s="995">
        <v>0</v>
      </c>
      <c r="D75" s="201">
        <f>+'Table 5C1A-Madison Prep'!D75</f>
        <v>5722.4947921281337</v>
      </c>
      <c r="E75" s="202">
        <f t="shared" si="35"/>
        <v>0</v>
      </c>
      <c r="F75" s="202">
        <f>+'Table 5C1A-Madison Prep'!F75</f>
        <v>705.67</v>
      </c>
      <c r="G75" s="202">
        <f t="shared" si="36"/>
        <v>0</v>
      </c>
      <c r="H75" s="345">
        <f t="shared" si="37"/>
        <v>0</v>
      </c>
      <c r="I75" s="203">
        <f>'[1]Oct midyear Iberville'!K72</f>
        <v>0</v>
      </c>
      <c r="J75" s="203">
        <f>'[1]Feb midyear Iberville'!K72</f>
        <v>0</v>
      </c>
      <c r="K75" s="204">
        <f t="shared" si="38"/>
        <v>0</v>
      </c>
      <c r="L75" s="345">
        <f t="shared" si="39"/>
        <v>0</v>
      </c>
      <c r="M75" s="286">
        <f>-(0.25%*L75)</f>
        <v>0</v>
      </c>
      <c r="N75" s="345">
        <f t="shared" si="40"/>
        <v>0</v>
      </c>
      <c r="O75" s="201">
        <v>0</v>
      </c>
      <c r="P75" s="351">
        <f t="shared" si="41"/>
        <v>0</v>
      </c>
      <c r="Q75" s="203">
        <f>(4*'[2]Table 5C1R-Iberville'!S75)+(4*'[3]Table 5C1R-Iberville'!S75)</f>
        <v>0</v>
      </c>
      <c r="R75" s="203">
        <f t="shared" si="42"/>
        <v>0</v>
      </c>
      <c r="S75" s="351">
        <f t="shared" si="33"/>
        <v>0</v>
      </c>
      <c r="T75" s="351">
        <f t="shared" si="43"/>
        <v>0</v>
      </c>
      <c r="U75" s="287">
        <f>'Table 5C1A-Madison Prep'!U75</f>
        <v>3330</v>
      </c>
      <c r="V75" s="328">
        <f t="shared" si="44"/>
        <v>0</v>
      </c>
      <c r="W75" s="289">
        <f>'[1]Oct midyear Iberville'!E72</f>
        <v>0</v>
      </c>
      <c r="X75" s="290">
        <f t="shared" si="45"/>
        <v>0</v>
      </c>
      <c r="Y75" s="289">
        <f>'[1]Feb midyear Iberville'!E72</f>
        <v>0</v>
      </c>
      <c r="Z75" s="290">
        <f t="shared" si="46"/>
        <v>0</v>
      </c>
      <c r="AA75" s="288">
        <f t="shared" si="47"/>
        <v>0</v>
      </c>
      <c r="AB75" s="324">
        <f t="shared" si="48"/>
        <v>0</v>
      </c>
      <c r="AC75" s="292">
        <f t="shared" si="49"/>
        <v>0</v>
      </c>
      <c r="AD75" s="324">
        <f t="shared" si="50"/>
        <v>0</v>
      </c>
      <c r="AE75" s="293">
        <v>0</v>
      </c>
      <c r="AF75" s="324">
        <f t="shared" si="51"/>
        <v>0</v>
      </c>
      <c r="AG75" s="293">
        <f>(4*'[2]Table 5C1R-Iberville'!AI75)+(4*'[3]Table 5C1R-Iberville'!AI75)</f>
        <v>0</v>
      </c>
      <c r="AH75" s="293">
        <f t="shared" si="52"/>
        <v>0</v>
      </c>
      <c r="AI75" s="324">
        <f t="shared" si="34"/>
        <v>0</v>
      </c>
      <c r="AJ75" s="321">
        <f t="shared" si="53"/>
        <v>0</v>
      </c>
      <c r="AK75" s="342">
        <f t="shared" si="54"/>
        <v>0</v>
      </c>
      <c r="AM75" s="300">
        <v>0</v>
      </c>
      <c r="AN75" s="300">
        <f t="shared" si="55"/>
        <v>0</v>
      </c>
      <c r="AO75" s="300">
        <f t="shared" si="29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0</v>
      </c>
      <c r="D76" s="28">
        <f>+'Table 5C1A-Madison Prep'!D76</f>
        <v>4479.9292126977662</v>
      </c>
      <c r="E76" s="35">
        <f>SUM(E7:E75)</f>
        <v>0</v>
      </c>
      <c r="F76" s="35">
        <f>+'Table 5C1A-Madison Prep'!F76</f>
        <v>704.64781030742063</v>
      </c>
      <c r="G76" s="35">
        <f>SUM(G7:G75)</f>
        <v>0</v>
      </c>
      <c r="H76" s="348">
        <f>SUM(H7:H75)</f>
        <v>0</v>
      </c>
      <c r="I76" s="70">
        <f>SUM(I7:I75)</f>
        <v>957805.06114985724</v>
      </c>
      <c r="J76" s="70">
        <f>SUM(J7:J75)</f>
        <v>-6430.1170126237494</v>
      </c>
      <c r="K76" s="56">
        <f t="shared" ref="K76:T76" si="56">SUM(K7:K75)</f>
        <v>951374.94413723331</v>
      </c>
      <c r="L76" s="364">
        <f t="shared" si="56"/>
        <v>951374.94413723331</v>
      </c>
      <c r="M76" s="36">
        <f t="shared" si="56"/>
        <v>-2378.4373603430836</v>
      </c>
      <c r="N76" s="348">
        <f t="shared" si="56"/>
        <v>948996.50677689037</v>
      </c>
      <c r="O76" s="28">
        <f t="shared" si="56"/>
        <v>0</v>
      </c>
      <c r="P76" s="354">
        <f t="shared" si="56"/>
        <v>948996.50677689037</v>
      </c>
      <c r="Q76" s="70">
        <f t="shared" si="56"/>
        <v>711128</v>
      </c>
      <c r="R76" s="70">
        <f t="shared" si="56"/>
        <v>237868.50677689037</v>
      </c>
      <c r="S76" s="354">
        <f t="shared" si="56"/>
        <v>59467</v>
      </c>
      <c r="T76" s="354">
        <f t="shared" si="56"/>
        <v>948996.50677689037</v>
      </c>
      <c r="U76" s="83"/>
      <c r="V76" s="330">
        <f t="shared" ref="V76:AK76" si="57">SUM(V7:V75)</f>
        <v>0</v>
      </c>
      <c r="W76" s="74">
        <f t="shared" si="57"/>
        <v>274</v>
      </c>
      <c r="X76" s="75">
        <f t="shared" si="57"/>
        <v>2948352</v>
      </c>
      <c r="Y76" s="74">
        <f t="shared" si="57"/>
        <v>-3</v>
      </c>
      <c r="Z76" s="75">
        <f t="shared" si="57"/>
        <v>-12073.5</v>
      </c>
      <c r="AA76" s="63">
        <f t="shared" si="57"/>
        <v>2936278.5</v>
      </c>
      <c r="AB76" s="332">
        <f t="shared" si="57"/>
        <v>2936278.5</v>
      </c>
      <c r="AC76" s="37">
        <f t="shared" si="57"/>
        <v>-7340.69625</v>
      </c>
      <c r="AD76" s="330">
        <f t="shared" si="57"/>
        <v>2928937.80375</v>
      </c>
      <c r="AE76" s="85">
        <f t="shared" si="57"/>
        <v>0</v>
      </c>
      <c r="AF76" s="330">
        <f t="shared" si="57"/>
        <v>2928937.80375</v>
      </c>
      <c r="AG76" s="75">
        <f t="shared" si="57"/>
        <v>1997396</v>
      </c>
      <c r="AH76" s="75">
        <f t="shared" si="57"/>
        <v>931541.80375000008</v>
      </c>
      <c r="AI76" s="330">
        <f t="shared" si="57"/>
        <v>232885</v>
      </c>
      <c r="AJ76" s="339">
        <f t="shared" si="57"/>
        <v>3877934.3105268902</v>
      </c>
      <c r="AK76" s="339">
        <f t="shared" si="57"/>
        <v>292352</v>
      </c>
      <c r="AM76" s="36">
        <f>SUM(AM7:AM75)</f>
        <v>-9841.119999999999</v>
      </c>
      <c r="AN76" s="36">
        <f>SUM(AN7:AN75)</f>
        <v>-7340.69625</v>
      </c>
      <c r="AO76" s="36">
        <f>SUM(AO7:AO75)</f>
        <v>2500.4237499999999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4'!$E108</f>
        <v>0</v>
      </c>
      <c r="Q77" s="222">
        <f>(4*'[2]Table 5C1R-Iberville'!S77)+(4*'[3]Table 5C1R-Iberville'!S77)</f>
        <v>0</v>
      </c>
      <c r="R77" s="222">
        <f t="shared" ref="R77" si="58">+P77-Q77</f>
        <v>0</v>
      </c>
      <c r="S77" s="295">
        <f t="shared" ref="S77:S81" si="59">ROUND(R77/$S$88,0)</f>
        <v>0</v>
      </c>
      <c r="T77" s="295">
        <f>'Table 4 Level 4'!$E108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60">T77+AF77</f>
        <v>0</v>
      </c>
      <c r="AK77" s="321">
        <f t="shared" ref="AK77:AK81" si="61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4'!$J108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60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4'!$L108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60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4'!$M108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60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4'!O108</f>
        <v>0</v>
      </c>
      <c r="Q81" s="217">
        <f>(4*'[2]Table 5C1R-Iberville'!S81)+(4*'[3]Table 5C1R-Iberville'!S81)</f>
        <v>0</v>
      </c>
      <c r="R81" s="217">
        <f t="shared" ref="R81" si="62">+P81-Q81</f>
        <v>0</v>
      </c>
      <c r="S81" s="353">
        <f t="shared" si="59"/>
        <v>0</v>
      </c>
      <c r="T81" s="353">
        <f>P81</f>
        <v>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60"/>
        <v>0</v>
      </c>
      <c r="AK81" s="322">
        <f t="shared" si="61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0</v>
      </c>
      <c r="D82" s="128">
        <f t="shared" ref="D82:AK82" si="63">SUM(D76:D81)</f>
        <v>4479.9292126977662</v>
      </c>
      <c r="E82" s="128">
        <f t="shared" si="63"/>
        <v>0</v>
      </c>
      <c r="F82" s="128">
        <f t="shared" si="63"/>
        <v>704.64781030742063</v>
      </c>
      <c r="G82" s="128">
        <f t="shared" si="63"/>
        <v>0</v>
      </c>
      <c r="H82" s="128">
        <f t="shared" si="63"/>
        <v>0</v>
      </c>
      <c r="I82" s="133">
        <f t="shared" si="63"/>
        <v>957805.06114985724</v>
      </c>
      <c r="J82" s="133">
        <f t="shared" si="63"/>
        <v>-6430.1170126237494</v>
      </c>
      <c r="K82" s="133">
        <f t="shared" si="63"/>
        <v>951374.94413723331</v>
      </c>
      <c r="L82" s="128">
        <f t="shared" si="63"/>
        <v>951374.94413723331</v>
      </c>
      <c r="M82" s="133">
        <f t="shared" si="63"/>
        <v>-2378.4373603430836</v>
      </c>
      <c r="N82" s="128">
        <f t="shared" si="63"/>
        <v>948996.50677689037</v>
      </c>
      <c r="O82" s="128">
        <f t="shared" si="63"/>
        <v>0</v>
      </c>
      <c r="P82" s="355">
        <f t="shared" si="63"/>
        <v>948996.50677689037</v>
      </c>
      <c r="Q82" s="133">
        <f t="shared" si="63"/>
        <v>711128</v>
      </c>
      <c r="R82" s="133">
        <f t="shared" si="63"/>
        <v>237868.50677689037</v>
      </c>
      <c r="S82" s="355">
        <f t="shared" si="63"/>
        <v>59467</v>
      </c>
      <c r="T82" s="355">
        <f t="shared" si="63"/>
        <v>948996.50677689037</v>
      </c>
      <c r="U82" s="137">
        <f t="shared" si="63"/>
        <v>0</v>
      </c>
      <c r="V82" s="134">
        <f t="shared" si="63"/>
        <v>0</v>
      </c>
      <c r="W82" s="136">
        <f t="shared" si="63"/>
        <v>274</v>
      </c>
      <c r="X82" s="134">
        <f t="shared" si="63"/>
        <v>2948352</v>
      </c>
      <c r="Y82" s="136">
        <f t="shared" si="63"/>
        <v>-3</v>
      </c>
      <c r="Z82" s="134">
        <f t="shared" si="63"/>
        <v>-12073.5</v>
      </c>
      <c r="AA82" s="134">
        <f t="shared" si="63"/>
        <v>2936278.5</v>
      </c>
      <c r="AB82" s="134">
        <f t="shared" si="63"/>
        <v>2936278.5</v>
      </c>
      <c r="AC82" s="134">
        <f t="shared" si="63"/>
        <v>-7340.69625</v>
      </c>
      <c r="AD82" s="134">
        <f t="shared" si="63"/>
        <v>2928937.80375</v>
      </c>
      <c r="AE82" s="134">
        <f t="shared" si="63"/>
        <v>0</v>
      </c>
      <c r="AF82" s="134">
        <f t="shared" si="63"/>
        <v>2928937.80375</v>
      </c>
      <c r="AG82" s="134">
        <f t="shared" si="63"/>
        <v>1997396</v>
      </c>
      <c r="AH82" s="134">
        <f t="shared" si="63"/>
        <v>931541.80375000008</v>
      </c>
      <c r="AI82" s="134">
        <f t="shared" si="63"/>
        <v>232885</v>
      </c>
      <c r="AJ82" s="320">
        <f t="shared" si="63"/>
        <v>3877934.3105268902</v>
      </c>
      <c r="AK82" s="320">
        <f t="shared" si="63"/>
        <v>292352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-3510.0679819756401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1131.6306216325565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4">
    <mergeCell ref="C1:L1"/>
    <mergeCell ref="U1:AB1"/>
    <mergeCell ref="Y3:Y4"/>
    <mergeCell ref="Z3:Z4"/>
    <mergeCell ref="AB3:AB4"/>
    <mergeCell ref="M1:T1"/>
    <mergeCell ref="W2:AA2"/>
    <mergeCell ref="AG3:AG4"/>
    <mergeCell ref="AH3:AH4"/>
    <mergeCell ref="AI3:AI4"/>
    <mergeCell ref="AF3:AF4"/>
    <mergeCell ref="X3:X4"/>
    <mergeCell ref="AK1:AK4"/>
    <mergeCell ref="I2:K2"/>
    <mergeCell ref="C3:C4"/>
    <mergeCell ref="D3:D4"/>
    <mergeCell ref="E3:E4"/>
    <mergeCell ref="U3:U4"/>
    <mergeCell ref="F3:F4"/>
    <mergeCell ref="G3:G4"/>
    <mergeCell ref="H3:H4"/>
    <mergeCell ref="I3:I4"/>
    <mergeCell ref="J3:J4"/>
    <mergeCell ref="K3:K4"/>
    <mergeCell ref="L3:L4"/>
    <mergeCell ref="N3:N4"/>
    <mergeCell ref="AD3:AD4"/>
    <mergeCell ref="T3:T4"/>
    <mergeCell ref="AJ1:AJ4"/>
    <mergeCell ref="V3:V4"/>
    <mergeCell ref="A82:B82"/>
    <mergeCell ref="A76:B76"/>
    <mergeCell ref="A77:B77"/>
    <mergeCell ref="A78:B78"/>
    <mergeCell ref="A79:B79"/>
    <mergeCell ref="A80:B80"/>
    <mergeCell ref="A81:B81"/>
    <mergeCell ref="A1:B4"/>
    <mergeCell ref="O3:O4"/>
    <mergeCell ref="P3:P4"/>
    <mergeCell ref="S3:S4"/>
    <mergeCell ref="W3:W4"/>
    <mergeCell ref="AC1:AI1"/>
    <mergeCell ref="AE3:AE4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5C1-R: FY2014-15 MFP Budget Letter (March 2015)
Iberville Charter Academy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customWidth="1"/>
    <col min="4" max="4" width="13.7109375" style="784" customWidth="1"/>
    <col min="5" max="5" width="9.85546875" style="784" customWidth="1"/>
    <col min="6" max="7" width="12.28515625" style="784" customWidth="1"/>
    <col min="8" max="8" width="11.5703125" style="784" customWidth="1"/>
    <col min="9" max="12" width="12" style="784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5.28515625" style="784" customWidth="1"/>
    <col min="23" max="23" width="14.28515625" style="784" customWidth="1"/>
    <col min="24" max="24" width="15.28515625" style="784" customWidth="1"/>
    <col min="25" max="25" width="13.28515625" style="784" customWidth="1"/>
    <col min="26" max="26" width="12.28515625" style="784" customWidth="1"/>
    <col min="27" max="28" width="15.7109375" style="784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3" width="9.5703125" style="784" bestFit="1" customWidth="1"/>
    <col min="34" max="34" width="9.28515625" style="784" bestFit="1" customWidth="1"/>
    <col min="35" max="35" width="14.42578125" style="784" bestFit="1" customWidth="1"/>
    <col min="36" max="36" width="14.28515625" style="784" customWidth="1"/>
    <col min="37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907</v>
      </c>
      <c r="B1" s="1577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33" customHeight="1">
      <c r="A2" s="1578"/>
      <c r="B2" s="1579"/>
      <c r="C2" s="619"/>
      <c r="D2" s="620"/>
      <c r="E2" s="620"/>
      <c r="F2" s="620"/>
      <c r="G2" s="620"/>
      <c r="H2" s="620"/>
      <c r="I2" s="1448" t="s">
        <v>1036</v>
      </c>
      <c r="J2" s="1449"/>
      <c r="K2" s="1450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1035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85" t="s">
        <v>1037</v>
      </c>
      <c r="J3" s="1518" t="s">
        <v>554</v>
      </c>
      <c r="K3" s="1585" t="s">
        <v>1033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87" t="s">
        <v>906</v>
      </c>
      <c r="X3" s="1507" t="s">
        <v>1038</v>
      </c>
      <c r="Y3" s="1507" t="s">
        <v>861</v>
      </c>
      <c r="Z3" s="1507" t="s">
        <v>859</v>
      </c>
      <c r="AA3" s="1215" t="s">
        <v>1034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586"/>
      <c r="J4" s="1470"/>
      <c r="K4" s="1586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588"/>
      <c r="X4" s="1470"/>
      <c r="Y4" s="1470"/>
      <c r="Z4" s="1470"/>
      <c r="AA4" s="1214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si="1"/>
        <v>8</v>
      </c>
      <c r="K5" s="23">
        <f t="shared" si="1"/>
        <v>9</v>
      </c>
      <c r="L5" s="23">
        <f t="shared" si="1"/>
        <v>10</v>
      </c>
      <c r="M5" s="23">
        <f t="shared" si="1"/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si="1"/>
        <v>15</v>
      </c>
      <c r="R5" s="23">
        <f t="shared" si="1"/>
        <v>16</v>
      </c>
      <c r="S5" s="23">
        <f t="shared" si="1"/>
        <v>17</v>
      </c>
      <c r="T5" s="23">
        <f t="shared" ref="T5" si="2">S5+1</f>
        <v>18</v>
      </c>
      <c r="U5" s="23">
        <f t="shared" ref="U5" si="3">T5+1</f>
        <v>19</v>
      </c>
      <c r="V5" s="23">
        <f t="shared" si="1"/>
        <v>20</v>
      </c>
      <c r="W5" s="23">
        <f t="shared" si="1"/>
        <v>21</v>
      </c>
      <c r="X5" s="23">
        <f t="shared" si="1"/>
        <v>22</v>
      </c>
      <c r="Y5" s="23">
        <f t="shared" si="1"/>
        <v>23</v>
      </c>
      <c r="Z5" s="23">
        <f t="shared" si="1"/>
        <v>24</v>
      </c>
      <c r="AA5" s="23">
        <f t="shared" si="1"/>
        <v>25</v>
      </c>
      <c r="AB5" s="23">
        <f t="shared" si="1"/>
        <v>26</v>
      </c>
      <c r="AC5" s="23">
        <f t="shared" si="1"/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si="1"/>
        <v>31</v>
      </c>
      <c r="AH5" s="23">
        <f t="shared" si="1"/>
        <v>32</v>
      </c>
      <c r="AI5" s="23">
        <f t="shared" si="1"/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L.C. Coll Prep'!K4</f>
        <v>0</v>
      </c>
      <c r="J7" s="210">
        <f>'[1]Feb midyear L.C. Coll Prep'!K4</f>
        <v>0</v>
      </c>
      <c r="K7" s="211">
        <f>I7+J7</f>
        <v>0</v>
      </c>
      <c r="L7" s="344">
        <f>+H7+K7</f>
        <v>0</v>
      </c>
      <c r="M7" s="273">
        <f t="shared" ref="M7:M70" si="4"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8*'[2]Table 5C1S-L.C. Coll Prep'!S7</f>
        <v>0</v>
      </c>
      <c r="R7" s="210">
        <f>+P7-Q7</f>
        <v>0</v>
      </c>
      <c r="S7" s="350">
        <f t="shared" ref="S7:S38" si="5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L.C. Coll Prep'!E4</f>
        <v>0</v>
      </c>
      <c r="X7" s="276">
        <f>+U7*W7</f>
        <v>0</v>
      </c>
      <c r="Y7" s="883">
        <f>'[1]Feb midyear L.C. Coll Prep'!E4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8*'[2]Table 5C1S-L.C. Coll Prep'!AI7</f>
        <v>0</v>
      </c>
      <c r="AH7" s="279">
        <f>+AF7-AG7</f>
        <v>0</v>
      </c>
      <c r="AI7" s="323">
        <f t="shared" ref="AI7:AI38" si="6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7">+AN7-AM7</f>
        <v>0</v>
      </c>
    </row>
    <row r="8" spans="1:41" ht="16.149999999999999" customHeight="1">
      <c r="A8" s="198">
        <v>2</v>
      </c>
      <c r="B8" s="199" t="s">
        <v>74</v>
      </c>
      <c r="C8" s="995">
        <v>0</v>
      </c>
      <c r="D8" s="201">
        <f>+'Table 5C1A-Madison Prep'!D8</f>
        <v>6316.6266417386641</v>
      </c>
      <c r="E8" s="202">
        <f t="shared" ref="E8:E71" si="8">C8*D8</f>
        <v>0</v>
      </c>
      <c r="F8" s="202">
        <f>+'Table 5C1A-Madison Prep'!F8</f>
        <v>842.32</v>
      </c>
      <c r="G8" s="202">
        <f t="shared" ref="G8:G71" si="9">C8*F8</f>
        <v>0</v>
      </c>
      <c r="H8" s="345">
        <f t="shared" ref="H8:H71" si="10">E8+G8</f>
        <v>0</v>
      </c>
      <c r="I8" s="203">
        <f>'[1]Oct midyear L.C. Coll Prep'!K5</f>
        <v>0</v>
      </c>
      <c r="J8" s="203">
        <f>'[1]Feb midyear L.C. Coll Prep'!K5</f>
        <v>0</v>
      </c>
      <c r="K8" s="204">
        <f t="shared" ref="K8:K71" si="11">I8+J8</f>
        <v>0</v>
      </c>
      <c r="L8" s="345">
        <f t="shared" ref="L8:L71" si="12">+H8+K8</f>
        <v>0</v>
      </c>
      <c r="M8" s="286">
        <f t="shared" si="4"/>
        <v>0</v>
      </c>
      <c r="N8" s="345">
        <f t="shared" ref="N8:N71" si="13">SUM(L8:M8)</f>
        <v>0</v>
      </c>
      <c r="O8" s="201">
        <v>0</v>
      </c>
      <c r="P8" s="351">
        <f t="shared" ref="P8:P71" si="14">SUM(N8:O8)</f>
        <v>0</v>
      </c>
      <c r="Q8" s="203">
        <f>8*'[2]Table 5C1S-L.C. Coll Prep'!S8</f>
        <v>0</v>
      </c>
      <c r="R8" s="203">
        <f t="shared" ref="R8:R71" si="15">+P8-Q8</f>
        <v>0</v>
      </c>
      <c r="S8" s="351">
        <f t="shared" si="5"/>
        <v>0</v>
      </c>
      <c r="T8" s="351">
        <f t="shared" ref="T8:T71" si="16">+P8</f>
        <v>0</v>
      </c>
      <c r="U8" s="287">
        <f>'Table 5C1A-Madison Prep'!U8</f>
        <v>2786</v>
      </c>
      <c r="V8" s="328">
        <f t="shared" ref="V8:V71" si="17">C8*U8</f>
        <v>0</v>
      </c>
      <c r="W8" s="289">
        <f>'[1]Oct midyear L.C. Coll Prep'!E5</f>
        <v>0</v>
      </c>
      <c r="X8" s="290">
        <f t="shared" ref="X8:X71" si="18">+U8*W8</f>
        <v>0</v>
      </c>
      <c r="Y8" s="289">
        <f>'[1]Feb midyear L.C. Coll Prep'!E5</f>
        <v>0</v>
      </c>
      <c r="Z8" s="290">
        <f t="shared" ref="Z8:Z71" si="19">+U8*Y8*0.5</f>
        <v>0</v>
      </c>
      <c r="AA8" s="288">
        <f t="shared" ref="AA8:AA71" si="20">+X8+Z8</f>
        <v>0</v>
      </c>
      <c r="AB8" s="324">
        <f t="shared" ref="AB8:AB71" si="21">+V8+AA8</f>
        <v>0</v>
      </c>
      <c r="AC8" s="292">
        <f t="shared" ref="AC8:AC71" si="22">-(0.25%*AB8)</f>
        <v>0</v>
      </c>
      <c r="AD8" s="324">
        <f t="shared" ref="AD8:AD71" si="23">SUM(AB8:AC8)</f>
        <v>0</v>
      </c>
      <c r="AE8" s="293">
        <v>0</v>
      </c>
      <c r="AF8" s="324">
        <f t="shared" ref="AF8:AF71" si="24">SUM(AD8:AE8)</f>
        <v>0</v>
      </c>
      <c r="AG8" s="293">
        <f>8*'[2]Table 5C1S-L.C. Coll Prep'!AI8</f>
        <v>0</v>
      </c>
      <c r="AH8" s="293">
        <f t="shared" ref="AH8:AH71" si="25">+AF8-AG8</f>
        <v>0</v>
      </c>
      <c r="AI8" s="324">
        <f t="shared" si="6"/>
        <v>0</v>
      </c>
      <c r="AJ8" s="321">
        <f t="shared" ref="AJ8:AJ71" si="26">T8+AF8</f>
        <v>0</v>
      </c>
      <c r="AK8" s="342">
        <f t="shared" ref="AK8:AK71" si="27">S8+AI8</f>
        <v>0</v>
      </c>
      <c r="AM8" s="286">
        <v>0</v>
      </c>
      <c r="AN8" s="286">
        <f t="shared" ref="AN8:AN71" si="28">+AC8</f>
        <v>0</v>
      </c>
      <c r="AO8" s="286">
        <f t="shared" si="7"/>
        <v>0</v>
      </c>
    </row>
    <row r="9" spans="1:41" ht="16.149999999999999" customHeight="1">
      <c r="A9" s="198">
        <v>3</v>
      </c>
      <c r="B9" s="199" t="s">
        <v>75</v>
      </c>
      <c r="C9" s="995">
        <v>0</v>
      </c>
      <c r="D9" s="201">
        <f>+'Table 5C1A-Madison Prep'!D9</f>
        <v>4155.1862027396819</v>
      </c>
      <c r="E9" s="202">
        <f t="shared" si="8"/>
        <v>0</v>
      </c>
      <c r="F9" s="202">
        <f>+'Table 5C1A-Madison Prep'!F9</f>
        <v>596.84</v>
      </c>
      <c r="G9" s="202">
        <f t="shared" si="9"/>
        <v>0</v>
      </c>
      <c r="H9" s="345">
        <f t="shared" si="10"/>
        <v>0</v>
      </c>
      <c r="I9" s="203">
        <f>'[1]Oct midyear L.C. Coll Prep'!K6</f>
        <v>0</v>
      </c>
      <c r="J9" s="203">
        <f>'[1]Feb midyear L.C. Coll Prep'!K6</f>
        <v>0</v>
      </c>
      <c r="K9" s="204">
        <f t="shared" si="11"/>
        <v>0</v>
      </c>
      <c r="L9" s="345">
        <f t="shared" si="12"/>
        <v>0</v>
      </c>
      <c r="M9" s="286">
        <f t="shared" si="4"/>
        <v>0</v>
      </c>
      <c r="N9" s="345">
        <f t="shared" si="13"/>
        <v>0</v>
      </c>
      <c r="O9" s="201">
        <v>0</v>
      </c>
      <c r="P9" s="351">
        <f t="shared" si="14"/>
        <v>0</v>
      </c>
      <c r="Q9" s="203">
        <f>8*'[2]Table 5C1S-L.C. Coll Prep'!S9</f>
        <v>0</v>
      </c>
      <c r="R9" s="203">
        <f t="shared" si="15"/>
        <v>0</v>
      </c>
      <c r="S9" s="351">
        <f t="shared" si="5"/>
        <v>0</v>
      </c>
      <c r="T9" s="351">
        <f t="shared" si="16"/>
        <v>0</v>
      </c>
      <c r="U9" s="287">
        <f>'Table 5C1A-Madison Prep'!U9</f>
        <v>5927</v>
      </c>
      <c r="V9" s="328">
        <f t="shared" si="17"/>
        <v>0</v>
      </c>
      <c r="W9" s="289">
        <f>'[1]Oct midyear L.C. Coll Prep'!E6</f>
        <v>0</v>
      </c>
      <c r="X9" s="290">
        <f t="shared" si="18"/>
        <v>0</v>
      </c>
      <c r="Y9" s="289">
        <f>'[1]Feb midyear L.C. Coll Prep'!E6</f>
        <v>0</v>
      </c>
      <c r="Z9" s="290">
        <f t="shared" si="19"/>
        <v>0</v>
      </c>
      <c r="AA9" s="288">
        <f t="shared" si="20"/>
        <v>0</v>
      </c>
      <c r="AB9" s="324">
        <f t="shared" si="21"/>
        <v>0</v>
      </c>
      <c r="AC9" s="292">
        <f t="shared" si="22"/>
        <v>0</v>
      </c>
      <c r="AD9" s="324">
        <f t="shared" si="23"/>
        <v>0</v>
      </c>
      <c r="AE9" s="293">
        <v>0</v>
      </c>
      <c r="AF9" s="324">
        <f t="shared" si="24"/>
        <v>0</v>
      </c>
      <c r="AG9" s="293">
        <f>8*'[2]Table 5C1S-L.C. Coll Prep'!AI9</f>
        <v>0</v>
      </c>
      <c r="AH9" s="293">
        <f t="shared" si="25"/>
        <v>0</v>
      </c>
      <c r="AI9" s="324">
        <f t="shared" si="6"/>
        <v>0</v>
      </c>
      <c r="AJ9" s="321">
        <f t="shared" si="26"/>
        <v>0</v>
      </c>
      <c r="AK9" s="342">
        <f t="shared" si="27"/>
        <v>0</v>
      </c>
      <c r="AM9" s="286">
        <v>0</v>
      </c>
      <c r="AN9" s="286">
        <f t="shared" si="28"/>
        <v>0</v>
      </c>
      <c r="AO9" s="286">
        <f t="shared" si="7"/>
        <v>0</v>
      </c>
    </row>
    <row r="10" spans="1:41" ht="16.149999999999999" customHeight="1">
      <c r="A10" s="198">
        <v>4</v>
      </c>
      <c r="B10" s="199" t="s">
        <v>76</v>
      </c>
      <c r="C10" s="995">
        <v>0</v>
      </c>
      <c r="D10" s="201">
        <f>+'Table 5C1A-Madison Prep'!D10</f>
        <v>6119.0581446878568</v>
      </c>
      <c r="E10" s="202">
        <f t="shared" si="8"/>
        <v>0</v>
      </c>
      <c r="F10" s="202">
        <f>+'Table 5C1A-Madison Prep'!F10</f>
        <v>585.76</v>
      </c>
      <c r="G10" s="202">
        <f t="shared" si="9"/>
        <v>0</v>
      </c>
      <c r="H10" s="345">
        <f t="shared" si="10"/>
        <v>0</v>
      </c>
      <c r="I10" s="203">
        <f>'[1]Oct midyear L.C. Coll Prep'!K7</f>
        <v>0</v>
      </c>
      <c r="J10" s="203">
        <f>'[1]Feb midyear L.C. Coll Prep'!K7</f>
        <v>0</v>
      </c>
      <c r="K10" s="204">
        <f t="shared" si="11"/>
        <v>0</v>
      </c>
      <c r="L10" s="345">
        <f t="shared" si="12"/>
        <v>0</v>
      </c>
      <c r="M10" s="286">
        <f t="shared" si="4"/>
        <v>0</v>
      </c>
      <c r="N10" s="345">
        <f t="shared" si="13"/>
        <v>0</v>
      </c>
      <c r="O10" s="201">
        <v>0</v>
      </c>
      <c r="P10" s="351">
        <f t="shared" si="14"/>
        <v>0</v>
      </c>
      <c r="Q10" s="203">
        <f>8*'[2]Table 5C1S-L.C. Coll Prep'!S10</f>
        <v>0</v>
      </c>
      <c r="R10" s="203">
        <f t="shared" si="15"/>
        <v>0</v>
      </c>
      <c r="S10" s="351">
        <f t="shared" si="5"/>
        <v>0</v>
      </c>
      <c r="T10" s="351">
        <f t="shared" si="16"/>
        <v>0</v>
      </c>
      <c r="U10" s="287">
        <f>'Table 5C1A-Madison Prep'!U10</f>
        <v>4203</v>
      </c>
      <c r="V10" s="328">
        <f t="shared" si="17"/>
        <v>0</v>
      </c>
      <c r="W10" s="289">
        <f>'[1]Oct midyear L.C. Coll Prep'!E7</f>
        <v>0</v>
      </c>
      <c r="X10" s="290">
        <f t="shared" si="18"/>
        <v>0</v>
      </c>
      <c r="Y10" s="289">
        <f>'[1]Feb midyear L.C. Coll Prep'!E7</f>
        <v>0</v>
      </c>
      <c r="Z10" s="290">
        <f t="shared" si="19"/>
        <v>0</v>
      </c>
      <c r="AA10" s="288">
        <f t="shared" si="20"/>
        <v>0</v>
      </c>
      <c r="AB10" s="324">
        <f t="shared" si="21"/>
        <v>0</v>
      </c>
      <c r="AC10" s="292">
        <f t="shared" si="22"/>
        <v>0</v>
      </c>
      <c r="AD10" s="324">
        <f t="shared" si="23"/>
        <v>0</v>
      </c>
      <c r="AE10" s="293">
        <v>0</v>
      </c>
      <c r="AF10" s="324">
        <f t="shared" si="24"/>
        <v>0</v>
      </c>
      <c r="AG10" s="293">
        <f>8*'[2]Table 5C1S-L.C. Coll Prep'!AI10</f>
        <v>0</v>
      </c>
      <c r="AH10" s="293">
        <f t="shared" si="25"/>
        <v>0</v>
      </c>
      <c r="AI10" s="324">
        <f t="shared" si="6"/>
        <v>0</v>
      </c>
      <c r="AJ10" s="321">
        <f t="shared" si="26"/>
        <v>0</v>
      </c>
      <c r="AK10" s="342">
        <f t="shared" si="27"/>
        <v>0</v>
      </c>
      <c r="AM10" s="286">
        <v>0</v>
      </c>
      <c r="AN10" s="286">
        <f t="shared" si="28"/>
        <v>0</v>
      </c>
      <c r="AO10" s="286">
        <f t="shared" si="7"/>
        <v>0</v>
      </c>
    </row>
    <row r="11" spans="1:41" ht="16.149999999999999" customHeight="1">
      <c r="A11" s="191">
        <v>5</v>
      </c>
      <c r="B11" s="192" t="s">
        <v>77</v>
      </c>
      <c r="C11" s="996">
        <v>0</v>
      </c>
      <c r="D11" s="194">
        <f>+'Table 5C1A-Madison Prep'!D11</f>
        <v>5268.940566009911</v>
      </c>
      <c r="E11" s="195">
        <f t="shared" si="8"/>
        <v>0</v>
      </c>
      <c r="F11" s="195">
        <f>+'Table 5C1A-Madison Prep'!F11</f>
        <v>555.91</v>
      </c>
      <c r="G11" s="195">
        <f t="shared" si="9"/>
        <v>0</v>
      </c>
      <c r="H11" s="346">
        <f t="shared" si="10"/>
        <v>0</v>
      </c>
      <c r="I11" s="196">
        <f>'[1]Oct midyear L.C. Coll Prep'!K8</f>
        <v>0</v>
      </c>
      <c r="J11" s="196">
        <f>'[1]Feb midyear L.C. Coll Prep'!K8</f>
        <v>0</v>
      </c>
      <c r="K11" s="197">
        <f t="shared" si="11"/>
        <v>0</v>
      </c>
      <c r="L11" s="346">
        <f t="shared" si="12"/>
        <v>0</v>
      </c>
      <c r="M11" s="296">
        <f t="shared" si="4"/>
        <v>0</v>
      </c>
      <c r="N11" s="346">
        <f t="shared" si="13"/>
        <v>0</v>
      </c>
      <c r="O11" s="194">
        <v>0</v>
      </c>
      <c r="P11" s="352">
        <f t="shared" si="14"/>
        <v>0</v>
      </c>
      <c r="Q11" s="196">
        <f>8*'[2]Table 5C1S-L.C. Coll Prep'!S11</f>
        <v>0</v>
      </c>
      <c r="R11" s="196">
        <f t="shared" si="15"/>
        <v>0</v>
      </c>
      <c r="S11" s="352">
        <f t="shared" si="5"/>
        <v>0</v>
      </c>
      <c r="T11" s="352">
        <f t="shared" si="16"/>
        <v>0</v>
      </c>
      <c r="U11" s="281">
        <f>'Table 5C1A-Madison Prep'!U11</f>
        <v>1923</v>
      </c>
      <c r="V11" s="329">
        <f t="shared" si="17"/>
        <v>0</v>
      </c>
      <c r="W11" s="884">
        <f>'[1]Oct midyear L.C. Coll Prep'!E8</f>
        <v>0</v>
      </c>
      <c r="X11" s="282">
        <f t="shared" si="18"/>
        <v>0</v>
      </c>
      <c r="Y11" s="884">
        <f>'[1]Feb midyear L.C. Coll Prep'!E8</f>
        <v>0</v>
      </c>
      <c r="Z11" s="282">
        <f t="shared" si="19"/>
        <v>0</v>
      </c>
      <c r="AA11" s="283">
        <f t="shared" si="20"/>
        <v>0</v>
      </c>
      <c r="AB11" s="325">
        <f t="shared" si="21"/>
        <v>0</v>
      </c>
      <c r="AC11" s="298">
        <f t="shared" si="22"/>
        <v>0</v>
      </c>
      <c r="AD11" s="325">
        <f t="shared" si="23"/>
        <v>0</v>
      </c>
      <c r="AE11" s="284">
        <v>0</v>
      </c>
      <c r="AF11" s="325">
        <f t="shared" si="24"/>
        <v>0</v>
      </c>
      <c r="AG11" s="284">
        <f>8*'[2]Table 5C1S-L.C. Coll Prep'!AI11</f>
        <v>0</v>
      </c>
      <c r="AH11" s="284">
        <f t="shared" si="25"/>
        <v>0</v>
      </c>
      <c r="AI11" s="325">
        <f t="shared" si="6"/>
        <v>0</v>
      </c>
      <c r="AJ11" s="338">
        <f t="shared" si="26"/>
        <v>0</v>
      </c>
      <c r="AK11" s="343">
        <f t="shared" si="27"/>
        <v>0</v>
      </c>
      <c r="AM11" s="296">
        <v>0</v>
      </c>
      <c r="AN11" s="296">
        <f t="shared" si="28"/>
        <v>0</v>
      </c>
      <c r="AO11" s="296">
        <f t="shared" si="7"/>
        <v>0</v>
      </c>
    </row>
    <row r="12" spans="1:41" ht="16.149999999999999" customHeight="1">
      <c r="A12" s="205">
        <v>6</v>
      </c>
      <c r="B12" s="206" t="s">
        <v>78</v>
      </c>
      <c r="C12" s="994">
        <v>0</v>
      </c>
      <c r="D12" s="208">
        <f>+'Table 5C1A-Madison Prep'!D12</f>
        <v>5378.5086124955869</v>
      </c>
      <c r="E12" s="209">
        <f t="shared" si="8"/>
        <v>0</v>
      </c>
      <c r="F12" s="209">
        <f>+'Table 5C1A-Madison Prep'!F12</f>
        <v>545.4799999999999</v>
      </c>
      <c r="G12" s="209">
        <f t="shared" si="9"/>
        <v>0</v>
      </c>
      <c r="H12" s="344">
        <f t="shared" si="10"/>
        <v>0</v>
      </c>
      <c r="I12" s="210">
        <f>'[1]Oct midyear L.C. Coll Prep'!K9</f>
        <v>0</v>
      </c>
      <c r="J12" s="210">
        <f>'[1]Feb midyear L.C. Coll Prep'!K9</f>
        <v>0</v>
      </c>
      <c r="K12" s="211">
        <f t="shared" si="11"/>
        <v>0</v>
      </c>
      <c r="L12" s="344">
        <f t="shared" si="12"/>
        <v>0</v>
      </c>
      <c r="M12" s="273">
        <f t="shared" si="4"/>
        <v>0</v>
      </c>
      <c r="N12" s="344">
        <f t="shared" si="13"/>
        <v>0</v>
      </c>
      <c r="O12" s="208">
        <v>0</v>
      </c>
      <c r="P12" s="350">
        <f t="shared" si="14"/>
        <v>0</v>
      </c>
      <c r="Q12" s="210">
        <f>8*'[2]Table 5C1S-L.C. Coll Prep'!S12</f>
        <v>0</v>
      </c>
      <c r="R12" s="210">
        <f t="shared" si="15"/>
        <v>0</v>
      </c>
      <c r="S12" s="350">
        <f t="shared" si="5"/>
        <v>0</v>
      </c>
      <c r="T12" s="350">
        <f t="shared" si="16"/>
        <v>0</v>
      </c>
      <c r="U12" s="274">
        <f>'Table 5C1A-Madison Prep'!U12</f>
        <v>4057</v>
      </c>
      <c r="V12" s="327">
        <f t="shared" si="17"/>
        <v>0</v>
      </c>
      <c r="W12" s="883">
        <f>'[1]Oct midyear L.C. Coll Prep'!E9</f>
        <v>0</v>
      </c>
      <c r="X12" s="276">
        <f t="shared" si="18"/>
        <v>0</v>
      </c>
      <c r="Y12" s="883">
        <f>'[1]Feb midyear L.C. Coll Prep'!E9</f>
        <v>0</v>
      </c>
      <c r="Z12" s="276">
        <f t="shared" si="19"/>
        <v>0</v>
      </c>
      <c r="AA12" s="275">
        <f t="shared" si="20"/>
        <v>0</v>
      </c>
      <c r="AB12" s="323">
        <f t="shared" si="21"/>
        <v>0</v>
      </c>
      <c r="AC12" s="278">
        <f t="shared" si="22"/>
        <v>0</v>
      </c>
      <c r="AD12" s="323">
        <f t="shared" si="23"/>
        <v>0</v>
      </c>
      <c r="AE12" s="279">
        <v>0</v>
      </c>
      <c r="AF12" s="323">
        <f t="shared" si="24"/>
        <v>0</v>
      </c>
      <c r="AG12" s="279">
        <f>8*'[2]Table 5C1S-L.C. Coll Prep'!AI12</f>
        <v>0</v>
      </c>
      <c r="AH12" s="279">
        <f t="shared" si="25"/>
        <v>0</v>
      </c>
      <c r="AI12" s="323">
        <f t="shared" si="6"/>
        <v>0</v>
      </c>
      <c r="AJ12" s="337">
        <f t="shared" si="26"/>
        <v>0</v>
      </c>
      <c r="AK12" s="341">
        <f t="shared" si="27"/>
        <v>0</v>
      </c>
      <c r="AM12" s="273">
        <v>0</v>
      </c>
      <c r="AN12" s="273">
        <f t="shared" si="28"/>
        <v>0</v>
      </c>
      <c r="AO12" s="273">
        <f t="shared" si="7"/>
        <v>0</v>
      </c>
    </row>
    <row r="13" spans="1:41" ht="16.149999999999999" customHeight="1">
      <c r="A13" s="198">
        <v>7</v>
      </c>
      <c r="B13" s="199" t="s">
        <v>79</v>
      </c>
      <c r="C13" s="995">
        <v>0</v>
      </c>
      <c r="D13" s="201">
        <f>+'Table 5C1A-Madison Prep'!D13</f>
        <v>2243.0031963470319</v>
      </c>
      <c r="E13" s="202">
        <f t="shared" si="8"/>
        <v>0</v>
      </c>
      <c r="F13" s="202">
        <f>+'Table 5C1A-Madison Prep'!F13</f>
        <v>756.91999999999985</v>
      </c>
      <c r="G13" s="202">
        <f t="shared" si="9"/>
        <v>0</v>
      </c>
      <c r="H13" s="345">
        <f t="shared" si="10"/>
        <v>0</v>
      </c>
      <c r="I13" s="203">
        <f>'[1]Oct midyear L.C. Coll Prep'!K10</f>
        <v>0</v>
      </c>
      <c r="J13" s="203">
        <f>'[1]Feb midyear L.C. Coll Prep'!K10</f>
        <v>0</v>
      </c>
      <c r="K13" s="204">
        <f t="shared" si="11"/>
        <v>0</v>
      </c>
      <c r="L13" s="345">
        <f t="shared" si="12"/>
        <v>0</v>
      </c>
      <c r="M13" s="286">
        <f t="shared" si="4"/>
        <v>0</v>
      </c>
      <c r="N13" s="345">
        <f t="shared" si="13"/>
        <v>0</v>
      </c>
      <c r="O13" s="201">
        <v>0</v>
      </c>
      <c r="P13" s="351">
        <f t="shared" si="14"/>
        <v>0</v>
      </c>
      <c r="Q13" s="203">
        <f>8*'[2]Table 5C1S-L.C. Coll Prep'!S13</f>
        <v>0</v>
      </c>
      <c r="R13" s="203">
        <f t="shared" si="15"/>
        <v>0</v>
      </c>
      <c r="S13" s="351">
        <f t="shared" si="5"/>
        <v>0</v>
      </c>
      <c r="T13" s="351">
        <f t="shared" si="16"/>
        <v>0</v>
      </c>
      <c r="U13" s="287">
        <f>'Table 5C1A-Madison Prep'!U13</f>
        <v>12112</v>
      </c>
      <c r="V13" s="328">
        <f t="shared" si="17"/>
        <v>0</v>
      </c>
      <c r="W13" s="289">
        <f>'[1]Oct midyear L.C. Coll Prep'!E10</f>
        <v>0</v>
      </c>
      <c r="X13" s="290">
        <f t="shared" si="18"/>
        <v>0</v>
      </c>
      <c r="Y13" s="289">
        <f>'[1]Feb midyear L.C. Coll Prep'!E10</f>
        <v>0</v>
      </c>
      <c r="Z13" s="290">
        <f t="shared" si="19"/>
        <v>0</v>
      </c>
      <c r="AA13" s="288">
        <f t="shared" si="20"/>
        <v>0</v>
      </c>
      <c r="AB13" s="324">
        <f t="shared" si="21"/>
        <v>0</v>
      </c>
      <c r="AC13" s="292">
        <f t="shared" si="22"/>
        <v>0</v>
      </c>
      <c r="AD13" s="324">
        <f t="shared" si="23"/>
        <v>0</v>
      </c>
      <c r="AE13" s="293">
        <v>0</v>
      </c>
      <c r="AF13" s="324">
        <f t="shared" si="24"/>
        <v>0</v>
      </c>
      <c r="AG13" s="293">
        <f>8*'[2]Table 5C1S-L.C. Coll Prep'!AI13</f>
        <v>0</v>
      </c>
      <c r="AH13" s="293">
        <f t="shared" si="25"/>
        <v>0</v>
      </c>
      <c r="AI13" s="324">
        <f t="shared" si="6"/>
        <v>0</v>
      </c>
      <c r="AJ13" s="321">
        <f t="shared" si="26"/>
        <v>0</v>
      </c>
      <c r="AK13" s="342">
        <f t="shared" si="27"/>
        <v>0</v>
      </c>
      <c r="AM13" s="286">
        <v>0</v>
      </c>
      <c r="AN13" s="286">
        <f t="shared" si="28"/>
        <v>0</v>
      </c>
      <c r="AO13" s="286">
        <f t="shared" si="7"/>
        <v>0</v>
      </c>
    </row>
    <row r="14" spans="1:41" ht="16.149999999999999" customHeight="1">
      <c r="A14" s="198">
        <v>8</v>
      </c>
      <c r="B14" s="199" t="s">
        <v>80</v>
      </c>
      <c r="C14" s="995">
        <v>0</v>
      </c>
      <c r="D14" s="201">
        <f>+'Table 5C1A-Madison Prep'!D14</f>
        <v>4669.802459558854</v>
      </c>
      <c r="E14" s="202">
        <f t="shared" si="8"/>
        <v>0</v>
      </c>
      <c r="F14" s="202">
        <f>+'Table 5C1A-Madison Prep'!F14</f>
        <v>725.76</v>
      </c>
      <c r="G14" s="202">
        <f t="shared" si="9"/>
        <v>0</v>
      </c>
      <c r="H14" s="345">
        <f t="shared" si="10"/>
        <v>0</v>
      </c>
      <c r="I14" s="203">
        <f>'[1]Oct midyear L.C. Coll Prep'!K11</f>
        <v>0</v>
      </c>
      <c r="J14" s="203">
        <f>'[1]Feb midyear L.C. Coll Prep'!K11</f>
        <v>0</v>
      </c>
      <c r="K14" s="204">
        <f t="shared" si="11"/>
        <v>0</v>
      </c>
      <c r="L14" s="345">
        <f t="shared" si="12"/>
        <v>0</v>
      </c>
      <c r="M14" s="286">
        <f t="shared" si="4"/>
        <v>0</v>
      </c>
      <c r="N14" s="345">
        <f t="shared" si="13"/>
        <v>0</v>
      </c>
      <c r="O14" s="201">
        <v>0</v>
      </c>
      <c r="P14" s="351">
        <f t="shared" si="14"/>
        <v>0</v>
      </c>
      <c r="Q14" s="203">
        <f>8*'[2]Table 5C1S-L.C. Coll Prep'!S14</f>
        <v>0</v>
      </c>
      <c r="R14" s="203">
        <f t="shared" si="15"/>
        <v>0</v>
      </c>
      <c r="S14" s="351">
        <f t="shared" si="5"/>
        <v>0</v>
      </c>
      <c r="T14" s="351">
        <f t="shared" si="16"/>
        <v>0</v>
      </c>
      <c r="U14" s="287">
        <f>'Table 5C1A-Madison Prep'!U14</f>
        <v>4124</v>
      </c>
      <c r="V14" s="328">
        <f t="shared" si="17"/>
        <v>0</v>
      </c>
      <c r="W14" s="289">
        <f>'[1]Oct midyear L.C. Coll Prep'!E11</f>
        <v>0</v>
      </c>
      <c r="X14" s="290">
        <f t="shared" si="18"/>
        <v>0</v>
      </c>
      <c r="Y14" s="289">
        <f>'[1]Feb midyear L.C. Coll Prep'!E11</f>
        <v>0</v>
      </c>
      <c r="Z14" s="290">
        <f t="shared" si="19"/>
        <v>0</v>
      </c>
      <c r="AA14" s="288">
        <f t="shared" si="20"/>
        <v>0</v>
      </c>
      <c r="AB14" s="324">
        <f t="shared" si="21"/>
        <v>0</v>
      </c>
      <c r="AC14" s="292">
        <f t="shared" si="22"/>
        <v>0</v>
      </c>
      <c r="AD14" s="324">
        <f t="shared" si="23"/>
        <v>0</v>
      </c>
      <c r="AE14" s="293">
        <v>0</v>
      </c>
      <c r="AF14" s="324">
        <f t="shared" si="24"/>
        <v>0</v>
      </c>
      <c r="AG14" s="293">
        <f>8*'[2]Table 5C1S-L.C. Coll Prep'!AI14</f>
        <v>0</v>
      </c>
      <c r="AH14" s="293">
        <f t="shared" si="25"/>
        <v>0</v>
      </c>
      <c r="AI14" s="324">
        <f t="shared" si="6"/>
        <v>0</v>
      </c>
      <c r="AJ14" s="321">
        <f t="shared" si="26"/>
        <v>0</v>
      </c>
      <c r="AK14" s="342">
        <f t="shared" si="27"/>
        <v>0</v>
      </c>
      <c r="AM14" s="286">
        <v>0</v>
      </c>
      <c r="AN14" s="286">
        <f t="shared" si="28"/>
        <v>0</v>
      </c>
      <c r="AO14" s="286">
        <f t="shared" si="7"/>
        <v>0</v>
      </c>
    </row>
    <row r="15" spans="1:41" ht="16.149999999999999" customHeight="1">
      <c r="A15" s="198">
        <v>9</v>
      </c>
      <c r="B15" s="199" t="s">
        <v>81</v>
      </c>
      <c r="C15" s="995">
        <v>0</v>
      </c>
      <c r="D15" s="201">
        <f>+'Table 5C1A-Madison Prep'!D15</f>
        <v>4632.4615072045008</v>
      </c>
      <c r="E15" s="202">
        <f t="shared" si="8"/>
        <v>0</v>
      </c>
      <c r="F15" s="202">
        <f>+'Table 5C1A-Madison Prep'!F15</f>
        <v>744.76</v>
      </c>
      <c r="G15" s="202">
        <f t="shared" si="9"/>
        <v>0</v>
      </c>
      <c r="H15" s="345">
        <f t="shared" si="10"/>
        <v>0</v>
      </c>
      <c r="I15" s="203">
        <f>'[1]Oct midyear L.C. Coll Prep'!K12</f>
        <v>0</v>
      </c>
      <c r="J15" s="203">
        <f>'[1]Feb midyear L.C. Coll Prep'!K12</f>
        <v>0</v>
      </c>
      <c r="K15" s="204">
        <f t="shared" si="11"/>
        <v>0</v>
      </c>
      <c r="L15" s="345">
        <f t="shared" si="12"/>
        <v>0</v>
      </c>
      <c r="M15" s="286">
        <f t="shared" si="4"/>
        <v>0</v>
      </c>
      <c r="N15" s="345">
        <f t="shared" si="13"/>
        <v>0</v>
      </c>
      <c r="O15" s="201">
        <v>0</v>
      </c>
      <c r="P15" s="351">
        <f t="shared" si="14"/>
        <v>0</v>
      </c>
      <c r="Q15" s="203">
        <f>8*'[2]Table 5C1S-L.C. Coll Prep'!S15</f>
        <v>0</v>
      </c>
      <c r="R15" s="203">
        <f t="shared" si="15"/>
        <v>0</v>
      </c>
      <c r="S15" s="351">
        <f t="shared" si="5"/>
        <v>0</v>
      </c>
      <c r="T15" s="351">
        <f t="shared" si="16"/>
        <v>0</v>
      </c>
      <c r="U15" s="287">
        <f>'Table 5C1A-Madison Prep'!U15</f>
        <v>4901</v>
      </c>
      <c r="V15" s="328">
        <f t="shared" si="17"/>
        <v>0</v>
      </c>
      <c r="W15" s="289">
        <f>'[1]Oct midyear L.C. Coll Prep'!E12</f>
        <v>0</v>
      </c>
      <c r="X15" s="290">
        <f t="shared" si="18"/>
        <v>0</v>
      </c>
      <c r="Y15" s="289">
        <f>'[1]Feb midyear L.C. Coll Prep'!E12</f>
        <v>0</v>
      </c>
      <c r="Z15" s="290">
        <f t="shared" si="19"/>
        <v>0</v>
      </c>
      <c r="AA15" s="288">
        <f t="shared" si="20"/>
        <v>0</v>
      </c>
      <c r="AB15" s="324">
        <f t="shared" si="21"/>
        <v>0</v>
      </c>
      <c r="AC15" s="292">
        <f t="shared" si="22"/>
        <v>0</v>
      </c>
      <c r="AD15" s="324">
        <f t="shared" si="23"/>
        <v>0</v>
      </c>
      <c r="AE15" s="293">
        <v>0</v>
      </c>
      <c r="AF15" s="324">
        <f t="shared" si="24"/>
        <v>0</v>
      </c>
      <c r="AG15" s="293">
        <f>8*'[2]Table 5C1S-L.C. Coll Prep'!AI15</f>
        <v>0</v>
      </c>
      <c r="AH15" s="293">
        <f t="shared" si="25"/>
        <v>0</v>
      </c>
      <c r="AI15" s="324">
        <f t="shared" si="6"/>
        <v>0</v>
      </c>
      <c r="AJ15" s="321">
        <f t="shared" si="26"/>
        <v>0</v>
      </c>
      <c r="AK15" s="342">
        <f t="shared" si="27"/>
        <v>0</v>
      </c>
      <c r="AM15" s="286">
        <v>0</v>
      </c>
      <c r="AN15" s="286">
        <f t="shared" si="28"/>
        <v>0</v>
      </c>
      <c r="AO15" s="286">
        <f t="shared" si="7"/>
        <v>0</v>
      </c>
    </row>
    <row r="16" spans="1:41" ht="16.149999999999999" customHeight="1">
      <c r="A16" s="191">
        <v>10</v>
      </c>
      <c r="B16" s="192" t="s">
        <v>82</v>
      </c>
      <c r="C16" s="996">
        <v>0</v>
      </c>
      <c r="D16" s="194">
        <f>+'Table 5C1A-Madison Prep'!D16</f>
        <v>4384.374733918472</v>
      </c>
      <c r="E16" s="195">
        <f t="shared" si="8"/>
        <v>0</v>
      </c>
      <c r="F16" s="195">
        <f>+'Table 5C1A-Madison Prep'!F16</f>
        <v>608.04000000000008</v>
      </c>
      <c r="G16" s="195">
        <f t="shared" si="9"/>
        <v>0</v>
      </c>
      <c r="H16" s="346">
        <f t="shared" si="10"/>
        <v>0</v>
      </c>
      <c r="I16" s="196">
        <f>'[1]Oct midyear L.C. Coll Prep'!K13</f>
        <v>514218.7175936026</v>
      </c>
      <c r="J16" s="196">
        <f>'[1]Feb midyear L.C. Coll Prep'!K13</f>
        <v>-4992.4147339184719</v>
      </c>
      <c r="K16" s="197">
        <f t="shared" si="11"/>
        <v>509226.3028596841</v>
      </c>
      <c r="L16" s="346">
        <f t="shared" si="12"/>
        <v>509226.3028596841</v>
      </c>
      <c r="M16" s="296">
        <f t="shared" si="4"/>
        <v>-1273.0657571492102</v>
      </c>
      <c r="N16" s="346">
        <f t="shared" si="13"/>
        <v>507953.23710253491</v>
      </c>
      <c r="O16" s="194">
        <v>0</v>
      </c>
      <c r="P16" s="352">
        <f t="shared" si="14"/>
        <v>507953.23710253491</v>
      </c>
      <c r="Q16" s="196">
        <f>8*'[2]Table 5C1S-L.C. Coll Prep'!S16</f>
        <v>365192</v>
      </c>
      <c r="R16" s="196">
        <f t="shared" si="15"/>
        <v>142761.23710253491</v>
      </c>
      <c r="S16" s="352">
        <f t="shared" si="5"/>
        <v>35690</v>
      </c>
      <c r="T16" s="352">
        <f t="shared" si="16"/>
        <v>507953.23710253491</v>
      </c>
      <c r="U16" s="281">
        <f>'Table 5C1A-Madison Prep'!U16</f>
        <v>4619</v>
      </c>
      <c r="V16" s="329">
        <f t="shared" si="17"/>
        <v>0</v>
      </c>
      <c r="W16" s="884">
        <f>'[1]Oct midyear L.C. Coll Prep'!E13</f>
        <v>103</v>
      </c>
      <c r="X16" s="282">
        <f t="shared" si="18"/>
        <v>475757</v>
      </c>
      <c r="Y16" s="884">
        <f>'[1]Feb midyear L.C. Coll Prep'!E13</f>
        <v>-2</v>
      </c>
      <c r="Z16" s="282">
        <f t="shared" si="19"/>
        <v>-4619</v>
      </c>
      <c r="AA16" s="283">
        <f t="shared" si="20"/>
        <v>471138</v>
      </c>
      <c r="AB16" s="325">
        <f t="shared" si="21"/>
        <v>471138</v>
      </c>
      <c r="AC16" s="298">
        <f t="shared" si="22"/>
        <v>-1177.845</v>
      </c>
      <c r="AD16" s="325">
        <f t="shared" si="23"/>
        <v>469960.15500000003</v>
      </c>
      <c r="AE16" s="284">
        <v>0</v>
      </c>
      <c r="AF16" s="325">
        <f t="shared" si="24"/>
        <v>469960.15500000003</v>
      </c>
      <c r="AG16" s="284">
        <f>8*'[2]Table 5C1S-L.C. Coll Prep'!AI16</f>
        <v>333928</v>
      </c>
      <c r="AH16" s="284">
        <f t="shared" si="25"/>
        <v>136032.15500000003</v>
      </c>
      <c r="AI16" s="325">
        <f t="shared" si="6"/>
        <v>34008</v>
      </c>
      <c r="AJ16" s="338">
        <f t="shared" si="26"/>
        <v>977913.39210253488</v>
      </c>
      <c r="AK16" s="343">
        <f t="shared" si="27"/>
        <v>69698</v>
      </c>
      <c r="AM16" s="296">
        <v>-1255.375</v>
      </c>
      <c r="AN16" s="296">
        <f t="shared" si="28"/>
        <v>-1177.845</v>
      </c>
      <c r="AO16" s="296">
        <f t="shared" si="7"/>
        <v>77.529999999999973</v>
      </c>
    </row>
    <row r="17" spans="1:41" ht="16.149999999999999" customHeight="1">
      <c r="A17" s="205">
        <v>11</v>
      </c>
      <c r="B17" s="206" t="s">
        <v>83</v>
      </c>
      <c r="C17" s="994">
        <v>0</v>
      </c>
      <c r="D17" s="208">
        <f>+'Table 5C1A-Madison Prep'!D17</f>
        <v>7098.5372236353351</v>
      </c>
      <c r="E17" s="209">
        <f t="shared" si="8"/>
        <v>0</v>
      </c>
      <c r="F17" s="209">
        <f>+'Table 5C1A-Madison Prep'!F17</f>
        <v>706.55</v>
      </c>
      <c r="G17" s="209">
        <f t="shared" si="9"/>
        <v>0</v>
      </c>
      <c r="H17" s="344">
        <f t="shared" si="10"/>
        <v>0</v>
      </c>
      <c r="I17" s="210">
        <f>'[1]Oct midyear L.C. Coll Prep'!K14</f>
        <v>0</v>
      </c>
      <c r="J17" s="210">
        <f>'[1]Feb midyear L.C. Coll Prep'!K14</f>
        <v>0</v>
      </c>
      <c r="K17" s="211">
        <f t="shared" si="11"/>
        <v>0</v>
      </c>
      <c r="L17" s="344">
        <f t="shared" si="12"/>
        <v>0</v>
      </c>
      <c r="M17" s="273">
        <f t="shared" si="4"/>
        <v>0</v>
      </c>
      <c r="N17" s="344">
        <f t="shared" si="13"/>
        <v>0</v>
      </c>
      <c r="O17" s="208">
        <v>0</v>
      </c>
      <c r="P17" s="350">
        <f t="shared" si="14"/>
        <v>0</v>
      </c>
      <c r="Q17" s="210">
        <f>8*'[2]Table 5C1S-L.C. Coll Prep'!S17</f>
        <v>0</v>
      </c>
      <c r="R17" s="210">
        <f t="shared" si="15"/>
        <v>0</v>
      </c>
      <c r="S17" s="350">
        <f t="shared" si="5"/>
        <v>0</v>
      </c>
      <c r="T17" s="350">
        <f t="shared" si="16"/>
        <v>0</v>
      </c>
      <c r="U17" s="274">
        <f>'Table 5C1A-Madison Prep'!U17</f>
        <v>3580</v>
      </c>
      <c r="V17" s="327">
        <f t="shared" si="17"/>
        <v>0</v>
      </c>
      <c r="W17" s="883">
        <f>'[1]Oct midyear L.C. Coll Prep'!E14</f>
        <v>0</v>
      </c>
      <c r="X17" s="276">
        <f t="shared" si="18"/>
        <v>0</v>
      </c>
      <c r="Y17" s="883">
        <f>'[1]Feb midyear L.C. Coll Prep'!E14</f>
        <v>0</v>
      </c>
      <c r="Z17" s="276">
        <f t="shared" si="19"/>
        <v>0</v>
      </c>
      <c r="AA17" s="275">
        <f t="shared" si="20"/>
        <v>0</v>
      </c>
      <c r="AB17" s="323">
        <f t="shared" si="21"/>
        <v>0</v>
      </c>
      <c r="AC17" s="278">
        <f t="shared" si="22"/>
        <v>0</v>
      </c>
      <c r="AD17" s="323">
        <f t="shared" si="23"/>
        <v>0</v>
      </c>
      <c r="AE17" s="279">
        <v>0</v>
      </c>
      <c r="AF17" s="323">
        <f t="shared" si="24"/>
        <v>0</v>
      </c>
      <c r="AG17" s="279">
        <f>8*'[2]Table 5C1S-L.C. Coll Prep'!AI17</f>
        <v>0</v>
      </c>
      <c r="AH17" s="279">
        <f t="shared" si="25"/>
        <v>0</v>
      </c>
      <c r="AI17" s="323">
        <f t="shared" si="6"/>
        <v>0</v>
      </c>
      <c r="AJ17" s="337">
        <f t="shared" si="26"/>
        <v>0</v>
      </c>
      <c r="AK17" s="341">
        <f t="shared" si="27"/>
        <v>0</v>
      </c>
      <c r="AM17" s="273">
        <v>0</v>
      </c>
      <c r="AN17" s="273">
        <f t="shared" si="28"/>
        <v>0</v>
      </c>
      <c r="AO17" s="273">
        <f t="shared" si="7"/>
        <v>0</v>
      </c>
    </row>
    <row r="18" spans="1:41" ht="16.149999999999999" customHeight="1">
      <c r="A18" s="198">
        <v>12</v>
      </c>
      <c r="B18" s="199" t="s">
        <v>84</v>
      </c>
      <c r="C18" s="995">
        <v>0</v>
      </c>
      <c r="D18" s="201">
        <f>+'Table 5C1A-Madison Prep'!D18</f>
        <v>1666.6040983606558</v>
      </c>
      <c r="E18" s="202">
        <f t="shared" si="8"/>
        <v>0</v>
      </c>
      <c r="F18" s="202">
        <f>+'Table 5C1A-Madison Prep'!F18</f>
        <v>1063.31</v>
      </c>
      <c r="G18" s="202">
        <f t="shared" si="9"/>
        <v>0</v>
      </c>
      <c r="H18" s="345">
        <f t="shared" si="10"/>
        <v>0</v>
      </c>
      <c r="I18" s="203">
        <f>'[1]Oct midyear L.C. Coll Prep'!K15</f>
        <v>0</v>
      </c>
      <c r="J18" s="203">
        <f>'[1]Feb midyear L.C. Coll Prep'!K15</f>
        <v>0</v>
      </c>
      <c r="K18" s="204">
        <f t="shared" si="11"/>
        <v>0</v>
      </c>
      <c r="L18" s="345">
        <f t="shared" si="12"/>
        <v>0</v>
      </c>
      <c r="M18" s="286">
        <f t="shared" si="4"/>
        <v>0</v>
      </c>
      <c r="N18" s="345">
        <f t="shared" si="13"/>
        <v>0</v>
      </c>
      <c r="O18" s="201">
        <v>0</v>
      </c>
      <c r="P18" s="351">
        <f t="shared" si="14"/>
        <v>0</v>
      </c>
      <c r="Q18" s="203">
        <f>8*'[2]Table 5C1S-L.C. Coll Prep'!S18</f>
        <v>0</v>
      </c>
      <c r="R18" s="203">
        <f t="shared" si="15"/>
        <v>0</v>
      </c>
      <c r="S18" s="351">
        <f t="shared" si="5"/>
        <v>0</v>
      </c>
      <c r="T18" s="351">
        <f t="shared" si="16"/>
        <v>0</v>
      </c>
      <c r="U18" s="287">
        <f>'Table 5C1A-Madison Prep'!U18</f>
        <v>8094</v>
      </c>
      <c r="V18" s="328">
        <f t="shared" si="17"/>
        <v>0</v>
      </c>
      <c r="W18" s="289">
        <f>'[1]Oct midyear L.C. Coll Prep'!E15</f>
        <v>0</v>
      </c>
      <c r="X18" s="290">
        <f t="shared" si="18"/>
        <v>0</v>
      </c>
      <c r="Y18" s="289">
        <f>'[1]Feb midyear L.C. Coll Prep'!E15</f>
        <v>0</v>
      </c>
      <c r="Z18" s="290">
        <f t="shared" si="19"/>
        <v>0</v>
      </c>
      <c r="AA18" s="288">
        <f t="shared" si="20"/>
        <v>0</v>
      </c>
      <c r="AB18" s="324">
        <f t="shared" si="21"/>
        <v>0</v>
      </c>
      <c r="AC18" s="292">
        <f t="shared" si="22"/>
        <v>0</v>
      </c>
      <c r="AD18" s="324">
        <f t="shared" si="23"/>
        <v>0</v>
      </c>
      <c r="AE18" s="293">
        <v>0</v>
      </c>
      <c r="AF18" s="324">
        <f t="shared" si="24"/>
        <v>0</v>
      </c>
      <c r="AG18" s="293">
        <f>8*'[2]Table 5C1S-L.C. Coll Prep'!AI18</f>
        <v>0</v>
      </c>
      <c r="AH18" s="293">
        <f t="shared" si="25"/>
        <v>0</v>
      </c>
      <c r="AI18" s="324">
        <f t="shared" si="6"/>
        <v>0</v>
      </c>
      <c r="AJ18" s="321">
        <f t="shared" si="26"/>
        <v>0</v>
      </c>
      <c r="AK18" s="342">
        <f t="shared" si="27"/>
        <v>0</v>
      </c>
      <c r="AM18" s="286">
        <v>0</v>
      </c>
      <c r="AN18" s="286">
        <f t="shared" si="28"/>
        <v>0</v>
      </c>
      <c r="AO18" s="286">
        <f t="shared" si="7"/>
        <v>0</v>
      </c>
    </row>
    <row r="19" spans="1:41" ht="16.149999999999999" customHeight="1">
      <c r="A19" s="198">
        <v>13</v>
      </c>
      <c r="B19" s="199" t="s">
        <v>85</v>
      </c>
      <c r="C19" s="995">
        <v>0</v>
      </c>
      <c r="D19" s="201">
        <f>+'Table 5C1A-Madison Prep'!D19</f>
        <v>6433.6297758332212</v>
      </c>
      <c r="E19" s="202">
        <f t="shared" si="8"/>
        <v>0</v>
      </c>
      <c r="F19" s="202">
        <f>+'Table 5C1A-Madison Prep'!F19</f>
        <v>749.43000000000006</v>
      </c>
      <c r="G19" s="202">
        <f t="shared" si="9"/>
        <v>0</v>
      </c>
      <c r="H19" s="345">
        <f t="shared" si="10"/>
        <v>0</v>
      </c>
      <c r="I19" s="203">
        <f>'[1]Oct midyear L.C. Coll Prep'!K16</f>
        <v>0</v>
      </c>
      <c r="J19" s="203">
        <f>'[1]Feb midyear L.C. Coll Prep'!K16</f>
        <v>0</v>
      </c>
      <c r="K19" s="204">
        <f t="shared" si="11"/>
        <v>0</v>
      </c>
      <c r="L19" s="345">
        <f t="shared" si="12"/>
        <v>0</v>
      </c>
      <c r="M19" s="286">
        <f t="shared" si="4"/>
        <v>0</v>
      </c>
      <c r="N19" s="345">
        <f t="shared" si="13"/>
        <v>0</v>
      </c>
      <c r="O19" s="201">
        <v>0</v>
      </c>
      <c r="P19" s="351">
        <f t="shared" si="14"/>
        <v>0</v>
      </c>
      <c r="Q19" s="203">
        <f>8*'[2]Table 5C1S-L.C. Coll Prep'!S19</f>
        <v>0</v>
      </c>
      <c r="R19" s="203">
        <f t="shared" si="15"/>
        <v>0</v>
      </c>
      <c r="S19" s="351">
        <f t="shared" si="5"/>
        <v>0</v>
      </c>
      <c r="T19" s="351">
        <f t="shared" si="16"/>
        <v>0</v>
      </c>
      <c r="U19" s="287">
        <f>'Table 5C1A-Madison Prep'!U19</f>
        <v>2762</v>
      </c>
      <c r="V19" s="328">
        <f t="shared" si="17"/>
        <v>0</v>
      </c>
      <c r="W19" s="289">
        <f>'[1]Oct midyear L.C. Coll Prep'!E16</f>
        <v>0</v>
      </c>
      <c r="X19" s="290">
        <f t="shared" si="18"/>
        <v>0</v>
      </c>
      <c r="Y19" s="289">
        <f>'[1]Feb midyear L.C. Coll Prep'!E16</f>
        <v>0</v>
      </c>
      <c r="Z19" s="290">
        <f t="shared" si="19"/>
        <v>0</v>
      </c>
      <c r="AA19" s="288">
        <f t="shared" si="20"/>
        <v>0</v>
      </c>
      <c r="AB19" s="324">
        <f t="shared" si="21"/>
        <v>0</v>
      </c>
      <c r="AC19" s="292">
        <f t="shared" si="22"/>
        <v>0</v>
      </c>
      <c r="AD19" s="324">
        <f t="shared" si="23"/>
        <v>0</v>
      </c>
      <c r="AE19" s="293">
        <v>0</v>
      </c>
      <c r="AF19" s="324">
        <f t="shared" si="24"/>
        <v>0</v>
      </c>
      <c r="AG19" s="293">
        <f>8*'[2]Table 5C1S-L.C. Coll Prep'!AI19</f>
        <v>0</v>
      </c>
      <c r="AH19" s="293">
        <f t="shared" si="25"/>
        <v>0</v>
      </c>
      <c r="AI19" s="324">
        <f t="shared" si="6"/>
        <v>0</v>
      </c>
      <c r="AJ19" s="321">
        <f t="shared" si="26"/>
        <v>0</v>
      </c>
      <c r="AK19" s="342">
        <f t="shared" si="27"/>
        <v>0</v>
      </c>
      <c r="AM19" s="286">
        <v>0</v>
      </c>
      <c r="AN19" s="286">
        <f t="shared" si="28"/>
        <v>0</v>
      </c>
      <c r="AO19" s="286">
        <f t="shared" si="7"/>
        <v>0</v>
      </c>
    </row>
    <row r="20" spans="1:41" ht="16.149999999999999" customHeight="1">
      <c r="A20" s="198">
        <v>14</v>
      </c>
      <c r="B20" s="199" t="s">
        <v>86</v>
      </c>
      <c r="C20" s="995">
        <v>0</v>
      </c>
      <c r="D20" s="201">
        <f>+'Table 5C1A-Madison Prep'!D20</f>
        <v>5334.9509412500001</v>
      </c>
      <c r="E20" s="202">
        <f t="shared" si="8"/>
        <v>0</v>
      </c>
      <c r="F20" s="202">
        <f>+'Table 5C1A-Madison Prep'!F20</f>
        <v>809.9799999999999</v>
      </c>
      <c r="G20" s="202">
        <f t="shared" si="9"/>
        <v>0</v>
      </c>
      <c r="H20" s="345">
        <f t="shared" si="10"/>
        <v>0</v>
      </c>
      <c r="I20" s="203">
        <f>'[1]Oct midyear L.C. Coll Prep'!K17</f>
        <v>0</v>
      </c>
      <c r="J20" s="203">
        <f>'[1]Feb midyear L.C. Coll Prep'!K17</f>
        <v>0</v>
      </c>
      <c r="K20" s="204">
        <f t="shared" si="11"/>
        <v>0</v>
      </c>
      <c r="L20" s="345">
        <f t="shared" si="12"/>
        <v>0</v>
      </c>
      <c r="M20" s="286">
        <f t="shared" si="4"/>
        <v>0</v>
      </c>
      <c r="N20" s="345">
        <f t="shared" si="13"/>
        <v>0</v>
      </c>
      <c r="O20" s="201">
        <v>0</v>
      </c>
      <c r="P20" s="351">
        <f t="shared" si="14"/>
        <v>0</v>
      </c>
      <c r="Q20" s="203">
        <f>8*'[2]Table 5C1S-L.C. Coll Prep'!S20</f>
        <v>0</v>
      </c>
      <c r="R20" s="203">
        <f t="shared" si="15"/>
        <v>0</v>
      </c>
      <c r="S20" s="351">
        <f t="shared" si="5"/>
        <v>0</v>
      </c>
      <c r="T20" s="351">
        <f t="shared" si="16"/>
        <v>0</v>
      </c>
      <c r="U20" s="287">
        <f>'Table 5C1A-Madison Prep'!U20</f>
        <v>4171</v>
      </c>
      <c r="V20" s="328">
        <f t="shared" si="17"/>
        <v>0</v>
      </c>
      <c r="W20" s="289">
        <f>'[1]Oct midyear L.C. Coll Prep'!E17</f>
        <v>0</v>
      </c>
      <c r="X20" s="290">
        <f t="shared" si="18"/>
        <v>0</v>
      </c>
      <c r="Y20" s="289">
        <f>'[1]Feb midyear L.C. Coll Prep'!E17</f>
        <v>0</v>
      </c>
      <c r="Z20" s="290">
        <f t="shared" si="19"/>
        <v>0</v>
      </c>
      <c r="AA20" s="288">
        <f t="shared" si="20"/>
        <v>0</v>
      </c>
      <c r="AB20" s="324">
        <f t="shared" si="21"/>
        <v>0</v>
      </c>
      <c r="AC20" s="292">
        <f t="shared" si="22"/>
        <v>0</v>
      </c>
      <c r="AD20" s="324">
        <f t="shared" si="23"/>
        <v>0</v>
      </c>
      <c r="AE20" s="293">
        <v>0</v>
      </c>
      <c r="AF20" s="324">
        <f t="shared" si="24"/>
        <v>0</v>
      </c>
      <c r="AG20" s="293">
        <f>8*'[2]Table 5C1S-L.C. Coll Prep'!AI20</f>
        <v>0</v>
      </c>
      <c r="AH20" s="293">
        <f t="shared" si="25"/>
        <v>0</v>
      </c>
      <c r="AI20" s="324">
        <f t="shared" si="6"/>
        <v>0</v>
      </c>
      <c r="AJ20" s="321">
        <f t="shared" si="26"/>
        <v>0</v>
      </c>
      <c r="AK20" s="342">
        <f t="shared" si="27"/>
        <v>0</v>
      </c>
      <c r="AM20" s="286">
        <v>0</v>
      </c>
      <c r="AN20" s="286">
        <f t="shared" si="28"/>
        <v>0</v>
      </c>
      <c r="AO20" s="286">
        <f t="shared" si="7"/>
        <v>0</v>
      </c>
    </row>
    <row r="21" spans="1:41" ht="16.149999999999999" customHeight="1">
      <c r="A21" s="191">
        <v>15</v>
      </c>
      <c r="B21" s="192" t="s">
        <v>87</v>
      </c>
      <c r="C21" s="996">
        <v>0</v>
      </c>
      <c r="D21" s="194">
        <f>+'Table 5C1A-Madison Prep'!D21</f>
        <v>5749.8285214059952</v>
      </c>
      <c r="E21" s="195">
        <f t="shared" si="8"/>
        <v>0</v>
      </c>
      <c r="F21" s="195">
        <f>+'Table 5C1A-Madison Prep'!F21</f>
        <v>553.79999999999995</v>
      </c>
      <c r="G21" s="195">
        <f t="shared" si="9"/>
        <v>0</v>
      </c>
      <c r="H21" s="346">
        <f t="shared" si="10"/>
        <v>0</v>
      </c>
      <c r="I21" s="196">
        <f>'[1]Oct midyear L.C. Coll Prep'!K18</f>
        <v>0</v>
      </c>
      <c r="J21" s="196">
        <f>'[1]Feb midyear L.C. Coll Prep'!K18</f>
        <v>0</v>
      </c>
      <c r="K21" s="197">
        <f t="shared" si="11"/>
        <v>0</v>
      </c>
      <c r="L21" s="346">
        <f t="shared" si="12"/>
        <v>0</v>
      </c>
      <c r="M21" s="296">
        <f t="shared" si="4"/>
        <v>0</v>
      </c>
      <c r="N21" s="346">
        <f t="shared" si="13"/>
        <v>0</v>
      </c>
      <c r="O21" s="194">
        <v>0</v>
      </c>
      <c r="P21" s="352">
        <f t="shared" si="14"/>
        <v>0</v>
      </c>
      <c r="Q21" s="196">
        <f>8*'[2]Table 5C1S-L.C. Coll Prep'!S21</f>
        <v>0</v>
      </c>
      <c r="R21" s="196">
        <f t="shared" si="15"/>
        <v>0</v>
      </c>
      <c r="S21" s="352">
        <f t="shared" si="5"/>
        <v>0</v>
      </c>
      <c r="T21" s="352">
        <f t="shared" si="16"/>
        <v>0</v>
      </c>
      <c r="U21" s="281">
        <f>'Table 5C1A-Madison Prep'!U21</f>
        <v>2880</v>
      </c>
      <c r="V21" s="329">
        <f t="shared" si="17"/>
        <v>0</v>
      </c>
      <c r="W21" s="884">
        <f>'[1]Oct midyear L.C. Coll Prep'!E18</f>
        <v>0</v>
      </c>
      <c r="X21" s="282">
        <f t="shared" si="18"/>
        <v>0</v>
      </c>
      <c r="Y21" s="884">
        <f>'[1]Feb midyear L.C. Coll Prep'!E18</f>
        <v>0</v>
      </c>
      <c r="Z21" s="282">
        <f t="shared" si="19"/>
        <v>0</v>
      </c>
      <c r="AA21" s="283">
        <f t="shared" si="20"/>
        <v>0</v>
      </c>
      <c r="AB21" s="325">
        <f t="shared" si="21"/>
        <v>0</v>
      </c>
      <c r="AC21" s="298">
        <f t="shared" si="22"/>
        <v>0</v>
      </c>
      <c r="AD21" s="325">
        <f t="shared" si="23"/>
        <v>0</v>
      </c>
      <c r="AE21" s="284">
        <v>0</v>
      </c>
      <c r="AF21" s="325">
        <f t="shared" si="24"/>
        <v>0</v>
      </c>
      <c r="AG21" s="284">
        <f>8*'[2]Table 5C1S-L.C. Coll Prep'!AI21</f>
        <v>0</v>
      </c>
      <c r="AH21" s="284">
        <f t="shared" si="25"/>
        <v>0</v>
      </c>
      <c r="AI21" s="325">
        <f t="shared" si="6"/>
        <v>0</v>
      </c>
      <c r="AJ21" s="338">
        <f t="shared" si="26"/>
        <v>0</v>
      </c>
      <c r="AK21" s="343">
        <f t="shared" si="27"/>
        <v>0</v>
      </c>
      <c r="AM21" s="296">
        <v>0</v>
      </c>
      <c r="AN21" s="296">
        <f t="shared" si="28"/>
        <v>0</v>
      </c>
      <c r="AO21" s="296">
        <f t="shared" si="7"/>
        <v>0</v>
      </c>
    </row>
    <row r="22" spans="1:41" ht="16.149999999999999" customHeight="1">
      <c r="A22" s="205">
        <v>16</v>
      </c>
      <c r="B22" s="206" t="s">
        <v>88</v>
      </c>
      <c r="C22" s="994">
        <v>0</v>
      </c>
      <c r="D22" s="208">
        <f>+'Table 5C1A-Madison Prep'!D22</f>
        <v>1980.2494354342025</v>
      </c>
      <c r="E22" s="209">
        <f t="shared" si="8"/>
        <v>0</v>
      </c>
      <c r="F22" s="209">
        <f>+'Table 5C1A-Madison Prep'!F22</f>
        <v>686.73</v>
      </c>
      <c r="G22" s="209">
        <f t="shared" si="9"/>
        <v>0</v>
      </c>
      <c r="H22" s="344">
        <f t="shared" si="10"/>
        <v>0</v>
      </c>
      <c r="I22" s="210">
        <f>'[1]Oct midyear L.C. Coll Prep'!K19</f>
        <v>0</v>
      </c>
      <c r="J22" s="210">
        <f>'[1]Feb midyear L.C. Coll Prep'!K19</f>
        <v>0</v>
      </c>
      <c r="K22" s="211">
        <f t="shared" si="11"/>
        <v>0</v>
      </c>
      <c r="L22" s="344">
        <f t="shared" si="12"/>
        <v>0</v>
      </c>
      <c r="M22" s="273">
        <f t="shared" si="4"/>
        <v>0</v>
      </c>
      <c r="N22" s="344">
        <f t="shared" si="13"/>
        <v>0</v>
      </c>
      <c r="O22" s="208">
        <v>0</v>
      </c>
      <c r="P22" s="350">
        <f t="shared" si="14"/>
        <v>0</v>
      </c>
      <c r="Q22" s="210">
        <f>8*'[2]Table 5C1S-L.C. Coll Prep'!S22</f>
        <v>0</v>
      </c>
      <c r="R22" s="210">
        <f t="shared" si="15"/>
        <v>0</v>
      </c>
      <c r="S22" s="350">
        <f t="shared" si="5"/>
        <v>0</v>
      </c>
      <c r="T22" s="350">
        <f t="shared" si="16"/>
        <v>0</v>
      </c>
      <c r="U22" s="274">
        <f>'Table 5C1A-Madison Prep'!U22</f>
        <v>13021</v>
      </c>
      <c r="V22" s="327">
        <f t="shared" si="17"/>
        <v>0</v>
      </c>
      <c r="W22" s="883">
        <f>'[1]Oct midyear L.C. Coll Prep'!E19</f>
        <v>0</v>
      </c>
      <c r="X22" s="276">
        <f t="shared" si="18"/>
        <v>0</v>
      </c>
      <c r="Y22" s="883">
        <f>'[1]Feb midyear L.C. Coll Prep'!E19</f>
        <v>0</v>
      </c>
      <c r="Z22" s="276">
        <f t="shared" si="19"/>
        <v>0</v>
      </c>
      <c r="AA22" s="275">
        <f t="shared" si="20"/>
        <v>0</v>
      </c>
      <c r="AB22" s="323">
        <f t="shared" si="21"/>
        <v>0</v>
      </c>
      <c r="AC22" s="278">
        <f t="shared" si="22"/>
        <v>0</v>
      </c>
      <c r="AD22" s="323">
        <f t="shared" si="23"/>
        <v>0</v>
      </c>
      <c r="AE22" s="279">
        <v>0</v>
      </c>
      <c r="AF22" s="323">
        <f t="shared" si="24"/>
        <v>0</v>
      </c>
      <c r="AG22" s="279">
        <f>8*'[2]Table 5C1S-L.C. Coll Prep'!AI22</f>
        <v>0</v>
      </c>
      <c r="AH22" s="279">
        <f t="shared" si="25"/>
        <v>0</v>
      </c>
      <c r="AI22" s="323">
        <f t="shared" si="6"/>
        <v>0</v>
      </c>
      <c r="AJ22" s="337">
        <f t="shared" si="26"/>
        <v>0</v>
      </c>
      <c r="AK22" s="341">
        <f t="shared" si="27"/>
        <v>0</v>
      </c>
      <c r="AM22" s="273">
        <v>0</v>
      </c>
      <c r="AN22" s="273">
        <f t="shared" si="28"/>
        <v>0</v>
      </c>
      <c r="AO22" s="273">
        <f t="shared" si="7"/>
        <v>0</v>
      </c>
    </row>
    <row r="23" spans="1:41" ht="16.149999999999999" customHeight="1">
      <c r="A23" s="198">
        <v>17</v>
      </c>
      <c r="B23" s="199" t="s">
        <v>89</v>
      </c>
      <c r="C23" s="995">
        <v>0</v>
      </c>
      <c r="D23" s="201">
        <f>+'Table 5C1A-Madison Prep'!D23</f>
        <v>3363.5980368254495</v>
      </c>
      <c r="E23" s="202">
        <f t="shared" si="8"/>
        <v>0</v>
      </c>
      <c r="F23" s="202">
        <f>+'Table 5C1A-Madison Prep'!F23</f>
        <v>801.47762416806802</v>
      </c>
      <c r="G23" s="202">
        <f t="shared" si="9"/>
        <v>0</v>
      </c>
      <c r="H23" s="345">
        <f t="shared" si="10"/>
        <v>0</v>
      </c>
      <c r="I23" s="203">
        <f>'[1]Oct midyear L.C. Coll Prep'!K20</f>
        <v>0</v>
      </c>
      <c r="J23" s="203">
        <f>'[1]Feb midyear L.C. Coll Prep'!K20</f>
        <v>0</v>
      </c>
      <c r="K23" s="204">
        <f t="shared" si="11"/>
        <v>0</v>
      </c>
      <c r="L23" s="345">
        <f t="shared" si="12"/>
        <v>0</v>
      </c>
      <c r="M23" s="286">
        <f t="shared" si="4"/>
        <v>0</v>
      </c>
      <c r="N23" s="345">
        <f t="shared" si="13"/>
        <v>0</v>
      </c>
      <c r="O23" s="201">
        <v>0</v>
      </c>
      <c r="P23" s="351">
        <f t="shared" si="14"/>
        <v>0</v>
      </c>
      <c r="Q23" s="203">
        <f>8*'[2]Table 5C1S-L.C. Coll Prep'!S23</f>
        <v>0</v>
      </c>
      <c r="R23" s="203">
        <f t="shared" si="15"/>
        <v>0</v>
      </c>
      <c r="S23" s="351">
        <f t="shared" si="5"/>
        <v>0</v>
      </c>
      <c r="T23" s="351">
        <f t="shared" si="16"/>
        <v>0</v>
      </c>
      <c r="U23" s="287">
        <f>'Table 5C1A-Madison Prep'!U23</f>
        <v>6954</v>
      </c>
      <c r="V23" s="328">
        <f t="shared" si="17"/>
        <v>0</v>
      </c>
      <c r="W23" s="289">
        <f>'[1]Oct midyear L.C. Coll Prep'!E20</f>
        <v>0</v>
      </c>
      <c r="X23" s="290">
        <f t="shared" si="18"/>
        <v>0</v>
      </c>
      <c r="Y23" s="289">
        <f>'[1]Feb midyear L.C. Coll Prep'!E20</f>
        <v>0</v>
      </c>
      <c r="Z23" s="290">
        <f t="shared" si="19"/>
        <v>0</v>
      </c>
      <c r="AA23" s="288">
        <f t="shared" si="20"/>
        <v>0</v>
      </c>
      <c r="AB23" s="324">
        <f t="shared" si="21"/>
        <v>0</v>
      </c>
      <c r="AC23" s="292">
        <f t="shared" si="22"/>
        <v>0</v>
      </c>
      <c r="AD23" s="324">
        <f t="shared" si="23"/>
        <v>0</v>
      </c>
      <c r="AE23" s="293">
        <v>0</v>
      </c>
      <c r="AF23" s="324">
        <f t="shared" si="24"/>
        <v>0</v>
      </c>
      <c r="AG23" s="293">
        <f>8*'[2]Table 5C1S-L.C. Coll Prep'!AI23</f>
        <v>0</v>
      </c>
      <c r="AH23" s="293">
        <f t="shared" si="25"/>
        <v>0</v>
      </c>
      <c r="AI23" s="324">
        <f t="shared" si="6"/>
        <v>0</v>
      </c>
      <c r="AJ23" s="321">
        <f t="shared" si="26"/>
        <v>0</v>
      </c>
      <c r="AK23" s="342">
        <f t="shared" si="27"/>
        <v>0</v>
      </c>
      <c r="AM23" s="286">
        <v>0</v>
      </c>
      <c r="AN23" s="286">
        <f t="shared" si="28"/>
        <v>0</v>
      </c>
      <c r="AO23" s="286">
        <f t="shared" si="7"/>
        <v>0</v>
      </c>
    </row>
    <row r="24" spans="1:41" ht="16.149999999999999" customHeight="1">
      <c r="A24" s="198">
        <v>18</v>
      </c>
      <c r="B24" s="199" t="s">
        <v>90</v>
      </c>
      <c r="C24" s="995">
        <v>0</v>
      </c>
      <c r="D24" s="201">
        <f>+'Table 5C1A-Madison Prep'!D24</f>
        <v>6354.5533500475731</v>
      </c>
      <c r="E24" s="202">
        <f t="shared" si="8"/>
        <v>0</v>
      </c>
      <c r="F24" s="202">
        <f>+'Table 5C1A-Madison Prep'!F24</f>
        <v>845.94999999999993</v>
      </c>
      <c r="G24" s="202">
        <f t="shared" si="9"/>
        <v>0</v>
      </c>
      <c r="H24" s="345">
        <f t="shared" si="10"/>
        <v>0</v>
      </c>
      <c r="I24" s="203">
        <f>'[1]Oct midyear L.C. Coll Prep'!K21</f>
        <v>0</v>
      </c>
      <c r="J24" s="203">
        <f>'[1]Feb midyear L.C. Coll Prep'!K21</f>
        <v>0</v>
      </c>
      <c r="K24" s="204">
        <f t="shared" si="11"/>
        <v>0</v>
      </c>
      <c r="L24" s="345">
        <f t="shared" si="12"/>
        <v>0</v>
      </c>
      <c r="M24" s="286">
        <f t="shared" si="4"/>
        <v>0</v>
      </c>
      <c r="N24" s="345">
        <f t="shared" si="13"/>
        <v>0</v>
      </c>
      <c r="O24" s="201">
        <v>0</v>
      </c>
      <c r="P24" s="351">
        <f t="shared" si="14"/>
        <v>0</v>
      </c>
      <c r="Q24" s="203">
        <f>8*'[2]Table 5C1S-L.C. Coll Prep'!S24</f>
        <v>0</v>
      </c>
      <c r="R24" s="203">
        <f t="shared" si="15"/>
        <v>0</v>
      </c>
      <c r="S24" s="351">
        <f t="shared" si="5"/>
        <v>0</v>
      </c>
      <c r="T24" s="351">
        <f t="shared" si="16"/>
        <v>0</v>
      </c>
      <c r="U24" s="287">
        <f>'Table 5C1A-Madison Prep'!U24</f>
        <v>2442</v>
      </c>
      <c r="V24" s="328">
        <f t="shared" si="17"/>
        <v>0</v>
      </c>
      <c r="W24" s="289">
        <f>'[1]Oct midyear L.C. Coll Prep'!E21</f>
        <v>0</v>
      </c>
      <c r="X24" s="290">
        <f t="shared" si="18"/>
        <v>0</v>
      </c>
      <c r="Y24" s="289">
        <f>'[1]Feb midyear L.C. Coll Prep'!E21</f>
        <v>0</v>
      </c>
      <c r="Z24" s="290">
        <f t="shared" si="19"/>
        <v>0</v>
      </c>
      <c r="AA24" s="288">
        <f t="shared" si="20"/>
        <v>0</v>
      </c>
      <c r="AB24" s="324">
        <f t="shared" si="21"/>
        <v>0</v>
      </c>
      <c r="AC24" s="292">
        <f t="shared" si="22"/>
        <v>0</v>
      </c>
      <c r="AD24" s="324">
        <f t="shared" si="23"/>
        <v>0</v>
      </c>
      <c r="AE24" s="293">
        <v>0</v>
      </c>
      <c r="AF24" s="324">
        <f t="shared" si="24"/>
        <v>0</v>
      </c>
      <c r="AG24" s="293">
        <f>8*'[2]Table 5C1S-L.C. Coll Prep'!AI24</f>
        <v>0</v>
      </c>
      <c r="AH24" s="293">
        <f t="shared" si="25"/>
        <v>0</v>
      </c>
      <c r="AI24" s="324">
        <f t="shared" si="6"/>
        <v>0</v>
      </c>
      <c r="AJ24" s="321">
        <f t="shared" si="26"/>
        <v>0</v>
      </c>
      <c r="AK24" s="342">
        <f t="shared" si="27"/>
        <v>0</v>
      </c>
      <c r="AM24" s="286">
        <v>0</v>
      </c>
      <c r="AN24" s="286">
        <f t="shared" si="28"/>
        <v>0</v>
      </c>
      <c r="AO24" s="286">
        <f t="shared" si="7"/>
        <v>0</v>
      </c>
    </row>
    <row r="25" spans="1:41" ht="16.149999999999999" customHeight="1">
      <c r="A25" s="198">
        <v>19</v>
      </c>
      <c r="B25" s="199" t="s">
        <v>91</v>
      </c>
      <c r="C25" s="995">
        <v>0</v>
      </c>
      <c r="D25" s="201">
        <f>+'Table 5C1A-Madison Prep'!D25</f>
        <v>5314.3921869460446</v>
      </c>
      <c r="E25" s="202">
        <f t="shared" si="8"/>
        <v>0</v>
      </c>
      <c r="F25" s="202">
        <f>+'Table 5C1A-Madison Prep'!F25</f>
        <v>905.43</v>
      </c>
      <c r="G25" s="202">
        <f t="shared" si="9"/>
        <v>0</v>
      </c>
      <c r="H25" s="345">
        <f t="shared" si="10"/>
        <v>0</v>
      </c>
      <c r="I25" s="203">
        <f>'[1]Oct midyear L.C. Coll Prep'!K22</f>
        <v>0</v>
      </c>
      <c r="J25" s="203">
        <f>'[1]Feb midyear L.C. Coll Prep'!K22</f>
        <v>0</v>
      </c>
      <c r="K25" s="204">
        <f t="shared" si="11"/>
        <v>0</v>
      </c>
      <c r="L25" s="345">
        <f t="shared" si="12"/>
        <v>0</v>
      </c>
      <c r="M25" s="286">
        <f t="shared" si="4"/>
        <v>0</v>
      </c>
      <c r="N25" s="345">
        <f t="shared" si="13"/>
        <v>0</v>
      </c>
      <c r="O25" s="201">
        <v>0</v>
      </c>
      <c r="P25" s="351">
        <f t="shared" si="14"/>
        <v>0</v>
      </c>
      <c r="Q25" s="203">
        <f>8*'[2]Table 5C1S-L.C. Coll Prep'!S25</f>
        <v>0</v>
      </c>
      <c r="R25" s="203">
        <f t="shared" si="15"/>
        <v>0</v>
      </c>
      <c r="S25" s="351">
        <f t="shared" si="5"/>
        <v>0</v>
      </c>
      <c r="T25" s="351">
        <f t="shared" si="16"/>
        <v>0</v>
      </c>
      <c r="U25" s="287">
        <f>'Table 5C1A-Madison Prep'!U25</f>
        <v>3051</v>
      </c>
      <c r="V25" s="328">
        <f t="shared" si="17"/>
        <v>0</v>
      </c>
      <c r="W25" s="289">
        <f>'[1]Oct midyear L.C. Coll Prep'!E22</f>
        <v>0</v>
      </c>
      <c r="X25" s="290">
        <f t="shared" si="18"/>
        <v>0</v>
      </c>
      <c r="Y25" s="289">
        <f>'[1]Feb midyear L.C. Coll Prep'!E22</f>
        <v>0</v>
      </c>
      <c r="Z25" s="290">
        <f t="shared" si="19"/>
        <v>0</v>
      </c>
      <c r="AA25" s="288">
        <f t="shared" si="20"/>
        <v>0</v>
      </c>
      <c r="AB25" s="324">
        <f t="shared" si="21"/>
        <v>0</v>
      </c>
      <c r="AC25" s="292">
        <f t="shared" si="22"/>
        <v>0</v>
      </c>
      <c r="AD25" s="324">
        <f t="shared" si="23"/>
        <v>0</v>
      </c>
      <c r="AE25" s="293">
        <v>0</v>
      </c>
      <c r="AF25" s="324">
        <f t="shared" si="24"/>
        <v>0</v>
      </c>
      <c r="AG25" s="293">
        <f>8*'[2]Table 5C1S-L.C. Coll Prep'!AI25</f>
        <v>0</v>
      </c>
      <c r="AH25" s="293">
        <f t="shared" si="25"/>
        <v>0</v>
      </c>
      <c r="AI25" s="324">
        <f t="shared" si="6"/>
        <v>0</v>
      </c>
      <c r="AJ25" s="321">
        <f t="shared" si="26"/>
        <v>0</v>
      </c>
      <c r="AK25" s="342">
        <f t="shared" si="27"/>
        <v>0</v>
      </c>
      <c r="AM25" s="286">
        <v>0</v>
      </c>
      <c r="AN25" s="286">
        <f t="shared" si="28"/>
        <v>0</v>
      </c>
      <c r="AO25" s="286">
        <f t="shared" si="7"/>
        <v>0</v>
      </c>
    </row>
    <row r="26" spans="1:41" ht="16.149999999999999" customHeight="1">
      <c r="A26" s="191">
        <v>20</v>
      </c>
      <c r="B26" s="192" t="s">
        <v>92</v>
      </c>
      <c r="C26" s="996">
        <v>0</v>
      </c>
      <c r="D26" s="194">
        <f>+'Table 5C1A-Madison Prep'!D26</f>
        <v>5278.5201565562011</v>
      </c>
      <c r="E26" s="195">
        <f t="shared" si="8"/>
        <v>0</v>
      </c>
      <c r="F26" s="195">
        <f>+'Table 5C1A-Madison Prep'!F26</f>
        <v>586.16999999999996</v>
      </c>
      <c r="G26" s="195">
        <f t="shared" si="9"/>
        <v>0</v>
      </c>
      <c r="H26" s="346">
        <f t="shared" si="10"/>
        <v>0</v>
      </c>
      <c r="I26" s="196">
        <f>'[1]Oct midyear L.C. Coll Prep'!K23</f>
        <v>0</v>
      </c>
      <c r="J26" s="196">
        <f>'[1]Feb midyear L.C. Coll Prep'!K23</f>
        <v>0</v>
      </c>
      <c r="K26" s="197">
        <f t="shared" si="11"/>
        <v>0</v>
      </c>
      <c r="L26" s="346">
        <f t="shared" si="12"/>
        <v>0</v>
      </c>
      <c r="M26" s="296">
        <f t="shared" si="4"/>
        <v>0</v>
      </c>
      <c r="N26" s="346">
        <f t="shared" si="13"/>
        <v>0</v>
      </c>
      <c r="O26" s="194">
        <v>0</v>
      </c>
      <c r="P26" s="352">
        <f t="shared" si="14"/>
        <v>0</v>
      </c>
      <c r="Q26" s="196">
        <f>8*'[2]Table 5C1S-L.C. Coll Prep'!S26</f>
        <v>0</v>
      </c>
      <c r="R26" s="196">
        <f t="shared" si="15"/>
        <v>0</v>
      </c>
      <c r="S26" s="352">
        <f t="shared" si="5"/>
        <v>0</v>
      </c>
      <c r="T26" s="352">
        <f t="shared" si="16"/>
        <v>0</v>
      </c>
      <c r="U26" s="281">
        <f>'Table 5C1A-Madison Prep'!U26</f>
        <v>2484</v>
      </c>
      <c r="V26" s="329">
        <f t="shared" si="17"/>
        <v>0</v>
      </c>
      <c r="W26" s="884">
        <f>'[1]Oct midyear L.C. Coll Prep'!E23</f>
        <v>0</v>
      </c>
      <c r="X26" s="282">
        <f t="shared" si="18"/>
        <v>0</v>
      </c>
      <c r="Y26" s="884">
        <f>'[1]Feb midyear L.C. Coll Prep'!E23</f>
        <v>0</v>
      </c>
      <c r="Z26" s="282">
        <f t="shared" si="19"/>
        <v>0</v>
      </c>
      <c r="AA26" s="283">
        <f t="shared" si="20"/>
        <v>0</v>
      </c>
      <c r="AB26" s="325">
        <f t="shared" si="21"/>
        <v>0</v>
      </c>
      <c r="AC26" s="298">
        <f t="shared" si="22"/>
        <v>0</v>
      </c>
      <c r="AD26" s="325">
        <f t="shared" si="23"/>
        <v>0</v>
      </c>
      <c r="AE26" s="284">
        <v>0</v>
      </c>
      <c r="AF26" s="325">
        <f t="shared" si="24"/>
        <v>0</v>
      </c>
      <c r="AG26" s="284">
        <f>8*'[2]Table 5C1S-L.C. Coll Prep'!AI26</f>
        <v>0</v>
      </c>
      <c r="AH26" s="284">
        <f t="shared" si="25"/>
        <v>0</v>
      </c>
      <c r="AI26" s="325">
        <f t="shared" si="6"/>
        <v>0</v>
      </c>
      <c r="AJ26" s="338">
        <f t="shared" si="26"/>
        <v>0</v>
      </c>
      <c r="AK26" s="343">
        <f t="shared" si="27"/>
        <v>0</v>
      </c>
      <c r="AM26" s="296">
        <v>0</v>
      </c>
      <c r="AN26" s="296">
        <f t="shared" si="28"/>
        <v>0</v>
      </c>
      <c r="AO26" s="296">
        <f t="shared" si="7"/>
        <v>0</v>
      </c>
    </row>
    <row r="27" spans="1:41" ht="16.149999999999999" customHeight="1">
      <c r="A27" s="205">
        <v>21</v>
      </c>
      <c r="B27" s="206" t="s">
        <v>93</v>
      </c>
      <c r="C27" s="994">
        <v>0</v>
      </c>
      <c r="D27" s="208">
        <f>+'Table 5C1A-Madison Prep'!D27</f>
        <v>6082.3042295867763</v>
      </c>
      <c r="E27" s="209">
        <f t="shared" si="8"/>
        <v>0</v>
      </c>
      <c r="F27" s="209">
        <f>+'Table 5C1A-Madison Prep'!F27</f>
        <v>610.35</v>
      </c>
      <c r="G27" s="209">
        <f t="shared" si="9"/>
        <v>0</v>
      </c>
      <c r="H27" s="344">
        <f t="shared" si="10"/>
        <v>0</v>
      </c>
      <c r="I27" s="210">
        <f>'[1]Oct midyear L.C. Coll Prep'!K24</f>
        <v>0</v>
      </c>
      <c r="J27" s="210">
        <f>'[1]Feb midyear L.C. Coll Prep'!K24</f>
        <v>0</v>
      </c>
      <c r="K27" s="211">
        <f t="shared" si="11"/>
        <v>0</v>
      </c>
      <c r="L27" s="344">
        <f t="shared" si="12"/>
        <v>0</v>
      </c>
      <c r="M27" s="273">
        <f t="shared" si="4"/>
        <v>0</v>
      </c>
      <c r="N27" s="344">
        <f t="shared" si="13"/>
        <v>0</v>
      </c>
      <c r="O27" s="208">
        <v>0</v>
      </c>
      <c r="P27" s="350">
        <f t="shared" si="14"/>
        <v>0</v>
      </c>
      <c r="Q27" s="210">
        <f>8*'[2]Table 5C1S-L.C. Coll Prep'!S27</f>
        <v>0</v>
      </c>
      <c r="R27" s="210">
        <f t="shared" si="15"/>
        <v>0</v>
      </c>
      <c r="S27" s="350">
        <f t="shared" si="5"/>
        <v>0</v>
      </c>
      <c r="T27" s="350">
        <f t="shared" si="16"/>
        <v>0</v>
      </c>
      <c r="U27" s="274">
        <f>'Table 5C1A-Madison Prep'!U27</f>
        <v>2487</v>
      </c>
      <c r="V27" s="327">
        <f t="shared" si="17"/>
        <v>0</v>
      </c>
      <c r="W27" s="883">
        <f>'[1]Oct midyear L.C. Coll Prep'!E24</f>
        <v>0</v>
      </c>
      <c r="X27" s="276">
        <f t="shared" si="18"/>
        <v>0</v>
      </c>
      <c r="Y27" s="883">
        <f>'[1]Feb midyear L.C. Coll Prep'!E24</f>
        <v>0</v>
      </c>
      <c r="Z27" s="276">
        <f t="shared" si="19"/>
        <v>0</v>
      </c>
      <c r="AA27" s="275">
        <f t="shared" si="20"/>
        <v>0</v>
      </c>
      <c r="AB27" s="323">
        <f t="shared" si="21"/>
        <v>0</v>
      </c>
      <c r="AC27" s="278">
        <f t="shared" si="22"/>
        <v>0</v>
      </c>
      <c r="AD27" s="323">
        <f t="shared" si="23"/>
        <v>0</v>
      </c>
      <c r="AE27" s="279">
        <v>0</v>
      </c>
      <c r="AF27" s="323">
        <f t="shared" si="24"/>
        <v>0</v>
      </c>
      <c r="AG27" s="279">
        <f>8*'[2]Table 5C1S-L.C. Coll Prep'!AI27</f>
        <v>0</v>
      </c>
      <c r="AH27" s="279">
        <f t="shared" si="25"/>
        <v>0</v>
      </c>
      <c r="AI27" s="323">
        <f t="shared" si="6"/>
        <v>0</v>
      </c>
      <c r="AJ27" s="337">
        <f t="shared" si="26"/>
        <v>0</v>
      </c>
      <c r="AK27" s="341">
        <f t="shared" si="27"/>
        <v>0</v>
      </c>
      <c r="AM27" s="273">
        <v>0</v>
      </c>
      <c r="AN27" s="273">
        <f t="shared" si="28"/>
        <v>0</v>
      </c>
      <c r="AO27" s="273">
        <f t="shared" si="7"/>
        <v>0</v>
      </c>
    </row>
    <row r="28" spans="1:41" ht="16.149999999999999" customHeight="1">
      <c r="A28" s="198">
        <v>22</v>
      </c>
      <c r="B28" s="199" t="s">
        <v>94</v>
      </c>
      <c r="C28" s="995">
        <v>0</v>
      </c>
      <c r="D28" s="201">
        <f>+'Table 5C1A-Madison Prep'!D28</f>
        <v>6416.1099808195995</v>
      </c>
      <c r="E28" s="202">
        <f t="shared" si="8"/>
        <v>0</v>
      </c>
      <c r="F28" s="202">
        <f>+'Table 5C1A-Madison Prep'!F28</f>
        <v>496.36</v>
      </c>
      <c r="G28" s="202">
        <f t="shared" si="9"/>
        <v>0</v>
      </c>
      <c r="H28" s="345">
        <f t="shared" si="10"/>
        <v>0</v>
      </c>
      <c r="I28" s="203">
        <f>'[1]Oct midyear L.C. Coll Prep'!K25</f>
        <v>0</v>
      </c>
      <c r="J28" s="203">
        <f>'[1]Feb midyear L.C. Coll Prep'!K25</f>
        <v>0</v>
      </c>
      <c r="K28" s="204">
        <f t="shared" si="11"/>
        <v>0</v>
      </c>
      <c r="L28" s="345">
        <f t="shared" si="12"/>
        <v>0</v>
      </c>
      <c r="M28" s="286">
        <f t="shared" si="4"/>
        <v>0</v>
      </c>
      <c r="N28" s="345">
        <f t="shared" si="13"/>
        <v>0</v>
      </c>
      <c r="O28" s="201">
        <v>0</v>
      </c>
      <c r="P28" s="351">
        <f t="shared" si="14"/>
        <v>0</v>
      </c>
      <c r="Q28" s="203">
        <f>8*'[2]Table 5C1S-L.C. Coll Prep'!S28</f>
        <v>0</v>
      </c>
      <c r="R28" s="203">
        <f t="shared" si="15"/>
        <v>0</v>
      </c>
      <c r="S28" s="351">
        <f t="shared" si="5"/>
        <v>0</v>
      </c>
      <c r="T28" s="351">
        <f t="shared" si="16"/>
        <v>0</v>
      </c>
      <c r="U28" s="287">
        <f>'Table 5C1A-Madison Prep'!U28</f>
        <v>1584</v>
      </c>
      <c r="V28" s="328">
        <f t="shared" si="17"/>
        <v>0</v>
      </c>
      <c r="W28" s="289">
        <f>'[1]Oct midyear L.C. Coll Prep'!E25</f>
        <v>0</v>
      </c>
      <c r="X28" s="290">
        <f t="shared" si="18"/>
        <v>0</v>
      </c>
      <c r="Y28" s="289">
        <f>'[1]Feb midyear L.C. Coll Prep'!E25</f>
        <v>0</v>
      </c>
      <c r="Z28" s="290">
        <f t="shared" si="19"/>
        <v>0</v>
      </c>
      <c r="AA28" s="288">
        <f t="shared" si="20"/>
        <v>0</v>
      </c>
      <c r="AB28" s="324">
        <f t="shared" si="21"/>
        <v>0</v>
      </c>
      <c r="AC28" s="292">
        <f t="shared" si="22"/>
        <v>0</v>
      </c>
      <c r="AD28" s="324">
        <f t="shared" si="23"/>
        <v>0</v>
      </c>
      <c r="AE28" s="293">
        <v>0</v>
      </c>
      <c r="AF28" s="324">
        <f t="shared" si="24"/>
        <v>0</v>
      </c>
      <c r="AG28" s="293">
        <f>8*'[2]Table 5C1S-L.C. Coll Prep'!AI28</f>
        <v>0</v>
      </c>
      <c r="AH28" s="293">
        <f t="shared" si="25"/>
        <v>0</v>
      </c>
      <c r="AI28" s="324">
        <f t="shared" si="6"/>
        <v>0</v>
      </c>
      <c r="AJ28" s="321">
        <f t="shared" si="26"/>
        <v>0</v>
      </c>
      <c r="AK28" s="342">
        <f t="shared" si="27"/>
        <v>0</v>
      </c>
      <c r="AM28" s="286">
        <v>0</v>
      </c>
      <c r="AN28" s="286">
        <f t="shared" si="28"/>
        <v>0</v>
      </c>
      <c r="AO28" s="286">
        <f t="shared" si="7"/>
        <v>0</v>
      </c>
    </row>
    <row r="29" spans="1:41" ht="16.149999999999999" customHeight="1">
      <c r="A29" s="198">
        <v>23</v>
      </c>
      <c r="B29" s="199" t="s">
        <v>95</v>
      </c>
      <c r="C29" s="995">
        <v>0</v>
      </c>
      <c r="D29" s="201">
        <f>+'Table 5C1A-Madison Prep'!D29</f>
        <v>5011.0215265979159</v>
      </c>
      <c r="E29" s="202">
        <f t="shared" si="8"/>
        <v>0</v>
      </c>
      <c r="F29" s="202">
        <f>+'Table 5C1A-Madison Prep'!F29</f>
        <v>688.58</v>
      </c>
      <c r="G29" s="202">
        <f t="shared" si="9"/>
        <v>0</v>
      </c>
      <c r="H29" s="345">
        <f t="shared" si="10"/>
        <v>0</v>
      </c>
      <c r="I29" s="203">
        <f>'[1]Oct midyear L.C. Coll Prep'!K26</f>
        <v>0</v>
      </c>
      <c r="J29" s="203">
        <f>'[1]Feb midyear L.C. Coll Prep'!K26</f>
        <v>0</v>
      </c>
      <c r="K29" s="204">
        <f t="shared" si="11"/>
        <v>0</v>
      </c>
      <c r="L29" s="345">
        <f t="shared" si="12"/>
        <v>0</v>
      </c>
      <c r="M29" s="286">
        <f t="shared" si="4"/>
        <v>0</v>
      </c>
      <c r="N29" s="345">
        <f t="shared" si="13"/>
        <v>0</v>
      </c>
      <c r="O29" s="201">
        <v>0</v>
      </c>
      <c r="P29" s="351">
        <f t="shared" si="14"/>
        <v>0</v>
      </c>
      <c r="Q29" s="203">
        <f>8*'[2]Table 5C1S-L.C. Coll Prep'!S29</f>
        <v>0</v>
      </c>
      <c r="R29" s="203">
        <f t="shared" si="15"/>
        <v>0</v>
      </c>
      <c r="S29" s="351">
        <f t="shared" si="5"/>
        <v>0</v>
      </c>
      <c r="T29" s="351">
        <f t="shared" si="16"/>
        <v>0</v>
      </c>
      <c r="U29" s="287">
        <f>'Table 5C1A-Madison Prep'!U29</f>
        <v>3500</v>
      </c>
      <c r="V29" s="328">
        <f t="shared" si="17"/>
        <v>0</v>
      </c>
      <c r="W29" s="289">
        <f>'[1]Oct midyear L.C. Coll Prep'!E26</f>
        <v>0</v>
      </c>
      <c r="X29" s="290">
        <f t="shared" si="18"/>
        <v>0</v>
      </c>
      <c r="Y29" s="289">
        <f>'[1]Feb midyear L.C. Coll Prep'!E26</f>
        <v>0</v>
      </c>
      <c r="Z29" s="290">
        <f t="shared" si="19"/>
        <v>0</v>
      </c>
      <c r="AA29" s="288">
        <f t="shared" si="20"/>
        <v>0</v>
      </c>
      <c r="AB29" s="324">
        <f t="shared" si="21"/>
        <v>0</v>
      </c>
      <c r="AC29" s="292">
        <f t="shared" si="22"/>
        <v>0</v>
      </c>
      <c r="AD29" s="324">
        <f t="shared" si="23"/>
        <v>0</v>
      </c>
      <c r="AE29" s="293">
        <v>0</v>
      </c>
      <c r="AF29" s="324">
        <f t="shared" si="24"/>
        <v>0</v>
      </c>
      <c r="AG29" s="293">
        <f>8*'[2]Table 5C1S-L.C. Coll Prep'!AI29</f>
        <v>0</v>
      </c>
      <c r="AH29" s="293">
        <f t="shared" si="25"/>
        <v>0</v>
      </c>
      <c r="AI29" s="324">
        <f t="shared" si="6"/>
        <v>0</v>
      </c>
      <c r="AJ29" s="321">
        <f t="shared" si="26"/>
        <v>0</v>
      </c>
      <c r="AK29" s="342">
        <f t="shared" si="27"/>
        <v>0</v>
      </c>
      <c r="AM29" s="286">
        <v>0</v>
      </c>
      <c r="AN29" s="286">
        <f t="shared" si="28"/>
        <v>0</v>
      </c>
      <c r="AO29" s="286">
        <f t="shared" si="7"/>
        <v>0</v>
      </c>
    </row>
    <row r="30" spans="1:41" ht="16.149999999999999" customHeight="1">
      <c r="A30" s="198">
        <v>24</v>
      </c>
      <c r="B30" s="199" t="s">
        <v>96</v>
      </c>
      <c r="C30" s="995">
        <v>0</v>
      </c>
      <c r="D30" s="201">
        <f>+'Table 5C1A-Madison Prep'!D30</f>
        <v>2611.6740361576999</v>
      </c>
      <c r="E30" s="202">
        <f t="shared" si="8"/>
        <v>0</v>
      </c>
      <c r="F30" s="202">
        <f>+'Table 5C1A-Madison Prep'!F30</f>
        <v>854.24999999999989</v>
      </c>
      <c r="G30" s="202">
        <f t="shared" si="9"/>
        <v>0</v>
      </c>
      <c r="H30" s="345">
        <f t="shared" si="10"/>
        <v>0</v>
      </c>
      <c r="I30" s="203">
        <f>'[1]Oct midyear L.C. Coll Prep'!K27</f>
        <v>0</v>
      </c>
      <c r="J30" s="203">
        <f>'[1]Feb midyear L.C. Coll Prep'!K27</f>
        <v>0</v>
      </c>
      <c r="K30" s="204">
        <f t="shared" si="11"/>
        <v>0</v>
      </c>
      <c r="L30" s="345">
        <f t="shared" si="12"/>
        <v>0</v>
      </c>
      <c r="M30" s="286">
        <f t="shared" si="4"/>
        <v>0</v>
      </c>
      <c r="N30" s="345">
        <f t="shared" si="13"/>
        <v>0</v>
      </c>
      <c r="O30" s="201">
        <v>0</v>
      </c>
      <c r="P30" s="351">
        <f t="shared" si="14"/>
        <v>0</v>
      </c>
      <c r="Q30" s="203">
        <f>8*'[2]Table 5C1S-L.C. Coll Prep'!S30</f>
        <v>0</v>
      </c>
      <c r="R30" s="203">
        <f t="shared" si="15"/>
        <v>0</v>
      </c>
      <c r="S30" s="351">
        <f t="shared" si="5"/>
        <v>0</v>
      </c>
      <c r="T30" s="351">
        <f t="shared" si="16"/>
        <v>0</v>
      </c>
      <c r="U30" s="287">
        <f>'Table 5C1A-Madison Prep'!U30</f>
        <v>11051</v>
      </c>
      <c r="V30" s="328">
        <f t="shared" si="17"/>
        <v>0</v>
      </c>
      <c r="W30" s="289">
        <f>'[1]Oct midyear L.C. Coll Prep'!E27</f>
        <v>0</v>
      </c>
      <c r="X30" s="290">
        <f t="shared" si="18"/>
        <v>0</v>
      </c>
      <c r="Y30" s="289">
        <f>'[1]Feb midyear L.C. Coll Prep'!E27</f>
        <v>0</v>
      </c>
      <c r="Z30" s="290">
        <f t="shared" si="19"/>
        <v>0</v>
      </c>
      <c r="AA30" s="288">
        <f t="shared" si="20"/>
        <v>0</v>
      </c>
      <c r="AB30" s="324">
        <f t="shared" si="21"/>
        <v>0</v>
      </c>
      <c r="AC30" s="292">
        <f t="shared" si="22"/>
        <v>0</v>
      </c>
      <c r="AD30" s="324">
        <f t="shared" si="23"/>
        <v>0</v>
      </c>
      <c r="AE30" s="293">
        <v>0</v>
      </c>
      <c r="AF30" s="324">
        <f t="shared" si="24"/>
        <v>0</v>
      </c>
      <c r="AG30" s="293">
        <f>8*'[2]Table 5C1S-L.C. Coll Prep'!AI30</f>
        <v>0</v>
      </c>
      <c r="AH30" s="293">
        <f t="shared" si="25"/>
        <v>0</v>
      </c>
      <c r="AI30" s="324">
        <f t="shared" si="6"/>
        <v>0</v>
      </c>
      <c r="AJ30" s="321">
        <f t="shared" si="26"/>
        <v>0</v>
      </c>
      <c r="AK30" s="342">
        <f t="shared" si="27"/>
        <v>0</v>
      </c>
      <c r="AM30" s="286">
        <v>0</v>
      </c>
      <c r="AN30" s="286">
        <f t="shared" si="28"/>
        <v>0</v>
      </c>
      <c r="AO30" s="286">
        <f t="shared" si="7"/>
        <v>0</v>
      </c>
    </row>
    <row r="31" spans="1:41" ht="16.149999999999999" customHeight="1">
      <c r="A31" s="191">
        <v>25</v>
      </c>
      <c r="B31" s="192" t="s">
        <v>97</v>
      </c>
      <c r="C31" s="996">
        <v>0</v>
      </c>
      <c r="D31" s="194">
        <f>+'Table 5C1A-Madison Prep'!D31</f>
        <v>4173.0720274945697</v>
      </c>
      <c r="E31" s="195">
        <f t="shared" si="8"/>
        <v>0</v>
      </c>
      <c r="F31" s="195">
        <f>+'Table 5C1A-Madison Prep'!F31</f>
        <v>653.73</v>
      </c>
      <c r="G31" s="195">
        <f t="shared" si="9"/>
        <v>0</v>
      </c>
      <c r="H31" s="346">
        <f t="shared" si="10"/>
        <v>0</v>
      </c>
      <c r="I31" s="196">
        <f>'[1]Oct midyear L.C. Coll Prep'!K28</f>
        <v>0</v>
      </c>
      <c r="J31" s="196">
        <f>'[1]Feb midyear L.C. Coll Prep'!K28</f>
        <v>0</v>
      </c>
      <c r="K31" s="197">
        <f t="shared" si="11"/>
        <v>0</v>
      </c>
      <c r="L31" s="346">
        <f t="shared" si="12"/>
        <v>0</v>
      </c>
      <c r="M31" s="296">
        <f t="shared" si="4"/>
        <v>0</v>
      </c>
      <c r="N31" s="346">
        <f t="shared" si="13"/>
        <v>0</v>
      </c>
      <c r="O31" s="194">
        <v>0</v>
      </c>
      <c r="P31" s="352">
        <f t="shared" si="14"/>
        <v>0</v>
      </c>
      <c r="Q31" s="196">
        <f>8*'[2]Table 5C1S-L.C. Coll Prep'!S31</f>
        <v>0</v>
      </c>
      <c r="R31" s="196">
        <f t="shared" si="15"/>
        <v>0</v>
      </c>
      <c r="S31" s="352">
        <f t="shared" si="5"/>
        <v>0</v>
      </c>
      <c r="T31" s="352">
        <f t="shared" si="16"/>
        <v>0</v>
      </c>
      <c r="U31" s="281">
        <f>'Table 5C1A-Madison Prep'!U31</f>
        <v>5156</v>
      </c>
      <c r="V31" s="329">
        <f t="shared" si="17"/>
        <v>0</v>
      </c>
      <c r="W31" s="884">
        <f>'[1]Oct midyear L.C. Coll Prep'!E28</f>
        <v>0</v>
      </c>
      <c r="X31" s="282">
        <f t="shared" si="18"/>
        <v>0</v>
      </c>
      <c r="Y31" s="884">
        <f>'[1]Feb midyear L.C. Coll Prep'!E28</f>
        <v>0</v>
      </c>
      <c r="Z31" s="282">
        <f t="shared" si="19"/>
        <v>0</v>
      </c>
      <c r="AA31" s="283">
        <f t="shared" si="20"/>
        <v>0</v>
      </c>
      <c r="AB31" s="325">
        <f t="shared" si="21"/>
        <v>0</v>
      </c>
      <c r="AC31" s="298">
        <f t="shared" si="22"/>
        <v>0</v>
      </c>
      <c r="AD31" s="325">
        <f t="shared" si="23"/>
        <v>0</v>
      </c>
      <c r="AE31" s="284">
        <v>0</v>
      </c>
      <c r="AF31" s="325">
        <f t="shared" si="24"/>
        <v>0</v>
      </c>
      <c r="AG31" s="284">
        <f>8*'[2]Table 5C1S-L.C. Coll Prep'!AI31</f>
        <v>0</v>
      </c>
      <c r="AH31" s="284">
        <f t="shared" si="25"/>
        <v>0</v>
      </c>
      <c r="AI31" s="325">
        <f t="shared" si="6"/>
        <v>0</v>
      </c>
      <c r="AJ31" s="338">
        <f t="shared" si="26"/>
        <v>0</v>
      </c>
      <c r="AK31" s="343">
        <f t="shared" si="27"/>
        <v>0</v>
      </c>
      <c r="AM31" s="296">
        <v>0</v>
      </c>
      <c r="AN31" s="296">
        <f t="shared" si="28"/>
        <v>0</v>
      </c>
      <c r="AO31" s="296">
        <f t="shared" si="7"/>
        <v>0</v>
      </c>
    </row>
    <row r="32" spans="1:41" ht="16.149999999999999" customHeight="1">
      <c r="A32" s="205">
        <v>26</v>
      </c>
      <c r="B32" s="206" t="s">
        <v>98</v>
      </c>
      <c r="C32" s="994">
        <v>0</v>
      </c>
      <c r="D32" s="208">
        <f>+'Table 5C1A-Madison Prep'!D32</f>
        <v>3424.5649970570835</v>
      </c>
      <c r="E32" s="209">
        <f t="shared" si="8"/>
        <v>0</v>
      </c>
      <c r="F32" s="209">
        <f>+'Table 5C1A-Madison Prep'!F32</f>
        <v>836.83</v>
      </c>
      <c r="G32" s="209">
        <f t="shared" si="9"/>
        <v>0</v>
      </c>
      <c r="H32" s="344">
        <f t="shared" si="10"/>
        <v>0</v>
      </c>
      <c r="I32" s="210">
        <f>'[1]Oct midyear L.C. Coll Prep'!K29</f>
        <v>0</v>
      </c>
      <c r="J32" s="210">
        <f>'[1]Feb midyear L.C. Coll Prep'!K29</f>
        <v>0</v>
      </c>
      <c r="K32" s="211">
        <f t="shared" si="11"/>
        <v>0</v>
      </c>
      <c r="L32" s="344">
        <f t="shared" si="12"/>
        <v>0</v>
      </c>
      <c r="M32" s="273">
        <f t="shared" si="4"/>
        <v>0</v>
      </c>
      <c r="N32" s="344">
        <f t="shared" si="13"/>
        <v>0</v>
      </c>
      <c r="O32" s="208">
        <v>0</v>
      </c>
      <c r="P32" s="350">
        <f t="shared" si="14"/>
        <v>0</v>
      </c>
      <c r="Q32" s="210">
        <f>8*'[2]Table 5C1S-L.C. Coll Prep'!S32</f>
        <v>0</v>
      </c>
      <c r="R32" s="210">
        <f t="shared" si="15"/>
        <v>0</v>
      </c>
      <c r="S32" s="350">
        <f t="shared" si="5"/>
        <v>0</v>
      </c>
      <c r="T32" s="350">
        <f t="shared" si="16"/>
        <v>0</v>
      </c>
      <c r="U32" s="274">
        <f>'Table 5C1A-Madison Prep'!U32</f>
        <v>5153</v>
      </c>
      <c r="V32" s="327">
        <f t="shared" si="17"/>
        <v>0</v>
      </c>
      <c r="W32" s="883">
        <f>'[1]Oct midyear L.C. Coll Prep'!E29</f>
        <v>0</v>
      </c>
      <c r="X32" s="276">
        <f t="shared" si="18"/>
        <v>0</v>
      </c>
      <c r="Y32" s="883">
        <f>'[1]Feb midyear L.C. Coll Prep'!E29</f>
        <v>0</v>
      </c>
      <c r="Z32" s="276">
        <f t="shared" si="19"/>
        <v>0</v>
      </c>
      <c r="AA32" s="275">
        <f t="shared" si="20"/>
        <v>0</v>
      </c>
      <c r="AB32" s="323">
        <f t="shared" si="21"/>
        <v>0</v>
      </c>
      <c r="AC32" s="278">
        <f t="shared" si="22"/>
        <v>0</v>
      </c>
      <c r="AD32" s="323">
        <f t="shared" si="23"/>
        <v>0</v>
      </c>
      <c r="AE32" s="279">
        <v>0</v>
      </c>
      <c r="AF32" s="323">
        <f t="shared" si="24"/>
        <v>0</v>
      </c>
      <c r="AG32" s="279">
        <f>8*'[2]Table 5C1S-L.C. Coll Prep'!AI32</f>
        <v>0</v>
      </c>
      <c r="AH32" s="279">
        <f t="shared" si="25"/>
        <v>0</v>
      </c>
      <c r="AI32" s="323">
        <f t="shared" si="6"/>
        <v>0</v>
      </c>
      <c r="AJ32" s="337">
        <f t="shared" si="26"/>
        <v>0</v>
      </c>
      <c r="AK32" s="341">
        <f t="shared" si="27"/>
        <v>0</v>
      </c>
      <c r="AM32" s="273">
        <v>0</v>
      </c>
      <c r="AN32" s="273">
        <f t="shared" si="28"/>
        <v>0</v>
      </c>
      <c r="AO32" s="273">
        <f t="shared" si="7"/>
        <v>0</v>
      </c>
    </row>
    <row r="33" spans="1:41" ht="16.149999999999999" customHeight="1">
      <c r="A33" s="198">
        <v>27</v>
      </c>
      <c r="B33" s="199" t="s">
        <v>99</v>
      </c>
      <c r="C33" s="995">
        <v>0</v>
      </c>
      <c r="D33" s="201">
        <f>+'Table 5C1A-Madison Prep'!D33</f>
        <v>5804.9013839977006</v>
      </c>
      <c r="E33" s="202">
        <f t="shared" si="8"/>
        <v>0</v>
      </c>
      <c r="F33" s="202">
        <f>+'Table 5C1A-Madison Prep'!F33</f>
        <v>693.06</v>
      </c>
      <c r="G33" s="202">
        <f t="shared" si="9"/>
        <v>0</v>
      </c>
      <c r="H33" s="345">
        <f t="shared" si="10"/>
        <v>0</v>
      </c>
      <c r="I33" s="203">
        <f>'[1]Oct midyear L.C. Coll Prep'!K30</f>
        <v>0</v>
      </c>
      <c r="J33" s="203">
        <f>'[1]Feb midyear L.C. Coll Prep'!K30</f>
        <v>0</v>
      </c>
      <c r="K33" s="204">
        <f t="shared" si="11"/>
        <v>0</v>
      </c>
      <c r="L33" s="345">
        <f t="shared" si="12"/>
        <v>0</v>
      </c>
      <c r="M33" s="286">
        <f t="shared" si="4"/>
        <v>0</v>
      </c>
      <c r="N33" s="345">
        <f t="shared" si="13"/>
        <v>0</v>
      </c>
      <c r="O33" s="201">
        <v>0</v>
      </c>
      <c r="P33" s="351">
        <f t="shared" si="14"/>
        <v>0</v>
      </c>
      <c r="Q33" s="203">
        <f>8*'[2]Table 5C1S-L.C. Coll Prep'!S33</f>
        <v>0</v>
      </c>
      <c r="R33" s="203">
        <f t="shared" si="15"/>
        <v>0</v>
      </c>
      <c r="S33" s="351">
        <f t="shared" si="5"/>
        <v>0</v>
      </c>
      <c r="T33" s="351">
        <f t="shared" si="16"/>
        <v>0</v>
      </c>
      <c r="U33" s="287">
        <f>'Table 5C1A-Madison Prep'!U33</f>
        <v>3225</v>
      </c>
      <c r="V33" s="328">
        <f t="shared" si="17"/>
        <v>0</v>
      </c>
      <c r="W33" s="289">
        <f>'[1]Oct midyear L.C. Coll Prep'!E30</f>
        <v>0</v>
      </c>
      <c r="X33" s="290">
        <f t="shared" si="18"/>
        <v>0</v>
      </c>
      <c r="Y33" s="289">
        <f>'[1]Feb midyear L.C. Coll Prep'!E30</f>
        <v>0</v>
      </c>
      <c r="Z33" s="290">
        <f t="shared" si="19"/>
        <v>0</v>
      </c>
      <c r="AA33" s="288">
        <f t="shared" si="20"/>
        <v>0</v>
      </c>
      <c r="AB33" s="324">
        <f t="shared" si="21"/>
        <v>0</v>
      </c>
      <c r="AC33" s="292">
        <f t="shared" si="22"/>
        <v>0</v>
      </c>
      <c r="AD33" s="324">
        <f t="shared" si="23"/>
        <v>0</v>
      </c>
      <c r="AE33" s="293">
        <v>0</v>
      </c>
      <c r="AF33" s="324">
        <f t="shared" si="24"/>
        <v>0</v>
      </c>
      <c r="AG33" s="293">
        <f>8*'[2]Table 5C1S-L.C. Coll Prep'!AI33</f>
        <v>0</v>
      </c>
      <c r="AH33" s="293">
        <f t="shared" si="25"/>
        <v>0</v>
      </c>
      <c r="AI33" s="324">
        <f t="shared" si="6"/>
        <v>0</v>
      </c>
      <c r="AJ33" s="321">
        <f t="shared" si="26"/>
        <v>0</v>
      </c>
      <c r="AK33" s="342">
        <f t="shared" si="27"/>
        <v>0</v>
      </c>
      <c r="AM33" s="286">
        <v>0</v>
      </c>
      <c r="AN33" s="286">
        <f t="shared" si="28"/>
        <v>0</v>
      </c>
      <c r="AO33" s="286">
        <f t="shared" si="7"/>
        <v>0</v>
      </c>
    </row>
    <row r="34" spans="1:41" ht="16.149999999999999" customHeight="1">
      <c r="A34" s="198">
        <v>28</v>
      </c>
      <c r="B34" s="199" t="s">
        <v>100</v>
      </c>
      <c r="C34" s="995">
        <v>0</v>
      </c>
      <c r="D34" s="201">
        <f>+'Table 5C1A-Madison Prep'!D34</f>
        <v>3137.4158846568821</v>
      </c>
      <c r="E34" s="202">
        <f t="shared" si="8"/>
        <v>0</v>
      </c>
      <c r="F34" s="202">
        <f>+'Table 5C1A-Madison Prep'!F34</f>
        <v>694.4</v>
      </c>
      <c r="G34" s="202">
        <f t="shared" si="9"/>
        <v>0</v>
      </c>
      <c r="H34" s="345">
        <f t="shared" si="10"/>
        <v>0</v>
      </c>
      <c r="I34" s="203">
        <f>'[1]Oct midyear L.C. Coll Prep'!K31</f>
        <v>0</v>
      </c>
      <c r="J34" s="203">
        <f>'[1]Feb midyear L.C. Coll Prep'!K31</f>
        <v>0</v>
      </c>
      <c r="K34" s="204">
        <f t="shared" si="11"/>
        <v>0</v>
      </c>
      <c r="L34" s="345">
        <f t="shared" si="12"/>
        <v>0</v>
      </c>
      <c r="M34" s="286">
        <f t="shared" si="4"/>
        <v>0</v>
      </c>
      <c r="N34" s="345">
        <f t="shared" si="13"/>
        <v>0</v>
      </c>
      <c r="O34" s="201">
        <v>0</v>
      </c>
      <c r="P34" s="351">
        <f t="shared" si="14"/>
        <v>0</v>
      </c>
      <c r="Q34" s="203">
        <f>8*'[2]Table 5C1S-L.C. Coll Prep'!S34</f>
        <v>0</v>
      </c>
      <c r="R34" s="203">
        <f t="shared" si="15"/>
        <v>0</v>
      </c>
      <c r="S34" s="351">
        <f t="shared" si="5"/>
        <v>0</v>
      </c>
      <c r="T34" s="351">
        <f t="shared" si="16"/>
        <v>0</v>
      </c>
      <c r="U34" s="287">
        <f>'Table 5C1A-Madison Prep'!U34</f>
        <v>5816</v>
      </c>
      <c r="V34" s="328">
        <f t="shared" si="17"/>
        <v>0</v>
      </c>
      <c r="W34" s="289">
        <f>'[1]Oct midyear L.C. Coll Prep'!E31</f>
        <v>0</v>
      </c>
      <c r="X34" s="290">
        <f t="shared" si="18"/>
        <v>0</v>
      </c>
      <c r="Y34" s="289">
        <f>'[1]Feb midyear L.C. Coll Prep'!E31</f>
        <v>0</v>
      </c>
      <c r="Z34" s="290">
        <f t="shared" si="19"/>
        <v>0</v>
      </c>
      <c r="AA34" s="288">
        <f t="shared" si="20"/>
        <v>0</v>
      </c>
      <c r="AB34" s="324">
        <f t="shared" si="21"/>
        <v>0</v>
      </c>
      <c r="AC34" s="292">
        <f t="shared" si="22"/>
        <v>0</v>
      </c>
      <c r="AD34" s="324">
        <f t="shared" si="23"/>
        <v>0</v>
      </c>
      <c r="AE34" s="293">
        <v>0</v>
      </c>
      <c r="AF34" s="324">
        <f t="shared" si="24"/>
        <v>0</v>
      </c>
      <c r="AG34" s="293">
        <f>8*'[2]Table 5C1S-L.C. Coll Prep'!AI34</f>
        <v>0</v>
      </c>
      <c r="AH34" s="293">
        <f t="shared" si="25"/>
        <v>0</v>
      </c>
      <c r="AI34" s="324">
        <f t="shared" si="6"/>
        <v>0</v>
      </c>
      <c r="AJ34" s="321">
        <f t="shared" si="26"/>
        <v>0</v>
      </c>
      <c r="AK34" s="342">
        <f t="shared" si="27"/>
        <v>0</v>
      </c>
      <c r="AM34" s="286">
        <v>0</v>
      </c>
      <c r="AN34" s="286">
        <f t="shared" si="28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v>0</v>
      </c>
      <c r="D35" s="201">
        <f>+'Table 5C1A-Madison Prep'!D35</f>
        <v>3839.0123210173724</v>
      </c>
      <c r="E35" s="202">
        <f t="shared" si="8"/>
        <v>0</v>
      </c>
      <c r="F35" s="202">
        <f>+'Table 5C1A-Madison Prep'!F35</f>
        <v>754.94999999999993</v>
      </c>
      <c r="G35" s="202">
        <f t="shared" si="9"/>
        <v>0</v>
      </c>
      <c r="H35" s="345">
        <f t="shared" si="10"/>
        <v>0</v>
      </c>
      <c r="I35" s="203">
        <f>'[1]Oct midyear L.C. Coll Prep'!K32</f>
        <v>0</v>
      </c>
      <c r="J35" s="203">
        <f>'[1]Feb midyear L.C. Coll Prep'!K32</f>
        <v>0</v>
      </c>
      <c r="K35" s="204">
        <f t="shared" si="11"/>
        <v>0</v>
      </c>
      <c r="L35" s="345">
        <f t="shared" si="12"/>
        <v>0</v>
      </c>
      <c r="M35" s="286">
        <f t="shared" si="4"/>
        <v>0</v>
      </c>
      <c r="N35" s="345">
        <f t="shared" si="13"/>
        <v>0</v>
      </c>
      <c r="O35" s="201">
        <v>0</v>
      </c>
      <c r="P35" s="351">
        <f t="shared" si="14"/>
        <v>0</v>
      </c>
      <c r="Q35" s="203">
        <f>8*'[2]Table 5C1S-L.C. Coll Prep'!S35</f>
        <v>0</v>
      </c>
      <c r="R35" s="203">
        <f t="shared" si="15"/>
        <v>0</v>
      </c>
      <c r="S35" s="351">
        <f t="shared" si="5"/>
        <v>0</v>
      </c>
      <c r="T35" s="351">
        <f t="shared" si="16"/>
        <v>0</v>
      </c>
      <c r="U35" s="287">
        <f>'Table 5C1A-Madison Prep'!U35</f>
        <v>5046</v>
      </c>
      <c r="V35" s="328">
        <f t="shared" si="17"/>
        <v>0</v>
      </c>
      <c r="W35" s="289">
        <f>'[1]Oct midyear L.C. Coll Prep'!E32</f>
        <v>0</v>
      </c>
      <c r="X35" s="290">
        <f t="shared" si="18"/>
        <v>0</v>
      </c>
      <c r="Y35" s="289">
        <f>'[1]Feb midyear L.C. Coll Prep'!E32</f>
        <v>0</v>
      </c>
      <c r="Z35" s="290">
        <f t="shared" si="19"/>
        <v>0</v>
      </c>
      <c r="AA35" s="288">
        <f t="shared" si="20"/>
        <v>0</v>
      </c>
      <c r="AB35" s="324">
        <f t="shared" si="21"/>
        <v>0</v>
      </c>
      <c r="AC35" s="292">
        <f t="shared" si="22"/>
        <v>0</v>
      </c>
      <c r="AD35" s="324">
        <f t="shared" si="23"/>
        <v>0</v>
      </c>
      <c r="AE35" s="293">
        <v>0</v>
      </c>
      <c r="AF35" s="324">
        <f t="shared" si="24"/>
        <v>0</v>
      </c>
      <c r="AG35" s="293">
        <f>8*'[2]Table 5C1S-L.C. Coll Prep'!AI35</f>
        <v>0</v>
      </c>
      <c r="AH35" s="293">
        <f t="shared" si="25"/>
        <v>0</v>
      </c>
      <c r="AI35" s="324">
        <f t="shared" si="6"/>
        <v>0</v>
      </c>
      <c r="AJ35" s="321">
        <f t="shared" si="26"/>
        <v>0</v>
      </c>
      <c r="AK35" s="342">
        <f t="shared" si="27"/>
        <v>0</v>
      </c>
      <c r="AM35" s="286">
        <v>0</v>
      </c>
      <c r="AN35" s="286">
        <f t="shared" si="28"/>
        <v>0</v>
      </c>
      <c r="AO35" s="286">
        <f t="shared" ref="AO35:AO75" si="29">+AN35-AM35</f>
        <v>0</v>
      </c>
    </row>
    <row r="36" spans="1:41" ht="16.149999999999999" customHeight="1">
      <c r="A36" s="191">
        <v>30</v>
      </c>
      <c r="B36" s="192" t="s">
        <v>102</v>
      </c>
      <c r="C36" s="996">
        <v>0</v>
      </c>
      <c r="D36" s="194">
        <f>+'Table 5C1A-Madison Prep'!D36</f>
        <v>5804.5327273996763</v>
      </c>
      <c r="E36" s="195">
        <f t="shared" si="8"/>
        <v>0</v>
      </c>
      <c r="F36" s="195">
        <f>+'Table 5C1A-Madison Prep'!F36</f>
        <v>727.17</v>
      </c>
      <c r="G36" s="195">
        <f t="shared" si="9"/>
        <v>0</v>
      </c>
      <c r="H36" s="346">
        <f t="shared" si="10"/>
        <v>0</v>
      </c>
      <c r="I36" s="196">
        <f>'[1]Oct midyear L.C. Coll Prep'!K33</f>
        <v>0</v>
      </c>
      <c r="J36" s="196">
        <f>'[1]Feb midyear L.C. Coll Prep'!K33</f>
        <v>0</v>
      </c>
      <c r="K36" s="197">
        <f t="shared" si="11"/>
        <v>0</v>
      </c>
      <c r="L36" s="346">
        <f t="shared" si="12"/>
        <v>0</v>
      </c>
      <c r="M36" s="296">
        <f t="shared" si="4"/>
        <v>0</v>
      </c>
      <c r="N36" s="346">
        <f t="shared" si="13"/>
        <v>0</v>
      </c>
      <c r="O36" s="194">
        <v>0</v>
      </c>
      <c r="P36" s="352">
        <f t="shared" si="14"/>
        <v>0</v>
      </c>
      <c r="Q36" s="196">
        <f>8*'[2]Table 5C1S-L.C. Coll Prep'!S36</f>
        <v>0</v>
      </c>
      <c r="R36" s="196">
        <f t="shared" si="15"/>
        <v>0</v>
      </c>
      <c r="S36" s="352">
        <f t="shared" si="5"/>
        <v>0</v>
      </c>
      <c r="T36" s="352">
        <f t="shared" si="16"/>
        <v>0</v>
      </c>
      <c r="U36" s="281">
        <f>'Table 5C1A-Madison Prep'!U36</f>
        <v>3999</v>
      </c>
      <c r="V36" s="329">
        <f t="shared" si="17"/>
        <v>0</v>
      </c>
      <c r="W36" s="884">
        <f>'[1]Oct midyear L.C. Coll Prep'!E33</f>
        <v>0</v>
      </c>
      <c r="X36" s="282">
        <f t="shared" si="18"/>
        <v>0</v>
      </c>
      <c r="Y36" s="884">
        <f>'[1]Feb midyear L.C. Coll Prep'!E33</f>
        <v>0</v>
      </c>
      <c r="Z36" s="282">
        <f t="shared" si="19"/>
        <v>0</v>
      </c>
      <c r="AA36" s="283">
        <f t="shared" si="20"/>
        <v>0</v>
      </c>
      <c r="AB36" s="325">
        <f t="shared" si="21"/>
        <v>0</v>
      </c>
      <c r="AC36" s="298">
        <f t="shared" si="22"/>
        <v>0</v>
      </c>
      <c r="AD36" s="325">
        <f t="shared" si="23"/>
        <v>0</v>
      </c>
      <c r="AE36" s="284">
        <v>0</v>
      </c>
      <c r="AF36" s="325">
        <f t="shared" si="24"/>
        <v>0</v>
      </c>
      <c r="AG36" s="284">
        <f>8*'[2]Table 5C1S-L.C. Coll Prep'!AI36</f>
        <v>0</v>
      </c>
      <c r="AH36" s="284">
        <f t="shared" si="25"/>
        <v>0</v>
      </c>
      <c r="AI36" s="325">
        <f t="shared" si="6"/>
        <v>0</v>
      </c>
      <c r="AJ36" s="338">
        <f t="shared" si="26"/>
        <v>0</v>
      </c>
      <c r="AK36" s="343">
        <f t="shared" si="27"/>
        <v>0</v>
      </c>
      <c r="AM36" s="296">
        <v>0</v>
      </c>
      <c r="AN36" s="296">
        <f t="shared" si="28"/>
        <v>0</v>
      </c>
      <c r="AO36" s="296">
        <f t="shared" si="29"/>
        <v>0</v>
      </c>
    </row>
    <row r="37" spans="1:41" ht="16.149999999999999" customHeight="1">
      <c r="A37" s="205">
        <v>31</v>
      </c>
      <c r="B37" s="206" t="s">
        <v>103</v>
      </c>
      <c r="C37" s="994">
        <v>0</v>
      </c>
      <c r="D37" s="208">
        <f>+'Table 5C1A-Madison Prep'!D37</f>
        <v>4520.6176716868531</v>
      </c>
      <c r="E37" s="209">
        <f t="shared" si="8"/>
        <v>0</v>
      </c>
      <c r="F37" s="209">
        <f>+'Table 5C1A-Madison Prep'!F37</f>
        <v>620.83000000000004</v>
      </c>
      <c r="G37" s="209">
        <f t="shared" si="9"/>
        <v>0</v>
      </c>
      <c r="H37" s="344">
        <f t="shared" si="10"/>
        <v>0</v>
      </c>
      <c r="I37" s="210">
        <f>'[1]Oct midyear L.C. Coll Prep'!K34</f>
        <v>0</v>
      </c>
      <c r="J37" s="210">
        <f>'[1]Feb midyear L.C. Coll Prep'!K34</f>
        <v>0</v>
      </c>
      <c r="K37" s="211">
        <f t="shared" si="11"/>
        <v>0</v>
      </c>
      <c r="L37" s="344">
        <f t="shared" si="12"/>
        <v>0</v>
      </c>
      <c r="M37" s="273">
        <f t="shared" si="4"/>
        <v>0</v>
      </c>
      <c r="N37" s="344">
        <f t="shared" si="13"/>
        <v>0</v>
      </c>
      <c r="O37" s="208">
        <v>0</v>
      </c>
      <c r="P37" s="350">
        <f t="shared" si="14"/>
        <v>0</v>
      </c>
      <c r="Q37" s="210">
        <f>8*'[2]Table 5C1S-L.C. Coll Prep'!S37</f>
        <v>0</v>
      </c>
      <c r="R37" s="210">
        <f t="shared" si="15"/>
        <v>0</v>
      </c>
      <c r="S37" s="350">
        <f t="shared" si="5"/>
        <v>0</v>
      </c>
      <c r="T37" s="350">
        <f t="shared" si="16"/>
        <v>0</v>
      </c>
      <c r="U37" s="274">
        <f>'Table 5C1A-Madison Prep'!U37</f>
        <v>5028</v>
      </c>
      <c r="V37" s="327">
        <f t="shared" si="17"/>
        <v>0</v>
      </c>
      <c r="W37" s="883">
        <f>'[1]Oct midyear L.C. Coll Prep'!E34</f>
        <v>0</v>
      </c>
      <c r="X37" s="276">
        <f t="shared" si="18"/>
        <v>0</v>
      </c>
      <c r="Y37" s="883">
        <f>'[1]Feb midyear L.C. Coll Prep'!E34</f>
        <v>0</v>
      </c>
      <c r="Z37" s="276">
        <f t="shared" si="19"/>
        <v>0</v>
      </c>
      <c r="AA37" s="275">
        <f t="shared" si="20"/>
        <v>0</v>
      </c>
      <c r="AB37" s="323">
        <f t="shared" si="21"/>
        <v>0</v>
      </c>
      <c r="AC37" s="278">
        <f t="shared" si="22"/>
        <v>0</v>
      </c>
      <c r="AD37" s="323">
        <f t="shared" si="23"/>
        <v>0</v>
      </c>
      <c r="AE37" s="279">
        <v>0</v>
      </c>
      <c r="AF37" s="323">
        <f t="shared" si="24"/>
        <v>0</v>
      </c>
      <c r="AG37" s="279">
        <f>8*'[2]Table 5C1S-L.C. Coll Prep'!AI37</f>
        <v>0</v>
      </c>
      <c r="AH37" s="279">
        <f t="shared" si="25"/>
        <v>0</v>
      </c>
      <c r="AI37" s="323">
        <f t="shared" si="6"/>
        <v>0</v>
      </c>
      <c r="AJ37" s="337">
        <f t="shared" si="26"/>
        <v>0</v>
      </c>
      <c r="AK37" s="341">
        <f t="shared" si="27"/>
        <v>0</v>
      </c>
      <c r="AM37" s="273">
        <v>0</v>
      </c>
      <c r="AN37" s="273">
        <f t="shared" si="28"/>
        <v>0</v>
      </c>
      <c r="AO37" s="273">
        <f t="shared" si="29"/>
        <v>0</v>
      </c>
    </row>
    <row r="38" spans="1:41" ht="16.149999999999999" customHeight="1">
      <c r="A38" s="198">
        <v>32</v>
      </c>
      <c r="B38" s="199" t="s">
        <v>104</v>
      </c>
      <c r="C38" s="995">
        <v>0</v>
      </c>
      <c r="D38" s="201">
        <f>+'Table 5C1A-Madison Prep'!D38</f>
        <v>5652.819189061127</v>
      </c>
      <c r="E38" s="202">
        <f t="shared" si="8"/>
        <v>0</v>
      </c>
      <c r="F38" s="202">
        <f>+'Table 5C1A-Madison Prep'!F38</f>
        <v>559.77</v>
      </c>
      <c r="G38" s="202">
        <f t="shared" si="9"/>
        <v>0</v>
      </c>
      <c r="H38" s="345">
        <f t="shared" si="10"/>
        <v>0</v>
      </c>
      <c r="I38" s="203">
        <f>'[1]Oct midyear L.C. Coll Prep'!K35</f>
        <v>0</v>
      </c>
      <c r="J38" s="203">
        <f>'[1]Feb midyear L.C. Coll Prep'!K35</f>
        <v>0</v>
      </c>
      <c r="K38" s="204">
        <f t="shared" si="11"/>
        <v>0</v>
      </c>
      <c r="L38" s="345">
        <f t="shared" si="12"/>
        <v>0</v>
      </c>
      <c r="M38" s="286">
        <f t="shared" si="4"/>
        <v>0</v>
      </c>
      <c r="N38" s="345">
        <f t="shared" si="13"/>
        <v>0</v>
      </c>
      <c r="O38" s="201">
        <v>0</v>
      </c>
      <c r="P38" s="351">
        <f t="shared" si="14"/>
        <v>0</v>
      </c>
      <c r="Q38" s="203">
        <f>8*'[2]Table 5C1S-L.C. Coll Prep'!S38</f>
        <v>0</v>
      </c>
      <c r="R38" s="203">
        <f t="shared" si="15"/>
        <v>0</v>
      </c>
      <c r="S38" s="351">
        <f t="shared" si="5"/>
        <v>0</v>
      </c>
      <c r="T38" s="351">
        <f t="shared" si="16"/>
        <v>0</v>
      </c>
      <c r="U38" s="287">
        <f>'Table 5C1A-Madison Prep'!U38</f>
        <v>2139</v>
      </c>
      <c r="V38" s="328">
        <f t="shared" si="17"/>
        <v>0</v>
      </c>
      <c r="W38" s="289">
        <f>'[1]Oct midyear L.C. Coll Prep'!E35</f>
        <v>0</v>
      </c>
      <c r="X38" s="290">
        <f t="shared" si="18"/>
        <v>0</v>
      </c>
      <c r="Y38" s="289">
        <f>'[1]Feb midyear L.C. Coll Prep'!E35</f>
        <v>0</v>
      </c>
      <c r="Z38" s="290">
        <f t="shared" si="19"/>
        <v>0</v>
      </c>
      <c r="AA38" s="288">
        <f t="shared" si="20"/>
        <v>0</v>
      </c>
      <c r="AB38" s="324">
        <f t="shared" si="21"/>
        <v>0</v>
      </c>
      <c r="AC38" s="292">
        <f t="shared" si="22"/>
        <v>0</v>
      </c>
      <c r="AD38" s="324">
        <f t="shared" si="23"/>
        <v>0</v>
      </c>
      <c r="AE38" s="293">
        <v>0</v>
      </c>
      <c r="AF38" s="324">
        <f t="shared" si="24"/>
        <v>0</v>
      </c>
      <c r="AG38" s="293">
        <f>8*'[2]Table 5C1S-L.C. Coll Prep'!AI38</f>
        <v>0</v>
      </c>
      <c r="AH38" s="293">
        <f t="shared" si="25"/>
        <v>0</v>
      </c>
      <c r="AI38" s="324">
        <f t="shared" si="6"/>
        <v>0</v>
      </c>
      <c r="AJ38" s="321">
        <f t="shared" si="26"/>
        <v>0</v>
      </c>
      <c r="AK38" s="342">
        <f t="shared" si="27"/>
        <v>0</v>
      </c>
      <c r="AM38" s="286">
        <v>0</v>
      </c>
      <c r="AN38" s="286">
        <f t="shared" si="28"/>
        <v>0</v>
      </c>
      <c r="AO38" s="286">
        <f t="shared" si="29"/>
        <v>0</v>
      </c>
    </row>
    <row r="39" spans="1:41" ht="16.149999999999999" customHeight="1">
      <c r="A39" s="198">
        <v>33</v>
      </c>
      <c r="B39" s="199" t="s">
        <v>105</v>
      </c>
      <c r="C39" s="995">
        <v>0</v>
      </c>
      <c r="D39" s="201">
        <f>+'Table 5C1A-Madison Prep'!D39</f>
        <v>5456.2254558085233</v>
      </c>
      <c r="E39" s="202">
        <f t="shared" si="8"/>
        <v>0</v>
      </c>
      <c r="F39" s="202">
        <f>+'Table 5C1A-Madison Prep'!F39</f>
        <v>655.31000000000006</v>
      </c>
      <c r="G39" s="202">
        <f t="shared" si="9"/>
        <v>0</v>
      </c>
      <c r="H39" s="345">
        <f t="shared" si="10"/>
        <v>0</v>
      </c>
      <c r="I39" s="203">
        <f>'[1]Oct midyear L.C. Coll Prep'!K36</f>
        <v>0</v>
      </c>
      <c r="J39" s="203">
        <f>'[1]Feb midyear L.C. Coll Prep'!K36</f>
        <v>0</v>
      </c>
      <c r="K39" s="204">
        <f t="shared" si="11"/>
        <v>0</v>
      </c>
      <c r="L39" s="345">
        <f t="shared" si="12"/>
        <v>0</v>
      </c>
      <c r="M39" s="286">
        <f t="shared" si="4"/>
        <v>0</v>
      </c>
      <c r="N39" s="345">
        <f t="shared" si="13"/>
        <v>0</v>
      </c>
      <c r="O39" s="201">
        <v>0</v>
      </c>
      <c r="P39" s="351">
        <f t="shared" si="14"/>
        <v>0</v>
      </c>
      <c r="Q39" s="203">
        <f>8*'[2]Table 5C1S-L.C. Coll Prep'!S39</f>
        <v>0</v>
      </c>
      <c r="R39" s="203">
        <f t="shared" si="15"/>
        <v>0</v>
      </c>
      <c r="S39" s="351">
        <f t="shared" ref="S39:S70" si="30">ROUND(R39/$S$88,0)</f>
        <v>0</v>
      </c>
      <c r="T39" s="351">
        <f t="shared" si="16"/>
        <v>0</v>
      </c>
      <c r="U39" s="287">
        <f>'Table 5C1A-Madison Prep'!U39</f>
        <v>3784</v>
      </c>
      <c r="V39" s="328">
        <f t="shared" si="17"/>
        <v>0</v>
      </c>
      <c r="W39" s="289">
        <f>'[1]Oct midyear L.C. Coll Prep'!E36</f>
        <v>0</v>
      </c>
      <c r="X39" s="290">
        <f t="shared" si="18"/>
        <v>0</v>
      </c>
      <c r="Y39" s="289">
        <f>'[1]Feb midyear L.C. Coll Prep'!E36</f>
        <v>0</v>
      </c>
      <c r="Z39" s="290">
        <f t="shared" si="19"/>
        <v>0</v>
      </c>
      <c r="AA39" s="288">
        <f t="shared" si="20"/>
        <v>0</v>
      </c>
      <c r="AB39" s="324">
        <f t="shared" si="21"/>
        <v>0</v>
      </c>
      <c r="AC39" s="292">
        <f t="shared" si="22"/>
        <v>0</v>
      </c>
      <c r="AD39" s="324">
        <f t="shared" si="23"/>
        <v>0</v>
      </c>
      <c r="AE39" s="293">
        <v>0</v>
      </c>
      <c r="AF39" s="324">
        <f t="shared" si="24"/>
        <v>0</v>
      </c>
      <c r="AG39" s="293">
        <f>8*'[2]Table 5C1S-L.C. Coll Prep'!AI39</f>
        <v>0</v>
      </c>
      <c r="AH39" s="293">
        <f t="shared" si="25"/>
        <v>0</v>
      </c>
      <c r="AI39" s="324">
        <f t="shared" ref="AI39:AI70" si="31">ROUND(AH39/$AI$88,0)</f>
        <v>0</v>
      </c>
      <c r="AJ39" s="321">
        <f t="shared" si="26"/>
        <v>0</v>
      </c>
      <c r="AK39" s="342">
        <f t="shared" si="27"/>
        <v>0</v>
      </c>
      <c r="AM39" s="286">
        <v>0</v>
      </c>
      <c r="AN39" s="286">
        <f t="shared" si="28"/>
        <v>0</v>
      </c>
      <c r="AO39" s="286">
        <f t="shared" si="29"/>
        <v>0</v>
      </c>
    </row>
    <row r="40" spans="1:41" ht="16.149999999999999" customHeight="1">
      <c r="A40" s="198">
        <v>34</v>
      </c>
      <c r="B40" s="199" t="s">
        <v>106</v>
      </c>
      <c r="C40" s="995">
        <v>0</v>
      </c>
      <c r="D40" s="201">
        <f>+'Table 5C1A-Madison Prep'!D40</f>
        <v>6292.0976842789005</v>
      </c>
      <c r="E40" s="202">
        <f t="shared" si="8"/>
        <v>0</v>
      </c>
      <c r="F40" s="202">
        <f>+'Table 5C1A-Madison Prep'!F40</f>
        <v>644.11000000000013</v>
      </c>
      <c r="G40" s="202">
        <f t="shared" si="9"/>
        <v>0</v>
      </c>
      <c r="H40" s="345">
        <f t="shared" si="10"/>
        <v>0</v>
      </c>
      <c r="I40" s="203">
        <f>'[1]Oct midyear L.C. Coll Prep'!K37</f>
        <v>0</v>
      </c>
      <c r="J40" s="203">
        <f>'[1]Feb midyear L.C. Coll Prep'!K37</f>
        <v>0</v>
      </c>
      <c r="K40" s="204">
        <f t="shared" si="11"/>
        <v>0</v>
      </c>
      <c r="L40" s="345">
        <f t="shared" si="12"/>
        <v>0</v>
      </c>
      <c r="M40" s="286">
        <f t="shared" si="4"/>
        <v>0</v>
      </c>
      <c r="N40" s="345">
        <f t="shared" si="13"/>
        <v>0</v>
      </c>
      <c r="O40" s="201">
        <v>0</v>
      </c>
      <c r="P40" s="351">
        <f t="shared" si="14"/>
        <v>0</v>
      </c>
      <c r="Q40" s="203">
        <f>8*'[2]Table 5C1S-L.C. Coll Prep'!S40</f>
        <v>0</v>
      </c>
      <c r="R40" s="203">
        <f t="shared" si="15"/>
        <v>0</v>
      </c>
      <c r="S40" s="351">
        <f t="shared" si="30"/>
        <v>0</v>
      </c>
      <c r="T40" s="351">
        <f t="shared" si="16"/>
        <v>0</v>
      </c>
      <c r="U40" s="287">
        <f>'Table 5C1A-Madison Prep'!U40</f>
        <v>2911</v>
      </c>
      <c r="V40" s="328">
        <f t="shared" si="17"/>
        <v>0</v>
      </c>
      <c r="W40" s="289">
        <f>'[1]Oct midyear L.C. Coll Prep'!E37</f>
        <v>0</v>
      </c>
      <c r="X40" s="290">
        <f t="shared" si="18"/>
        <v>0</v>
      </c>
      <c r="Y40" s="289">
        <f>'[1]Feb midyear L.C. Coll Prep'!E37</f>
        <v>0</v>
      </c>
      <c r="Z40" s="290">
        <f t="shared" si="19"/>
        <v>0</v>
      </c>
      <c r="AA40" s="288">
        <f t="shared" si="20"/>
        <v>0</v>
      </c>
      <c r="AB40" s="324">
        <f t="shared" si="21"/>
        <v>0</v>
      </c>
      <c r="AC40" s="292">
        <f t="shared" si="22"/>
        <v>0</v>
      </c>
      <c r="AD40" s="324">
        <f t="shared" si="23"/>
        <v>0</v>
      </c>
      <c r="AE40" s="293">
        <v>0</v>
      </c>
      <c r="AF40" s="324">
        <f t="shared" si="24"/>
        <v>0</v>
      </c>
      <c r="AG40" s="293">
        <f>8*'[2]Table 5C1S-L.C. Coll Prep'!AI40</f>
        <v>0</v>
      </c>
      <c r="AH40" s="293">
        <f t="shared" si="25"/>
        <v>0</v>
      </c>
      <c r="AI40" s="324">
        <f t="shared" si="31"/>
        <v>0</v>
      </c>
      <c r="AJ40" s="321">
        <f t="shared" si="26"/>
        <v>0</v>
      </c>
      <c r="AK40" s="342">
        <f t="shared" si="27"/>
        <v>0</v>
      </c>
      <c r="AM40" s="286">
        <v>0</v>
      </c>
      <c r="AN40" s="286">
        <f t="shared" si="28"/>
        <v>0</v>
      </c>
      <c r="AO40" s="286">
        <f t="shared" si="29"/>
        <v>0</v>
      </c>
    </row>
    <row r="41" spans="1:41" ht="16.149999999999999" customHeight="1">
      <c r="A41" s="191">
        <v>35</v>
      </c>
      <c r="B41" s="192" t="s">
        <v>107</v>
      </c>
      <c r="C41" s="996">
        <v>0</v>
      </c>
      <c r="D41" s="194">
        <f>+'Table 5C1A-Madison Prep'!D41</f>
        <v>5166.2482060477605</v>
      </c>
      <c r="E41" s="195">
        <f t="shared" si="8"/>
        <v>0</v>
      </c>
      <c r="F41" s="195">
        <f>+'Table 5C1A-Madison Prep'!F41</f>
        <v>537.96</v>
      </c>
      <c r="G41" s="195">
        <f t="shared" si="9"/>
        <v>0</v>
      </c>
      <c r="H41" s="346">
        <f t="shared" si="10"/>
        <v>0</v>
      </c>
      <c r="I41" s="196">
        <f>'[1]Oct midyear L.C. Coll Prep'!K38</f>
        <v>0</v>
      </c>
      <c r="J41" s="196">
        <f>'[1]Feb midyear L.C. Coll Prep'!K38</f>
        <v>0</v>
      </c>
      <c r="K41" s="197">
        <f t="shared" si="11"/>
        <v>0</v>
      </c>
      <c r="L41" s="346">
        <f t="shared" si="12"/>
        <v>0</v>
      </c>
      <c r="M41" s="296">
        <f t="shared" si="4"/>
        <v>0</v>
      </c>
      <c r="N41" s="346">
        <f t="shared" si="13"/>
        <v>0</v>
      </c>
      <c r="O41" s="194">
        <v>0</v>
      </c>
      <c r="P41" s="352">
        <f t="shared" si="14"/>
        <v>0</v>
      </c>
      <c r="Q41" s="196">
        <f>8*'[2]Table 5C1S-L.C. Coll Prep'!S41</f>
        <v>0</v>
      </c>
      <c r="R41" s="196">
        <f t="shared" si="15"/>
        <v>0</v>
      </c>
      <c r="S41" s="352">
        <f t="shared" si="30"/>
        <v>0</v>
      </c>
      <c r="T41" s="352">
        <f t="shared" si="16"/>
        <v>0</v>
      </c>
      <c r="U41" s="281">
        <f>'Table 5C1A-Madison Prep'!U41</f>
        <v>3337</v>
      </c>
      <c r="V41" s="329">
        <f t="shared" si="17"/>
        <v>0</v>
      </c>
      <c r="W41" s="884">
        <f>'[1]Oct midyear L.C. Coll Prep'!E38</f>
        <v>0</v>
      </c>
      <c r="X41" s="282">
        <f t="shared" si="18"/>
        <v>0</v>
      </c>
      <c r="Y41" s="884">
        <f>'[1]Feb midyear L.C. Coll Prep'!E38</f>
        <v>0</v>
      </c>
      <c r="Z41" s="282">
        <f t="shared" si="19"/>
        <v>0</v>
      </c>
      <c r="AA41" s="283">
        <f t="shared" si="20"/>
        <v>0</v>
      </c>
      <c r="AB41" s="325">
        <f t="shared" si="21"/>
        <v>0</v>
      </c>
      <c r="AC41" s="298">
        <f t="shared" si="22"/>
        <v>0</v>
      </c>
      <c r="AD41" s="325">
        <f t="shared" si="23"/>
        <v>0</v>
      </c>
      <c r="AE41" s="284">
        <v>0</v>
      </c>
      <c r="AF41" s="325">
        <f t="shared" si="24"/>
        <v>0</v>
      </c>
      <c r="AG41" s="284">
        <f>8*'[2]Table 5C1S-L.C. Coll Prep'!AI41</f>
        <v>0</v>
      </c>
      <c r="AH41" s="284">
        <f t="shared" si="25"/>
        <v>0</v>
      </c>
      <c r="AI41" s="325">
        <f t="shared" si="31"/>
        <v>0</v>
      </c>
      <c r="AJ41" s="338">
        <f t="shared" si="26"/>
        <v>0</v>
      </c>
      <c r="AK41" s="343">
        <f t="shared" si="27"/>
        <v>0</v>
      </c>
      <c r="AM41" s="296">
        <v>0</v>
      </c>
      <c r="AN41" s="296">
        <f t="shared" si="28"/>
        <v>0</v>
      </c>
      <c r="AO41" s="296">
        <f t="shared" si="29"/>
        <v>0</v>
      </c>
    </row>
    <row r="42" spans="1:41" ht="16.149999999999999" customHeight="1">
      <c r="A42" s="205">
        <v>36</v>
      </c>
      <c r="B42" s="206" t="s">
        <v>108</v>
      </c>
      <c r="C42" s="994">
        <v>0</v>
      </c>
      <c r="D42" s="208">
        <f>+'Table 5C1A-Madison Prep'!D42</f>
        <v>3602.7009974327857</v>
      </c>
      <c r="E42" s="209">
        <f t="shared" si="8"/>
        <v>0</v>
      </c>
      <c r="F42" s="209">
        <f>+'Table 5C1A-Madison Prep'!F42</f>
        <v>746.0335616438357</v>
      </c>
      <c r="G42" s="209">
        <f t="shared" si="9"/>
        <v>0</v>
      </c>
      <c r="H42" s="344">
        <f t="shared" si="10"/>
        <v>0</v>
      </c>
      <c r="I42" s="210">
        <f>'[1]Oct midyear L.C. Coll Prep'!K39</f>
        <v>0</v>
      </c>
      <c r="J42" s="210">
        <f>'[1]Feb midyear L.C. Coll Prep'!K39</f>
        <v>0</v>
      </c>
      <c r="K42" s="211">
        <f t="shared" si="11"/>
        <v>0</v>
      </c>
      <c r="L42" s="344">
        <f t="shared" si="12"/>
        <v>0</v>
      </c>
      <c r="M42" s="273">
        <f t="shared" si="4"/>
        <v>0</v>
      </c>
      <c r="N42" s="344">
        <f t="shared" si="13"/>
        <v>0</v>
      </c>
      <c r="O42" s="208">
        <v>0</v>
      </c>
      <c r="P42" s="350">
        <f t="shared" si="14"/>
        <v>0</v>
      </c>
      <c r="Q42" s="210">
        <f>8*'[2]Table 5C1S-L.C. Coll Prep'!S42</f>
        <v>0</v>
      </c>
      <c r="R42" s="210">
        <f t="shared" si="15"/>
        <v>0</v>
      </c>
      <c r="S42" s="350">
        <f t="shared" si="30"/>
        <v>0</v>
      </c>
      <c r="T42" s="350">
        <f t="shared" si="16"/>
        <v>0</v>
      </c>
      <c r="U42" s="274">
        <f>'Table 5C1A-Madison Prep'!U42</f>
        <v>5469</v>
      </c>
      <c r="V42" s="327">
        <f t="shared" si="17"/>
        <v>0</v>
      </c>
      <c r="W42" s="883">
        <f>'[1]Oct midyear L.C. Coll Prep'!E39</f>
        <v>0</v>
      </c>
      <c r="X42" s="276">
        <f t="shared" si="18"/>
        <v>0</v>
      </c>
      <c r="Y42" s="883">
        <f>'[1]Feb midyear L.C. Coll Prep'!E39</f>
        <v>0</v>
      </c>
      <c r="Z42" s="276">
        <f t="shared" si="19"/>
        <v>0</v>
      </c>
      <c r="AA42" s="275">
        <f t="shared" si="20"/>
        <v>0</v>
      </c>
      <c r="AB42" s="323">
        <f t="shared" si="21"/>
        <v>0</v>
      </c>
      <c r="AC42" s="278">
        <f t="shared" si="22"/>
        <v>0</v>
      </c>
      <c r="AD42" s="323">
        <f t="shared" si="23"/>
        <v>0</v>
      </c>
      <c r="AE42" s="279">
        <v>0</v>
      </c>
      <c r="AF42" s="323">
        <f t="shared" si="24"/>
        <v>0</v>
      </c>
      <c r="AG42" s="279">
        <f>8*'[2]Table 5C1S-L.C. Coll Prep'!AI42</f>
        <v>0</v>
      </c>
      <c r="AH42" s="279">
        <f t="shared" si="25"/>
        <v>0</v>
      </c>
      <c r="AI42" s="323">
        <f t="shared" si="31"/>
        <v>0</v>
      </c>
      <c r="AJ42" s="337">
        <f t="shared" si="26"/>
        <v>0</v>
      </c>
      <c r="AK42" s="341">
        <f t="shared" si="27"/>
        <v>0</v>
      </c>
      <c r="AM42" s="273">
        <v>0</v>
      </c>
      <c r="AN42" s="273">
        <f t="shared" si="28"/>
        <v>0</v>
      </c>
      <c r="AO42" s="273">
        <f t="shared" si="29"/>
        <v>0</v>
      </c>
    </row>
    <row r="43" spans="1:41" ht="16.149999999999999" customHeight="1">
      <c r="A43" s="198">
        <v>37</v>
      </c>
      <c r="B43" s="199" t="s">
        <v>109</v>
      </c>
      <c r="C43" s="995">
        <v>0</v>
      </c>
      <c r="D43" s="201">
        <f>+'Table 5C1A-Madison Prep'!D43</f>
        <v>5665.3839260317691</v>
      </c>
      <c r="E43" s="202">
        <f t="shared" si="8"/>
        <v>0</v>
      </c>
      <c r="F43" s="202">
        <f>+'Table 5C1A-Madison Prep'!F43</f>
        <v>653.61</v>
      </c>
      <c r="G43" s="202">
        <f t="shared" si="9"/>
        <v>0</v>
      </c>
      <c r="H43" s="345">
        <f t="shared" si="10"/>
        <v>0</v>
      </c>
      <c r="I43" s="203">
        <f>'[1]Oct midyear L.C. Coll Prep'!K40</f>
        <v>0</v>
      </c>
      <c r="J43" s="203">
        <f>'[1]Feb midyear L.C. Coll Prep'!K40</f>
        <v>0</v>
      </c>
      <c r="K43" s="204">
        <f t="shared" si="11"/>
        <v>0</v>
      </c>
      <c r="L43" s="345">
        <f t="shared" si="12"/>
        <v>0</v>
      </c>
      <c r="M43" s="286">
        <f t="shared" si="4"/>
        <v>0</v>
      </c>
      <c r="N43" s="345">
        <f t="shared" si="13"/>
        <v>0</v>
      </c>
      <c r="O43" s="201">
        <v>0</v>
      </c>
      <c r="P43" s="351">
        <f t="shared" si="14"/>
        <v>0</v>
      </c>
      <c r="Q43" s="203">
        <f>8*'[2]Table 5C1S-L.C. Coll Prep'!S43</f>
        <v>0</v>
      </c>
      <c r="R43" s="203">
        <f t="shared" si="15"/>
        <v>0</v>
      </c>
      <c r="S43" s="351">
        <f t="shared" si="30"/>
        <v>0</v>
      </c>
      <c r="T43" s="351">
        <f t="shared" si="16"/>
        <v>0</v>
      </c>
      <c r="U43" s="287">
        <f>'Table 5C1A-Madison Prep'!U43</f>
        <v>3424</v>
      </c>
      <c r="V43" s="328">
        <f t="shared" si="17"/>
        <v>0</v>
      </c>
      <c r="W43" s="289">
        <f>'[1]Oct midyear L.C. Coll Prep'!E40</f>
        <v>0</v>
      </c>
      <c r="X43" s="290">
        <f t="shared" si="18"/>
        <v>0</v>
      </c>
      <c r="Y43" s="289">
        <f>'[1]Feb midyear L.C. Coll Prep'!E40</f>
        <v>0</v>
      </c>
      <c r="Z43" s="290">
        <f t="shared" si="19"/>
        <v>0</v>
      </c>
      <c r="AA43" s="288">
        <f t="shared" si="20"/>
        <v>0</v>
      </c>
      <c r="AB43" s="324">
        <f t="shared" si="21"/>
        <v>0</v>
      </c>
      <c r="AC43" s="292">
        <f t="shared" si="22"/>
        <v>0</v>
      </c>
      <c r="AD43" s="324">
        <f t="shared" si="23"/>
        <v>0</v>
      </c>
      <c r="AE43" s="293">
        <v>0</v>
      </c>
      <c r="AF43" s="324">
        <f t="shared" si="24"/>
        <v>0</v>
      </c>
      <c r="AG43" s="293">
        <f>8*'[2]Table 5C1S-L.C. Coll Prep'!AI43</f>
        <v>0</v>
      </c>
      <c r="AH43" s="293">
        <f t="shared" si="25"/>
        <v>0</v>
      </c>
      <c r="AI43" s="324">
        <f t="shared" si="31"/>
        <v>0</v>
      </c>
      <c r="AJ43" s="321">
        <f t="shared" si="26"/>
        <v>0</v>
      </c>
      <c r="AK43" s="342">
        <f t="shared" si="27"/>
        <v>0</v>
      </c>
      <c r="AM43" s="286">
        <v>0</v>
      </c>
      <c r="AN43" s="286">
        <f t="shared" si="28"/>
        <v>0</v>
      </c>
      <c r="AO43" s="286">
        <f t="shared" si="29"/>
        <v>0</v>
      </c>
    </row>
    <row r="44" spans="1:41" ht="16.149999999999999" customHeight="1">
      <c r="A44" s="198">
        <v>38</v>
      </c>
      <c r="B44" s="199" t="s">
        <v>110</v>
      </c>
      <c r="C44" s="995">
        <v>0</v>
      </c>
      <c r="D44" s="201">
        <f>+'Table 5C1A-Madison Prep'!D44</f>
        <v>2088.8017552916881</v>
      </c>
      <c r="E44" s="202">
        <f t="shared" si="8"/>
        <v>0</v>
      </c>
      <c r="F44" s="202">
        <f>+'Table 5C1A-Madison Prep'!F44</f>
        <v>829.92000000000007</v>
      </c>
      <c r="G44" s="202">
        <f t="shared" si="9"/>
        <v>0</v>
      </c>
      <c r="H44" s="345">
        <f t="shared" si="10"/>
        <v>0</v>
      </c>
      <c r="I44" s="203">
        <f>'[1]Oct midyear L.C. Coll Prep'!K41</f>
        <v>0</v>
      </c>
      <c r="J44" s="203">
        <f>'[1]Feb midyear L.C. Coll Prep'!K41</f>
        <v>0</v>
      </c>
      <c r="K44" s="204">
        <f t="shared" si="11"/>
        <v>0</v>
      </c>
      <c r="L44" s="345">
        <f t="shared" si="12"/>
        <v>0</v>
      </c>
      <c r="M44" s="286">
        <f t="shared" si="4"/>
        <v>0</v>
      </c>
      <c r="N44" s="345">
        <f t="shared" si="13"/>
        <v>0</v>
      </c>
      <c r="O44" s="201">
        <v>0</v>
      </c>
      <c r="P44" s="351">
        <f t="shared" si="14"/>
        <v>0</v>
      </c>
      <c r="Q44" s="203">
        <f>8*'[2]Table 5C1S-L.C. Coll Prep'!S44</f>
        <v>0</v>
      </c>
      <c r="R44" s="203">
        <f t="shared" si="15"/>
        <v>0</v>
      </c>
      <c r="S44" s="351">
        <f t="shared" si="30"/>
        <v>0</v>
      </c>
      <c r="T44" s="351">
        <f t="shared" si="16"/>
        <v>0</v>
      </c>
      <c r="U44" s="287">
        <f>'Table 5C1A-Madison Prep'!U44</f>
        <v>11060</v>
      </c>
      <c r="V44" s="328">
        <f t="shared" si="17"/>
        <v>0</v>
      </c>
      <c r="W44" s="289">
        <f>'[1]Oct midyear L.C. Coll Prep'!E41</f>
        <v>0</v>
      </c>
      <c r="X44" s="290">
        <f t="shared" si="18"/>
        <v>0</v>
      </c>
      <c r="Y44" s="289">
        <f>'[1]Feb midyear L.C. Coll Prep'!E41</f>
        <v>0</v>
      </c>
      <c r="Z44" s="290">
        <f t="shared" si="19"/>
        <v>0</v>
      </c>
      <c r="AA44" s="288">
        <f t="shared" si="20"/>
        <v>0</v>
      </c>
      <c r="AB44" s="324">
        <f t="shared" si="21"/>
        <v>0</v>
      </c>
      <c r="AC44" s="292">
        <f t="shared" si="22"/>
        <v>0</v>
      </c>
      <c r="AD44" s="324">
        <f t="shared" si="23"/>
        <v>0</v>
      </c>
      <c r="AE44" s="293">
        <v>0</v>
      </c>
      <c r="AF44" s="324">
        <f t="shared" si="24"/>
        <v>0</v>
      </c>
      <c r="AG44" s="293">
        <f>8*'[2]Table 5C1S-L.C. Coll Prep'!AI44</f>
        <v>0</v>
      </c>
      <c r="AH44" s="293">
        <f t="shared" si="25"/>
        <v>0</v>
      </c>
      <c r="AI44" s="324">
        <f t="shared" si="31"/>
        <v>0</v>
      </c>
      <c r="AJ44" s="321">
        <f t="shared" si="26"/>
        <v>0</v>
      </c>
      <c r="AK44" s="342">
        <f t="shared" si="27"/>
        <v>0</v>
      </c>
      <c r="AM44" s="286">
        <v>0</v>
      </c>
      <c r="AN44" s="286">
        <f t="shared" si="28"/>
        <v>0</v>
      </c>
      <c r="AO44" s="286">
        <f t="shared" si="29"/>
        <v>0</v>
      </c>
    </row>
    <row r="45" spans="1:41" ht="16.149999999999999" customHeight="1">
      <c r="A45" s="198">
        <v>39</v>
      </c>
      <c r="B45" s="199" t="s">
        <v>111</v>
      </c>
      <c r="C45" s="995">
        <v>0</v>
      </c>
      <c r="D45" s="201">
        <f>+'Table 5C1A-Madison Prep'!D45</f>
        <v>3656.9056809295676</v>
      </c>
      <c r="E45" s="202">
        <f t="shared" si="8"/>
        <v>0</v>
      </c>
      <c r="F45" s="202">
        <f>+'Table 5C1A-Madison Prep'!F45</f>
        <v>779.65573042776396</v>
      </c>
      <c r="G45" s="202">
        <f t="shared" si="9"/>
        <v>0</v>
      </c>
      <c r="H45" s="345">
        <f t="shared" si="10"/>
        <v>0</v>
      </c>
      <c r="I45" s="203">
        <f>'[1]Oct midyear L.C. Coll Prep'!K42</f>
        <v>0</v>
      </c>
      <c r="J45" s="203">
        <f>'[1]Feb midyear L.C. Coll Prep'!K42</f>
        <v>0</v>
      </c>
      <c r="K45" s="204">
        <f t="shared" si="11"/>
        <v>0</v>
      </c>
      <c r="L45" s="345">
        <f t="shared" si="12"/>
        <v>0</v>
      </c>
      <c r="M45" s="286">
        <f t="shared" si="4"/>
        <v>0</v>
      </c>
      <c r="N45" s="345">
        <f t="shared" si="13"/>
        <v>0</v>
      </c>
      <c r="O45" s="201">
        <v>0</v>
      </c>
      <c r="P45" s="351">
        <f t="shared" si="14"/>
        <v>0</v>
      </c>
      <c r="Q45" s="203">
        <f>8*'[2]Table 5C1S-L.C. Coll Prep'!S45</f>
        <v>0</v>
      </c>
      <c r="R45" s="203">
        <f t="shared" si="15"/>
        <v>0</v>
      </c>
      <c r="S45" s="351">
        <f t="shared" si="30"/>
        <v>0</v>
      </c>
      <c r="T45" s="351">
        <f t="shared" si="16"/>
        <v>0</v>
      </c>
      <c r="U45" s="287">
        <f>'Table 5C1A-Madison Prep'!U45</f>
        <v>4922</v>
      </c>
      <c r="V45" s="328">
        <f t="shared" si="17"/>
        <v>0</v>
      </c>
      <c r="W45" s="289">
        <f>'[1]Oct midyear L.C. Coll Prep'!E42</f>
        <v>0</v>
      </c>
      <c r="X45" s="290">
        <f t="shared" si="18"/>
        <v>0</v>
      </c>
      <c r="Y45" s="289">
        <f>'[1]Feb midyear L.C. Coll Prep'!E42</f>
        <v>0</v>
      </c>
      <c r="Z45" s="290">
        <f t="shared" si="19"/>
        <v>0</v>
      </c>
      <c r="AA45" s="288">
        <f t="shared" si="20"/>
        <v>0</v>
      </c>
      <c r="AB45" s="324">
        <f t="shared" si="21"/>
        <v>0</v>
      </c>
      <c r="AC45" s="292">
        <f t="shared" si="22"/>
        <v>0</v>
      </c>
      <c r="AD45" s="324">
        <f t="shared" si="23"/>
        <v>0</v>
      </c>
      <c r="AE45" s="293">
        <v>0</v>
      </c>
      <c r="AF45" s="324">
        <f t="shared" si="24"/>
        <v>0</v>
      </c>
      <c r="AG45" s="293">
        <f>8*'[2]Table 5C1S-L.C. Coll Prep'!AI45</f>
        <v>0</v>
      </c>
      <c r="AH45" s="293">
        <f t="shared" si="25"/>
        <v>0</v>
      </c>
      <c r="AI45" s="324">
        <f t="shared" si="31"/>
        <v>0</v>
      </c>
      <c r="AJ45" s="321">
        <f t="shared" si="26"/>
        <v>0</v>
      </c>
      <c r="AK45" s="342">
        <f t="shared" si="27"/>
        <v>0</v>
      </c>
      <c r="AM45" s="286">
        <v>0</v>
      </c>
      <c r="AN45" s="286">
        <f t="shared" si="28"/>
        <v>0</v>
      </c>
      <c r="AO45" s="286">
        <f t="shared" si="29"/>
        <v>0</v>
      </c>
    </row>
    <row r="46" spans="1:41" ht="16.149999999999999" customHeight="1">
      <c r="A46" s="191">
        <v>40</v>
      </c>
      <c r="B46" s="192" t="s">
        <v>112</v>
      </c>
      <c r="C46" s="996">
        <v>0</v>
      </c>
      <c r="D46" s="194">
        <f>+'Table 5C1A-Madison Prep'!D46</f>
        <v>5121.8110285698403</v>
      </c>
      <c r="E46" s="195">
        <f t="shared" si="8"/>
        <v>0</v>
      </c>
      <c r="F46" s="195">
        <f>+'Table 5C1A-Madison Prep'!F46</f>
        <v>700.2700000000001</v>
      </c>
      <c r="G46" s="195">
        <f t="shared" si="9"/>
        <v>0</v>
      </c>
      <c r="H46" s="346">
        <f t="shared" si="10"/>
        <v>0</v>
      </c>
      <c r="I46" s="196">
        <f>'[1]Oct midyear L.C. Coll Prep'!K43</f>
        <v>0</v>
      </c>
      <c r="J46" s="196">
        <f>'[1]Feb midyear L.C. Coll Prep'!K43</f>
        <v>0</v>
      </c>
      <c r="K46" s="197">
        <f t="shared" si="11"/>
        <v>0</v>
      </c>
      <c r="L46" s="346">
        <f t="shared" si="12"/>
        <v>0</v>
      </c>
      <c r="M46" s="296">
        <f t="shared" si="4"/>
        <v>0</v>
      </c>
      <c r="N46" s="346">
        <f t="shared" si="13"/>
        <v>0</v>
      </c>
      <c r="O46" s="194">
        <v>0</v>
      </c>
      <c r="P46" s="352">
        <f t="shared" si="14"/>
        <v>0</v>
      </c>
      <c r="Q46" s="196">
        <f>8*'[2]Table 5C1S-L.C. Coll Prep'!S46</f>
        <v>0</v>
      </c>
      <c r="R46" s="196">
        <f t="shared" si="15"/>
        <v>0</v>
      </c>
      <c r="S46" s="352">
        <f t="shared" si="30"/>
        <v>0</v>
      </c>
      <c r="T46" s="352">
        <f t="shared" si="16"/>
        <v>0</v>
      </c>
      <c r="U46" s="281">
        <f>'Table 5C1A-Madison Prep'!U46</f>
        <v>3152</v>
      </c>
      <c r="V46" s="329">
        <f t="shared" si="17"/>
        <v>0</v>
      </c>
      <c r="W46" s="884">
        <f>'[1]Oct midyear L.C. Coll Prep'!E43</f>
        <v>0</v>
      </c>
      <c r="X46" s="282">
        <f t="shared" si="18"/>
        <v>0</v>
      </c>
      <c r="Y46" s="884">
        <f>'[1]Feb midyear L.C. Coll Prep'!E43</f>
        <v>0</v>
      </c>
      <c r="Z46" s="282">
        <f t="shared" si="19"/>
        <v>0</v>
      </c>
      <c r="AA46" s="283">
        <f t="shared" si="20"/>
        <v>0</v>
      </c>
      <c r="AB46" s="325">
        <f t="shared" si="21"/>
        <v>0</v>
      </c>
      <c r="AC46" s="298">
        <f t="shared" si="22"/>
        <v>0</v>
      </c>
      <c r="AD46" s="325">
        <f t="shared" si="23"/>
        <v>0</v>
      </c>
      <c r="AE46" s="284">
        <v>0</v>
      </c>
      <c r="AF46" s="325">
        <f t="shared" si="24"/>
        <v>0</v>
      </c>
      <c r="AG46" s="284">
        <f>8*'[2]Table 5C1S-L.C. Coll Prep'!AI46</f>
        <v>0</v>
      </c>
      <c r="AH46" s="284">
        <f t="shared" si="25"/>
        <v>0</v>
      </c>
      <c r="AI46" s="325">
        <f t="shared" si="31"/>
        <v>0</v>
      </c>
      <c r="AJ46" s="338">
        <f t="shared" si="26"/>
        <v>0</v>
      </c>
      <c r="AK46" s="343">
        <f t="shared" si="27"/>
        <v>0</v>
      </c>
      <c r="AM46" s="296">
        <v>0</v>
      </c>
      <c r="AN46" s="296">
        <f t="shared" si="28"/>
        <v>0</v>
      </c>
      <c r="AO46" s="296">
        <f t="shared" si="29"/>
        <v>0</v>
      </c>
    </row>
    <row r="47" spans="1:41" ht="16.149999999999999" customHeight="1">
      <c r="A47" s="205">
        <v>41</v>
      </c>
      <c r="B47" s="206" t="s">
        <v>113</v>
      </c>
      <c r="C47" s="994">
        <v>0</v>
      </c>
      <c r="D47" s="208">
        <f>+'Table 5C1A-Madison Prep'!D47</f>
        <v>3291.1948574716475</v>
      </c>
      <c r="E47" s="209">
        <f t="shared" si="8"/>
        <v>0</v>
      </c>
      <c r="F47" s="209">
        <f>+'Table 5C1A-Madison Prep'!F47</f>
        <v>886.22</v>
      </c>
      <c r="G47" s="209">
        <f t="shared" si="9"/>
        <v>0</v>
      </c>
      <c r="H47" s="344">
        <f t="shared" si="10"/>
        <v>0</v>
      </c>
      <c r="I47" s="210">
        <f>'[1]Oct midyear L.C. Coll Prep'!K44</f>
        <v>0</v>
      </c>
      <c r="J47" s="210">
        <f>'[1]Feb midyear L.C. Coll Prep'!K44</f>
        <v>0</v>
      </c>
      <c r="K47" s="211">
        <f t="shared" si="11"/>
        <v>0</v>
      </c>
      <c r="L47" s="344">
        <f t="shared" si="12"/>
        <v>0</v>
      </c>
      <c r="M47" s="273">
        <f t="shared" si="4"/>
        <v>0</v>
      </c>
      <c r="N47" s="344">
        <f t="shared" si="13"/>
        <v>0</v>
      </c>
      <c r="O47" s="208">
        <v>0</v>
      </c>
      <c r="P47" s="350">
        <f t="shared" si="14"/>
        <v>0</v>
      </c>
      <c r="Q47" s="210">
        <f>8*'[2]Table 5C1S-L.C. Coll Prep'!S47</f>
        <v>0</v>
      </c>
      <c r="R47" s="210">
        <f t="shared" si="15"/>
        <v>0</v>
      </c>
      <c r="S47" s="350">
        <f t="shared" si="30"/>
        <v>0</v>
      </c>
      <c r="T47" s="350">
        <f t="shared" si="16"/>
        <v>0</v>
      </c>
      <c r="U47" s="274">
        <f>'Table 5C1A-Madison Prep'!U47</f>
        <v>9422</v>
      </c>
      <c r="V47" s="327">
        <f t="shared" si="17"/>
        <v>0</v>
      </c>
      <c r="W47" s="883">
        <f>'[1]Oct midyear L.C. Coll Prep'!E44</f>
        <v>0</v>
      </c>
      <c r="X47" s="276">
        <f t="shared" si="18"/>
        <v>0</v>
      </c>
      <c r="Y47" s="883">
        <f>'[1]Feb midyear L.C. Coll Prep'!E44</f>
        <v>0</v>
      </c>
      <c r="Z47" s="276">
        <f t="shared" si="19"/>
        <v>0</v>
      </c>
      <c r="AA47" s="275">
        <f t="shared" si="20"/>
        <v>0</v>
      </c>
      <c r="AB47" s="323">
        <f t="shared" si="21"/>
        <v>0</v>
      </c>
      <c r="AC47" s="278">
        <f t="shared" si="22"/>
        <v>0</v>
      </c>
      <c r="AD47" s="323">
        <f t="shared" si="23"/>
        <v>0</v>
      </c>
      <c r="AE47" s="279">
        <v>0</v>
      </c>
      <c r="AF47" s="323">
        <f t="shared" si="24"/>
        <v>0</v>
      </c>
      <c r="AG47" s="279">
        <f>8*'[2]Table 5C1S-L.C. Coll Prep'!AI47</f>
        <v>0</v>
      </c>
      <c r="AH47" s="279">
        <f t="shared" si="25"/>
        <v>0</v>
      </c>
      <c r="AI47" s="323">
        <f t="shared" si="31"/>
        <v>0</v>
      </c>
      <c r="AJ47" s="337">
        <f t="shared" si="26"/>
        <v>0</v>
      </c>
      <c r="AK47" s="341">
        <f t="shared" si="27"/>
        <v>0</v>
      </c>
      <c r="AM47" s="273">
        <v>0</v>
      </c>
      <c r="AN47" s="273">
        <f t="shared" si="28"/>
        <v>0</v>
      </c>
      <c r="AO47" s="273">
        <f t="shared" si="29"/>
        <v>0</v>
      </c>
    </row>
    <row r="48" spans="1:41" ht="16.149999999999999" customHeight="1">
      <c r="A48" s="198">
        <v>42</v>
      </c>
      <c r="B48" s="199" t="s">
        <v>114</v>
      </c>
      <c r="C48" s="995">
        <v>0</v>
      </c>
      <c r="D48" s="201">
        <f>+'Table 5C1A-Madison Prep'!D48</f>
        <v>5113.6077751368684</v>
      </c>
      <c r="E48" s="202">
        <f t="shared" si="8"/>
        <v>0</v>
      </c>
      <c r="F48" s="202">
        <f>+'Table 5C1A-Madison Prep'!F48</f>
        <v>534.28</v>
      </c>
      <c r="G48" s="202">
        <f t="shared" si="9"/>
        <v>0</v>
      </c>
      <c r="H48" s="345">
        <f t="shared" si="10"/>
        <v>0</v>
      </c>
      <c r="I48" s="203">
        <f>'[1]Oct midyear L.C. Coll Prep'!K45</f>
        <v>0</v>
      </c>
      <c r="J48" s="203">
        <f>'[1]Feb midyear L.C. Coll Prep'!K45</f>
        <v>0</v>
      </c>
      <c r="K48" s="204">
        <f t="shared" si="11"/>
        <v>0</v>
      </c>
      <c r="L48" s="345">
        <f t="shared" si="12"/>
        <v>0</v>
      </c>
      <c r="M48" s="286">
        <f t="shared" si="4"/>
        <v>0</v>
      </c>
      <c r="N48" s="345">
        <f t="shared" si="13"/>
        <v>0</v>
      </c>
      <c r="O48" s="201">
        <v>0</v>
      </c>
      <c r="P48" s="351">
        <f t="shared" si="14"/>
        <v>0</v>
      </c>
      <c r="Q48" s="203">
        <f>8*'[2]Table 5C1S-L.C. Coll Prep'!S48</f>
        <v>0</v>
      </c>
      <c r="R48" s="203">
        <f t="shared" si="15"/>
        <v>0</v>
      </c>
      <c r="S48" s="351">
        <f t="shared" si="30"/>
        <v>0</v>
      </c>
      <c r="T48" s="351">
        <f t="shared" si="16"/>
        <v>0</v>
      </c>
      <c r="U48" s="287">
        <f>'Table 5C1A-Madison Prep'!U48</f>
        <v>3415</v>
      </c>
      <c r="V48" s="328">
        <f t="shared" si="17"/>
        <v>0</v>
      </c>
      <c r="W48" s="289">
        <f>'[1]Oct midyear L.C. Coll Prep'!E45</f>
        <v>0</v>
      </c>
      <c r="X48" s="290">
        <f t="shared" si="18"/>
        <v>0</v>
      </c>
      <c r="Y48" s="289">
        <f>'[1]Feb midyear L.C. Coll Prep'!E45</f>
        <v>0</v>
      </c>
      <c r="Z48" s="290">
        <f t="shared" si="19"/>
        <v>0</v>
      </c>
      <c r="AA48" s="288">
        <f t="shared" si="20"/>
        <v>0</v>
      </c>
      <c r="AB48" s="324">
        <f t="shared" si="21"/>
        <v>0</v>
      </c>
      <c r="AC48" s="292">
        <f t="shared" si="22"/>
        <v>0</v>
      </c>
      <c r="AD48" s="324">
        <f t="shared" si="23"/>
        <v>0</v>
      </c>
      <c r="AE48" s="293">
        <v>0</v>
      </c>
      <c r="AF48" s="324">
        <f t="shared" si="24"/>
        <v>0</v>
      </c>
      <c r="AG48" s="293">
        <f>8*'[2]Table 5C1S-L.C. Coll Prep'!AI48</f>
        <v>0</v>
      </c>
      <c r="AH48" s="293">
        <f t="shared" si="25"/>
        <v>0</v>
      </c>
      <c r="AI48" s="324">
        <f t="shared" si="31"/>
        <v>0</v>
      </c>
      <c r="AJ48" s="321">
        <f t="shared" si="26"/>
        <v>0</v>
      </c>
      <c r="AK48" s="342">
        <f t="shared" si="27"/>
        <v>0</v>
      </c>
      <c r="AM48" s="286">
        <v>0</v>
      </c>
      <c r="AN48" s="286">
        <f t="shared" si="28"/>
        <v>0</v>
      </c>
      <c r="AO48" s="286">
        <f t="shared" si="29"/>
        <v>0</v>
      </c>
    </row>
    <row r="49" spans="1:41" ht="16.149999999999999" customHeight="1">
      <c r="A49" s="198">
        <v>43</v>
      </c>
      <c r="B49" s="199" t="s">
        <v>115</v>
      </c>
      <c r="C49" s="995">
        <v>0</v>
      </c>
      <c r="D49" s="201">
        <f>+'Table 5C1A-Madison Prep'!D49</f>
        <v>5788.74387205947</v>
      </c>
      <c r="E49" s="202">
        <f t="shared" si="8"/>
        <v>0</v>
      </c>
      <c r="F49" s="202">
        <f>+'Table 5C1A-Madison Prep'!F49</f>
        <v>574.6099999999999</v>
      </c>
      <c r="G49" s="202">
        <f t="shared" si="9"/>
        <v>0</v>
      </c>
      <c r="H49" s="345">
        <f t="shared" si="10"/>
        <v>0</v>
      </c>
      <c r="I49" s="203">
        <f>'[1]Oct midyear L.C. Coll Prep'!K46</f>
        <v>0</v>
      </c>
      <c r="J49" s="203">
        <f>'[1]Feb midyear L.C. Coll Prep'!K46</f>
        <v>0</v>
      </c>
      <c r="K49" s="204">
        <f t="shared" si="11"/>
        <v>0</v>
      </c>
      <c r="L49" s="345">
        <f t="shared" si="12"/>
        <v>0</v>
      </c>
      <c r="M49" s="286">
        <f t="shared" si="4"/>
        <v>0</v>
      </c>
      <c r="N49" s="345">
        <f t="shared" si="13"/>
        <v>0</v>
      </c>
      <c r="O49" s="201">
        <v>0</v>
      </c>
      <c r="P49" s="351">
        <f t="shared" si="14"/>
        <v>0</v>
      </c>
      <c r="Q49" s="203">
        <f>8*'[2]Table 5C1S-L.C. Coll Prep'!S49</f>
        <v>0</v>
      </c>
      <c r="R49" s="203">
        <f t="shared" si="15"/>
        <v>0</v>
      </c>
      <c r="S49" s="351">
        <f t="shared" si="30"/>
        <v>0</v>
      </c>
      <c r="T49" s="351">
        <f t="shared" si="16"/>
        <v>0</v>
      </c>
      <c r="U49" s="287">
        <f>'Table 5C1A-Madison Prep'!U49</f>
        <v>3334</v>
      </c>
      <c r="V49" s="328">
        <f t="shared" si="17"/>
        <v>0</v>
      </c>
      <c r="W49" s="289">
        <f>'[1]Oct midyear L.C. Coll Prep'!E46</f>
        <v>0</v>
      </c>
      <c r="X49" s="290">
        <f t="shared" si="18"/>
        <v>0</v>
      </c>
      <c r="Y49" s="289">
        <f>'[1]Feb midyear L.C. Coll Prep'!E46</f>
        <v>0</v>
      </c>
      <c r="Z49" s="290">
        <f t="shared" si="19"/>
        <v>0</v>
      </c>
      <c r="AA49" s="288">
        <f t="shared" si="20"/>
        <v>0</v>
      </c>
      <c r="AB49" s="324">
        <f t="shared" si="21"/>
        <v>0</v>
      </c>
      <c r="AC49" s="292">
        <f t="shared" si="22"/>
        <v>0</v>
      </c>
      <c r="AD49" s="324">
        <f t="shared" si="23"/>
        <v>0</v>
      </c>
      <c r="AE49" s="293">
        <v>0</v>
      </c>
      <c r="AF49" s="324">
        <f t="shared" si="24"/>
        <v>0</v>
      </c>
      <c r="AG49" s="293">
        <f>8*'[2]Table 5C1S-L.C. Coll Prep'!AI49</f>
        <v>0</v>
      </c>
      <c r="AH49" s="293">
        <f t="shared" si="25"/>
        <v>0</v>
      </c>
      <c r="AI49" s="324">
        <f t="shared" si="31"/>
        <v>0</v>
      </c>
      <c r="AJ49" s="321">
        <f t="shared" si="26"/>
        <v>0</v>
      </c>
      <c r="AK49" s="342">
        <f t="shared" si="27"/>
        <v>0</v>
      </c>
      <c r="AM49" s="286">
        <v>0</v>
      </c>
      <c r="AN49" s="286">
        <f t="shared" si="28"/>
        <v>0</v>
      </c>
      <c r="AO49" s="286">
        <f t="shared" si="29"/>
        <v>0</v>
      </c>
    </row>
    <row r="50" spans="1:41" ht="16.149999999999999" customHeight="1">
      <c r="A50" s="198">
        <v>44</v>
      </c>
      <c r="B50" s="199" t="s">
        <v>116</v>
      </c>
      <c r="C50" s="995">
        <v>0</v>
      </c>
      <c r="D50" s="201">
        <f>+'Table 5C1A-Madison Prep'!D50</f>
        <v>4897.5958151820359</v>
      </c>
      <c r="E50" s="202">
        <f t="shared" si="8"/>
        <v>0</v>
      </c>
      <c r="F50" s="202">
        <f>+'Table 5C1A-Madison Prep'!F50</f>
        <v>663.16000000000008</v>
      </c>
      <c r="G50" s="202">
        <f t="shared" si="9"/>
        <v>0</v>
      </c>
      <c r="H50" s="345">
        <f t="shared" si="10"/>
        <v>0</v>
      </c>
      <c r="I50" s="203">
        <f>'[1]Oct midyear L.C. Coll Prep'!K47</f>
        <v>0</v>
      </c>
      <c r="J50" s="203">
        <f>'[1]Feb midyear L.C. Coll Prep'!K47</f>
        <v>0</v>
      </c>
      <c r="K50" s="204">
        <f t="shared" si="11"/>
        <v>0</v>
      </c>
      <c r="L50" s="345">
        <f t="shared" si="12"/>
        <v>0</v>
      </c>
      <c r="M50" s="286">
        <f t="shared" si="4"/>
        <v>0</v>
      </c>
      <c r="N50" s="345">
        <f t="shared" si="13"/>
        <v>0</v>
      </c>
      <c r="O50" s="201">
        <v>0</v>
      </c>
      <c r="P50" s="351">
        <f t="shared" si="14"/>
        <v>0</v>
      </c>
      <c r="Q50" s="203">
        <f>8*'[2]Table 5C1S-L.C. Coll Prep'!S50</f>
        <v>0</v>
      </c>
      <c r="R50" s="203">
        <f t="shared" si="15"/>
        <v>0</v>
      </c>
      <c r="S50" s="351">
        <f t="shared" si="30"/>
        <v>0</v>
      </c>
      <c r="T50" s="351">
        <f t="shared" si="16"/>
        <v>0</v>
      </c>
      <c r="U50" s="287">
        <f>'Table 5C1A-Madison Prep'!U50</f>
        <v>3587</v>
      </c>
      <c r="V50" s="328">
        <f t="shared" si="17"/>
        <v>0</v>
      </c>
      <c r="W50" s="289">
        <f>'[1]Oct midyear L.C. Coll Prep'!E47</f>
        <v>0</v>
      </c>
      <c r="X50" s="290">
        <f t="shared" si="18"/>
        <v>0</v>
      </c>
      <c r="Y50" s="289">
        <f>'[1]Feb midyear L.C. Coll Prep'!E47</f>
        <v>0</v>
      </c>
      <c r="Z50" s="290">
        <f t="shared" si="19"/>
        <v>0</v>
      </c>
      <c r="AA50" s="288">
        <f t="shared" si="20"/>
        <v>0</v>
      </c>
      <c r="AB50" s="324">
        <f t="shared" si="21"/>
        <v>0</v>
      </c>
      <c r="AC50" s="292">
        <f t="shared" si="22"/>
        <v>0</v>
      </c>
      <c r="AD50" s="324">
        <f t="shared" si="23"/>
        <v>0</v>
      </c>
      <c r="AE50" s="293">
        <v>0</v>
      </c>
      <c r="AF50" s="324">
        <f t="shared" si="24"/>
        <v>0</v>
      </c>
      <c r="AG50" s="293">
        <f>8*'[2]Table 5C1S-L.C. Coll Prep'!AI50</f>
        <v>0</v>
      </c>
      <c r="AH50" s="293">
        <f t="shared" si="25"/>
        <v>0</v>
      </c>
      <c r="AI50" s="324">
        <f t="shared" si="31"/>
        <v>0</v>
      </c>
      <c r="AJ50" s="321">
        <f t="shared" si="26"/>
        <v>0</v>
      </c>
      <c r="AK50" s="342">
        <f t="shared" si="27"/>
        <v>0</v>
      </c>
      <c r="AM50" s="286">
        <v>0</v>
      </c>
      <c r="AN50" s="286">
        <f t="shared" si="28"/>
        <v>0</v>
      </c>
      <c r="AO50" s="286">
        <f t="shared" si="29"/>
        <v>0</v>
      </c>
    </row>
    <row r="51" spans="1:41" ht="16.149999999999999" customHeight="1">
      <c r="A51" s="191">
        <v>45</v>
      </c>
      <c r="B51" s="192" t="s">
        <v>117</v>
      </c>
      <c r="C51" s="996">
        <v>0</v>
      </c>
      <c r="D51" s="194">
        <f>+'Table 5C1A-Madison Prep'!D51</f>
        <v>2054.0472499469101</v>
      </c>
      <c r="E51" s="195">
        <f t="shared" si="8"/>
        <v>0</v>
      </c>
      <c r="F51" s="195">
        <f>+'Table 5C1A-Madison Prep'!F51</f>
        <v>753.96000000000015</v>
      </c>
      <c r="G51" s="195">
        <f t="shared" si="9"/>
        <v>0</v>
      </c>
      <c r="H51" s="346">
        <f t="shared" si="10"/>
        <v>0</v>
      </c>
      <c r="I51" s="196">
        <f>'[1]Oct midyear L.C. Coll Prep'!K48</f>
        <v>0</v>
      </c>
      <c r="J51" s="196">
        <f>'[1]Feb midyear L.C. Coll Prep'!K48</f>
        <v>0</v>
      </c>
      <c r="K51" s="197">
        <f t="shared" si="11"/>
        <v>0</v>
      </c>
      <c r="L51" s="346">
        <f t="shared" si="12"/>
        <v>0</v>
      </c>
      <c r="M51" s="296">
        <f t="shared" si="4"/>
        <v>0</v>
      </c>
      <c r="N51" s="346">
        <f t="shared" si="13"/>
        <v>0</v>
      </c>
      <c r="O51" s="194">
        <v>0</v>
      </c>
      <c r="P51" s="352">
        <f t="shared" si="14"/>
        <v>0</v>
      </c>
      <c r="Q51" s="196">
        <f>8*'[2]Table 5C1S-L.C. Coll Prep'!S51</f>
        <v>0</v>
      </c>
      <c r="R51" s="196">
        <f t="shared" si="15"/>
        <v>0</v>
      </c>
      <c r="S51" s="352">
        <f t="shared" si="30"/>
        <v>0</v>
      </c>
      <c r="T51" s="352">
        <f t="shared" si="16"/>
        <v>0</v>
      </c>
      <c r="U51" s="281">
        <f>'Table 5C1A-Madison Prep'!U51</f>
        <v>12134</v>
      </c>
      <c r="V51" s="329">
        <f t="shared" si="17"/>
        <v>0</v>
      </c>
      <c r="W51" s="884">
        <f>'[1]Oct midyear L.C. Coll Prep'!E48</f>
        <v>0</v>
      </c>
      <c r="X51" s="282">
        <f t="shared" si="18"/>
        <v>0</v>
      </c>
      <c r="Y51" s="884">
        <f>'[1]Feb midyear L.C. Coll Prep'!E48</f>
        <v>0</v>
      </c>
      <c r="Z51" s="282">
        <f t="shared" si="19"/>
        <v>0</v>
      </c>
      <c r="AA51" s="283">
        <f t="shared" si="20"/>
        <v>0</v>
      </c>
      <c r="AB51" s="325">
        <f t="shared" si="21"/>
        <v>0</v>
      </c>
      <c r="AC51" s="298">
        <f t="shared" si="22"/>
        <v>0</v>
      </c>
      <c r="AD51" s="325">
        <f t="shared" si="23"/>
        <v>0</v>
      </c>
      <c r="AE51" s="284">
        <v>0</v>
      </c>
      <c r="AF51" s="325">
        <f t="shared" si="24"/>
        <v>0</v>
      </c>
      <c r="AG51" s="284">
        <f>8*'[2]Table 5C1S-L.C. Coll Prep'!AI51</f>
        <v>0</v>
      </c>
      <c r="AH51" s="284">
        <f t="shared" si="25"/>
        <v>0</v>
      </c>
      <c r="AI51" s="325">
        <f t="shared" si="31"/>
        <v>0</v>
      </c>
      <c r="AJ51" s="338">
        <f t="shared" si="26"/>
        <v>0</v>
      </c>
      <c r="AK51" s="343">
        <f t="shared" si="27"/>
        <v>0</v>
      </c>
      <c r="AM51" s="296">
        <v>0</v>
      </c>
      <c r="AN51" s="296">
        <f t="shared" si="28"/>
        <v>0</v>
      </c>
      <c r="AO51" s="296">
        <f t="shared" si="29"/>
        <v>0</v>
      </c>
    </row>
    <row r="52" spans="1:41" ht="16.149999999999999" customHeight="1">
      <c r="A52" s="205">
        <v>46</v>
      </c>
      <c r="B52" s="206" t="s">
        <v>118</v>
      </c>
      <c r="C52" s="994">
        <v>0</v>
      </c>
      <c r="D52" s="208">
        <f>+'Table 5C1A-Madison Prep'!D52</f>
        <v>6051.2144468088381</v>
      </c>
      <c r="E52" s="209">
        <f t="shared" si="8"/>
        <v>0</v>
      </c>
      <c r="F52" s="209">
        <f>+'Table 5C1A-Madison Prep'!F52</f>
        <v>728.06</v>
      </c>
      <c r="G52" s="209">
        <f t="shared" si="9"/>
        <v>0</v>
      </c>
      <c r="H52" s="344">
        <f t="shared" si="10"/>
        <v>0</v>
      </c>
      <c r="I52" s="210">
        <f>'[1]Oct midyear L.C. Coll Prep'!K49</f>
        <v>0</v>
      </c>
      <c r="J52" s="210">
        <f>'[1]Feb midyear L.C. Coll Prep'!K49</f>
        <v>0</v>
      </c>
      <c r="K52" s="211">
        <f t="shared" si="11"/>
        <v>0</v>
      </c>
      <c r="L52" s="344">
        <f t="shared" si="12"/>
        <v>0</v>
      </c>
      <c r="M52" s="273">
        <f t="shared" si="4"/>
        <v>0</v>
      </c>
      <c r="N52" s="344">
        <f t="shared" si="13"/>
        <v>0</v>
      </c>
      <c r="O52" s="208">
        <v>0</v>
      </c>
      <c r="P52" s="350">
        <f t="shared" si="14"/>
        <v>0</v>
      </c>
      <c r="Q52" s="210">
        <f>8*'[2]Table 5C1S-L.C. Coll Prep'!S52</f>
        <v>0</v>
      </c>
      <c r="R52" s="210">
        <f t="shared" si="15"/>
        <v>0</v>
      </c>
      <c r="S52" s="350">
        <f t="shared" si="30"/>
        <v>0</v>
      </c>
      <c r="T52" s="350">
        <f t="shared" si="16"/>
        <v>0</v>
      </c>
      <c r="U52" s="274">
        <f>'Table 5C1A-Madison Prep'!U52</f>
        <v>2554</v>
      </c>
      <c r="V52" s="327">
        <f t="shared" si="17"/>
        <v>0</v>
      </c>
      <c r="W52" s="883">
        <f>'[1]Oct midyear L.C. Coll Prep'!E49</f>
        <v>0</v>
      </c>
      <c r="X52" s="276">
        <f t="shared" si="18"/>
        <v>0</v>
      </c>
      <c r="Y52" s="883">
        <f>'[1]Feb midyear L.C. Coll Prep'!E49</f>
        <v>0</v>
      </c>
      <c r="Z52" s="276">
        <f t="shared" si="19"/>
        <v>0</v>
      </c>
      <c r="AA52" s="275">
        <f t="shared" si="20"/>
        <v>0</v>
      </c>
      <c r="AB52" s="323">
        <f t="shared" si="21"/>
        <v>0</v>
      </c>
      <c r="AC52" s="278">
        <f t="shared" si="22"/>
        <v>0</v>
      </c>
      <c r="AD52" s="323">
        <f t="shared" si="23"/>
        <v>0</v>
      </c>
      <c r="AE52" s="279">
        <v>0</v>
      </c>
      <c r="AF52" s="323">
        <f t="shared" si="24"/>
        <v>0</v>
      </c>
      <c r="AG52" s="279">
        <f>8*'[2]Table 5C1S-L.C. Coll Prep'!AI52</f>
        <v>0</v>
      </c>
      <c r="AH52" s="279">
        <f t="shared" si="25"/>
        <v>0</v>
      </c>
      <c r="AI52" s="323">
        <f t="shared" si="31"/>
        <v>0</v>
      </c>
      <c r="AJ52" s="337">
        <f t="shared" si="26"/>
        <v>0</v>
      </c>
      <c r="AK52" s="341">
        <f t="shared" si="27"/>
        <v>0</v>
      </c>
      <c r="AM52" s="273">
        <v>0</v>
      </c>
      <c r="AN52" s="273">
        <f t="shared" si="28"/>
        <v>0</v>
      </c>
      <c r="AO52" s="273">
        <f t="shared" si="29"/>
        <v>0</v>
      </c>
    </row>
    <row r="53" spans="1:41" ht="16.149999999999999" customHeight="1">
      <c r="A53" s="198">
        <v>47</v>
      </c>
      <c r="B53" s="199" t="s">
        <v>119</v>
      </c>
      <c r="C53" s="995">
        <v>0</v>
      </c>
      <c r="D53" s="201">
        <f>+'Table 5C1A-Madison Prep'!D53</f>
        <v>2524.1485257646736</v>
      </c>
      <c r="E53" s="202">
        <f t="shared" si="8"/>
        <v>0</v>
      </c>
      <c r="F53" s="202">
        <f>+'Table 5C1A-Madison Prep'!F53</f>
        <v>910.76</v>
      </c>
      <c r="G53" s="202">
        <f t="shared" si="9"/>
        <v>0</v>
      </c>
      <c r="H53" s="345">
        <f t="shared" si="10"/>
        <v>0</v>
      </c>
      <c r="I53" s="203">
        <f>'[1]Oct midyear L.C. Coll Prep'!K50</f>
        <v>0</v>
      </c>
      <c r="J53" s="203">
        <f>'[1]Feb midyear L.C. Coll Prep'!K50</f>
        <v>0</v>
      </c>
      <c r="K53" s="204">
        <f t="shared" si="11"/>
        <v>0</v>
      </c>
      <c r="L53" s="345">
        <f t="shared" si="12"/>
        <v>0</v>
      </c>
      <c r="M53" s="286">
        <f t="shared" si="4"/>
        <v>0</v>
      </c>
      <c r="N53" s="345">
        <f t="shared" si="13"/>
        <v>0</v>
      </c>
      <c r="O53" s="201">
        <v>0</v>
      </c>
      <c r="P53" s="351">
        <f t="shared" si="14"/>
        <v>0</v>
      </c>
      <c r="Q53" s="203">
        <f>8*'[2]Table 5C1S-L.C. Coll Prep'!S53</f>
        <v>0</v>
      </c>
      <c r="R53" s="203">
        <f t="shared" si="15"/>
        <v>0</v>
      </c>
      <c r="S53" s="351">
        <f t="shared" si="30"/>
        <v>0</v>
      </c>
      <c r="T53" s="351">
        <f t="shared" si="16"/>
        <v>0</v>
      </c>
      <c r="U53" s="287">
        <f>'Table 5C1A-Madison Prep'!U53</f>
        <v>11506</v>
      </c>
      <c r="V53" s="328">
        <f t="shared" si="17"/>
        <v>0</v>
      </c>
      <c r="W53" s="289">
        <f>'[1]Oct midyear L.C. Coll Prep'!E50</f>
        <v>0</v>
      </c>
      <c r="X53" s="290">
        <f t="shared" si="18"/>
        <v>0</v>
      </c>
      <c r="Y53" s="289">
        <f>'[1]Feb midyear L.C. Coll Prep'!E50</f>
        <v>0</v>
      </c>
      <c r="Z53" s="290">
        <f t="shared" si="19"/>
        <v>0</v>
      </c>
      <c r="AA53" s="288">
        <f t="shared" si="20"/>
        <v>0</v>
      </c>
      <c r="AB53" s="324">
        <f t="shared" si="21"/>
        <v>0</v>
      </c>
      <c r="AC53" s="292">
        <f t="shared" si="22"/>
        <v>0</v>
      </c>
      <c r="AD53" s="324">
        <f t="shared" si="23"/>
        <v>0</v>
      </c>
      <c r="AE53" s="293">
        <v>0</v>
      </c>
      <c r="AF53" s="324">
        <f t="shared" si="24"/>
        <v>0</v>
      </c>
      <c r="AG53" s="293">
        <f>8*'[2]Table 5C1S-L.C. Coll Prep'!AI53</f>
        <v>0</v>
      </c>
      <c r="AH53" s="293">
        <f t="shared" si="25"/>
        <v>0</v>
      </c>
      <c r="AI53" s="324">
        <f t="shared" si="31"/>
        <v>0</v>
      </c>
      <c r="AJ53" s="321">
        <f t="shared" si="26"/>
        <v>0</v>
      </c>
      <c r="AK53" s="342">
        <f t="shared" si="27"/>
        <v>0</v>
      </c>
      <c r="AM53" s="286">
        <v>0</v>
      </c>
      <c r="AN53" s="286">
        <f t="shared" si="28"/>
        <v>0</v>
      </c>
      <c r="AO53" s="286">
        <f t="shared" si="29"/>
        <v>0</v>
      </c>
    </row>
    <row r="54" spans="1:41" ht="16.149999999999999" customHeight="1">
      <c r="A54" s="198">
        <v>48</v>
      </c>
      <c r="B54" s="199" t="s">
        <v>144</v>
      </c>
      <c r="C54" s="995">
        <v>0</v>
      </c>
      <c r="D54" s="201">
        <f>+'Table 5C1A-Madison Prep'!D54</f>
        <v>3983.3582529800719</v>
      </c>
      <c r="E54" s="202">
        <f t="shared" si="8"/>
        <v>0</v>
      </c>
      <c r="F54" s="202">
        <f>+'Table 5C1A-Madison Prep'!F54</f>
        <v>871.07</v>
      </c>
      <c r="G54" s="202">
        <f t="shared" si="9"/>
        <v>0</v>
      </c>
      <c r="H54" s="345">
        <f t="shared" si="10"/>
        <v>0</v>
      </c>
      <c r="I54" s="203">
        <f>'[1]Oct midyear L.C. Coll Prep'!K51</f>
        <v>0</v>
      </c>
      <c r="J54" s="203">
        <f>'[1]Feb midyear L.C. Coll Prep'!K51</f>
        <v>0</v>
      </c>
      <c r="K54" s="204">
        <f t="shared" si="11"/>
        <v>0</v>
      </c>
      <c r="L54" s="345">
        <f t="shared" si="12"/>
        <v>0</v>
      </c>
      <c r="M54" s="286">
        <f t="shared" si="4"/>
        <v>0</v>
      </c>
      <c r="N54" s="345">
        <f t="shared" si="13"/>
        <v>0</v>
      </c>
      <c r="O54" s="201">
        <v>0</v>
      </c>
      <c r="P54" s="351">
        <f t="shared" si="14"/>
        <v>0</v>
      </c>
      <c r="Q54" s="203">
        <f>8*'[2]Table 5C1S-L.C. Coll Prep'!S54</f>
        <v>0</v>
      </c>
      <c r="R54" s="203">
        <f t="shared" si="15"/>
        <v>0</v>
      </c>
      <c r="S54" s="351">
        <f t="shared" si="30"/>
        <v>0</v>
      </c>
      <c r="T54" s="351">
        <f t="shared" si="16"/>
        <v>0</v>
      </c>
      <c r="U54" s="287">
        <f>'Table 5C1A-Madison Prep'!U54</f>
        <v>6827</v>
      </c>
      <c r="V54" s="328">
        <f t="shared" si="17"/>
        <v>0</v>
      </c>
      <c r="W54" s="289">
        <f>'[1]Oct midyear L.C. Coll Prep'!E51</f>
        <v>0</v>
      </c>
      <c r="X54" s="290">
        <f t="shared" si="18"/>
        <v>0</v>
      </c>
      <c r="Y54" s="289">
        <f>'[1]Feb midyear L.C. Coll Prep'!E51</f>
        <v>0</v>
      </c>
      <c r="Z54" s="290">
        <f t="shared" si="19"/>
        <v>0</v>
      </c>
      <c r="AA54" s="288">
        <f t="shared" si="20"/>
        <v>0</v>
      </c>
      <c r="AB54" s="324">
        <f t="shared" si="21"/>
        <v>0</v>
      </c>
      <c r="AC54" s="292">
        <f t="shared" si="22"/>
        <v>0</v>
      </c>
      <c r="AD54" s="324">
        <f t="shared" si="23"/>
        <v>0</v>
      </c>
      <c r="AE54" s="293">
        <v>0</v>
      </c>
      <c r="AF54" s="324">
        <f t="shared" si="24"/>
        <v>0</v>
      </c>
      <c r="AG54" s="293">
        <f>8*'[2]Table 5C1S-L.C. Coll Prep'!AI54</f>
        <v>0</v>
      </c>
      <c r="AH54" s="293">
        <f t="shared" si="25"/>
        <v>0</v>
      </c>
      <c r="AI54" s="324">
        <f t="shared" si="31"/>
        <v>0</v>
      </c>
      <c r="AJ54" s="321">
        <f t="shared" si="26"/>
        <v>0</v>
      </c>
      <c r="AK54" s="342">
        <f t="shared" si="27"/>
        <v>0</v>
      </c>
      <c r="AM54" s="286">
        <v>0</v>
      </c>
      <c r="AN54" s="286">
        <f t="shared" si="28"/>
        <v>0</v>
      </c>
      <c r="AO54" s="286">
        <f t="shared" si="29"/>
        <v>0</v>
      </c>
    </row>
    <row r="55" spans="1:41" ht="16.149999999999999" customHeight="1">
      <c r="A55" s="198">
        <v>49</v>
      </c>
      <c r="B55" s="199" t="s">
        <v>120</v>
      </c>
      <c r="C55" s="995">
        <v>0</v>
      </c>
      <c r="D55" s="201">
        <f>+'Table 5C1A-Madison Prep'!D55</f>
        <v>4995.8755315659191</v>
      </c>
      <c r="E55" s="202">
        <f t="shared" si="8"/>
        <v>0</v>
      </c>
      <c r="F55" s="202">
        <f>+'Table 5C1A-Madison Prep'!F55</f>
        <v>574.43999999999994</v>
      </c>
      <c r="G55" s="202">
        <f t="shared" si="9"/>
        <v>0</v>
      </c>
      <c r="H55" s="345">
        <f t="shared" si="10"/>
        <v>0</v>
      </c>
      <c r="I55" s="203">
        <f>'[1]Oct midyear L.C. Coll Prep'!K52</f>
        <v>0</v>
      </c>
      <c r="J55" s="203">
        <f>'[1]Feb midyear L.C. Coll Prep'!K52</f>
        <v>0</v>
      </c>
      <c r="K55" s="204">
        <f t="shared" si="11"/>
        <v>0</v>
      </c>
      <c r="L55" s="345">
        <f t="shared" si="12"/>
        <v>0</v>
      </c>
      <c r="M55" s="286">
        <f t="shared" si="4"/>
        <v>0</v>
      </c>
      <c r="N55" s="345">
        <f t="shared" si="13"/>
        <v>0</v>
      </c>
      <c r="O55" s="201">
        <v>0</v>
      </c>
      <c r="P55" s="351">
        <f t="shared" si="14"/>
        <v>0</v>
      </c>
      <c r="Q55" s="203">
        <f>8*'[2]Table 5C1S-L.C. Coll Prep'!S55</f>
        <v>0</v>
      </c>
      <c r="R55" s="203">
        <f t="shared" si="15"/>
        <v>0</v>
      </c>
      <c r="S55" s="351">
        <f t="shared" si="30"/>
        <v>0</v>
      </c>
      <c r="T55" s="351">
        <f t="shared" si="16"/>
        <v>0</v>
      </c>
      <c r="U55" s="287">
        <f>'Table 5C1A-Madison Prep'!U55</f>
        <v>2399</v>
      </c>
      <c r="V55" s="328">
        <f t="shared" si="17"/>
        <v>0</v>
      </c>
      <c r="W55" s="289">
        <f>'[1]Oct midyear L.C. Coll Prep'!E52</f>
        <v>0</v>
      </c>
      <c r="X55" s="290">
        <f t="shared" si="18"/>
        <v>0</v>
      </c>
      <c r="Y55" s="289">
        <f>'[1]Feb midyear L.C. Coll Prep'!E52</f>
        <v>0</v>
      </c>
      <c r="Z55" s="290">
        <f t="shared" si="19"/>
        <v>0</v>
      </c>
      <c r="AA55" s="288">
        <f t="shared" si="20"/>
        <v>0</v>
      </c>
      <c r="AB55" s="324">
        <f t="shared" si="21"/>
        <v>0</v>
      </c>
      <c r="AC55" s="292">
        <f t="shared" si="22"/>
        <v>0</v>
      </c>
      <c r="AD55" s="324">
        <f t="shared" si="23"/>
        <v>0</v>
      </c>
      <c r="AE55" s="293">
        <v>0</v>
      </c>
      <c r="AF55" s="324">
        <f t="shared" si="24"/>
        <v>0</v>
      </c>
      <c r="AG55" s="293">
        <f>8*'[2]Table 5C1S-L.C. Coll Prep'!AI55</f>
        <v>0</v>
      </c>
      <c r="AH55" s="293">
        <f t="shared" si="25"/>
        <v>0</v>
      </c>
      <c r="AI55" s="324">
        <f t="shared" si="31"/>
        <v>0</v>
      </c>
      <c r="AJ55" s="321">
        <f t="shared" si="26"/>
        <v>0</v>
      </c>
      <c r="AK55" s="342">
        <f t="shared" si="27"/>
        <v>0</v>
      </c>
      <c r="AM55" s="286">
        <v>0</v>
      </c>
      <c r="AN55" s="286">
        <f t="shared" si="28"/>
        <v>0</v>
      </c>
      <c r="AO55" s="286">
        <f t="shared" si="29"/>
        <v>0</v>
      </c>
    </row>
    <row r="56" spans="1:41" ht="16.149999999999999" customHeight="1">
      <c r="A56" s="191">
        <v>50</v>
      </c>
      <c r="B56" s="192" t="s">
        <v>121</v>
      </c>
      <c r="C56" s="996">
        <v>0</v>
      </c>
      <c r="D56" s="194">
        <f>+'Table 5C1A-Madison Prep'!D56</f>
        <v>5177.6892722701677</v>
      </c>
      <c r="E56" s="195">
        <f t="shared" si="8"/>
        <v>0</v>
      </c>
      <c r="F56" s="195">
        <f>+'Table 5C1A-Madison Prep'!F56</f>
        <v>634.46</v>
      </c>
      <c r="G56" s="195">
        <f t="shared" si="9"/>
        <v>0</v>
      </c>
      <c r="H56" s="346">
        <f t="shared" si="10"/>
        <v>0</v>
      </c>
      <c r="I56" s="196">
        <f>'[1]Oct midyear L.C. Coll Prep'!K53</f>
        <v>0</v>
      </c>
      <c r="J56" s="196">
        <f>'[1]Feb midyear L.C. Coll Prep'!K53</f>
        <v>0</v>
      </c>
      <c r="K56" s="197">
        <f t="shared" si="11"/>
        <v>0</v>
      </c>
      <c r="L56" s="346">
        <f t="shared" si="12"/>
        <v>0</v>
      </c>
      <c r="M56" s="296">
        <f t="shared" si="4"/>
        <v>0</v>
      </c>
      <c r="N56" s="346">
        <f t="shared" si="13"/>
        <v>0</v>
      </c>
      <c r="O56" s="194">
        <v>0</v>
      </c>
      <c r="P56" s="352">
        <f t="shared" si="14"/>
        <v>0</v>
      </c>
      <c r="Q56" s="196">
        <f>8*'[2]Table 5C1S-L.C. Coll Prep'!S56</f>
        <v>0</v>
      </c>
      <c r="R56" s="196">
        <f t="shared" si="15"/>
        <v>0</v>
      </c>
      <c r="S56" s="352">
        <f t="shared" si="30"/>
        <v>0</v>
      </c>
      <c r="T56" s="352">
        <f t="shared" si="16"/>
        <v>0</v>
      </c>
      <c r="U56" s="281">
        <f>'Table 5C1A-Madison Prep'!U56</f>
        <v>3413</v>
      </c>
      <c r="V56" s="329">
        <f t="shared" si="17"/>
        <v>0</v>
      </c>
      <c r="W56" s="884">
        <f>'[1]Oct midyear L.C. Coll Prep'!E53</f>
        <v>0</v>
      </c>
      <c r="X56" s="282">
        <f t="shared" si="18"/>
        <v>0</v>
      </c>
      <c r="Y56" s="884">
        <f>'[1]Feb midyear L.C. Coll Prep'!E53</f>
        <v>0</v>
      </c>
      <c r="Z56" s="282">
        <f t="shared" si="19"/>
        <v>0</v>
      </c>
      <c r="AA56" s="283">
        <f t="shared" si="20"/>
        <v>0</v>
      </c>
      <c r="AB56" s="325">
        <f t="shared" si="21"/>
        <v>0</v>
      </c>
      <c r="AC56" s="298">
        <f t="shared" si="22"/>
        <v>0</v>
      </c>
      <c r="AD56" s="325">
        <f t="shared" si="23"/>
        <v>0</v>
      </c>
      <c r="AE56" s="284">
        <v>0</v>
      </c>
      <c r="AF56" s="325">
        <f t="shared" si="24"/>
        <v>0</v>
      </c>
      <c r="AG56" s="284">
        <f>8*'[2]Table 5C1S-L.C. Coll Prep'!AI56</f>
        <v>0</v>
      </c>
      <c r="AH56" s="284">
        <f t="shared" si="25"/>
        <v>0</v>
      </c>
      <c r="AI56" s="325">
        <f t="shared" si="31"/>
        <v>0</v>
      </c>
      <c r="AJ56" s="338">
        <f t="shared" si="26"/>
        <v>0</v>
      </c>
      <c r="AK56" s="343">
        <f t="shared" si="27"/>
        <v>0</v>
      </c>
      <c r="AM56" s="296">
        <v>0</v>
      </c>
      <c r="AN56" s="296">
        <f t="shared" si="28"/>
        <v>0</v>
      </c>
      <c r="AO56" s="296">
        <f t="shared" si="29"/>
        <v>0</v>
      </c>
    </row>
    <row r="57" spans="1:41" ht="16.149999999999999" customHeight="1">
      <c r="A57" s="205">
        <v>51</v>
      </c>
      <c r="B57" s="206" t="s">
        <v>122</v>
      </c>
      <c r="C57" s="994">
        <v>0</v>
      </c>
      <c r="D57" s="208">
        <f>+'Table 5C1A-Madison Prep'!D57</f>
        <v>4154.1928602178996</v>
      </c>
      <c r="E57" s="209">
        <f t="shared" si="8"/>
        <v>0</v>
      </c>
      <c r="F57" s="209">
        <f>+'Table 5C1A-Madison Prep'!F57</f>
        <v>706.66</v>
      </c>
      <c r="G57" s="209">
        <f t="shared" si="9"/>
        <v>0</v>
      </c>
      <c r="H57" s="344">
        <f t="shared" si="10"/>
        <v>0</v>
      </c>
      <c r="I57" s="210">
        <f>'[1]Oct midyear L.C. Coll Prep'!K54</f>
        <v>0</v>
      </c>
      <c r="J57" s="210">
        <f>'[1]Feb midyear L.C. Coll Prep'!K54</f>
        <v>0</v>
      </c>
      <c r="K57" s="211">
        <f t="shared" si="11"/>
        <v>0</v>
      </c>
      <c r="L57" s="344">
        <f t="shared" si="12"/>
        <v>0</v>
      </c>
      <c r="M57" s="273">
        <f t="shared" si="4"/>
        <v>0</v>
      </c>
      <c r="N57" s="344">
        <f t="shared" si="13"/>
        <v>0</v>
      </c>
      <c r="O57" s="208">
        <v>0</v>
      </c>
      <c r="P57" s="350">
        <f t="shared" si="14"/>
        <v>0</v>
      </c>
      <c r="Q57" s="210">
        <f>8*'[2]Table 5C1S-L.C. Coll Prep'!S57</f>
        <v>0</v>
      </c>
      <c r="R57" s="210">
        <f t="shared" si="15"/>
        <v>0</v>
      </c>
      <c r="S57" s="350">
        <f t="shared" si="30"/>
        <v>0</v>
      </c>
      <c r="T57" s="350">
        <f t="shared" si="16"/>
        <v>0</v>
      </c>
      <c r="U57" s="274">
        <f>'Table 5C1A-Madison Prep'!U57</f>
        <v>4512</v>
      </c>
      <c r="V57" s="327">
        <f t="shared" si="17"/>
        <v>0</v>
      </c>
      <c r="W57" s="883">
        <f>'[1]Oct midyear L.C. Coll Prep'!E54</f>
        <v>0</v>
      </c>
      <c r="X57" s="276">
        <f t="shared" si="18"/>
        <v>0</v>
      </c>
      <c r="Y57" s="883">
        <f>'[1]Feb midyear L.C. Coll Prep'!E54</f>
        <v>0</v>
      </c>
      <c r="Z57" s="276">
        <f t="shared" si="19"/>
        <v>0</v>
      </c>
      <c r="AA57" s="275">
        <f t="shared" si="20"/>
        <v>0</v>
      </c>
      <c r="AB57" s="323">
        <f t="shared" si="21"/>
        <v>0</v>
      </c>
      <c r="AC57" s="278">
        <f t="shared" si="22"/>
        <v>0</v>
      </c>
      <c r="AD57" s="323">
        <f t="shared" si="23"/>
        <v>0</v>
      </c>
      <c r="AE57" s="279">
        <v>0</v>
      </c>
      <c r="AF57" s="323">
        <f t="shared" si="24"/>
        <v>0</v>
      </c>
      <c r="AG57" s="279">
        <f>8*'[2]Table 5C1S-L.C. Coll Prep'!AI57</f>
        <v>0</v>
      </c>
      <c r="AH57" s="279">
        <f t="shared" si="25"/>
        <v>0</v>
      </c>
      <c r="AI57" s="323">
        <f t="shared" si="31"/>
        <v>0</v>
      </c>
      <c r="AJ57" s="337">
        <f t="shared" si="26"/>
        <v>0</v>
      </c>
      <c r="AK57" s="341">
        <f t="shared" si="27"/>
        <v>0</v>
      </c>
      <c r="AM57" s="273">
        <v>0</v>
      </c>
      <c r="AN57" s="273">
        <f t="shared" si="28"/>
        <v>0</v>
      </c>
      <c r="AO57" s="273">
        <f t="shared" si="29"/>
        <v>0</v>
      </c>
    </row>
    <row r="58" spans="1:41" ht="16.149999999999999" customHeight="1">
      <c r="A58" s="198">
        <v>52</v>
      </c>
      <c r="B58" s="199" t="s">
        <v>123</v>
      </c>
      <c r="C58" s="995">
        <v>0</v>
      </c>
      <c r="D58" s="201">
        <f>+'Table 5C1A-Madison Prep'!D58</f>
        <v>5062.2745845228173</v>
      </c>
      <c r="E58" s="202">
        <f t="shared" si="8"/>
        <v>0</v>
      </c>
      <c r="F58" s="202">
        <f>+'Table 5C1A-Madison Prep'!F58</f>
        <v>658.37</v>
      </c>
      <c r="G58" s="202">
        <f t="shared" si="9"/>
        <v>0</v>
      </c>
      <c r="H58" s="345">
        <f t="shared" si="10"/>
        <v>0</v>
      </c>
      <c r="I58" s="203">
        <f>'[1]Oct midyear L.C. Coll Prep'!K55</f>
        <v>0</v>
      </c>
      <c r="J58" s="203">
        <f>'[1]Feb midyear L.C. Coll Prep'!K55</f>
        <v>0</v>
      </c>
      <c r="K58" s="204">
        <f t="shared" si="11"/>
        <v>0</v>
      </c>
      <c r="L58" s="345">
        <f t="shared" si="12"/>
        <v>0</v>
      </c>
      <c r="M58" s="286">
        <f t="shared" si="4"/>
        <v>0</v>
      </c>
      <c r="N58" s="345">
        <f t="shared" si="13"/>
        <v>0</v>
      </c>
      <c r="O58" s="201">
        <v>0</v>
      </c>
      <c r="P58" s="351">
        <f t="shared" si="14"/>
        <v>0</v>
      </c>
      <c r="Q58" s="203">
        <f>8*'[2]Table 5C1S-L.C. Coll Prep'!S58</f>
        <v>0</v>
      </c>
      <c r="R58" s="203">
        <f t="shared" si="15"/>
        <v>0</v>
      </c>
      <c r="S58" s="351">
        <f t="shared" si="30"/>
        <v>0</v>
      </c>
      <c r="T58" s="351">
        <f t="shared" si="16"/>
        <v>0</v>
      </c>
      <c r="U58" s="287">
        <f>'Table 5C1A-Madison Prep'!U58</f>
        <v>5289</v>
      </c>
      <c r="V58" s="328">
        <f t="shared" si="17"/>
        <v>0</v>
      </c>
      <c r="W58" s="289">
        <f>'[1]Oct midyear L.C. Coll Prep'!E55</f>
        <v>0</v>
      </c>
      <c r="X58" s="290">
        <f t="shared" si="18"/>
        <v>0</v>
      </c>
      <c r="Y58" s="289">
        <f>'[1]Feb midyear L.C. Coll Prep'!E55</f>
        <v>0</v>
      </c>
      <c r="Z58" s="290">
        <f t="shared" si="19"/>
        <v>0</v>
      </c>
      <c r="AA58" s="288">
        <f t="shared" si="20"/>
        <v>0</v>
      </c>
      <c r="AB58" s="324">
        <f t="shared" si="21"/>
        <v>0</v>
      </c>
      <c r="AC58" s="292">
        <f t="shared" si="22"/>
        <v>0</v>
      </c>
      <c r="AD58" s="324">
        <f t="shared" si="23"/>
        <v>0</v>
      </c>
      <c r="AE58" s="293">
        <v>0</v>
      </c>
      <c r="AF58" s="324">
        <f t="shared" si="24"/>
        <v>0</v>
      </c>
      <c r="AG58" s="293">
        <f>8*'[2]Table 5C1S-L.C. Coll Prep'!AI58</f>
        <v>0</v>
      </c>
      <c r="AH58" s="293">
        <f t="shared" si="25"/>
        <v>0</v>
      </c>
      <c r="AI58" s="324">
        <f t="shared" si="31"/>
        <v>0</v>
      </c>
      <c r="AJ58" s="321">
        <f t="shared" si="26"/>
        <v>0</v>
      </c>
      <c r="AK58" s="342">
        <f t="shared" si="27"/>
        <v>0</v>
      </c>
      <c r="AM58" s="286">
        <v>0</v>
      </c>
      <c r="AN58" s="286">
        <f t="shared" si="28"/>
        <v>0</v>
      </c>
      <c r="AO58" s="286">
        <f t="shared" si="29"/>
        <v>0</v>
      </c>
    </row>
    <row r="59" spans="1:41" ht="16.149999999999999" customHeight="1">
      <c r="A59" s="198">
        <v>53</v>
      </c>
      <c r="B59" s="199" t="s">
        <v>124</v>
      </c>
      <c r="C59" s="995">
        <v>0</v>
      </c>
      <c r="D59" s="201">
        <f>+'Table 5C1A-Madison Prep'!D59</f>
        <v>5060.1508194045482</v>
      </c>
      <c r="E59" s="202">
        <f t="shared" si="8"/>
        <v>0</v>
      </c>
      <c r="F59" s="202">
        <f>+'Table 5C1A-Madison Prep'!F59</f>
        <v>689.74</v>
      </c>
      <c r="G59" s="202">
        <f t="shared" si="9"/>
        <v>0</v>
      </c>
      <c r="H59" s="345">
        <f t="shared" si="10"/>
        <v>0</v>
      </c>
      <c r="I59" s="203">
        <f>'[1]Oct midyear L.C. Coll Prep'!K56</f>
        <v>0</v>
      </c>
      <c r="J59" s="203">
        <f>'[1]Feb midyear L.C. Coll Prep'!K56</f>
        <v>0</v>
      </c>
      <c r="K59" s="204">
        <f t="shared" si="11"/>
        <v>0</v>
      </c>
      <c r="L59" s="345">
        <f t="shared" si="12"/>
        <v>0</v>
      </c>
      <c r="M59" s="286">
        <f t="shared" si="4"/>
        <v>0</v>
      </c>
      <c r="N59" s="345">
        <f t="shared" si="13"/>
        <v>0</v>
      </c>
      <c r="O59" s="201">
        <v>0</v>
      </c>
      <c r="P59" s="351">
        <f t="shared" si="14"/>
        <v>0</v>
      </c>
      <c r="Q59" s="203">
        <f>8*'[2]Table 5C1S-L.C. Coll Prep'!S59</f>
        <v>0</v>
      </c>
      <c r="R59" s="203">
        <f t="shared" si="15"/>
        <v>0</v>
      </c>
      <c r="S59" s="351">
        <f t="shared" si="30"/>
        <v>0</v>
      </c>
      <c r="T59" s="351">
        <f t="shared" si="16"/>
        <v>0</v>
      </c>
      <c r="U59" s="287">
        <f>'Table 5C1A-Madison Prep'!U59</f>
        <v>2101</v>
      </c>
      <c r="V59" s="328">
        <f t="shared" si="17"/>
        <v>0</v>
      </c>
      <c r="W59" s="289">
        <f>'[1]Oct midyear L.C. Coll Prep'!E56</f>
        <v>0</v>
      </c>
      <c r="X59" s="290">
        <f t="shared" si="18"/>
        <v>0</v>
      </c>
      <c r="Y59" s="289">
        <f>'[1]Feb midyear L.C. Coll Prep'!E56</f>
        <v>0</v>
      </c>
      <c r="Z59" s="290">
        <f t="shared" si="19"/>
        <v>0</v>
      </c>
      <c r="AA59" s="288">
        <f t="shared" si="20"/>
        <v>0</v>
      </c>
      <c r="AB59" s="324">
        <f t="shared" si="21"/>
        <v>0</v>
      </c>
      <c r="AC59" s="292">
        <f t="shared" si="22"/>
        <v>0</v>
      </c>
      <c r="AD59" s="324">
        <f t="shared" si="23"/>
        <v>0</v>
      </c>
      <c r="AE59" s="293">
        <v>0</v>
      </c>
      <c r="AF59" s="324">
        <f t="shared" si="24"/>
        <v>0</v>
      </c>
      <c r="AG59" s="293">
        <f>8*'[2]Table 5C1S-L.C. Coll Prep'!AI59</f>
        <v>0</v>
      </c>
      <c r="AH59" s="293">
        <f t="shared" si="25"/>
        <v>0</v>
      </c>
      <c r="AI59" s="324">
        <f t="shared" si="31"/>
        <v>0</v>
      </c>
      <c r="AJ59" s="321">
        <f t="shared" si="26"/>
        <v>0</v>
      </c>
      <c r="AK59" s="342">
        <f t="shared" si="27"/>
        <v>0</v>
      </c>
      <c r="AM59" s="286">
        <v>0</v>
      </c>
      <c r="AN59" s="286">
        <f t="shared" si="28"/>
        <v>0</v>
      </c>
      <c r="AO59" s="286">
        <f t="shared" si="29"/>
        <v>0</v>
      </c>
    </row>
    <row r="60" spans="1:41" ht="16.149999999999999" customHeight="1">
      <c r="A60" s="198">
        <v>54</v>
      </c>
      <c r="B60" s="199" t="s">
        <v>125</v>
      </c>
      <c r="C60" s="995">
        <v>0</v>
      </c>
      <c r="D60" s="201">
        <f>+'Table 5C1A-Madison Prep'!D60</f>
        <v>5867.0798370516713</v>
      </c>
      <c r="E60" s="202">
        <f t="shared" si="8"/>
        <v>0</v>
      </c>
      <c r="F60" s="202">
        <f>+'Table 5C1A-Madison Prep'!F60</f>
        <v>951.45</v>
      </c>
      <c r="G60" s="202">
        <f t="shared" si="9"/>
        <v>0</v>
      </c>
      <c r="H60" s="345">
        <f t="shared" si="10"/>
        <v>0</v>
      </c>
      <c r="I60" s="203">
        <f>'[1]Oct midyear L.C. Coll Prep'!K57</f>
        <v>0</v>
      </c>
      <c r="J60" s="203">
        <f>'[1]Feb midyear L.C. Coll Prep'!K57</f>
        <v>0</v>
      </c>
      <c r="K60" s="204">
        <f t="shared" si="11"/>
        <v>0</v>
      </c>
      <c r="L60" s="345">
        <f t="shared" si="12"/>
        <v>0</v>
      </c>
      <c r="M60" s="286">
        <f t="shared" si="4"/>
        <v>0</v>
      </c>
      <c r="N60" s="345">
        <f t="shared" si="13"/>
        <v>0</v>
      </c>
      <c r="O60" s="201">
        <v>0</v>
      </c>
      <c r="P60" s="351">
        <f t="shared" si="14"/>
        <v>0</v>
      </c>
      <c r="Q60" s="203">
        <f>8*'[2]Table 5C1S-L.C. Coll Prep'!S60</f>
        <v>0</v>
      </c>
      <c r="R60" s="203">
        <f t="shared" si="15"/>
        <v>0</v>
      </c>
      <c r="S60" s="351">
        <f t="shared" si="30"/>
        <v>0</v>
      </c>
      <c r="T60" s="351">
        <f t="shared" si="16"/>
        <v>0</v>
      </c>
      <c r="U60" s="287">
        <f>'Table 5C1A-Madison Prep'!U60</f>
        <v>4150</v>
      </c>
      <c r="V60" s="328">
        <f t="shared" si="17"/>
        <v>0</v>
      </c>
      <c r="W60" s="289">
        <f>'[1]Oct midyear L.C. Coll Prep'!E57</f>
        <v>0</v>
      </c>
      <c r="X60" s="290">
        <f t="shared" si="18"/>
        <v>0</v>
      </c>
      <c r="Y60" s="289">
        <f>'[1]Feb midyear L.C. Coll Prep'!E57</f>
        <v>0</v>
      </c>
      <c r="Z60" s="290">
        <f t="shared" si="19"/>
        <v>0</v>
      </c>
      <c r="AA60" s="288">
        <f t="shared" si="20"/>
        <v>0</v>
      </c>
      <c r="AB60" s="324">
        <f t="shared" si="21"/>
        <v>0</v>
      </c>
      <c r="AC60" s="292">
        <f t="shared" si="22"/>
        <v>0</v>
      </c>
      <c r="AD60" s="324">
        <f t="shared" si="23"/>
        <v>0</v>
      </c>
      <c r="AE60" s="293">
        <v>0</v>
      </c>
      <c r="AF60" s="324">
        <f t="shared" si="24"/>
        <v>0</v>
      </c>
      <c r="AG60" s="293">
        <f>8*'[2]Table 5C1S-L.C. Coll Prep'!AI60</f>
        <v>0</v>
      </c>
      <c r="AH60" s="293">
        <f t="shared" si="25"/>
        <v>0</v>
      </c>
      <c r="AI60" s="324">
        <f t="shared" si="31"/>
        <v>0</v>
      </c>
      <c r="AJ60" s="321">
        <f t="shared" si="26"/>
        <v>0</v>
      </c>
      <c r="AK60" s="342">
        <f t="shared" si="27"/>
        <v>0</v>
      </c>
      <c r="AM60" s="286">
        <v>0</v>
      </c>
      <c r="AN60" s="286">
        <f t="shared" si="28"/>
        <v>0</v>
      </c>
      <c r="AO60" s="286">
        <f t="shared" si="29"/>
        <v>0</v>
      </c>
    </row>
    <row r="61" spans="1:41" ht="16.149999999999999" customHeight="1">
      <c r="A61" s="191">
        <v>55</v>
      </c>
      <c r="B61" s="192" t="s">
        <v>126</v>
      </c>
      <c r="C61" s="996">
        <v>0</v>
      </c>
      <c r="D61" s="194">
        <f>+'Table 5C1A-Madison Prep'!D61</f>
        <v>4266.8225491298481</v>
      </c>
      <c r="E61" s="195">
        <f t="shared" si="8"/>
        <v>0</v>
      </c>
      <c r="F61" s="195">
        <f>+'Table 5C1A-Madison Prep'!F61</f>
        <v>795.14</v>
      </c>
      <c r="G61" s="195">
        <f t="shared" si="9"/>
        <v>0</v>
      </c>
      <c r="H61" s="346">
        <f t="shared" si="10"/>
        <v>0</v>
      </c>
      <c r="I61" s="196">
        <f>'[1]Oct midyear L.C. Coll Prep'!K58</f>
        <v>0</v>
      </c>
      <c r="J61" s="196">
        <f>'[1]Feb midyear L.C. Coll Prep'!K58</f>
        <v>0</v>
      </c>
      <c r="K61" s="197">
        <f t="shared" si="11"/>
        <v>0</v>
      </c>
      <c r="L61" s="346">
        <f t="shared" si="12"/>
        <v>0</v>
      </c>
      <c r="M61" s="296">
        <f t="shared" si="4"/>
        <v>0</v>
      </c>
      <c r="N61" s="346">
        <f t="shared" si="13"/>
        <v>0</v>
      </c>
      <c r="O61" s="194">
        <v>0</v>
      </c>
      <c r="P61" s="352">
        <f t="shared" si="14"/>
        <v>0</v>
      </c>
      <c r="Q61" s="196">
        <f>8*'[2]Table 5C1S-L.C. Coll Prep'!S61</f>
        <v>0</v>
      </c>
      <c r="R61" s="196">
        <f t="shared" si="15"/>
        <v>0</v>
      </c>
      <c r="S61" s="352">
        <f t="shared" si="30"/>
        <v>0</v>
      </c>
      <c r="T61" s="352">
        <f t="shared" si="16"/>
        <v>0</v>
      </c>
      <c r="U61" s="281">
        <f>'Table 5C1A-Madison Prep'!U61</f>
        <v>3637</v>
      </c>
      <c r="V61" s="329">
        <f t="shared" si="17"/>
        <v>0</v>
      </c>
      <c r="W61" s="884">
        <f>'[1]Oct midyear L.C. Coll Prep'!E58</f>
        <v>0</v>
      </c>
      <c r="X61" s="282">
        <f t="shared" si="18"/>
        <v>0</v>
      </c>
      <c r="Y61" s="884">
        <f>'[1]Feb midyear L.C. Coll Prep'!E58</f>
        <v>0</v>
      </c>
      <c r="Z61" s="282">
        <f t="shared" si="19"/>
        <v>0</v>
      </c>
      <c r="AA61" s="283">
        <f t="shared" si="20"/>
        <v>0</v>
      </c>
      <c r="AB61" s="325">
        <f t="shared" si="21"/>
        <v>0</v>
      </c>
      <c r="AC61" s="298">
        <f t="shared" si="22"/>
        <v>0</v>
      </c>
      <c r="AD61" s="325">
        <f t="shared" si="23"/>
        <v>0</v>
      </c>
      <c r="AE61" s="284">
        <v>0</v>
      </c>
      <c r="AF61" s="325">
        <f t="shared" si="24"/>
        <v>0</v>
      </c>
      <c r="AG61" s="284">
        <f>8*'[2]Table 5C1S-L.C. Coll Prep'!AI61</f>
        <v>0</v>
      </c>
      <c r="AH61" s="284">
        <f t="shared" si="25"/>
        <v>0</v>
      </c>
      <c r="AI61" s="325">
        <f t="shared" si="31"/>
        <v>0</v>
      </c>
      <c r="AJ61" s="338">
        <f t="shared" si="26"/>
        <v>0</v>
      </c>
      <c r="AK61" s="343">
        <f t="shared" si="27"/>
        <v>0</v>
      </c>
      <c r="AM61" s="296">
        <v>0</v>
      </c>
      <c r="AN61" s="296">
        <f t="shared" si="28"/>
        <v>0</v>
      </c>
      <c r="AO61" s="296">
        <f t="shared" si="29"/>
        <v>0</v>
      </c>
    </row>
    <row r="62" spans="1:41" ht="16.149999999999999" customHeight="1">
      <c r="A62" s="205">
        <v>56</v>
      </c>
      <c r="B62" s="206" t="s">
        <v>127</v>
      </c>
      <c r="C62" s="994">
        <v>0</v>
      </c>
      <c r="D62" s="208">
        <f>+'Table 5C1A-Madison Prep'!D62</f>
        <v>5028.4909408288286</v>
      </c>
      <c r="E62" s="209">
        <f t="shared" si="8"/>
        <v>0</v>
      </c>
      <c r="F62" s="209">
        <f>+'Table 5C1A-Madison Prep'!F62</f>
        <v>614.66000000000008</v>
      </c>
      <c r="G62" s="209">
        <f t="shared" si="9"/>
        <v>0</v>
      </c>
      <c r="H62" s="344">
        <f t="shared" si="10"/>
        <v>0</v>
      </c>
      <c r="I62" s="210">
        <f>'[1]Oct midyear L.C. Coll Prep'!K59</f>
        <v>0</v>
      </c>
      <c r="J62" s="210">
        <f>'[1]Feb midyear L.C. Coll Prep'!K59</f>
        <v>0</v>
      </c>
      <c r="K62" s="211">
        <f t="shared" si="11"/>
        <v>0</v>
      </c>
      <c r="L62" s="344">
        <f t="shared" si="12"/>
        <v>0</v>
      </c>
      <c r="M62" s="273">
        <f t="shared" si="4"/>
        <v>0</v>
      </c>
      <c r="N62" s="344">
        <f t="shared" si="13"/>
        <v>0</v>
      </c>
      <c r="O62" s="208">
        <v>0</v>
      </c>
      <c r="P62" s="350">
        <f t="shared" si="14"/>
        <v>0</v>
      </c>
      <c r="Q62" s="210">
        <f>8*'[2]Table 5C1S-L.C. Coll Prep'!S62</f>
        <v>0</v>
      </c>
      <c r="R62" s="210">
        <f t="shared" si="15"/>
        <v>0</v>
      </c>
      <c r="S62" s="350">
        <f t="shared" si="30"/>
        <v>0</v>
      </c>
      <c r="T62" s="350">
        <f t="shared" si="16"/>
        <v>0</v>
      </c>
      <c r="U62" s="274">
        <f>'Table 5C1A-Madison Prep'!U62</f>
        <v>2857</v>
      </c>
      <c r="V62" s="327">
        <f t="shared" si="17"/>
        <v>0</v>
      </c>
      <c r="W62" s="883">
        <f>'[1]Oct midyear L.C. Coll Prep'!E59</f>
        <v>0</v>
      </c>
      <c r="X62" s="276">
        <f t="shared" si="18"/>
        <v>0</v>
      </c>
      <c r="Y62" s="883">
        <f>'[1]Feb midyear L.C. Coll Prep'!E59</f>
        <v>0</v>
      </c>
      <c r="Z62" s="276">
        <f t="shared" si="19"/>
        <v>0</v>
      </c>
      <c r="AA62" s="275">
        <f t="shared" si="20"/>
        <v>0</v>
      </c>
      <c r="AB62" s="323">
        <f t="shared" si="21"/>
        <v>0</v>
      </c>
      <c r="AC62" s="278">
        <f t="shared" si="22"/>
        <v>0</v>
      </c>
      <c r="AD62" s="323">
        <f t="shared" si="23"/>
        <v>0</v>
      </c>
      <c r="AE62" s="279">
        <v>0</v>
      </c>
      <c r="AF62" s="323">
        <f t="shared" si="24"/>
        <v>0</v>
      </c>
      <c r="AG62" s="279">
        <f>8*'[2]Table 5C1S-L.C. Coll Prep'!AI62</f>
        <v>0</v>
      </c>
      <c r="AH62" s="279">
        <f t="shared" si="25"/>
        <v>0</v>
      </c>
      <c r="AI62" s="323">
        <f t="shared" si="31"/>
        <v>0</v>
      </c>
      <c r="AJ62" s="337">
        <f t="shared" si="26"/>
        <v>0</v>
      </c>
      <c r="AK62" s="341">
        <f t="shared" si="27"/>
        <v>0</v>
      </c>
      <c r="AM62" s="273">
        <v>0</v>
      </c>
      <c r="AN62" s="273">
        <f t="shared" si="28"/>
        <v>0</v>
      </c>
      <c r="AO62" s="273">
        <f t="shared" si="29"/>
        <v>0</v>
      </c>
    </row>
    <row r="63" spans="1:41" ht="16.149999999999999" customHeight="1">
      <c r="A63" s="198">
        <v>57</v>
      </c>
      <c r="B63" s="199" t="s">
        <v>128</v>
      </c>
      <c r="C63" s="995">
        <v>0</v>
      </c>
      <c r="D63" s="201">
        <f>+'Table 5C1A-Madison Prep'!D63</f>
        <v>4625.9922979230687</v>
      </c>
      <c r="E63" s="202">
        <f t="shared" si="8"/>
        <v>0</v>
      </c>
      <c r="F63" s="202">
        <f>+'Table 5C1A-Madison Prep'!F63</f>
        <v>764.51</v>
      </c>
      <c r="G63" s="202">
        <f t="shared" si="9"/>
        <v>0</v>
      </c>
      <c r="H63" s="345">
        <f t="shared" si="10"/>
        <v>0</v>
      </c>
      <c r="I63" s="203">
        <f>'[1]Oct midyear L.C. Coll Prep'!K60</f>
        <v>0</v>
      </c>
      <c r="J63" s="203">
        <f>'[1]Feb midyear L.C. Coll Prep'!K60</f>
        <v>0</v>
      </c>
      <c r="K63" s="204">
        <f t="shared" si="11"/>
        <v>0</v>
      </c>
      <c r="L63" s="345">
        <f t="shared" si="12"/>
        <v>0</v>
      </c>
      <c r="M63" s="286">
        <f t="shared" si="4"/>
        <v>0</v>
      </c>
      <c r="N63" s="345">
        <f t="shared" si="13"/>
        <v>0</v>
      </c>
      <c r="O63" s="201">
        <v>0</v>
      </c>
      <c r="P63" s="351">
        <f t="shared" si="14"/>
        <v>0</v>
      </c>
      <c r="Q63" s="203">
        <f>8*'[2]Table 5C1S-L.C. Coll Prep'!S63</f>
        <v>0</v>
      </c>
      <c r="R63" s="203">
        <f t="shared" si="15"/>
        <v>0</v>
      </c>
      <c r="S63" s="351">
        <f t="shared" si="30"/>
        <v>0</v>
      </c>
      <c r="T63" s="351">
        <f t="shared" si="16"/>
        <v>0</v>
      </c>
      <c r="U63" s="287">
        <f>'Table 5C1A-Madison Prep'!U63</f>
        <v>3465</v>
      </c>
      <c r="V63" s="328">
        <f t="shared" si="17"/>
        <v>0</v>
      </c>
      <c r="W63" s="289">
        <f>'[1]Oct midyear L.C. Coll Prep'!E60</f>
        <v>0</v>
      </c>
      <c r="X63" s="290">
        <f t="shared" si="18"/>
        <v>0</v>
      </c>
      <c r="Y63" s="289">
        <f>'[1]Feb midyear L.C. Coll Prep'!E60</f>
        <v>0</v>
      </c>
      <c r="Z63" s="290">
        <f t="shared" si="19"/>
        <v>0</v>
      </c>
      <c r="AA63" s="288">
        <f t="shared" si="20"/>
        <v>0</v>
      </c>
      <c r="AB63" s="324">
        <f t="shared" si="21"/>
        <v>0</v>
      </c>
      <c r="AC63" s="292">
        <f t="shared" si="22"/>
        <v>0</v>
      </c>
      <c r="AD63" s="324">
        <f t="shared" si="23"/>
        <v>0</v>
      </c>
      <c r="AE63" s="293">
        <v>0</v>
      </c>
      <c r="AF63" s="324">
        <f t="shared" si="24"/>
        <v>0</v>
      </c>
      <c r="AG63" s="293">
        <f>8*'[2]Table 5C1S-L.C. Coll Prep'!AI63</f>
        <v>0</v>
      </c>
      <c r="AH63" s="293">
        <f t="shared" si="25"/>
        <v>0</v>
      </c>
      <c r="AI63" s="324">
        <f t="shared" si="31"/>
        <v>0</v>
      </c>
      <c r="AJ63" s="321">
        <f t="shared" si="26"/>
        <v>0</v>
      </c>
      <c r="AK63" s="342">
        <f t="shared" si="27"/>
        <v>0</v>
      </c>
      <c r="AM63" s="286">
        <v>0</v>
      </c>
      <c r="AN63" s="286">
        <f t="shared" si="28"/>
        <v>0</v>
      </c>
      <c r="AO63" s="286">
        <f t="shared" si="29"/>
        <v>0</v>
      </c>
    </row>
    <row r="64" spans="1:41" ht="16.149999999999999" customHeight="1">
      <c r="A64" s="198">
        <v>58</v>
      </c>
      <c r="B64" s="199" t="s">
        <v>129</v>
      </c>
      <c r="C64" s="995">
        <v>0</v>
      </c>
      <c r="D64" s="201">
        <f>+'Table 5C1A-Madison Prep'!D64</f>
        <v>5673.1129637882123</v>
      </c>
      <c r="E64" s="202">
        <f t="shared" si="8"/>
        <v>0</v>
      </c>
      <c r="F64" s="202">
        <f>+'Table 5C1A-Madison Prep'!F64</f>
        <v>697.04</v>
      </c>
      <c r="G64" s="202">
        <f t="shared" si="9"/>
        <v>0</v>
      </c>
      <c r="H64" s="345">
        <f t="shared" si="10"/>
        <v>0</v>
      </c>
      <c r="I64" s="203">
        <f>'[1]Oct midyear L.C. Coll Prep'!K61</f>
        <v>0</v>
      </c>
      <c r="J64" s="203">
        <f>'[1]Feb midyear L.C. Coll Prep'!K61</f>
        <v>0</v>
      </c>
      <c r="K64" s="204">
        <f t="shared" si="11"/>
        <v>0</v>
      </c>
      <c r="L64" s="345">
        <f t="shared" si="12"/>
        <v>0</v>
      </c>
      <c r="M64" s="286">
        <f t="shared" si="4"/>
        <v>0</v>
      </c>
      <c r="N64" s="345">
        <f t="shared" si="13"/>
        <v>0</v>
      </c>
      <c r="O64" s="201">
        <v>0</v>
      </c>
      <c r="P64" s="351">
        <f t="shared" si="14"/>
        <v>0</v>
      </c>
      <c r="Q64" s="203">
        <f>8*'[2]Table 5C1S-L.C. Coll Prep'!S64</f>
        <v>0</v>
      </c>
      <c r="R64" s="203">
        <f t="shared" si="15"/>
        <v>0</v>
      </c>
      <c r="S64" s="351">
        <f t="shared" si="30"/>
        <v>0</v>
      </c>
      <c r="T64" s="351">
        <f t="shared" si="16"/>
        <v>0</v>
      </c>
      <c r="U64" s="287">
        <f>'Table 5C1A-Madison Prep'!U64</f>
        <v>2167</v>
      </c>
      <c r="V64" s="328">
        <f t="shared" si="17"/>
        <v>0</v>
      </c>
      <c r="W64" s="289">
        <f>'[1]Oct midyear L.C. Coll Prep'!E61</f>
        <v>0</v>
      </c>
      <c r="X64" s="290">
        <f t="shared" si="18"/>
        <v>0</v>
      </c>
      <c r="Y64" s="289">
        <f>'[1]Feb midyear L.C. Coll Prep'!E61</f>
        <v>0</v>
      </c>
      <c r="Z64" s="290">
        <f t="shared" si="19"/>
        <v>0</v>
      </c>
      <c r="AA64" s="288">
        <f t="shared" si="20"/>
        <v>0</v>
      </c>
      <c r="AB64" s="324">
        <f t="shared" si="21"/>
        <v>0</v>
      </c>
      <c r="AC64" s="292">
        <f t="shared" si="22"/>
        <v>0</v>
      </c>
      <c r="AD64" s="324">
        <f t="shared" si="23"/>
        <v>0</v>
      </c>
      <c r="AE64" s="293">
        <v>0</v>
      </c>
      <c r="AF64" s="324">
        <f t="shared" si="24"/>
        <v>0</v>
      </c>
      <c r="AG64" s="293">
        <f>8*'[2]Table 5C1S-L.C. Coll Prep'!AI64</f>
        <v>0</v>
      </c>
      <c r="AH64" s="293">
        <f t="shared" si="25"/>
        <v>0</v>
      </c>
      <c r="AI64" s="324">
        <f t="shared" si="31"/>
        <v>0</v>
      </c>
      <c r="AJ64" s="321">
        <f t="shared" si="26"/>
        <v>0</v>
      </c>
      <c r="AK64" s="342">
        <f t="shared" si="27"/>
        <v>0</v>
      </c>
      <c r="AM64" s="286">
        <v>0</v>
      </c>
      <c r="AN64" s="286">
        <f t="shared" si="28"/>
        <v>0</v>
      </c>
      <c r="AO64" s="286">
        <f t="shared" si="29"/>
        <v>0</v>
      </c>
    </row>
    <row r="65" spans="1:41" ht="16.149999999999999" customHeight="1">
      <c r="A65" s="198">
        <v>59</v>
      </c>
      <c r="B65" s="199" t="s">
        <v>130</v>
      </c>
      <c r="C65" s="995">
        <v>0</v>
      </c>
      <c r="D65" s="201">
        <f>+'Table 5C1A-Madison Prep'!D65</f>
        <v>6621.946293521848</v>
      </c>
      <c r="E65" s="202">
        <f t="shared" si="8"/>
        <v>0</v>
      </c>
      <c r="F65" s="202">
        <f>+'Table 5C1A-Madison Prep'!F65</f>
        <v>689.52</v>
      </c>
      <c r="G65" s="202">
        <f t="shared" si="9"/>
        <v>0</v>
      </c>
      <c r="H65" s="345">
        <f t="shared" si="10"/>
        <v>0</v>
      </c>
      <c r="I65" s="203">
        <f>'[1]Oct midyear L.C. Coll Prep'!K62</f>
        <v>0</v>
      </c>
      <c r="J65" s="203">
        <f>'[1]Feb midyear L.C. Coll Prep'!K62</f>
        <v>0</v>
      </c>
      <c r="K65" s="204">
        <f t="shared" si="11"/>
        <v>0</v>
      </c>
      <c r="L65" s="345">
        <f t="shared" si="12"/>
        <v>0</v>
      </c>
      <c r="M65" s="286">
        <f t="shared" si="4"/>
        <v>0</v>
      </c>
      <c r="N65" s="345">
        <f t="shared" si="13"/>
        <v>0</v>
      </c>
      <c r="O65" s="201">
        <v>0</v>
      </c>
      <c r="P65" s="351">
        <f t="shared" si="14"/>
        <v>0</v>
      </c>
      <c r="Q65" s="203">
        <f>8*'[2]Table 5C1S-L.C. Coll Prep'!S65</f>
        <v>0</v>
      </c>
      <c r="R65" s="203">
        <f t="shared" si="15"/>
        <v>0</v>
      </c>
      <c r="S65" s="351">
        <f t="shared" si="30"/>
        <v>0</v>
      </c>
      <c r="T65" s="351">
        <f t="shared" si="16"/>
        <v>0</v>
      </c>
      <c r="U65" s="287">
        <f>'Table 5C1A-Madison Prep'!U65</f>
        <v>1521</v>
      </c>
      <c r="V65" s="328">
        <f t="shared" si="17"/>
        <v>0</v>
      </c>
      <c r="W65" s="289">
        <f>'[1]Oct midyear L.C. Coll Prep'!E62</f>
        <v>0</v>
      </c>
      <c r="X65" s="290">
        <f t="shared" si="18"/>
        <v>0</v>
      </c>
      <c r="Y65" s="289">
        <f>'[1]Feb midyear L.C. Coll Prep'!E62</f>
        <v>0</v>
      </c>
      <c r="Z65" s="290">
        <f t="shared" si="19"/>
        <v>0</v>
      </c>
      <c r="AA65" s="288">
        <f t="shared" si="20"/>
        <v>0</v>
      </c>
      <c r="AB65" s="324">
        <f t="shared" si="21"/>
        <v>0</v>
      </c>
      <c r="AC65" s="292">
        <f t="shared" si="22"/>
        <v>0</v>
      </c>
      <c r="AD65" s="324">
        <f t="shared" si="23"/>
        <v>0</v>
      </c>
      <c r="AE65" s="293">
        <v>0</v>
      </c>
      <c r="AF65" s="324">
        <f t="shared" si="24"/>
        <v>0</v>
      </c>
      <c r="AG65" s="293">
        <f>8*'[2]Table 5C1S-L.C. Coll Prep'!AI65</f>
        <v>0</v>
      </c>
      <c r="AH65" s="293">
        <f t="shared" si="25"/>
        <v>0</v>
      </c>
      <c r="AI65" s="324">
        <f t="shared" si="31"/>
        <v>0</v>
      </c>
      <c r="AJ65" s="321">
        <f t="shared" si="26"/>
        <v>0</v>
      </c>
      <c r="AK65" s="342">
        <f t="shared" si="27"/>
        <v>0</v>
      </c>
      <c r="AM65" s="286">
        <v>0</v>
      </c>
      <c r="AN65" s="286">
        <f t="shared" si="28"/>
        <v>0</v>
      </c>
      <c r="AO65" s="286">
        <f t="shared" si="29"/>
        <v>0</v>
      </c>
    </row>
    <row r="66" spans="1:41" ht="16.149999999999999" customHeight="1">
      <c r="A66" s="191">
        <v>60</v>
      </c>
      <c r="B66" s="192" t="s">
        <v>131</v>
      </c>
      <c r="C66" s="996">
        <v>0</v>
      </c>
      <c r="D66" s="194">
        <f>+'Table 5C1A-Madison Prep'!D66</f>
        <v>5301.224090063828</v>
      </c>
      <c r="E66" s="195">
        <f t="shared" si="8"/>
        <v>0</v>
      </c>
      <c r="F66" s="195">
        <f>+'Table 5C1A-Madison Prep'!F66</f>
        <v>594.04</v>
      </c>
      <c r="G66" s="195">
        <f t="shared" si="9"/>
        <v>0</v>
      </c>
      <c r="H66" s="346">
        <f t="shared" si="10"/>
        <v>0</v>
      </c>
      <c r="I66" s="196">
        <f>'[1]Oct midyear L.C. Coll Prep'!K63</f>
        <v>0</v>
      </c>
      <c r="J66" s="196">
        <f>'[1]Feb midyear L.C. Coll Prep'!K63</f>
        <v>0</v>
      </c>
      <c r="K66" s="197">
        <f t="shared" si="11"/>
        <v>0</v>
      </c>
      <c r="L66" s="346">
        <f t="shared" si="12"/>
        <v>0</v>
      </c>
      <c r="M66" s="296">
        <f t="shared" si="4"/>
        <v>0</v>
      </c>
      <c r="N66" s="346">
        <f t="shared" si="13"/>
        <v>0</v>
      </c>
      <c r="O66" s="194">
        <v>0</v>
      </c>
      <c r="P66" s="352">
        <f t="shared" si="14"/>
        <v>0</v>
      </c>
      <c r="Q66" s="196">
        <f>8*'[2]Table 5C1S-L.C. Coll Prep'!S66</f>
        <v>0</v>
      </c>
      <c r="R66" s="196">
        <f t="shared" si="15"/>
        <v>0</v>
      </c>
      <c r="S66" s="352">
        <f t="shared" si="30"/>
        <v>0</v>
      </c>
      <c r="T66" s="352">
        <f t="shared" si="16"/>
        <v>0</v>
      </c>
      <c r="U66" s="281">
        <f>'Table 5C1A-Madison Prep'!U66</f>
        <v>4024</v>
      </c>
      <c r="V66" s="329">
        <f t="shared" si="17"/>
        <v>0</v>
      </c>
      <c r="W66" s="884">
        <f>'[1]Oct midyear L.C. Coll Prep'!E63</f>
        <v>0</v>
      </c>
      <c r="X66" s="282">
        <f t="shared" si="18"/>
        <v>0</v>
      </c>
      <c r="Y66" s="884">
        <f>'[1]Feb midyear L.C. Coll Prep'!E63</f>
        <v>0</v>
      </c>
      <c r="Z66" s="282">
        <f t="shared" si="19"/>
        <v>0</v>
      </c>
      <c r="AA66" s="283">
        <f t="shared" si="20"/>
        <v>0</v>
      </c>
      <c r="AB66" s="325">
        <f t="shared" si="21"/>
        <v>0</v>
      </c>
      <c r="AC66" s="298">
        <f t="shared" si="22"/>
        <v>0</v>
      </c>
      <c r="AD66" s="325">
        <f t="shared" si="23"/>
        <v>0</v>
      </c>
      <c r="AE66" s="284">
        <v>0</v>
      </c>
      <c r="AF66" s="325">
        <f t="shared" si="24"/>
        <v>0</v>
      </c>
      <c r="AG66" s="284">
        <f>8*'[2]Table 5C1S-L.C. Coll Prep'!AI66</f>
        <v>0</v>
      </c>
      <c r="AH66" s="284">
        <f t="shared" si="25"/>
        <v>0</v>
      </c>
      <c r="AI66" s="325">
        <f t="shared" si="31"/>
        <v>0</v>
      </c>
      <c r="AJ66" s="338">
        <f t="shared" si="26"/>
        <v>0</v>
      </c>
      <c r="AK66" s="343">
        <f t="shared" si="27"/>
        <v>0</v>
      </c>
      <c r="AM66" s="296">
        <v>0</v>
      </c>
      <c r="AN66" s="296">
        <f t="shared" si="28"/>
        <v>0</v>
      </c>
      <c r="AO66" s="296">
        <f t="shared" si="29"/>
        <v>0</v>
      </c>
    </row>
    <row r="67" spans="1:41" ht="16.149999999999999" customHeight="1">
      <c r="A67" s="205">
        <v>61</v>
      </c>
      <c r="B67" s="206" t="s">
        <v>132</v>
      </c>
      <c r="C67" s="994">
        <v>0</v>
      </c>
      <c r="D67" s="208">
        <f>+'Table 5C1A-Madison Prep'!D67</f>
        <v>2854.1575356369185</v>
      </c>
      <c r="E67" s="209">
        <f t="shared" si="8"/>
        <v>0</v>
      </c>
      <c r="F67" s="209">
        <f>+'Table 5C1A-Madison Prep'!F67</f>
        <v>833.70999999999992</v>
      </c>
      <c r="G67" s="209">
        <f t="shared" si="9"/>
        <v>0</v>
      </c>
      <c r="H67" s="344">
        <f t="shared" si="10"/>
        <v>0</v>
      </c>
      <c r="I67" s="210">
        <f>'[1]Oct midyear L.C. Coll Prep'!K64</f>
        <v>0</v>
      </c>
      <c r="J67" s="210">
        <f>'[1]Feb midyear L.C. Coll Prep'!K64</f>
        <v>0</v>
      </c>
      <c r="K67" s="211">
        <f t="shared" si="11"/>
        <v>0</v>
      </c>
      <c r="L67" s="344">
        <f t="shared" si="12"/>
        <v>0</v>
      </c>
      <c r="M67" s="273">
        <f t="shared" si="4"/>
        <v>0</v>
      </c>
      <c r="N67" s="344">
        <f t="shared" si="13"/>
        <v>0</v>
      </c>
      <c r="O67" s="208">
        <v>0</v>
      </c>
      <c r="P67" s="350">
        <f t="shared" si="14"/>
        <v>0</v>
      </c>
      <c r="Q67" s="210">
        <f>8*'[2]Table 5C1S-L.C. Coll Prep'!S67</f>
        <v>0</v>
      </c>
      <c r="R67" s="210">
        <f t="shared" si="15"/>
        <v>0</v>
      </c>
      <c r="S67" s="350">
        <f t="shared" si="30"/>
        <v>0</v>
      </c>
      <c r="T67" s="350">
        <f t="shared" si="16"/>
        <v>0</v>
      </c>
      <c r="U67" s="274">
        <f>'Table 5C1A-Madison Prep'!U67</f>
        <v>6739</v>
      </c>
      <c r="V67" s="327">
        <f t="shared" si="17"/>
        <v>0</v>
      </c>
      <c r="W67" s="883">
        <f>'[1]Oct midyear L.C. Coll Prep'!E64</f>
        <v>0</v>
      </c>
      <c r="X67" s="276">
        <f t="shared" si="18"/>
        <v>0</v>
      </c>
      <c r="Y67" s="883">
        <f>'[1]Feb midyear L.C. Coll Prep'!E64</f>
        <v>0</v>
      </c>
      <c r="Z67" s="276">
        <f t="shared" si="19"/>
        <v>0</v>
      </c>
      <c r="AA67" s="275">
        <f t="shared" si="20"/>
        <v>0</v>
      </c>
      <c r="AB67" s="323">
        <f t="shared" si="21"/>
        <v>0</v>
      </c>
      <c r="AC67" s="278">
        <f t="shared" si="22"/>
        <v>0</v>
      </c>
      <c r="AD67" s="323">
        <f t="shared" si="23"/>
        <v>0</v>
      </c>
      <c r="AE67" s="279">
        <v>0</v>
      </c>
      <c r="AF67" s="323">
        <f t="shared" si="24"/>
        <v>0</v>
      </c>
      <c r="AG67" s="279">
        <f>8*'[2]Table 5C1S-L.C. Coll Prep'!AI67</f>
        <v>0</v>
      </c>
      <c r="AH67" s="279">
        <f t="shared" si="25"/>
        <v>0</v>
      </c>
      <c r="AI67" s="323">
        <f t="shared" si="31"/>
        <v>0</v>
      </c>
      <c r="AJ67" s="337">
        <f t="shared" si="26"/>
        <v>0</v>
      </c>
      <c r="AK67" s="341">
        <f t="shared" si="27"/>
        <v>0</v>
      </c>
      <c r="AM67" s="273">
        <v>0</v>
      </c>
      <c r="AN67" s="273">
        <f t="shared" si="28"/>
        <v>0</v>
      </c>
      <c r="AO67" s="273">
        <f t="shared" si="29"/>
        <v>0</v>
      </c>
    </row>
    <row r="68" spans="1:41" ht="16.149999999999999" customHeight="1">
      <c r="A68" s="198">
        <v>62</v>
      </c>
      <c r="B68" s="199" t="s">
        <v>133</v>
      </c>
      <c r="C68" s="995">
        <v>0</v>
      </c>
      <c r="D68" s="201">
        <f>+'Table 5C1A-Madison Prep'!D68</f>
        <v>5901.074538516008</v>
      </c>
      <c r="E68" s="202">
        <f t="shared" si="8"/>
        <v>0</v>
      </c>
      <c r="F68" s="202">
        <f>+'Table 5C1A-Madison Prep'!F68</f>
        <v>516.08000000000004</v>
      </c>
      <c r="G68" s="202">
        <f t="shared" si="9"/>
        <v>0</v>
      </c>
      <c r="H68" s="345">
        <f t="shared" si="10"/>
        <v>0</v>
      </c>
      <c r="I68" s="203">
        <f>'[1]Oct midyear L.C. Coll Prep'!K65</f>
        <v>0</v>
      </c>
      <c r="J68" s="203">
        <f>'[1]Feb midyear L.C. Coll Prep'!K65</f>
        <v>0</v>
      </c>
      <c r="K68" s="204">
        <f t="shared" si="11"/>
        <v>0</v>
      </c>
      <c r="L68" s="345">
        <f t="shared" si="12"/>
        <v>0</v>
      </c>
      <c r="M68" s="286">
        <f t="shared" si="4"/>
        <v>0</v>
      </c>
      <c r="N68" s="345">
        <f t="shared" si="13"/>
        <v>0</v>
      </c>
      <c r="O68" s="201">
        <v>0</v>
      </c>
      <c r="P68" s="351">
        <f t="shared" si="14"/>
        <v>0</v>
      </c>
      <c r="Q68" s="203">
        <f>8*'[2]Table 5C1S-L.C. Coll Prep'!S68</f>
        <v>0</v>
      </c>
      <c r="R68" s="203">
        <f t="shared" si="15"/>
        <v>0</v>
      </c>
      <c r="S68" s="351">
        <f t="shared" si="30"/>
        <v>0</v>
      </c>
      <c r="T68" s="351">
        <f t="shared" si="16"/>
        <v>0</v>
      </c>
      <c r="U68" s="287">
        <f>'Table 5C1A-Madison Prep'!U68</f>
        <v>2089</v>
      </c>
      <c r="V68" s="328">
        <f t="shared" si="17"/>
        <v>0</v>
      </c>
      <c r="W68" s="289">
        <f>'[1]Oct midyear L.C. Coll Prep'!E65</f>
        <v>0</v>
      </c>
      <c r="X68" s="290">
        <f t="shared" si="18"/>
        <v>0</v>
      </c>
      <c r="Y68" s="289">
        <f>'[1]Feb midyear L.C. Coll Prep'!E65</f>
        <v>0</v>
      </c>
      <c r="Z68" s="290">
        <f t="shared" si="19"/>
        <v>0</v>
      </c>
      <c r="AA68" s="288">
        <f t="shared" si="20"/>
        <v>0</v>
      </c>
      <c r="AB68" s="324">
        <f t="shared" si="21"/>
        <v>0</v>
      </c>
      <c r="AC68" s="292">
        <f t="shared" si="22"/>
        <v>0</v>
      </c>
      <c r="AD68" s="324">
        <f t="shared" si="23"/>
        <v>0</v>
      </c>
      <c r="AE68" s="293">
        <v>0</v>
      </c>
      <c r="AF68" s="324">
        <f t="shared" si="24"/>
        <v>0</v>
      </c>
      <c r="AG68" s="293">
        <f>8*'[2]Table 5C1S-L.C. Coll Prep'!AI68</f>
        <v>0</v>
      </c>
      <c r="AH68" s="293">
        <f t="shared" si="25"/>
        <v>0</v>
      </c>
      <c r="AI68" s="324">
        <f t="shared" si="31"/>
        <v>0</v>
      </c>
      <c r="AJ68" s="321">
        <f t="shared" si="26"/>
        <v>0</v>
      </c>
      <c r="AK68" s="342">
        <f t="shared" si="27"/>
        <v>0</v>
      </c>
      <c r="AM68" s="286">
        <v>0</v>
      </c>
      <c r="AN68" s="286">
        <f t="shared" si="28"/>
        <v>0</v>
      </c>
      <c r="AO68" s="286">
        <f t="shared" si="29"/>
        <v>0</v>
      </c>
    </row>
    <row r="69" spans="1:41" ht="16.149999999999999" customHeight="1">
      <c r="A69" s="198">
        <v>63</v>
      </c>
      <c r="B69" s="199" t="s">
        <v>134</v>
      </c>
      <c r="C69" s="995">
        <v>0</v>
      </c>
      <c r="D69" s="201">
        <f>+'Table 5C1A-Madison Prep'!D69</f>
        <v>4124.3813481848092</v>
      </c>
      <c r="E69" s="202">
        <f t="shared" si="8"/>
        <v>0</v>
      </c>
      <c r="F69" s="202">
        <f>+'Table 5C1A-Madison Prep'!F69</f>
        <v>756.79</v>
      </c>
      <c r="G69" s="202">
        <f t="shared" si="9"/>
        <v>0</v>
      </c>
      <c r="H69" s="345">
        <f t="shared" si="10"/>
        <v>0</v>
      </c>
      <c r="I69" s="203">
        <f>'[1]Oct midyear L.C. Coll Prep'!K66</f>
        <v>0</v>
      </c>
      <c r="J69" s="203">
        <f>'[1]Feb midyear L.C. Coll Prep'!K66</f>
        <v>0</v>
      </c>
      <c r="K69" s="204">
        <f t="shared" si="11"/>
        <v>0</v>
      </c>
      <c r="L69" s="345">
        <f t="shared" si="12"/>
        <v>0</v>
      </c>
      <c r="M69" s="286">
        <f t="shared" si="4"/>
        <v>0</v>
      </c>
      <c r="N69" s="345">
        <f t="shared" si="13"/>
        <v>0</v>
      </c>
      <c r="O69" s="201">
        <v>0</v>
      </c>
      <c r="P69" s="351">
        <f t="shared" si="14"/>
        <v>0</v>
      </c>
      <c r="Q69" s="203">
        <f>8*'[2]Table 5C1S-L.C. Coll Prep'!S69</f>
        <v>0</v>
      </c>
      <c r="R69" s="203">
        <f t="shared" si="15"/>
        <v>0</v>
      </c>
      <c r="S69" s="351">
        <f t="shared" si="30"/>
        <v>0</v>
      </c>
      <c r="T69" s="351">
        <f t="shared" si="16"/>
        <v>0</v>
      </c>
      <c r="U69" s="287">
        <f>'Table 5C1A-Madison Prep'!U69</f>
        <v>7403</v>
      </c>
      <c r="V69" s="328">
        <f t="shared" si="17"/>
        <v>0</v>
      </c>
      <c r="W69" s="289">
        <f>'[1]Oct midyear L.C. Coll Prep'!E66</f>
        <v>0</v>
      </c>
      <c r="X69" s="290">
        <f t="shared" si="18"/>
        <v>0</v>
      </c>
      <c r="Y69" s="289">
        <f>'[1]Feb midyear L.C. Coll Prep'!E66</f>
        <v>0</v>
      </c>
      <c r="Z69" s="290">
        <f t="shared" si="19"/>
        <v>0</v>
      </c>
      <c r="AA69" s="288">
        <f t="shared" si="20"/>
        <v>0</v>
      </c>
      <c r="AB69" s="324">
        <f t="shared" si="21"/>
        <v>0</v>
      </c>
      <c r="AC69" s="292">
        <f t="shared" si="22"/>
        <v>0</v>
      </c>
      <c r="AD69" s="324">
        <f t="shared" si="23"/>
        <v>0</v>
      </c>
      <c r="AE69" s="293">
        <v>0</v>
      </c>
      <c r="AF69" s="324">
        <f t="shared" si="24"/>
        <v>0</v>
      </c>
      <c r="AG69" s="293">
        <f>8*'[2]Table 5C1S-L.C. Coll Prep'!AI69</f>
        <v>0</v>
      </c>
      <c r="AH69" s="293">
        <f t="shared" si="25"/>
        <v>0</v>
      </c>
      <c r="AI69" s="324">
        <f t="shared" si="31"/>
        <v>0</v>
      </c>
      <c r="AJ69" s="321">
        <f t="shared" si="26"/>
        <v>0</v>
      </c>
      <c r="AK69" s="342">
        <f t="shared" si="27"/>
        <v>0</v>
      </c>
      <c r="AM69" s="286">
        <v>0</v>
      </c>
      <c r="AN69" s="286">
        <f t="shared" si="28"/>
        <v>0</v>
      </c>
      <c r="AO69" s="286">
        <f t="shared" si="29"/>
        <v>0</v>
      </c>
    </row>
    <row r="70" spans="1:41" ht="16.149999999999999" customHeight="1">
      <c r="A70" s="198">
        <v>64</v>
      </c>
      <c r="B70" s="199" t="s">
        <v>135</v>
      </c>
      <c r="C70" s="995">
        <v>0</v>
      </c>
      <c r="D70" s="201">
        <f>+'Table 5C1A-Madison Prep'!D70</f>
        <v>6277.8307532778254</v>
      </c>
      <c r="E70" s="202">
        <f t="shared" si="8"/>
        <v>0</v>
      </c>
      <c r="F70" s="202">
        <f>+'Table 5C1A-Madison Prep'!F70</f>
        <v>592.66</v>
      </c>
      <c r="G70" s="202">
        <f t="shared" si="9"/>
        <v>0</v>
      </c>
      <c r="H70" s="345">
        <f t="shared" si="10"/>
        <v>0</v>
      </c>
      <c r="I70" s="203">
        <f>'[1]Oct midyear L.C. Coll Prep'!K67</f>
        <v>0</v>
      </c>
      <c r="J70" s="203">
        <f>'[1]Feb midyear L.C. Coll Prep'!K67</f>
        <v>0</v>
      </c>
      <c r="K70" s="204">
        <f t="shared" si="11"/>
        <v>0</v>
      </c>
      <c r="L70" s="345">
        <f t="shared" si="12"/>
        <v>0</v>
      </c>
      <c r="M70" s="286">
        <f t="shared" si="4"/>
        <v>0</v>
      </c>
      <c r="N70" s="345">
        <f t="shared" si="13"/>
        <v>0</v>
      </c>
      <c r="O70" s="201">
        <v>0</v>
      </c>
      <c r="P70" s="351">
        <f t="shared" si="14"/>
        <v>0</v>
      </c>
      <c r="Q70" s="203">
        <f>8*'[2]Table 5C1S-L.C. Coll Prep'!S70</f>
        <v>0</v>
      </c>
      <c r="R70" s="203">
        <f t="shared" si="15"/>
        <v>0</v>
      </c>
      <c r="S70" s="351">
        <f t="shared" si="30"/>
        <v>0</v>
      </c>
      <c r="T70" s="351">
        <f t="shared" si="16"/>
        <v>0</v>
      </c>
      <c r="U70" s="287">
        <f>'Table 5C1A-Madison Prep'!U70</f>
        <v>2802</v>
      </c>
      <c r="V70" s="328">
        <f t="shared" si="17"/>
        <v>0</v>
      </c>
      <c r="W70" s="289">
        <f>'[1]Oct midyear L.C. Coll Prep'!E67</f>
        <v>0</v>
      </c>
      <c r="X70" s="290">
        <f t="shared" si="18"/>
        <v>0</v>
      </c>
      <c r="Y70" s="289">
        <f>'[1]Feb midyear L.C. Coll Prep'!E67</f>
        <v>0</v>
      </c>
      <c r="Z70" s="290">
        <f t="shared" si="19"/>
        <v>0</v>
      </c>
      <c r="AA70" s="288">
        <f t="shared" si="20"/>
        <v>0</v>
      </c>
      <c r="AB70" s="324">
        <f t="shared" si="21"/>
        <v>0</v>
      </c>
      <c r="AC70" s="292">
        <f t="shared" si="22"/>
        <v>0</v>
      </c>
      <c r="AD70" s="324">
        <f t="shared" si="23"/>
        <v>0</v>
      </c>
      <c r="AE70" s="293">
        <v>0</v>
      </c>
      <c r="AF70" s="324">
        <f t="shared" si="24"/>
        <v>0</v>
      </c>
      <c r="AG70" s="293">
        <f>8*'[2]Table 5C1S-L.C. Coll Prep'!AI70</f>
        <v>0</v>
      </c>
      <c r="AH70" s="293">
        <f t="shared" si="25"/>
        <v>0</v>
      </c>
      <c r="AI70" s="324">
        <f t="shared" si="31"/>
        <v>0</v>
      </c>
      <c r="AJ70" s="321">
        <f t="shared" si="26"/>
        <v>0</v>
      </c>
      <c r="AK70" s="342">
        <f t="shared" si="27"/>
        <v>0</v>
      </c>
      <c r="AM70" s="286">
        <v>0</v>
      </c>
      <c r="AN70" s="286">
        <f t="shared" si="28"/>
        <v>0</v>
      </c>
      <c r="AO70" s="286">
        <f t="shared" si="29"/>
        <v>0</v>
      </c>
    </row>
    <row r="71" spans="1:41" ht="16.149999999999999" customHeight="1">
      <c r="A71" s="191">
        <v>65</v>
      </c>
      <c r="B71" s="192" t="s">
        <v>136</v>
      </c>
      <c r="C71" s="996">
        <v>0</v>
      </c>
      <c r="D71" s="194">
        <f>+'Table 5C1A-Madison Prep'!D71</f>
        <v>4775.1605543943642</v>
      </c>
      <c r="E71" s="195">
        <f t="shared" si="8"/>
        <v>0</v>
      </c>
      <c r="F71" s="195">
        <f>+'Table 5C1A-Madison Prep'!F71</f>
        <v>829.12</v>
      </c>
      <c r="G71" s="195">
        <f t="shared" si="9"/>
        <v>0</v>
      </c>
      <c r="H71" s="346">
        <f t="shared" si="10"/>
        <v>0</v>
      </c>
      <c r="I71" s="196">
        <f>'[1]Oct midyear L.C. Coll Prep'!K68</f>
        <v>0</v>
      </c>
      <c r="J71" s="196">
        <f>'[1]Feb midyear L.C. Coll Prep'!K68</f>
        <v>0</v>
      </c>
      <c r="K71" s="197">
        <f t="shared" si="11"/>
        <v>0</v>
      </c>
      <c r="L71" s="346">
        <f t="shared" si="12"/>
        <v>0</v>
      </c>
      <c r="M71" s="296">
        <f t="shared" ref="M71:M74" si="32">-(0.25%*L71)</f>
        <v>0</v>
      </c>
      <c r="N71" s="346">
        <f t="shared" si="13"/>
        <v>0</v>
      </c>
      <c r="O71" s="194">
        <v>0</v>
      </c>
      <c r="P71" s="352">
        <f t="shared" si="14"/>
        <v>0</v>
      </c>
      <c r="Q71" s="196">
        <f>8*'[2]Table 5C1S-L.C. Coll Prep'!S71</f>
        <v>0</v>
      </c>
      <c r="R71" s="196">
        <f t="shared" si="15"/>
        <v>0</v>
      </c>
      <c r="S71" s="352">
        <f t="shared" ref="S71:S75" si="33">ROUND(R71/$S$88,0)</f>
        <v>0</v>
      </c>
      <c r="T71" s="352">
        <f t="shared" si="16"/>
        <v>0</v>
      </c>
      <c r="U71" s="281">
        <f>'Table 5C1A-Madison Prep'!U71</f>
        <v>5215</v>
      </c>
      <c r="V71" s="329">
        <f t="shared" si="17"/>
        <v>0</v>
      </c>
      <c r="W71" s="884">
        <f>'[1]Oct midyear L.C. Coll Prep'!E68</f>
        <v>0</v>
      </c>
      <c r="X71" s="282">
        <f t="shared" si="18"/>
        <v>0</v>
      </c>
      <c r="Y71" s="884">
        <f>'[1]Feb midyear L.C. Coll Prep'!E68</f>
        <v>0</v>
      </c>
      <c r="Z71" s="282">
        <f t="shared" si="19"/>
        <v>0</v>
      </c>
      <c r="AA71" s="283">
        <f t="shared" si="20"/>
        <v>0</v>
      </c>
      <c r="AB71" s="325">
        <f t="shared" si="21"/>
        <v>0</v>
      </c>
      <c r="AC71" s="298">
        <f t="shared" si="22"/>
        <v>0</v>
      </c>
      <c r="AD71" s="325">
        <f t="shared" si="23"/>
        <v>0</v>
      </c>
      <c r="AE71" s="284">
        <v>0</v>
      </c>
      <c r="AF71" s="325">
        <f t="shared" si="24"/>
        <v>0</v>
      </c>
      <c r="AG71" s="284">
        <f>8*'[2]Table 5C1S-L.C. Coll Prep'!AI71</f>
        <v>0</v>
      </c>
      <c r="AH71" s="284">
        <f t="shared" si="25"/>
        <v>0</v>
      </c>
      <c r="AI71" s="325">
        <f t="shared" ref="AI71:AI75" si="34">ROUND(AH71/$AI$88,0)</f>
        <v>0</v>
      </c>
      <c r="AJ71" s="338">
        <f t="shared" si="26"/>
        <v>0</v>
      </c>
      <c r="AK71" s="343">
        <f t="shared" si="27"/>
        <v>0</v>
      </c>
      <c r="AM71" s="296">
        <v>0</v>
      </c>
      <c r="AN71" s="296">
        <f t="shared" si="28"/>
        <v>0</v>
      </c>
      <c r="AO71" s="296">
        <f t="shared" si="29"/>
        <v>0</v>
      </c>
    </row>
    <row r="72" spans="1:41" ht="16.149999999999999" customHeight="1">
      <c r="A72" s="205">
        <v>66</v>
      </c>
      <c r="B72" s="206" t="s">
        <v>137</v>
      </c>
      <c r="C72" s="994">
        <v>0</v>
      </c>
      <c r="D72" s="208">
        <f>+'Table 5C1A-Madison Prep'!D72</f>
        <v>6564.0085433910035</v>
      </c>
      <c r="E72" s="209">
        <f t="shared" ref="E72:E75" si="35">C72*D72</f>
        <v>0</v>
      </c>
      <c r="F72" s="209">
        <f>+'Table 5C1A-Madison Prep'!F72</f>
        <v>730.06</v>
      </c>
      <c r="G72" s="209">
        <f t="shared" ref="G72:G75" si="36">C72*F72</f>
        <v>0</v>
      </c>
      <c r="H72" s="344">
        <f t="shared" ref="H72:H75" si="37">E72+G72</f>
        <v>0</v>
      </c>
      <c r="I72" s="210">
        <f>'[1]Oct midyear L.C. Coll Prep'!K69</f>
        <v>0</v>
      </c>
      <c r="J72" s="210">
        <f>'[1]Feb midyear L.C. Coll Prep'!K69</f>
        <v>0</v>
      </c>
      <c r="K72" s="211">
        <f t="shared" ref="K72:K75" si="38">I72+J72</f>
        <v>0</v>
      </c>
      <c r="L72" s="344">
        <f t="shared" ref="L72:L75" si="39">+H72+K72</f>
        <v>0</v>
      </c>
      <c r="M72" s="273">
        <f t="shared" si="32"/>
        <v>0</v>
      </c>
      <c r="N72" s="344">
        <f t="shared" ref="N72:N75" si="40">SUM(L72:M72)</f>
        <v>0</v>
      </c>
      <c r="O72" s="208">
        <v>0</v>
      </c>
      <c r="P72" s="350">
        <f t="shared" ref="P72:P75" si="41">SUM(N72:O72)</f>
        <v>0</v>
      </c>
      <c r="Q72" s="210">
        <f>8*'[2]Table 5C1S-L.C. Coll Prep'!S72</f>
        <v>0</v>
      </c>
      <c r="R72" s="210">
        <f t="shared" ref="R72:R75" si="42">+P72-Q72</f>
        <v>0</v>
      </c>
      <c r="S72" s="350">
        <f t="shared" si="33"/>
        <v>0</v>
      </c>
      <c r="T72" s="350">
        <f t="shared" ref="T72:T75" si="43">+P72</f>
        <v>0</v>
      </c>
      <c r="U72" s="274">
        <f>'Table 5C1A-Madison Prep'!U72</f>
        <v>3609</v>
      </c>
      <c r="V72" s="327">
        <f t="shared" ref="V72:V75" si="44">C72*U72</f>
        <v>0</v>
      </c>
      <c r="W72" s="883">
        <f>'[1]Oct midyear L.C. Coll Prep'!E69</f>
        <v>0</v>
      </c>
      <c r="X72" s="276">
        <f t="shared" ref="X72:X75" si="45">+U72*W72</f>
        <v>0</v>
      </c>
      <c r="Y72" s="883">
        <f>'[1]Feb midyear L.C. Coll Prep'!E69</f>
        <v>0</v>
      </c>
      <c r="Z72" s="276">
        <f t="shared" ref="Z72:Z75" si="46">+U72*Y72*0.5</f>
        <v>0</v>
      </c>
      <c r="AA72" s="275">
        <f t="shared" ref="AA72:AA75" si="47">+X72+Z72</f>
        <v>0</v>
      </c>
      <c r="AB72" s="323">
        <f t="shared" ref="AB72:AB75" si="48">+V72+AA72</f>
        <v>0</v>
      </c>
      <c r="AC72" s="278">
        <f t="shared" ref="AC72:AC75" si="49">-(0.25%*AB72)</f>
        <v>0</v>
      </c>
      <c r="AD72" s="323">
        <f t="shared" ref="AD72:AD75" si="50">SUM(AB72:AC72)</f>
        <v>0</v>
      </c>
      <c r="AE72" s="279">
        <v>0</v>
      </c>
      <c r="AF72" s="323">
        <f t="shared" ref="AF72:AF75" si="51">SUM(AD72:AE72)</f>
        <v>0</v>
      </c>
      <c r="AG72" s="279">
        <f>8*'[2]Table 5C1S-L.C. Coll Prep'!AI72</f>
        <v>0</v>
      </c>
      <c r="AH72" s="279">
        <f t="shared" ref="AH72:AH75" si="52">+AF72-AG72</f>
        <v>0</v>
      </c>
      <c r="AI72" s="323">
        <f t="shared" si="34"/>
        <v>0</v>
      </c>
      <c r="AJ72" s="337">
        <f t="shared" ref="AJ72:AJ75" si="53">T72+AF72</f>
        <v>0</v>
      </c>
      <c r="AK72" s="341">
        <f t="shared" ref="AK72:AK75" si="54">S72+AI72</f>
        <v>0</v>
      </c>
      <c r="AM72" s="310">
        <v>0</v>
      </c>
      <c r="AN72" s="310">
        <f t="shared" ref="AN72:AN75" si="55">+AC72</f>
        <v>0</v>
      </c>
      <c r="AO72" s="310">
        <f t="shared" si="29"/>
        <v>0</v>
      </c>
    </row>
    <row r="73" spans="1:41" ht="16.149999999999999" customHeight="1">
      <c r="A73" s="198">
        <v>67</v>
      </c>
      <c r="B73" s="199" t="s">
        <v>28</v>
      </c>
      <c r="C73" s="995">
        <v>0</v>
      </c>
      <c r="D73" s="201">
        <f>+'Table 5C1A-Madison Prep'!D73</f>
        <v>5029.1467736134118</v>
      </c>
      <c r="E73" s="202">
        <f t="shared" si="35"/>
        <v>0</v>
      </c>
      <c r="F73" s="202">
        <f>+'Table 5C1A-Madison Prep'!F73</f>
        <v>715.61</v>
      </c>
      <c r="G73" s="202">
        <f t="shared" si="36"/>
        <v>0</v>
      </c>
      <c r="H73" s="345">
        <f t="shared" si="37"/>
        <v>0</v>
      </c>
      <c r="I73" s="203">
        <f>'[1]Oct midyear L.C. Coll Prep'!K70</f>
        <v>0</v>
      </c>
      <c r="J73" s="203">
        <f>'[1]Feb midyear L.C. Coll Prep'!K70</f>
        <v>0</v>
      </c>
      <c r="K73" s="204">
        <f t="shared" si="38"/>
        <v>0</v>
      </c>
      <c r="L73" s="345">
        <f t="shared" si="39"/>
        <v>0</v>
      </c>
      <c r="M73" s="286">
        <f t="shared" si="32"/>
        <v>0</v>
      </c>
      <c r="N73" s="345">
        <f t="shared" si="40"/>
        <v>0</v>
      </c>
      <c r="O73" s="201">
        <v>0</v>
      </c>
      <c r="P73" s="351">
        <f t="shared" si="41"/>
        <v>0</v>
      </c>
      <c r="Q73" s="203">
        <f>8*'[2]Table 5C1S-L.C. Coll Prep'!S73</f>
        <v>0</v>
      </c>
      <c r="R73" s="203">
        <f t="shared" si="42"/>
        <v>0</v>
      </c>
      <c r="S73" s="351">
        <f t="shared" si="33"/>
        <v>0</v>
      </c>
      <c r="T73" s="351">
        <f t="shared" si="43"/>
        <v>0</v>
      </c>
      <c r="U73" s="287">
        <f>'Table 5C1A-Madison Prep'!U73</f>
        <v>5069</v>
      </c>
      <c r="V73" s="328">
        <f t="shared" si="44"/>
        <v>0</v>
      </c>
      <c r="W73" s="289">
        <f>'[1]Oct midyear L.C. Coll Prep'!E70</f>
        <v>0</v>
      </c>
      <c r="X73" s="290">
        <f t="shared" si="45"/>
        <v>0</v>
      </c>
      <c r="Y73" s="289">
        <f>'[1]Feb midyear L.C. Coll Prep'!E70</f>
        <v>0</v>
      </c>
      <c r="Z73" s="290">
        <f t="shared" si="46"/>
        <v>0</v>
      </c>
      <c r="AA73" s="288">
        <f t="shared" si="47"/>
        <v>0</v>
      </c>
      <c r="AB73" s="324">
        <f t="shared" si="48"/>
        <v>0</v>
      </c>
      <c r="AC73" s="292">
        <f t="shared" si="49"/>
        <v>0</v>
      </c>
      <c r="AD73" s="324">
        <f t="shared" si="50"/>
        <v>0</v>
      </c>
      <c r="AE73" s="293">
        <v>0</v>
      </c>
      <c r="AF73" s="324">
        <f t="shared" si="51"/>
        <v>0</v>
      </c>
      <c r="AG73" s="293">
        <f>8*'[2]Table 5C1S-L.C. Coll Prep'!AI73</f>
        <v>0</v>
      </c>
      <c r="AH73" s="293">
        <f t="shared" si="52"/>
        <v>0</v>
      </c>
      <c r="AI73" s="324">
        <f t="shared" si="34"/>
        <v>0</v>
      </c>
      <c r="AJ73" s="321">
        <f t="shared" si="53"/>
        <v>0</v>
      </c>
      <c r="AK73" s="342">
        <f t="shared" si="54"/>
        <v>0</v>
      </c>
      <c r="AM73" s="310">
        <v>0</v>
      </c>
      <c r="AN73" s="310">
        <f t="shared" si="55"/>
        <v>0</v>
      </c>
      <c r="AO73" s="310">
        <f t="shared" si="29"/>
        <v>0</v>
      </c>
    </row>
    <row r="74" spans="1:41" ht="16.149999999999999" customHeight="1">
      <c r="A74" s="198">
        <v>68</v>
      </c>
      <c r="B74" s="199" t="s">
        <v>27</v>
      </c>
      <c r="C74" s="995">
        <v>0</v>
      </c>
      <c r="D74" s="201">
        <f>+'Table 5C1A-Madison Prep'!D74</f>
        <v>6390.1644202560601</v>
      </c>
      <c r="E74" s="202">
        <f t="shared" si="35"/>
        <v>0</v>
      </c>
      <c r="F74" s="202">
        <f>+'Table 5C1A-Madison Prep'!F74</f>
        <v>798.7</v>
      </c>
      <c r="G74" s="202">
        <f t="shared" si="36"/>
        <v>0</v>
      </c>
      <c r="H74" s="345">
        <f t="shared" si="37"/>
        <v>0</v>
      </c>
      <c r="I74" s="203">
        <f>'[1]Oct midyear L.C. Coll Prep'!K71</f>
        <v>0</v>
      </c>
      <c r="J74" s="203">
        <f>'[1]Feb midyear L.C. Coll Prep'!K71</f>
        <v>0</v>
      </c>
      <c r="K74" s="204">
        <f t="shared" si="38"/>
        <v>0</v>
      </c>
      <c r="L74" s="345">
        <f t="shared" si="39"/>
        <v>0</v>
      </c>
      <c r="M74" s="286">
        <f t="shared" si="32"/>
        <v>0</v>
      </c>
      <c r="N74" s="345">
        <f t="shared" si="40"/>
        <v>0</v>
      </c>
      <c r="O74" s="201">
        <v>0</v>
      </c>
      <c r="P74" s="351">
        <f t="shared" si="41"/>
        <v>0</v>
      </c>
      <c r="Q74" s="203">
        <f>8*'[2]Table 5C1S-L.C. Coll Prep'!S74</f>
        <v>0</v>
      </c>
      <c r="R74" s="203">
        <f t="shared" si="42"/>
        <v>0</v>
      </c>
      <c r="S74" s="351">
        <f t="shared" si="33"/>
        <v>0</v>
      </c>
      <c r="T74" s="351">
        <f t="shared" si="43"/>
        <v>0</v>
      </c>
      <c r="U74" s="287">
        <f>'Table 5C1A-Madison Prep'!U74</f>
        <v>2880</v>
      </c>
      <c r="V74" s="328">
        <f t="shared" si="44"/>
        <v>0</v>
      </c>
      <c r="W74" s="289">
        <f>'[1]Oct midyear L.C. Coll Prep'!E71</f>
        <v>0</v>
      </c>
      <c r="X74" s="290">
        <f t="shared" si="45"/>
        <v>0</v>
      </c>
      <c r="Y74" s="289">
        <f>'[1]Feb midyear L.C. Coll Prep'!E71</f>
        <v>0</v>
      </c>
      <c r="Z74" s="290">
        <f t="shared" si="46"/>
        <v>0</v>
      </c>
      <c r="AA74" s="288">
        <f t="shared" si="47"/>
        <v>0</v>
      </c>
      <c r="AB74" s="324">
        <f t="shared" si="48"/>
        <v>0</v>
      </c>
      <c r="AC74" s="292">
        <f t="shared" si="49"/>
        <v>0</v>
      </c>
      <c r="AD74" s="324">
        <f t="shared" si="50"/>
        <v>0</v>
      </c>
      <c r="AE74" s="293">
        <v>0</v>
      </c>
      <c r="AF74" s="324">
        <f t="shared" si="51"/>
        <v>0</v>
      </c>
      <c r="AG74" s="293">
        <f>8*'[2]Table 5C1S-L.C. Coll Prep'!AI74</f>
        <v>0</v>
      </c>
      <c r="AH74" s="293">
        <f t="shared" si="52"/>
        <v>0</v>
      </c>
      <c r="AI74" s="324">
        <f t="shared" si="34"/>
        <v>0</v>
      </c>
      <c r="AJ74" s="321">
        <f t="shared" si="53"/>
        <v>0</v>
      </c>
      <c r="AK74" s="342">
        <f t="shared" si="54"/>
        <v>0</v>
      </c>
      <c r="AM74" s="310">
        <v>0</v>
      </c>
      <c r="AN74" s="310">
        <f t="shared" si="55"/>
        <v>0</v>
      </c>
      <c r="AO74" s="310">
        <f t="shared" si="29"/>
        <v>0</v>
      </c>
    </row>
    <row r="75" spans="1:41" ht="16.149999999999999" customHeight="1">
      <c r="A75" s="198">
        <v>69</v>
      </c>
      <c r="B75" s="199" t="s">
        <v>147</v>
      </c>
      <c r="C75" s="995">
        <v>0</v>
      </c>
      <c r="D75" s="201">
        <f>+'Table 5C1A-Madison Prep'!D75</f>
        <v>5722.4947921281337</v>
      </c>
      <c r="E75" s="202">
        <f t="shared" si="35"/>
        <v>0</v>
      </c>
      <c r="F75" s="202">
        <f>+'Table 5C1A-Madison Prep'!F75</f>
        <v>705.67</v>
      </c>
      <c r="G75" s="202">
        <f t="shared" si="36"/>
        <v>0</v>
      </c>
      <c r="H75" s="345">
        <f t="shared" si="37"/>
        <v>0</v>
      </c>
      <c r="I75" s="203">
        <f>'[1]Oct midyear L.C. Coll Prep'!K72</f>
        <v>0</v>
      </c>
      <c r="J75" s="203">
        <f>'[1]Feb midyear L.C. Coll Prep'!K72</f>
        <v>0</v>
      </c>
      <c r="K75" s="204">
        <f t="shared" si="38"/>
        <v>0</v>
      </c>
      <c r="L75" s="345">
        <f t="shared" si="39"/>
        <v>0</v>
      </c>
      <c r="M75" s="286">
        <f>-(0.25%*L75)</f>
        <v>0</v>
      </c>
      <c r="N75" s="345">
        <f t="shared" si="40"/>
        <v>0</v>
      </c>
      <c r="O75" s="201">
        <v>0</v>
      </c>
      <c r="P75" s="351">
        <f t="shared" si="41"/>
        <v>0</v>
      </c>
      <c r="Q75" s="203">
        <f>8*'[2]Table 5C1S-L.C. Coll Prep'!S75</f>
        <v>0</v>
      </c>
      <c r="R75" s="203">
        <f t="shared" si="42"/>
        <v>0</v>
      </c>
      <c r="S75" s="351">
        <f t="shared" si="33"/>
        <v>0</v>
      </c>
      <c r="T75" s="351">
        <f t="shared" si="43"/>
        <v>0</v>
      </c>
      <c r="U75" s="287">
        <f>'Table 5C1A-Madison Prep'!U75</f>
        <v>3330</v>
      </c>
      <c r="V75" s="328">
        <f t="shared" si="44"/>
        <v>0</v>
      </c>
      <c r="W75" s="289">
        <f>'[1]Oct midyear L.C. Coll Prep'!E72</f>
        <v>0</v>
      </c>
      <c r="X75" s="290">
        <f t="shared" si="45"/>
        <v>0</v>
      </c>
      <c r="Y75" s="289">
        <f>'[1]Feb midyear L.C. Coll Prep'!E72</f>
        <v>0</v>
      </c>
      <c r="Z75" s="290">
        <f t="shared" si="46"/>
        <v>0</v>
      </c>
      <c r="AA75" s="288">
        <f t="shared" si="47"/>
        <v>0</v>
      </c>
      <c r="AB75" s="324">
        <f t="shared" si="48"/>
        <v>0</v>
      </c>
      <c r="AC75" s="292">
        <f t="shared" si="49"/>
        <v>0</v>
      </c>
      <c r="AD75" s="324">
        <f t="shared" si="50"/>
        <v>0</v>
      </c>
      <c r="AE75" s="293">
        <v>0</v>
      </c>
      <c r="AF75" s="324">
        <f t="shared" si="51"/>
        <v>0</v>
      </c>
      <c r="AG75" s="293">
        <f>8*'[2]Table 5C1S-L.C. Coll Prep'!AI75</f>
        <v>0</v>
      </c>
      <c r="AH75" s="293">
        <f t="shared" si="52"/>
        <v>0</v>
      </c>
      <c r="AI75" s="324">
        <f t="shared" si="34"/>
        <v>0</v>
      </c>
      <c r="AJ75" s="321">
        <f t="shared" si="53"/>
        <v>0</v>
      </c>
      <c r="AK75" s="342">
        <f t="shared" si="54"/>
        <v>0</v>
      </c>
      <c r="AM75" s="300">
        <v>0</v>
      </c>
      <c r="AN75" s="300">
        <f t="shared" si="55"/>
        <v>0</v>
      </c>
      <c r="AO75" s="300">
        <f t="shared" si="29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0</v>
      </c>
      <c r="D76" s="28">
        <f>+'Table 5C1A-Madison Prep'!D76</f>
        <v>4479.9292126977662</v>
      </c>
      <c r="E76" s="35">
        <f>SUM(E7:E75)</f>
        <v>0</v>
      </c>
      <c r="F76" s="35">
        <f>+'Table 5C1A-Madison Prep'!F76</f>
        <v>704.64781030742063</v>
      </c>
      <c r="G76" s="35">
        <f t="shared" ref="G76:T76" si="56">SUM(G7:G75)</f>
        <v>0</v>
      </c>
      <c r="H76" s="348">
        <f t="shared" si="56"/>
        <v>0</v>
      </c>
      <c r="I76" s="70">
        <f t="shared" si="56"/>
        <v>514218.7175936026</v>
      </c>
      <c r="J76" s="70">
        <f t="shared" si="56"/>
        <v>-4992.4147339184719</v>
      </c>
      <c r="K76" s="56">
        <f t="shared" si="56"/>
        <v>509226.3028596841</v>
      </c>
      <c r="L76" s="364">
        <f t="shared" si="56"/>
        <v>509226.3028596841</v>
      </c>
      <c r="M76" s="36">
        <f t="shared" si="56"/>
        <v>-1273.0657571492102</v>
      </c>
      <c r="N76" s="348">
        <f t="shared" si="56"/>
        <v>507953.23710253491</v>
      </c>
      <c r="O76" s="28">
        <f t="shared" si="56"/>
        <v>0</v>
      </c>
      <c r="P76" s="354">
        <f t="shared" si="56"/>
        <v>507953.23710253491</v>
      </c>
      <c r="Q76" s="70">
        <f t="shared" si="56"/>
        <v>365192</v>
      </c>
      <c r="R76" s="70">
        <f t="shared" si="56"/>
        <v>142761.23710253491</v>
      </c>
      <c r="S76" s="354">
        <f t="shared" si="56"/>
        <v>35690</v>
      </c>
      <c r="T76" s="354">
        <f t="shared" si="56"/>
        <v>507953.23710253491</v>
      </c>
      <c r="U76" s="83">
        <f>'Table 5C1A-Madison Prep'!U76</f>
        <v>4703</v>
      </c>
      <c r="V76" s="330">
        <f t="shared" ref="V76:AK76" si="57">SUM(V7:V75)</f>
        <v>0</v>
      </c>
      <c r="W76" s="74">
        <f t="shared" si="57"/>
        <v>103</v>
      </c>
      <c r="X76" s="75">
        <f t="shared" si="57"/>
        <v>475757</v>
      </c>
      <c r="Y76" s="74">
        <f t="shared" si="57"/>
        <v>-2</v>
      </c>
      <c r="Z76" s="75">
        <f t="shared" si="57"/>
        <v>-4619</v>
      </c>
      <c r="AA76" s="63">
        <f t="shared" si="57"/>
        <v>471138</v>
      </c>
      <c r="AB76" s="332">
        <f t="shared" si="57"/>
        <v>471138</v>
      </c>
      <c r="AC76" s="37">
        <f t="shared" si="57"/>
        <v>-1177.845</v>
      </c>
      <c r="AD76" s="330">
        <f t="shared" si="57"/>
        <v>469960.15500000003</v>
      </c>
      <c r="AE76" s="85">
        <f t="shared" si="57"/>
        <v>0</v>
      </c>
      <c r="AF76" s="330">
        <f t="shared" si="57"/>
        <v>469960.15500000003</v>
      </c>
      <c r="AG76" s="75">
        <f t="shared" si="57"/>
        <v>333928</v>
      </c>
      <c r="AH76" s="75">
        <f t="shared" si="57"/>
        <v>136032.15500000003</v>
      </c>
      <c r="AI76" s="330">
        <f t="shared" si="57"/>
        <v>34008</v>
      </c>
      <c r="AJ76" s="339">
        <f t="shared" si="57"/>
        <v>977913.39210253488</v>
      </c>
      <c r="AK76" s="339">
        <f t="shared" si="57"/>
        <v>69698</v>
      </c>
      <c r="AM76" s="36">
        <f>SUM(AM7:AM75)</f>
        <v>-1255.375</v>
      </c>
      <c r="AN76" s="36">
        <f>SUM(AN7:AN75)</f>
        <v>-1177.845</v>
      </c>
      <c r="AO76" s="36">
        <f>SUM(AO7:AO75)</f>
        <v>77.529999999999973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4'!$E95</f>
        <v>0</v>
      </c>
      <c r="Q77" s="222">
        <f>8*'[2]Table 5C1S-L.C. Coll Prep'!S77</f>
        <v>0</v>
      </c>
      <c r="R77" s="222">
        <f t="shared" ref="R77" si="58">+P77-Q77</f>
        <v>0</v>
      </c>
      <c r="S77" s="295">
        <f t="shared" ref="S77:S81" si="59">ROUND(R77/$S$88,0)</f>
        <v>0</v>
      </c>
      <c r="T77" s="295">
        <f>'Table 4 Level 4'!$E95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60">T77+AF77</f>
        <v>0</v>
      </c>
      <c r="AK77" s="321">
        <f t="shared" ref="AK77:AK81" si="61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4'!$J95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60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4'!$L95</f>
        <v>10000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60"/>
        <v>10000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4'!$M95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60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4'!O95</f>
        <v>2860</v>
      </c>
      <c r="Q81" s="217">
        <f>8*'[2]Table 5C1S-L.C. Coll Prep'!S81</f>
        <v>1904</v>
      </c>
      <c r="R81" s="217">
        <f t="shared" ref="R81" si="62">+P81-Q81</f>
        <v>956</v>
      </c>
      <c r="S81" s="353">
        <f t="shared" si="59"/>
        <v>239</v>
      </c>
      <c r="T81" s="353">
        <f>P81</f>
        <v>2860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60"/>
        <v>2860</v>
      </c>
      <c r="AK81" s="322">
        <f t="shared" si="61"/>
        <v>239</v>
      </c>
    </row>
    <row r="82" spans="1:37" ht="16.149999999999999" customHeight="1" thickBot="1">
      <c r="A82" s="1442" t="s">
        <v>710</v>
      </c>
      <c r="B82" s="1415"/>
      <c r="C82" s="136">
        <f>SUM(C76:C81)</f>
        <v>0</v>
      </c>
      <c r="D82" s="128">
        <f t="shared" ref="D82:AK82" si="63">SUM(D76:D81)</f>
        <v>4479.9292126977662</v>
      </c>
      <c r="E82" s="128">
        <f t="shared" si="63"/>
        <v>0</v>
      </c>
      <c r="F82" s="128">
        <f t="shared" si="63"/>
        <v>704.64781030742063</v>
      </c>
      <c r="G82" s="128">
        <f t="shared" si="63"/>
        <v>0</v>
      </c>
      <c r="H82" s="128">
        <f t="shared" si="63"/>
        <v>0</v>
      </c>
      <c r="I82" s="133">
        <f t="shared" si="63"/>
        <v>514218.7175936026</v>
      </c>
      <c r="J82" s="133">
        <f t="shared" si="63"/>
        <v>-4992.4147339184719</v>
      </c>
      <c r="K82" s="133">
        <f t="shared" si="63"/>
        <v>509226.3028596841</v>
      </c>
      <c r="L82" s="128">
        <f t="shared" si="63"/>
        <v>509226.3028596841</v>
      </c>
      <c r="M82" s="133">
        <f t="shared" si="63"/>
        <v>-1273.0657571492102</v>
      </c>
      <c r="N82" s="128">
        <f t="shared" si="63"/>
        <v>507953.23710253491</v>
      </c>
      <c r="O82" s="128">
        <f t="shared" si="63"/>
        <v>0</v>
      </c>
      <c r="P82" s="355">
        <f t="shared" si="63"/>
        <v>510813.23710253491</v>
      </c>
      <c r="Q82" s="133">
        <f t="shared" si="63"/>
        <v>367096</v>
      </c>
      <c r="R82" s="133">
        <f t="shared" si="63"/>
        <v>143717.23710253491</v>
      </c>
      <c r="S82" s="355">
        <f t="shared" si="63"/>
        <v>35929</v>
      </c>
      <c r="T82" s="355">
        <f t="shared" si="63"/>
        <v>520813.23710253491</v>
      </c>
      <c r="U82" s="137">
        <f t="shared" si="63"/>
        <v>4703</v>
      </c>
      <c r="V82" s="134">
        <f t="shared" si="63"/>
        <v>0</v>
      </c>
      <c r="W82" s="136">
        <f t="shared" si="63"/>
        <v>103</v>
      </c>
      <c r="X82" s="134">
        <f t="shared" si="63"/>
        <v>475757</v>
      </c>
      <c r="Y82" s="136">
        <f t="shared" si="63"/>
        <v>-2</v>
      </c>
      <c r="Z82" s="134">
        <f t="shared" si="63"/>
        <v>-4619</v>
      </c>
      <c r="AA82" s="134">
        <f t="shared" si="63"/>
        <v>471138</v>
      </c>
      <c r="AB82" s="134">
        <f t="shared" si="63"/>
        <v>471138</v>
      </c>
      <c r="AC82" s="134">
        <f t="shared" si="63"/>
        <v>-1177.845</v>
      </c>
      <c r="AD82" s="134">
        <f t="shared" si="63"/>
        <v>469960.15500000003</v>
      </c>
      <c r="AE82" s="134">
        <f t="shared" si="63"/>
        <v>0</v>
      </c>
      <c r="AF82" s="134">
        <f t="shared" si="63"/>
        <v>469960.15500000003</v>
      </c>
      <c r="AG82" s="134">
        <f t="shared" si="63"/>
        <v>333928</v>
      </c>
      <c r="AH82" s="134">
        <f t="shared" si="63"/>
        <v>136032.15500000003</v>
      </c>
      <c r="AI82" s="134">
        <f t="shared" si="63"/>
        <v>34008</v>
      </c>
      <c r="AJ82" s="320">
        <f t="shared" si="63"/>
        <v>990773.39210253488</v>
      </c>
      <c r="AK82" s="320">
        <f t="shared" si="63"/>
        <v>69937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1216">
        <v>-1372.9140518275797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99.848294678369484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3">
    <mergeCell ref="A1:B4"/>
    <mergeCell ref="O3:O4"/>
    <mergeCell ref="P3:P4"/>
    <mergeCell ref="S3:S4"/>
    <mergeCell ref="AE3:AE4"/>
    <mergeCell ref="W3:W4"/>
    <mergeCell ref="X3:X4"/>
    <mergeCell ref="Y3:Y4"/>
    <mergeCell ref="Z3:Z4"/>
    <mergeCell ref="AB3:AB4"/>
    <mergeCell ref="AD3:AD4"/>
    <mergeCell ref="T3:T4"/>
    <mergeCell ref="C1:L1"/>
    <mergeCell ref="U1:AB1"/>
    <mergeCell ref="AJ1:AJ4"/>
    <mergeCell ref="AG3:AG4"/>
    <mergeCell ref="AH3:AH4"/>
    <mergeCell ref="AI3:AI4"/>
    <mergeCell ref="AF3:AF4"/>
    <mergeCell ref="AC1:AI1"/>
    <mergeCell ref="AK1:AK4"/>
    <mergeCell ref="I2:K2"/>
    <mergeCell ref="W2:AA2"/>
    <mergeCell ref="C3:C4"/>
    <mergeCell ref="D3:D4"/>
    <mergeCell ref="E3:E4"/>
    <mergeCell ref="U3:U4"/>
    <mergeCell ref="F3:F4"/>
    <mergeCell ref="G3:G4"/>
    <mergeCell ref="H3:H4"/>
    <mergeCell ref="I3:I4"/>
    <mergeCell ref="J3:J4"/>
    <mergeCell ref="K3:K4"/>
    <mergeCell ref="L3:L4"/>
    <mergeCell ref="N3:N4"/>
    <mergeCell ref="M1:T1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5C1-S: FY2014-15 MFP Budget Letter (March 2015)
Lake Charles College Prep School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customWidth="1"/>
    <col min="4" max="4" width="13.7109375" style="784" customWidth="1"/>
    <col min="5" max="5" width="9.85546875" style="784" customWidth="1"/>
    <col min="6" max="7" width="12.28515625" style="784" customWidth="1"/>
    <col min="8" max="8" width="11.5703125" style="784" customWidth="1"/>
    <col min="9" max="12" width="12" style="784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5.28515625" style="784" customWidth="1"/>
    <col min="23" max="23" width="14.28515625" style="784" customWidth="1"/>
    <col min="24" max="24" width="15.28515625" style="784" customWidth="1"/>
    <col min="25" max="25" width="13.28515625" style="784" customWidth="1"/>
    <col min="26" max="26" width="12.28515625" style="784" customWidth="1"/>
    <col min="27" max="28" width="15.7109375" style="784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3" width="9.5703125" style="784" bestFit="1" customWidth="1"/>
    <col min="34" max="34" width="9.28515625" style="784" bestFit="1" customWidth="1"/>
    <col min="35" max="35" width="14.42578125" style="784" bestFit="1" customWidth="1"/>
    <col min="36" max="36" width="14.28515625" style="784" customWidth="1"/>
    <col min="37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670</v>
      </c>
      <c r="B1" s="1577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33" customHeight="1">
      <c r="A2" s="1578"/>
      <c r="B2" s="1579"/>
      <c r="C2" s="619"/>
      <c r="D2" s="620"/>
      <c r="E2" s="620"/>
      <c r="F2" s="620"/>
      <c r="G2" s="620"/>
      <c r="H2" s="620"/>
      <c r="I2" s="1411" t="s">
        <v>1036</v>
      </c>
      <c r="J2" s="1411"/>
      <c r="K2" s="1411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1035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85" t="s">
        <v>1037</v>
      </c>
      <c r="J3" s="1518" t="s">
        <v>554</v>
      </c>
      <c r="K3" s="1585" t="s">
        <v>1033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87" t="s">
        <v>906</v>
      </c>
      <c r="X3" s="1507" t="s">
        <v>1038</v>
      </c>
      <c r="Y3" s="1507" t="s">
        <v>861</v>
      </c>
      <c r="Z3" s="1507" t="s">
        <v>859</v>
      </c>
      <c r="AA3" s="1215" t="s">
        <v>1034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586"/>
      <c r="J4" s="1470"/>
      <c r="K4" s="1586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588"/>
      <c r="X4" s="1470"/>
      <c r="Y4" s="1470"/>
      <c r="Z4" s="1470"/>
      <c r="AA4" s="1214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si="1"/>
        <v>8</v>
      </c>
      <c r="K5" s="23">
        <f t="shared" si="1"/>
        <v>9</v>
      </c>
      <c r="L5" s="23">
        <f t="shared" si="1"/>
        <v>10</v>
      </c>
      <c r="M5" s="23">
        <f t="shared" si="1"/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si="1"/>
        <v>15</v>
      </c>
      <c r="R5" s="23">
        <f t="shared" si="1"/>
        <v>16</v>
      </c>
      <c r="S5" s="23">
        <f t="shared" si="1"/>
        <v>17</v>
      </c>
      <c r="T5" s="23">
        <f t="shared" ref="T5" si="2">S5+1</f>
        <v>18</v>
      </c>
      <c r="U5" s="23">
        <f t="shared" ref="U5" si="3">T5+1</f>
        <v>19</v>
      </c>
      <c r="V5" s="23">
        <f t="shared" si="1"/>
        <v>20</v>
      </c>
      <c r="W5" s="23">
        <f t="shared" si="1"/>
        <v>21</v>
      </c>
      <c r="X5" s="23">
        <f t="shared" si="1"/>
        <v>22</v>
      </c>
      <c r="Y5" s="23">
        <f t="shared" si="1"/>
        <v>23</v>
      </c>
      <c r="Z5" s="23">
        <f t="shared" si="1"/>
        <v>24</v>
      </c>
      <c r="AA5" s="23">
        <f t="shared" si="1"/>
        <v>25</v>
      </c>
      <c r="AB5" s="23">
        <f t="shared" si="1"/>
        <v>26</v>
      </c>
      <c r="AC5" s="23">
        <f t="shared" si="1"/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si="1"/>
        <v>31</v>
      </c>
      <c r="AH5" s="23">
        <f t="shared" si="1"/>
        <v>32</v>
      </c>
      <c r="AI5" s="23">
        <f t="shared" si="1"/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Northeast'!K4</f>
        <v>0</v>
      </c>
      <c r="J7" s="210">
        <f>'[1]Feb midyear Northeast'!K4</f>
        <v>0</v>
      </c>
      <c r="K7" s="211">
        <f>I7+J7</f>
        <v>0</v>
      </c>
      <c r="L7" s="344">
        <f>+H7+K7</f>
        <v>0</v>
      </c>
      <c r="M7" s="273">
        <f t="shared" ref="M7:M70" si="4"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(2*'[2]Table 5C1T-Northeast'!S7)+(6*'[20]Table 5C1T-Northeast'!S7)</f>
        <v>0</v>
      </c>
      <c r="R7" s="210">
        <f>+P7-Q7</f>
        <v>0</v>
      </c>
      <c r="S7" s="350">
        <f t="shared" ref="S7:S38" si="5">ROUND(R7/$S$88,0)</f>
        <v>0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883">
        <f>'[1]Oct midyear Northeast'!E4</f>
        <v>0</v>
      </c>
      <c r="X7" s="276">
        <f>+U7*W7</f>
        <v>0</v>
      </c>
      <c r="Y7" s="883">
        <f>'[1]Feb midyear Northeast'!E4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(2*'[2]Table 5C1T-Northeast'!AI7)+(6*'[20]Table 5C1T-Northeast'!AI7)</f>
        <v>0</v>
      </c>
      <c r="AH7" s="279">
        <f>+AF7-AG7</f>
        <v>0</v>
      </c>
      <c r="AI7" s="323">
        <f t="shared" ref="AI7:AI38" si="6">ROUND(AH7/$AI$88,0)</f>
        <v>0</v>
      </c>
      <c r="AJ7" s="337">
        <f>T7+AF7</f>
        <v>0</v>
      </c>
      <c r="AK7" s="341">
        <f>S7+AI7</f>
        <v>0</v>
      </c>
      <c r="AM7" s="273">
        <v>0</v>
      </c>
      <c r="AN7" s="273">
        <f>+AC7</f>
        <v>0</v>
      </c>
      <c r="AO7" s="273">
        <f t="shared" ref="AO7:AO33" si="7">+AN7-AM7</f>
        <v>0</v>
      </c>
    </row>
    <row r="8" spans="1:41" ht="16.149999999999999" customHeight="1">
      <c r="A8" s="198">
        <v>2</v>
      </c>
      <c r="B8" s="199" t="s">
        <v>74</v>
      </c>
      <c r="C8" s="995">
        <v>0</v>
      </c>
      <c r="D8" s="201">
        <f>+'Table 5C1A-Madison Prep'!D8</f>
        <v>6316.6266417386641</v>
      </c>
      <c r="E8" s="202">
        <f t="shared" ref="E8:E71" si="8">C8*D8</f>
        <v>0</v>
      </c>
      <c r="F8" s="202">
        <f>+'Table 5C1A-Madison Prep'!F8</f>
        <v>842.32</v>
      </c>
      <c r="G8" s="202">
        <f t="shared" ref="G8:G71" si="9">C8*F8</f>
        <v>0</v>
      </c>
      <c r="H8" s="345">
        <f t="shared" ref="H8:H71" si="10">E8+G8</f>
        <v>0</v>
      </c>
      <c r="I8" s="203">
        <f>'[1]Oct midyear Northeast'!K5</f>
        <v>0</v>
      </c>
      <c r="J8" s="203">
        <f>'[1]Feb midyear Northeast'!K5</f>
        <v>0</v>
      </c>
      <c r="K8" s="204">
        <f t="shared" ref="K8:K71" si="11">I8+J8</f>
        <v>0</v>
      </c>
      <c r="L8" s="345">
        <f t="shared" ref="L8:L71" si="12">+H8+K8</f>
        <v>0</v>
      </c>
      <c r="M8" s="286">
        <f t="shared" si="4"/>
        <v>0</v>
      </c>
      <c r="N8" s="345">
        <f t="shared" ref="N8:N71" si="13">SUM(L8:M8)</f>
        <v>0</v>
      </c>
      <c r="O8" s="201">
        <v>0</v>
      </c>
      <c r="P8" s="351">
        <f t="shared" ref="P8:P71" si="14">SUM(N8:O8)</f>
        <v>0</v>
      </c>
      <c r="Q8" s="203">
        <f>(2*'[2]Table 5C1T-Northeast'!S8)+(6*'[20]Table 5C1T-Northeast'!S8)</f>
        <v>0</v>
      </c>
      <c r="R8" s="203">
        <f t="shared" ref="R8:R71" si="15">+P8-Q8</f>
        <v>0</v>
      </c>
      <c r="S8" s="351">
        <f t="shared" si="5"/>
        <v>0</v>
      </c>
      <c r="T8" s="351">
        <f t="shared" ref="T8:T71" si="16">+P8</f>
        <v>0</v>
      </c>
      <c r="U8" s="287">
        <f>'Table 5C1A-Madison Prep'!U8</f>
        <v>2786</v>
      </c>
      <c r="V8" s="328">
        <f t="shared" ref="V8:V71" si="17">C8*U8</f>
        <v>0</v>
      </c>
      <c r="W8" s="289">
        <f>'[1]Oct midyear Northeast'!E5</f>
        <v>0</v>
      </c>
      <c r="X8" s="290">
        <f t="shared" ref="X8:X71" si="18">+U8*W8</f>
        <v>0</v>
      </c>
      <c r="Y8" s="289">
        <f>'[1]Feb midyear Northeast'!E5</f>
        <v>0</v>
      </c>
      <c r="Z8" s="290">
        <f t="shared" ref="Z8:Z71" si="19">+U8*Y8*0.5</f>
        <v>0</v>
      </c>
      <c r="AA8" s="288">
        <f t="shared" ref="AA8:AA71" si="20">+X8+Z8</f>
        <v>0</v>
      </c>
      <c r="AB8" s="324">
        <f t="shared" ref="AB8:AB71" si="21">+V8+AA8</f>
        <v>0</v>
      </c>
      <c r="AC8" s="292">
        <f t="shared" ref="AC8:AC71" si="22">-(0.25%*AB8)</f>
        <v>0</v>
      </c>
      <c r="AD8" s="324">
        <f t="shared" ref="AD8:AD71" si="23">SUM(AB8:AC8)</f>
        <v>0</v>
      </c>
      <c r="AE8" s="293">
        <v>0</v>
      </c>
      <c r="AF8" s="324">
        <f t="shared" ref="AF8:AF71" si="24">SUM(AD8:AE8)</f>
        <v>0</v>
      </c>
      <c r="AG8" s="293">
        <f>(2*'[2]Table 5C1T-Northeast'!AI8)+(6*'[20]Table 5C1T-Northeast'!AI8)</f>
        <v>0</v>
      </c>
      <c r="AH8" s="293">
        <f t="shared" ref="AH8:AH71" si="25">+AF8-AG8</f>
        <v>0</v>
      </c>
      <c r="AI8" s="324">
        <f t="shared" si="6"/>
        <v>0</v>
      </c>
      <c r="AJ8" s="321">
        <f t="shared" ref="AJ8:AJ71" si="26">T8+AF8</f>
        <v>0</v>
      </c>
      <c r="AK8" s="342">
        <f t="shared" ref="AK8:AK71" si="27">S8+AI8</f>
        <v>0</v>
      </c>
      <c r="AM8" s="286">
        <v>0</v>
      </c>
      <c r="AN8" s="286">
        <f t="shared" ref="AN8:AN71" si="28">+AC8</f>
        <v>0</v>
      </c>
      <c r="AO8" s="286">
        <f t="shared" si="7"/>
        <v>0</v>
      </c>
    </row>
    <row r="9" spans="1:41" ht="16.149999999999999" customHeight="1">
      <c r="A9" s="198">
        <v>3</v>
      </c>
      <c r="B9" s="199" t="s">
        <v>75</v>
      </c>
      <c r="C9" s="995">
        <v>0</v>
      </c>
      <c r="D9" s="201">
        <f>+'Table 5C1A-Madison Prep'!D9</f>
        <v>4155.1862027396819</v>
      </c>
      <c r="E9" s="202">
        <f t="shared" si="8"/>
        <v>0</v>
      </c>
      <c r="F9" s="202">
        <f>+'Table 5C1A-Madison Prep'!F9</f>
        <v>596.84</v>
      </c>
      <c r="G9" s="202">
        <f t="shared" si="9"/>
        <v>0</v>
      </c>
      <c r="H9" s="345">
        <f t="shared" si="10"/>
        <v>0</v>
      </c>
      <c r="I9" s="203">
        <f>'[1]Oct midyear Northeast'!K6</f>
        <v>0</v>
      </c>
      <c r="J9" s="203">
        <f>'[1]Feb midyear Northeast'!K6</f>
        <v>0</v>
      </c>
      <c r="K9" s="204">
        <f t="shared" si="11"/>
        <v>0</v>
      </c>
      <c r="L9" s="345">
        <f t="shared" si="12"/>
        <v>0</v>
      </c>
      <c r="M9" s="286">
        <f t="shared" si="4"/>
        <v>0</v>
      </c>
      <c r="N9" s="345">
        <f t="shared" si="13"/>
        <v>0</v>
      </c>
      <c r="O9" s="201">
        <v>0</v>
      </c>
      <c r="P9" s="351">
        <f t="shared" si="14"/>
        <v>0</v>
      </c>
      <c r="Q9" s="203">
        <f>(2*'[2]Table 5C1T-Northeast'!S9)+(6*'[20]Table 5C1T-Northeast'!S9)</f>
        <v>0</v>
      </c>
      <c r="R9" s="203">
        <f t="shared" si="15"/>
        <v>0</v>
      </c>
      <c r="S9" s="351">
        <f t="shared" si="5"/>
        <v>0</v>
      </c>
      <c r="T9" s="351">
        <f t="shared" si="16"/>
        <v>0</v>
      </c>
      <c r="U9" s="287">
        <f>'Table 5C1A-Madison Prep'!U9</f>
        <v>5927</v>
      </c>
      <c r="V9" s="328">
        <f t="shared" si="17"/>
        <v>0</v>
      </c>
      <c r="W9" s="289">
        <f>'[1]Oct midyear Northeast'!E6</f>
        <v>0</v>
      </c>
      <c r="X9" s="290">
        <f t="shared" si="18"/>
        <v>0</v>
      </c>
      <c r="Y9" s="289">
        <f>'[1]Feb midyear Northeast'!E6</f>
        <v>0</v>
      </c>
      <c r="Z9" s="290">
        <f t="shared" si="19"/>
        <v>0</v>
      </c>
      <c r="AA9" s="288">
        <f t="shared" si="20"/>
        <v>0</v>
      </c>
      <c r="AB9" s="324">
        <f t="shared" si="21"/>
        <v>0</v>
      </c>
      <c r="AC9" s="292">
        <f t="shared" si="22"/>
        <v>0</v>
      </c>
      <c r="AD9" s="324">
        <f t="shared" si="23"/>
        <v>0</v>
      </c>
      <c r="AE9" s="293">
        <v>0</v>
      </c>
      <c r="AF9" s="324">
        <f t="shared" si="24"/>
        <v>0</v>
      </c>
      <c r="AG9" s="293">
        <f>(2*'[2]Table 5C1T-Northeast'!AI9)+(6*'[20]Table 5C1T-Northeast'!AI9)</f>
        <v>0</v>
      </c>
      <c r="AH9" s="293">
        <f t="shared" si="25"/>
        <v>0</v>
      </c>
      <c r="AI9" s="324">
        <f t="shared" si="6"/>
        <v>0</v>
      </c>
      <c r="AJ9" s="321">
        <f t="shared" si="26"/>
        <v>0</v>
      </c>
      <c r="AK9" s="342">
        <f t="shared" si="27"/>
        <v>0</v>
      </c>
      <c r="AM9" s="286">
        <v>0</v>
      </c>
      <c r="AN9" s="286">
        <f t="shared" si="28"/>
        <v>0</v>
      </c>
      <c r="AO9" s="286">
        <f t="shared" si="7"/>
        <v>0</v>
      </c>
    </row>
    <row r="10" spans="1:41" ht="16.149999999999999" customHeight="1">
      <c r="A10" s="198">
        <v>4</v>
      </c>
      <c r="B10" s="199" t="s">
        <v>76</v>
      </c>
      <c r="C10" s="995">
        <v>0</v>
      </c>
      <c r="D10" s="201">
        <f>+'Table 5C1A-Madison Prep'!D10</f>
        <v>6119.0581446878568</v>
      </c>
      <c r="E10" s="202">
        <f t="shared" si="8"/>
        <v>0</v>
      </c>
      <c r="F10" s="202">
        <f>+'Table 5C1A-Madison Prep'!F10</f>
        <v>585.76</v>
      </c>
      <c r="G10" s="202">
        <f t="shared" si="9"/>
        <v>0</v>
      </c>
      <c r="H10" s="345">
        <f t="shared" si="10"/>
        <v>0</v>
      </c>
      <c r="I10" s="203">
        <f>'[1]Oct midyear Northeast'!K7</f>
        <v>0</v>
      </c>
      <c r="J10" s="203">
        <f>'[1]Feb midyear Northeast'!K7</f>
        <v>0</v>
      </c>
      <c r="K10" s="204">
        <f t="shared" si="11"/>
        <v>0</v>
      </c>
      <c r="L10" s="345">
        <f t="shared" si="12"/>
        <v>0</v>
      </c>
      <c r="M10" s="286">
        <f t="shared" si="4"/>
        <v>0</v>
      </c>
      <c r="N10" s="345">
        <f t="shared" si="13"/>
        <v>0</v>
      </c>
      <c r="O10" s="201">
        <v>0</v>
      </c>
      <c r="P10" s="351">
        <f t="shared" si="14"/>
        <v>0</v>
      </c>
      <c r="Q10" s="203">
        <f>(2*'[2]Table 5C1T-Northeast'!S10)+(6*'[20]Table 5C1T-Northeast'!S10)</f>
        <v>0</v>
      </c>
      <c r="R10" s="203">
        <f t="shared" si="15"/>
        <v>0</v>
      </c>
      <c r="S10" s="351">
        <f t="shared" si="5"/>
        <v>0</v>
      </c>
      <c r="T10" s="351">
        <f t="shared" si="16"/>
        <v>0</v>
      </c>
      <c r="U10" s="287">
        <f>'Table 5C1A-Madison Prep'!U10</f>
        <v>4203</v>
      </c>
      <c r="V10" s="328">
        <f t="shared" si="17"/>
        <v>0</v>
      </c>
      <c r="W10" s="289">
        <f>'[1]Oct midyear Northeast'!E7</f>
        <v>0</v>
      </c>
      <c r="X10" s="290">
        <f t="shared" si="18"/>
        <v>0</v>
      </c>
      <c r="Y10" s="289">
        <f>'[1]Feb midyear Northeast'!E7</f>
        <v>0</v>
      </c>
      <c r="Z10" s="290">
        <f t="shared" si="19"/>
        <v>0</v>
      </c>
      <c r="AA10" s="288">
        <f t="shared" si="20"/>
        <v>0</v>
      </c>
      <c r="AB10" s="324">
        <f t="shared" si="21"/>
        <v>0</v>
      </c>
      <c r="AC10" s="292">
        <f t="shared" si="22"/>
        <v>0</v>
      </c>
      <c r="AD10" s="324">
        <f t="shared" si="23"/>
        <v>0</v>
      </c>
      <c r="AE10" s="293">
        <v>0</v>
      </c>
      <c r="AF10" s="324">
        <f t="shared" si="24"/>
        <v>0</v>
      </c>
      <c r="AG10" s="293">
        <f>(2*'[2]Table 5C1T-Northeast'!AI10)+(6*'[20]Table 5C1T-Northeast'!AI10)</f>
        <v>0</v>
      </c>
      <c r="AH10" s="293">
        <f t="shared" si="25"/>
        <v>0</v>
      </c>
      <c r="AI10" s="324">
        <f t="shared" si="6"/>
        <v>0</v>
      </c>
      <c r="AJ10" s="321">
        <f t="shared" si="26"/>
        <v>0</v>
      </c>
      <c r="AK10" s="342">
        <f t="shared" si="27"/>
        <v>0</v>
      </c>
      <c r="AM10" s="286">
        <v>0</v>
      </c>
      <c r="AN10" s="286">
        <f t="shared" si="28"/>
        <v>0</v>
      </c>
      <c r="AO10" s="286">
        <f t="shared" si="7"/>
        <v>0</v>
      </c>
    </row>
    <row r="11" spans="1:41" ht="16.149999999999999" customHeight="1">
      <c r="A11" s="191">
        <v>5</v>
      </c>
      <c r="B11" s="192" t="s">
        <v>77</v>
      </c>
      <c r="C11" s="996">
        <v>0</v>
      </c>
      <c r="D11" s="194">
        <f>+'Table 5C1A-Madison Prep'!D11</f>
        <v>5268.940566009911</v>
      </c>
      <c r="E11" s="195">
        <f t="shared" si="8"/>
        <v>0</v>
      </c>
      <c r="F11" s="195">
        <f>+'Table 5C1A-Madison Prep'!F11</f>
        <v>555.91</v>
      </c>
      <c r="G11" s="195">
        <f t="shared" si="9"/>
        <v>0</v>
      </c>
      <c r="H11" s="346">
        <f t="shared" si="10"/>
        <v>0</v>
      </c>
      <c r="I11" s="196">
        <f>'[1]Oct midyear Northeast'!K8</f>
        <v>0</v>
      </c>
      <c r="J11" s="196">
        <f>'[1]Feb midyear Northeast'!K8</f>
        <v>0</v>
      </c>
      <c r="K11" s="197">
        <f t="shared" si="11"/>
        <v>0</v>
      </c>
      <c r="L11" s="346">
        <f t="shared" si="12"/>
        <v>0</v>
      </c>
      <c r="M11" s="296">
        <f t="shared" si="4"/>
        <v>0</v>
      </c>
      <c r="N11" s="346">
        <f t="shared" si="13"/>
        <v>0</v>
      </c>
      <c r="O11" s="194">
        <v>0</v>
      </c>
      <c r="P11" s="352">
        <f t="shared" si="14"/>
        <v>0</v>
      </c>
      <c r="Q11" s="196">
        <f>(2*'[2]Table 5C1T-Northeast'!S11)+(6*'[20]Table 5C1T-Northeast'!S11)</f>
        <v>0</v>
      </c>
      <c r="R11" s="196">
        <f t="shared" si="15"/>
        <v>0</v>
      </c>
      <c r="S11" s="352">
        <f t="shared" si="5"/>
        <v>0</v>
      </c>
      <c r="T11" s="352">
        <f t="shared" si="16"/>
        <v>0</v>
      </c>
      <c r="U11" s="281">
        <f>'Table 5C1A-Madison Prep'!U11</f>
        <v>1923</v>
      </c>
      <c r="V11" s="329">
        <f t="shared" si="17"/>
        <v>0</v>
      </c>
      <c r="W11" s="884">
        <f>'[1]Oct midyear Northeast'!E8</f>
        <v>0</v>
      </c>
      <c r="X11" s="282">
        <f t="shared" si="18"/>
        <v>0</v>
      </c>
      <c r="Y11" s="884">
        <f>'[1]Feb midyear Northeast'!E8</f>
        <v>0</v>
      </c>
      <c r="Z11" s="282">
        <f t="shared" si="19"/>
        <v>0</v>
      </c>
      <c r="AA11" s="283">
        <f t="shared" si="20"/>
        <v>0</v>
      </c>
      <c r="AB11" s="325">
        <f t="shared" si="21"/>
        <v>0</v>
      </c>
      <c r="AC11" s="298">
        <f t="shared" si="22"/>
        <v>0</v>
      </c>
      <c r="AD11" s="325">
        <f t="shared" si="23"/>
        <v>0</v>
      </c>
      <c r="AE11" s="284">
        <v>0</v>
      </c>
      <c r="AF11" s="325">
        <f t="shared" si="24"/>
        <v>0</v>
      </c>
      <c r="AG11" s="284">
        <f>(2*'[2]Table 5C1T-Northeast'!AI11)+(6*'[20]Table 5C1T-Northeast'!AI11)</f>
        <v>0</v>
      </c>
      <c r="AH11" s="284">
        <f t="shared" si="25"/>
        <v>0</v>
      </c>
      <c r="AI11" s="325">
        <f t="shared" si="6"/>
        <v>0</v>
      </c>
      <c r="AJ11" s="338">
        <f t="shared" si="26"/>
        <v>0</v>
      </c>
      <c r="AK11" s="343">
        <f t="shared" si="27"/>
        <v>0</v>
      </c>
      <c r="AM11" s="296">
        <v>0</v>
      </c>
      <c r="AN11" s="296">
        <f t="shared" si="28"/>
        <v>0</v>
      </c>
      <c r="AO11" s="296">
        <f t="shared" si="7"/>
        <v>0</v>
      </c>
    </row>
    <row r="12" spans="1:41" ht="16.149999999999999" customHeight="1">
      <c r="A12" s="205">
        <v>6</v>
      </c>
      <c r="B12" s="206" t="s">
        <v>78</v>
      </c>
      <c r="C12" s="994">
        <v>0</v>
      </c>
      <c r="D12" s="208">
        <f>+'Table 5C1A-Madison Prep'!D12</f>
        <v>5378.5086124955869</v>
      </c>
      <c r="E12" s="209">
        <f t="shared" si="8"/>
        <v>0</v>
      </c>
      <c r="F12" s="209">
        <f>+'Table 5C1A-Madison Prep'!F12</f>
        <v>545.4799999999999</v>
      </c>
      <c r="G12" s="209">
        <f t="shared" si="9"/>
        <v>0</v>
      </c>
      <c r="H12" s="344">
        <f t="shared" si="10"/>
        <v>0</v>
      </c>
      <c r="I12" s="210">
        <f>'[1]Oct midyear Northeast'!K9</f>
        <v>0</v>
      </c>
      <c r="J12" s="210">
        <f>'[1]Feb midyear Northeast'!K9</f>
        <v>0</v>
      </c>
      <c r="K12" s="211">
        <f t="shared" si="11"/>
        <v>0</v>
      </c>
      <c r="L12" s="344">
        <f t="shared" si="12"/>
        <v>0</v>
      </c>
      <c r="M12" s="273">
        <f t="shared" si="4"/>
        <v>0</v>
      </c>
      <c r="N12" s="344">
        <f t="shared" si="13"/>
        <v>0</v>
      </c>
      <c r="O12" s="208">
        <v>0</v>
      </c>
      <c r="P12" s="350">
        <f t="shared" si="14"/>
        <v>0</v>
      </c>
      <c r="Q12" s="210">
        <f>(2*'[2]Table 5C1T-Northeast'!S12)+(6*'[20]Table 5C1T-Northeast'!S12)</f>
        <v>0</v>
      </c>
      <c r="R12" s="210">
        <f t="shared" si="15"/>
        <v>0</v>
      </c>
      <c r="S12" s="350">
        <f t="shared" si="5"/>
        <v>0</v>
      </c>
      <c r="T12" s="350">
        <f t="shared" si="16"/>
        <v>0</v>
      </c>
      <c r="U12" s="274">
        <f>'Table 5C1A-Madison Prep'!U12</f>
        <v>4057</v>
      </c>
      <c r="V12" s="327">
        <f t="shared" si="17"/>
        <v>0</v>
      </c>
      <c r="W12" s="883">
        <f>'[1]Oct midyear Northeast'!E9</f>
        <v>0</v>
      </c>
      <c r="X12" s="276">
        <f t="shared" si="18"/>
        <v>0</v>
      </c>
      <c r="Y12" s="883">
        <f>'[1]Feb midyear Northeast'!E9</f>
        <v>0</v>
      </c>
      <c r="Z12" s="276">
        <f t="shared" si="19"/>
        <v>0</v>
      </c>
      <c r="AA12" s="275">
        <f t="shared" si="20"/>
        <v>0</v>
      </c>
      <c r="AB12" s="323">
        <f t="shared" si="21"/>
        <v>0</v>
      </c>
      <c r="AC12" s="278">
        <f t="shared" si="22"/>
        <v>0</v>
      </c>
      <c r="AD12" s="323">
        <f t="shared" si="23"/>
        <v>0</v>
      </c>
      <c r="AE12" s="279">
        <v>0</v>
      </c>
      <c r="AF12" s="323">
        <f t="shared" si="24"/>
        <v>0</v>
      </c>
      <c r="AG12" s="279">
        <f>(2*'[2]Table 5C1T-Northeast'!AI12)+(6*'[20]Table 5C1T-Northeast'!AI12)</f>
        <v>0</v>
      </c>
      <c r="AH12" s="279">
        <f t="shared" si="25"/>
        <v>0</v>
      </c>
      <c r="AI12" s="323">
        <f t="shared" si="6"/>
        <v>0</v>
      </c>
      <c r="AJ12" s="337">
        <f t="shared" si="26"/>
        <v>0</v>
      </c>
      <c r="AK12" s="341">
        <f t="shared" si="27"/>
        <v>0</v>
      </c>
      <c r="AM12" s="273">
        <v>0</v>
      </c>
      <c r="AN12" s="273">
        <f t="shared" si="28"/>
        <v>0</v>
      </c>
      <c r="AO12" s="273">
        <f t="shared" si="7"/>
        <v>0</v>
      </c>
    </row>
    <row r="13" spans="1:41" ht="16.149999999999999" customHeight="1">
      <c r="A13" s="198">
        <v>7</v>
      </c>
      <c r="B13" s="199" t="s">
        <v>79</v>
      </c>
      <c r="C13" s="995">
        <v>0</v>
      </c>
      <c r="D13" s="201">
        <f>+'Table 5C1A-Madison Prep'!D13</f>
        <v>2243.0031963470319</v>
      </c>
      <c r="E13" s="202">
        <f t="shared" si="8"/>
        <v>0</v>
      </c>
      <c r="F13" s="202">
        <f>+'Table 5C1A-Madison Prep'!F13</f>
        <v>756.91999999999985</v>
      </c>
      <c r="G13" s="202">
        <f t="shared" si="9"/>
        <v>0</v>
      </c>
      <c r="H13" s="345">
        <f t="shared" si="10"/>
        <v>0</v>
      </c>
      <c r="I13" s="203">
        <f>'[1]Oct midyear Northeast'!K10</f>
        <v>0</v>
      </c>
      <c r="J13" s="203">
        <f>'[1]Feb midyear Northeast'!K10</f>
        <v>0</v>
      </c>
      <c r="K13" s="204">
        <f t="shared" si="11"/>
        <v>0</v>
      </c>
      <c r="L13" s="345">
        <f t="shared" si="12"/>
        <v>0</v>
      </c>
      <c r="M13" s="286">
        <f t="shared" si="4"/>
        <v>0</v>
      </c>
      <c r="N13" s="345">
        <f t="shared" si="13"/>
        <v>0</v>
      </c>
      <c r="O13" s="201">
        <v>0</v>
      </c>
      <c r="P13" s="351">
        <f t="shared" si="14"/>
        <v>0</v>
      </c>
      <c r="Q13" s="203">
        <f>(2*'[2]Table 5C1T-Northeast'!S13)+(6*'[20]Table 5C1T-Northeast'!S13)</f>
        <v>0</v>
      </c>
      <c r="R13" s="203">
        <f t="shared" si="15"/>
        <v>0</v>
      </c>
      <c r="S13" s="351">
        <f t="shared" si="5"/>
        <v>0</v>
      </c>
      <c r="T13" s="351">
        <f t="shared" si="16"/>
        <v>0</v>
      </c>
      <c r="U13" s="287">
        <f>'Table 5C1A-Madison Prep'!U13</f>
        <v>12112</v>
      </c>
      <c r="V13" s="328">
        <f t="shared" si="17"/>
        <v>0</v>
      </c>
      <c r="W13" s="289">
        <f>'[1]Oct midyear Northeast'!E10</f>
        <v>0</v>
      </c>
      <c r="X13" s="290">
        <f t="shared" si="18"/>
        <v>0</v>
      </c>
      <c r="Y13" s="289">
        <f>'[1]Feb midyear Northeast'!E10</f>
        <v>0</v>
      </c>
      <c r="Z13" s="290">
        <f t="shared" si="19"/>
        <v>0</v>
      </c>
      <c r="AA13" s="288">
        <f t="shared" si="20"/>
        <v>0</v>
      </c>
      <c r="AB13" s="324">
        <f t="shared" si="21"/>
        <v>0</v>
      </c>
      <c r="AC13" s="292">
        <f t="shared" si="22"/>
        <v>0</v>
      </c>
      <c r="AD13" s="324">
        <f t="shared" si="23"/>
        <v>0</v>
      </c>
      <c r="AE13" s="293">
        <v>0</v>
      </c>
      <c r="AF13" s="324">
        <f t="shared" si="24"/>
        <v>0</v>
      </c>
      <c r="AG13" s="293">
        <f>(2*'[2]Table 5C1T-Northeast'!AI13)+(6*'[20]Table 5C1T-Northeast'!AI13)</f>
        <v>0</v>
      </c>
      <c r="AH13" s="293">
        <f t="shared" si="25"/>
        <v>0</v>
      </c>
      <c r="AI13" s="324">
        <f t="shared" si="6"/>
        <v>0</v>
      </c>
      <c r="AJ13" s="321">
        <f t="shared" si="26"/>
        <v>0</v>
      </c>
      <c r="AK13" s="342">
        <f t="shared" si="27"/>
        <v>0</v>
      </c>
      <c r="AM13" s="286">
        <v>0</v>
      </c>
      <c r="AN13" s="286">
        <f t="shared" si="28"/>
        <v>0</v>
      </c>
      <c r="AO13" s="286">
        <f t="shared" si="7"/>
        <v>0</v>
      </c>
    </row>
    <row r="14" spans="1:41" ht="16.149999999999999" customHeight="1">
      <c r="A14" s="198">
        <v>8</v>
      </c>
      <c r="B14" s="199" t="s">
        <v>80</v>
      </c>
      <c r="C14" s="995">
        <v>0</v>
      </c>
      <c r="D14" s="201">
        <f>+'Table 5C1A-Madison Prep'!D14</f>
        <v>4669.802459558854</v>
      </c>
      <c r="E14" s="202">
        <f t="shared" si="8"/>
        <v>0</v>
      </c>
      <c r="F14" s="202">
        <f>+'Table 5C1A-Madison Prep'!F14</f>
        <v>725.76</v>
      </c>
      <c r="G14" s="202">
        <f t="shared" si="9"/>
        <v>0</v>
      </c>
      <c r="H14" s="345">
        <f t="shared" si="10"/>
        <v>0</v>
      </c>
      <c r="I14" s="203">
        <f>'[1]Oct midyear Northeast'!K11</f>
        <v>0</v>
      </c>
      <c r="J14" s="203">
        <f>'[1]Feb midyear Northeast'!K11</f>
        <v>0</v>
      </c>
      <c r="K14" s="204">
        <f t="shared" si="11"/>
        <v>0</v>
      </c>
      <c r="L14" s="345">
        <f t="shared" si="12"/>
        <v>0</v>
      </c>
      <c r="M14" s="286">
        <f t="shared" si="4"/>
        <v>0</v>
      </c>
      <c r="N14" s="345">
        <f t="shared" si="13"/>
        <v>0</v>
      </c>
      <c r="O14" s="201">
        <v>0</v>
      </c>
      <c r="P14" s="351">
        <f t="shared" si="14"/>
        <v>0</v>
      </c>
      <c r="Q14" s="203">
        <f>(2*'[2]Table 5C1T-Northeast'!S14)+(6*'[20]Table 5C1T-Northeast'!S14)</f>
        <v>0</v>
      </c>
      <c r="R14" s="203">
        <f t="shared" si="15"/>
        <v>0</v>
      </c>
      <c r="S14" s="351">
        <f t="shared" si="5"/>
        <v>0</v>
      </c>
      <c r="T14" s="351">
        <f t="shared" si="16"/>
        <v>0</v>
      </c>
      <c r="U14" s="287">
        <f>'Table 5C1A-Madison Prep'!U14</f>
        <v>4124</v>
      </c>
      <c r="V14" s="328">
        <f t="shared" si="17"/>
        <v>0</v>
      </c>
      <c r="W14" s="289">
        <f>'[1]Oct midyear Northeast'!E11</f>
        <v>0</v>
      </c>
      <c r="X14" s="290">
        <f t="shared" si="18"/>
        <v>0</v>
      </c>
      <c r="Y14" s="289">
        <f>'[1]Feb midyear Northeast'!E11</f>
        <v>0</v>
      </c>
      <c r="Z14" s="290">
        <f t="shared" si="19"/>
        <v>0</v>
      </c>
      <c r="AA14" s="288">
        <f t="shared" si="20"/>
        <v>0</v>
      </c>
      <c r="AB14" s="324">
        <f t="shared" si="21"/>
        <v>0</v>
      </c>
      <c r="AC14" s="292">
        <f t="shared" si="22"/>
        <v>0</v>
      </c>
      <c r="AD14" s="324">
        <f t="shared" si="23"/>
        <v>0</v>
      </c>
      <c r="AE14" s="293">
        <v>0</v>
      </c>
      <c r="AF14" s="324">
        <f t="shared" si="24"/>
        <v>0</v>
      </c>
      <c r="AG14" s="293">
        <f>(2*'[2]Table 5C1T-Northeast'!AI14)+(6*'[20]Table 5C1T-Northeast'!AI14)</f>
        <v>0</v>
      </c>
      <c r="AH14" s="293">
        <f t="shared" si="25"/>
        <v>0</v>
      </c>
      <c r="AI14" s="324">
        <f t="shared" si="6"/>
        <v>0</v>
      </c>
      <c r="AJ14" s="321">
        <f t="shared" si="26"/>
        <v>0</v>
      </c>
      <c r="AK14" s="342">
        <f t="shared" si="27"/>
        <v>0</v>
      </c>
      <c r="AM14" s="286">
        <v>0</v>
      </c>
      <c r="AN14" s="286">
        <f t="shared" si="28"/>
        <v>0</v>
      </c>
      <c r="AO14" s="286">
        <f t="shared" si="7"/>
        <v>0</v>
      </c>
    </row>
    <row r="15" spans="1:41" ht="16.149999999999999" customHeight="1">
      <c r="A15" s="198">
        <v>9</v>
      </c>
      <c r="B15" s="199" t="s">
        <v>81</v>
      </c>
      <c r="C15" s="995">
        <v>0</v>
      </c>
      <c r="D15" s="201">
        <f>+'Table 5C1A-Madison Prep'!D15</f>
        <v>4632.4615072045008</v>
      </c>
      <c r="E15" s="202">
        <f t="shared" si="8"/>
        <v>0</v>
      </c>
      <c r="F15" s="202">
        <f>+'Table 5C1A-Madison Prep'!F15</f>
        <v>744.76</v>
      </c>
      <c r="G15" s="202">
        <f t="shared" si="9"/>
        <v>0</v>
      </c>
      <c r="H15" s="345">
        <f t="shared" si="10"/>
        <v>0</v>
      </c>
      <c r="I15" s="203">
        <f>'[1]Oct midyear Northeast'!K12</f>
        <v>0</v>
      </c>
      <c r="J15" s="203">
        <f>'[1]Feb midyear Northeast'!K12</f>
        <v>0</v>
      </c>
      <c r="K15" s="204">
        <f t="shared" si="11"/>
        <v>0</v>
      </c>
      <c r="L15" s="345">
        <f t="shared" si="12"/>
        <v>0</v>
      </c>
      <c r="M15" s="286">
        <f t="shared" si="4"/>
        <v>0</v>
      </c>
      <c r="N15" s="345">
        <f t="shared" si="13"/>
        <v>0</v>
      </c>
      <c r="O15" s="201">
        <v>0</v>
      </c>
      <c r="P15" s="351">
        <f t="shared" si="14"/>
        <v>0</v>
      </c>
      <c r="Q15" s="203">
        <f>(2*'[2]Table 5C1T-Northeast'!S15)+(6*'[20]Table 5C1T-Northeast'!S15)</f>
        <v>0</v>
      </c>
      <c r="R15" s="203">
        <f t="shared" si="15"/>
        <v>0</v>
      </c>
      <c r="S15" s="351">
        <f t="shared" si="5"/>
        <v>0</v>
      </c>
      <c r="T15" s="351">
        <f t="shared" si="16"/>
        <v>0</v>
      </c>
      <c r="U15" s="287">
        <f>'Table 5C1A-Madison Prep'!U15</f>
        <v>4901</v>
      </c>
      <c r="V15" s="328">
        <f t="shared" si="17"/>
        <v>0</v>
      </c>
      <c r="W15" s="289">
        <f>'[1]Oct midyear Northeast'!E12</f>
        <v>0</v>
      </c>
      <c r="X15" s="290">
        <f t="shared" si="18"/>
        <v>0</v>
      </c>
      <c r="Y15" s="289">
        <f>'[1]Feb midyear Northeast'!E12</f>
        <v>0</v>
      </c>
      <c r="Z15" s="290">
        <f t="shared" si="19"/>
        <v>0</v>
      </c>
      <c r="AA15" s="288">
        <f t="shared" si="20"/>
        <v>0</v>
      </c>
      <c r="AB15" s="324">
        <f t="shared" si="21"/>
        <v>0</v>
      </c>
      <c r="AC15" s="292">
        <f t="shared" si="22"/>
        <v>0</v>
      </c>
      <c r="AD15" s="324">
        <f t="shared" si="23"/>
        <v>0</v>
      </c>
      <c r="AE15" s="293">
        <v>0</v>
      </c>
      <c r="AF15" s="324">
        <f t="shared" si="24"/>
        <v>0</v>
      </c>
      <c r="AG15" s="293">
        <f>(2*'[2]Table 5C1T-Northeast'!AI15)+(6*'[20]Table 5C1T-Northeast'!AI15)</f>
        <v>0</v>
      </c>
      <c r="AH15" s="293">
        <f t="shared" si="25"/>
        <v>0</v>
      </c>
      <c r="AI15" s="324">
        <f t="shared" si="6"/>
        <v>0</v>
      </c>
      <c r="AJ15" s="321">
        <f t="shared" si="26"/>
        <v>0</v>
      </c>
      <c r="AK15" s="342">
        <f t="shared" si="27"/>
        <v>0</v>
      </c>
      <c r="AM15" s="286">
        <v>0</v>
      </c>
      <c r="AN15" s="286">
        <f t="shared" si="28"/>
        <v>0</v>
      </c>
      <c r="AO15" s="286">
        <f t="shared" si="7"/>
        <v>0</v>
      </c>
    </row>
    <row r="16" spans="1:41" ht="16.149999999999999" customHeight="1">
      <c r="A16" s="191">
        <v>10</v>
      </c>
      <c r="B16" s="192" t="s">
        <v>82</v>
      </c>
      <c r="C16" s="996">
        <v>0</v>
      </c>
      <c r="D16" s="194">
        <f>+'Table 5C1A-Madison Prep'!D16</f>
        <v>4384.374733918472</v>
      </c>
      <c r="E16" s="195">
        <f t="shared" si="8"/>
        <v>0</v>
      </c>
      <c r="F16" s="195">
        <f>+'Table 5C1A-Madison Prep'!F16</f>
        <v>608.04000000000008</v>
      </c>
      <c r="G16" s="195">
        <f t="shared" si="9"/>
        <v>0</v>
      </c>
      <c r="H16" s="346">
        <f t="shared" si="10"/>
        <v>0</v>
      </c>
      <c r="I16" s="196">
        <f>'[1]Oct midyear Northeast'!K13</f>
        <v>0</v>
      </c>
      <c r="J16" s="196">
        <f>'[1]Feb midyear Northeast'!K13</f>
        <v>0</v>
      </c>
      <c r="K16" s="197">
        <f t="shared" si="11"/>
        <v>0</v>
      </c>
      <c r="L16" s="346">
        <f t="shared" si="12"/>
        <v>0</v>
      </c>
      <c r="M16" s="296">
        <f t="shared" si="4"/>
        <v>0</v>
      </c>
      <c r="N16" s="346">
        <f t="shared" si="13"/>
        <v>0</v>
      </c>
      <c r="O16" s="194">
        <v>0</v>
      </c>
      <c r="P16" s="352">
        <f t="shared" si="14"/>
        <v>0</v>
      </c>
      <c r="Q16" s="196">
        <f>(2*'[2]Table 5C1T-Northeast'!S16)+(6*'[20]Table 5C1T-Northeast'!S16)</f>
        <v>0</v>
      </c>
      <c r="R16" s="196">
        <f t="shared" si="15"/>
        <v>0</v>
      </c>
      <c r="S16" s="352">
        <f t="shared" si="5"/>
        <v>0</v>
      </c>
      <c r="T16" s="352">
        <f t="shared" si="16"/>
        <v>0</v>
      </c>
      <c r="U16" s="281">
        <f>'Table 5C1A-Madison Prep'!U16</f>
        <v>4619</v>
      </c>
      <c r="V16" s="329">
        <f t="shared" si="17"/>
        <v>0</v>
      </c>
      <c r="W16" s="884">
        <f>'[1]Oct midyear Northeast'!E13</f>
        <v>0</v>
      </c>
      <c r="X16" s="282">
        <f t="shared" si="18"/>
        <v>0</v>
      </c>
      <c r="Y16" s="884">
        <f>'[1]Feb midyear Northeast'!E13</f>
        <v>0</v>
      </c>
      <c r="Z16" s="282">
        <f t="shared" si="19"/>
        <v>0</v>
      </c>
      <c r="AA16" s="283">
        <f t="shared" si="20"/>
        <v>0</v>
      </c>
      <c r="AB16" s="325">
        <f t="shared" si="21"/>
        <v>0</v>
      </c>
      <c r="AC16" s="298">
        <f t="shared" si="22"/>
        <v>0</v>
      </c>
      <c r="AD16" s="325">
        <f t="shared" si="23"/>
        <v>0</v>
      </c>
      <c r="AE16" s="284">
        <v>0</v>
      </c>
      <c r="AF16" s="325">
        <f t="shared" si="24"/>
        <v>0</v>
      </c>
      <c r="AG16" s="284">
        <f>(2*'[2]Table 5C1T-Northeast'!AI16)+(6*'[20]Table 5C1T-Northeast'!AI16)</f>
        <v>0</v>
      </c>
      <c r="AH16" s="284">
        <f t="shared" si="25"/>
        <v>0</v>
      </c>
      <c r="AI16" s="325">
        <f t="shared" si="6"/>
        <v>0</v>
      </c>
      <c r="AJ16" s="338">
        <f t="shared" si="26"/>
        <v>0</v>
      </c>
      <c r="AK16" s="343">
        <f t="shared" si="27"/>
        <v>0</v>
      </c>
      <c r="AM16" s="296">
        <v>0</v>
      </c>
      <c r="AN16" s="296">
        <f t="shared" si="28"/>
        <v>0</v>
      </c>
      <c r="AO16" s="296">
        <f t="shared" si="7"/>
        <v>0</v>
      </c>
    </row>
    <row r="17" spans="1:41" ht="16.149999999999999" customHeight="1">
      <c r="A17" s="205">
        <v>11</v>
      </c>
      <c r="B17" s="206" t="s">
        <v>83</v>
      </c>
      <c r="C17" s="994">
        <v>0</v>
      </c>
      <c r="D17" s="208">
        <f>+'Table 5C1A-Madison Prep'!D17</f>
        <v>7098.5372236353351</v>
      </c>
      <c r="E17" s="209">
        <f t="shared" si="8"/>
        <v>0</v>
      </c>
      <c r="F17" s="209">
        <f>+'Table 5C1A-Madison Prep'!F17</f>
        <v>706.55</v>
      </c>
      <c r="G17" s="209">
        <f t="shared" si="9"/>
        <v>0</v>
      </c>
      <c r="H17" s="344">
        <f t="shared" si="10"/>
        <v>0</v>
      </c>
      <c r="I17" s="210">
        <f>'[1]Oct midyear Northeast'!K14</f>
        <v>0</v>
      </c>
      <c r="J17" s="210">
        <f>'[1]Feb midyear Northeast'!K14</f>
        <v>0</v>
      </c>
      <c r="K17" s="211">
        <f t="shared" si="11"/>
        <v>0</v>
      </c>
      <c r="L17" s="344">
        <f t="shared" si="12"/>
        <v>0</v>
      </c>
      <c r="M17" s="273">
        <f t="shared" si="4"/>
        <v>0</v>
      </c>
      <c r="N17" s="344">
        <f t="shared" si="13"/>
        <v>0</v>
      </c>
      <c r="O17" s="208">
        <v>0</v>
      </c>
      <c r="P17" s="350">
        <f t="shared" si="14"/>
        <v>0</v>
      </c>
      <c r="Q17" s="210">
        <f>(2*'[2]Table 5C1T-Northeast'!S17)+(6*'[20]Table 5C1T-Northeast'!S17)</f>
        <v>0</v>
      </c>
      <c r="R17" s="210">
        <f t="shared" si="15"/>
        <v>0</v>
      </c>
      <c r="S17" s="350">
        <f t="shared" si="5"/>
        <v>0</v>
      </c>
      <c r="T17" s="350">
        <f t="shared" si="16"/>
        <v>0</v>
      </c>
      <c r="U17" s="274">
        <f>'Table 5C1A-Madison Prep'!U17</f>
        <v>3580</v>
      </c>
      <c r="V17" s="327">
        <f t="shared" si="17"/>
        <v>0</v>
      </c>
      <c r="W17" s="883">
        <f>'[1]Oct midyear Northeast'!E14</f>
        <v>0</v>
      </c>
      <c r="X17" s="276">
        <f t="shared" si="18"/>
        <v>0</v>
      </c>
      <c r="Y17" s="883">
        <f>'[1]Feb midyear Northeast'!E14</f>
        <v>0</v>
      </c>
      <c r="Z17" s="276">
        <f t="shared" si="19"/>
        <v>0</v>
      </c>
      <c r="AA17" s="275">
        <f t="shared" si="20"/>
        <v>0</v>
      </c>
      <c r="AB17" s="323">
        <f t="shared" si="21"/>
        <v>0</v>
      </c>
      <c r="AC17" s="278">
        <f t="shared" si="22"/>
        <v>0</v>
      </c>
      <c r="AD17" s="323">
        <f t="shared" si="23"/>
        <v>0</v>
      </c>
      <c r="AE17" s="279">
        <v>0</v>
      </c>
      <c r="AF17" s="323">
        <f t="shared" si="24"/>
        <v>0</v>
      </c>
      <c r="AG17" s="279">
        <f>(2*'[2]Table 5C1T-Northeast'!AI17)+(6*'[20]Table 5C1T-Northeast'!AI17)</f>
        <v>0</v>
      </c>
      <c r="AH17" s="279">
        <f t="shared" si="25"/>
        <v>0</v>
      </c>
      <c r="AI17" s="323">
        <f t="shared" si="6"/>
        <v>0</v>
      </c>
      <c r="AJ17" s="337">
        <f t="shared" si="26"/>
        <v>0</v>
      </c>
      <c r="AK17" s="341">
        <f t="shared" si="27"/>
        <v>0</v>
      </c>
      <c r="AM17" s="273">
        <v>0</v>
      </c>
      <c r="AN17" s="273">
        <f t="shared" si="28"/>
        <v>0</v>
      </c>
      <c r="AO17" s="273">
        <f t="shared" si="7"/>
        <v>0</v>
      </c>
    </row>
    <row r="18" spans="1:41" ht="16.149999999999999" customHeight="1">
      <c r="A18" s="198">
        <v>12</v>
      </c>
      <c r="B18" s="199" t="s">
        <v>84</v>
      </c>
      <c r="C18" s="995">
        <v>0</v>
      </c>
      <c r="D18" s="201">
        <f>+'Table 5C1A-Madison Prep'!D18</f>
        <v>1666.6040983606558</v>
      </c>
      <c r="E18" s="202">
        <f t="shared" si="8"/>
        <v>0</v>
      </c>
      <c r="F18" s="202">
        <f>+'Table 5C1A-Madison Prep'!F18</f>
        <v>1063.31</v>
      </c>
      <c r="G18" s="202">
        <f t="shared" si="9"/>
        <v>0</v>
      </c>
      <c r="H18" s="345">
        <f t="shared" si="10"/>
        <v>0</v>
      </c>
      <c r="I18" s="203">
        <f>'[1]Oct midyear Northeast'!K15</f>
        <v>0</v>
      </c>
      <c r="J18" s="203">
        <f>'[1]Feb midyear Northeast'!K15</f>
        <v>0</v>
      </c>
      <c r="K18" s="204">
        <f t="shared" si="11"/>
        <v>0</v>
      </c>
      <c r="L18" s="345">
        <f t="shared" si="12"/>
        <v>0</v>
      </c>
      <c r="M18" s="286">
        <f t="shared" si="4"/>
        <v>0</v>
      </c>
      <c r="N18" s="345">
        <f t="shared" si="13"/>
        <v>0</v>
      </c>
      <c r="O18" s="201">
        <v>0</v>
      </c>
      <c r="P18" s="351">
        <f t="shared" si="14"/>
        <v>0</v>
      </c>
      <c r="Q18" s="203">
        <f>(2*'[2]Table 5C1T-Northeast'!S18)+(6*'[20]Table 5C1T-Northeast'!S18)</f>
        <v>0</v>
      </c>
      <c r="R18" s="203">
        <f t="shared" si="15"/>
        <v>0</v>
      </c>
      <c r="S18" s="351">
        <f t="shared" si="5"/>
        <v>0</v>
      </c>
      <c r="T18" s="351">
        <f t="shared" si="16"/>
        <v>0</v>
      </c>
      <c r="U18" s="287">
        <f>'Table 5C1A-Madison Prep'!U18</f>
        <v>8094</v>
      </c>
      <c r="V18" s="328">
        <f t="shared" si="17"/>
        <v>0</v>
      </c>
      <c r="W18" s="289">
        <f>'[1]Oct midyear Northeast'!E15</f>
        <v>0</v>
      </c>
      <c r="X18" s="290">
        <f t="shared" si="18"/>
        <v>0</v>
      </c>
      <c r="Y18" s="289">
        <f>'[1]Feb midyear Northeast'!E15</f>
        <v>0</v>
      </c>
      <c r="Z18" s="290">
        <f t="shared" si="19"/>
        <v>0</v>
      </c>
      <c r="AA18" s="288">
        <f t="shared" si="20"/>
        <v>0</v>
      </c>
      <c r="AB18" s="324">
        <f t="shared" si="21"/>
        <v>0</v>
      </c>
      <c r="AC18" s="292">
        <f t="shared" si="22"/>
        <v>0</v>
      </c>
      <c r="AD18" s="324">
        <f t="shared" si="23"/>
        <v>0</v>
      </c>
      <c r="AE18" s="293">
        <v>0</v>
      </c>
      <c r="AF18" s="324">
        <f t="shared" si="24"/>
        <v>0</v>
      </c>
      <c r="AG18" s="293">
        <f>(2*'[2]Table 5C1T-Northeast'!AI18)+(6*'[20]Table 5C1T-Northeast'!AI18)</f>
        <v>0</v>
      </c>
      <c r="AH18" s="293">
        <f t="shared" si="25"/>
        <v>0</v>
      </c>
      <c r="AI18" s="324">
        <f t="shared" si="6"/>
        <v>0</v>
      </c>
      <c r="AJ18" s="321">
        <f t="shared" si="26"/>
        <v>0</v>
      </c>
      <c r="AK18" s="342">
        <f t="shared" si="27"/>
        <v>0</v>
      </c>
      <c r="AM18" s="286">
        <v>0</v>
      </c>
      <c r="AN18" s="286">
        <f t="shared" si="28"/>
        <v>0</v>
      </c>
      <c r="AO18" s="286">
        <f t="shared" si="7"/>
        <v>0</v>
      </c>
    </row>
    <row r="19" spans="1:41" ht="16.149999999999999" customHeight="1">
      <c r="A19" s="198">
        <v>13</v>
      </c>
      <c r="B19" s="199" t="s">
        <v>85</v>
      </c>
      <c r="C19" s="995">
        <v>0</v>
      </c>
      <c r="D19" s="201">
        <f>+'Table 5C1A-Madison Prep'!D19</f>
        <v>6433.6297758332212</v>
      </c>
      <c r="E19" s="202">
        <f t="shared" si="8"/>
        <v>0</v>
      </c>
      <c r="F19" s="202">
        <f>+'Table 5C1A-Madison Prep'!F19</f>
        <v>749.43000000000006</v>
      </c>
      <c r="G19" s="202">
        <f t="shared" si="9"/>
        <v>0</v>
      </c>
      <c r="H19" s="345">
        <f t="shared" si="10"/>
        <v>0</v>
      </c>
      <c r="I19" s="203">
        <f>'[1]Oct midyear Northeast'!K16</f>
        <v>0</v>
      </c>
      <c r="J19" s="203">
        <f>'[1]Feb midyear Northeast'!K16</f>
        <v>0</v>
      </c>
      <c r="K19" s="204">
        <f t="shared" si="11"/>
        <v>0</v>
      </c>
      <c r="L19" s="345">
        <f t="shared" si="12"/>
        <v>0</v>
      </c>
      <c r="M19" s="286">
        <f t="shared" si="4"/>
        <v>0</v>
      </c>
      <c r="N19" s="345">
        <f t="shared" si="13"/>
        <v>0</v>
      </c>
      <c r="O19" s="201">
        <v>0</v>
      </c>
      <c r="P19" s="351">
        <f t="shared" si="14"/>
        <v>0</v>
      </c>
      <c r="Q19" s="203">
        <f>(2*'[2]Table 5C1T-Northeast'!S19)+(6*'[20]Table 5C1T-Northeast'!S19)</f>
        <v>0</v>
      </c>
      <c r="R19" s="203">
        <f t="shared" si="15"/>
        <v>0</v>
      </c>
      <c r="S19" s="351">
        <f t="shared" si="5"/>
        <v>0</v>
      </c>
      <c r="T19" s="351">
        <f t="shared" si="16"/>
        <v>0</v>
      </c>
      <c r="U19" s="287">
        <f>'Table 5C1A-Madison Prep'!U19</f>
        <v>2762</v>
      </c>
      <c r="V19" s="328">
        <f t="shared" si="17"/>
        <v>0</v>
      </c>
      <c r="W19" s="289">
        <f>'[1]Oct midyear Northeast'!E16</f>
        <v>0</v>
      </c>
      <c r="X19" s="290">
        <f t="shared" si="18"/>
        <v>0</v>
      </c>
      <c r="Y19" s="289">
        <f>'[1]Feb midyear Northeast'!E16</f>
        <v>0</v>
      </c>
      <c r="Z19" s="290">
        <f t="shared" si="19"/>
        <v>0</v>
      </c>
      <c r="AA19" s="288">
        <f t="shared" si="20"/>
        <v>0</v>
      </c>
      <c r="AB19" s="324">
        <f t="shared" si="21"/>
        <v>0</v>
      </c>
      <c r="AC19" s="292">
        <f t="shared" si="22"/>
        <v>0</v>
      </c>
      <c r="AD19" s="324">
        <f t="shared" si="23"/>
        <v>0</v>
      </c>
      <c r="AE19" s="293">
        <v>0</v>
      </c>
      <c r="AF19" s="324">
        <f t="shared" si="24"/>
        <v>0</v>
      </c>
      <c r="AG19" s="293">
        <f>(2*'[2]Table 5C1T-Northeast'!AI19)+(6*'[20]Table 5C1T-Northeast'!AI19)</f>
        <v>0</v>
      </c>
      <c r="AH19" s="293">
        <f t="shared" si="25"/>
        <v>0</v>
      </c>
      <c r="AI19" s="324">
        <f t="shared" si="6"/>
        <v>0</v>
      </c>
      <c r="AJ19" s="321">
        <f t="shared" si="26"/>
        <v>0</v>
      </c>
      <c r="AK19" s="342">
        <f t="shared" si="27"/>
        <v>0</v>
      </c>
      <c r="AM19" s="286">
        <v>0</v>
      </c>
      <c r="AN19" s="286">
        <f t="shared" si="28"/>
        <v>0</v>
      </c>
      <c r="AO19" s="286">
        <f t="shared" si="7"/>
        <v>0</v>
      </c>
    </row>
    <row r="20" spans="1:41" ht="16.149999999999999" customHeight="1">
      <c r="A20" s="198">
        <v>14</v>
      </c>
      <c r="B20" s="199" t="s">
        <v>86</v>
      </c>
      <c r="C20" s="995">
        <v>0</v>
      </c>
      <c r="D20" s="201">
        <f>+'Table 5C1A-Madison Prep'!D20</f>
        <v>5334.9509412500001</v>
      </c>
      <c r="E20" s="202">
        <f t="shared" si="8"/>
        <v>0</v>
      </c>
      <c r="F20" s="202">
        <f>+'Table 5C1A-Madison Prep'!F20</f>
        <v>809.9799999999999</v>
      </c>
      <c r="G20" s="202">
        <f t="shared" si="9"/>
        <v>0</v>
      </c>
      <c r="H20" s="345">
        <f t="shared" si="10"/>
        <v>0</v>
      </c>
      <c r="I20" s="203">
        <f>'[1]Oct midyear Northeast'!K17</f>
        <v>503884.33718249999</v>
      </c>
      <c r="J20" s="203">
        <f>'[1]Feb midyear Northeast'!K17</f>
        <v>-9217.3964118749991</v>
      </c>
      <c r="K20" s="204">
        <f t="shared" si="11"/>
        <v>494666.94077062502</v>
      </c>
      <c r="L20" s="345">
        <f t="shared" si="12"/>
        <v>494666.94077062502</v>
      </c>
      <c r="M20" s="286">
        <f t="shared" si="4"/>
        <v>-1236.6673519265626</v>
      </c>
      <c r="N20" s="345">
        <f t="shared" si="13"/>
        <v>493430.27341869846</v>
      </c>
      <c r="O20" s="201">
        <v>0</v>
      </c>
      <c r="P20" s="351">
        <f t="shared" si="14"/>
        <v>493430.27341869846</v>
      </c>
      <c r="Q20" s="203">
        <f>(2*'[2]Table 5C1T-Northeast'!S20)+(6*'[20]Table 5C1T-Northeast'!S20)</f>
        <v>341624</v>
      </c>
      <c r="R20" s="203">
        <f t="shared" si="15"/>
        <v>151806.27341869846</v>
      </c>
      <c r="S20" s="351">
        <f t="shared" si="5"/>
        <v>37952</v>
      </c>
      <c r="T20" s="351">
        <f t="shared" si="16"/>
        <v>493430.27341869846</v>
      </c>
      <c r="U20" s="287">
        <f>'Table 5C1A-Madison Prep'!U20</f>
        <v>4171</v>
      </c>
      <c r="V20" s="328">
        <f t="shared" si="17"/>
        <v>0</v>
      </c>
      <c r="W20" s="289">
        <f>'[1]Oct midyear Northeast'!E17</f>
        <v>82</v>
      </c>
      <c r="X20" s="290">
        <f t="shared" si="18"/>
        <v>342022</v>
      </c>
      <c r="Y20" s="289">
        <f>'[1]Feb midyear Northeast'!E17</f>
        <v>-3</v>
      </c>
      <c r="Z20" s="290">
        <f t="shared" si="19"/>
        <v>-6256.5</v>
      </c>
      <c r="AA20" s="288">
        <f t="shared" si="20"/>
        <v>335765.5</v>
      </c>
      <c r="AB20" s="324">
        <f t="shared" si="21"/>
        <v>335765.5</v>
      </c>
      <c r="AC20" s="292">
        <f t="shared" si="22"/>
        <v>-839.41375000000005</v>
      </c>
      <c r="AD20" s="324">
        <f t="shared" si="23"/>
        <v>334926.08624999999</v>
      </c>
      <c r="AE20" s="293">
        <v>0</v>
      </c>
      <c r="AF20" s="324">
        <f t="shared" si="24"/>
        <v>334926.08624999999</v>
      </c>
      <c r="AG20" s="293">
        <f>(2*'[2]Table 5C1T-Northeast'!AI20)+(6*'[20]Table 5C1T-Northeast'!AI20)</f>
        <v>233772</v>
      </c>
      <c r="AH20" s="293">
        <f t="shared" si="25"/>
        <v>101154.08624999999</v>
      </c>
      <c r="AI20" s="324">
        <f t="shared" si="6"/>
        <v>25289</v>
      </c>
      <c r="AJ20" s="321">
        <f t="shared" si="26"/>
        <v>828356.35966869839</v>
      </c>
      <c r="AK20" s="342">
        <f t="shared" si="27"/>
        <v>63241</v>
      </c>
      <c r="AM20" s="286">
        <v>-841</v>
      </c>
      <c r="AN20" s="286">
        <f t="shared" si="28"/>
        <v>-839.41375000000005</v>
      </c>
      <c r="AO20" s="286">
        <f t="shared" si="7"/>
        <v>1.58624999999995</v>
      </c>
    </row>
    <row r="21" spans="1:41" ht="16.149999999999999" customHeight="1">
      <c r="A21" s="191">
        <v>15</v>
      </c>
      <c r="B21" s="192" t="s">
        <v>87</v>
      </c>
      <c r="C21" s="996">
        <v>0</v>
      </c>
      <c r="D21" s="194">
        <f>+'Table 5C1A-Madison Prep'!D21</f>
        <v>5749.8285214059952</v>
      </c>
      <c r="E21" s="195">
        <f t="shared" si="8"/>
        <v>0</v>
      </c>
      <c r="F21" s="195">
        <f>+'Table 5C1A-Madison Prep'!F21</f>
        <v>553.79999999999995</v>
      </c>
      <c r="G21" s="195">
        <f t="shared" si="9"/>
        <v>0</v>
      </c>
      <c r="H21" s="346">
        <f t="shared" si="10"/>
        <v>0</v>
      </c>
      <c r="I21" s="196">
        <f>'[1]Oct midyear Northeast'!K18</f>
        <v>0</v>
      </c>
      <c r="J21" s="196">
        <f>'[1]Feb midyear Northeast'!K18</f>
        <v>0</v>
      </c>
      <c r="K21" s="197">
        <f t="shared" si="11"/>
        <v>0</v>
      </c>
      <c r="L21" s="346">
        <f t="shared" si="12"/>
        <v>0</v>
      </c>
      <c r="M21" s="296">
        <f t="shared" si="4"/>
        <v>0</v>
      </c>
      <c r="N21" s="346">
        <f t="shared" si="13"/>
        <v>0</v>
      </c>
      <c r="O21" s="194">
        <v>0</v>
      </c>
      <c r="P21" s="352">
        <f t="shared" si="14"/>
        <v>0</v>
      </c>
      <c r="Q21" s="196">
        <f>(2*'[2]Table 5C1T-Northeast'!S21)+(6*'[20]Table 5C1T-Northeast'!S21)</f>
        <v>0</v>
      </c>
      <c r="R21" s="196">
        <f t="shared" si="15"/>
        <v>0</v>
      </c>
      <c r="S21" s="352">
        <f t="shared" si="5"/>
        <v>0</v>
      </c>
      <c r="T21" s="352">
        <f t="shared" si="16"/>
        <v>0</v>
      </c>
      <c r="U21" s="281">
        <f>'Table 5C1A-Madison Prep'!U21</f>
        <v>2880</v>
      </c>
      <c r="V21" s="329">
        <f t="shared" si="17"/>
        <v>0</v>
      </c>
      <c r="W21" s="884">
        <f>'[1]Oct midyear Northeast'!E18</f>
        <v>0</v>
      </c>
      <c r="X21" s="282">
        <f t="shared" si="18"/>
        <v>0</v>
      </c>
      <c r="Y21" s="884">
        <f>'[1]Feb midyear Northeast'!E18</f>
        <v>0</v>
      </c>
      <c r="Z21" s="282">
        <f t="shared" si="19"/>
        <v>0</v>
      </c>
      <c r="AA21" s="283">
        <f t="shared" si="20"/>
        <v>0</v>
      </c>
      <c r="AB21" s="325">
        <f t="shared" si="21"/>
        <v>0</v>
      </c>
      <c r="AC21" s="298">
        <f t="shared" si="22"/>
        <v>0</v>
      </c>
      <c r="AD21" s="325">
        <f t="shared" si="23"/>
        <v>0</v>
      </c>
      <c r="AE21" s="284">
        <v>0</v>
      </c>
      <c r="AF21" s="325">
        <f t="shared" si="24"/>
        <v>0</v>
      </c>
      <c r="AG21" s="284">
        <f>(2*'[2]Table 5C1T-Northeast'!AI21)+(6*'[20]Table 5C1T-Northeast'!AI21)</f>
        <v>0</v>
      </c>
      <c r="AH21" s="284">
        <f t="shared" si="25"/>
        <v>0</v>
      </c>
      <c r="AI21" s="325">
        <f t="shared" si="6"/>
        <v>0</v>
      </c>
      <c r="AJ21" s="338">
        <f t="shared" si="26"/>
        <v>0</v>
      </c>
      <c r="AK21" s="343">
        <f t="shared" si="27"/>
        <v>0</v>
      </c>
      <c r="AM21" s="296">
        <v>0</v>
      </c>
      <c r="AN21" s="296">
        <f t="shared" si="28"/>
        <v>0</v>
      </c>
      <c r="AO21" s="296">
        <f t="shared" si="7"/>
        <v>0</v>
      </c>
    </row>
    <row r="22" spans="1:41" ht="16.149999999999999" customHeight="1">
      <c r="A22" s="205">
        <v>16</v>
      </c>
      <c r="B22" s="206" t="s">
        <v>88</v>
      </c>
      <c r="C22" s="994">
        <v>0</v>
      </c>
      <c r="D22" s="208">
        <f>+'Table 5C1A-Madison Prep'!D22</f>
        <v>1980.2494354342025</v>
      </c>
      <c r="E22" s="209">
        <f t="shared" si="8"/>
        <v>0</v>
      </c>
      <c r="F22" s="209">
        <f>+'Table 5C1A-Madison Prep'!F22</f>
        <v>686.73</v>
      </c>
      <c r="G22" s="209">
        <f t="shared" si="9"/>
        <v>0</v>
      </c>
      <c r="H22" s="344">
        <f t="shared" si="10"/>
        <v>0</v>
      </c>
      <c r="I22" s="210">
        <f>'[1]Oct midyear Northeast'!K19</f>
        <v>0</v>
      </c>
      <c r="J22" s="210">
        <f>'[1]Feb midyear Northeast'!K19</f>
        <v>0</v>
      </c>
      <c r="K22" s="211">
        <f t="shared" si="11"/>
        <v>0</v>
      </c>
      <c r="L22" s="344">
        <f t="shared" si="12"/>
        <v>0</v>
      </c>
      <c r="M22" s="273">
        <f t="shared" si="4"/>
        <v>0</v>
      </c>
      <c r="N22" s="344">
        <f t="shared" si="13"/>
        <v>0</v>
      </c>
      <c r="O22" s="208">
        <v>0</v>
      </c>
      <c r="P22" s="350">
        <f t="shared" si="14"/>
        <v>0</v>
      </c>
      <c r="Q22" s="210">
        <f>(2*'[2]Table 5C1T-Northeast'!S22)+(6*'[20]Table 5C1T-Northeast'!S22)</f>
        <v>0</v>
      </c>
      <c r="R22" s="210">
        <f t="shared" si="15"/>
        <v>0</v>
      </c>
      <c r="S22" s="350">
        <f t="shared" si="5"/>
        <v>0</v>
      </c>
      <c r="T22" s="350">
        <f t="shared" si="16"/>
        <v>0</v>
      </c>
      <c r="U22" s="274">
        <f>'Table 5C1A-Madison Prep'!U22</f>
        <v>13021</v>
      </c>
      <c r="V22" s="327">
        <f t="shared" si="17"/>
        <v>0</v>
      </c>
      <c r="W22" s="883">
        <f>'[1]Oct midyear Northeast'!E19</f>
        <v>0</v>
      </c>
      <c r="X22" s="276">
        <f t="shared" si="18"/>
        <v>0</v>
      </c>
      <c r="Y22" s="883">
        <f>'[1]Feb midyear Northeast'!E19</f>
        <v>0</v>
      </c>
      <c r="Z22" s="276">
        <f t="shared" si="19"/>
        <v>0</v>
      </c>
      <c r="AA22" s="275">
        <f t="shared" si="20"/>
        <v>0</v>
      </c>
      <c r="AB22" s="323">
        <f t="shared" si="21"/>
        <v>0</v>
      </c>
      <c r="AC22" s="278">
        <f t="shared" si="22"/>
        <v>0</v>
      </c>
      <c r="AD22" s="323">
        <f t="shared" si="23"/>
        <v>0</v>
      </c>
      <c r="AE22" s="279">
        <v>0</v>
      </c>
      <c r="AF22" s="323">
        <f t="shared" si="24"/>
        <v>0</v>
      </c>
      <c r="AG22" s="279">
        <f>(2*'[2]Table 5C1T-Northeast'!AI22)+(6*'[20]Table 5C1T-Northeast'!AI22)</f>
        <v>0</v>
      </c>
      <c r="AH22" s="279">
        <f t="shared" si="25"/>
        <v>0</v>
      </c>
      <c r="AI22" s="323">
        <f t="shared" si="6"/>
        <v>0</v>
      </c>
      <c r="AJ22" s="337">
        <f t="shared" si="26"/>
        <v>0</v>
      </c>
      <c r="AK22" s="341">
        <f t="shared" si="27"/>
        <v>0</v>
      </c>
      <c r="AM22" s="273">
        <v>0</v>
      </c>
      <c r="AN22" s="273">
        <f t="shared" si="28"/>
        <v>0</v>
      </c>
      <c r="AO22" s="273">
        <f t="shared" si="7"/>
        <v>0</v>
      </c>
    </row>
    <row r="23" spans="1:41" ht="16.149999999999999" customHeight="1">
      <c r="A23" s="198">
        <v>17</v>
      </c>
      <c r="B23" s="199" t="s">
        <v>89</v>
      </c>
      <c r="C23" s="995">
        <v>0</v>
      </c>
      <c r="D23" s="201">
        <f>+'Table 5C1A-Madison Prep'!D23</f>
        <v>3363.5980368254495</v>
      </c>
      <c r="E23" s="202">
        <f t="shared" si="8"/>
        <v>0</v>
      </c>
      <c r="F23" s="202">
        <f>+'Table 5C1A-Madison Prep'!F23</f>
        <v>801.47762416806802</v>
      </c>
      <c r="G23" s="202">
        <f t="shared" si="9"/>
        <v>0</v>
      </c>
      <c r="H23" s="345">
        <f t="shared" si="10"/>
        <v>0</v>
      </c>
      <c r="I23" s="203">
        <f>'[1]Oct midyear Northeast'!K20</f>
        <v>0</v>
      </c>
      <c r="J23" s="203">
        <f>'[1]Feb midyear Northeast'!K20</f>
        <v>0</v>
      </c>
      <c r="K23" s="204">
        <f t="shared" si="11"/>
        <v>0</v>
      </c>
      <c r="L23" s="345">
        <f t="shared" si="12"/>
        <v>0</v>
      </c>
      <c r="M23" s="286">
        <f t="shared" si="4"/>
        <v>0</v>
      </c>
      <c r="N23" s="345">
        <f t="shared" si="13"/>
        <v>0</v>
      </c>
      <c r="O23" s="201">
        <v>0</v>
      </c>
      <c r="P23" s="351">
        <f t="shared" si="14"/>
        <v>0</v>
      </c>
      <c r="Q23" s="203">
        <f>(2*'[2]Table 5C1T-Northeast'!S23)+(6*'[20]Table 5C1T-Northeast'!S23)</f>
        <v>0</v>
      </c>
      <c r="R23" s="203">
        <f t="shared" si="15"/>
        <v>0</v>
      </c>
      <c r="S23" s="351">
        <f t="shared" si="5"/>
        <v>0</v>
      </c>
      <c r="T23" s="351">
        <f t="shared" si="16"/>
        <v>0</v>
      </c>
      <c r="U23" s="287">
        <f>'Table 5C1A-Madison Prep'!U23</f>
        <v>6954</v>
      </c>
      <c r="V23" s="328">
        <f t="shared" si="17"/>
        <v>0</v>
      </c>
      <c r="W23" s="289">
        <f>'[1]Oct midyear Northeast'!E20</f>
        <v>0</v>
      </c>
      <c r="X23" s="290">
        <f t="shared" si="18"/>
        <v>0</v>
      </c>
      <c r="Y23" s="289">
        <f>'[1]Feb midyear Northeast'!E20</f>
        <v>0</v>
      </c>
      <c r="Z23" s="290">
        <f t="shared" si="19"/>
        <v>0</v>
      </c>
      <c r="AA23" s="288">
        <f t="shared" si="20"/>
        <v>0</v>
      </c>
      <c r="AB23" s="324">
        <f t="shared" si="21"/>
        <v>0</v>
      </c>
      <c r="AC23" s="292">
        <f t="shared" si="22"/>
        <v>0</v>
      </c>
      <c r="AD23" s="324">
        <f t="shared" si="23"/>
        <v>0</v>
      </c>
      <c r="AE23" s="293">
        <v>0</v>
      </c>
      <c r="AF23" s="324">
        <f t="shared" si="24"/>
        <v>0</v>
      </c>
      <c r="AG23" s="293">
        <f>(2*'[2]Table 5C1T-Northeast'!AI23)+(6*'[20]Table 5C1T-Northeast'!AI23)</f>
        <v>0</v>
      </c>
      <c r="AH23" s="293">
        <f t="shared" si="25"/>
        <v>0</v>
      </c>
      <c r="AI23" s="324">
        <f t="shared" si="6"/>
        <v>0</v>
      </c>
      <c r="AJ23" s="321">
        <f t="shared" si="26"/>
        <v>0</v>
      </c>
      <c r="AK23" s="342">
        <f t="shared" si="27"/>
        <v>0</v>
      </c>
      <c r="AM23" s="286">
        <v>0</v>
      </c>
      <c r="AN23" s="286">
        <f t="shared" si="28"/>
        <v>0</v>
      </c>
      <c r="AO23" s="286">
        <f t="shared" si="7"/>
        <v>0</v>
      </c>
    </row>
    <row r="24" spans="1:41" ht="16.149999999999999" customHeight="1">
      <c r="A24" s="198">
        <v>18</v>
      </c>
      <c r="B24" s="199" t="s">
        <v>90</v>
      </c>
      <c r="C24" s="995">
        <v>0</v>
      </c>
      <c r="D24" s="201">
        <f>+'Table 5C1A-Madison Prep'!D24</f>
        <v>6354.5533500475731</v>
      </c>
      <c r="E24" s="202">
        <f t="shared" si="8"/>
        <v>0</v>
      </c>
      <c r="F24" s="202">
        <f>+'Table 5C1A-Madison Prep'!F24</f>
        <v>845.94999999999993</v>
      </c>
      <c r="G24" s="202">
        <f t="shared" si="9"/>
        <v>0</v>
      </c>
      <c r="H24" s="345">
        <f t="shared" si="10"/>
        <v>0</v>
      </c>
      <c r="I24" s="203">
        <f>'[1]Oct midyear Northeast'!K21</f>
        <v>0</v>
      </c>
      <c r="J24" s="203">
        <f>'[1]Feb midyear Northeast'!K21</f>
        <v>0</v>
      </c>
      <c r="K24" s="204">
        <f t="shared" si="11"/>
        <v>0</v>
      </c>
      <c r="L24" s="345">
        <f t="shared" si="12"/>
        <v>0</v>
      </c>
      <c r="M24" s="286">
        <f t="shared" si="4"/>
        <v>0</v>
      </c>
      <c r="N24" s="345">
        <f t="shared" si="13"/>
        <v>0</v>
      </c>
      <c r="O24" s="201">
        <v>0</v>
      </c>
      <c r="P24" s="351">
        <f t="shared" si="14"/>
        <v>0</v>
      </c>
      <c r="Q24" s="203">
        <f>(2*'[2]Table 5C1T-Northeast'!S24)+(6*'[20]Table 5C1T-Northeast'!S24)</f>
        <v>0</v>
      </c>
      <c r="R24" s="203">
        <f t="shared" si="15"/>
        <v>0</v>
      </c>
      <c r="S24" s="351">
        <f t="shared" si="5"/>
        <v>0</v>
      </c>
      <c r="T24" s="351">
        <f t="shared" si="16"/>
        <v>0</v>
      </c>
      <c r="U24" s="287">
        <f>'Table 5C1A-Madison Prep'!U24</f>
        <v>2442</v>
      </c>
      <c r="V24" s="328">
        <f t="shared" si="17"/>
        <v>0</v>
      </c>
      <c r="W24" s="289">
        <f>'[1]Oct midyear Northeast'!E21</f>
        <v>0</v>
      </c>
      <c r="X24" s="290">
        <f t="shared" si="18"/>
        <v>0</v>
      </c>
      <c r="Y24" s="289">
        <f>'[1]Feb midyear Northeast'!E21</f>
        <v>0</v>
      </c>
      <c r="Z24" s="290">
        <f t="shared" si="19"/>
        <v>0</v>
      </c>
      <c r="AA24" s="288">
        <f t="shared" si="20"/>
        <v>0</v>
      </c>
      <c r="AB24" s="324">
        <f t="shared" si="21"/>
        <v>0</v>
      </c>
      <c r="AC24" s="292">
        <f t="shared" si="22"/>
        <v>0</v>
      </c>
      <c r="AD24" s="324">
        <f t="shared" si="23"/>
        <v>0</v>
      </c>
      <c r="AE24" s="293">
        <v>0</v>
      </c>
      <c r="AF24" s="324">
        <f t="shared" si="24"/>
        <v>0</v>
      </c>
      <c r="AG24" s="293">
        <f>(2*'[2]Table 5C1T-Northeast'!AI24)+(6*'[20]Table 5C1T-Northeast'!AI24)</f>
        <v>0</v>
      </c>
      <c r="AH24" s="293">
        <f t="shared" si="25"/>
        <v>0</v>
      </c>
      <c r="AI24" s="324">
        <f t="shared" si="6"/>
        <v>0</v>
      </c>
      <c r="AJ24" s="321">
        <f t="shared" si="26"/>
        <v>0</v>
      </c>
      <c r="AK24" s="342">
        <f t="shared" si="27"/>
        <v>0</v>
      </c>
      <c r="AM24" s="286">
        <v>0</v>
      </c>
      <c r="AN24" s="286">
        <f t="shared" si="28"/>
        <v>0</v>
      </c>
      <c r="AO24" s="286">
        <f t="shared" si="7"/>
        <v>0</v>
      </c>
    </row>
    <row r="25" spans="1:41" ht="16.149999999999999" customHeight="1">
      <c r="A25" s="198">
        <v>19</v>
      </c>
      <c r="B25" s="199" t="s">
        <v>91</v>
      </c>
      <c r="C25" s="995">
        <v>0</v>
      </c>
      <c r="D25" s="201">
        <f>+'Table 5C1A-Madison Prep'!D25</f>
        <v>5314.3921869460446</v>
      </c>
      <c r="E25" s="202">
        <f t="shared" si="8"/>
        <v>0</v>
      </c>
      <c r="F25" s="202">
        <f>+'Table 5C1A-Madison Prep'!F25</f>
        <v>905.43</v>
      </c>
      <c r="G25" s="202">
        <f t="shared" si="9"/>
        <v>0</v>
      </c>
      <c r="H25" s="345">
        <f t="shared" si="10"/>
        <v>0</v>
      </c>
      <c r="I25" s="203">
        <f>'[1]Oct midyear Northeast'!K22</f>
        <v>0</v>
      </c>
      <c r="J25" s="203">
        <f>'[1]Feb midyear Northeast'!K22</f>
        <v>0</v>
      </c>
      <c r="K25" s="204">
        <f t="shared" si="11"/>
        <v>0</v>
      </c>
      <c r="L25" s="345">
        <f t="shared" si="12"/>
        <v>0</v>
      </c>
      <c r="M25" s="286">
        <f t="shared" si="4"/>
        <v>0</v>
      </c>
      <c r="N25" s="345">
        <f t="shared" si="13"/>
        <v>0</v>
      </c>
      <c r="O25" s="201">
        <v>0</v>
      </c>
      <c r="P25" s="351">
        <f t="shared" si="14"/>
        <v>0</v>
      </c>
      <c r="Q25" s="203">
        <f>(2*'[2]Table 5C1T-Northeast'!S25)+(6*'[20]Table 5C1T-Northeast'!S25)</f>
        <v>0</v>
      </c>
      <c r="R25" s="203">
        <f t="shared" si="15"/>
        <v>0</v>
      </c>
      <c r="S25" s="351">
        <f t="shared" si="5"/>
        <v>0</v>
      </c>
      <c r="T25" s="351">
        <f t="shared" si="16"/>
        <v>0</v>
      </c>
      <c r="U25" s="287">
        <f>'Table 5C1A-Madison Prep'!U25</f>
        <v>3051</v>
      </c>
      <c r="V25" s="328">
        <f t="shared" si="17"/>
        <v>0</v>
      </c>
      <c r="W25" s="289">
        <f>'[1]Oct midyear Northeast'!E22</f>
        <v>0</v>
      </c>
      <c r="X25" s="290">
        <f t="shared" si="18"/>
        <v>0</v>
      </c>
      <c r="Y25" s="289">
        <f>'[1]Feb midyear Northeast'!E22</f>
        <v>0</v>
      </c>
      <c r="Z25" s="290">
        <f t="shared" si="19"/>
        <v>0</v>
      </c>
      <c r="AA25" s="288">
        <f t="shared" si="20"/>
        <v>0</v>
      </c>
      <c r="AB25" s="324">
        <f t="shared" si="21"/>
        <v>0</v>
      </c>
      <c r="AC25" s="292">
        <f t="shared" si="22"/>
        <v>0</v>
      </c>
      <c r="AD25" s="324">
        <f t="shared" si="23"/>
        <v>0</v>
      </c>
      <c r="AE25" s="293">
        <v>0</v>
      </c>
      <c r="AF25" s="324">
        <f t="shared" si="24"/>
        <v>0</v>
      </c>
      <c r="AG25" s="293">
        <f>(2*'[2]Table 5C1T-Northeast'!AI25)+(6*'[20]Table 5C1T-Northeast'!AI25)</f>
        <v>0</v>
      </c>
      <c r="AH25" s="293">
        <f t="shared" si="25"/>
        <v>0</v>
      </c>
      <c r="AI25" s="324">
        <f t="shared" si="6"/>
        <v>0</v>
      </c>
      <c r="AJ25" s="321">
        <f t="shared" si="26"/>
        <v>0</v>
      </c>
      <c r="AK25" s="342">
        <f t="shared" si="27"/>
        <v>0</v>
      </c>
      <c r="AM25" s="286">
        <v>0</v>
      </c>
      <c r="AN25" s="286">
        <f t="shared" si="28"/>
        <v>0</v>
      </c>
      <c r="AO25" s="286">
        <f t="shared" si="7"/>
        <v>0</v>
      </c>
    </row>
    <row r="26" spans="1:41" ht="16.149999999999999" customHeight="1">
      <c r="A26" s="191">
        <v>20</v>
      </c>
      <c r="B26" s="192" t="s">
        <v>92</v>
      </c>
      <c r="C26" s="996">
        <v>0</v>
      </c>
      <c r="D26" s="194">
        <f>+'Table 5C1A-Madison Prep'!D26</f>
        <v>5278.5201565562011</v>
      </c>
      <c r="E26" s="195">
        <f t="shared" si="8"/>
        <v>0</v>
      </c>
      <c r="F26" s="195">
        <f>+'Table 5C1A-Madison Prep'!F26</f>
        <v>586.16999999999996</v>
      </c>
      <c r="G26" s="195">
        <f t="shared" si="9"/>
        <v>0</v>
      </c>
      <c r="H26" s="346">
        <f t="shared" si="10"/>
        <v>0</v>
      </c>
      <c r="I26" s="196">
        <f>'[1]Oct midyear Northeast'!K23</f>
        <v>0</v>
      </c>
      <c r="J26" s="196">
        <f>'[1]Feb midyear Northeast'!K23</f>
        <v>0</v>
      </c>
      <c r="K26" s="197">
        <f t="shared" si="11"/>
        <v>0</v>
      </c>
      <c r="L26" s="346">
        <f t="shared" si="12"/>
        <v>0</v>
      </c>
      <c r="M26" s="296">
        <f t="shared" si="4"/>
        <v>0</v>
      </c>
      <c r="N26" s="346">
        <f t="shared" si="13"/>
        <v>0</v>
      </c>
      <c r="O26" s="194">
        <v>0</v>
      </c>
      <c r="P26" s="352">
        <f t="shared" si="14"/>
        <v>0</v>
      </c>
      <c r="Q26" s="196">
        <f>(2*'[2]Table 5C1T-Northeast'!S26)+(6*'[20]Table 5C1T-Northeast'!S26)</f>
        <v>0</v>
      </c>
      <c r="R26" s="196">
        <f t="shared" si="15"/>
        <v>0</v>
      </c>
      <c r="S26" s="352">
        <f t="shared" si="5"/>
        <v>0</v>
      </c>
      <c r="T26" s="352">
        <f t="shared" si="16"/>
        <v>0</v>
      </c>
      <c r="U26" s="281">
        <f>'Table 5C1A-Madison Prep'!U26</f>
        <v>2484</v>
      </c>
      <c r="V26" s="329">
        <f t="shared" si="17"/>
        <v>0</v>
      </c>
      <c r="W26" s="884">
        <f>'[1]Oct midyear Northeast'!E23</f>
        <v>0</v>
      </c>
      <c r="X26" s="282">
        <f t="shared" si="18"/>
        <v>0</v>
      </c>
      <c r="Y26" s="884">
        <f>'[1]Feb midyear Northeast'!E23</f>
        <v>0</v>
      </c>
      <c r="Z26" s="282">
        <f t="shared" si="19"/>
        <v>0</v>
      </c>
      <c r="AA26" s="283">
        <f t="shared" si="20"/>
        <v>0</v>
      </c>
      <c r="AB26" s="325">
        <f t="shared" si="21"/>
        <v>0</v>
      </c>
      <c r="AC26" s="298">
        <f t="shared" si="22"/>
        <v>0</v>
      </c>
      <c r="AD26" s="325">
        <f t="shared" si="23"/>
        <v>0</v>
      </c>
      <c r="AE26" s="284">
        <v>0</v>
      </c>
      <c r="AF26" s="325">
        <f t="shared" si="24"/>
        <v>0</v>
      </c>
      <c r="AG26" s="284">
        <f>(2*'[2]Table 5C1T-Northeast'!AI26)+(6*'[20]Table 5C1T-Northeast'!AI26)</f>
        <v>0</v>
      </c>
      <c r="AH26" s="284">
        <f t="shared" si="25"/>
        <v>0</v>
      </c>
      <c r="AI26" s="325">
        <f t="shared" si="6"/>
        <v>0</v>
      </c>
      <c r="AJ26" s="338">
        <f t="shared" si="26"/>
        <v>0</v>
      </c>
      <c r="AK26" s="343">
        <f t="shared" si="27"/>
        <v>0</v>
      </c>
      <c r="AM26" s="296">
        <v>0</v>
      </c>
      <c r="AN26" s="296">
        <f t="shared" si="28"/>
        <v>0</v>
      </c>
      <c r="AO26" s="296">
        <f t="shared" si="7"/>
        <v>0</v>
      </c>
    </row>
    <row r="27" spans="1:41" ht="16.149999999999999" customHeight="1">
      <c r="A27" s="205">
        <v>21</v>
      </c>
      <c r="B27" s="206" t="s">
        <v>93</v>
      </c>
      <c r="C27" s="994">
        <v>0</v>
      </c>
      <c r="D27" s="208">
        <f>+'Table 5C1A-Madison Prep'!D27</f>
        <v>6082.3042295867763</v>
      </c>
      <c r="E27" s="209">
        <f t="shared" si="8"/>
        <v>0</v>
      </c>
      <c r="F27" s="209">
        <f>+'Table 5C1A-Madison Prep'!F27</f>
        <v>610.35</v>
      </c>
      <c r="G27" s="209">
        <f t="shared" si="9"/>
        <v>0</v>
      </c>
      <c r="H27" s="344">
        <f t="shared" si="10"/>
        <v>0</v>
      </c>
      <c r="I27" s="210">
        <f>'[1]Oct midyear Northeast'!K24</f>
        <v>0</v>
      </c>
      <c r="J27" s="210">
        <f>'[1]Feb midyear Northeast'!K24</f>
        <v>0</v>
      </c>
      <c r="K27" s="211">
        <f t="shared" si="11"/>
        <v>0</v>
      </c>
      <c r="L27" s="344">
        <f t="shared" si="12"/>
        <v>0</v>
      </c>
      <c r="M27" s="273">
        <f t="shared" si="4"/>
        <v>0</v>
      </c>
      <c r="N27" s="344">
        <f t="shared" si="13"/>
        <v>0</v>
      </c>
      <c r="O27" s="208">
        <v>0</v>
      </c>
      <c r="P27" s="350">
        <f t="shared" si="14"/>
        <v>0</v>
      </c>
      <c r="Q27" s="210">
        <f>(2*'[2]Table 5C1T-Northeast'!S27)+(6*'[20]Table 5C1T-Northeast'!S27)</f>
        <v>0</v>
      </c>
      <c r="R27" s="210">
        <f t="shared" si="15"/>
        <v>0</v>
      </c>
      <c r="S27" s="350">
        <f t="shared" si="5"/>
        <v>0</v>
      </c>
      <c r="T27" s="350">
        <f t="shared" si="16"/>
        <v>0</v>
      </c>
      <c r="U27" s="274">
        <f>'Table 5C1A-Madison Prep'!U27</f>
        <v>2487</v>
      </c>
      <c r="V27" s="327">
        <f t="shared" si="17"/>
        <v>0</v>
      </c>
      <c r="W27" s="883">
        <f>'[1]Oct midyear Northeast'!E24</f>
        <v>0</v>
      </c>
      <c r="X27" s="276">
        <f t="shared" si="18"/>
        <v>0</v>
      </c>
      <c r="Y27" s="883">
        <f>'[1]Feb midyear Northeast'!E24</f>
        <v>0</v>
      </c>
      <c r="Z27" s="276">
        <f t="shared" si="19"/>
        <v>0</v>
      </c>
      <c r="AA27" s="275">
        <f t="shared" si="20"/>
        <v>0</v>
      </c>
      <c r="AB27" s="323">
        <f t="shared" si="21"/>
        <v>0</v>
      </c>
      <c r="AC27" s="278">
        <f t="shared" si="22"/>
        <v>0</v>
      </c>
      <c r="AD27" s="323">
        <f t="shared" si="23"/>
        <v>0</v>
      </c>
      <c r="AE27" s="279">
        <v>0</v>
      </c>
      <c r="AF27" s="323">
        <f t="shared" si="24"/>
        <v>0</v>
      </c>
      <c r="AG27" s="279">
        <f>(2*'[2]Table 5C1T-Northeast'!AI27)+(6*'[20]Table 5C1T-Northeast'!AI27)</f>
        <v>0</v>
      </c>
      <c r="AH27" s="279">
        <f t="shared" si="25"/>
        <v>0</v>
      </c>
      <c r="AI27" s="323">
        <f t="shared" si="6"/>
        <v>0</v>
      </c>
      <c r="AJ27" s="337">
        <f t="shared" si="26"/>
        <v>0</v>
      </c>
      <c r="AK27" s="341">
        <f t="shared" si="27"/>
        <v>0</v>
      </c>
      <c r="AM27" s="273">
        <v>0</v>
      </c>
      <c r="AN27" s="273">
        <f t="shared" si="28"/>
        <v>0</v>
      </c>
      <c r="AO27" s="273">
        <f t="shared" si="7"/>
        <v>0</v>
      </c>
    </row>
    <row r="28" spans="1:41" ht="16.149999999999999" customHeight="1">
      <c r="A28" s="198">
        <v>22</v>
      </c>
      <c r="B28" s="199" t="s">
        <v>94</v>
      </c>
      <c r="C28" s="995">
        <v>0</v>
      </c>
      <c r="D28" s="201">
        <f>+'Table 5C1A-Madison Prep'!D28</f>
        <v>6416.1099808195995</v>
      </c>
      <c r="E28" s="202">
        <f t="shared" si="8"/>
        <v>0</v>
      </c>
      <c r="F28" s="202">
        <f>+'Table 5C1A-Madison Prep'!F28</f>
        <v>496.36</v>
      </c>
      <c r="G28" s="202">
        <f t="shared" si="9"/>
        <v>0</v>
      </c>
      <c r="H28" s="345">
        <f t="shared" si="10"/>
        <v>0</v>
      </c>
      <c r="I28" s="203">
        <f>'[1]Oct midyear Northeast'!K25</f>
        <v>0</v>
      </c>
      <c r="J28" s="203">
        <f>'[1]Feb midyear Northeast'!K25</f>
        <v>0</v>
      </c>
      <c r="K28" s="204">
        <f t="shared" si="11"/>
        <v>0</v>
      </c>
      <c r="L28" s="345">
        <f t="shared" si="12"/>
        <v>0</v>
      </c>
      <c r="M28" s="286">
        <f t="shared" si="4"/>
        <v>0</v>
      </c>
      <c r="N28" s="345">
        <f t="shared" si="13"/>
        <v>0</v>
      </c>
      <c r="O28" s="201">
        <v>0</v>
      </c>
      <c r="P28" s="351">
        <f t="shared" si="14"/>
        <v>0</v>
      </c>
      <c r="Q28" s="203">
        <f>(2*'[2]Table 5C1T-Northeast'!S28)+(6*'[20]Table 5C1T-Northeast'!S28)</f>
        <v>0</v>
      </c>
      <c r="R28" s="203">
        <f t="shared" si="15"/>
        <v>0</v>
      </c>
      <c r="S28" s="351">
        <f t="shared" si="5"/>
        <v>0</v>
      </c>
      <c r="T28" s="351">
        <f t="shared" si="16"/>
        <v>0</v>
      </c>
      <c r="U28" s="287">
        <f>'Table 5C1A-Madison Prep'!U28</f>
        <v>1584</v>
      </c>
      <c r="V28" s="328">
        <f t="shared" si="17"/>
        <v>0</v>
      </c>
      <c r="W28" s="289">
        <f>'[1]Oct midyear Northeast'!E25</f>
        <v>0</v>
      </c>
      <c r="X28" s="290">
        <f t="shared" si="18"/>
        <v>0</v>
      </c>
      <c r="Y28" s="289">
        <f>'[1]Feb midyear Northeast'!E25</f>
        <v>0</v>
      </c>
      <c r="Z28" s="290">
        <f t="shared" si="19"/>
        <v>0</v>
      </c>
      <c r="AA28" s="288">
        <f t="shared" si="20"/>
        <v>0</v>
      </c>
      <c r="AB28" s="324">
        <f t="shared" si="21"/>
        <v>0</v>
      </c>
      <c r="AC28" s="292">
        <f t="shared" si="22"/>
        <v>0</v>
      </c>
      <c r="AD28" s="324">
        <f t="shared" si="23"/>
        <v>0</v>
      </c>
      <c r="AE28" s="293">
        <v>0</v>
      </c>
      <c r="AF28" s="324">
        <f t="shared" si="24"/>
        <v>0</v>
      </c>
      <c r="AG28" s="293">
        <f>(2*'[2]Table 5C1T-Northeast'!AI28)+(6*'[20]Table 5C1T-Northeast'!AI28)</f>
        <v>0</v>
      </c>
      <c r="AH28" s="293">
        <f t="shared" si="25"/>
        <v>0</v>
      </c>
      <c r="AI28" s="324">
        <f t="shared" si="6"/>
        <v>0</v>
      </c>
      <c r="AJ28" s="321">
        <f t="shared" si="26"/>
        <v>0</v>
      </c>
      <c r="AK28" s="342">
        <f t="shared" si="27"/>
        <v>0</v>
      </c>
      <c r="AM28" s="286">
        <v>0</v>
      </c>
      <c r="AN28" s="286">
        <f t="shared" si="28"/>
        <v>0</v>
      </c>
      <c r="AO28" s="286">
        <f t="shared" si="7"/>
        <v>0</v>
      </c>
    </row>
    <row r="29" spans="1:41" ht="16.149999999999999" customHeight="1">
      <c r="A29" s="198">
        <v>23</v>
      </c>
      <c r="B29" s="199" t="s">
        <v>95</v>
      </c>
      <c r="C29" s="995">
        <v>0</v>
      </c>
      <c r="D29" s="201">
        <f>+'Table 5C1A-Madison Prep'!D29</f>
        <v>5011.0215265979159</v>
      </c>
      <c r="E29" s="202">
        <f t="shared" si="8"/>
        <v>0</v>
      </c>
      <c r="F29" s="202">
        <f>+'Table 5C1A-Madison Prep'!F29</f>
        <v>688.58</v>
      </c>
      <c r="G29" s="202">
        <f t="shared" si="9"/>
        <v>0</v>
      </c>
      <c r="H29" s="345">
        <f t="shared" si="10"/>
        <v>0</v>
      </c>
      <c r="I29" s="203">
        <f>'[1]Oct midyear Northeast'!K26</f>
        <v>0</v>
      </c>
      <c r="J29" s="203">
        <f>'[1]Feb midyear Northeast'!K26</f>
        <v>0</v>
      </c>
      <c r="K29" s="204">
        <f t="shared" si="11"/>
        <v>0</v>
      </c>
      <c r="L29" s="345">
        <f t="shared" si="12"/>
        <v>0</v>
      </c>
      <c r="M29" s="286">
        <f t="shared" si="4"/>
        <v>0</v>
      </c>
      <c r="N29" s="345">
        <f t="shared" si="13"/>
        <v>0</v>
      </c>
      <c r="O29" s="201">
        <v>0</v>
      </c>
      <c r="P29" s="351">
        <f t="shared" si="14"/>
        <v>0</v>
      </c>
      <c r="Q29" s="203">
        <f>(2*'[2]Table 5C1T-Northeast'!S29)+(6*'[20]Table 5C1T-Northeast'!S29)</f>
        <v>0</v>
      </c>
      <c r="R29" s="203">
        <f t="shared" si="15"/>
        <v>0</v>
      </c>
      <c r="S29" s="351">
        <f t="shared" si="5"/>
        <v>0</v>
      </c>
      <c r="T29" s="351">
        <f t="shared" si="16"/>
        <v>0</v>
      </c>
      <c r="U29" s="287">
        <f>'Table 5C1A-Madison Prep'!U29</f>
        <v>3500</v>
      </c>
      <c r="V29" s="328">
        <f t="shared" si="17"/>
        <v>0</v>
      </c>
      <c r="W29" s="289">
        <f>'[1]Oct midyear Northeast'!E26</f>
        <v>0</v>
      </c>
      <c r="X29" s="290">
        <f t="shared" si="18"/>
        <v>0</v>
      </c>
      <c r="Y29" s="289">
        <f>'[1]Feb midyear Northeast'!E26</f>
        <v>0</v>
      </c>
      <c r="Z29" s="290">
        <f t="shared" si="19"/>
        <v>0</v>
      </c>
      <c r="AA29" s="288">
        <f t="shared" si="20"/>
        <v>0</v>
      </c>
      <c r="AB29" s="324">
        <f t="shared" si="21"/>
        <v>0</v>
      </c>
      <c r="AC29" s="292">
        <f t="shared" si="22"/>
        <v>0</v>
      </c>
      <c r="AD29" s="324">
        <f t="shared" si="23"/>
        <v>0</v>
      </c>
      <c r="AE29" s="293">
        <v>0</v>
      </c>
      <c r="AF29" s="324">
        <f t="shared" si="24"/>
        <v>0</v>
      </c>
      <c r="AG29" s="293">
        <f>(2*'[2]Table 5C1T-Northeast'!AI29)+(6*'[20]Table 5C1T-Northeast'!AI29)</f>
        <v>0</v>
      </c>
      <c r="AH29" s="293">
        <f t="shared" si="25"/>
        <v>0</v>
      </c>
      <c r="AI29" s="324">
        <f t="shared" si="6"/>
        <v>0</v>
      </c>
      <c r="AJ29" s="321">
        <f t="shared" si="26"/>
        <v>0</v>
      </c>
      <c r="AK29" s="342">
        <f t="shared" si="27"/>
        <v>0</v>
      </c>
      <c r="AM29" s="286">
        <v>0</v>
      </c>
      <c r="AN29" s="286">
        <f t="shared" si="28"/>
        <v>0</v>
      </c>
      <c r="AO29" s="286">
        <f t="shared" si="7"/>
        <v>0</v>
      </c>
    </row>
    <row r="30" spans="1:41" ht="16.149999999999999" customHeight="1">
      <c r="A30" s="198">
        <v>24</v>
      </c>
      <c r="B30" s="199" t="s">
        <v>96</v>
      </c>
      <c r="C30" s="995">
        <v>0</v>
      </c>
      <c r="D30" s="201">
        <f>+'Table 5C1A-Madison Prep'!D30</f>
        <v>2611.6740361576999</v>
      </c>
      <c r="E30" s="202">
        <f t="shared" si="8"/>
        <v>0</v>
      </c>
      <c r="F30" s="202">
        <f>+'Table 5C1A-Madison Prep'!F30</f>
        <v>854.24999999999989</v>
      </c>
      <c r="G30" s="202">
        <f t="shared" si="9"/>
        <v>0</v>
      </c>
      <c r="H30" s="345">
        <f t="shared" si="10"/>
        <v>0</v>
      </c>
      <c r="I30" s="203">
        <f>'[1]Oct midyear Northeast'!K27</f>
        <v>0</v>
      </c>
      <c r="J30" s="203">
        <f>'[1]Feb midyear Northeast'!K27</f>
        <v>0</v>
      </c>
      <c r="K30" s="204">
        <f t="shared" si="11"/>
        <v>0</v>
      </c>
      <c r="L30" s="345">
        <f t="shared" si="12"/>
        <v>0</v>
      </c>
      <c r="M30" s="286">
        <f t="shared" si="4"/>
        <v>0</v>
      </c>
      <c r="N30" s="345">
        <f t="shared" si="13"/>
        <v>0</v>
      </c>
      <c r="O30" s="201">
        <v>0</v>
      </c>
      <c r="P30" s="351">
        <f t="shared" si="14"/>
        <v>0</v>
      </c>
      <c r="Q30" s="203">
        <f>(2*'[2]Table 5C1T-Northeast'!S30)+(6*'[20]Table 5C1T-Northeast'!S30)</f>
        <v>0</v>
      </c>
      <c r="R30" s="203">
        <f t="shared" si="15"/>
        <v>0</v>
      </c>
      <c r="S30" s="351">
        <f t="shared" si="5"/>
        <v>0</v>
      </c>
      <c r="T30" s="351">
        <f t="shared" si="16"/>
        <v>0</v>
      </c>
      <c r="U30" s="287">
        <f>'Table 5C1A-Madison Prep'!U30</f>
        <v>11051</v>
      </c>
      <c r="V30" s="328">
        <f t="shared" si="17"/>
        <v>0</v>
      </c>
      <c r="W30" s="289">
        <f>'[1]Oct midyear Northeast'!E27</f>
        <v>0</v>
      </c>
      <c r="X30" s="290">
        <f t="shared" si="18"/>
        <v>0</v>
      </c>
      <c r="Y30" s="289">
        <f>'[1]Feb midyear Northeast'!E27</f>
        <v>0</v>
      </c>
      <c r="Z30" s="290">
        <f t="shared" si="19"/>
        <v>0</v>
      </c>
      <c r="AA30" s="288">
        <f t="shared" si="20"/>
        <v>0</v>
      </c>
      <c r="AB30" s="324">
        <f t="shared" si="21"/>
        <v>0</v>
      </c>
      <c r="AC30" s="292">
        <f t="shared" si="22"/>
        <v>0</v>
      </c>
      <c r="AD30" s="324">
        <f t="shared" si="23"/>
        <v>0</v>
      </c>
      <c r="AE30" s="293">
        <v>0</v>
      </c>
      <c r="AF30" s="324">
        <f t="shared" si="24"/>
        <v>0</v>
      </c>
      <c r="AG30" s="293">
        <f>(2*'[2]Table 5C1T-Northeast'!AI30)+(6*'[20]Table 5C1T-Northeast'!AI30)</f>
        <v>0</v>
      </c>
      <c r="AH30" s="293">
        <f t="shared" si="25"/>
        <v>0</v>
      </c>
      <c r="AI30" s="324">
        <f t="shared" si="6"/>
        <v>0</v>
      </c>
      <c r="AJ30" s="321">
        <f t="shared" si="26"/>
        <v>0</v>
      </c>
      <c r="AK30" s="342">
        <f t="shared" si="27"/>
        <v>0</v>
      </c>
      <c r="AM30" s="286">
        <v>0</v>
      </c>
      <c r="AN30" s="286">
        <f t="shared" si="28"/>
        <v>0</v>
      </c>
      <c r="AO30" s="286">
        <f t="shared" si="7"/>
        <v>0</v>
      </c>
    </row>
    <row r="31" spans="1:41" ht="16.149999999999999" customHeight="1">
      <c r="A31" s="191">
        <v>25</v>
      </c>
      <c r="B31" s="192" t="s">
        <v>97</v>
      </c>
      <c r="C31" s="996">
        <v>0</v>
      </c>
      <c r="D31" s="194">
        <f>+'Table 5C1A-Madison Prep'!D31</f>
        <v>4173.0720274945697</v>
      </c>
      <c r="E31" s="195">
        <f t="shared" si="8"/>
        <v>0</v>
      </c>
      <c r="F31" s="195">
        <f>+'Table 5C1A-Madison Prep'!F31</f>
        <v>653.73</v>
      </c>
      <c r="G31" s="195">
        <f t="shared" si="9"/>
        <v>0</v>
      </c>
      <c r="H31" s="346">
        <f t="shared" si="10"/>
        <v>0</v>
      </c>
      <c r="I31" s="196">
        <f>'[1]Oct midyear Northeast'!K28</f>
        <v>0</v>
      </c>
      <c r="J31" s="196">
        <f>'[1]Feb midyear Northeast'!K28</f>
        <v>0</v>
      </c>
      <c r="K31" s="197">
        <f t="shared" si="11"/>
        <v>0</v>
      </c>
      <c r="L31" s="346">
        <f t="shared" si="12"/>
        <v>0</v>
      </c>
      <c r="M31" s="296">
        <f t="shared" si="4"/>
        <v>0</v>
      </c>
      <c r="N31" s="346">
        <f t="shared" si="13"/>
        <v>0</v>
      </c>
      <c r="O31" s="194">
        <v>0</v>
      </c>
      <c r="P31" s="352">
        <f t="shared" si="14"/>
        <v>0</v>
      </c>
      <c r="Q31" s="196">
        <f>(2*'[2]Table 5C1T-Northeast'!S31)+(6*'[20]Table 5C1T-Northeast'!S31)</f>
        <v>0</v>
      </c>
      <c r="R31" s="196">
        <f t="shared" si="15"/>
        <v>0</v>
      </c>
      <c r="S31" s="352">
        <f t="shared" si="5"/>
        <v>0</v>
      </c>
      <c r="T31" s="352">
        <f t="shared" si="16"/>
        <v>0</v>
      </c>
      <c r="U31" s="281">
        <f>'Table 5C1A-Madison Prep'!U31</f>
        <v>5156</v>
      </c>
      <c r="V31" s="329">
        <f t="shared" si="17"/>
        <v>0</v>
      </c>
      <c r="W31" s="884">
        <f>'[1]Oct midyear Northeast'!E28</f>
        <v>0</v>
      </c>
      <c r="X31" s="282">
        <f t="shared" si="18"/>
        <v>0</v>
      </c>
      <c r="Y31" s="884">
        <f>'[1]Feb midyear Northeast'!E28</f>
        <v>0</v>
      </c>
      <c r="Z31" s="282">
        <f t="shared" si="19"/>
        <v>0</v>
      </c>
      <c r="AA31" s="283">
        <f t="shared" si="20"/>
        <v>0</v>
      </c>
      <c r="AB31" s="325">
        <f t="shared" si="21"/>
        <v>0</v>
      </c>
      <c r="AC31" s="298">
        <f t="shared" si="22"/>
        <v>0</v>
      </c>
      <c r="AD31" s="325">
        <f t="shared" si="23"/>
        <v>0</v>
      </c>
      <c r="AE31" s="284">
        <v>0</v>
      </c>
      <c r="AF31" s="325">
        <f t="shared" si="24"/>
        <v>0</v>
      </c>
      <c r="AG31" s="284">
        <f>(2*'[2]Table 5C1T-Northeast'!AI31)+(6*'[20]Table 5C1T-Northeast'!AI31)</f>
        <v>0</v>
      </c>
      <c r="AH31" s="284">
        <f t="shared" si="25"/>
        <v>0</v>
      </c>
      <c r="AI31" s="325">
        <f t="shared" si="6"/>
        <v>0</v>
      </c>
      <c r="AJ31" s="338">
        <f t="shared" si="26"/>
        <v>0</v>
      </c>
      <c r="AK31" s="343">
        <f t="shared" si="27"/>
        <v>0</v>
      </c>
      <c r="AM31" s="296">
        <v>0</v>
      </c>
      <c r="AN31" s="296">
        <f t="shared" si="28"/>
        <v>0</v>
      </c>
      <c r="AO31" s="296">
        <f t="shared" si="7"/>
        <v>0</v>
      </c>
    </row>
    <row r="32" spans="1:41" ht="16.149999999999999" customHeight="1">
      <c r="A32" s="205">
        <v>26</v>
      </c>
      <c r="B32" s="206" t="s">
        <v>98</v>
      </c>
      <c r="C32" s="994">
        <v>0</v>
      </c>
      <c r="D32" s="208">
        <f>+'Table 5C1A-Madison Prep'!D32</f>
        <v>3424.5649970570835</v>
      </c>
      <c r="E32" s="209">
        <f t="shared" si="8"/>
        <v>0</v>
      </c>
      <c r="F32" s="209">
        <f>+'Table 5C1A-Madison Prep'!F32</f>
        <v>836.83</v>
      </c>
      <c r="G32" s="209">
        <f t="shared" si="9"/>
        <v>0</v>
      </c>
      <c r="H32" s="344">
        <f t="shared" si="10"/>
        <v>0</v>
      </c>
      <c r="I32" s="210">
        <f>'[1]Oct midyear Northeast'!K29</f>
        <v>0</v>
      </c>
      <c r="J32" s="210">
        <f>'[1]Feb midyear Northeast'!K29</f>
        <v>0</v>
      </c>
      <c r="K32" s="211">
        <f t="shared" si="11"/>
        <v>0</v>
      </c>
      <c r="L32" s="344">
        <f t="shared" si="12"/>
        <v>0</v>
      </c>
      <c r="M32" s="273">
        <f t="shared" si="4"/>
        <v>0</v>
      </c>
      <c r="N32" s="344">
        <f t="shared" si="13"/>
        <v>0</v>
      </c>
      <c r="O32" s="208">
        <v>0</v>
      </c>
      <c r="P32" s="350">
        <f t="shared" si="14"/>
        <v>0</v>
      </c>
      <c r="Q32" s="210">
        <f>(2*'[2]Table 5C1T-Northeast'!S32)+(6*'[20]Table 5C1T-Northeast'!S32)</f>
        <v>0</v>
      </c>
      <c r="R32" s="210">
        <f t="shared" si="15"/>
        <v>0</v>
      </c>
      <c r="S32" s="350">
        <f t="shared" si="5"/>
        <v>0</v>
      </c>
      <c r="T32" s="350">
        <f t="shared" si="16"/>
        <v>0</v>
      </c>
      <c r="U32" s="274">
        <f>'Table 5C1A-Madison Prep'!U32</f>
        <v>5153</v>
      </c>
      <c r="V32" s="327">
        <f t="shared" si="17"/>
        <v>0</v>
      </c>
      <c r="W32" s="883">
        <f>'[1]Oct midyear Northeast'!E29</f>
        <v>0</v>
      </c>
      <c r="X32" s="276">
        <f t="shared" si="18"/>
        <v>0</v>
      </c>
      <c r="Y32" s="883">
        <f>'[1]Feb midyear Northeast'!E29</f>
        <v>0</v>
      </c>
      <c r="Z32" s="276">
        <f t="shared" si="19"/>
        <v>0</v>
      </c>
      <c r="AA32" s="275">
        <f t="shared" si="20"/>
        <v>0</v>
      </c>
      <c r="AB32" s="323">
        <f t="shared" si="21"/>
        <v>0</v>
      </c>
      <c r="AC32" s="278">
        <f t="shared" si="22"/>
        <v>0</v>
      </c>
      <c r="AD32" s="323">
        <f t="shared" si="23"/>
        <v>0</v>
      </c>
      <c r="AE32" s="279">
        <v>0</v>
      </c>
      <c r="AF32" s="323">
        <f t="shared" si="24"/>
        <v>0</v>
      </c>
      <c r="AG32" s="279">
        <f>(2*'[2]Table 5C1T-Northeast'!AI32)+(6*'[20]Table 5C1T-Northeast'!AI32)</f>
        <v>0</v>
      </c>
      <c r="AH32" s="279">
        <f t="shared" si="25"/>
        <v>0</v>
      </c>
      <c r="AI32" s="323">
        <f t="shared" si="6"/>
        <v>0</v>
      </c>
      <c r="AJ32" s="337">
        <f t="shared" si="26"/>
        <v>0</v>
      </c>
      <c r="AK32" s="341">
        <f t="shared" si="27"/>
        <v>0</v>
      </c>
      <c r="AM32" s="273">
        <v>0</v>
      </c>
      <c r="AN32" s="273">
        <f t="shared" si="28"/>
        <v>0</v>
      </c>
      <c r="AO32" s="273">
        <f t="shared" si="7"/>
        <v>0</v>
      </c>
    </row>
    <row r="33" spans="1:41" ht="16.149999999999999" customHeight="1">
      <c r="A33" s="198">
        <v>27</v>
      </c>
      <c r="B33" s="199" t="s">
        <v>99</v>
      </c>
      <c r="C33" s="995">
        <v>0</v>
      </c>
      <c r="D33" s="201">
        <f>+'Table 5C1A-Madison Prep'!D33</f>
        <v>5804.9013839977006</v>
      </c>
      <c r="E33" s="202">
        <f t="shared" si="8"/>
        <v>0</v>
      </c>
      <c r="F33" s="202">
        <f>+'Table 5C1A-Madison Prep'!F33</f>
        <v>693.06</v>
      </c>
      <c r="G33" s="202">
        <f t="shared" si="9"/>
        <v>0</v>
      </c>
      <c r="H33" s="345">
        <f t="shared" si="10"/>
        <v>0</v>
      </c>
      <c r="I33" s="203">
        <f>'[1]Oct midyear Northeast'!K30</f>
        <v>0</v>
      </c>
      <c r="J33" s="203">
        <f>'[1]Feb midyear Northeast'!K30</f>
        <v>0</v>
      </c>
      <c r="K33" s="204">
        <f t="shared" si="11"/>
        <v>0</v>
      </c>
      <c r="L33" s="345">
        <f t="shared" si="12"/>
        <v>0</v>
      </c>
      <c r="M33" s="286">
        <f t="shared" si="4"/>
        <v>0</v>
      </c>
      <c r="N33" s="345">
        <f t="shared" si="13"/>
        <v>0</v>
      </c>
      <c r="O33" s="201">
        <v>0</v>
      </c>
      <c r="P33" s="351">
        <f t="shared" si="14"/>
        <v>0</v>
      </c>
      <c r="Q33" s="203">
        <f>(2*'[2]Table 5C1T-Northeast'!S33)+(6*'[20]Table 5C1T-Northeast'!S33)</f>
        <v>0</v>
      </c>
      <c r="R33" s="203">
        <f t="shared" si="15"/>
        <v>0</v>
      </c>
      <c r="S33" s="351">
        <f t="shared" si="5"/>
        <v>0</v>
      </c>
      <c r="T33" s="351">
        <f t="shared" si="16"/>
        <v>0</v>
      </c>
      <c r="U33" s="287">
        <f>'Table 5C1A-Madison Prep'!U33</f>
        <v>3225</v>
      </c>
      <c r="V33" s="328">
        <f t="shared" si="17"/>
        <v>0</v>
      </c>
      <c r="W33" s="289">
        <f>'[1]Oct midyear Northeast'!E30</f>
        <v>0</v>
      </c>
      <c r="X33" s="290">
        <f t="shared" si="18"/>
        <v>0</v>
      </c>
      <c r="Y33" s="289">
        <f>'[1]Feb midyear Northeast'!E30</f>
        <v>0</v>
      </c>
      <c r="Z33" s="290">
        <f t="shared" si="19"/>
        <v>0</v>
      </c>
      <c r="AA33" s="288">
        <f t="shared" si="20"/>
        <v>0</v>
      </c>
      <c r="AB33" s="324">
        <f t="shared" si="21"/>
        <v>0</v>
      </c>
      <c r="AC33" s="292">
        <f t="shared" si="22"/>
        <v>0</v>
      </c>
      <c r="AD33" s="324">
        <f t="shared" si="23"/>
        <v>0</v>
      </c>
      <c r="AE33" s="293">
        <v>0</v>
      </c>
      <c r="AF33" s="324">
        <f t="shared" si="24"/>
        <v>0</v>
      </c>
      <c r="AG33" s="293">
        <f>(2*'[2]Table 5C1T-Northeast'!AI33)+(6*'[20]Table 5C1T-Northeast'!AI33)</f>
        <v>0</v>
      </c>
      <c r="AH33" s="293">
        <f t="shared" si="25"/>
        <v>0</v>
      </c>
      <c r="AI33" s="324">
        <f t="shared" si="6"/>
        <v>0</v>
      </c>
      <c r="AJ33" s="321">
        <f t="shared" si="26"/>
        <v>0</v>
      </c>
      <c r="AK33" s="342">
        <f t="shared" si="27"/>
        <v>0</v>
      </c>
      <c r="AM33" s="286">
        <v>0</v>
      </c>
      <c r="AN33" s="286">
        <f t="shared" si="28"/>
        <v>0</v>
      </c>
      <c r="AO33" s="286">
        <f t="shared" si="7"/>
        <v>0</v>
      </c>
    </row>
    <row r="34" spans="1:41" ht="16.149999999999999" customHeight="1">
      <c r="A34" s="198">
        <v>28</v>
      </c>
      <c r="B34" s="199" t="s">
        <v>100</v>
      </c>
      <c r="C34" s="995">
        <v>0</v>
      </c>
      <c r="D34" s="201">
        <f>+'Table 5C1A-Madison Prep'!D34</f>
        <v>3137.4158846568821</v>
      </c>
      <c r="E34" s="202">
        <f t="shared" si="8"/>
        <v>0</v>
      </c>
      <c r="F34" s="202">
        <f>+'Table 5C1A-Madison Prep'!F34</f>
        <v>694.4</v>
      </c>
      <c r="G34" s="202">
        <f t="shared" si="9"/>
        <v>0</v>
      </c>
      <c r="H34" s="345">
        <f t="shared" si="10"/>
        <v>0</v>
      </c>
      <c r="I34" s="203">
        <f>'[1]Oct midyear Northeast'!K31</f>
        <v>0</v>
      </c>
      <c r="J34" s="203">
        <f>'[1]Feb midyear Northeast'!K31</f>
        <v>0</v>
      </c>
      <c r="K34" s="204">
        <f t="shared" si="11"/>
        <v>0</v>
      </c>
      <c r="L34" s="345">
        <f t="shared" si="12"/>
        <v>0</v>
      </c>
      <c r="M34" s="286">
        <f t="shared" si="4"/>
        <v>0</v>
      </c>
      <c r="N34" s="345">
        <f t="shared" si="13"/>
        <v>0</v>
      </c>
      <c r="O34" s="201">
        <v>0</v>
      </c>
      <c r="P34" s="351">
        <f t="shared" si="14"/>
        <v>0</v>
      </c>
      <c r="Q34" s="203">
        <f>(2*'[2]Table 5C1T-Northeast'!S34)+(6*'[20]Table 5C1T-Northeast'!S34)</f>
        <v>0</v>
      </c>
      <c r="R34" s="203">
        <f t="shared" si="15"/>
        <v>0</v>
      </c>
      <c r="S34" s="351">
        <f t="shared" si="5"/>
        <v>0</v>
      </c>
      <c r="T34" s="351">
        <f t="shared" si="16"/>
        <v>0</v>
      </c>
      <c r="U34" s="287">
        <f>'Table 5C1A-Madison Prep'!U34</f>
        <v>5816</v>
      </c>
      <c r="V34" s="328">
        <f t="shared" si="17"/>
        <v>0</v>
      </c>
      <c r="W34" s="289">
        <f>'[1]Oct midyear Northeast'!E31</f>
        <v>0</v>
      </c>
      <c r="X34" s="290">
        <f t="shared" si="18"/>
        <v>0</v>
      </c>
      <c r="Y34" s="289">
        <f>'[1]Feb midyear Northeast'!E31</f>
        <v>0</v>
      </c>
      <c r="Z34" s="290">
        <f t="shared" si="19"/>
        <v>0</v>
      </c>
      <c r="AA34" s="288">
        <f t="shared" si="20"/>
        <v>0</v>
      </c>
      <c r="AB34" s="324">
        <f t="shared" si="21"/>
        <v>0</v>
      </c>
      <c r="AC34" s="292">
        <f t="shared" si="22"/>
        <v>0</v>
      </c>
      <c r="AD34" s="324">
        <f t="shared" si="23"/>
        <v>0</v>
      </c>
      <c r="AE34" s="293">
        <v>0</v>
      </c>
      <c r="AF34" s="324">
        <f t="shared" si="24"/>
        <v>0</v>
      </c>
      <c r="AG34" s="293">
        <f>(2*'[2]Table 5C1T-Northeast'!AI34)+(6*'[20]Table 5C1T-Northeast'!AI34)</f>
        <v>0</v>
      </c>
      <c r="AH34" s="293">
        <f t="shared" si="25"/>
        <v>0</v>
      </c>
      <c r="AI34" s="324">
        <f t="shared" si="6"/>
        <v>0</v>
      </c>
      <c r="AJ34" s="321">
        <f t="shared" si="26"/>
        <v>0</v>
      </c>
      <c r="AK34" s="342">
        <f t="shared" si="27"/>
        <v>0</v>
      </c>
      <c r="AM34" s="286">
        <v>0</v>
      </c>
      <c r="AN34" s="286">
        <f t="shared" si="28"/>
        <v>0</v>
      </c>
      <c r="AO34" s="286">
        <f>+AN34-AM34</f>
        <v>0</v>
      </c>
    </row>
    <row r="35" spans="1:41" ht="16.149999999999999" customHeight="1">
      <c r="A35" s="198">
        <v>29</v>
      </c>
      <c r="B35" s="199" t="s">
        <v>101</v>
      </c>
      <c r="C35" s="995">
        <v>0</v>
      </c>
      <c r="D35" s="201">
        <f>+'Table 5C1A-Madison Prep'!D35</f>
        <v>3839.0123210173724</v>
      </c>
      <c r="E35" s="202">
        <f t="shared" si="8"/>
        <v>0</v>
      </c>
      <c r="F35" s="202">
        <f>+'Table 5C1A-Madison Prep'!F35</f>
        <v>754.94999999999993</v>
      </c>
      <c r="G35" s="202">
        <f t="shared" si="9"/>
        <v>0</v>
      </c>
      <c r="H35" s="345">
        <f t="shared" si="10"/>
        <v>0</v>
      </c>
      <c r="I35" s="203">
        <f>'[1]Oct midyear Northeast'!K32</f>
        <v>0</v>
      </c>
      <c r="J35" s="203">
        <f>'[1]Feb midyear Northeast'!K32</f>
        <v>0</v>
      </c>
      <c r="K35" s="204">
        <f t="shared" si="11"/>
        <v>0</v>
      </c>
      <c r="L35" s="345">
        <f t="shared" si="12"/>
        <v>0</v>
      </c>
      <c r="M35" s="286">
        <f t="shared" si="4"/>
        <v>0</v>
      </c>
      <c r="N35" s="345">
        <f t="shared" si="13"/>
        <v>0</v>
      </c>
      <c r="O35" s="201">
        <v>0</v>
      </c>
      <c r="P35" s="351">
        <f t="shared" si="14"/>
        <v>0</v>
      </c>
      <c r="Q35" s="203">
        <f>(2*'[2]Table 5C1T-Northeast'!S35)+(6*'[20]Table 5C1T-Northeast'!S35)</f>
        <v>0</v>
      </c>
      <c r="R35" s="203">
        <f t="shared" si="15"/>
        <v>0</v>
      </c>
      <c r="S35" s="351">
        <f t="shared" si="5"/>
        <v>0</v>
      </c>
      <c r="T35" s="351">
        <f t="shared" si="16"/>
        <v>0</v>
      </c>
      <c r="U35" s="287">
        <f>'Table 5C1A-Madison Prep'!U35</f>
        <v>5046</v>
      </c>
      <c r="V35" s="328">
        <f t="shared" si="17"/>
        <v>0</v>
      </c>
      <c r="W35" s="289">
        <f>'[1]Oct midyear Northeast'!E32</f>
        <v>0</v>
      </c>
      <c r="X35" s="290">
        <f t="shared" si="18"/>
        <v>0</v>
      </c>
      <c r="Y35" s="289">
        <f>'[1]Feb midyear Northeast'!E32</f>
        <v>0</v>
      </c>
      <c r="Z35" s="290">
        <f t="shared" si="19"/>
        <v>0</v>
      </c>
      <c r="AA35" s="288">
        <f t="shared" si="20"/>
        <v>0</v>
      </c>
      <c r="AB35" s="324">
        <f t="shared" si="21"/>
        <v>0</v>
      </c>
      <c r="AC35" s="292">
        <f t="shared" si="22"/>
        <v>0</v>
      </c>
      <c r="AD35" s="324">
        <f t="shared" si="23"/>
        <v>0</v>
      </c>
      <c r="AE35" s="293">
        <v>0</v>
      </c>
      <c r="AF35" s="324">
        <f t="shared" si="24"/>
        <v>0</v>
      </c>
      <c r="AG35" s="293">
        <f>(2*'[2]Table 5C1T-Northeast'!AI35)+(6*'[20]Table 5C1T-Northeast'!AI35)</f>
        <v>0</v>
      </c>
      <c r="AH35" s="293">
        <f t="shared" si="25"/>
        <v>0</v>
      </c>
      <c r="AI35" s="324">
        <f t="shared" si="6"/>
        <v>0</v>
      </c>
      <c r="AJ35" s="321">
        <f t="shared" si="26"/>
        <v>0</v>
      </c>
      <c r="AK35" s="342">
        <f t="shared" si="27"/>
        <v>0</v>
      </c>
      <c r="AM35" s="286">
        <v>0</v>
      </c>
      <c r="AN35" s="286">
        <f t="shared" si="28"/>
        <v>0</v>
      </c>
      <c r="AO35" s="286">
        <f t="shared" ref="AO35:AO75" si="29">+AN35-AM35</f>
        <v>0</v>
      </c>
    </row>
    <row r="36" spans="1:41" ht="16.149999999999999" customHeight="1">
      <c r="A36" s="191">
        <v>30</v>
      </c>
      <c r="B36" s="192" t="s">
        <v>102</v>
      </c>
      <c r="C36" s="996">
        <v>0</v>
      </c>
      <c r="D36" s="194">
        <f>+'Table 5C1A-Madison Prep'!D36</f>
        <v>5804.5327273996763</v>
      </c>
      <c r="E36" s="195">
        <f t="shared" si="8"/>
        <v>0</v>
      </c>
      <c r="F36" s="195">
        <f>+'Table 5C1A-Madison Prep'!F36</f>
        <v>727.17</v>
      </c>
      <c r="G36" s="195">
        <f t="shared" si="9"/>
        <v>0</v>
      </c>
      <c r="H36" s="346">
        <f t="shared" si="10"/>
        <v>0</v>
      </c>
      <c r="I36" s="196">
        <f>'[1]Oct midyear Northeast'!K33</f>
        <v>0</v>
      </c>
      <c r="J36" s="196">
        <f>'[1]Feb midyear Northeast'!K33</f>
        <v>0</v>
      </c>
      <c r="K36" s="197">
        <f t="shared" si="11"/>
        <v>0</v>
      </c>
      <c r="L36" s="346">
        <f t="shared" si="12"/>
        <v>0</v>
      </c>
      <c r="M36" s="296">
        <f t="shared" si="4"/>
        <v>0</v>
      </c>
      <c r="N36" s="346">
        <f t="shared" si="13"/>
        <v>0</v>
      </c>
      <c r="O36" s="194">
        <v>0</v>
      </c>
      <c r="P36" s="352">
        <f t="shared" si="14"/>
        <v>0</v>
      </c>
      <c r="Q36" s="196">
        <f>(2*'[2]Table 5C1T-Northeast'!S36)+(6*'[20]Table 5C1T-Northeast'!S36)</f>
        <v>0</v>
      </c>
      <c r="R36" s="196">
        <f t="shared" si="15"/>
        <v>0</v>
      </c>
      <c r="S36" s="352">
        <f t="shared" si="5"/>
        <v>0</v>
      </c>
      <c r="T36" s="352">
        <f t="shared" si="16"/>
        <v>0</v>
      </c>
      <c r="U36" s="281">
        <f>'Table 5C1A-Madison Prep'!U36</f>
        <v>3999</v>
      </c>
      <c r="V36" s="329">
        <f t="shared" si="17"/>
        <v>0</v>
      </c>
      <c r="W36" s="884">
        <f>'[1]Oct midyear Northeast'!E33</f>
        <v>0</v>
      </c>
      <c r="X36" s="282">
        <f t="shared" si="18"/>
        <v>0</v>
      </c>
      <c r="Y36" s="884">
        <f>'[1]Feb midyear Northeast'!E33</f>
        <v>0</v>
      </c>
      <c r="Z36" s="282">
        <f t="shared" si="19"/>
        <v>0</v>
      </c>
      <c r="AA36" s="283">
        <f t="shared" si="20"/>
        <v>0</v>
      </c>
      <c r="AB36" s="325">
        <f t="shared" si="21"/>
        <v>0</v>
      </c>
      <c r="AC36" s="298">
        <f t="shared" si="22"/>
        <v>0</v>
      </c>
      <c r="AD36" s="325">
        <f t="shared" si="23"/>
        <v>0</v>
      </c>
      <c r="AE36" s="284">
        <v>0</v>
      </c>
      <c r="AF36" s="325">
        <f t="shared" si="24"/>
        <v>0</v>
      </c>
      <c r="AG36" s="284">
        <f>(2*'[2]Table 5C1T-Northeast'!AI36)+(6*'[20]Table 5C1T-Northeast'!AI36)</f>
        <v>0</v>
      </c>
      <c r="AH36" s="284">
        <f t="shared" si="25"/>
        <v>0</v>
      </c>
      <c r="AI36" s="325">
        <f t="shared" si="6"/>
        <v>0</v>
      </c>
      <c r="AJ36" s="338">
        <f t="shared" si="26"/>
        <v>0</v>
      </c>
      <c r="AK36" s="343">
        <f t="shared" si="27"/>
        <v>0</v>
      </c>
      <c r="AM36" s="296">
        <v>0</v>
      </c>
      <c r="AN36" s="296">
        <f t="shared" si="28"/>
        <v>0</v>
      </c>
      <c r="AO36" s="296">
        <f t="shared" si="29"/>
        <v>0</v>
      </c>
    </row>
    <row r="37" spans="1:41" ht="16.149999999999999" customHeight="1">
      <c r="A37" s="205">
        <v>31</v>
      </c>
      <c r="B37" s="206" t="s">
        <v>103</v>
      </c>
      <c r="C37" s="994">
        <v>0</v>
      </c>
      <c r="D37" s="208">
        <f>+'Table 5C1A-Madison Prep'!D37</f>
        <v>4520.6176716868531</v>
      </c>
      <c r="E37" s="209">
        <f t="shared" si="8"/>
        <v>0</v>
      </c>
      <c r="F37" s="209">
        <f>+'Table 5C1A-Madison Prep'!F37</f>
        <v>620.83000000000004</v>
      </c>
      <c r="G37" s="209">
        <f t="shared" si="9"/>
        <v>0</v>
      </c>
      <c r="H37" s="344">
        <f t="shared" si="10"/>
        <v>0</v>
      </c>
      <c r="I37" s="210">
        <f>'[1]Oct midyear Northeast'!K34</f>
        <v>0</v>
      </c>
      <c r="J37" s="210">
        <f>'[1]Feb midyear Northeast'!K34</f>
        <v>0</v>
      </c>
      <c r="K37" s="211">
        <f t="shared" si="11"/>
        <v>0</v>
      </c>
      <c r="L37" s="344">
        <f t="shared" si="12"/>
        <v>0</v>
      </c>
      <c r="M37" s="273">
        <f t="shared" si="4"/>
        <v>0</v>
      </c>
      <c r="N37" s="344">
        <f t="shared" si="13"/>
        <v>0</v>
      </c>
      <c r="O37" s="208">
        <v>0</v>
      </c>
      <c r="P37" s="350">
        <f t="shared" si="14"/>
        <v>0</v>
      </c>
      <c r="Q37" s="210">
        <f>(2*'[2]Table 5C1T-Northeast'!S37)+(6*'[20]Table 5C1T-Northeast'!S37)</f>
        <v>0</v>
      </c>
      <c r="R37" s="210">
        <f t="shared" si="15"/>
        <v>0</v>
      </c>
      <c r="S37" s="350">
        <f t="shared" si="5"/>
        <v>0</v>
      </c>
      <c r="T37" s="350">
        <f t="shared" si="16"/>
        <v>0</v>
      </c>
      <c r="U37" s="274">
        <f>'Table 5C1A-Madison Prep'!U37</f>
        <v>5028</v>
      </c>
      <c r="V37" s="327">
        <f t="shared" si="17"/>
        <v>0</v>
      </c>
      <c r="W37" s="883">
        <f>'[1]Oct midyear Northeast'!E34</f>
        <v>0</v>
      </c>
      <c r="X37" s="276">
        <f t="shared" si="18"/>
        <v>0</v>
      </c>
      <c r="Y37" s="883">
        <f>'[1]Feb midyear Northeast'!E34</f>
        <v>0</v>
      </c>
      <c r="Z37" s="276">
        <f t="shared" si="19"/>
        <v>0</v>
      </c>
      <c r="AA37" s="275">
        <f t="shared" si="20"/>
        <v>0</v>
      </c>
      <c r="AB37" s="323">
        <f t="shared" si="21"/>
        <v>0</v>
      </c>
      <c r="AC37" s="278">
        <f t="shared" si="22"/>
        <v>0</v>
      </c>
      <c r="AD37" s="323">
        <f t="shared" si="23"/>
        <v>0</v>
      </c>
      <c r="AE37" s="279">
        <v>0</v>
      </c>
      <c r="AF37" s="323">
        <f t="shared" si="24"/>
        <v>0</v>
      </c>
      <c r="AG37" s="279">
        <f>(2*'[2]Table 5C1T-Northeast'!AI37)+(6*'[20]Table 5C1T-Northeast'!AI37)</f>
        <v>0</v>
      </c>
      <c r="AH37" s="279">
        <f t="shared" si="25"/>
        <v>0</v>
      </c>
      <c r="AI37" s="323">
        <f t="shared" si="6"/>
        <v>0</v>
      </c>
      <c r="AJ37" s="337">
        <f t="shared" si="26"/>
        <v>0</v>
      </c>
      <c r="AK37" s="341">
        <f t="shared" si="27"/>
        <v>0</v>
      </c>
      <c r="AM37" s="273">
        <v>0</v>
      </c>
      <c r="AN37" s="273">
        <f t="shared" si="28"/>
        <v>0</v>
      </c>
      <c r="AO37" s="273">
        <f t="shared" si="29"/>
        <v>0</v>
      </c>
    </row>
    <row r="38" spans="1:41" ht="16.149999999999999" customHeight="1">
      <c r="A38" s="198">
        <v>32</v>
      </c>
      <c r="B38" s="199" t="s">
        <v>104</v>
      </c>
      <c r="C38" s="995">
        <v>0</v>
      </c>
      <c r="D38" s="201">
        <f>+'Table 5C1A-Madison Prep'!D38</f>
        <v>5652.819189061127</v>
      </c>
      <c r="E38" s="202">
        <f t="shared" si="8"/>
        <v>0</v>
      </c>
      <c r="F38" s="202">
        <f>+'Table 5C1A-Madison Prep'!F38</f>
        <v>559.77</v>
      </c>
      <c r="G38" s="202">
        <f t="shared" si="9"/>
        <v>0</v>
      </c>
      <c r="H38" s="345">
        <f t="shared" si="10"/>
        <v>0</v>
      </c>
      <c r="I38" s="203">
        <f>'[1]Oct midyear Northeast'!K35</f>
        <v>0</v>
      </c>
      <c r="J38" s="203">
        <f>'[1]Feb midyear Northeast'!K35</f>
        <v>0</v>
      </c>
      <c r="K38" s="204">
        <f t="shared" si="11"/>
        <v>0</v>
      </c>
      <c r="L38" s="345">
        <f t="shared" si="12"/>
        <v>0</v>
      </c>
      <c r="M38" s="286">
        <f t="shared" si="4"/>
        <v>0</v>
      </c>
      <c r="N38" s="345">
        <f t="shared" si="13"/>
        <v>0</v>
      </c>
      <c r="O38" s="201">
        <v>0</v>
      </c>
      <c r="P38" s="351">
        <f t="shared" si="14"/>
        <v>0</v>
      </c>
      <c r="Q38" s="203">
        <f>(2*'[2]Table 5C1T-Northeast'!S38)+(6*'[20]Table 5C1T-Northeast'!S38)</f>
        <v>0</v>
      </c>
      <c r="R38" s="203">
        <f t="shared" si="15"/>
        <v>0</v>
      </c>
      <c r="S38" s="351">
        <f t="shared" si="5"/>
        <v>0</v>
      </c>
      <c r="T38" s="351">
        <f t="shared" si="16"/>
        <v>0</v>
      </c>
      <c r="U38" s="287">
        <f>'Table 5C1A-Madison Prep'!U38</f>
        <v>2139</v>
      </c>
      <c r="V38" s="328">
        <f t="shared" si="17"/>
        <v>0</v>
      </c>
      <c r="W38" s="289">
        <f>'[1]Oct midyear Northeast'!E35</f>
        <v>0</v>
      </c>
      <c r="X38" s="290">
        <f t="shared" si="18"/>
        <v>0</v>
      </c>
      <c r="Y38" s="289">
        <f>'[1]Feb midyear Northeast'!E35</f>
        <v>0</v>
      </c>
      <c r="Z38" s="290">
        <f t="shared" si="19"/>
        <v>0</v>
      </c>
      <c r="AA38" s="288">
        <f t="shared" si="20"/>
        <v>0</v>
      </c>
      <c r="AB38" s="324">
        <f t="shared" si="21"/>
        <v>0</v>
      </c>
      <c r="AC38" s="292">
        <f t="shared" si="22"/>
        <v>0</v>
      </c>
      <c r="AD38" s="324">
        <f t="shared" si="23"/>
        <v>0</v>
      </c>
      <c r="AE38" s="293">
        <v>0</v>
      </c>
      <c r="AF38" s="324">
        <f t="shared" si="24"/>
        <v>0</v>
      </c>
      <c r="AG38" s="293">
        <f>(2*'[2]Table 5C1T-Northeast'!AI38)+(6*'[20]Table 5C1T-Northeast'!AI38)</f>
        <v>0</v>
      </c>
      <c r="AH38" s="293">
        <f t="shared" si="25"/>
        <v>0</v>
      </c>
      <c r="AI38" s="324">
        <f t="shared" si="6"/>
        <v>0</v>
      </c>
      <c r="AJ38" s="321">
        <f t="shared" si="26"/>
        <v>0</v>
      </c>
      <c r="AK38" s="342">
        <f t="shared" si="27"/>
        <v>0</v>
      </c>
      <c r="AM38" s="286">
        <v>0</v>
      </c>
      <c r="AN38" s="286">
        <f t="shared" si="28"/>
        <v>0</v>
      </c>
      <c r="AO38" s="286">
        <f t="shared" si="29"/>
        <v>0</v>
      </c>
    </row>
    <row r="39" spans="1:41" ht="16.149999999999999" customHeight="1">
      <c r="A39" s="198">
        <v>33</v>
      </c>
      <c r="B39" s="199" t="s">
        <v>105</v>
      </c>
      <c r="C39" s="995">
        <v>0</v>
      </c>
      <c r="D39" s="201">
        <f>+'Table 5C1A-Madison Prep'!D39</f>
        <v>5456.2254558085233</v>
      </c>
      <c r="E39" s="202">
        <f t="shared" si="8"/>
        <v>0</v>
      </c>
      <c r="F39" s="202">
        <f>+'Table 5C1A-Madison Prep'!F39</f>
        <v>655.31000000000006</v>
      </c>
      <c r="G39" s="202">
        <f t="shared" si="9"/>
        <v>0</v>
      </c>
      <c r="H39" s="345">
        <f t="shared" si="10"/>
        <v>0</v>
      </c>
      <c r="I39" s="203">
        <f>'[1]Oct midyear Northeast'!K36</f>
        <v>0</v>
      </c>
      <c r="J39" s="203">
        <f>'[1]Feb midyear Northeast'!K36</f>
        <v>0</v>
      </c>
      <c r="K39" s="204">
        <f t="shared" si="11"/>
        <v>0</v>
      </c>
      <c r="L39" s="345">
        <f t="shared" si="12"/>
        <v>0</v>
      </c>
      <c r="M39" s="286">
        <f t="shared" si="4"/>
        <v>0</v>
      </c>
      <c r="N39" s="345">
        <f t="shared" si="13"/>
        <v>0</v>
      </c>
      <c r="O39" s="201">
        <v>0</v>
      </c>
      <c r="P39" s="351">
        <f t="shared" si="14"/>
        <v>0</v>
      </c>
      <c r="Q39" s="203">
        <f>(2*'[2]Table 5C1T-Northeast'!S39)+(6*'[20]Table 5C1T-Northeast'!S39)</f>
        <v>0</v>
      </c>
      <c r="R39" s="203">
        <f t="shared" si="15"/>
        <v>0</v>
      </c>
      <c r="S39" s="351">
        <f t="shared" ref="S39:S70" si="30">ROUND(R39/$S$88,0)</f>
        <v>0</v>
      </c>
      <c r="T39" s="351">
        <f t="shared" si="16"/>
        <v>0</v>
      </c>
      <c r="U39" s="287">
        <f>'Table 5C1A-Madison Prep'!U39</f>
        <v>3784</v>
      </c>
      <c r="V39" s="328">
        <f t="shared" si="17"/>
        <v>0</v>
      </c>
      <c r="W39" s="289">
        <f>'[1]Oct midyear Northeast'!E36</f>
        <v>0</v>
      </c>
      <c r="X39" s="290">
        <f t="shared" si="18"/>
        <v>0</v>
      </c>
      <c r="Y39" s="289">
        <f>'[1]Feb midyear Northeast'!E36</f>
        <v>0</v>
      </c>
      <c r="Z39" s="290">
        <f t="shared" si="19"/>
        <v>0</v>
      </c>
      <c r="AA39" s="288">
        <f t="shared" si="20"/>
        <v>0</v>
      </c>
      <c r="AB39" s="324">
        <f t="shared" si="21"/>
        <v>0</v>
      </c>
      <c r="AC39" s="292">
        <f t="shared" si="22"/>
        <v>0</v>
      </c>
      <c r="AD39" s="324">
        <f t="shared" si="23"/>
        <v>0</v>
      </c>
      <c r="AE39" s="293">
        <v>0</v>
      </c>
      <c r="AF39" s="324">
        <f t="shared" si="24"/>
        <v>0</v>
      </c>
      <c r="AG39" s="293">
        <f>(2*'[2]Table 5C1T-Northeast'!AI39)+(6*'[20]Table 5C1T-Northeast'!AI39)</f>
        <v>0</v>
      </c>
      <c r="AH39" s="293">
        <f t="shared" si="25"/>
        <v>0</v>
      </c>
      <c r="AI39" s="324">
        <f t="shared" ref="AI39:AI70" si="31">ROUND(AH39/$AI$88,0)</f>
        <v>0</v>
      </c>
      <c r="AJ39" s="321">
        <f t="shared" si="26"/>
        <v>0</v>
      </c>
      <c r="AK39" s="342">
        <f t="shared" si="27"/>
        <v>0</v>
      </c>
      <c r="AM39" s="286">
        <v>0</v>
      </c>
      <c r="AN39" s="286">
        <f t="shared" si="28"/>
        <v>0</v>
      </c>
      <c r="AO39" s="286">
        <f t="shared" si="29"/>
        <v>0</v>
      </c>
    </row>
    <row r="40" spans="1:41" ht="16.149999999999999" customHeight="1">
      <c r="A40" s="198">
        <v>34</v>
      </c>
      <c r="B40" s="199" t="s">
        <v>106</v>
      </c>
      <c r="C40" s="995">
        <v>0</v>
      </c>
      <c r="D40" s="201">
        <f>+'Table 5C1A-Madison Prep'!D40</f>
        <v>6292.0976842789005</v>
      </c>
      <c r="E40" s="202">
        <f t="shared" si="8"/>
        <v>0</v>
      </c>
      <c r="F40" s="202">
        <f>+'Table 5C1A-Madison Prep'!F40</f>
        <v>644.11000000000013</v>
      </c>
      <c r="G40" s="202">
        <f t="shared" si="9"/>
        <v>0</v>
      </c>
      <c r="H40" s="345">
        <f t="shared" si="10"/>
        <v>0</v>
      </c>
      <c r="I40" s="203">
        <f>'[1]Oct midyear Northeast'!K37</f>
        <v>0</v>
      </c>
      <c r="J40" s="203">
        <f>'[1]Feb midyear Northeast'!K37</f>
        <v>0</v>
      </c>
      <c r="K40" s="204">
        <f t="shared" si="11"/>
        <v>0</v>
      </c>
      <c r="L40" s="345">
        <f t="shared" si="12"/>
        <v>0</v>
      </c>
      <c r="M40" s="286">
        <f t="shared" si="4"/>
        <v>0</v>
      </c>
      <c r="N40" s="345">
        <f t="shared" si="13"/>
        <v>0</v>
      </c>
      <c r="O40" s="201">
        <v>0</v>
      </c>
      <c r="P40" s="351">
        <f t="shared" si="14"/>
        <v>0</v>
      </c>
      <c r="Q40" s="203">
        <f>(2*'[2]Table 5C1T-Northeast'!S40)+(6*'[20]Table 5C1T-Northeast'!S40)</f>
        <v>0</v>
      </c>
      <c r="R40" s="203">
        <f t="shared" si="15"/>
        <v>0</v>
      </c>
      <c r="S40" s="351">
        <f t="shared" si="30"/>
        <v>0</v>
      </c>
      <c r="T40" s="351">
        <f t="shared" si="16"/>
        <v>0</v>
      </c>
      <c r="U40" s="287">
        <f>'Table 5C1A-Madison Prep'!U40</f>
        <v>2911</v>
      </c>
      <c r="V40" s="328">
        <f t="shared" si="17"/>
        <v>0</v>
      </c>
      <c r="W40" s="289">
        <f>'[1]Oct midyear Northeast'!E37</f>
        <v>0</v>
      </c>
      <c r="X40" s="290">
        <f t="shared" si="18"/>
        <v>0</v>
      </c>
      <c r="Y40" s="289">
        <f>'[1]Feb midyear Northeast'!E37</f>
        <v>0</v>
      </c>
      <c r="Z40" s="290">
        <f t="shared" si="19"/>
        <v>0</v>
      </c>
      <c r="AA40" s="288">
        <f t="shared" si="20"/>
        <v>0</v>
      </c>
      <c r="AB40" s="324">
        <f t="shared" si="21"/>
        <v>0</v>
      </c>
      <c r="AC40" s="292">
        <f t="shared" si="22"/>
        <v>0</v>
      </c>
      <c r="AD40" s="324">
        <f t="shared" si="23"/>
        <v>0</v>
      </c>
      <c r="AE40" s="293">
        <v>0</v>
      </c>
      <c r="AF40" s="324">
        <f t="shared" si="24"/>
        <v>0</v>
      </c>
      <c r="AG40" s="293">
        <f>(2*'[2]Table 5C1T-Northeast'!AI40)+(6*'[20]Table 5C1T-Northeast'!AI40)</f>
        <v>0</v>
      </c>
      <c r="AH40" s="293">
        <f t="shared" si="25"/>
        <v>0</v>
      </c>
      <c r="AI40" s="324">
        <f t="shared" si="31"/>
        <v>0</v>
      </c>
      <c r="AJ40" s="321">
        <f t="shared" si="26"/>
        <v>0</v>
      </c>
      <c r="AK40" s="342">
        <f t="shared" si="27"/>
        <v>0</v>
      </c>
      <c r="AM40" s="286">
        <v>0</v>
      </c>
      <c r="AN40" s="286">
        <f t="shared" si="28"/>
        <v>0</v>
      </c>
      <c r="AO40" s="286">
        <f t="shared" si="29"/>
        <v>0</v>
      </c>
    </row>
    <row r="41" spans="1:41" ht="16.149999999999999" customHeight="1">
      <c r="A41" s="191">
        <v>35</v>
      </c>
      <c r="B41" s="192" t="s">
        <v>107</v>
      </c>
      <c r="C41" s="996">
        <v>0</v>
      </c>
      <c r="D41" s="194">
        <f>+'Table 5C1A-Madison Prep'!D41</f>
        <v>5166.2482060477605</v>
      </c>
      <c r="E41" s="195">
        <f t="shared" si="8"/>
        <v>0</v>
      </c>
      <c r="F41" s="195">
        <f>+'Table 5C1A-Madison Prep'!F41</f>
        <v>537.96</v>
      </c>
      <c r="G41" s="195">
        <f t="shared" si="9"/>
        <v>0</v>
      </c>
      <c r="H41" s="346">
        <f t="shared" si="10"/>
        <v>0</v>
      </c>
      <c r="I41" s="196">
        <f>'[1]Oct midyear Northeast'!K38</f>
        <v>0</v>
      </c>
      <c r="J41" s="196">
        <f>'[1]Feb midyear Northeast'!K38</f>
        <v>0</v>
      </c>
      <c r="K41" s="197">
        <f t="shared" si="11"/>
        <v>0</v>
      </c>
      <c r="L41" s="346">
        <f t="shared" si="12"/>
        <v>0</v>
      </c>
      <c r="M41" s="296">
        <f t="shared" si="4"/>
        <v>0</v>
      </c>
      <c r="N41" s="346">
        <f t="shared" si="13"/>
        <v>0</v>
      </c>
      <c r="O41" s="194">
        <v>0</v>
      </c>
      <c r="P41" s="352">
        <f t="shared" si="14"/>
        <v>0</v>
      </c>
      <c r="Q41" s="196">
        <f>(2*'[2]Table 5C1T-Northeast'!S41)+(6*'[20]Table 5C1T-Northeast'!S41)</f>
        <v>0</v>
      </c>
      <c r="R41" s="196">
        <f t="shared" si="15"/>
        <v>0</v>
      </c>
      <c r="S41" s="352">
        <f t="shared" si="30"/>
        <v>0</v>
      </c>
      <c r="T41" s="352">
        <f t="shared" si="16"/>
        <v>0</v>
      </c>
      <c r="U41" s="281">
        <f>'Table 5C1A-Madison Prep'!U41</f>
        <v>3337</v>
      </c>
      <c r="V41" s="329">
        <f t="shared" si="17"/>
        <v>0</v>
      </c>
      <c r="W41" s="884">
        <f>'[1]Oct midyear Northeast'!E38</f>
        <v>0</v>
      </c>
      <c r="X41" s="282">
        <f t="shared" si="18"/>
        <v>0</v>
      </c>
      <c r="Y41" s="884">
        <f>'[1]Feb midyear Northeast'!E38</f>
        <v>0</v>
      </c>
      <c r="Z41" s="282">
        <f t="shared" si="19"/>
        <v>0</v>
      </c>
      <c r="AA41" s="283">
        <f t="shared" si="20"/>
        <v>0</v>
      </c>
      <c r="AB41" s="325">
        <f t="shared" si="21"/>
        <v>0</v>
      </c>
      <c r="AC41" s="298">
        <f t="shared" si="22"/>
        <v>0</v>
      </c>
      <c r="AD41" s="325">
        <f t="shared" si="23"/>
        <v>0</v>
      </c>
      <c r="AE41" s="284">
        <v>0</v>
      </c>
      <c r="AF41" s="325">
        <f t="shared" si="24"/>
        <v>0</v>
      </c>
      <c r="AG41" s="284">
        <f>(2*'[2]Table 5C1T-Northeast'!AI41)+(6*'[20]Table 5C1T-Northeast'!AI41)</f>
        <v>0</v>
      </c>
      <c r="AH41" s="284">
        <f t="shared" si="25"/>
        <v>0</v>
      </c>
      <c r="AI41" s="325">
        <f t="shared" si="31"/>
        <v>0</v>
      </c>
      <c r="AJ41" s="338">
        <f t="shared" si="26"/>
        <v>0</v>
      </c>
      <c r="AK41" s="343">
        <f t="shared" si="27"/>
        <v>0</v>
      </c>
      <c r="AM41" s="296">
        <v>0</v>
      </c>
      <c r="AN41" s="296">
        <f t="shared" si="28"/>
        <v>0</v>
      </c>
      <c r="AO41" s="296">
        <f t="shared" si="29"/>
        <v>0</v>
      </c>
    </row>
    <row r="42" spans="1:41" ht="16.149999999999999" customHeight="1">
      <c r="A42" s="205">
        <v>36</v>
      </c>
      <c r="B42" s="206" t="s">
        <v>108</v>
      </c>
      <c r="C42" s="994">
        <v>0</v>
      </c>
      <c r="D42" s="208">
        <f>+'Table 5C1A-Madison Prep'!D42</f>
        <v>3602.7009974327857</v>
      </c>
      <c r="E42" s="209">
        <f t="shared" si="8"/>
        <v>0</v>
      </c>
      <c r="F42" s="209">
        <f>+'Table 5C1A-Madison Prep'!F42</f>
        <v>746.0335616438357</v>
      </c>
      <c r="G42" s="209">
        <f t="shared" si="9"/>
        <v>0</v>
      </c>
      <c r="H42" s="344">
        <f t="shared" si="10"/>
        <v>0</v>
      </c>
      <c r="I42" s="210">
        <f>'[1]Oct midyear Northeast'!K39</f>
        <v>0</v>
      </c>
      <c r="J42" s="210">
        <f>'[1]Feb midyear Northeast'!K39</f>
        <v>0</v>
      </c>
      <c r="K42" s="211">
        <f t="shared" si="11"/>
        <v>0</v>
      </c>
      <c r="L42" s="344">
        <f t="shared" si="12"/>
        <v>0</v>
      </c>
      <c r="M42" s="273">
        <f t="shared" si="4"/>
        <v>0</v>
      </c>
      <c r="N42" s="344">
        <f t="shared" si="13"/>
        <v>0</v>
      </c>
      <c r="O42" s="208">
        <v>0</v>
      </c>
      <c r="P42" s="350">
        <f t="shared" si="14"/>
        <v>0</v>
      </c>
      <c r="Q42" s="210">
        <f>(2*'[2]Table 5C1T-Northeast'!S42)+(6*'[20]Table 5C1T-Northeast'!S42)</f>
        <v>0</v>
      </c>
      <c r="R42" s="210">
        <f t="shared" si="15"/>
        <v>0</v>
      </c>
      <c r="S42" s="350">
        <f t="shared" si="30"/>
        <v>0</v>
      </c>
      <c r="T42" s="350">
        <f t="shared" si="16"/>
        <v>0</v>
      </c>
      <c r="U42" s="274">
        <f>'Table 5C1A-Madison Prep'!U42</f>
        <v>5469</v>
      </c>
      <c r="V42" s="327">
        <f t="shared" si="17"/>
        <v>0</v>
      </c>
      <c r="W42" s="883">
        <f>'[1]Oct midyear Northeast'!E39</f>
        <v>0</v>
      </c>
      <c r="X42" s="276">
        <f t="shared" si="18"/>
        <v>0</v>
      </c>
      <c r="Y42" s="883">
        <f>'[1]Feb midyear Northeast'!E39</f>
        <v>0</v>
      </c>
      <c r="Z42" s="276">
        <f t="shared" si="19"/>
        <v>0</v>
      </c>
      <c r="AA42" s="275">
        <f t="shared" si="20"/>
        <v>0</v>
      </c>
      <c r="AB42" s="323">
        <f t="shared" si="21"/>
        <v>0</v>
      </c>
      <c r="AC42" s="278">
        <f t="shared" si="22"/>
        <v>0</v>
      </c>
      <c r="AD42" s="323">
        <f t="shared" si="23"/>
        <v>0</v>
      </c>
      <c r="AE42" s="279">
        <v>0</v>
      </c>
      <c r="AF42" s="323">
        <f t="shared" si="24"/>
        <v>0</v>
      </c>
      <c r="AG42" s="279">
        <f>(2*'[2]Table 5C1T-Northeast'!AI42)+(6*'[20]Table 5C1T-Northeast'!AI42)</f>
        <v>0</v>
      </c>
      <c r="AH42" s="279">
        <f t="shared" si="25"/>
        <v>0</v>
      </c>
      <c r="AI42" s="323">
        <f t="shared" si="31"/>
        <v>0</v>
      </c>
      <c r="AJ42" s="337">
        <f t="shared" si="26"/>
        <v>0</v>
      </c>
      <c r="AK42" s="341">
        <f t="shared" si="27"/>
        <v>0</v>
      </c>
      <c r="AM42" s="273">
        <v>0</v>
      </c>
      <c r="AN42" s="273">
        <f t="shared" si="28"/>
        <v>0</v>
      </c>
      <c r="AO42" s="273">
        <f t="shared" si="29"/>
        <v>0</v>
      </c>
    </row>
    <row r="43" spans="1:41" ht="16.149999999999999" customHeight="1">
      <c r="A43" s="198">
        <v>37</v>
      </c>
      <c r="B43" s="199" t="s">
        <v>109</v>
      </c>
      <c r="C43" s="995">
        <v>0</v>
      </c>
      <c r="D43" s="201">
        <f>+'Table 5C1A-Madison Prep'!D43</f>
        <v>5665.3839260317691</v>
      </c>
      <c r="E43" s="202">
        <f t="shared" si="8"/>
        <v>0</v>
      </c>
      <c r="F43" s="202">
        <f>+'Table 5C1A-Madison Prep'!F43</f>
        <v>653.61</v>
      </c>
      <c r="G43" s="202">
        <f t="shared" si="9"/>
        <v>0</v>
      </c>
      <c r="H43" s="345">
        <f t="shared" si="10"/>
        <v>0</v>
      </c>
      <c r="I43" s="203">
        <f>'[1]Oct midyear Northeast'!K40</f>
        <v>0</v>
      </c>
      <c r="J43" s="203">
        <f>'[1]Feb midyear Northeast'!K40</f>
        <v>0</v>
      </c>
      <c r="K43" s="204">
        <f t="shared" si="11"/>
        <v>0</v>
      </c>
      <c r="L43" s="345">
        <f t="shared" si="12"/>
        <v>0</v>
      </c>
      <c r="M43" s="286">
        <f t="shared" si="4"/>
        <v>0</v>
      </c>
      <c r="N43" s="345">
        <f t="shared" si="13"/>
        <v>0</v>
      </c>
      <c r="O43" s="201">
        <v>0</v>
      </c>
      <c r="P43" s="351">
        <f t="shared" si="14"/>
        <v>0</v>
      </c>
      <c r="Q43" s="203">
        <f>(2*'[2]Table 5C1T-Northeast'!S43)+(6*'[20]Table 5C1T-Northeast'!S43)</f>
        <v>0</v>
      </c>
      <c r="R43" s="203">
        <f t="shared" si="15"/>
        <v>0</v>
      </c>
      <c r="S43" s="351">
        <f t="shared" si="30"/>
        <v>0</v>
      </c>
      <c r="T43" s="351">
        <f t="shared" si="16"/>
        <v>0</v>
      </c>
      <c r="U43" s="287">
        <f>'Table 5C1A-Madison Prep'!U43</f>
        <v>3424</v>
      </c>
      <c r="V43" s="328">
        <f t="shared" si="17"/>
        <v>0</v>
      </c>
      <c r="W43" s="289">
        <f>'[1]Oct midyear Northeast'!E40</f>
        <v>0</v>
      </c>
      <c r="X43" s="290">
        <f t="shared" si="18"/>
        <v>0</v>
      </c>
      <c r="Y43" s="289">
        <f>'[1]Feb midyear Northeast'!E40</f>
        <v>0</v>
      </c>
      <c r="Z43" s="290">
        <f t="shared" si="19"/>
        <v>0</v>
      </c>
      <c r="AA43" s="288">
        <f t="shared" si="20"/>
        <v>0</v>
      </c>
      <c r="AB43" s="324">
        <f t="shared" si="21"/>
        <v>0</v>
      </c>
      <c r="AC43" s="292">
        <f t="shared" si="22"/>
        <v>0</v>
      </c>
      <c r="AD43" s="324">
        <f t="shared" si="23"/>
        <v>0</v>
      </c>
      <c r="AE43" s="293">
        <v>0</v>
      </c>
      <c r="AF43" s="324">
        <f t="shared" si="24"/>
        <v>0</v>
      </c>
      <c r="AG43" s="293">
        <f>(2*'[2]Table 5C1T-Northeast'!AI43)+(6*'[20]Table 5C1T-Northeast'!AI43)</f>
        <v>0</v>
      </c>
      <c r="AH43" s="293">
        <f t="shared" si="25"/>
        <v>0</v>
      </c>
      <c r="AI43" s="324">
        <f t="shared" si="31"/>
        <v>0</v>
      </c>
      <c r="AJ43" s="321">
        <f t="shared" si="26"/>
        <v>0</v>
      </c>
      <c r="AK43" s="342">
        <f t="shared" si="27"/>
        <v>0</v>
      </c>
      <c r="AM43" s="286">
        <v>0</v>
      </c>
      <c r="AN43" s="286">
        <f t="shared" si="28"/>
        <v>0</v>
      </c>
      <c r="AO43" s="286">
        <f t="shared" si="29"/>
        <v>0</v>
      </c>
    </row>
    <row r="44" spans="1:41" ht="16.149999999999999" customHeight="1">
      <c r="A44" s="198">
        <v>38</v>
      </c>
      <c r="B44" s="199" t="s">
        <v>110</v>
      </c>
      <c r="C44" s="995">
        <v>0</v>
      </c>
      <c r="D44" s="201">
        <f>+'Table 5C1A-Madison Prep'!D44</f>
        <v>2088.8017552916881</v>
      </c>
      <c r="E44" s="202">
        <f t="shared" si="8"/>
        <v>0</v>
      </c>
      <c r="F44" s="202">
        <f>+'Table 5C1A-Madison Prep'!F44</f>
        <v>829.92000000000007</v>
      </c>
      <c r="G44" s="202">
        <f t="shared" si="9"/>
        <v>0</v>
      </c>
      <c r="H44" s="345">
        <f t="shared" si="10"/>
        <v>0</v>
      </c>
      <c r="I44" s="203">
        <f>'[1]Oct midyear Northeast'!K41</f>
        <v>0</v>
      </c>
      <c r="J44" s="203">
        <f>'[1]Feb midyear Northeast'!K41</f>
        <v>0</v>
      </c>
      <c r="K44" s="204">
        <f t="shared" si="11"/>
        <v>0</v>
      </c>
      <c r="L44" s="345">
        <f t="shared" si="12"/>
        <v>0</v>
      </c>
      <c r="M44" s="286">
        <f t="shared" si="4"/>
        <v>0</v>
      </c>
      <c r="N44" s="345">
        <f t="shared" si="13"/>
        <v>0</v>
      </c>
      <c r="O44" s="201">
        <v>0</v>
      </c>
      <c r="P44" s="351">
        <f t="shared" si="14"/>
        <v>0</v>
      </c>
      <c r="Q44" s="203">
        <f>(2*'[2]Table 5C1T-Northeast'!S44)+(6*'[20]Table 5C1T-Northeast'!S44)</f>
        <v>0</v>
      </c>
      <c r="R44" s="203">
        <f t="shared" si="15"/>
        <v>0</v>
      </c>
      <c r="S44" s="351">
        <f t="shared" si="30"/>
        <v>0</v>
      </c>
      <c r="T44" s="351">
        <f t="shared" si="16"/>
        <v>0</v>
      </c>
      <c r="U44" s="287">
        <f>'Table 5C1A-Madison Prep'!U44</f>
        <v>11060</v>
      </c>
      <c r="V44" s="328">
        <f t="shared" si="17"/>
        <v>0</v>
      </c>
      <c r="W44" s="289">
        <f>'[1]Oct midyear Northeast'!E41</f>
        <v>0</v>
      </c>
      <c r="X44" s="290">
        <f t="shared" si="18"/>
        <v>0</v>
      </c>
      <c r="Y44" s="289">
        <f>'[1]Feb midyear Northeast'!E41</f>
        <v>0</v>
      </c>
      <c r="Z44" s="290">
        <f t="shared" si="19"/>
        <v>0</v>
      </c>
      <c r="AA44" s="288">
        <f t="shared" si="20"/>
        <v>0</v>
      </c>
      <c r="AB44" s="324">
        <f t="shared" si="21"/>
        <v>0</v>
      </c>
      <c r="AC44" s="292">
        <f t="shared" si="22"/>
        <v>0</v>
      </c>
      <c r="AD44" s="324">
        <f t="shared" si="23"/>
        <v>0</v>
      </c>
      <c r="AE44" s="293">
        <v>0</v>
      </c>
      <c r="AF44" s="324">
        <f t="shared" si="24"/>
        <v>0</v>
      </c>
      <c r="AG44" s="293">
        <f>(2*'[2]Table 5C1T-Northeast'!AI44)+(6*'[20]Table 5C1T-Northeast'!AI44)</f>
        <v>0</v>
      </c>
      <c r="AH44" s="293">
        <f t="shared" si="25"/>
        <v>0</v>
      </c>
      <c r="AI44" s="324">
        <f t="shared" si="31"/>
        <v>0</v>
      </c>
      <c r="AJ44" s="321">
        <f t="shared" si="26"/>
        <v>0</v>
      </c>
      <c r="AK44" s="342">
        <f t="shared" si="27"/>
        <v>0</v>
      </c>
      <c r="AM44" s="286">
        <v>0</v>
      </c>
      <c r="AN44" s="286">
        <f t="shared" si="28"/>
        <v>0</v>
      </c>
      <c r="AO44" s="286">
        <f t="shared" si="29"/>
        <v>0</v>
      </c>
    </row>
    <row r="45" spans="1:41" ht="16.149999999999999" customHeight="1">
      <c r="A45" s="198">
        <v>39</v>
      </c>
      <c r="B45" s="199" t="s">
        <v>111</v>
      </c>
      <c r="C45" s="995">
        <v>0</v>
      </c>
      <c r="D45" s="201">
        <f>+'Table 5C1A-Madison Prep'!D45</f>
        <v>3656.9056809295676</v>
      </c>
      <c r="E45" s="202">
        <f t="shared" si="8"/>
        <v>0</v>
      </c>
      <c r="F45" s="202">
        <f>+'Table 5C1A-Madison Prep'!F45</f>
        <v>779.65573042776396</v>
      </c>
      <c r="G45" s="202">
        <f t="shared" si="9"/>
        <v>0</v>
      </c>
      <c r="H45" s="345">
        <f t="shared" si="10"/>
        <v>0</v>
      </c>
      <c r="I45" s="203">
        <f>'[1]Oct midyear Northeast'!K42</f>
        <v>0</v>
      </c>
      <c r="J45" s="203">
        <f>'[1]Feb midyear Northeast'!K42</f>
        <v>0</v>
      </c>
      <c r="K45" s="204">
        <f t="shared" si="11"/>
        <v>0</v>
      </c>
      <c r="L45" s="345">
        <f t="shared" si="12"/>
        <v>0</v>
      </c>
      <c r="M45" s="286">
        <f t="shared" si="4"/>
        <v>0</v>
      </c>
      <c r="N45" s="345">
        <f t="shared" si="13"/>
        <v>0</v>
      </c>
      <c r="O45" s="201">
        <v>0</v>
      </c>
      <c r="P45" s="351">
        <f t="shared" si="14"/>
        <v>0</v>
      </c>
      <c r="Q45" s="203">
        <f>(2*'[2]Table 5C1T-Northeast'!S45)+(6*'[20]Table 5C1T-Northeast'!S45)</f>
        <v>0</v>
      </c>
      <c r="R45" s="203">
        <f t="shared" si="15"/>
        <v>0</v>
      </c>
      <c r="S45" s="351">
        <f t="shared" si="30"/>
        <v>0</v>
      </c>
      <c r="T45" s="351">
        <f t="shared" si="16"/>
        <v>0</v>
      </c>
      <c r="U45" s="287">
        <f>'Table 5C1A-Madison Prep'!U45</f>
        <v>4922</v>
      </c>
      <c r="V45" s="328">
        <f t="shared" si="17"/>
        <v>0</v>
      </c>
      <c r="W45" s="289">
        <f>'[1]Oct midyear Northeast'!E42</f>
        <v>0</v>
      </c>
      <c r="X45" s="290">
        <f t="shared" si="18"/>
        <v>0</v>
      </c>
      <c r="Y45" s="289">
        <f>'[1]Feb midyear Northeast'!E42</f>
        <v>0</v>
      </c>
      <c r="Z45" s="290">
        <f t="shared" si="19"/>
        <v>0</v>
      </c>
      <c r="AA45" s="288">
        <f t="shared" si="20"/>
        <v>0</v>
      </c>
      <c r="AB45" s="324">
        <f t="shared" si="21"/>
        <v>0</v>
      </c>
      <c r="AC45" s="292">
        <f t="shared" si="22"/>
        <v>0</v>
      </c>
      <c r="AD45" s="324">
        <f t="shared" si="23"/>
        <v>0</v>
      </c>
      <c r="AE45" s="293">
        <v>0</v>
      </c>
      <c r="AF45" s="324">
        <f t="shared" si="24"/>
        <v>0</v>
      </c>
      <c r="AG45" s="293">
        <f>(2*'[2]Table 5C1T-Northeast'!AI45)+(6*'[20]Table 5C1T-Northeast'!AI45)</f>
        <v>0</v>
      </c>
      <c r="AH45" s="293">
        <f t="shared" si="25"/>
        <v>0</v>
      </c>
      <c r="AI45" s="324">
        <f t="shared" si="31"/>
        <v>0</v>
      </c>
      <c r="AJ45" s="321">
        <f t="shared" si="26"/>
        <v>0</v>
      </c>
      <c r="AK45" s="342">
        <f t="shared" si="27"/>
        <v>0</v>
      </c>
      <c r="AM45" s="286">
        <v>0</v>
      </c>
      <c r="AN45" s="286">
        <f t="shared" si="28"/>
        <v>0</v>
      </c>
      <c r="AO45" s="286">
        <f t="shared" si="29"/>
        <v>0</v>
      </c>
    </row>
    <row r="46" spans="1:41" ht="16.149999999999999" customHeight="1">
      <c r="A46" s="191">
        <v>40</v>
      </c>
      <c r="B46" s="192" t="s">
        <v>112</v>
      </c>
      <c r="C46" s="996">
        <v>0</v>
      </c>
      <c r="D46" s="194">
        <f>+'Table 5C1A-Madison Prep'!D46</f>
        <v>5121.8110285698403</v>
      </c>
      <c r="E46" s="195">
        <f t="shared" si="8"/>
        <v>0</v>
      </c>
      <c r="F46" s="195">
        <f>+'Table 5C1A-Madison Prep'!F46</f>
        <v>700.2700000000001</v>
      </c>
      <c r="G46" s="195">
        <f t="shared" si="9"/>
        <v>0</v>
      </c>
      <c r="H46" s="346">
        <f t="shared" si="10"/>
        <v>0</v>
      </c>
      <c r="I46" s="196">
        <f>'[1]Oct midyear Northeast'!K43</f>
        <v>0</v>
      </c>
      <c r="J46" s="196">
        <f>'[1]Feb midyear Northeast'!K43</f>
        <v>0</v>
      </c>
      <c r="K46" s="197">
        <f t="shared" si="11"/>
        <v>0</v>
      </c>
      <c r="L46" s="346">
        <f t="shared" si="12"/>
        <v>0</v>
      </c>
      <c r="M46" s="296">
        <f t="shared" si="4"/>
        <v>0</v>
      </c>
      <c r="N46" s="346">
        <f t="shared" si="13"/>
        <v>0</v>
      </c>
      <c r="O46" s="194">
        <v>0</v>
      </c>
      <c r="P46" s="352">
        <f t="shared" si="14"/>
        <v>0</v>
      </c>
      <c r="Q46" s="196">
        <f>(2*'[2]Table 5C1T-Northeast'!S46)+(6*'[20]Table 5C1T-Northeast'!S46)</f>
        <v>0</v>
      </c>
      <c r="R46" s="196">
        <f t="shared" si="15"/>
        <v>0</v>
      </c>
      <c r="S46" s="352">
        <f t="shared" si="30"/>
        <v>0</v>
      </c>
      <c r="T46" s="352">
        <f t="shared" si="16"/>
        <v>0</v>
      </c>
      <c r="U46" s="281">
        <f>'Table 5C1A-Madison Prep'!U46</f>
        <v>3152</v>
      </c>
      <c r="V46" s="329">
        <f t="shared" si="17"/>
        <v>0</v>
      </c>
      <c r="W46" s="884">
        <f>'[1]Oct midyear Northeast'!E43</f>
        <v>0</v>
      </c>
      <c r="X46" s="282">
        <f t="shared" si="18"/>
        <v>0</v>
      </c>
      <c r="Y46" s="884">
        <f>'[1]Feb midyear Northeast'!E43</f>
        <v>0</v>
      </c>
      <c r="Z46" s="282">
        <f t="shared" si="19"/>
        <v>0</v>
      </c>
      <c r="AA46" s="283">
        <f t="shared" si="20"/>
        <v>0</v>
      </c>
      <c r="AB46" s="325">
        <f t="shared" si="21"/>
        <v>0</v>
      </c>
      <c r="AC46" s="298">
        <f t="shared" si="22"/>
        <v>0</v>
      </c>
      <c r="AD46" s="325">
        <f t="shared" si="23"/>
        <v>0</v>
      </c>
      <c r="AE46" s="284">
        <v>0</v>
      </c>
      <c r="AF46" s="325">
        <f t="shared" si="24"/>
        <v>0</v>
      </c>
      <c r="AG46" s="284">
        <f>(2*'[2]Table 5C1T-Northeast'!AI46)+(6*'[20]Table 5C1T-Northeast'!AI46)</f>
        <v>0</v>
      </c>
      <c r="AH46" s="284">
        <f t="shared" si="25"/>
        <v>0</v>
      </c>
      <c r="AI46" s="325">
        <f t="shared" si="31"/>
        <v>0</v>
      </c>
      <c r="AJ46" s="338">
        <f t="shared" si="26"/>
        <v>0</v>
      </c>
      <c r="AK46" s="343">
        <f t="shared" si="27"/>
        <v>0</v>
      </c>
      <c r="AM46" s="296">
        <v>0</v>
      </c>
      <c r="AN46" s="296">
        <f t="shared" si="28"/>
        <v>0</v>
      </c>
      <c r="AO46" s="296">
        <f t="shared" si="29"/>
        <v>0</v>
      </c>
    </row>
    <row r="47" spans="1:41" ht="16.149999999999999" customHeight="1">
      <c r="A47" s="205">
        <v>41</v>
      </c>
      <c r="B47" s="206" t="s">
        <v>113</v>
      </c>
      <c r="C47" s="994">
        <v>0</v>
      </c>
      <c r="D47" s="208">
        <f>+'Table 5C1A-Madison Prep'!D47</f>
        <v>3291.1948574716475</v>
      </c>
      <c r="E47" s="209">
        <f t="shared" si="8"/>
        <v>0</v>
      </c>
      <c r="F47" s="209">
        <f>+'Table 5C1A-Madison Prep'!F47</f>
        <v>886.22</v>
      </c>
      <c r="G47" s="209">
        <f t="shared" si="9"/>
        <v>0</v>
      </c>
      <c r="H47" s="344">
        <f t="shared" si="10"/>
        <v>0</v>
      </c>
      <c r="I47" s="210">
        <f>'[1]Oct midyear Northeast'!K44</f>
        <v>0</v>
      </c>
      <c r="J47" s="210">
        <f>'[1]Feb midyear Northeast'!K44</f>
        <v>0</v>
      </c>
      <c r="K47" s="211">
        <f t="shared" si="11"/>
        <v>0</v>
      </c>
      <c r="L47" s="344">
        <f t="shared" si="12"/>
        <v>0</v>
      </c>
      <c r="M47" s="273">
        <f t="shared" si="4"/>
        <v>0</v>
      </c>
      <c r="N47" s="344">
        <f t="shared" si="13"/>
        <v>0</v>
      </c>
      <c r="O47" s="208">
        <v>0</v>
      </c>
      <c r="P47" s="350">
        <f t="shared" si="14"/>
        <v>0</v>
      </c>
      <c r="Q47" s="210">
        <f>(2*'[2]Table 5C1T-Northeast'!S47)+(6*'[20]Table 5C1T-Northeast'!S47)</f>
        <v>0</v>
      </c>
      <c r="R47" s="210">
        <f t="shared" si="15"/>
        <v>0</v>
      </c>
      <c r="S47" s="350">
        <f t="shared" si="30"/>
        <v>0</v>
      </c>
      <c r="T47" s="350">
        <f t="shared" si="16"/>
        <v>0</v>
      </c>
      <c r="U47" s="274">
        <f>'Table 5C1A-Madison Prep'!U47</f>
        <v>9422</v>
      </c>
      <c r="V47" s="327">
        <f t="shared" si="17"/>
        <v>0</v>
      </c>
      <c r="W47" s="883">
        <f>'[1]Oct midyear Northeast'!E44</f>
        <v>0</v>
      </c>
      <c r="X47" s="276">
        <f t="shared" si="18"/>
        <v>0</v>
      </c>
      <c r="Y47" s="883">
        <f>'[1]Feb midyear Northeast'!E44</f>
        <v>0</v>
      </c>
      <c r="Z47" s="276">
        <f t="shared" si="19"/>
        <v>0</v>
      </c>
      <c r="AA47" s="275">
        <f t="shared" si="20"/>
        <v>0</v>
      </c>
      <c r="AB47" s="323">
        <f t="shared" si="21"/>
        <v>0</v>
      </c>
      <c r="AC47" s="278">
        <f t="shared" si="22"/>
        <v>0</v>
      </c>
      <c r="AD47" s="323">
        <f t="shared" si="23"/>
        <v>0</v>
      </c>
      <c r="AE47" s="279">
        <v>0</v>
      </c>
      <c r="AF47" s="323">
        <f t="shared" si="24"/>
        <v>0</v>
      </c>
      <c r="AG47" s="279">
        <f>(2*'[2]Table 5C1T-Northeast'!AI47)+(6*'[20]Table 5C1T-Northeast'!AI47)</f>
        <v>0</v>
      </c>
      <c r="AH47" s="279">
        <f t="shared" si="25"/>
        <v>0</v>
      </c>
      <c r="AI47" s="323">
        <f t="shared" si="31"/>
        <v>0</v>
      </c>
      <c r="AJ47" s="337">
        <f t="shared" si="26"/>
        <v>0</v>
      </c>
      <c r="AK47" s="341">
        <f t="shared" si="27"/>
        <v>0</v>
      </c>
      <c r="AM47" s="273">
        <v>0</v>
      </c>
      <c r="AN47" s="273">
        <f t="shared" si="28"/>
        <v>0</v>
      </c>
      <c r="AO47" s="273">
        <f t="shared" si="29"/>
        <v>0</v>
      </c>
    </row>
    <row r="48" spans="1:41" ht="16.149999999999999" customHeight="1">
      <c r="A48" s="198">
        <v>42</v>
      </c>
      <c r="B48" s="199" t="s">
        <v>114</v>
      </c>
      <c r="C48" s="995">
        <v>0</v>
      </c>
      <c r="D48" s="201">
        <f>+'Table 5C1A-Madison Prep'!D48</f>
        <v>5113.6077751368684</v>
      </c>
      <c r="E48" s="202">
        <f t="shared" si="8"/>
        <v>0</v>
      </c>
      <c r="F48" s="202">
        <f>+'Table 5C1A-Madison Prep'!F48</f>
        <v>534.28</v>
      </c>
      <c r="G48" s="202">
        <f t="shared" si="9"/>
        <v>0</v>
      </c>
      <c r="H48" s="345">
        <f t="shared" si="10"/>
        <v>0</v>
      </c>
      <c r="I48" s="203">
        <f>'[1]Oct midyear Northeast'!K45</f>
        <v>0</v>
      </c>
      <c r="J48" s="203">
        <f>'[1]Feb midyear Northeast'!K45</f>
        <v>0</v>
      </c>
      <c r="K48" s="204">
        <f t="shared" si="11"/>
        <v>0</v>
      </c>
      <c r="L48" s="345">
        <f t="shared" si="12"/>
        <v>0</v>
      </c>
      <c r="M48" s="286">
        <f t="shared" si="4"/>
        <v>0</v>
      </c>
      <c r="N48" s="345">
        <f t="shared" si="13"/>
        <v>0</v>
      </c>
      <c r="O48" s="201">
        <v>0</v>
      </c>
      <c r="P48" s="351">
        <f t="shared" si="14"/>
        <v>0</v>
      </c>
      <c r="Q48" s="203">
        <f>(2*'[2]Table 5C1T-Northeast'!S48)+(6*'[20]Table 5C1T-Northeast'!S48)</f>
        <v>0</v>
      </c>
      <c r="R48" s="203">
        <f t="shared" si="15"/>
        <v>0</v>
      </c>
      <c r="S48" s="351">
        <f t="shared" si="30"/>
        <v>0</v>
      </c>
      <c r="T48" s="351">
        <f t="shared" si="16"/>
        <v>0</v>
      </c>
      <c r="U48" s="287">
        <f>'Table 5C1A-Madison Prep'!U48</f>
        <v>3415</v>
      </c>
      <c r="V48" s="328">
        <f t="shared" si="17"/>
        <v>0</v>
      </c>
      <c r="W48" s="289">
        <f>'[1]Oct midyear Northeast'!E45</f>
        <v>0</v>
      </c>
      <c r="X48" s="290">
        <f t="shared" si="18"/>
        <v>0</v>
      </c>
      <c r="Y48" s="289">
        <f>'[1]Feb midyear Northeast'!E45</f>
        <v>0</v>
      </c>
      <c r="Z48" s="290">
        <f t="shared" si="19"/>
        <v>0</v>
      </c>
      <c r="AA48" s="288">
        <f t="shared" si="20"/>
        <v>0</v>
      </c>
      <c r="AB48" s="324">
        <f t="shared" si="21"/>
        <v>0</v>
      </c>
      <c r="AC48" s="292">
        <f t="shared" si="22"/>
        <v>0</v>
      </c>
      <c r="AD48" s="324">
        <f t="shared" si="23"/>
        <v>0</v>
      </c>
      <c r="AE48" s="293">
        <v>0</v>
      </c>
      <c r="AF48" s="324">
        <f t="shared" si="24"/>
        <v>0</v>
      </c>
      <c r="AG48" s="293">
        <f>(2*'[2]Table 5C1T-Northeast'!AI48)+(6*'[20]Table 5C1T-Northeast'!AI48)</f>
        <v>0</v>
      </c>
      <c r="AH48" s="293">
        <f t="shared" si="25"/>
        <v>0</v>
      </c>
      <c r="AI48" s="324">
        <f t="shared" si="31"/>
        <v>0</v>
      </c>
      <c r="AJ48" s="321">
        <f t="shared" si="26"/>
        <v>0</v>
      </c>
      <c r="AK48" s="342">
        <f t="shared" si="27"/>
        <v>0</v>
      </c>
      <c r="AM48" s="286">
        <v>0</v>
      </c>
      <c r="AN48" s="286">
        <f t="shared" si="28"/>
        <v>0</v>
      </c>
      <c r="AO48" s="286">
        <f t="shared" si="29"/>
        <v>0</v>
      </c>
    </row>
    <row r="49" spans="1:41" ht="16.149999999999999" customHeight="1">
      <c r="A49" s="198">
        <v>43</v>
      </c>
      <c r="B49" s="199" t="s">
        <v>115</v>
      </c>
      <c r="C49" s="995">
        <v>0</v>
      </c>
      <c r="D49" s="201">
        <f>+'Table 5C1A-Madison Prep'!D49</f>
        <v>5788.74387205947</v>
      </c>
      <c r="E49" s="202">
        <f t="shared" si="8"/>
        <v>0</v>
      </c>
      <c r="F49" s="202">
        <f>+'Table 5C1A-Madison Prep'!F49</f>
        <v>574.6099999999999</v>
      </c>
      <c r="G49" s="202">
        <f t="shared" si="9"/>
        <v>0</v>
      </c>
      <c r="H49" s="345">
        <f t="shared" si="10"/>
        <v>0</v>
      </c>
      <c r="I49" s="203">
        <f>'[1]Oct midyear Northeast'!K46</f>
        <v>0</v>
      </c>
      <c r="J49" s="203">
        <f>'[1]Feb midyear Northeast'!K46</f>
        <v>0</v>
      </c>
      <c r="K49" s="204">
        <f t="shared" si="11"/>
        <v>0</v>
      </c>
      <c r="L49" s="345">
        <f t="shared" si="12"/>
        <v>0</v>
      </c>
      <c r="M49" s="286">
        <f t="shared" si="4"/>
        <v>0</v>
      </c>
      <c r="N49" s="345">
        <f t="shared" si="13"/>
        <v>0</v>
      </c>
      <c r="O49" s="201">
        <v>0</v>
      </c>
      <c r="P49" s="351">
        <f t="shared" si="14"/>
        <v>0</v>
      </c>
      <c r="Q49" s="203">
        <f>(2*'[2]Table 5C1T-Northeast'!S49)+(6*'[20]Table 5C1T-Northeast'!S49)</f>
        <v>0</v>
      </c>
      <c r="R49" s="203">
        <f t="shared" si="15"/>
        <v>0</v>
      </c>
      <c r="S49" s="351">
        <f t="shared" si="30"/>
        <v>0</v>
      </c>
      <c r="T49" s="351">
        <f t="shared" si="16"/>
        <v>0</v>
      </c>
      <c r="U49" s="287">
        <f>'Table 5C1A-Madison Prep'!U49</f>
        <v>3334</v>
      </c>
      <c r="V49" s="328">
        <f t="shared" si="17"/>
        <v>0</v>
      </c>
      <c r="W49" s="289">
        <f>'[1]Oct midyear Northeast'!E46</f>
        <v>0</v>
      </c>
      <c r="X49" s="290">
        <f t="shared" si="18"/>
        <v>0</v>
      </c>
      <c r="Y49" s="289">
        <f>'[1]Feb midyear Northeast'!E46</f>
        <v>0</v>
      </c>
      <c r="Z49" s="290">
        <f t="shared" si="19"/>
        <v>0</v>
      </c>
      <c r="AA49" s="288">
        <f t="shared" si="20"/>
        <v>0</v>
      </c>
      <c r="AB49" s="324">
        <f t="shared" si="21"/>
        <v>0</v>
      </c>
      <c r="AC49" s="292">
        <f t="shared" si="22"/>
        <v>0</v>
      </c>
      <c r="AD49" s="324">
        <f t="shared" si="23"/>
        <v>0</v>
      </c>
      <c r="AE49" s="293">
        <v>0</v>
      </c>
      <c r="AF49" s="324">
        <f t="shared" si="24"/>
        <v>0</v>
      </c>
      <c r="AG49" s="293">
        <f>(2*'[2]Table 5C1T-Northeast'!AI49)+(6*'[20]Table 5C1T-Northeast'!AI49)</f>
        <v>0</v>
      </c>
      <c r="AH49" s="293">
        <f t="shared" si="25"/>
        <v>0</v>
      </c>
      <c r="AI49" s="324">
        <f t="shared" si="31"/>
        <v>0</v>
      </c>
      <c r="AJ49" s="321">
        <f t="shared" si="26"/>
        <v>0</v>
      </c>
      <c r="AK49" s="342">
        <f t="shared" si="27"/>
        <v>0</v>
      </c>
      <c r="AM49" s="286">
        <v>0</v>
      </c>
      <c r="AN49" s="286">
        <f t="shared" si="28"/>
        <v>0</v>
      </c>
      <c r="AO49" s="286">
        <f t="shared" si="29"/>
        <v>0</v>
      </c>
    </row>
    <row r="50" spans="1:41" ht="16.149999999999999" customHeight="1">
      <c r="A50" s="198">
        <v>44</v>
      </c>
      <c r="B50" s="199" t="s">
        <v>116</v>
      </c>
      <c r="C50" s="995">
        <v>0</v>
      </c>
      <c r="D50" s="201">
        <f>+'Table 5C1A-Madison Prep'!D50</f>
        <v>4897.5958151820359</v>
      </c>
      <c r="E50" s="202">
        <f t="shared" si="8"/>
        <v>0</v>
      </c>
      <c r="F50" s="202">
        <f>+'Table 5C1A-Madison Prep'!F50</f>
        <v>663.16000000000008</v>
      </c>
      <c r="G50" s="202">
        <f t="shared" si="9"/>
        <v>0</v>
      </c>
      <c r="H50" s="345">
        <f t="shared" si="10"/>
        <v>0</v>
      </c>
      <c r="I50" s="203">
        <f>'[1]Oct midyear Northeast'!K47</f>
        <v>0</v>
      </c>
      <c r="J50" s="203">
        <f>'[1]Feb midyear Northeast'!K47</f>
        <v>0</v>
      </c>
      <c r="K50" s="204">
        <f t="shared" si="11"/>
        <v>0</v>
      </c>
      <c r="L50" s="345">
        <f t="shared" si="12"/>
        <v>0</v>
      </c>
      <c r="M50" s="286">
        <f t="shared" si="4"/>
        <v>0</v>
      </c>
      <c r="N50" s="345">
        <f t="shared" si="13"/>
        <v>0</v>
      </c>
      <c r="O50" s="201">
        <v>0</v>
      </c>
      <c r="P50" s="351">
        <f t="shared" si="14"/>
        <v>0</v>
      </c>
      <c r="Q50" s="203">
        <f>(2*'[2]Table 5C1T-Northeast'!S50)+(6*'[20]Table 5C1T-Northeast'!S50)</f>
        <v>0</v>
      </c>
      <c r="R50" s="203">
        <f t="shared" si="15"/>
        <v>0</v>
      </c>
      <c r="S50" s="351">
        <f t="shared" si="30"/>
        <v>0</v>
      </c>
      <c r="T50" s="351">
        <f t="shared" si="16"/>
        <v>0</v>
      </c>
      <c r="U50" s="287">
        <f>'Table 5C1A-Madison Prep'!U50</f>
        <v>3587</v>
      </c>
      <c r="V50" s="328">
        <f t="shared" si="17"/>
        <v>0</v>
      </c>
      <c r="W50" s="289">
        <f>'[1]Oct midyear Northeast'!E47</f>
        <v>0</v>
      </c>
      <c r="X50" s="290">
        <f t="shared" si="18"/>
        <v>0</v>
      </c>
      <c r="Y50" s="289">
        <f>'[1]Feb midyear Northeast'!E47</f>
        <v>0</v>
      </c>
      <c r="Z50" s="290">
        <f t="shared" si="19"/>
        <v>0</v>
      </c>
      <c r="AA50" s="288">
        <f t="shared" si="20"/>
        <v>0</v>
      </c>
      <c r="AB50" s="324">
        <f t="shared" si="21"/>
        <v>0</v>
      </c>
      <c r="AC50" s="292">
        <f t="shared" si="22"/>
        <v>0</v>
      </c>
      <c r="AD50" s="324">
        <f t="shared" si="23"/>
        <v>0</v>
      </c>
      <c r="AE50" s="293">
        <v>0</v>
      </c>
      <c r="AF50" s="324">
        <f t="shared" si="24"/>
        <v>0</v>
      </c>
      <c r="AG50" s="293">
        <f>(2*'[2]Table 5C1T-Northeast'!AI50)+(6*'[20]Table 5C1T-Northeast'!AI50)</f>
        <v>0</v>
      </c>
      <c r="AH50" s="293">
        <f t="shared" si="25"/>
        <v>0</v>
      </c>
      <c r="AI50" s="324">
        <f t="shared" si="31"/>
        <v>0</v>
      </c>
      <c r="AJ50" s="321">
        <f t="shared" si="26"/>
        <v>0</v>
      </c>
      <c r="AK50" s="342">
        <f t="shared" si="27"/>
        <v>0</v>
      </c>
      <c r="AM50" s="286">
        <v>0</v>
      </c>
      <c r="AN50" s="286">
        <f t="shared" si="28"/>
        <v>0</v>
      </c>
      <c r="AO50" s="286">
        <f t="shared" si="29"/>
        <v>0</v>
      </c>
    </row>
    <row r="51" spans="1:41" ht="16.149999999999999" customHeight="1">
      <c r="A51" s="191">
        <v>45</v>
      </c>
      <c r="B51" s="192" t="s">
        <v>117</v>
      </c>
      <c r="C51" s="996">
        <v>0</v>
      </c>
      <c r="D51" s="194">
        <f>+'Table 5C1A-Madison Prep'!D51</f>
        <v>2054.0472499469101</v>
      </c>
      <c r="E51" s="195">
        <f t="shared" si="8"/>
        <v>0</v>
      </c>
      <c r="F51" s="195">
        <f>+'Table 5C1A-Madison Prep'!F51</f>
        <v>753.96000000000015</v>
      </c>
      <c r="G51" s="195">
        <f t="shared" si="9"/>
        <v>0</v>
      </c>
      <c r="H51" s="346">
        <f t="shared" si="10"/>
        <v>0</v>
      </c>
      <c r="I51" s="196">
        <f>'[1]Oct midyear Northeast'!K48</f>
        <v>0</v>
      </c>
      <c r="J51" s="196">
        <f>'[1]Feb midyear Northeast'!K48</f>
        <v>0</v>
      </c>
      <c r="K51" s="197">
        <f t="shared" si="11"/>
        <v>0</v>
      </c>
      <c r="L51" s="346">
        <f t="shared" si="12"/>
        <v>0</v>
      </c>
      <c r="M51" s="296">
        <f t="shared" si="4"/>
        <v>0</v>
      </c>
      <c r="N51" s="346">
        <f t="shared" si="13"/>
        <v>0</v>
      </c>
      <c r="O51" s="194">
        <v>0</v>
      </c>
      <c r="P51" s="352">
        <f t="shared" si="14"/>
        <v>0</v>
      </c>
      <c r="Q51" s="196">
        <f>(2*'[2]Table 5C1T-Northeast'!S51)+(6*'[20]Table 5C1T-Northeast'!S51)</f>
        <v>0</v>
      </c>
      <c r="R51" s="196">
        <f t="shared" si="15"/>
        <v>0</v>
      </c>
      <c r="S51" s="352">
        <f t="shared" si="30"/>
        <v>0</v>
      </c>
      <c r="T51" s="352">
        <f t="shared" si="16"/>
        <v>0</v>
      </c>
      <c r="U51" s="281">
        <f>'Table 5C1A-Madison Prep'!U51</f>
        <v>12134</v>
      </c>
      <c r="V51" s="329">
        <f t="shared" si="17"/>
        <v>0</v>
      </c>
      <c r="W51" s="884">
        <f>'[1]Oct midyear Northeast'!E48</f>
        <v>0</v>
      </c>
      <c r="X51" s="282">
        <f t="shared" si="18"/>
        <v>0</v>
      </c>
      <c r="Y51" s="884">
        <f>'[1]Feb midyear Northeast'!E48</f>
        <v>0</v>
      </c>
      <c r="Z51" s="282">
        <f t="shared" si="19"/>
        <v>0</v>
      </c>
      <c r="AA51" s="283">
        <f t="shared" si="20"/>
        <v>0</v>
      </c>
      <c r="AB51" s="325">
        <f t="shared" si="21"/>
        <v>0</v>
      </c>
      <c r="AC51" s="298">
        <f t="shared" si="22"/>
        <v>0</v>
      </c>
      <c r="AD51" s="325">
        <f t="shared" si="23"/>
        <v>0</v>
      </c>
      <c r="AE51" s="284">
        <v>0</v>
      </c>
      <c r="AF51" s="325">
        <f t="shared" si="24"/>
        <v>0</v>
      </c>
      <c r="AG51" s="284">
        <f>(2*'[2]Table 5C1T-Northeast'!AI51)+(6*'[20]Table 5C1T-Northeast'!AI51)</f>
        <v>0</v>
      </c>
      <c r="AH51" s="284">
        <f t="shared" si="25"/>
        <v>0</v>
      </c>
      <c r="AI51" s="325">
        <f t="shared" si="31"/>
        <v>0</v>
      </c>
      <c r="AJ51" s="338">
        <f t="shared" si="26"/>
        <v>0</v>
      </c>
      <c r="AK51" s="343">
        <f t="shared" si="27"/>
        <v>0</v>
      </c>
      <c r="AM51" s="296">
        <v>0</v>
      </c>
      <c r="AN51" s="296">
        <f t="shared" si="28"/>
        <v>0</v>
      </c>
      <c r="AO51" s="296">
        <f t="shared" si="29"/>
        <v>0</v>
      </c>
    </row>
    <row r="52" spans="1:41" ht="16.149999999999999" customHeight="1">
      <c r="A52" s="205">
        <v>46</v>
      </c>
      <c r="B52" s="206" t="s">
        <v>118</v>
      </c>
      <c r="C52" s="994">
        <v>0</v>
      </c>
      <c r="D52" s="208">
        <f>+'Table 5C1A-Madison Prep'!D52</f>
        <v>6051.2144468088381</v>
      </c>
      <c r="E52" s="209">
        <f t="shared" si="8"/>
        <v>0</v>
      </c>
      <c r="F52" s="209">
        <f>+'Table 5C1A-Madison Prep'!F52</f>
        <v>728.06</v>
      </c>
      <c r="G52" s="209">
        <f t="shared" si="9"/>
        <v>0</v>
      </c>
      <c r="H52" s="344">
        <f t="shared" si="10"/>
        <v>0</v>
      </c>
      <c r="I52" s="210">
        <f>'[1]Oct midyear Northeast'!K49</f>
        <v>0</v>
      </c>
      <c r="J52" s="210">
        <f>'[1]Feb midyear Northeast'!K49</f>
        <v>0</v>
      </c>
      <c r="K52" s="211">
        <f t="shared" si="11"/>
        <v>0</v>
      </c>
      <c r="L52" s="344">
        <f t="shared" si="12"/>
        <v>0</v>
      </c>
      <c r="M52" s="273">
        <f t="shared" si="4"/>
        <v>0</v>
      </c>
      <c r="N52" s="344">
        <f t="shared" si="13"/>
        <v>0</v>
      </c>
      <c r="O52" s="208">
        <v>0</v>
      </c>
      <c r="P52" s="350">
        <f t="shared" si="14"/>
        <v>0</v>
      </c>
      <c r="Q52" s="210">
        <f>(2*'[2]Table 5C1T-Northeast'!S52)+(6*'[20]Table 5C1T-Northeast'!S52)</f>
        <v>0</v>
      </c>
      <c r="R52" s="210">
        <f t="shared" si="15"/>
        <v>0</v>
      </c>
      <c r="S52" s="350">
        <f t="shared" si="30"/>
        <v>0</v>
      </c>
      <c r="T52" s="350">
        <f t="shared" si="16"/>
        <v>0</v>
      </c>
      <c r="U52" s="274">
        <f>'Table 5C1A-Madison Prep'!U52</f>
        <v>2554</v>
      </c>
      <c r="V52" s="327">
        <f t="shared" si="17"/>
        <v>0</v>
      </c>
      <c r="W52" s="883">
        <f>'[1]Oct midyear Northeast'!E49</f>
        <v>0</v>
      </c>
      <c r="X52" s="276">
        <f t="shared" si="18"/>
        <v>0</v>
      </c>
      <c r="Y52" s="883">
        <f>'[1]Feb midyear Northeast'!E49</f>
        <v>0</v>
      </c>
      <c r="Z52" s="276">
        <f t="shared" si="19"/>
        <v>0</v>
      </c>
      <c r="AA52" s="275">
        <f t="shared" si="20"/>
        <v>0</v>
      </c>
      <c r="AB52" s="323">
        <f t="shared" si="21"/>
        <v>0</v>
      </c>
      <c r="AC52" s="278">
        <f t="shared" si="22"/>
        <v>0</v>
      </c>
      <c r="AD52" s="323">
        <f t="shared" si="23"/>
        <v>0</v>
      </c>
      <c r="AE52" s="279">
        <v>0</v>
      </c>
      <c r="AF52" s="323">
        <f t="shared" si="24"/>
        <v>0</v>
      </c>
      <c r="AG52" s="279">
        <f>(2*'[2]Table 5C1T-Northeast'!AI52)+(6*'[20]Table 5C1T-Northeast'!AI52)</f>
        <v>0</v>
      </c>
      <c r="AH52" s="279">
        <f t="shared" si="25"/>
        <v>0</v>
      </c>
      <c r="AI52" s="323">
        <f t="shared" si="31"/>
        <v>0</v>
      </c>
      <c r="AJ52" s="337">
        <f t="shared" si="26"/>
        <v>0</v>
      </c>
      <c r="AK52" s="341">
        <f t="shared" si="27"/>
        <v>0</v>
      </c>
      <c r="AM52" s="273">
        <v>0</v>
      </c>
      <c r="AN52" s="273">
        <f t="shared" si="28"/>
        <v>0</v>
      </c>
      <c r="AO52" s="273">
        <f t="shared" si="29"/>
        <v>0</v>
      </c>
    </row>
    <row r="53" spans="1:41" ht="16.149999999999999" customHeight="1">
      <c r="A53" s="198">
        <v>47</v>
      </c>
      <c r="B53" s="199" t="s">
        <v>119</v>
      </c>
      <c r="C53" s="995">
        <v>0</v>
      </c>
      <c r="D53" s="201">
        <f>+'Table 5C1A-Madison Prep'!D53</f>
        <v>2524.1485257646736</v>
      </c>
      <c r="E53" s="202">
        <f t="shared" si="8"/>
        <v>0</v>
      </c>
      <c r="F53" s="202">
        <f>+'Table 5C1A-Madison Prep'!F53</f>
        <v>910.76</v>
      </c>
      <c r="G53" s="202">
        <f t="shared" si="9"/>
        <v>0</v>
      </c>
      <c r="H53" s="345">
        <f t="shared" si="10"/>
        <v>0</v>
      </c>
      <c r="I53" s="203">
        <f>'[1]Oct midyear Northeast'!K50</f>
        <v>0</v>
      </c>
      <c r="J53" s="203">
        <f>'[1]Feb midyear Northeast'!K50</f>
        <v>0</v>
      </c>
      <c r="K53" s="204">
        <f t="shared" si="11"/>
        <v>0</v>
      </c>
      <c r="L53" s="345">
        <f t="shared" si="12"/>
        <v>0</v>
      </c>
      <c r="M53" s="286">
        <f t="shared" si="4"/>
        <v>0</v>
      </c>
      <c r="N53" s="345">
        <f t="shared" si="13"/>
        <v>0</v>
      </c>
      <c r="O53" s="201">
        <v>0</v>
      </c>
      <c r="P53" s="351">
        <f t="shared" si="14"/>
        <v>0</v>
      </c>
      <c r="Q53" s="203">
        <f>(2*'[2]Table 5C1T-Northeast'!S53)+(6*'[20]Table 5C1T-Northeast'!S53)</f>
        <v>0</v>
      </c>
      <c r="R53" s="203">
        <f t="shared" si="15"/>
        <v>0</v>
      </c>
      <c r="S53" s="351">
        <f t="shared" si="30"/>
        <v>0</v>
      </c>
      <c r="T53" s="351">
        <f t="shared" si="16"/>
        <v>0</v>
      </c>
      <c r="U53" s="287">
        <f>'Table 5C1A-Madison Prep'!U53</f>
        <v>11506</v>
      </c>
      <c r="V53" s="328">
        <f t="shared" si="17"/>
        <v>0</v>
      </c>
      <c r="W53" s="289">
        <f>'[1]Oct midyear Northeast'!E50</f>
        <v>0</v>
      </c>
      <c r="X53" s="290">
        <f t="shared" si="18"/>
        <v>0</v>
      </c>
      <c r="Y53" s="289">
        <f>'[1]Feb midyear Northeast'!E50</f>
        <v>0</v>
      </c>
      <c r="Z53" s="290">
        <f t="shared" si="19"/>
        <v>0</v>
      </c>
      <c r="AA53" s="288">
        <f t="shared" si="20"/>
        <v>0</v>
      </c>
      <c r="AB53" s="324">
        <f t="shared" si="21"/>
        <v>0</v>
      </c>
      <c r="AC53" s="292">
        <f t="shared" si="22"/>
        <v>0</v>
      </c>
      <c r="AD53" s="324">
        <f t="shared" si="23"/>
        <v>0</v>
      </c>
      <c r="AE53" s="293">
        <v>0</v>
      </c>
      <c r="AF53" s="324">
        <f t="shared" si="24"/>
        <v>0</v>
      </c>
      <c r="AG53" s="293">
        <f>(2*'[2]Table 5C1T-Northeast'!AI53)+(6*'[20]Table 5C1T-Northeast'!AI53)</f>
        <v>0</v>
      </c>
      <c r="AH53" s="293">
        <f t="shared" si="25"/>
        <v>0</v>
      </c>
      <c r="AI53" s="324">
        <f t="shared" si="31"/>
        <v>0</v>
      </c>
      <c r="AJ53" s="321">
        <f t="shared" si="26"/>
        <v>0</v>
      </c>
      <c r="AK53" s="342">
        <f t="shared" si="27"/>
        <v>0</v>
      </c>
      <c r="AM53" s="286">
        <v>0</v>
      </c>
      <c r="AN53" s="286">
        <f t="shared" si="28"/>
        <v>0</v>
      </c>
      <c r="AO53" s="286">
        <f t="shared" si="29"/>
        <v>0</v>
      </c>
    </row>
    <row r="54" spans="1:41" ht="16.149999999999999" customHeight="1">
      <c r="A54" s="198">
        <v>48</v>
      </c>
      <c r="B54" s="199" t="s">
        <v>144</v>
      </c>
      <c r="C54" s="995">
        <v>0</v>
      </c>
      <c r="D54" s="201">
        <f>+'Table 5C1A-Madison Prep'!D54</f>
        <v>3983.3582529800719</v>
      </c>
      <c r="E54" s="202">
        <f t="shared" si="8"/>
        <v>0</v>
      </c>
      <c r="F54" s="202">
        <f>+'Table 5C1A-Madison Prep'!F54</f>
        <v>871.07</v>
      </c>
      <c r="G54" s="202">
        <f t="shared" si="9"/>
        <v>0</v>
      </c>
      <c r="H54" s="345">
        <f t="shared" si="10"/>
        <v>0</v>
      </c>
      <c r="I54" s="203">
        <f>'[1]Oct midyear Northeast'!K51</f>
        <v>0</v>
      </c>
      <c r="J54" s="203">
        <f>'[1]Feb midyear Northeast'!K51</f>
        <v>0</v>
      </c>
      <c r="K54" s="204">
        <f t="shared" si="11"/>
        <v>0</v>
      </c>
      <c r="L54" s="345">
        <f t="shared" si="12"/>
        <v>0</v>
      </c>
      <c r="M54" s="286">
        <f t="shared" si="4"/>
        <v>0</v>
      </c>
      <c r="N54" s="345">
        <f t="shared" si="13"/>
        <v>0</v>
      </c>
      <c r="O54" s="201">
        <v>0</v>
      </c>
      <c r="P54" s="351">
        <f t="shared" si="14"/>
        <v>0</v>
      </c>
      <c r="Q54" s="203">
        <f>(2*'[2]Table 5C1T-Northeast'!S54)+(6*'[20]Table 5C1T-Northeast'!S54)</f>
        <v>0</v>
      </c>
      <c r="R54" s="203">
        <f t="shared" si="15"/>
        <v>0</v>
      </c>
      <c r="S54" s="351">
        <f t="shared" si="30"/>
        <v>0</v>
      </c>
      <c r="T54" s="351">
        <f t="shared" si="16"/>
        <v>0</v>
      </c>
      <c r="U54" s="287">
        <f>'Table 5C1A-Madison Prep'!U54</f>
        <v>6827</v>
      </c>
      <c r="V54" s="328">
        <f t="shared" si="17"/>
        <v>0</v>
      </c>
      <c r="W54" s="289">
        <f>'[1]Oct midyear Northeast'!E51</f>
        <v>0</v>
      </c>
      <c r="X54" s="290">
        <f t="shared" si="18"/>
        <v>0</v>
      </c>
      <c r="Y54" s="289">
        <f>'[1]Feb midyear Northeast'!E51</f>
        <v>0</v>
      </c>
      <c r="Z54" s="290">
        <f t="shared" si="19"/>
        <v>0</v>
      </c>
      <c r="AA54" s="288">
        <f t="shared" si="20"/>
        <v>0</v>
      </c>
      <c r="AB54" s="324">
        <f t="shared" si="21"/>
        <v>0</v>
      </c>
      <c r="AC54" s="292">
        <f t="shared" si="22"/>
        <v>0</v>
      </c>
      <c r="AD54" s="324">
        <f t="shared" si="23"/>
        <v>0</v>
      </c>
      <c r="AE54" s="293">
        <v>0</v>
      </c>
      <c r="AF54" s="324">
        <f t="shared" si="24"/>
        <v>0</v>
      </c>
      <c r="AG54" s="293">
        <f>(2*'[2]Table 5C1T-Northeast'!AI54)+(6*'[20]Table 5C1T-Northeast'!AI54)</f>
        <v>0</v>
      </c>
      <c r="AH54" s="293">
        <f t="shared" si="25"/>
        <v>0</v>
      </c>
      <c r="AI54" s="324">
        <f t="shared" si="31"/>
        <v>0</v>
      </c>
      <c r="AJ54" s="321">
        <f t="shared" si="26"/>
        <v>0</v>
      </c>
      <c r="AK54" s="342">
        <f t="shared" si="27"/>
        <v>0</v>
      </c>
      <c r="AM54" s="286">
        <v>0</v>
      </c>
      <c r="AN54" s="286">
        <f t="shared" si="28"/>
        <v>0</v>
      </c>
      <c r="AO54" s="286">
        <f t="shared" si="29"/>
        <v>0</v>
      </c>
    </row>
    <row r="55" spans="1:41" ht="16.149999999999999" customHeight="1">
      <c r="A55" s="198">
        <v>49</v>
      </c>
      <c r="B55" s="199" t="s">
        <v>120</v>
      </c>
      <c r="C55" s="995">
        <v>0</v>
      </c>
      <c r="D55" s="201">
        <f>+'Table 5C1A-Madison Prep'!D55</f>
        <v>4995.8755315659191</v>
      </c>
      <c r="E55" s="202">
        <f t="shared" si="8"/>
        <v>0</v>
      </c>
      <c r="F55" s="202">
        <f>+'Table 5C1A-Madison Prep'!F55</f>
        <v>574.43999999999994</v>
      </c>
      <c r="G55" s="202">
        <f t="shared" si="9"/>
        <v>0</v>
      </c>
      <c r="H55" s="345">
        <f t="shared" si="10"/>
        <v>0</v>
      </c>
      <c r="I55" s="203">
        <f>'[1]Oct midyear Northeast'!K52</f>
        <v>0</v>
      </c>
      <c r="J55" s="203">
        <f>'[1]Feb midyear Northeast'!K52</f>
        <v>0</v>
      </c>
      <c r="K55" s="204">
        <f t="shared" si="11"/>
        <v>0</v>
      </c>
      <c r="L55" s="345">
        <f t="shared" si="12"/>
        <v>0</v>
      </c>
      <c r="M55" s="286">
        <f t="shared" si="4"/>
        <v>0</v>
      </c>
      <c r="N55" s="345">
        <f t="shared" si="13"/>
        <v>0</v>
      </c>
      <c r="O55" s="201">
        <v>0</v>
      </c>
      <c r="P55" s="351">
        <f t="shared" si="14"/>
        <v>0</v>
      </c>
      <c r="Q55" s="203">
        <f>(2*'[2]Table 5C1T-Northeast'!S55)+(6*'[20]Table 5C1T-Northeast'!S55)</f>
        <v>0</v>
      </c>
      <c r="R55" s="203">
        <f t="shared" si="15"/>
        <v>0</v>
      </c>
      <c r="S55" s="351">
        <f t="shared" si="30"/>
        <v>0</v>
      </c>
      <c r="T55" s="351">
        <f t="shared" si="16"/>
        <v>0</v>
      </c>
      <c r="U55" s="287">
        <f>'Table 5C1A-Madison Prep'!U55</f>
        <v>2399</v>
      </c>
      <c r="V55" s="328">
        <f t="shared" si="17"/>
        <v>0</v>
      </c>
      <c r="W55" s="289">
        <f>'[1]Oct midyear Northeast'!E52</f>
        <v>0</v>
      </c>
      <c r="X55" s="290">
        <f t="shared" si="18"/>
        <v>0</v>
      </c>
      <c r="Y55" s="289">
        <f>'[1]Feb midyear Northeast'!E52</f>
        <v>0</v>
      </c>
      <c r="Z55" s="290">
        <f t="shared" si="19"/>
        <v>0</v>
      </c>
      <c r="AA55" s="288">
        <f t="shared" si="20"/>
        <v>0</v>
      </c>
      <c r="AB55" s="324">
        <f t="shared" si="21"/>
        <v>0</v>
      </c>
      <c r="AC55" s="292">
        <f t="shared" si="22"/>
        <v>0</v>
      </c>
      <c r="AD55" s="324">
        <f t="shared" si="23"/>
        <v>0</v>
      </c>
      <c r="AE55" s="293">
        <v>0</v>
      </c>
      <c r="AF55" s="324">
        <f t="shared" si="24"/>
        <v>0</v>
      </c>
      <c r="AG55" s="293">
        <f>(2*'[2]Table 5C1T-Northeast'!AI55)+(6*'[20]Table 5C1T-Northeast'!AI55)</f>
        <v>0</v>
      </c>
      <c r="AH55" s="293">
        <f t="shared" si="25"/>
        <v>0</v>
      </c>
      <c r="AI55" s="324">
        <f t="shared" si="31"/>
        <v>0</v>
      </c>
      <c r="AJ55" s="321">
        <f t="shared" si="26"/>
        <v>0</v>
      </c>
      <c r="AK55" s="342">
        <f t="shared" si="27"/>
        <v>0</v>
      </c>
      <c r="AM55" s="286">
        <v>0</v>
      </c>
      <c r="AN55" s="286">
        <f t="shared" si="28"/>
        <v>0</v>
      </c>
      <c r="AO55" s="286">
        <f t="shared" si="29"/>
        <v>0</v>
      </c>
    </row>
    <row r="56" spans="1:41" ht="16.149999999999999" customHeight="1">
      <c r="A56" s="191">
        <v>50</v>
      </c>
      <c r="B56" s="192" t="s">
        <v>121</v>
      </c>
      <c r="C56" s="996">
        <v>0</v>
      </c>
      <c r="D56" s="194">
        <f>+'Table 5C1A-Madison Prep'!D56</f>
        <v>5177.6892722701677</v>
      </c>
      <c r="E56" s="195">
        <f t="shared" si="8"/>
        <v>0</v>
      </c>
      <c r="F56" s="195">
        <f>+'Table 5C1A-Madison Prep'!F56</f>
        <v>634.46</v>
      </c>
      <c r="G56" s="195">
        <f t="shared" si="9"/>
        <v>0</v>
      </c>
      <c r="H56" s="346">
        <f t="shared" si="10"/>
        <v>0</v>
      </c>
      <c r="I56" s="196">
        <f>'[1]Oct midyear Northeast'!K53</f>
        <v>0</v>
      </c>
      <c r="J56" s="196">
        <f>'[1]Feb midyear Northeast'!K53</f>
        <v>0</v>
      </c>
      <c r="K56" s="197">
        <f t="shared" si="11"/>
        <v>0</v>
      </c>
      <c r="L56" s="346">
        <f t="shared" si="12"/>
        <v>0</v>
      </c>
      <c r="M56" s="296">
        <f t="shared" si="4"/>
        <v>0</v>
      </c>
      <c r="N56" s="346">
        <f t="shared" si="13"/>
        <v>0</v>
      </c>
      <c r="O56" s="194">
        <v>0</v>
      </c>
      <c r="P56" s="352">
        <f t="shared" si="14"/>
        <v>0</v>
      </c>
      <c r="Q56" s="196">
        <f>(2*'[2]Table 5C1T-Northeast'!S56)+(6*'[20]Table 5C1T-Northeast'!S56)</f>
        <v>0</v>
      </c>
      <c r="R56" s="196">
        <f t="shared" si="15"/>
        <v>0</v>
      </c>
      <c r="S56" s="352">
        <f t="shared" si="30"/>
        <v>0</v>
      </c>
      <c r="T56" s="352">
        <f t="shared" si="16"/>
        <v>0</v>
      </c>
      <c r="U56" s="281">
        <f>'Table 5C1A-Madison Prep'!U56</f>
        <v>3413</v>
      </c>
      <c r="V56" s="329">
        <f t="shared" si="17"/>
        <v>0</v>
      </c>
      <c r="W56" s="884">
        <f>'[1]Oct midyear Northeast'!E53</f>
        <v>0</v>
      </c>
      <c r="X56" s="282">
        <f t="shared" si="18"/>
        <v>0</v>
      </c>
      <c r="Y56" s="884">
        <f>'[1]Feb midyear Northeast'!E53</f>
        <v>0</v>
      </c>
      <c r="Z56" s="282">
        <f t="shared" si="19"/>
        <v>0</v>
      </c>
      <c r="AA56" s="283">
        <f t="shared" si="20"/>
        <v>0</v>
      </c>
      <c r="AB56" s="325">
        <f t="shared" si="21"/>
        <v>0</v>
      </c>
      <c r="AC56" s="298">
        <f t="shared" si="22"/>
        <v>0</v>
      </c>
      <c r="AD56" s="325">
        <f t="shared" si="23"/>
        <v>0</v>
      </c>
      <c r="AE56" s="284">
        <v>0</v>
      </c>
      <c r="AF56" s="325">
        <f t="shared" si="24"/>
        <v>0</v>
      </c>
      <c r="AG56" s="284">
        <f>(2*'[2]Table 5C1T-Northeast'!AI56)+(6*'[20]Table 5C1T-Northeast'!AI56)</f>
        <v>0</v>
      </c>
      <c r="AH56" s="284">
        <f t="shared" si="25"/>
        <v>0</v>
      </c>
      <c r="AI56" s="325">
        <f t="shared" si="31"/>
        <v>0</v>
      </c>
      <c r="AJ56" s="338">
        <f t="shared" si="26"/>
        <v>0</v>
      </c>
      <c r="AK56" s="343">
        <f t="shared" si="27"/>
        <v>0</v>
      </c>
      <c r="AM56" s="296">
        <v>0</v>
      </c>
      <c r="AN56" s="296">
        <f t="shared" si="28"/>
        <v>0</v>
      </c>
      <c r="AO56" s="296">
        <f t="shared" si="29"/>
        <v>0</v>
      </c>
    </row>
    <row r="57" spans="1:41" ht="16.149999999999999" customHeight="1">
      <c r="A57" s="205">
        <v>51</v>
      </c>
      <c r="B57" s="206" t="s">
        <v>122</v>
      </c>
      <c r="C57" s="994">
        <v>0</v>
      </c>
      <c r="D57" s="208">
        <f>+'Table 5C1A-Madison Prep'!D57</f>
        <v>4154.1928602178996</v>
      </c>
      <c r="E57" s="209">
        <f t="shared" si="8"/>
        <v>0</v>
      </c>
      <c r="F57" s="209">
        <f>+'Table 5C1A-Madison Prep'!F57</f>
        <v>706.66</v>
      </c>
      <c r="G57" s="209">
        <f t="shared" si="9"/>
        <v>0</v>
      </c>
      <c r="H57" s="344">
        <f t="shared" si="10"/>
        <v>0</v>
      </c>
      <c r="I57" s="210">
        <f>'[1]Oct midyear Northeast'!K54</f>
        <v>0</v>
      </c>
      <c r="J57" s="210">
        <f>'[1]Feb midyear Northeast'!K54</f>
        <v>0</v>
      </c>
      <c r="K57" s="211">
        <f t="shared" si="11"/>
        <v>0</v>
      </c>
      <c r="L57" s="344">
        <f t="shared" si="12"/>
        <v>0</v>
      </c>
      <c r="M57" s="273">
        <f t="shared" si="4"/>
        <v>0</v>
      </c>
      <c r="N57" s="344">
        <f t="shared" si="13"/>
        <v>0</v>
      </c>
      <c r="O57" s="208">
        <v>0</v>
      </c>
      <c r="P57" s="350">
        <f t="shared" si="14"/>
        <v>0</v>
      </c>
      <c r="Q57" s="210">
        <f>(2*'[2]Table 5C1T-Northeast'!S57)+(6*'[20]Table 5C1T-Northeast'!S57)</f>
        <v>0</v>
      </c>
      <c r="R57" s="210">
        <f t="shared" si="15"/>
        <v>0</v>
      </c>
      <c r="S57" s="350">
        <f t="shared" si="30"/>
        <v>0</v>
      </c>
      <c r="T57" s="350">
        <f t="shared" si="16"/>
        <v>0</v>
      </c>
      <c r="U57" s="274">
        <f>'Table 5C1A-Madison Prep'!U57</f>
        <v>4512</v>
      </c>
      <c r="V57" s="327">
        <f t="shared" si="17"/>
        <v>0</v>
      </c>
      <c r="W57" s="883">
        <f>'[1]Oct midyear Northeast'!E54</f>
        <v>0</v>
      </c>
      <c r="X57" s="276">
        <f t="shared" si="18"/>
        <v>0</v>
      </c>
      <c r="Y57" s="883">
        <f>'[1]Feb midyear Northeast'!E54</f>
        <v>0</v>
      </c>
      <c r="Z57" s="276">
        <f t="shared" si="19"/>
        <v>0</v>
      </c>
      <c r="AA57" s="275">
        <f t="shared" si="20"/>
        <v>0</v>
      </c>
      <c r="AB57" s="323">
        <f t="shared" si="21"/>
        <v>0</v>
      </c>
      <c r="AC57" s="278">
        <f t="shared" si="22"/>
        <v>0</v>
      </c>
      <c r="AD57" s="323">
        <f t="shared" si="23"/>
        <v>0</v>
      </c>
      <c r="AE57" s="279">
        <v>0</v>
      </c>
      <c r="AF57" s="323">
        <f t="shared" si="24"/>
        <v>0</v>
      </c>
      <c r="AG57" s="279">
        <f>(2*'[2]Table 5C1T-Northeast'!AI57)+(6*'[20]Table 5C1T-Northeast'!AI57)</f>
        <v>0</v>
      </c>
      <c r="AH57" s="279">
        <f t="shared" si="25"/>
        <v>0</v>
      </c>
      <c r="AI57" s="323">
        <f t="shared" si="31"/>
        <v>0</v>
      </c>
      <c r="AJ57" s="337">
        <f t="shared" si="26"/>
        <v>0</v>
      </c>
      <c r="AK57" s="341">
        <f t="shared" si="27"/>
        <v>0</v>
      </c>
      <c r="AM57" s="273">
        <v>0</v>
      </c>
      <c r="AN57" s="273">
        <f t="shared" si="28"/>
        <v>0</v>
      </c>
      <c r="AO57" s="273">
        <f t="shared" si="29"/>
        <v>0</v>
      </c>
    </row>
    <row r="58" spans="1:41" ht="16.149999999999999" customHeight="1">
      <c r="A58" s="198">
        <v>52</v>
      </c>
      <c r="B58" s="199" t="s">
        <v>123</v>
      </c>
      <c r="C58" s="995">
        <v>0</v>
      </c>
      <c r="D58" s="201">
        <f>+'Table 5C1A-Madison Prep'!D58</f>
        <v>5062.2745845228173</v>
      </c>
      <c r="E58" s="202">
        <f t="shared" si="8"/>
        <v>0</v>
      </c>
      <c r="F58" s="202">
        <f>+'Table 5C1A-Madison Prep'!F58</f>
        <v>658.37</v>
      </c>
      <c r="G58" s="202">
        <f t="shared" si="9"/>
        <v>0</v>
      </c>
      <c r="H58" s="345">
        <f t="shared" si="10"/>
        <v>0</v>
      </c>
      <c r="I58" s="203">
        <f>'[1]Oct midyear Northeast'!K55</f>
        <v>0</v>
      </c>
      <c r="J58" s="203">
        <f>'[1]Feb midyear Northeast'!K55</f>
        <v>0</v>
      </c>
      <c r="K58" s="204">
        <f t="shared" si="11"/>
        <v>0</v>
      </c>
      <c r="L58" s="345">
        <f t="shared" si="12"/>
        <v>0</v>
      </c>
      <c r="M58" s="286">
        <f t="shared" si="4"/>
        <v>0</v>
      </c>
      <c r="N58" s="345">
        <f t="shared" si="13"/>
        <v>0</v>
      </c>
      <c r="O58" s="201">
        <v>0</v>
      </c>
      <c r="P58" s="351">
        <f t="shared" si="14"/>
        <v>0</v>
      </c>
      <c r="Q58" s="203">
        <f>(2*'[2]Table 5C1T-Northeast'!S58)+(6*'[20]Table 5C1T-Northeast'!S58)</f>
        <v>0</v>
      </c>
      <c r="R58" s="203">
        <f t="shared" si="15"/>
        <v>0</v>
      </c>
      <c r="S58" s="351">
        <f t="shared" si="30"/>
        <v>0</v>
      </c>
      <c r="T58" s="351">
        <f t="shared" si="16"/>
        <v>0</v>
      </c>
      <c r="U58" s="287">
        <f>'Table 5C1A-Madison Prep'!U58</f>
        <v>5289</v>
      </c>
      <c r="V58" s="328">
        <f t="shared" si="17"/>
        <v>0</v>
      </c>
      <c r="W58" s="289">
        <f>'[1]Oct midyear Northeast'!E55</f>
        <v>0</v>
      </c>
      <c r="X58" s="290">
        <f t="shared" si="18"/>
        <v>0</v>
      </c>
      <c r="Y58" s="289">
        <f>'[1]Feb midyear Northeast'!E55</f>
        <v>0</v>
      </c>
      <c r="Z58" s="290">
        <f t="shared" si="19"/>
        <v>0</v>
      </c>
      <c r="AA58" s="288">
        <f t="shared" si="20"/>
        <v>0</v>
      </c>
      <c r="AB58" s="324">
        <f t="shared" si="21"/>
        <v>0</v>
      </c>
      <c r="AC58" s="292">
        <f t="shared" si="22"/>
        <v>0</v>
      </c>
      <c r="AD58" s="324">
        <f t="shared" si="23"/>
        <v>0</v>
      </c>
      <c r="AE58" s="293">
        <v>0</v>
      </c>
      <c r="AF58" s="324">
        <f t="shared" si="24"/>
        <v>0</v>
      </c>
      <c r="AG58" s="293">
        <f>(2*'[2]Table 5C1T-Northeast'!AI58)+(6*'[20]Table 5C1T-Northeast'!AI58)</f>
        <v>0</v>
      </c>
      <c r="AH58" s="293">
        <f t="shared" si="25"/>
        <v>0</v>
      </c>
      <c r="AI58" s="324">
        <f t="shared" si="31"/>
        <v>0</v>
      </c>
      <c r="AJ58" s="321">
        <f t="shared" si="26"/>
        <v>0</v>
      </c>
      <c r="AK58" s="342">
        <f t="shared" si="27"/>
        <v>0</v>
      </c>
      <c r="AM58" s="286">
        <v>0</v>
      </c>
      <c r="AN58" s="286">
        <f t="shared" si="28"/>
        <v>0</v>
      </c>
      <c r="AO58" s="286">
        <f t="shared" si="29"/>
        <v>0</v>
      </c>
    </row>
    <row r="59" spans="1:41" ht="16.149999999999999" customHeight="1">
      <c r="A59" s="198">
        <v>53</v>
      </c>
      <c r="B59" s="199" t="s">
        <v>124</v>
      </c>
      <c r="C59" s="995">
        <v>0</v>
      </c>
      <c r="D59" s="201">
        <f>+'Table 5C1A-Madison Prep'!D59</f>
        <v>5060.1508194045482</v>
      </c>
      <c r="E59" s="202">
        <f t="shared" si="8"/>
        <v>0</v>
      </c>
      <c r="F59" s="202">
        <f>+'Table 5C1A-Madison Prep'!F59</f>
        <v>689.74</v>
      </c>
      <c r="G59" s="202">
        <f t="shared" si="9"/>
        <v>0</v>
      </c>
      <c r="H59" s="345">
        <f t="shared" si="10"/>
        <v>0</v>
      </c>
      <c r="I59" s="203">
        <f>'[1]Oct midyear Northeast'!K56</f>
        <v>0</v>
      </c>
      <c r="J59" s="203">
        <f>'[1]Feb midyear Northeast'!K56</f>
        <v>0</v>
      </c>
      <c r="K59" s="204">
        <f t="shared" si="11"/>
        <v>0</v>
      </c>
      <c r="L59" s="345">
        <f t="shared" si="12"/>
        <v>0</v>
      </c>
      <c r="M59" s="286">
        <f t="shared" si="4"/>
        <v>0</v>
      </c>
      <c r="N59" s="345">
        <f t="shared" si="13"/>
        <v>0</v>
      </c>
      <c r="O59" s="201">
        <v>0</v>
      </c>
      <c r="P59" s="351">
        <f t="shared" si="14"/>
        <v>0</v>
      </c>
      <c r="Q59" s="203">
        <f>(2*'[2]Table 5C1T-Northeast'!S59)+(6*'[20]Table 5C1T-Northeast'!S59)</f>
        <v>0</v>
      </c>
      <c r="R59" s="203">
        <f t="shared" si="15"/>
        <v>0</v>
      </c>
      <c r="S59" s="351">
        <f t="shared" si="30"/>
        <v>0</v>
      </c>
      <c r="T59" s="351">
        <f t="shared" si="16"/>
        <v>0</v>
      </c>
      <c r="U59" s="287">
        <f>'Table 5C1A-Madison Prep'!U59</f>
        <v>2101</v>
      </c>
      <c r="V59" s="328">
        <f t="shared" si="17"/>
        <v>0</v>
      </c>
      <c r="W59" s="289">
        <f>'[1]Oct midyear Northeast'!E56</f>
        <v>0</v>
      </c>
      <c r="X59" s="290">
        <f t="shared" si="18"/>
        <v>0</v>
      </c>
      <c r="Y59" s="289">
        <f>'[1]Feb midyear Northeast'!E56</f>
        <v>0</v>
      </c>
      <c r="Z59" s="290">
        <f t="shared" si="19"/>
        <v>0</v>
      </c>
      <c r="AA59" s="288">
        <f t="shared" si="20"/>
        <v>0</v>
      </c>
      <c r="AB59" s="324">
        <f t="shared" si="21"/>
        <v>0</v>
      </c>
      <c r="AC59" s="292">
        <f t="shared" si="22"/>
        <v>0</v>
      </c>
      <c r="AD59" s="324">
        <f t="shared" si="23"/>
        <v>0</v>
      </c>
      <c r="AE59" s="293">
        <v>0</v>
      </c>
      <c r="AF59" s="324">
        <f t="shared" si="24"/>
        <v>0</v>
      </c>
      <c r="AG59" s="293">
        <f>(2*'[2]Table 5C1T-Northeast'!AI59)+(6*'[20]Table 5C1T-Northeast'!AI59)</f>
        <v>0</v>
      </c>
      <c r="AH59" s="293">
        <f t="shared" si="25"/>
        <v>0</v>
      </c>
      <c r="AI59" s="324">
        <f t="shared" si="31"/>
        <v>0</v>
      </c>
      <c r="AJ59" s="321">
        <f t="shared" si="26"/>
        <v>0</v>
      </c>
      <c r="AK59" s="342">
        <f t="shared" si="27"/>
        <v>0</v>
      </c>
      <c r="AM59" s="286">
        <v>0</v>
      </c>
      <c r="AN59" s="286">
        <f t="shared" si="28"/>
        <v>0</v>
      </c>
      <c r="AO59" s="286">
        <f t="shared" si="29"/>
        <v>0</v>
      </c>
    </row>
    <row r="60" spans="1:41" ht="16.149999999999999" customHeight="1">
      <c r="A60" s="198">
        <v>54</v>
      </c>
      <c r="B60" s="199" t="s">
        <v>125</v>
      </c>
      <c r="C60" s="995">
        <v>0</v>
      </c>
      <c r="D60" s="201">
        <f>+'Table 5C1A-Madison Prep'!D60</f>
        <v>5867.0798370516713</v>
      </c>
      <c r="E60" s="202">
        <f t="shared" si="8"/>
        <v>0</v>
      </c>
      <c r="F60" s="202">
        <f>+'Table 5C1A-Madison Prep'!F60</f>
        <v>951.45</v>
      </c>
      <c r="G60" s="202">
        <f t="shared" si="9"/>
        <v>0</v>
      </c>
      <c r="H60" s="345">
        <f t="shared" si="10"/>
        <v>0</v>
      </c>
      <c r="I60" s="203">
        <f>'[1]Oct midyear Northeast'!K57</f>
        <v>0</v>
      </c>
      <c r="J60" s="203">
        <f>'[1]Feb midyear Northeast'!K57</f>
        <v>0</v>
      </c>
      <c r="K60" s="204">
        <f t="shared" si="11"/>
        <v>0</v>
      </c>
      <c r="L60" s="345">
        <f t="shared" si="12"/>
        <v>0</v>
      </c>
      <c r="M60" s="286">
        <f t="shared" si="4"/>
        <v>0</v>
      </c>
      <c r="N60" s="345">
        <f t="shared" si="13"/>
        <v>0</v>
      </c>
      <c r="O60" s="201">
        <v>0</v>
      </c>
      <c r="P60" s="351">
        <f t="shared" si="14"/>
        <v>0</v>
      </c>
      <c r="Q60" s="203">
        <f>(2*'[2]Table 5C1T-Northeast'!S60)+(6*'[20]Table 5C1T-Northeast'!S60)</f>
        <v>0</v>
      </c>
      <c r="R60" s="203">
        <f t="shared" si="15"/>
        <v>0</v>
      </c>
      <c r="S60" s="351">
        <f t="shared" si="30"/>
        <v>0</v>
      </c>
      <c r="T60" s="351">
        <f t="shared" si="16"/>
        <v>0</v>
      </c>
      <c r="U60" s="287">
        <f>'Table 5C1A-Madison Prep'!U60</f>
        <v>4150</v>
      </c>
      <c r="V60" s="328">
        <f t="shared" si="17"/>
        <v>0</v>
      </c>
      <c r="W60" s="289">
        <f>'[1]Oct midyear Northeast'!E57</f>
        <v>0</v>
      </c>
      <c r="X60" s="290">
        <f t="shared" si="18"/>
        <v>0</v>
      </c>
      <c r="Y60" s="289">
        <f>'[1]Feb midyear Northeast'!E57</f>
        <v>0</v>
      </c>
      <c r="Z60" s="290">
        <f t="shared" si="19"/>
        <v>0</v>
      </c>
      <c r="AA60" s="288">
        <f t="shared" si="20"/>
        <v>0</v>
      </c>
      <c r="AB60" s="324">
        <f t="shared" si="21"/>
        <v>0</v>
      </c>
      <c r="AC60" s="292">
        <f t="shared" si="22"/>
        <v>0</v>
      </c>
      <c r="AD60" s="324">
        <f t="shared" si="23"/>
        <v>0</v>
      </c>
      <c r="AE60" s="293">
        <v>0</v>
      </c>
      <c r="AF60" s="324">
        <f t="shared" si="24"/>
        <v>0</v>
      </c>
      <c r="AG60" s="293">
        <f>(2*'[2]Table 5C1T-Northeast'!AI60)+(6*'[20]Table 5C1T-Northeast'!AI60)</f>
        <v>0</v>
      </c>
      <c r="AH60" s="293">
        <f t="shared" si="25"/>
        <v>0</v>
      </c>
      <c r="AI60" s="324">
        <f t="shared" si="31"/>
        <v>0</v>
      </c>
      <c r="AJ60" s="321">
        <f t="shared" si="26"/>
        <v>0</v>
      </c>
      <c r="AK60" s="342">
        <f t="shared" si="27"/>
        <v>0</v>
      </c>
      <c r="AM60" s="286">
        <v>0</v>
      </c>
      <c r="AN60" s="286">
        <f t="shared" si="28"/>
        <v>0</v>
      </c>
      <c r="AO60" s="286">
        <f t="shared" si="29"/>
        <v>0</v>
      </c>
    </row>
    <row r="61" spans="1:41" ht="16.149999999999999" customHeight="1">
      <c r="A61" s="191">
        <v>55</v>
      </c>
      <c r="B61" s="192" t="s">
        <v>126</v>
      </c>
      <c r="C61" s="996">
        <v>0</v>
      </c>
      <c r="D61" s="194">
        <f>+'Table 5C1A-Madison Prep'!D61</f>
        <v>4266.8225491298481</v>
      </c>
      <c r="E61" s="195">
        <f t="shared" si="8"/>
        <v>0</v>
      </c>
      <c r="F61" s="195">
        <f>+'Table 5C1A-Madison Prep'!F61</f>
        <v>795.14</v>
      </c>
      <c r="G61" s="195">
        <f t="shared" si="9"/>
        <v>0</v>
      </c>
      <c r="H61" s="346">
        <f t="shared" si="10"/>
        <v>0</v>
      </c>
      <c r="I61" s="196">
        <f>'[1]Oct midyear Northeast'!K58</f>
        <v>0</v>
      </c>
      <c r="J61" s="196">
        <f>'[1]Feb midyear Northeast'!K58</f>
        <v>0</v>
      </c>
      <c r="K61" s="197">
        <f t="shared" si="11"/>
        <v>0</v>
      </c>
      <c r="L61" s="346">
        <f t="shared" si="12"/>
        <v>0</v>
      </c>
      <c r="M61" s="296">
        <f t="shared" si="4"/>
        <v>0</v>
      </c>
      <c r="N61" s="346">
        <f t="shared" si="13"/>
        <v>0</v>
      </c>
      <c r="O61" s="194">
        <v>0</v>
      </c>
      <c r="P61" s="352">
        <f t="shared" si="14"/>
        <v>0</v>
      </c>
      <c r="Q61" s="196">
        <f>(2*'[2]Table 5C1T-Northeast'!S61)+(6*'[20]Table 5C1T-Northeast'!S61)</f>
        <v>0</v>
      </c>
      <c r="R61" s="196">
        <f t="shared" si="15"/>
        <v>0</v>
      </c>
      <c r="S61" s="352">
        <f t="shared" si="30"/>
        <v>0</v>
      </c>
      <c r="T61" s="352">
        <f t="shared" si="16"/>
        <v>0</v>
      </c>
      <c r="U61" s="281">
        <f>'Table 5C1A-Madison Prep'!U61</f>
        <v>3637</v>
      </c>
      <c r="V61" s="329">
        <f t="shared" si="17"/>
        <v>0</v>
      </c>
      <c r="W61" s="884">
        <f>'[1]Oct midyear Northeast'!E58</f>
        <v>0</v>
      </c>
      <c r="X61" s="282">
        <f t="shared" si="18"/>
        <v>0</v>
      </c>
      <c r="Y61" s="884">
        <f>'[1]Feb midyear Northeast'!E58</f>
        <v>0</v>
      </c>
      <c r="Z61" s="282">
        <f t="shared" si="19"/>
        <v>0</v>
      </c>
      <c r="AA61" s="283">
        <f t="shared" si="20"/>
        <v>0</v>
      </c>
      <c r="AB61" s="325">
        <f t="shared" si="21"/>
        <v>0</v>
      </c>
      <c r="AC61" s="298">
        <f t="shared" si="22"/>
        <v>0</v>
      </c>
      <c r="AD61" s="325">
        <f t="shared" si="23"/>
        <v>0</v>
      </c>
      <c r="AE61" s="284">
        <v>0</v>
      </c>
      <c r="AF61" s="325">
        <f t="shared" si="24"/>
        <v>0</v>
      </c>
      <c r="AG61" s="284">
        <f>(2*'[2]Table 5C1T-Northeast'!AI61)+(6*'[20]Table 5C1T-Northeast'!AI61)</f>
        <v>0</v>
      </c>
      <c r="AH61" s="284">
        <f t="shared" si="25"/>
        <v>0</v>
      </c>
      <c r="AI61" s="325">
        <f t="shared" si="31"/>
        <v>0</v>
      </c>
      <c r="AJ61" s="338">
        <f t="shared" si="26"/>
        <v>0</v>
      </c>
      <c r="AK61" s="343">
        <f t="shared" si="27"/>
        <v>0</v>
      </c>
      <c r="AM61" s="296">
        <v>0</v>
      </c>
      <c r="AN61" s="296">
        <f t="shared" si="28"/>
        <v>0</v>
      </c>
      <c r="AO61" s="296">
        <f t="shared" si="29"/>
        <v>0</v>
      </c>
    </row>
    <row r="62" spans="1:41" ht="16.149999999999999" customHeight="1">
      <c r="A62" s="205">
        <v>56</v>
      </c>
      <c r="B62" s="206" t="s">
        <v>127</v>
      </c>
      <c r="C62" s="994">
        <v>0</v>
      </c>
      <c r="D62" s="208">
        <f>+'Table 5C1A-Madison Prep'!D62</f>
        <v>5028.4909408288286</v>
      </c>
      <c r="E62" s="209">
        <f t="shared" si="8"/>
        <v>0</v>
      </c>
      <c r="F62" s="209">
        <f>+'Table 5C1A-Madison Prep'!F62</f>
        <v>614.66000000000008</v>
      </c>
      <c r="G62" s="209">
        <f t="shared" si="9"/>
        <v>0</v>
      </c>
      <c r="H62" s="344">
        <f t="shared" si="10"/>
        <v>0</v>
      </c>
      <c r="I62" s="210">
        <f>'[1]Oct midyear Northeast'!K59</f>
        <v>349875.35833138734</v>
      </c>
      <c r="J62" s="210">
        <f>'[1]Feb midyear Northeast'!K59</f>
        <v>5643.1509408288284</v>
      </c>
      <c r="K62" s="211">
        <f t="shared" si="11"/>
        <v>355518.50927221618</v>
      </c>
      <c r="L62" s="344">
        <f t="shared" si="12"/>
        <v>355518.50927221618</v>
      </c>
      <c r="M62" s="273">
        <f t="shared" si="4"/>
        <v>-888.79627318054042</v>
      </c>
      <c r="N62" s="344">
        <f t="shared" si="13"/>
        <v>354629.71299903566</v>
      </c>
      <c r="O62" s="208">
        <v>0</v>
      </c>
      <c r="P62" s="350">
        <f t="shared" si="14"/>
        <v>354629.71299903566</v>
      </c>
      <c r="Q62" s="210">
        <f>(2*'[2]Table 5C1T-Northeast'!S62)+(6*'[20]Table 5C1T-Northeast'!S62)</f>
        <v>217658</v>
      </c>
      <c r="R62" s="210">
        <f t="shared" si="15"/>
        <v>136971.71299903566</v>
      </c>
      <c r="S62" s="350">
        <f t="shared" si="30"/>
        <v>34243</v>
      </c>
      <c r="T62" s="350">
        <f t="shared" si="16"/>
        <v>354629.71299903566</v>
      </c>
      <c r="U62" s="274">
        <f>'Table 5C1A-Madison Prep'!U62</f>
        <v>2857</v>
      </c>
      <c r="V62" s="327">
        <f t="shared" si="17"/>
        <v>0</v>
      </c>
      <c r="W62" s="883">
        <f>'[1]Oct midyear Northeast'!E59</f>
        <v>62</v>
      </c>
      <c r="X62" s="276">
        <f t="shared" si="18"/>
        <v>177134</v>
      </c>
      <c r="Y62" s="883">
        <f>'[1]Feb midyear Northeast'!E59</f>
        <v>2</v>
      </c>
      <c r="Z62" s="276">
        <f t="shared" si="19"/>
        <v>2857</v>
      </c>
      <c r="AA62" s="275">
        <f t="shared" si="20"/>
        <v>179991</v>
      </c>
      <c r="AB62" s="323">
        <f t="shared" si="21"/>
        <v>179991</v>
      </c>
      <c r="AC62" s="278">
        <f t="shared" si="22"/>
        <v>-449.97750000000002</v>
      </c>
      <c r="AD62" s="323">
        <f t="shared" si="23"/>
        <v>179541.02249999999</v>
      </c>
      <c r="AE62" s="279">
        <v>0</v>
      </c>
      <c r="AF62" s="323">
        <f t="shared" si="24"/>
        <v>179541.02249999999</v>
      </c>
      <c r="AG62" s="279">
        <f>(2*'[2]Table 5C1T-Northeast'!AI62)+(6*'[20]Table 5C1T-Northeast'!AI62)</f>
        <v>110504</v>
      </c>
      <c r="AH62" s="279">
        <f t="shared" si="25"/>
        <v>69037.022499999992</v>
      </c>
      <c r="AI62" s="323">
        <f t="shared" si="31"/>
        <v>17259</v>
      </c>
      <c r="AJ62" s="337">
        <f t="shared" si="26"/>
        <v>534170.73549903568</v>
      </c>
      <c r="AK62" s="341">
        <f t="shared" si="27"/>
        <v>51502</v>
      </c>
      <c r="AM62" s="273">
        <v>-286.5</v>
      </c>
      <c r="AN62" s="273">
        <f t="shared" si="28"/>
        <v>-449.97750000000002</v>
      </c>
      <c r="AO62" s="273">
        <f t="shared" si="29"/>
        <v>-163.47750000000002</v>
      </c>
    </row>
    <row r="63" spans="1:41" ht="16.149999999999999" customHeight="1">
      <c r="A63" s="198">
        <v>57</v>
      </c>
      <c r="B63" s="199" t="s">
        <v>128</v>
      </c>
      <c r="C63" s="995">
        <v>0</v>
      </c>
      <c r="D63" s="201">
        <f>+'Table 5C1A-Madison Prep'!D63</f>
        <v>4625.9922979230687</v>
      </c>
      <c r="E63" s="202">
        <f t="shared" si="8"/>
        <v>0</v>
      </c>
      <c r="F63" s="202">
        <f>+'Table 5C1A-Madison Prep'!F63</f>
        <v>764.51</v>
      </c>
      <c r="G63" s="202">
        <f t="shared" si="9"/>
        <v>0</v>
      </c>
      <c r="H63" s="345">
        <f t="shared" si="10"/>
        <v>0</v>
      </c>
      <c r="I63" s="203">
        <f>'[1]Oct midyear Northeast'!K60</f>
        <v>0</v>
      </c>
      <c r="J63" s="203">
        <f>'[1]Feb midyear Northeast'!K60</f>
        <v>0</v>
      </c>
      <c r="K63" s="204">
        <f t="shared" si="11"/>
        <v>0</v>
      </c>
      <c r="L63" s="345">
        <f t="shared" si="12"/>
        <v>0</v>
      </c>
      <c r="M63" s="286">
        <f t="shared" si="4"/>
        <v>0</v>
      </c>
      <c r="N63" s="345">
        <f t="shared" si="13"/>
        <v>0</v>
      </c>
      <c r="O63" s="201">
        <v>0</v>
      </c>
      <c r="P63" s="351">
        <f t="shared" si="14"/>
        <v>0</v>
      </c>
      <c r="Q63" s="203">
        <f>(2*'[2]Table 5C1T-Northeast'!S63)+(6*'[20]Table 5C1T-Northeast'!S63)</f>
        <v>0</v>
      </c>
      <c r="R63" s="203">
        <f t="shared" si="15"/>
        <v>0</v>
      </c>
      <c r="S63" s="351">
        <f t="shared" si="30"/>
        <v>0</v>
      </c>
      <c r="T63" s="351">
        <f t="shared" si="16"/>
        <v>0</v>
      </c>
      <c r="U63" s="287">
        <f>'Table 5C1A-Madison Prep'!U63</f>
        <v>3465</v>
      </c>
      <c r="V63" s="328">
        <f t="shared" si="17"/>
        <v>0</v>
      </c>
      <c r="W63" s="289">
        <f>'[1]Oct midyear Northeast'!E60</f>
        <v>0</v>
      </c>
      <c r="X63" s="290">
        <f t="shared" si="18"/>
        <v>0</v>
      </c>
      <c r="Y63" s="289">
        <f>'[1]Feb midyear Northeast'!E60</f>
        <v>0</v>
      </c>
      <c r="Z63" s="290">
        <f t="shared" si="19"/>
        <v>0</v>
      </c>
      <c r="AA63" s="288">
        <f t="shared" si="20"/>
        <v>0</v>
      </c>
      <c r="AB63" s="324">
        <f t="shared" si="21"/>
        <v>0</v>
      </c>
      <c r="AC63" s="292">
        <f t="shared" si="22"/>
        <v>0</v>
      </c>
      <c r="AD63" s="324">
        <f t="shared" si="23"/>
        <v>0</v>
      </c>
      <c r="AE63" s="293">
        <v>0</v>
      </c>
      <c r="AF63" s="324">
        <f t="shared" si="24"/>
        <v>0</v>
      </c>
      <c r="AG63" s="293">
        <f>(2*'[2]Table 5C1T-Northeast'!AI63)+(6*'[20]Table 5C1T-Northeast'!AI63)</f>
        <v>0</v>
      </c>
      <c r="AH63" s="293">
        <f t="shared" si="25"/>
        <v>0</v>
      </c>
      <c r="AI63" s="324">
        <f t="shared" si="31"/>
        <v>0</v>
      </c>
      <c r="AJ63" s="321">
        <f t="shared" si="26"/>
        <v>0</v>
      </c>
      <c r="AK63" s="342">
        <f t="shared" si="27"/>
        <v>0</v>
      </c>
      <c r="AM63" s="286">
        <v>0</v>
      </c>
      <c r="AN63" s="286">
        <f t="shared" si="28"/>
        <v>0</v>
      </c>
      <c r="AO63" s="286">
        <f t="shared" si="29"/>
        <v>0</v>
      </c>
    </row>
    <row r="64" spans="1:41" ht="16.149999999999999" customHeight="1">
      <c r="A64" s="198">
        <v>58</v>
      </c>
      <c r="B64" s="199" t="s">
        <v>129</v>
      </c>
      <c r="C64" s="995">
        <v>0</v>
      </c>
      <c r="D64" s="201">
        <f>+'Table 5C1A-Madison Prep'!D64</f>
        <v>5673.1129637882123</v>
      </c>
      <c r="E64" s="202">
        <f t="shared" si="8"/>
        <v>0</v>
      </c>
      <c r="F64" s="202">
        <f>+'Table 5C1A-Madison Prep'!F64</f>
        <v>697.04</v>
      </c>
      <c r="G64" s="202">
        <f t="shared" si="9"/>
        <v>0</v>
      </c>
      <c r="H64" s="345">
        <f t="shared" si="10"/>
        <v>0</v>
      </c>
      <c r="I64" s="203">
        <f>'[1]Oct midyear Northeast'!K61</f>
        <v>0</v>
      </c>
      <c r="J64" s="203">
        <f>'[1]Feb midyear Northeast'!K61</f>
        <v>0</v>
      </c>
      <c r="K64" s="204">
        <f t="shared" si="11"/>
        <v>0</v>
      </c>
      <c r="L64" s="345">
        <f t="shared" si="12"/>
        <v>0</v>
      </c>
      <c r="M64" s="286">
        <f t="shared" si="4"/>
        <v>0</v>
      </c>
      <c r="N64" s="345">
        <f t="shared" si="13"/>
        <v>0</v>
      </c>
      <c r="O64" s="201">
        <v>0</v>
      </c>
      <c r="P64" s="351">
        <f t="shared" si="14"/>
        <v>0</v>
      </c>
      <c r="Q64" s="203">
        <f>(2*'[2]Table 5C1T-Northeast'!S64)+(6*'[20]Table 5C1T-Northeast'!S64)</f>
        <v>0</v>
      </c>
      <c r="R64" s="203">
        <f t="shared" si="15"/>
        <v>0</v>
      </c>
      <c r="S64" s="351">
        <f t="shared" si="30"/>
        <v>0</v>
      </c>
      <c r="T64" s="351">
        <f t="shared" si="16"/>
        <v>0</v>
      </c>
      <c r="U64" s="287">
        <f>'Table 5C1A-Madison Prep'!U64</f>
        <v>2167</v>
      </c>
      <c r="V64" s="328">
        <f t="shared" si="17"/>
        <v>0</v>
      </c>
      <c r="W64" s="289">
        <f>'[1]Oct midyear Northeast'!E61</f>
        <v>0</v>
      </c>
      <c r="X64" s="290">
        <f t="shared" si="18"/>
        <v>0</v>
      </c>
      <c r="Y64" s="289">
        <f>'[1]Feb midyear Northeast'!E61</f>
        <v>0</v>
      </c>
      <c r="Z64" s="290">
        <f t="shared" si="19"/>
        <v>0</v>
      </c>
      <c r="AA64" s="288">
        <f t="shared" si="20"/>
        <v>0</v>
      </c>
      <c r="AB64" s="324">
        <f t="shared" si="21"/>
        <v>0</v>
      </c>
      <c r="AC64" s="292">
        <f t="shared" si="22"/>
        <v>0</v>
      </c>
      <c r="AD64" s="324">
        <f t="shared" si="23"/>
        <v>0</v>
      </c>
      <c r="AE64" s="293">
        <v>0</v>
      </c>
      <c r="AF64" s="324">
        <f t="shared" si="24"/>
        <v>0</v>
      </c>
      <c r="AG64" s="293">
        <f>(2*'[2]Table 5C1T-Northeast'!AI64)+(6*'[20]Table 5C1T-Northeast'!AI64)</f>
        <v>0</v>
      </c>
      <c r="AH64" s="293">
        <f t="shared" si="25"/>
        <v>0</v>
      </c>
      <c r="AI64" s="324">
        <f t="shared" si="31"/>
        <v>0</v>
      </c>
      <c r="AJ64" s="321">
        <f t="shared" si="26"/>
        <v>0</v>
      </c>
      <c r="AK64" s="342">
        <f t="shared" si="27"/>
        <v>0</v>
      </c>
      <c r="AM64" s="286">
        <v>0</v>
      </c>
      <c r="AN64" s="286">
        <f t="shared" si="28"/>
        <v>0</v>
      </c>
      <c r="AO64" s="286">
        <f t="shared" si="29"/>
        <v>0</v>
      </c>
    </row>
    <row r="65" spans="1:41" ht="16.149999999999999" customHeight="1">
      <c r="A65" s="198">
        <v>59</v>
      </c>
      <c r="B65" s="199" t="s">
        <v>130</v>
      </c>
      <c r="C65" s="995">
        <v>0</v>
      </c>
      <c r="D65" s="201">
        <f>+'Table 5C1A-Madison Prep'!D65</f>
        <v>6621.946293521848</v>
      </c>
      <c r="E65" s="202">
        <f t="shared" si="8"/>
        <v>0</v>
      </c>
      <c r="F65" s="202">
        <f>+'Table 5C1A-Madison Prep'!F65</f>
        <v>689.52</v>
      </c>
      <c r="G65" s="202">
        <f t="shared" si="9"/>
        <v>0</v>
      </c>
      <c r="H65" s="345">
        <f t="shared" si="10"/>
        <v>0</v>
      </c>
      <c r="I65" s="203">
        <f>'[1]Oct midyear Northeast'!K62</f>
        <v>0</v>
      </c>
      <c r="J65" s="203">
        <f>'[1]Feb midyear Northeast'!K62</f>
        <v>0</v>
      </c>
      <c r="K65" s="204">
        <f t="shared" si="11"/>
        <v>0</v>
      </c>
      <c r="L65" s="345">
        <f t="shared" si="12"/>
        <v>0</v>
      </c>
      <c r="M65" s="286">
        <f t="shared" si="4"/>
        <v>0</v>
      </c>
      <c r="N65" s="345">
        <f t="shared" si="13"/>
        <v>0</v>
      </c>
      <c r="O65" s="201">
        <v>0</v>
      </c>
      <c r="P65" s="351">
        <f t="shared" si="14"/>
        <v>0</v>
      </c>
      <c r="Q65" s="203">
        <f>(2*'[2]Table 5C1T-Northeast'!S65)+(6*'[20]Table 5C1T-Northeast'!S65)</f>
        <v>0</v>
      </c>
      <c r="R65" s="203">
        <f t="shared" si="15"/>
        <v>0</v>
      </c>
      <c r="S65" s="351">
        <f t="shared" si="30"/>
        <v>0</v>
      </c>
      <c r="T65" s="351">
        <f t="shared" si="16"/>
        <v>0</v>
      </c>
      <c r="U65" s="287">
        <f>'Table 5C1A-Madison Prep'!U65</f>
        <v>1521</v>
      </c>
      <c r="V65" s="328">
        <f t="shared" si="17"/>
        <v>0</v>
      </c>
      <c r="W65" s="289">
        <f>'[1]Oct midyear Northeast'!E62</f>
        <v>0</v>
      </c>
      <c r="X65" s="290">
        <f t="shared" si="18"/>
        <v>0</v>
      </c>
      <c r="Y65" s="289">
        <f>'[1]Feb midyear Northeast'!E62</f>
        <v>0</v>
      </c>
      <c r="Z65" s="290">
        <f t="shared" si="19"/>
        <v>0</v>
      </c>
      <c r="AA65" s="288">
        <f t="shared" si="20"/>
        <v>0</v>
      </c>
      <c r="AB65" s="324">
        <f t="shared" si="21"/>
        <v>0</v>
      </c>
      <c r="AC65" s="292">
        <f t="shared" si="22"/>
        <v>0</v>
      </c>
      <c r="AD65" s="324">
        <f t="shared" si="23"/>
        <v>0</v>
      </c>
      <c r="AE65" s="293">
        <v>0</v>
      </c>
      <c r="AF65" s="324">
        <f t="shared" si="24"/>
        <v>0</v>
      </c>
      <c r="AG65" s="293">
        <f>(2*'[2]Table 5C1T-Northeast'!AI65)+(6*'[20]Table 5C1T-Northeast'!AI65)</f>
        <v>0</v>
      </c>
      <c r="AH65" s="293">
        <f t="shared" si="25"/>
        <v>0</v>
      </c>
      <c r="AI65" s="324">
        <f t="shared" si="31"/>
        <v>0</v>
      </c>
      <c r="AJ65" s="321">
        <f t="shared" si="26"/>
        <v>0</v>
      </c>
      <c r="AK65" s="342">
        <f t="shared" si="27"/>
        <v>0</v>
      </c>
      <c r="AM65" s="286">
        <v>0</v>
      </c>
      <c r="AN65" s="286">
        <f t="shared" si="28"/>
        <v>0</v>
      </c>
      <c r="AO65" s="286">
        <f t="shared" si="29"/>
        <v>0</v>
      </c>
    </row>
    <row r="66" spans="1:41" ht="16.149999999999999" customHeight="1">
      <c r="A66" s="191">
        <v>60</v>
      </c>
      <c r="B66" s="192" t="s">
        <v>131</v>
      </c>
      <c r="C66" s="996">
        <v>0</v>
      </c>
      <c r="D66" s="194">
        <f>+'Table 5C1A-Madison Prep'!D66</f>
        <v>5301.224090063828</v>
      </c>
      <c r="E66" s="195">
        <f t="shared" si="8"/>
        <v>0</v>
      </c>
      <c r="F66" s="195">
        <f>+'Table 5C1A-Madison Prep'!F66</f>
        <v>594.04</v>
      </c>
      <c r="G66" s="195">
        <f t="shared" si="9"/>
        <v>0</v>
      </c>
      <c r="H66" s="346">
        <f t="shared" si="10"/>
        <v>0</v>
      </c>
      <c r="I66" s="196">
        <f>'[1]Oct midyear Northeast'!K63</f>
        <v>0</v>
      </c>
      <c r="J66" s="196">
        <f>'[1]Feb midyear Northeast'!K63</f>
        <v>0</v>
      </c>
      <c r="K66" s="197">
        <f t="shared" si="11"/>
        <v>0</v>
      </c>
      <c r="L66" s="346">
        <f t="shared" si="12"/>
        <v>0</v>
      </c>
      <c r="M66" s="296">
        <f t="shared" si="4"/>
        <v>0</v>
      </c>
      <c r="N66" s="346">
        <f t="shared" si="13"/>
        <v>0</v>
      </c>
      <c r="O66" s="194">
        <v>0</v>
      </c>
      <c r="P66" s="352">
        <f t="shared" si="14"/>
        <v>0</v>
      </c>
      <c r="Q66" s="196">
        <f>(2*'[2]Table 5C1T-Northeast'!S66)+(6*'[20]Table 5C1T-Northeast'!S66)</f>
        <v>0</v>
      </c>
      <c r="R66" s="196">
        <f t="shared" si="15"/>
        <v>0</v>
      </c>
      <c r="S66" s="352">
        <f t="shared" si="30"/>
        <v>0</v>
      </c>
      <c r="T66" s="352">
        <f t="shared" si="16"/>
        <v>0</v>
      </c>
      <c r="U66" s="281">
        <f>'Table 5C1A-Madison Prep'!U66</f>
        <v>4024</v>
      </c>
      <c r="V66" s="329">
        <f t="shared" si="17"/>
        <v>0</v>
      </c>
      <c r="W66" s="884">
        <f>'[1]Oct midyear Northeast'!E63</f>
        <v>0</v>
      </c>
      <c r="X66" s="282">
        <f t="shared" si="18"/>
        <v>0</v>
      </c>
      <c r="Y66" s="884">
        <f>'[1]Feb midyear Northeast'!E63</f>
        <v>0</v>
      </c>
      <c r="Z66" s="282">
        <f t="shared" si="19"/>
        <v>0</v>
      </c>
      <c r="AA66" s="283">
        <f t="shared" si="20"/>
        <v>0</v>
      </c>
      <c r="AB66" s="325">
        <f t="shared" si="21"/>
        <v>0</v>
      </c>
      <c r="AC66" s="298">
        <f t="shared" si="22"/>
        <v>0</v>
      </c>
      <c r="AD66" s="325">
        <f t="shared" si="23"/>
        <v>0</v>
      </c>
      <c r="AE66" s="284">
        <v>0</v>
      </c>
      <c r="AF66" s="325">
        <f t="shared" si="24"/>
        <v>0</v>
      </c>
      <c r="AG66" s="284">
        <f>(2*'[2]Table 5C1T-Northeast'!AI66)+(6*'[20]Table 5C1T-Northeast'!AI66)</f>
        <v>0</v>
      </c>
      <c r="AH66" s="284">
        <f t="shared" si="25"/>
        <v>0</v>
      </c>
      <c r="AI66" s="325">
        <f t="shared" si="31"/>
        <v>0</v>
      </c>
      <c r="AJ66" s="338">
        <f t="shared" si="26"/>
        <v>0</v>
      </c>
      <c r="AK66" s="343">
        <f t="shared" si="27"/>
        <v>0</v>
      </c>
      <c r="AM66" s="296">
        <v>0</v>
      </c>
      <c r="AN66" s="296">
        <f t="shared" si="28"/>
        <v>0</v>
      </c>
      <c r="AO66" s="296">
        <f t="shared" si="29"/>
        <v>0</v>
      </c>
    </row>
    <row r="67" spans="1:41" ht="16.149999999999999" customHeight="1">
      <c r="A67" s="205">
        <v>61</v>
      </c>
      <c r="B67" s="206" t="s">
        <v>132</v>
      </c>
      <c r="C67" s="994">
        <v>0</v>
      </c>
      <c r="D67" s="208">
        <f>+'Table 5C1A-Madison Prep'!D67</f>
        <v>2854.1575356369185</v>
      </c>
      <c r="E67" s="209">
        <f t="shared" si="8"/>
        <v>0</v>
      </c>
      <c r="F67" s="209">
        <f>+'Table 5C1A-Madison Prep'!F67</f>
        <v>833.70999999999992</v>
      </c>
      <c r="G67" s="209">
        <f t="shared" si="9"/>
        <v>0</v>
      </c>
      <c r="H67" s="344">
        <f t="shared" si="10"/>
        <v>0</v>
      </c>
      <c r="I67" s="210">
        <f>'[1]Oct midyear Northeast'!K64</f>
        <v>0</v>
      </c>
      <c r="J67" s="210">
        <f>'[1]Feb midyear Northeast'!K64</f>
        <v>0</v>
      </c>
      <c r="K67" s="211">
        <f t="shared" si="11"/>
        <v>0</v>
      </c>
      <c r="L67" s="344">
        <f t="shared" si="12"/>
        <v>0</v>
      </c>
      <c r="M67" s="273">
        <f t="shared" si="4"/>
        <v>0</v>
      </c>
      <c r="N67" s="344">
        <f t="shared" si="13"/>
        <v>0</v>
      </c>
      <c r="O67" s="208">
        <v>0</v>
      </c>
      <c r="P67" s="350">
        <f t="shared" si="14"/>
        <v>0</v>
      </c>
      <c r="Q67" s="210">
        <f>(2*'[2]Table 5C1T-Northeast'!S67)+(6*'[20]Table 5C1T-Northeast'!S67)</f>
        <v>0</v>
      </c>
      <c r="R67" s="210">
        <f t="shared" si="15"/>
        <v>0</v>
      </c>
      <c r="S67" s="350">
        <f t="shared" si="30"/>
        <v>0</v>
      </c>
      <c r="T67" s="350">
        <f t="shared" si="16"/>
        <v>0</v>
      </c>
      <c r="U67" s="274">
        <f>'Table 5C1A-Madison Prep'!U67</f>
        <v>6739</v>
      </c>
      <c r="V67" s="327">
        <f t="shared" si="17"/>
        <v>0</v>
      </c>
      <c r="W67" s="883">
        <f>'[1]Oct midyear Northeast'!E64</f>
        <v>0</v>
      </c>
      <c r="X67" s="276">
        <f t="shared" si="18"/>
        <v>0</v>
      </c>
      <c r="Y67" s="883">
        <f>'[1]Feb midyear Northeast'!E64</f>
        <v>0</v>
      </c>
      <c r="Z67" s="276">
        <f t="shared" si="19"/>
        <v>0</v>
      </c>
      <c r="AA67" s="275">
        <f t="shared" si="20"/>
        <v>0</v>
      </c>
      <c r="AB67" s="323">
        <f t="shared" si="21"/>
        <v>0</v>
      </c>
      <c r="AC67" s="278">
        <f t="shared" si="22"/>
        <v>0</v>
      </c>
      <c r="AD67" s="323">
        <f t="shared" si="23"/>
        <v>0</v>
      </c>
      <c r="AE67" s="279">
        <v>0</v>
      </c>
      <c r="AF67" s="323">
        <f t="shared" si="24"/>
        <v>0</v>
      </c>
      <c r="AG67" s="279">
        <f>(2*'[2]Table 5C1T-Northeast'!AI67)+(6*'[20]Table 5C1T-Northeast'!AI67)</f>
        <v>0</v>
      </c>
      <c r="AH67" s="279">
        <f t="shared" si="25"/>
        <v>0</v>
      </c>
      <c r="AI67" s="323">
        <f t="shared" si="31"/>
        <v>0</v>
      </c>
      <c r="AJ67" s="337">
        <f t="shared" si="26"/>
        <v>0</v>
      </c>
      <c r="AK67" s="341">
        <f t="shared" si="27"/>
        <v>0</v>
      </c>
      <c r="AM67" s="273">
        <v>0</v>
      </c>
      <c r="AN67" s="273">
        <f t="shared" si="28"/>
        <v>0</v>
      </c>
      <c r="AO67" s="273">
        <f t="shared" si="29"/>
        <v>0</v>
      </c>
    </row>
    <row r="68" spans="1:41" ht="16.149999999999999" customHeight="1">
      <c r="A68" s="198">
        <v>62</v>
      </c>
      <c r="B68" s="199" t="s">
        <v>133</v>
      </c>
      <c r="C68" s="995">
        <v>0</v>
      </c>
      <c r="D68" s="201">
        <f>+'Table 5C1A-Madison Prep'!D68</f>
        <v>5901.074538516008</v>
      </c>
      <c r="E68" s="202">
        <f t="shared" si="8"/>
        <v>0</v>
      </c>
      <c r="F68" s="202">
        <f>+'Table 5C1A-Madison Prep'!F68</f>
        <v>516.08000000000004</v>
      </c>
      <c r="G68" s="202">
        <f t="shared" si="9"/>
        <v>0</v>
      </c>
      <c r="H68" s="345">
        <f t="shared" si="10"/>
        <v>0</v>
      </c>
      <c r="I68" s="203">
        <f>'[1]Oct midyear Northeast'!K65</f>
        <v>0</v>
      </c>
      <c r="J68" s="203">
        <f>'[1]Feb midyear Northeast'!K65</f>
        <v>0</v>
      </c>
      <c r="K68" s="204">
        <f t="shared" si="11"/>
        <v>0</v>
      </c>
      <c r="L68" s="345">
        <f t="shared" si="12"/>
        <v>0</v>
      </c>
      <c r="M68" s="286">
        <f t="shared" si="4"/>
        <v>0</v>
      </c>
      <c r="N68" s="345">
        <f t="shared" si="13"/>
        <v>0</v>
      </c>
      <c r="O68" s="201">
        <v>0</v>
      </c>
      <c r="P68" s="351">
        <f t="shared" si="14"/>
        <v>0</v>
      </c>
      <c r="Q68" s="203">
        <f>(2*'[2]Table 5C1T-Northeast'!S68)+(6*'[20]Table 5C1T-Northeast'!S68)</f>
        <v>0</v>
      </c>
      <c r="R68" s="203">
        <f t="shared" si="15"/>
        <v>0</v>
      </c>
      <c r="S68" s="351">
        <f t="shared" si="30"/>
        <v>0</v>
      </c>
      <c r="T68" s="351">
        <f t="shared" si="16"/>
        <v>0</v>
      </c>
      <c r="U68" s="287">
        <f>'Table 5C1A-Madison Prep'!U68</f>
        <v>2089</v>
      </c>
      <c r="V68" s="328">
        <f t="shared" si="17"/>
        <v>0</v>
      </c>
      <c r="W68" s="289">
        <f>'[1]Oct midyear Northeast'!E65</f>
        <v>0</v>
      </c>
      <c r="X68" s="290">
        <f t="shared" si="18"/>
        <v>0</v>
      </c>
      <c r="Y68" s="289">
        <f>'[1]Feb midyear Northeast'!E65</f>
        <v>0</v>
      </c>
      <c r="Z68" s="290">
        <f t="shared" si="19"/>
        <v>0</v>
      </c>
      <c r="AA68" s="288">
        <f t="shared" si="20"/>
        <v>0</v>
      </c>
      <c r="AB68" s="324">
        <f t="shared" si="21"/>
        <v>0</v>
      </c>
      <c r="AC68" s="292">
        <f t="shared" si="22"/>
        <v>0</v>
      </c>
      <c r="AD68" s="324">
        <f t="shared" si="23"/>
        <v>0</v>
      </c>
      <c r="AE68" s="293">
        <v>0</v>
      </c>
      <c r="AF68" s="324">
        <f t="shared" si="24"/>
        <v>0</v>
      </c>
      <c r="AG68" s="293">
        <f>(2*'[2]Table 5C1T-Northeast'!AI68)+(6*'[20]Table 5C1T-Northeast'!AI68)</f>
        <v>0</v>
      </c>
      <c r="AH68" s="293">
        <f t="shared" si="25"/>
        <v>0</v>
      </c>
      <c r="AI68" s="324">
        <f t="shared" si="31"/>
        <v>0</v>
      </c>
      <c r="AJ68" s="321">
        <f t="shared" si="26"/>
        <v>0</v>
      </c>
      <c r="AK68" s="342">
        <f t="shared" si="27"/>
        <v>0</v>
      </c>
      <c r="AM68" s="286">
        <v>0</v>
      </c>
      <c r="AN68" s="286">
        <f t="shared" si="28"/>
        <v>0</v>
      </c>
      <c r="AO68" s="286">
        <f t="shared" si="29"/>
        <v>0</v>
      </c>
    </row>
    <row r="69" spans="1:41" ht="16.149999999999999" customHeight="1">
      <c r="A69" s="198">
        <v>63</v>
      </c>
      <c r="B69" s="199" t="s">
        <v>134</v>
      </c>
      <c r="C69" s="995">
        <v>0</v>
      </c>
      <c r="D69" s="201">
        <f>+'Table 5C1A-Madison Prep'!D69</f>
        <v>4124.3813481848092</v>
      </c>
      <c r="E69" s="202">
        <f t="shared" si="8"/>
        <v>0</v>
      </c>
      <c r="F69" s="202">
        <f>+'Table 5C1A-Madison Prep'!F69</f>
        <v>756.79</v>
      </c>
      <c r="G69" s="202">
        <f t="shared" si="9"/>
        <v>0</v>
      </c>
      <c r="H69" s="345">
        <f t="shared" si="10"/>
        <v>0</v>
      </c>
      <c r="I69" s="203">
        <f>'[1]Oct midyear Northeast'!K66</f>
        <v>0</v>
      </c>
      <c r="J69" s="203">
        <f>'[1]Feb midyear Northeast'!K66</f>
        <v>0</v>
      </c>
      <c r="K69" s="204">
        <f t="shared" si="11"/>
        <v>0</v>
      </c>
      <c r="L69" s="345">
        <f t="shared" si="12"/>
        <v>0</v>
      </c>
      <c r="M69" s="286">
        <f t="shared" si="4"/>
        <v>0</v>
      </c>
      <c r="N69" s="345">
        <f t="shared" si="13"/>
        <v>0</v>
      </c>
      <c r="O69" s="201">
        <v>0</v>
      </c>
      <c r="P69" s="351">
        <f t="shared" si="14"/>
        <v>0</v>
      </c>
      <c r="Q69" s="203">
        <f>(2*'[2]Table 5C1T-Northeast'!S69)+(6*'[20]Table 5C1T-Northeast'!S69)</f>
        <v>0</v>
      </c>
      <c r="R69" s="203">
        <f t="shared" si="15"/>
        <v>0</v>
      </c>
      <c r="S69" s="351">
        <f t="shared" si="30"/>
        <v>0</v>
      </c>
      <c r="T69" s="351">
        <f t="shared" si="16"/>
        <v>0</v>
      </c>
      <c r="U69" s="287">
        <f>'Table 5C1A-Madison Prep'!U69</f>
        <v>7403</v>
      </c>
      <c r="V69" s="328">
        <f t="shared" si="17"/>
        <v>0</v>
      </c>
      <c r="W69" s="289">
        <f>'[1]Oct midyear Northeast'!E66</f>
        <v>0</v>
      </c>
      <c r="X69" s="290">
        <f t="shared" si="18"/>
        <v>0</v>
      </c>
      <c r="Y69" s="289">
        <f>'[1]Feb midyear Northeast'!E66</f>
        <v>0</v>
      </c>
      <c r="Z69" s="290">
        <f t="shared" si="19"/>
        <v>0</v>
      </c>
      <c r="AA69" s="288">
        <f t="shared" si="20"/>
        <v>0</v>
      </c>
      <c r="AB69" s="324">
        <f t="shared" si="21"/>
        <v>0</v>
      </c>
      <c r="AC69" s="292">
        <f t="shared" si="22"/>
        <v>0</v>
      </c>
      <c r="AD69" s="324">
        <f t="shared" si="23"/>
        <v>0</v>
      </c>
      <c r="AE69" s="293">
        <v>0</v>
      </c>
      <c r="AF69" s="324">
        <f t="shared" si="24"/>
        <v>0</v>
      </c>
      <c r="AG69" s="293">
        <f>(2*'[2]Table 5C1T-Northeast'!AI69)+(6*'[20]Table 5C1T-Northeast'!AI69)</f>
        <v>0</v>
      </c>
      <c r="AH69" s="293">
        <f t="shared" si="25"/>
        <v>0</v>
      </c>
      <c r="AI69" s="324">
        <f t="shared" si="31"/>
        <v>0</v>
      </c>
      <c r="AJ69" s="321">
        <f t="shared" si="26"/>
        <v>0</v>
      </c>
      <c r="AK69" s="342">
        <f t="shared" si="27"/>
        <v>0</v>
      </c>
      <c r="AM69" s="286">
        <v>0</v>
      </c>
      <c r="AN69" s="286">
        <f t="shared" si="28"/>
        <v>0</v>
      </c>
      <c r="AO69" s="286">
        <f t="shared" si="29"/>
        <v>0</v>
      </c>
    </row>
    <row r="70" spans="1:41" ht="16.149999999999999" customHeight="1">
      <c r="A70" s="198">
        <v>64</v>
      </c>
      <c r="B70" s="199" t="s">
        <v>135</v>
      </c>
      <c r="C70" s="995">
        <v>0</v>
      </c>
      <c r="D70" s="201">
        <f>+'Table 5C1A-Madison Prep'!D70</f>
        <v>6277.8307532778254</v>
      </c>
      <c r="E70" s="202">
        <f t="shared" si="8"/>
        <v>0</v>
      </c>
      <c r="F70" s="202">
        <f>+'Table 5C1A-Madison Prep'!F70</f>
        <v>592.66</v>
      </c>
      <c r="G70" s="202">
        <f t="shared" si="9"/>
        <v>0</v>
      </c>
      <c r="H70" s="345">
        <f t="shared" si="10"/>
        <v>0</v>
      </c>
      <c r="I70" s="203">
        <f>'[1]Oct midyear Northeast'!K67</f>
        <v>0</v>
      </c>
      <c r="J70" s="203">
        <f>'[1]Feb midyear Northeast'!K67</f>
        <v>0</v>
      </c>
      <c r="K70" s="204">
        <f t="shared" si="11"/>
        <v>0</v>
      </c>
      <c r="L70" s="345">
        <f t="shared" si="12"/>
        <v>0</v>
      </c>
      <c r="M70" s="286">
        <f t="shared" si="4"/>
        <v>0</v>
      </c>
      <c r="N70" s="345">
        <f t="shared" si="13"/>
        <v>0</v>
      </c>
      <c r="O70" s="201">
        <v>0</v>
      </c>
      <c r="P70" s="351">
        <f t="shared" si="14"/>
        <v>0</v>
      </c>
      <c r="Q70" s="203">
        <f>(2*'[2]Table 5C1T-Northeast'!S70)+(6*'[20]Table 5C1T-Northeast'!S70)</f>
        <v>0</v>
      </c>
      <c r="R70" s="203">
        <f t="shared" si="15"/>
        <v>0</v>
      </c>
      <c r="S70" s="351">
        <f t="shared" si="30"/>
        <v>0</v>
      </c>
      <c r="T70" s="351">
        <f t="shared" si="16"/>
        <v>0</v>
      </c>
      <c r="U70" s="287">
        <f>'Table 5C1A-Madison Prep'!U70</f>
        <v>2802</v>
      </c>
      <c r="V70" s="328">
        <f t="shared" si="17"/>
        <v>0</v>
      </c>
      <c r="W70" s="289">
        <f>'[1]Oct midyear Northeast'!E67</f>
        <v>0</v>
      </c>
      <c r="X70" s="290">
        <f t="shared" si="18"/>
        <v>0</v>
      </c>
      <c r="Y70" s="289">
        <f>'[1]Feb midyear Northeast'!E67</f>
        <v>0</v>
      </c>
      <c r="Z70" s="290">
        <f t="shared" si="19"/>
        <v>0</v>
      </c>
      <c r="AA70" s="288">
        <f t="shared" si="20"/>
        <v>0</v>
      </c>
      <c r="AB70" s="324">
        <f t="shared" si="21"/>
        <v>0</v>
      </c>
      <c r="AC70" s="292">
        <f t="shared" si="22"/>
        <v>0</v>
      </c>
      <c r="AD70" s="324">
        <f t="shared" si="23"/>
        <v>0</v>
      </c>
      <c r="AE70" s="293">
        <v>0</v>
      </c>
      <c r="AF70" s="324">
        <f t="shared" si="24"/>
        <v>0</v>
      </c>
      <c r="AG70" s="293">
        <f>(2*'[2]Table 5C1T-Northeast'!AI70)+(6*'[20]Table 5C1T-Northeast'!AI70)</f>
        <v>0</v>
      </c>
      <c r="AH70" s="293">
        <f t="shared" si="25"/>
        <v>0</v>
      </c>
      <c r="AI70" s="324">
        <f t="shared" si="31"/>
        <v>0</v>
      </c>
      <c r="AJ70" s="321">
        <f t="shared" si="26"/>
        <v>0</v>
      </c>
      <c r="AK70" s="342">
        <f t="shared" si="27"/>
        <v>0</v>
      </c>
      <c r="AM70" s="286">
        <v>0</v>
      </c>
      <c r="AN70" s="286">
        <f t="shared" si="28"/>
        <v>0</v>
      </c>
      <c r="AO70" s="286">
        <f t="shared" si="29"/>
        <v>0</v>
      </c>
    </row>
    <row r="71" spans="1:41" ht="16.149999999999999" customHeight="1">
      <c r="A71" s="191">
        <v>65</v>
      </c>
      <c r="B71" s="192" t="s">
        <v>136</v>
      </c>
      <c r="C71" s="996">
        <v>0</v>
      </c>
      <c r="D71" s="194">
        <f>+'Table 5C1A-Madison Prep'!D71</f>
        <v>4775.1605543943642</v>
      </c>
      <c r="E71" s="195">
        <f t="shared" si="8"/>
        <v>0</v>
      </c>
      <c r="F71" s="195">
        <f>+'Table 5C1A-Madison Prep'!F71</f>
        <v>829.12</v>
      </c>
      <c r="G71" s="195">
        <f t="shared" si="9"/>
        <v>0</v>
      </c>
      <c r="H71" s="346">
        <f t="shared" si="10"/>
        <v>0</v>
      </c>
      <c r="I71" s="196">
        <f>'[1]Oct midyear Northeast'!K68</f>
        <v>0</v>
      </c>
      <c r="J71" s="196">
        <f>'[1]Feb midyear Northeast'!K68</f>
        <v>0</v>
      </c>
      <c r="K71" s="197">
        <f t="shared" si="11"/>
        <v>0</v>
      </c>
      <c r="L71" s="346">
        <f t="shared" si="12"/>
        <v>0</v>
      </c>
      <c r="M71" s="296">
        <f t="shared" ref="M71:M74" si="32">-(0.25%*L71)</f>
        <v>0</v>
      </c>
      <c r="N71" s="346">
        <f t="shared" si="13"/>
        <v>0</v>
      </c>
      <c r="O71" s="194">
        <v>0</v>
      </c>
      <c r="P71" s="352">
        <f t="shared" si="14"/>
        <v>0</v>
      </c>
      <c r="Q71" s="196">
        <f>(2*'[2]Table 5C1T-Northeast'!S71)+(6*'[20]Table 5C1T-Northeast'!S71)</f>
        <v>0</v>
      </c>
      <c r="R71" s="196">
        <f t="shared" si="15"/>
        <v>0</v>
      </c>
      <c r="S71" s="352">
        <f t="shared" ref="S71:S75" si="33">ROUND(R71/$S$88,0)</f>
        <v>0</v>
      </c>
      <c r="T71" s="352">
        <f t="shared" si="16"/>
        <v>0</v>
      </c>
      <c r="U71" s="281">
        <f>'Table 5C1A-Madison Prep'!U71</f>
        <v>5215</v>
      </c>
      <c r="V71" s="329">
        <f t="shared" si="17"/>
        <v>0</v>
      </c>
      <c r="W71" s="884">
        <f>'[1]Oct midyear Northeast'!E68</f>
        <v>0</v>
      </c>
      <c r="X71" s="282">
        <f t="shared" si="18"/>
        <v>0</v>
      </c>
      <c r="Y71" s="884">
        <f>'[1]Feb midyear Northeast'!E68</f>
        <v>0</v>
      </c>
      <c r="Z71" s="282">
        <f t="shared" si="19"/>
        <v>0</v>
      </c>
      <c r="AA71" s="283">
        <f t="shared" si="20"/>
        <v>0</v>
      </c>
      <c r="AB71" s="325">
        <f t="shared" si="21"/>
        <v>0</v>
      </c>
      <c r="AC71" s="298">
        <f t="shared" si="22"/>
        <v>0</v>
      </c>
      <c r="AD71" s="325">
        <f t="shared" si="23"/>
        <v>0</v>
      </c>
      <c r="AE71" s="284">
        <v>0</v>
      </c>
      <c r="AF71" s="325">
        <f t="shared" si="24"/>
        <v>0</v>
      </c>
      <c r="AG71" s="284">
        <f>(2*'[2]Table 5C1T-Northeast'!AI71)+(6*'[20]Table 5C1T-Northeast'!AI71)</f>
        <v>0</v>
      </c>
      <c r="AH71" s="284">
        <f t="shared" si="25"/>
        <v>0</v>
      </c>
      <c r="AI71" s="325">
        <f t="shared" ref="AI71:AI75" si="34">ROUND(AH71/$AI$88,0)</f>
        <v>0</v>
      </c>
      <c r="AJ71" s="338">
        <f t="shared" si="26"/>
        <v>0</v>
      </c>
      <c r="AK71" s="343">
        <f t="shared" si="27"/>
        <v>0</v>
      </c>
      <c r="AM71" s="296">
        <v>0</v>
      </c>
      <c r="AN71" s="296">
        <f t="shared" si="28"/>
        <v>0</v>
      </c>
      <c r="AO71" s="296">
        <f t="shared" si="29"/>
        <v>0</v>
      </c>
    </row>
    <row r="72" spans="1:41" ht="16.149999999999999" customHeight="1">
      <c r="A72" s="205">
        <v>66</v>
      </c>
      <c r="B72" s="206" t="s">
        <v>137</v>
      </c>
      <c r="C72" s="994">
        <v>0</v>
      </c>
      <c r="D72" s="208">
        <f>+'Table 5C1A-Madison Prep'!D72</f>
        <v>6564.0085433910035</v>
      </c>
      <c r="E72" s="209">
        <f t="shared" ref="E72:E75" si="35">C72*D72</f>
        <v>0</v>
      </c>
      <c r="F72" s="209">
        <f>+'Table 5C1A-Madison Prep'!F72</f>
        <v>730.06</v>
      </c>
      <c r="G72" s="209">
        <f t="shared" ref="G72:G75" si="36">C72*F72</f>
        <v>0</v>
      </c>
      <c r="H72" s="344">
        <f t="shared" ref="H72:H75" si="37">E72+G72</f>
        <v>0</v>
      </c>
      <c r="I72" s="210">
        <f>'[1]Oct midyear Northeast'!K69</f>
        <v>0</v>
      </c>
      <c r="J72" s="210">
        <f>'[1]Feb midyear Northeast'!K69</f>
        <v>0</v>
      </c>
      <c r="K72" s="211">
        <f t="shared" ref="K72:K75" si="38">I72+J72</f>
        <v>0</v>
      </c>
      <c r="L72" s="344">
        <f t="shared" ref="L72:L75" si="39">+H72+K72</f>
        <v>0</v>
      </c>
      <c r="M72" s="273">
        <f t="shared" si="32"/>
        <v>0</v>
      </c>
      <c r="N72" s="344">
        <f t="shared" ref="N72:N75" si="40">SUM(L72:M72)</f>
        <v>0</v>
      </c>
      <c r="O72" s="208">
        <v>0</v>
      </c>
      <c r="P72" s="350">
        <f t="shared" ref="P72:P75" si="41">SUM(N72:O72)</f>
        <v>0</v>
      </c>
      <c r="Q72" s="210">
        <f>(2*'[2]Table 5C1T-Northeast'!S72)+(6*'[20]Table 5C1T-Northeast'!S72)</f>
        <v>0</v>
      </c>
      <c r="R72" s="210">
        <f t="shared" ref="R72:R75" si="42">+P72-Q72</f>
        <v>0</v>
      </c>
      <c r="S72" s="350">
        <f t="shared" si="33"/>
        <v>0</v>
      </c>
      <c r="T72" s="350">
        <f t="shared" ref="T72:T75" si="43">+P72</f>
        <v>0</v>
      </c>
      <c r="U72" s="274">
        <f>'Table 5C1A-Madison Prep'!U72</f>
        <v>3609</v>
      </c>
      <c r="V72" s="327">
        <f t="shared" ref="V72:V75" si="44">C72*U72</f>
        <v>0</v>
      </c>
      <c r="W72" s="883">
        <f>'[1]Oct midyear Northeast'!E69</f>
        <v>0</v>
      </c>
      <c r="X72" s="276">
        <f t="shared" ref="X72:X75" si="45">+U72*W72</f>
        <v>0</v>
      </c>
      <c r="Y72" s="883">
        <f>'[1]Feb midyear Northeast'!E69</f>
        <v>0</v>
      </c>
      <c r="Z72" s="276">
        <f t="shared" ref="Z72:Z75" si="46">+U72*Y72*0.5</f>
        <v>0</v>
      </c>
      <c r="AA72" s="275">
        <f t="shared" ref="AA72:AA75" si="47">+X72+Z72</f>
        <v>0</v>
      </c>
      <c r="AB72" s="323">
        <f t="shared" ref="AB72:AB75" si="48">+V72+AA72</f>
        <v>0</v>
      </c>
      <c r="AC72" s="278">
        <f t="shared" ref="AC72:AC75" si="49">-(0.25%*AB72)</f>
        <v>0</v>
      </c>
      <c r="AD72" s="323">
        <f t="shared" ref="AD72:AD75" si="50">SUM(AB72:AC72)</f>
        <v>0</v>
      </c>
      <c r="AE72" s="279">
        <v>0</v>
      </c>
      <c r="AF72" s="323">
        <f t="shared" ref="AF72:AF75" si="51">SUM(AD72:AE72)</f>
        <v>0</v>
      </c>
      <c r="AG72" s="279">
        <f>(2*'[2]Table 5C1T-Northeast'!AI72)+(6*'[20]Table 5C1T-Northeast'!AI72)</f>
        <v>0</v>
      </c>
      <c r="AH72" s="279">
        <f t="shared" ref="AH72:AH75" si="52">+AF72-AG72</f>
        <v>0</v>
      </c>
      <c r="AI72" s="323">
        <f t="shared" si="34"/>
        <v>0</v>
      </c>
      <c r="AJ72" s="337">
        <f t="shared" ref="AJ72:AJ75" si="53">T72+AF72</f>
        <v>0</v>
      </c>
      <c r="AK72" s="341">
        <f t="shared" ref="AK72:AK75" si="54">S72+AI72</f>
        <v>0</v>
      </c>
      <c r="AM72" s="310">
        <v>0</v>
      </c>
      <c r="AN72" s="310">
        <f t="shared" ref="AN72:AN75" si="55">+AC72</f>
        <v>0</v>
      </c>
      <c r="AO72" s="310">
        <f t="shared" si="29"/>
        <v>0</v>
      </c>
    </row>
    <row r="73" spans="1:41" ht="16.149999999999999" customHeight="1">
      <c r="A73" s="198">
        <v>67</v>
      </c>
      <c r="B73" s="199" t="s">
        <v>28</v>
      </c>
      <c r="C73" s="995">
        <v>0</v>
      </c>
      <c r="D73" s="201">
        <f>+'Table 5C1A-Madison Prep'!D73</f>
        <v>5029.1467736134118</v>
      </c>
      <c r="E73" s="202">
        <f t="shared" si="35"/>
        <v>0</v>
      </c>
      <c r="F73" s="202">
        <f>+'Table 5C1A-Madison Prep'!F73</f>
        <v>715.61</v>
      </c>
      <c r="G73" s="202">
        <f t="shared" si="36"/>
        <v>0</v>
      </c>
      <c r="H73" s="345">
        <f t="shared" si="37"/>
        <v>0</v>
      </c>
      <c r="I73" s="203">
        <f>'[1]Oct midyear Northeast'!K70</f>
        <v>0</v>
      </c>
      <c r="J73" s="203">
        <f>'[1]Feb midyear Northeast'!K70</f>
        <v>0</v>
      </c>
      <c r="K73" s="204">
        <f t="shared" si="38"/>
        <v>0</v>
      </c>
      <c r="L73" s="345">
        <f t="shared" si="39"/>
        <v>0</v>
      </c>
      <c r="M73" s="286">
        <f t="shared" si="32"/>
        <v>0</v>
      </c>
      <c r="N73" s="345">
        <f t="shared" si="40"/>
        <v>0</v>
      </c>
      <c r="O73" s="201">
        <v>0</v>
      </c>
      <c r="P73" s="351">
        <f t="shared" si="41"/>
        <v>0</v>
      </c>
      <c r="Q73" s="203">
        <f>(2*'[2]Table 5C1T-Northeast'!S73)+(6*'[20]Table 5C1T-Northeast'!S73)</f>
        <v>0</v>
      </c>
      <c r="R73" s="203">
        <f t="shared" si="42"/>
        <v>0</v>
      </c>
      <c r="S73" s="351">
        <f t="shared" si="33"/>
        <v>0</v>
      </c>
      <c r="T73" s="351">
        <f t="shared" si="43"/>
        <v>0</v>
      </c>
      <c r="U73" s="287">
        <f>'Table 5C1A-Madison Prep'!U73</f>
        <v>5069</v>
      </c>
      <c r="V73" s="328">
        <f t="shared" si="44"/>
        <v>0</v>
      </c>
      <c r="W73" s="289">
        <f>'[1]Oct midyear Northeast'!E70</f>
        <v>0</v>
      </c>
      <c r="X73" s="290">
        <f t="shared" si="45"/>
        <v>0</v>
      </c>
      <c r="Y73" s="289">
        <f>'[1]Feb midyear Northeast'!E70</f>
        <v>0</v>
      </c>
      <c r="Z73" s="290">
        <f t="shared" si="46"/>
        <v>0</v>
      </c>
      <c r="AA73" s="288">
        <f t="shared" si="47"/>
        <v>0</v>
      </c>
      <c r="AB73" s="324">
        <f t="shared" si="48"/>
        <v>0</v>
      </c>
      <c r="AC73" s="292">
        <f t="shared" si="49"/>
        <v>0</v>
      </c>
      <c r="AD73" s="324">
        <f t="shared" si="50"/>
        <v>0</v>
      </c>
      <c r="AE73" s="293">
        <v>0</v>
      </c>
      <c r="AF73" s="324">
        <f t="shared" si="51"/>
        <v>0</v>
      </c>
      <c r="AG73" s="293">
        <f>(2*'[2]Table 5C1T-Northeast'!AI73)+(6*'[20]Table 5C1T-Northeast'!AI73)</f>
        <v>0</v>
      </c>
      <c r="AH73" s="293">
        <f t="shared" si="52"/>
        <v>0</v>
      </c>
      <c r="AI73" s="324">
        <f t="shared" si="34"/>
        <v>0</v>
      </c>
      <c r="AJ73" s="321">
        <f t="shared" si="53"/>
        <v>0</v>
      </c>
      <c r="AK73" s="342">
        <f t="shared" si="54"/>
        <v>0</v>
      </c>
      <c r="AM73" s="310">
        <v>0</v>
      </c>
      <c r="AN73" s="310">
        <f t="shared" si="55"/>
        <v>0</v>
      </c>
      <c r="AO73" s="310">
        <f t="shared" si="29"/>
        <v>0</v>
      </c>
    </row>
    <row r="74" spans="1:41" ht="16.149999999999999" customHeight="1">
      <c r="A74" s="198">
        <v>68</v>
      </c>
      <c r="B74" s="199" t="s">
        <v>27</v>
      </c>
      <c r="C74" s="995">
        <v>0</v>
      </c>
      <c r="D74" s="201">
        <f>+'Table 5C1A-Madison Prep'!D74</f>
        <v>6390.1644202560601</v>
      </c>
      <c r="E74" s="202">
        <f t="shared" si="35"/>
        <v>0</v>
      </c>
      <c r="F74" s="202">
        <f>+'Table 5C1A-Madison Prep'!F74</f>
        <v>798.7</v>
      </c>
      <c r="G74" s="202">
        <f t="shared" si="36"/>
        <v>0</v>
      </c>
      <c r="H74" s="345">
        <f t="shared" si="37"/>
        <v>0</v>
      </c>
      <c r="I74" s="203">
        <f>'[1]Oct midyear Northeast'!K71</f>
        <v>0</v>
      </c>
      <c r="J74" s="203">
        <f>'[1]Feb midyear Northeast'!K71</f>
        <v>0</v>
      </c>
      <c r="K74" s="204">
        <f t="shared" si="38"/>
        <v>0</v>
      </c>
      <c r="L74" s="345">
        <f t="shared" si="39"/>
        <v>0</v>
      </c>
      <c r="M74" s="286">
        <f t="shared" si="32"/>
        <v>0</v>
      </c>
      <c r="N74" s="345">
        <f t="shared" si="40"/>
        <v>0</v>
      </c>
      <c r="O74" s="201">
        <v>0</v>
      </c>
      <c r="P74" s="351">
        <f t="shared" si="41"/>
        <v>0</v>
      </c>
      <c r="Q74" s="203">
        <f>(2*'[2]Table 5C1T-Northeast'!S74)+(6*'[20]Table 5C1T-Northeast'!S74)</f>
        <v>0</v>
      </c>
      <c r="R74" s="203">
        <f t="shared" si="42"/>
        <v>0</v>
      </c>
      <c r="S74" s="351">
        <f t="shared" si="33"/>
        <v>0</v>
      </c>
      <c r="T74" s="351">
        <f t="shared" si="43"/>
        <v>0</v>
      </c>
      <c r="U74" s="287">
        <f>'Table 5C1A-Madison Prep'!U74</f>
        <v>2880</v>
      </c>
      <c r="V74" s="328">
        <f t="shared" si="44"/>
        <v>0</v>
      </c>
      <c r="W74" s="289">
        <f>'[1]Oct midyear Northeast'!E71</f>
        <v>0</v>
      </c>
      <c r="X74" s="290">
        <f t="shared" si="45"/>
        <v>0</v>
      </c>
      <c r="Y74" s="289">
        <f>'[1]Feb midyear Northeast'!E71</f>
        <v>0</v>
      </c>
      <c r="Z74" s="290">
        <f t="shared" si="46"/>
        <v>0</v>
      </c>
      <c r="AA74" s="288">
        <f t="shared" si="47"/>
        <v>0</v>
      </c>
      <c r="AB74" s="324">
        <f t="shared" si="48"/>
        <v>0</v>
      </c>
      <c r="AC74" s="292">
        <f t="shared" si="49"/>
        <v>0</v>
      </c>
      <c r="AD74" s="324">
        <f t="shared" si="50"/>
        <v>0</v>
      </c>
      <c r="AE74" s="293">
        <v>0</v>
      </c>
      <c r="AF74" s="324">
        <f t="shared" si="51"/>
        <v>0</v>
      </c>
      <c r="AG74" s="293">
        <f>(2*'[2]Table 5C1T-Northeast'!AI74)+(6*'[20]Table 5C1T-Northeast'!AI74)</f>
        <v>0</v>
      </c>
      <c r="AH74" s="293">
        <f t="shared" si="52"/>
        <v>0</v>
      </c>
      <c r="AI74" s="324">
        <f t="shared" si="34"/>
        <v>0</v>
      </c>
      <c r="AJ74" s="321">
        <f t="shared" si="53"/>
        <v>0</v>
      </c>
      <c r="AK74" s="342">
        <f t="shared" si="54"/>
        <v>0</v>
      </c>
      <c r="AM74" s="310">
        <v>0</v>
      </c>
      <c r="AN74" s="310">
        <f t="shared" si="55"/>
        <v>0</v>
      </c>
      <c r="AO74" s="310">
        <f t="shared" si="29"/>
        <v>0</v>
      </c>
    </row>
    <row r="75" spans="1:41" ht="16.149999999999999" customHeight="1">
      <c r="A75" s="198">
        <v>69</v>
      </c>
      <c r="B75" s="199" t="s">
        <v>147</v>
      </c>
      <c r="C75" s="995">
        <v>0</v>
      </c>
      <c r="D75" s="201">
        <f>+'Table 5C1A-Madison Prep'!D75</f>
        <v>5722.4947921281337</v>
      </c>
      <c r="E75" s="202">
        <f t="shared" si="35"/>
        <v>0</v>
      </c>
      <c r="F75" s="202">
        <f>+'Table 5C1A-Madison Prep'!F75</f>
        <v>705.67</v>
      </c>
      <c r="G75" s="202">
        <f t="shared" si="36"/>
        <v>0</v>
      </c>
      <c r="H75" s="345">
        <f t="shared" si="37"/>
        <v>0</v>
      </c>
      <c r="I75" s="203">
        <f>'[1]Oct midyear Northeast'!K72</f>
        <v>0</v>
      </c>
      <c r="J75" s="203">
        <f>'[1]Feb midyear Northeast'!K72</f>
        <v>0</v>
      </c>
      <c r="K75" s="204">
        <f t="shared" si="38"/>
        <v>0</v>
      </c>
      <c r="L75" s="345">
        <f t="shared" si="39"/>
        <v>0</v>
      </c>
      <c r="M75" s="286">
        <f>-(0.25%*L75)</f>
        <v>0</v>
      </c>
      <c r="N75" s="345">
        <f t="shared" si="40"/>
        <v>0</v>
      </c>
      <c r="O75" s="201">
        <v>0</v>
      </c>
      <c r="P75" s="351">
        <f t="shared" si="41"/>
        <v>0</v>
      </c>
      <c r="Q75" s="203">
        <f>(2*'[2]Table 5C1T-Northeast'!S75)+(6*'[20]Table 5C1T-Northeast'!S75)</f>
        <v>0</v>
      </c>
      <c r="R75" s="203">
        <f t="shared" si="42"/>
        <v>0</v>
      </c>
      <c r="S75" s="351">
        <f t="shared" si="33"/>
        <v>0</v>
      </c>
      <c r="T75" s="351">
        <f t="shared" si="43"/>
        <v>0</v>
      </c>
      <c r="U75" s="287">
        <f>'Table 5C1A-Madison Prep'!U75</f>
        <v>3330</v>
      </c>
      <c r="V75" s="328">
        <f t="shared" si="44"/>
        <v>0</v>
      </c>
      <c r="W75" s="289">
        <f>'[1]Oct midyear Northeast'!E72</f>
        <v>0</v>
      </c>
      <c r="X75" s="290">
        <f t="shared" si="45"/>
        <v>0</v>
      </c>
      <c r="Y75" s="289">
        <f>'[1]Feb midyear Northeast'!E72</f>
        <v>0</v>
      </c>
      <c r="Z75" s="290">
        <f t="shared" si="46"/>
        <v>0</v>
      </c>
      <c r="AA75" s="288">
        <f t="shared" si="47"/>
        <v>0</v>
      </c>
      <c r="AB75" s="324">
        <f t="shared" si="48"/>
        <v>0</v>
      </c>
      <c r="AC75" s="292">
        <f t="shared" si="49"/>
        <v>0</v>
      </c>
      <c r="AD75" s="324">
        <f t="shared" si="50"/>
        <v>0</v>
      </c>
      <c r="AE75" s="293">
        <v>0</v>
      </c>
      <c r="AF75" s="324">
        <f t="shared" si="51"/>
        <v>0</v>
      </c>
      <c r="AG75" s="293">
        <f>(2*'[2]Table 5C1T-Northeast'!AI75)+(6*'[20]Table 5C1T-Northeast'!AI75)</f>
        <v>0</v>
      </c>
      <c r="AH75" s="293">
        <f t="shared" si="52"/>
        <v>0</v>
      </c>
      <c r="AI75" s="324">
        <f t="shared" si="34"/>
        <v>0</v>
      </c>
      <c r="AJ75" s="321">
        <f t="shared" si="53"/>
        <v>0</v>
      </c>
      <c r="AK75" s="342">
        <f t="shared" si="54"/>
        <v>0</v>
      </c>
      <c r="AM75" s="300">
        <v>0</v>
      </c>
      <c r="AN75" s="300">
        <f t="shared" si="55"/>
        <v>0</v>
      </c>
      <c r="AO75" s="300">
        <f t="shared" si="29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0</v>
      </c>
      <c r="D76" s="28">
        <f>+'Table 5C1A-Madison Prep'!D76</f>
        <v>4479.9292126977662</v>
      </c>
      <c r="E76" s="35">
        <f>SUM(E7:E75)</f>
        <v>0</v>
      </c>
      <c r="F76" s="35">
        <f>+'Table 5C1A-Madison Prep'!F76</f>
        <v>704.64781030742063</v>
      </c>
      <c r="G76" s="35">
        <f>SUM(G7:G75)</f>
        <v>0</v>
      </c>
      <c r="H76" s="348">
        <f>SUM(H7:H75)</f>
        <v>0</v>
      </c>
      <c r="I76" s="70">
        <f>SUM(I7:I75)</f>
        <v>853759.69551388733</v>
      </c>
      <c r="J76" s="70">
        <f>SUM(J7:J75)</f>
        <v>-3574.2454710461707</v>
      </c>
      <c r="K76" s="56">
        <f t="shared" ref="K76:T76" si="56">SUM(K7:K75)</f>
        <v>850185.45004284126</v>
      </c>
      <c r="L76" s="364">
        <f t="shared" si="56"/>
        <v>850185.45004284126</v>
      </c>
      <c r="M76" s="36">
        <f t="shared" si="56"/>
        <v>-2125.4636251071029</v>
      </c>
      <c r="N76" s="348">
        <f t="shared" si="56"/>
        <v>848059.98641773406</v>
      </c>
      <c r="O76" s="28">
        <f t="shared" si="56"/>
        <v>0</v>
      </c>
      <c r="P76" s="354">
        <f t="shared" si="56"/>
        <v>848059.98641773406</v>
      </c>
      <c r="Q76" s="70">
        <f t="shared" si="56"/>
        <v>559282</v>
      </c>
      <c r="R76" s="70">
        <f t="shared" si="56"/>
        <v>288777.98641773412</v>
      </c>
      <c r="S76" s="354">
        <f t="shared" si="56"/>
        <v>72195</v>
      </c>
      <c r="T76" s="354">
        <f t="shared" si="56"/>
        <v>848059.98641773406</v>
      </c>
      <c r="U76" s="83">
        <f>'Table 5C1A-Madison Prep'!U76</f>
        <v>4703</v>
      </c>
      <c r="V76" s="330">
        <f t="shared" ref="V76:AK76" si="57">SUM(V7:V75)</f>
        <v>0</v>
      </c>
      <c r="W76" s="74">
        <f t="shared" si="57"/>
        <v>144</v>
      </c>
      <c r="X76" s="75">
        <f t="shared" si="57"/>
        <v>519156</v>
      </c>
      <c r="Y76" s="74">
        <f t="shared" si="57"/>
        <v>-1</v>
      </c>
      <c r="Z76" s="75">
        <f t="shared" si="57"/>
        <v>-3399.5</v>
      </c>
      <c r="AA76" s="63">
        <f t="shared" si="57"/>
        <v>515756.5</v>
      </c>
      <c r="AB76" s="332">
        <f t="shared" si="57"/>
        <v>515756.5</v>
      </c>
      <c r="AC76" s="37">
        <f t="shared" si="57"/>
        <v>-1289.3912500000001</v>
      </c>
      <c r="AD76" s="330">
        <f t="shared" si="57"/>
        <v>514467.10875000001</v>
      </c>
      <c r="AE76" s="85">
        <f t="shared" si="57"/>
        <v>0</v>
      </c>
      <c r="AF76" s="330">
        <f t="shared" si="57"/>
        <v>514467.10875000001</v>
      </c>
      <c r="AG76" s="75">
        <f t="shared" si="57"/>
        <v>344276</v>
      </c>
      <c r="AH76" s="75">
        <f t="shared" si="57"/>
        <v>170191.10874999998</v>
      </c>
      <c r="AI76" s="330">
        <f t="shared" si="57"/>
        <v>42548</v>
      </c>
      <c r="AJ76" s="339">
        <f t="shared" si="57"/>
        <v>1362527.0951677342</v>
      </c>
      <c r="AK76" s="339">
        <f t="shared" si="57"/>
        <v>114743</v>
      </c>
      <c r="AM76" s="36">
        <f>SUM(AM7:AM75)</f>
        <v>-1127.5</v>
      </c>
      <c r="AN76" s="36">
        <f>SUM(AN7:AN75)</f>
        <v>-1289.3912500000001</v>
      </c>
      <c r="AO76" s="36">
        <f>SUM(AO7:AO75)</f>
        <v>-161.89125000000007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4'!$E116</f>
        <v>0</v>
      </c>
      <c r="Q77" s="222">
        <f>(2*'[2]Table 5C1T-Northeast'!S77)+(6*'[20]Table 5C1T-Northeast'!S77)</f>
        <v>0</v>
      </c>
      <c r="R77" s="222">
        <f t="shared" ref="R77" si="58">+P77-Q77</f>
        <v>0</v>
      </c>
      <c r="S77" s="295">
        <f t="shared" ref="S77:S81" si="59">ROUND(R77/$S$88,0)</f>
        <v>0</v>
      </c>
      <c r="T77" s="295">
        <f>'Table 4 Level 4'!$E116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60">T77+AF77</f>
        <v>0</v>
      </c>
      <c r="AK77" s="321">
        <f t="shared" ref="AK77:AK81" si="61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4'!$J116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60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4'!$L116</f>
        <v>10000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60"/>
        <v>10000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4'!$M116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60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4'!O116</f>
        <v>1664</v>
      </c>
      <c r="Q81" s="217">
        <f>(2*'[2]Table 5C1T-Northeast'!S81)+(6*'[20]Table 5C1T-Northeast'!S81)</f>
        <v>1112</v>
      </c>
      <c r="R81" s="217">
        <f t="shared" ref="R81" si="62">+P81-Q81</f>
        <v>552</v>
      </c>
      <c r="S81" s="353">
        <f t="shared" si="59"/>
        <v>138</v>
      </c>
      <c r="T81" s="353">
        <f>P81</f>
        <v>1664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60"/>
        <v>1664</v>
      </c>
      <c r="AK81" s="322">
        <f t="shared" si="61"/>
        <v>138</v>
      </c>
    </row>
    <row r="82" spans="1:37" ht="16.149999999999999" customHeight="1" thickBot="1">
      <c r="A82" s="1442" t="s">
        <v>710</v>
      </c>
      <c r="B82" s="1415"/>
      <c r="C82" s="136">
        <f>SUM(C76:C81)</f>
        <v>0</v>
      </c>
      <c r="D82" s="128">
        <f t="shared" ref="D82:AK82" si="63">SUM(D76:D81)</f>
        <v>4479.9292126977662</v>
      </c>
      <c r="E82" s="128">
        <f t="shared" si="63"/>
        <v>0</v>
      </c>
      <c r="F82" s="128">
        <f t="shared" si="63"/>
        <v>704.64781030742063</v>
      </c>
      <c r="G82" s="128">
        <f t="shared" si="63"/>
        <v>0</v>
      </c>
      <c r="H82" s="128">
        <f t="shared" si="63"/>
        <v>0</v>
      </c>
      <c r="I82" s="133">
        <f t="shared" si="63"/>
        <v>853759.69551388733</v>
      </c>
      <c r="J82" s="133">
        <f t="shared" si="63"/>
        <v>-3574.2454710461707</v>
      </c>
      <c r="K82" s="133">
        <f t="shared" si="63"/>
        <v>850185.45004284126</v>
      </c>
      <c r="L82" s="128">
        <f t="shared" si="63"/>
        <v>850185.45004284126</v>
      </c>
      <c r="M82" s="133">
        <f t="shared" si="63"/>
        <v>-2125.4636251071029</v>
      </c>
      <c r="N82" s="128">
        <f t="shared" si="63"/>
        <v>848059.98641773406</v>
      </c>
      <c r="O82" s="128">
        <f t="shared" si="63"/>
        <v>0</v>
      </c>
      <c r="P82" s="355">
        <f t="shared" si="63"/>
        <v>849723.98641773406</v>
      </c>
      <c r="Q82" s="133">
        <f t="shared" si="63"/>
        <v>560394</v>
      </c>
      <c r="R82" s="133">
        <f t="shared" si="63"/>
        <v>289329.98641773412</v>
      </c>
      <c r="S82" s="355">
        <f t="shared" si="63"/>
        <v>72333</v>
      </c>
      <c r="T82" s="355">
        <f t="shared" si="63"/>
        <v>859723.98641773406</v>
      </c>
      <c r="U82" s="137">
        <f t="shared" si="63"/>
        <v>4703</v>
      </c>
      <c r="V82" s="134">
        <f t="shared" si="63"/>
        <v>0</v>
      </c>
      <c r="W82" s="136">
        <f t="shared" si="63"/>
        <v>144</v>
      </c>
      <c r="X82" s="134">
        <f t="shared" si="63"/>
        <v>519156</v>
      </c>
      <c r="Y82" s="136">
        <f t="shared" si="63"/>
        <v>-1</v>
      </c>
      <c r="Z82" s="134">
        <f t="shared" si="63"/>
        <v>-3399.5</v>
      </c>
      <c r="AA82" s="134">
        <f t="shared" si="63"/>
        <v>515756.5</v>
      </c>
      <c r="AB82" s="134">
        <f t="shared" si="63"/>
        <v>515756.5</v>
      </c>
      <c r="AC82" s="134">
        <f t="shared" si="63"/>
        <v>-1289.3912500000001</v>
      </c>
      <c r="AD82" s="134">
        <f t="shared" si="63"/>
        <v>514467.10875000001</v>
      </c>
      <c r="AE82" s="134">
        <f t="shared" si="63"/>
        <v>0</v>
      </c>
      <c r="AF82" s="134">
        <f t="shared" si="63"/>
        <v>514467.10875000001</v>
      </c>
      <c r="AG82" s="134">
        <f t="shared" si="63"/>
        <v>344276</v>
      </c>
      <c r="AH82" s="134">
        <f t="shared" si="63"/>
        <v>170191.10874999998</v>
      </c>
      <c r="AI82" s="134">
        <f t="shared" si="63"/>
        <v>42548</v>
      </c>
      <c r="AJ82" s="320">
        <f t="shared" si="63"/>
        <v>1374191.0951677342</v>
      </c>
      <c r="AK82" s="320">
        <f t="shared" si="63"/>
        <v>114881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-1793.3012823328831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-332.16234277421972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3">
    <mergeCell ref="AB3:AB4"/>
    <mergeCell ref="AD3:AD4"/>
    <mergeCell ref="T3:T4"/>
    <mergeCell ref="C1:L1"/>
    <mergeCell ref="U1:AB1"/>
    <mergeCell ref="X3:X4"/>
    <mergeCell ref="Y3:Y4"/>
    <mergeCell ref="AG3:AG4"/>
    <mergeCell ref="AH3:AH4"/>
    <mergeCell ref="AI3:AI4"/>
    <mergeCell ref="AF3:AF4"/>
    <mergeCell ref="AC1:AI1"/>
    <mergeCell ref="AE3:AE4"/>
    <mergeCell ref="AK1:AK4"/>
    <mergeCell ref="I2:K2"/>
    <mergeCell ref="C3:C4"/>
    <mergeCell ref="D3:D4"/>
    <mergeCell ref="E3:E4"/>
    <mergeCell ref="U3:U4"/>
    <mergeCell ref="F3:F4"/>
    <mergeCell ref="G3:G4"/>
    <mergeCell ref="H3:H4"/>
    <mergeCell ref="I3:I4"/>
    <mergeCell ref="J3:J4"/>
    <mergeCell ref="K3:K4"/>
    <mergeCell ref="L3:L4"/>
    <mergeCell ref="N3:N4"/>
    <mergeCell ref="M1:T1"/>
    <mergeCell ref="AJ1:AJ4"/>
    <mergeCell ref="A82:B82"/>
    <mergeCell ref="A76:B76"/>
    <mergeCell ref="A77:B77"/>
    <mergeCell ref="A78:B78"/>
    <mergeCell ref="A79:B79"/>
    <mergeCell ref="A80:B80"/>
    <mergeCell ref="A81:B81"/>
    <mergeCell ref="A1:B4"/>
    <mergeCell ref="O3:O4"/>
    <mergeCell ref="P3:P4"/>
    <mergeCell ref="S3:S4"/>
    <mergeCell ref="W3:W4"/>
    <mergeCell ref="W2:AA2"/>
    <mergeCell ref="Z3:Z4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5C1-T: FY2014-15 MFP Budget Letter (March 2015)
Northeast Claiborne Charter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8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customWidth="1"/>
    <col min="4" max="4" width="13.7109375" style="784" customWidth="1"/>
    <col min="5" max="5" width="9.85546875" style="784" customWidth="1"/>
    <col min="6" max="7" width="12.28515625" style="784" customWidth="1"/>
    <col min="8" max="8" width="11.5703125" style="784" customWidth="1"/>
    <col min="9" max="12" width="12" style="784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5.28515625" style="784" customWidth="1"/>
    <col min="23" max="23" width="14.28515625" style="784" customWidth="1"/>
    <col min="24" max="24" width="15.28515625" style="784" customWidth="1"/>
    <col min="25" max="25" width="13.28515625" style="784" customWidth="1"/>
    <col min="26" max="26" width="12.28515625" style="784" customWidth="1"/>
    <col min="27" max="28" width="15.7109375" style="784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4" width="10.7109375" style="784" bestFit="1" customWidth="1"/>
    <col min="35" max="35" width="14.42578125" style="784" bestFit="1" customWidth="1"/>
    <col min="36" max="36" width="14.28515625" style="784" customWidth="1"/>
    <col min="37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669</v>
      </c>
      <c r="B1" s="1577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33" customHeight="1">
      <c r="A2" s="1578"/>
      <c r="B2" s="1579"/>
      <c r="C2" s="619"/>
      <c r="D2" s="620"/>
      <c r="E2" s="620"/>
      <c r="F2" s="620"/>
      <c r="G2" s="620"/>
      <c r="H2" s="620"/>
      <c r="I2" s="1411" t="s">
        <v>1036</v>
      </c>
      <c r="J2" s="1411"/>
      <c r="K2" s="1411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1035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85" t="s">
        <v>1037</v>
      </c>
      <c r="J3" s="1518" t="s">
        <v>554</v>
      </c>
      <c r="K3" s="1585" t="s">
        <v>1033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87" t="s">
        <v>906</v>
      </c>
      <c r="X3" s="1507" t="s">
        <v>1038</v>
      </c>
      <c r="Y3" s="1507" t="s">
        <v>861</v>
      </c>
      <c r="Z3" s="1507" t="s">
        <v>859</v>
      </c>
      <c r="AA3" s="1215" t="s">
        <v>1034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586"/>
      <c r="J4" s="1470"/>
      <c r="K4" s="1586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588"/>
      <c r="X4" s="1470"/>
      <c r="Y4" s="1470"/>
      <c r="Z4" s="1470"/>
      <c r="AA4" s="1214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si="1"/>
        <v>8</v>
      </c>
      <c r="K5" s="23">
        <f t="shared" si="1"/>
        <v>9</v>
      </c>
      <c r="L5" s="23">
        <f t="shared" si="1"/>
        <v>10</v>
      </c>
      <c r="M5" s="23">
        <f t="shared" si="1"/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si="1"/>
        <v>15</v>
      </c>
      <c r="R5" s="23">
        <f t="shared" si="1"/>
        <v>16</v>
      </c>
      <c r="S5" s="23">
        <f t="shared" si="1"/>
        <v>17</v>
      </c>
      <c r="T5" s="23">
        <f t="shared" ref="T5" si="2">S5+1</f>
        <v>18</v>
      </c>
      <c r="U5" s="23">
        <f t="shared" ref="U5" si="3">T5+1</f>
        <v>19</v>
      </c>
      <c r="V5" s="23">
        <f t="shared" si="1"/>
        <v>20</v>
      </c>
      <c r="W5" s="23">
        <f t="shared" si="1"/>
        <v>21</v>
      </c>
      <c r="X5" s="23">
        <f t="shared" si="1"/>
        <v>22</v>
      </c>
      <c r="Y5" s="23">
        <f t="shared" si="1"/>
        <v>23</v>
      </c>
      <c r="Z5" s="23">
        <f t="shared" si="1"/>
        <v>24</v>
      </c>
      <c r="AA5" s="23">
        <f t="shared" si="1"/>
        <v>25</v>
      </c>
      <c r="AB5" s="23">
        <f t="shared" si="1"/>
        <v>26</v>
      </c>
      <c r="AC5" s="23">
        <f t="shared" si="1"/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si="1"/>
        <v>31</v>
      </c>
      <c r="AH5" s="23">
        <f t="shared" si="1"/>
        <v>32</v>
      </c>
      <c r="AI5" s="23">
        <f t="shared" si="1"/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990">
        <f>'[1]Oct midyear Acadiana Ren'!K4</f>
        <v>0</v>
      </c>
      <c r="J7" s="210">
        <f>'[1]Feb midyear Acadiana Ren'!K4</f>
        <v>0</v>
      </c>
      <c r="K7" s="211">
        <f>I7+J7</f>
        <v>0</v>
      </c>
      <c r="L7" s="344">
        <f>+H7+K7</f>
        <v>0</v>
      </c>
      <c r="M7" s="273">
        <f t="shared" ref="M7:M70" si="4">-(0.25%*L7)</f>
        <v>0</v>
      </c>
      <c r="N7" s="344">
        <f>SUM(L7:M7)</f>
        <v>0</v>
      </c>
      <c r="O7" s="208">
        <v>0</v>
      </c>
      <c r="P7" s="350">
        <f>SUM(N7:O7)</f>
        <v>0</v>
      </c>
      <c r="Q7" s="210">
        <f>'[2]Table 5C1U-Acadiana Ren'!S7+'[14]Table 5C1U-Acadiana Ren'!S7+(6*'[20]Table 5C1U-Acadiana Ren'!S7)</f>
        <v>12564</v>
      </c>
      <c r="R7" s="210">
        <f>+P7-Q7</f>
        <v>-12564</v>
      </c>
      <c r="S7" s="350">
        <f t="shared" ref="S7:S38" si="5">ROUND(R7/$S$88,0)</f>
        <v>-3141</v>
      </c>
      <c r="T7" s="350">
        <f>+P7</f>
        <v>0</v>
      </c>
      <c r="U7" s="274">
        <f>'Table 5C1A-Madison Prep'!U7</f>
        <v>2424</v>
      </c>
      <c r="V7" s="327">
        <f>C7*U7</f>
        <v>0</v>
      </c>
      <c r="W7" s="994">
        <f>'[1]Oct midyear Acadiana Ren'!E4</f>
        <v>0</v>
      </c>
      <c r="X7" s="276">
        <f>+U7*W7</f>
        <v>0</v>
      </c>
      <c r="Y7" s="883">
        <f>'[1]Feb midyear Acadiana Ren'!E4</f>
        <v>0</v>
      </c>
      <c r="Z7" s="276">
        <f>+U7*Y7*0.5</f>
        <v>0</v>
      </c>
      <c r="AA7" s="275">
        <f>+X7+Z7</f>
        <v>0</v>
      </c>
      <c r="AB7" s="323">
        <f>+V7+AA7</f>
        <v>0</v>
      </c>
      <c r="AC7" s="278">
        <f>-(0.25%*AB7)</f>
        <v>0</v>
      </c>
      <c r="AD7" s="323">
        <f>SUM(AB7:AC7)</f>
        <v>0</v>
      </c>
      <c r="AE7" s="279">
        <v>0</v>
      </c>
      <c r="AF7" s="323">
        <f>SUM(AD7:AE7)</f>
        <v>0</v>
      </c>
      <c r="AG7" s="279">
        <f>'[2]Table 5C1U-Acadiana Ren'!AI7+'[14]Table 5C1U-Acadiana Ren'!AI7+(6*'[20]Table 5C1U-Acadiana Ren'!AI7)</f>
        <v>5462</v>
      </c>
      <c r="AH7" s="279">
        <f>+AF7-AG7</f>
        <v>-5462</v>
      </c>
      <c r="AI7" s="323">
        <f t="shared" ref="AI7:AI38" si="6">ROUND(AH7/$AI$88,0)</f>
        <v>-1366</v>
      </c>
      <c r="AJ7" s="337">
        <f>T7+AF7</f>
        <v>0</v>
      </c>
      <c r="AK7" s="341">
        <f>S7+AI7</f>
        <v>-4507</v>
      </c>
      <c r="AM7" s="273">
        <v>-72.27</v>
      </c>
      <c r="AN7" s="273">
        <f>+AC7</f>
        <v>0</v>
      </c>
      <c r="AO7" s="273">
        <f t="shared" ref="AO7:AO33" si="7">+AN7-AM7</f>
        <v>72.27</v>
      </c>
    </row>
    <row r="8" spans="1:41" ht="16.149999999999999" customHeight="1">
      <c r="A8" s="198">
        <v>2</v>
      </c>
      <c r="B8" s="199" t="s">
        <v>74</v>
      </c>
      <c r="C8" s="995">
        <v>0</v>
      </c>
      <c r="D8" s="201">
        <f>+'Table 5C1A-Madison Prep'!D8</f>
        <v>6316.6266417386641</v>
      </c>
      <c r="E8" s="202">
        <f t="shared" ref="E8:E71" si="8">C8*D8</f>
        <v>0</v>
      </c>
      <c r="F8" s="202">
        <f>+'Table 5C1A-Madison Prep'!F8</f>
        <v>842.32</v>
      </c>
      <c r="G8" s="202">
        <f t="shared" ref="G8:G71" si="9">C8*F8</f>
        <v>0</v>
      </c>
      <c r="H8" s="345">
        <f t="shared" ref="H8:H71" si="10">E8+G8</f>
        <v>0</v>
      </c>
      <c r="I8" s="991">
        <f>'[1]Oct midyear Acadiana Ren'!K5</f>
        <v>0</v>
      </c>
      <c r="J8" s="203">
        <f>'[1]Feb midyear Acadiana Ren'!K5</f>
        <v>0</v>
      </c>
      <c r="K8" s="204">
        <f t="shared" ref="K8:K71" si="11">I8+J8</f>
        <v>0</v>
      </c>
      <c r="L8" s="345">
        <f t="shared" ref="L8:L71" si="12">+H8+K8</f>
        <v>0</v>
      </c>
      <c r="M8" s="286">
        <f t="shared" si="4"/>
        <v>0</v>
      </c>
      <c r="N8" s="345">
        <f t="shared" ref="N8:N71" si="13">SUM(L8:M8)</f>
        <v>0</v>
      </c>
      <c r="O8" s="201">
        <v>0</v>
      </c>
      <c r="P8" s="351">
        <f t="shared" ref="P8:P71" si="14">SUM(N8:O8)</f>
        <v>0</v>
      </c>
      <c r="Q8" s="203">
        <f>'[2]Table 5C1U-Acadiana Ren'!S8+'[14]Table 5C1U-Acadiana Ren'!S8+(6*'[20]Table 5C1U-Acadiana Ren'!S8)</f>
        <v>0</v>
      </c>
      <c r="R8" s="203">
        <f t="shared" ref="R8:R71" si="15">+P8-Q8</f>
        <v>0</v>
      </c>
      <c r="S8" s="351">
        <f t="shared" si="5"/>
        <v>0</v>
      </c>
      <c r="T8" s="351">
        <f t="shared" ref="T8:T71" si="16">+P8</f>
        <v>0</v>
      </c>
      <c r="U8" s="287">
        <f>'Table 5C1A-Madison Prep'!U8</f>
        <v>2786</v>
      </c>
      <c r="V8" s="328">
        <f t="shared" ref="V8:V71" si="17">C8*U8</f>
        <v>0</v>
      </c>
      <c r="W8" s="995">
        <f>'[1]Oct midyear Acadiana Ren'!E5</f>
        <v>0</v>
      </c>
      <c r="X8" s="290">
        <f t="shared" ref="X8:X71" si="18">+U8*W8</f>
        <v>0</v>
      </c>
      <c r="Y8" s="289">
        <f>'[1]Feb midyear Acadiana Ren'!E5</f>
        <v>0</v>
      </c>
      <c r="Z8" s="290">
        <f t="shared" ref="Z8:Z71" si="19">+U8*Y8*0.5</f>
        <v>0</v>
      </c>
      <c r="AA8" s="288">
        <f t="shared" ref="AA8:AA71" si="20">+X8+Z8</f>
        <v>0</v>
      </c>
      <c r="AB8" s="324">
        <f t="shared" ref="AB8:AB71" si="21">+V8+AA8</f>
        <v>0</v>
      </c>
      <c r="AC8" s="292">
        <f t="shared" ref="AC8:AC71" si="22">-(0.25%*AB8)</f>
        <v>0</v>
      </c>
      <c r="AD8" s="324">
        <f t="shared" ref="AD8:AD71" si="23">SUM(AB8:AC8)</f>
        <v>0</v>
      </c>
      <c r="AE8" s="293">
        <v>0</v>
      </c>
      <c r="AF8" s="324">
        <f t="shared" ref="AF8:AF71" si="24">SUM(AD8:AE8)</f>
        <v>0</v>
      </c>
      <c r="AG8" s="293">
        <f>'[2]Table 5C1U-Acadiana Ren'!AI8+'[14]Table 5C1U-Acadiana Ren'!AI8+(6*'[20]Table 5C1U-Acadiana Ren'!AI8)</f>
        <v>0</v>
      </c>
      <c r="AH8" s="293">
        <f t="shared" ref="AH8:AH71" si="25">+AF8-AG8</f>
        <v>0</v>
      </c>
      <c r="AI8" s="324">
        <f t="shared" si="6"/>
        <v>0</v>
      </c>
      <c r="AJ8" s="321">
        <f t="shared" ref="AJ8:AJ71" si="26">T8+AF8</f>
        <v>0</v>
      </c>
      <c r="AK8" s="342">
        <f t="shared" ref="AK8:AK71" si="27">S8+AI8</f>
        <v>0</v>
      </c>
      <c r="AM8" s="286">
        <v>0</v>
      </c>
      <c r="AN8" s="286">
        <f t="shared" ref="AN8:AN71" si="28">+AC8</f>
        <v>0</v>
      </c>
      <c r="AO8" s="286">
        <f t="shared" si="7"/>
        <v>0</v>
      </c>
    </row>
    <row r="9" spans="1:41" ht="16.149999999999999" customHeight="1">
      <c r="A9" s="198">
        <v>3</v>
      </c>
      <c r="B9" s="199" t="s">
        <v>75</v>
      </c>
      <c r="C9" s="995">
        <v>0</v>
      </c>
      <c r="D9" s="201">
        <f>+'Table 5C1A-Madison Prep'!D9</f>
        <v>4155.1862027396819</v>
      </c>
      <c r="E9" s="202">
        <f t="shared" si="8"/>
        <v>0</v>
      </c>
      <c r="F9" s="202">
        <f>+'Table 5C1A-Madison Prep'!F9</f>
        <v>596.84</v>
      </c>
      <c r="G9" s="202">
        <f t="shared" si="9"/>
        <v>0</v>
      </c>
      <c r="H9" s="345">
        <f t="shared" si="10"/>
        <v>0</v>
      </c>
      <c r="I9" s="991">
        <f>'[1]Oct midyear Acadiana Ren'!K6</f>
        <v>0</v>
      </c>
      <c r="J9" s="203">
        <f>'[1]Feb midyear Acadiana Ren'!K6</f>
        <v>0</v>
      </c>
      <c r="K9" s="204">
        <f t="shared" si="11"/>
        <v>0</v>
      </c>
      <c r="L9" s="345">
        <f t="shared" si="12"/>
        <v>0</v>
      </c>
      <c r="M9" s="286">
        <f t="shared" si="4"/>
        <v>0</v>
      </c>
      <c r="N9" s="345">
        <f t="shared" si="13"/>
        <v>0</v>
      </c>
      <c r="O9" s="201">
        <v>0</v>
      </c>
      <c r="P9" s="351">
        <f t="shared" si="14"/>
        <v>0</v>
      </c>
      <c r="Q9" s="203">
        <f>'[2]Table 5C1U-Acadiana Ren'!S9+'[14]Table 5C1U-Acadiana Ren'!S9+(6*'[20]Table 5C1U-Acadiana Ren'!S9)</f>
        <v>0</v>
      </c>
      <c r="R9" s="203">
        <f t="shared" si="15"/>
        <v>0</v>
      </c>
      <c r="S9" s="351">
        <f t="shared" si="5"/>
        <v>0</v>
      </c>
      <c r="T9" s="351">
        <f t="shared" si="16"/>
        <v>0</v>
      </c>
      <c r="U9" s="287">
        <f>'Table 5C1A-Madison Prep'!U9</f>
        <v>5927</v>
      </c>
      <c r="V9" s="328">
        <f t="shared" si="17"/>
        <v>0</v>
      </c>
      <c r="W9" s="995">
        <f>'[1]Oct midyear Acadiana Ren'!E6</f>
        <v>0</v>
      </c>
      <c r="X9" s="290">
        <f t="shared" si="18"/>
        <v>0</v>
      </c>
      <c r="Y9" s="289">
        <f>'[1]Feb midyear Acadiana Ren'!E6</f>
        <v>0</v>
      </c>
      <c r="Z9" s="290">
        <f t="shared" si="19"/>
        <v>0</v>
      </c>
      <c r="AA9" s="288">
        <f t="shared" si="20"/>
        <v>0</v>
      </c>
      <c r="AB9" s="324">
        <f t="shared" si="21"/>
        <v>0</v>
      </c>
      <c r="AC9" s="292">
        <f t="shared" si="22"/>
        <v>0</v>
      </c>
      <c r="AD9" s="324">
        <f t="shared" si="23"/>
        <v>0</v>
      </c>
      <c r="AE9" s="293">
        <v>0</v>
      </c>
      <c r="AF9" s="324">
        <f t="shared" si="24"/>
        <v>0</v>
      </c>
      <c r="AG9" s="293">
        <f>'[2]Table 5C1U-Acadiana Ren'!AI9+'[14]Table 5C1U-Acadiana Ren'!AI9+(6*'[20]Table 5C1U-Acadiana Ren'!AI9)</f>
        <v>0</v>
      </c>
      <c r="AH9" s="293">
        <f t="shared" si="25"/>
        <v>0</v>
      </c>
      <c r="AI9" s="324">
        <f t="shared" si="6"/>
        <v>0</v>
      </c>
      <c r="AJ9" s="321">
        <f t="shared" si="26"/>
        <v>0</v>
      </c>
      <c r="AK9" s="342">
        <f t="shared" si="27"/>
        <v>0</v>
      </c>
      <c r="AM9" s="286">
        <v>0</v>
      </c>
      <c r="AN9" s="286">
        <f t="shared" si="28"/>
        <v>0</v>
      </c>
      <c r="AO9" s="286">
        <f t="shared" si="7"/>
        <v>0</v>
      </c>
    </row>
    <row r="10" spans="1:41" ht="16.149999999999999" customHeight="1">
      <c r="A10" s="198">
        <v>4</v>
      </c>
      <c r="B10" s="199" t="s">
        <v>76</v>
      </c>
      <c r="C10" s="995">
        <v>0</v>
      </c>
      <c r="D10" s="201">
        <f>+'Table 5C1A-Madison Prep'!D10</f>
        <v>6119.0581446878568</v>
      </c>
      <c r="E10" s="202">
        <f t="shared" si="8"/>
        <v>0</v>
      </c>
      <c r="F10" s="202">
        <f>+'Table 5C1A-Madison Prep'!F10</f>
        <v>585.76</v>
      </c>
      <c r="G10" s="202">
        <f t="shared" si="9"/>
        <v>0</v>
      </c>
      <c r="H10" s="345">
        <f t="shared" si="10"/>
        <v>0</v>
      </c>
      <c r="I10" s="991">
        <f>'[1]Oct midyear Acadiana Ren'!K7</f>
        <v>0</v>
      </c>
      <c r="J10" s="203">
        <f>'[1]Feb midyear Acadiana Ren'!K7</f>
        <v>0</v>
      </c>
      <c r="K10" s="204">
        <f t="shared" si="11"/>
        <v>0</v>
      </c>
      <c r="L10" s="345">
        <f t="shared" si="12"/>
        <v>0</v>
      </c>
      <c r="M10" s="286">
        <f t="shared" si="4"/>
        <v>0</v>
      </c>
      <c r="N10" s="345">
        <f t="shared" si="13"/>
        <v>0</v>
      </c>
      <c r="O10" s="201">
        <v>0</v>
      </c>
      <c r="P10" s="351">
        <f t="shared" si="14"/>
        <v>0</v>
      </c>
      <c r="Q10" s="203">
        <f>'[2]Table 5C1U-Acadiana Ren'!S10+'[14]Table 5C1U-Acadiana Ren'!S10+(6*'[20]Table 5C1U-Acadiana Ren'!S10)</f>
        <v>0</v>
      </c>
      <c r="R10" s="203">
        <f t="shared" si="15"/>
        <v>0</v>
      </c>
      <c r="S10" s="351">
        <f t="shared" si="5"/>
        <v>0</v>
      </c>
      <c r="T10" s="351">
        <f t="shared" si="16"/>
        <v>0</v>
      </c>
      <c r="U10" s="287">
        <f>'Table 5C1A-Madison Prep'!U10</f>
        <v>4203</v>
      </c>
      <c r="V10" s="328">
        <f t="shared" si="17"/>
        <v>0</v>
      </c>
      <c r="W10" s="995">
        <f>'[1]Oct midyear Acadiana Ren'!E7</f>
        <v>0</v>
      </c>
      <c r="X10" s="290">
        <f t="shared" si="18"/>
        <v>0</v>
      </c>
      <c r="Y10" s="289">
        <f>'[1]Feb midyear Acadiana Ren'!E7</f>
        <v>0</v>
      </c>
      <c r="Z10" s="290">
        <f t="shared" si="19"/>
        <v>0</v>
      </c>
      <c r="AA10" s="288">
        <f t="shared" si="20"/>
        <v>0</v>
      </c>
      <c r="AB10" s="324">
        <f t="shared" si="21"/>
        <v>0</v>
      </c>
      <c r="AC10" s="292">
        <f t="shared" si="22"/>
        <v>0</v>
      </c>
      <c r="AD10" s="324">
        <f t="shared" si="23"/>
        <v>0</v>
      </c>
      <c r="AE10" s="293">
        <v>0</v>
      </c>
      <c r="AF10" s="324">
        <f t="shared" si="24"/>
        <v>0</v>
      </c>
      <c r="AG10" s="293">
        <f>'[2]Table 5C1U-Acadiana Ren'!AI10+'[14]Table 5C1U-Acadiana Ren'!AI10+(6*'[20]Table 5C1U-Acadiana Ren'!AI10)</f>
        <v>0</v>
      </c>
      <c r="AH10" s="293">
        <f t="shared" si="25"/>
        <v>0</v>
      </c>
      <c r="AI10" s="324">
        <f t="shared" si="6"/>
        <v>0</v>
      </c>
      <c r="AJ10" s="321">
        <f t="shared" si="26"/>
        <v>0</v>
      </c>
      <c r="AK10" s="342">
        <f t="shared" si="27"/>
        <v>0</v>
      </c>
      <c r="AM10" s="286">
        <v>0</v>
      </c>
      <c r="AN10" s="286">
        <f t="shared" si="28"/>
        <v>0</v>
      </c>
      <c r="AO10" s="286">
        <f t="shared" si="7"/>
        <v>0</v>
      </c>
    </row>
    <row r="11" spans="1:41" ht="16.149999999999999" customHeight="1">
      <c r="A11" s="191">
        <v>5</v>
      </c>
      <c r="B11" s="192" t="s">
        <v>77</v>
      </c>
      <c r="C11" s="996">
        <v>0</v>
      </c>
      <c r="D11" s="194">
        <f>+'Table 5C1A-Madison Prep'!D11</f>
        <v>5268.940566009911</v>
      </c>
      <c r="E11" s="195">
        <f t="shared" si="8"/>
        <v>0</v>
      </c>
      <c r="F11" s="195">
        <f>+'Table 5C1A-Madison Prep'!F11</f>
        <v>555.91</v>
      </c>
      <c r="G11" s="195">
        <f t="shared" si="9"/>
        <v>0</v>
      </c>
      <c r="H11" s="346">
        <f t="shared" si="10"/>
        <v>0</v>
      </c>
      <c r="I11" s="992">
        <f>'[1]Oct midyear Acadiana Ren'!K8</f>
        <v>0</v>
      </c>
      <c r="J11" s="196">
        <f>'[1]Feb midyear Acadiana Ren'!K8</f>
        <v>0</v>
      </c>
      <c r="K11" s="197">
        <f t="shared" si="11"/>
        <v>0</v>
      </c>
      <c r="L11" s="346">
        <f t="shared" si="12"/>
        <v>0</v>
      </c>
      <c r="M11" s="296">
        <f t="shared" si="4"/>
        <v>0</v>
      </c>
      <c r="N11" s="346">
        <f t="shared" si="13"/>
        <v>0</v>
      </c>
      <c r="O11" s="194">
        <v>0</v>
      </c>
      <c r="P11" s="352">
        <f t="shared" si="14"/>
        <v>0</v>
      </c>
      <c r="Q11" s="196">
        <f>'[2]Table 5C1U-Acadiana Ren'!S11+'[14]Table 5C1U-Acadiana Ren'!S11+(6*'[20]Table 5C1U-Acadiana Ren'!S11)</f>
        <v>0</v>
      </c>
      <c r="R11" s="196">
        <f t="shared" si="15"/>
        <v>0</v>
      </c>
      <c r="S11" s="352">
        <f t="shared" si="5"/>
        <v>0</v>
      </c>
      <c r="T11" s="352">
        <f t="shared" si="16"/>
        <v>0</v>
      </c>
      <c r="U11" s="281">
        <f>'Table 5C1A-Madison Prep'!U11</f>
        <v>1923</v>
      </c>
      <c r="V11" s="329">
        <f t="shared" si="17"/>
        <v>0</v>
      </c>
      <c r="W11" s="996">
        <f>'[1]Oct midyear Acadiana Ren'!E8</f>
        <v>0</v>
      </c>
      <c r="X11" s="282">
        <f t="shared" si="18"/>
        <v>0</v>
      </c>
      <c r="Y11" s="884">
        <f>'[1]Feb midyear Acadiana Ren'!E8</f>
        <v>0</v>
      </c>
      <c r="Z11" s="282">
        <f t="shared" si="19"/>
        <v>0</v>
      </c>
      <c r="AA11" s="283">
        <f t="shared" si="20"/>
        <v>0</v>
      </c>
      <c r="AB11" s="325">
        <f t="shared" si="21"/>
        <v>0</v>
      </c>
      <c r="AC11" s="298">
        <f t="shared" si="22"/>
        <v>0</v>
      </c>
      <c r="AD11" s="325">
        <f t="shared" si="23"/>
        <v>0</v>
      </c>
      <c r="AE11" s="284">
        <v>0</v>
      </c>
      <c r="AF11" s="325">
        <f t="shared" si="24"/>
        <v>0</v>
      </c>
      <c r="AG11" s="284">
        <f>'[2]Table 5C1U-Acadiana Ren'!AI11+'[14]Table 5C1U-Acadiana Ren'!AI11+(6*'[20]Table 5C1U-Acadiana Ren'!AI11)</f>
        <v>0</v>
      </c>
      <c r="AH11" s="284">
        <f t="shared" si="25"/>
        <v>0</v>
      </c>
      <c r="AI11" s="325">
        <f t="shared" si="6"/>
        <v>0</v>
      </c>
      <c r="AJ11" s="338">
        <f t="shared" si="26"/>
        <v>0</v>
      </c>
      <c r="AK11" s="343">
        <f t="shared" si="27"/>
        <v>0</v>
      </c>
      <c r="AM11" s="296">
        <v>0</v>
      </c>
      <c r="AN11" s="296">
        <f t="shared" si="28"/>
        <v>0</v>
      </c>
      <c r="AO11" s="296">
        <f t="shared" si="7"/>
        <v>0</v>
      </c>
    </row>
    <row r="12" spans="1:41" ht="16.149999999999999" customHeight="1">
      <c r="A12" s="205">
        <v>6</v>
      </c>
      <c r="B12" s="206" t="s">
        <v>78</v>
      </c>
      <c r="C12" s="994">
        <v>0</v>
      </c>
      <c r="D12" s="208">
        <f>+'Table 5C1A-Madison Prep'!D12</f>
        <v>5378.5086124955869</v>
      </c>
      <c r="E12" s="209">
        <f t="shared" si="8"/>
        <v>0</v>
      </c>
      <c r="F12" s="209">
        <f>+'Table 5C1A-Madison Prep'!F12</f>
        <v>545.4799999999999</v>
      </c>
      <c r="G12" s="209">
        <f t="shared" si="9"/>
        <v>0</v>
      </c>
      <c r="H12" s="344">
        <f t="shared" si="10"/>
        <v>0</v>
      </c>
      <c r="I12" s="990">
        <f>'[1]Oct midyear Acadiana Ren'!K9</f>
        <v>0</v>
      </c>
      <c r="J12" s="210">
        <f>'[1]Feb midyear Acadiana Ren'!K9</f>
        <v>0</v>
      </c>
      <c r="K12" s="211">
        <f t="shared" si="11"/>
        <v>0</v>
      </c>
      <c r="L12" s="344">
        <f t="shared" si="12"/>
        <v>0</v>
      </c>
      <c r="M12" s="273">
        <f t="shared" si="4"/>
        <v>0</v>
      </c>
      <c r="N12" s="344">
        <f t="shared" si="13"/>
        <v>0</v>
      </c>
      <c r="O12" s="208">
        <v>0</v>
      </c>
      <c r="P12" s="350">
        <f t="shared" si="14"/>
        <v>0</v>
      </c>
      <c r="Q12" s="210">
        <f>'[2]Table 5C1U-Acadiana Ren'!S12+'[14]Table 5C1U-Acadiana Ren'!S12+(6*'[20]Table 5C1U-Acadiana Ren'!S12)</f>
        <v>0</v>
      </c>
      <c r="R12" s="210">
        <f t="shared" si="15"/>
        <v>0</v>
      </c>
      <c r="S12" s="350">
        <f t="shared" si="5"/>
        <v>0</v>
      </c>
      <c r="T12" s="350">
        <f t="shared" si="16"/>
        <v>0</v>
      </c>
      <c r="U12" s="274">
        <f>'Table 5C1A-Madison Prep'!U12</f>
        <v>4057</v>
      </c>
      <c r="V12" s="327">
        <f t="shared" si="17"/>
        <v>0</v>
      </c>
      <c r="W12" s="994">
        <f>'[1]Oct midyear Acadiana Ren'!E9</f>
        <v>0</v>
      </c>
      <c r="X12" s="276">
        <f t="shared" si="18"/>
        <v>0</v>
      </c>
      <c r="Y12" s="883">
        <f>'[1]Feb midyear Acadiana Ren'!E9</f>
        <v>0</v>
      </c>
      <c r="Z12" s="276">
        <f t="shared" si="19"/>
        <v>0</v>
      </c>
      <c r="AA12" s="275">
        <f t="shared" si="20"/>
        <v>0</v>
      </c>
      <c r="AB12" s="323">
        <f t="shared" si="21"/>
        <v>0</v>
      </c>
      <c r="AC12" s="278">
        <f t="shared" si="22"/>
        <v>0</v>
      </c>
      <c r="AD12" s="323">
        <f t="shared" si="23"/>
        <v>0</v>
      </c>
      <c r="AE12" s="279">
        <v>0</v>
      </c>
      <c r="AF12" s="323">
        <f t="shared" si="24"/>
        <v>0</v>
      </c>
      <c r="AG12" s="279">
        <f>'[2]Table 5C1U-Acadiana Ren'!AI12+'[14]Table 5C1U-Acadiana Ren'!AI12+(6*'[20]Table 5C1U-Acadiana Ren'!AI12)</f>
        <v>0</v>
      </c>
      <c r="AH12" s="279">
        <f t="shared" si="25"/>
        <v>0</v>
      </c>
      <c r="AI12" s="323">
        <f t="shared" si="6"/>
        <v>0</v>
      </c>
      <c r="AJ12" s="337">
        <f t="shared" si="26"/>
        <v>0</v>
      </c>
      <c r="AK12" s="341">
        <f t="shared" si="27"/>
        <v>0</v>
      </c>
      <c r="AM12" s="273">
        <v>0</v>
      </c>
      <c r="AN12" s="273">
        <f t="shared" si="28"/>
        <v>0</v>
      </c>
      <c r="AO12" s="273">
        <f t="shared" si="7"/>
        <v>0</v>
      </c>
    </row>
    <row r="13" spans="1:41" ht="16.149999999999999" customHeight="1">
      <c r="A13" s="198">
        <v>7</v>
      </c>
      <c r="B13" s="199" t="s">
        <v>79</v>
      </c>
      <c r="C13" s="995">
        <v>0</v>
      </c>
      <c r="D13" s="201">
        <f>+'Table 5C1A-Madison Prep'!D13</f>
        <v>2243.0031963470319</v>
      </c>
      <c r="E13" s="202">
        <f t="shared" si="8"/>
        <v>0</v>
      </c>
      <c r="F13" s="202">
        <f>+'Table 5C1A-Madison Prep'!F13</f>
        <v>756.91999999999985</v>
      </c>
      <c r="G13" s="202">
        <f t="shared" si="9"/>
        <v>0</v>
      </c>
      <c r="H13" s="345">
        <f t="shared" si="10"/>
        <v>0</v>
      </c>
      <c r="I13" s="991">
        <f>'[1]Oct midyear Acadiana Ren'!K10</f>
        <v>0</v>
      </c>
      <c r="J13" s="203">
        <f>'[1]Feb midyear Acadiana Ren'!K10</f>
        <v>0</v>
      </c>
      <c r="K13" s="204">
        <f t="shared" si="11"/>
        <v>0</v>
      </c>
      <c r="L13" s="345">
        <f t="shared" si="12"/>
        <v>0</v>
      </c>
      <c r="M13" s="286">
        <f t="shared" si="4"/>
        <v>0</v>
      </c>
      <c r="N13" s="345">
        <f t="shared" si="13"/>
        <v>0</v>
      </c>
      <c r="O13" s="201">
        <v>0</v>
      </c>
      <c r="P13" s="351">
        <f t="shared" si="14"/>
        <v>0</v>
      </c>
      <c r="Q13" s="203">
        <f>'[2]Table 5C1U-Acadiana Ren'!S13+'[14]Table 5C1U-Acadiana Ren'!S13+(6*'[20]Table 5C1U-Acadiana Ren'!S13)</f>
        <v>0</v>
      </c>
      <c r="R13" s="203">
        <f t="shared" si="15"/>
        <v>0</v>
      </c>
      <c r="S13" s="351">
        <f t="shared" si="5"/>
        <v>0</v>
      </c>
      <c r="T13" s="351">
        <f t="shared" si="16"/>
        <v>0</v>
      </c>
      <c r="U13" s="287">
        <f>'Table 5C1A-Madison Prep'!U13</f>
        <v>12112</v>
      </c>
      <c r="V13" s="328">
        <f t="shared" si="17"/>
        <v>0</v>
      </c>
      <c r="W13" s="995">
        <f>'[1]Oct midyear Acadiana Ren'!E10</f>
        <v>0</v>
      </c>
      <c r="X13" s="290">
        <f t="shared" si="18"/>
        <v>0</v>
      </c>
      <c r="Y13" s="289">
        <f>'[1]Feb midyear Acadiana Ren'!E10</f>
        <v>0</v>
      </c>
      <c r="Z13" s="290">
        <f t="shared" si="19"/>
        <v>0</v>
      </c>
      <c r="AA13" s="288">
        <f t="shared" si="20"/>
        <v>0</v>
      </c>
      <c r="AB13" s="324">
        <f t="shared" si="21"/>
        <v>0</v>
      </c>
      <c r="AC13" s="292">
        <f t="shared" si="22"/>
        <v>0</v>
      </c>
      <c r="AD13" s="324">
        <f t="shared" si="23"/>
        <v>0</v>
      </c>
      <c r="AE13" s="293">
        <v>0</v>
      </c>
      <c r="AF13" s="324">
        <f t="shared" si="24"/>
        <v>0</v>
      </c>
      <c r="AG13" s="293">
        <f>'[2]Table 5C1U-Acadiana Ren'!AI13+'[14]Table 5C1U-Acadiana Ren'!AI13+(6*'[20]Table 5C1U-Acadiana Ren'!AI13)</f>
        <v>0</v>
      </c>
      <c r="AH13" s="293">
        <f t="shared" si="25"/>
        <v>0</v>
      </c>
      <c r="AI13" s="324">
        <f t="shared" si="6"/>
        <v>0</v>
      </c>
      <c r="AJ13" s="321">
        <f t="shared" si="26"/>
        <v>0</v>
      </c>
      <c r="AK13" s="342">
        <f t="shared" si="27"/>
        <v>0</v>
      </c>
      <c r="AM13" s="286">
        <v>0</v>
      </c>
      <c r="AN13" s="286">
        <f t="shared" si="28"/>
        <v>0</v>
      </c>
      <c r="AO13" s="286">
        <f t="shared" si="7"/>
        <v>0</v>
      </c>
    </row>
    <row r="14" spans="1:41" ht="16.149999999999999" customHeight="1">
      <c r="A14" s="198">
        <v>8</v>
      </c>
      <c r="B14" s="199" t="s">
        <v>80</v>
      </c>
      <c r="C14" s="995">
        <v>0</v>
      </c>
      <c r="D14" s="201">
        <f>+'Table 5C1A-Madison Prep'!D14</f>
        <v>4669.802459558854</v>
      </c>
      <c r="E14" s="202">
        <f t="shared" si="8"/>
        <v>0</v>
      </c>
      <c r="F14" s="202">
        <f>+'Table 5C1A-Madison Prep'!F14</f>
        <v>725.76</v>
      </c>
      <c r="G14" s="202">
        <f t="shared" si="9"/>
        <v>0</v>
      </c>
      <c r="H14" s="345">
        <f t="shared" si="10"/>
        <v>0</v>
      </c>
      <c r="I14" s="991">
        <f>'[1]Oct midyear Acadiana Ren'!K11</f>
        <v>0</v>
      </c>
      <c r="J14" s="203">
        <f>'[1]Feb midyear Acadiana Ren'!K11</f>
        <v>0</v>
      </c>
      <c r="K14" s="204">
        <f t="shared" si="11"/>
        <v>0</v>
      </c>
      <c r="L14" s="345">
        <f t="shared" si="12"/>
        <v>0</v>
      </c>
      <c r="M14" s="286">
        <f t="shared" si="4"/>
        <v>0</v>
      </c>
      <c r="N14" s="345">
        <f t="shared" si="13"/>
        <v>0</v>
      </c>
      <c r="O14" s="201">
        <v>0</v>
      </c>
      <c r="P14" s="351">
        <f t="shared" si="14"/>
        <v>0</v>
      </c>
      <c r="Q14" s="203">
        <f>'[2]Table 5C1U-Acadiana Ren'!S14+'[14]Table 5C1U-Acadiana Ren'!S14+(6*'[20]Table 5C1U-Acadiana Ren'!S14)</f>
        <v>0</v>
      </c>
      <c r="R14" s="203">
        <f t="shared" si="15"/>
        <v>0</v>
      </c>
      <c r="S14" s="351">
        <f t="shared" si="5"/>
        <v>0</v>
      </c>
      <c r="T14" s="351">
        <f t="shared" si="16"/>
        <v>0</v>
      </c>
      <c r="U14" s="287">
        <f>'Table 5C1A-Madison Prep'!U14</f>
        <v>4124</v>
      </c>
      <c r="V14" s="328">
        <f t="shared" si="17"/>
        <v>0</v>
      </c>
      <c r="W14" s="995">
        <f>'[1]Oct midyear Acadiana Ren'!E11</f>
        <v>0</v>
      </c>
      <c r="X14" s="290">
        <f t="shared" si="18"/>
        <v>0</v>
      </c>
      <c r="Y14" s="289">
        <f>'[1]Feb midyear Acadiana Ren'!E11</f>
        <v>0</v>
      </c>
      <c r="Z14" s="290">
        <f t="shared" si="19"/>
        <v>0</v>
      </c>
      <c r="AA14" s="288">
        <f t="shared" si="20"/>
        <v>0</v>
      </c>
      <c r="AB14" s="324">
        <f t="shared" si="21"/>
        <v>0</v>
      </c>
      <c r="AC14" s="292">
        <f t="shared" si="22"/>
        <v>0</v>
      </c>
      <c r="AD14" s="324">
        <f t="shared" si="23"/>
        <v>0</v>
      </c>
      <c r="AE14" s="293">
        <v>0</v>
      </c>
      <c r="AF14" s="324">
        <f t="shared" si="24"/>
        <v>0</v>
      </c>
      <c r="AG14" s="293">
        <f>'[2]Table 5C1U-Acadiana Ren'!AI14+'[14]Table 5C1U-Acadiana Ren'!AI14+(6*'[20]Table 5C1U-Acadiana Ren'!AI14)</f>
        <v>0</v>
      </c>
      <c r="AH14" s="293">
        <f t="shared" si="25"/>
        <v>0</v>
      </c>
      <c r="AI14" s="324">
        <f t="shared" si="6"/>
        <v>0</v>
      </c>
      <c r="AJ14" s="321">
        <f t="shared" si="26"/>
        <v>0</v>
      </c>
      <c r="AK14" s="342">
        <f t="shared" si="27"/>
        <v>0</v>
      </c>
      <c r="AM14" s="286">
        <v>0</v>
      </c>
      <c r="AN14" s="286">
        <f t="shared" si="28"/>
        <v>0</v>
      </c>
      <c r="AO14" s="286">
        <f t="shared" si="7"/>
        <v>0</v>
      </c>
    </row>
    <row r="15" spans="1:41" ht="16.149999999999999" customHeight="1">
      <c r="A15" s="198">
        <v>9</v>
      </c>
      <c r="B15" s="199" t="s">
        <v>81</v>
      </c>
      <c r="C15" s="995">
        <v>0</v>
      </c>
      <c r="D15" s="201">
        <f>+'Table 5C1A-Madison Prep'!D15</f>
        <v>4632.4615072045008</v>
      </c>
      <c r="E15" s="202">
        <f t="shared" si="8"/>
        <v>0</v>
      </c>
      <c r="F15" s="202">
        <f>+'Table 5C1A-Madison Prep'!F15</f>
        <v>744.76</v>
      </c>
      <c r="G15" s="202">
        <f t="shared" si="9"/>
        <v>0</v>
      </c>
      <c r="H15" s="345">
        <f t="shared" si="10"/>
        <v>0</v>
      </c>
      <c r="I15" s="991">
        <f>'[1]Oct midyear Acadiana Ren'!K12</f>
        <v>0</v>
      </c>
      <c r="J15" s="203">
        <f>'[1]Feb midyear Acadiana Ren'!K12</f>
        <v>0</v>
      </c>
      <c r="K15" s="204">
        <f t="shared" si="11"/>
        <v>0</v>
      </c>
      <c r="L15" s="345">
        <f t="shared" si="12"/>
        <v>0</v>
      </c>
      <c r="M15" s="286">
        <f t="shared" si="4"/>
        <v>0</v>
      </c>
      <c r="N15" s="345">
        <f t="shared" si="13"/>
        <v>0</v>
      </c>
      <c r="O15" s="201">
        <v>0</v>
      </c>
      <c r="P15" s="351">
        <f t="shared" si="14"/>
        <v>0</v>
      </c>
      <c r="Q15" s="203">
        <f>'[2]Table 5C1U-Acadiana Ren'!S15+'[14]Table 5C1U-Acadiana Ren'!S15+(6*'[20]Table 5C1U-Acadiana Ren'!S15)</f>
        <v>0</v>
      </c>
      <c r="R15" s="203">
        <f t="shared" si="15"/>
        <v>0</v>
      </c>
      <c r="S15" s="351">
        <f t="shared" si="5"/>
        <v>0</v>
      </c>
      <c r="T15" s="351">
        <f t="shared" si="16"/>
        <v>0</v>
      </c>
      <c r="U15" s="287">
        <f>'Table 5C1A-Madison Prep'!U15</f>
        <v>4901</v>
      </c>
      <c r="V15" s="328">
        <f t="shared" si="17"/>
        <v>0</v>
      </c>
      <c r="W15" s="995">
        <f>'[1]Oct midyear Acadiana Ren'!E12</f>
        <v>0</v>
      </c>
      <c r="X15" s="290">
        <f t="shared" si="18"/>
        <v>0</v>
      </c>
      <c r="Y15" s="289">
        <f>'[1]Feb midyear Acadiana Ren'!E12</f>
        <v>0</v>
      </c>
      <c r="Z15" s="290">
        <f t="shared" si="19"/>
        <v>0</v>
      </c>
      <c r="AA15" s="288">
        <f t="shared" si="20"/>
        <v>0</v>
      </c>
      <c r="AB15" s="324">
        <f t="shared" si="21"/>
        <v>0</v>
      </c>
      <c r="AC15" s="292">
        <f t="shared" si="22"/>
        <v>0</v>
      </c>
      <c r="AD15" s="324">
        <f t="shared" si="23"/>
        <v>0</v>
      </c>
      <c r="AE15" s="293">
        <v>0</v>
      </c>
      <c r="AF15" s="324">
        <f t="shared" si="24"/>
        <v>0</v>
      </c>
      <c r="AG15" s="293">
        <f>'[2]Table 5C1U-Acadiana Ren'!AI15+'[14]Table 5C1U-Acadiana Ren'!AI15+(6*'[20]Table 5C1U-Acadiana Ren'!AI15)</f>
        <v>0</v>
      </c>
      <c r="AH15" s="293">
        <f t="shared" si="25"/>
        <v>0</v>
      </c>
      <c r="AI15" s="324">
        <f t="shared" si="6"/>
        <v>0</v>
      </c>
      <c r="AJ15" s="321">
        <f t="shared" si="26"/>
        <v>0</v>
      </c>
      <c r="AK15" s="342">
        <f t="shared" si="27"/>
        <v>0</v>
      </c>
      <c r="AM15" s="286">
        <v>0</v>
      </c>
      <c r="AN15" s="286">
        <f t="shared" si="28"/>
        <v>0</v>
      </c>
      <c r="AO15" s="286">
        <f t="shared" si="7"/>
        <v>0</v>
      </c>
    </row>
    <row r="16" spans="1:41" ht="16.149999999999999" customHeight="1">
      <c r="A16" s="191">
        <v>10</v>
      </c>
      <c r="B16" s="192" t="s">
        <v>82</v>
      </c>
      <c r="C16" s="996">
        <v>0</v>
      </c>
      <c r="D16" s="194">
        <f>+'Table 5C1A-Madison Prep'!D16</f>
        <v>4384.374733918472</v>
      </c>
      <c r="E16" s="195">
        <f t="shared" si="8"/>
        <v>0</v>
      </c>
      <c r="F16" s="195">
        <f>+'Table 5C1A-Madison Prep'!F16</f>
        <v>608.04000000000008</v>
      </c>
      <c r="G16" s="195">
        <f t="shared" si="9"/>
        <v>0</v>
      </c>
      <c r="H16" s="346">
        <f t="shared" si="10"/>
        <v>0</v>
      </c>
      <c r="I16" s="992">
        <f>'[1]Oct midyear Acadiana Ren'!K13</f>
        <v>0</v>
      </c>
      <c r="J16" s="196">
        <f>'[1]Feb midyear Acadiana Ren'!K13</f>
        <v>0</v>
      </c>
      <c r="K16" s="197">
        <f t="shared" si="11"/>
        <v>0</v>
      </c>
      <c r="L16" s="346">
        <f t="shared" si="12"/>
        <v>0</v>
      </c>
      <c r="M16" s="296">
        <f t="shared" si="4"/>
        <v>0</v>
      </c>
      <c r="N16" s="346">
        <f t="shared" si="13"/>
        <v>0</v>
      </c>
      <c r="O16" s="194">
        <v>0</v>
      </c>
      <c r="P16" s="352">
        <f t="shared" si="14"/>
        <v>0</v>
      </c>
      <c r="Q16" s="196">
        <f>'[2]Table 5C1U-Acadiana Ren'!S16+'[14]Table 5C1U-Acadiana Ren'!S16+(6*'[20]Table 5C1U-Acadiana Ren'!S16)</f>
        <v>0</v>
      </c>
      <c r="R16" s="196">
        <f t="shared" si="15"/>
        <v>0</v>
      </c>
      <c r="S16" s="352">
        <f t="shared" si="5"/>
        <v>0</v>
      </c>
      <c r="T16" s="352">
        <f t="shared" si="16"/>
        <v>0</v>
      </c>
      <c r="U16" s="281">
        <f>'Table 5C1A-Madison Prep'!U16</f>
        <v>4619</v>
      </c>
      <c r="V16" s="329">
        <f t="shared" si="17"/>
        <v>0</v>
      </c>
      <c r="W16" s="996">
        <f>'[1]Oct midyear Acadiana Ren'!E13</f>
        <v>0</v>
      </c>
      <c r="X16" s="282">
        <f t="shared" si="18"/>
        <v>0</v>
      </c>
      <c r="Y16" s="884">
        <f>'[1]Feb midyear Acadiana Ren'!E13</f>
        <v>0</v>
      </c>
      <c r="Z16" s="282">
        <f t="shared" si="19"/>
        <v>0</v>
      </c>
      <c r="AA16" s="283">
        <f t="shared" si="20"/>
        <v>0</v>
      </c>
      <c r="AB16" s="325">
        <f t="shared" si="21"/>
        <v>0</v>
      </c>
      <c r="AC16" s="298">
        <f t="shared" si="22"/>
        <v>0</v>
      </c>
      <c r="AD16" s="325">
        <f t="shared" si="23"/>
        <v>0</v>
      </c>
      <c r="AE16" s="284">
        <v>0</v>
      </c>
      <c r="AF16" s="325">
        <f t="shared" si="24"/>
        <v>0</v>
      </c>
      <c r="AG16" s="284">
        <f>'[2]Table 5C1U-Acadiana Ren'!AI16+'[14]Table 5C1U-Acadiana Ren'!AI16+(6*'[20]Table 5C1U-Acadiana Ren'!AI16)</f>
        <v>0</v>
      </c>
      <c r="AH16" s="284">
        <f t="shared" si="25"/>
        <v>0</v>
      </c>
      <c r="AI16" s="325">
        <f t="shared" si="6"/>
        <v>0</v>
      </c>
      <c r="AJ16" s="338">
        <f t="shared" si="26"/>
        <v>0</v>
      </c>
      <c r="AK16" s="343">
        <f t="shared" si="27"/>
        <v>0</v>
      </c>
      <c r="AM16" s="296">
        <v>0</v>
      </c>
      <c r="AN16" s="296">
        <f t="shared" si="28"/>
        <v>0</v>
      </c>
      <c r="AO16" s="296">
        <f t="shared" si="7"/>
        <v>0</v>
      </c>
    </row>
    <row r="17" spans="1:41" ht="16.149999999999999" customHeight="1">
      <c r="A17" s="205">
        <v>11</v>
      </c>
      <c r="B17" s="206" t="s">
        <v>83</v>
      </c>
      <c r="C17" s="994">
        <v>0</v>
      </c>
      <c r="D17" s="208">
        <f>+'Table 5C1A-Madison Prep'!D17</f>
        <v>7098.5372236353351</v>
      </c>
      <c r="E17" s="209">
        <f t="shared" si="8"/>
        <v>0</v>
      </c>
      <c r="F17" s="209">
        <f>+'Table 5C1A-Madison Prep'!F17</f>
        <v>706.55</v>
      </c>
      <c r="G17" s="209">
        <f t="shared" si="9"/>
        <v>0</v>
      </c>
      <c r="H17" s="344">
        <f t="shared" si="10"/>
        <v>0</v>
      </c>
      <c r="I17" s="990">
        <f>'[1]Oct midyear Acadiana Ren'!K14</f>
        <v>0</v>
      </c>
      <c r="J17" s="210">
        <f>'[1]Feb midyear Acadiana Ren'!K14</f>
        <v>0</v>
      </c>
      <c r="K17" s="211">
        <f t="shared" si="11"/>
        <v>0</v>
      </c>
      <c r="L17" s="344">
        <f t="shared" si="12"/>
        <v>0</v>
      </c>
      <c r="M17" s="273">
        <f t="shared" si="4"/>
        <v>0</v>
      </c>
      <c r="N17" s="344">
        <f t="shared" si="13"/>
        <v>0</v>
      </c>
      <c r="O17" s="208">
        <v>0</v>
      </c>
      <c r="P17" s="350">
        <f t="shared" si="14"/>
        <v>0</v>
      </c>
      <c r="Q17" s="210">
        <f>'[2]Table 5C1U-Acadiana Ren'!S17+'[14]Table 5C1U-Acadiana Ren'!S17+(6*'[20]Table 5C1U-Acadiana Ren'!S17)</f>
        <v>0</v>
      </c>
      <c r="R17" s="210">
        <f t="shared" si="15"/>
        <v>0</v>
      </c>
      <c r="S17" s="350">
        <f t="shared" si="5"/>
        <v>0</v>
      </c>
      <c r="T17" s="350">
        <f t="shared" si="16"/>
        <v>0</v>
      </c>
      <c r="U17" s="274">
        <f>'Table 5C1A-Madison Prep'!U17</f>
        <v>3580</v>
      </c>
      <c r="V17" s="327">
        <f t="shared" si="17"/>
        <v>0</v>
      </c>
      <c r="W17" s="994">
        <f>'[1]Oct midyear Acadiana Ren'!E14</f>
        <v>0</v>
      </c>
      <c r="X17" s="276">
        <f t="shared" si="18"/>
        <v>0</v>
      </c>
      <c r="Y17" s="883">
        <f>'[1]Feb midyear Acadiana Ren'!E14</f>
        <v>0</v>
      </c>
      <c r="Z17" s="276">
        <f t="shared" si="19"/>
        <v>0</v>
      </c>
      <c r="AA17" s="275">
        <f t="shared" si="20"/>
        <v>0</v>
      </c>
      <c r="AB17" s="323">
        <f t="shared" si="21"/>
        <v>0</v>
      </c>
      <c r="AC17" s="278">
        <f t="shared" si="22"/>
        <v>0</v>
      </c>
      <c r="AD17" s="323">
        <f t="shared" si="23"/>
        <v>0</v>
      </c>
      <c r="AE17" s="279">
        <v>0</v>
      </c>
      <c r="AF17" s="323">
        <f t="shared" si="24"/>
        <v>0</v>
      </c>
      <c r="AG17" s="279">
        <f>'[2]Table 5C1U-Acadiana Ren'!AI17+'[14]Table 5C1U-Acadiana Ren'!AI17+(6*'[20]Table 5C1U-Acadiana Ren'!AI17)</f>
        <v>0</v>
      </c>
      <c r="AH17" s="279">
        <f t="shared" si="25"/>
        <v>0</v>
      </c>
      <c r="AI17" s="323">
        <f t="shared" si="6"/>
        <v>0</v>
      </c>
      <c r="AJ17" s="337">
        <f t="shared" si="26"/>
        <v>0</v>
      </c>
      <c r="AK17" s="341">
        <f t="shared" si="27"/>
        <v>0</v>
      </c>
      <c r="AM17" s="273">
        <v>0</v>
      </c>
      <c r="AN17" s="273">
        <f t="shared" si="28"/>
        <v>0</v>
      </c>
      <c r="AO17" s="273">
        <f t="shared" si="7"/>
        <v>0</v>
      </c>
    </row>
    <row r="18" spans="1:41" ht="16.149999999999999" customHeight="1">
      <c r="A18" s="198">
        <v>12</v>
      </c>
      <c r="B18" s="199" t="s">
        <v>84</v>
      </c>
      <c r="C18" s="995">
        <v>0</v>
      </c>
      <c r="D18" s="201">
        <f>+'Table 5C1A-Madison Prep'!D18</f>
        <v>1666.6040983606558</v>
      </c>
      <c r="E18" s="202">
        <f t="shared" si="8"/>
        <v>0</v>
      </c>
      <c r="F18" s="202">
        <f>+'Table 5C1A-Madison Prep'!F18</f>
        <v>1063.31</v>
      </c>
      <c r="G18" s="202">
        <f t="shared" si="9"/>
        <v>0</v>
      </c>
      <c r="H18" s="345">
        <f t="shared" si="10"/>
        <v>0</v>
      </c>
      <c r="I18" s="991">
        <f>'[1]Oct midyear Acadiana Ren'!K15</f>
        <v>0</v>
      </c>
      <c r="J18" s="203">
        <f>'[1]Feb midyear Acadiana Ren'!K15</f>
        <v>0</v>
      </c>
      <c r="K18" s="204">
        <f t="shared" si="11"/>
        <v>0</v>
      </c>
      <c r="L18" s="345">
        <f t="shared" si="12"/>
        <v>0</v>
      </c>
      <c r="M18" s="286">
        <f t="shared" si="4"/>
        <v>0</v>
      </c>
      <c r="N18" s="345">
        <f t="shared" si="13"/>
        <v>0</v>
      </c>
      <c r="O18" s="201">
        <v>0</v>
      </c>
      <c r="P18" s="351">
        <f t="shared" si="14"/>
        <v>0</v>
      </c>
      <c r="Q18" s="203">
        <f>'[2]Table 5C1U-Acadiana Ren'!S18+'[14]Table 5C1U-Acadiana Ren'!S18+(6*'[20]Table 5C1U-Acadiana Ren'!S18)</f>
        <v>0</v>
      </c>
      <c r="R18" s="203">
        <f t="shared" si="15"/>
        <v>0</v>
      </c>
      <c r="S18" s="351">
        <f t="shared" si="5"/>
        <v>0</v>
      </c>
      <c r="T18" s="351">
        <f t="shared" si="16"/>
        <v>0</v>
      </c>
      <c r="U18" s="287">
        <f>'Table 5C1A-Madison Prep'!U18</f>
        <v>8094</v>
      </c>
      <c r="V18" s="328">
        <f t="shared" si="17"/>
        <v>0</v>
      </c>
      <c r="W18" s="995">
        <f>'[1]Oct midyear Acadiana Ren'!E15</f>
        <v>0</v>
      </c>
      <c r="X18" s="290">
        <f t="shared" si="18"/>
        <v>0</v>
      </c>
      <c r="Y18" s="289">
        <f>'[1]Feb midyear Acadiana Ren'!E15</f>
        <v>0</v>
      </c>
      <c r="Z18" s="290">
        <f t="shared" si="19"/>
        <v>0</v>
      </c>
      <c r="AA18" s="288">
        <f t="shared" si="20"/>
        <v>0</v>
      </c>
      <c r="AB18" s="324">
        <f t="shared" si="21"/>
        <v>0</v>
      </c>
      <c r="AC18" s="292">
        <f t="shared" si="22"/>
        <v>0</v>
      </c>
      <c r="AD18" s="324">
        <f t="shared" si="23"/>
        <v>0</v>
      </c>
      <c r="AE18" s="293">
        <v>0</v>
      </c>
      <c r="AF18" s="324">
        <f t="shared" si="24"/>
        <v>0</v>
      </c>
      <c r="AG18" s="293">
        <f>'[2]Table 5C1U-Acadiana Ren'!AI18+'[14]Table 5C1U-Acadiana Ren'!AI18+(6*'[20]Table 5C1U-Acadiana Ren'!AI18)</f>
        <v>0</v>
      </c>
      <c r="AH18" s="293">
        <f t="shared" si="25"/>
        <v>0</v>
      </c>
      <c r="AI18" s="324">
        <f t="shared" si="6"/>
        <v>0</v>
      </c>
      <c r="AJ18" s="321">
        <f t="shared" si="26"/>
        <v>0</v>
      </c>
      <c r="AK18" s="342">
        <f t="shared" si="27"/>
        <v>0</v>
      </c>
      <c r="AM18" s="286">
        <v>0</v>
      </c>
      <c r="AN18" s="286">
        <f t="shared" si="28"/>
        <v>0</v>
      </c>
      <c r="AO18" s="286">
        <f t="shared" si="7"/>
        <v>0</v>
      </c>
    </row>
    <row r="19" spans="1:41" ht="16.149999999999999" customHeight="1">
      <c r="A19" s="198">
        <v>13</v>
      </c>
      <c r="B19" s="199" t="s">
        <v>85</v>
      </c>
      <c r="C19" s="995">
        <v>0</v>
      </c>
      <c r="D19" s="201">
        <f>+'Table 5C1A-Madison Prep'!D19</f>
        <v>6433.6297758332212</v>
      </c>
      <c r="E19" s="202">
        <f t="shared" si="8"/>
        <v>0</v>
      </c>
      <c r="F19" s="202">
        <f>+'Table 5C1A-Madison Prep'!F19</f>
        <v>749.43000000000006</v>
      </c>
      <c r="G19" s="202">
        <f t="shared" si="9"/>
        <v>0</v>
      </c>
      <c r="H19" s="345">
        <f t="shared" si="10"/>
        <v>0</v>
      </c>
      <c r="I19" s="991">
        <f>'[1]Oct midyear Acadiana Ren'!K16</f>
        <v>0</v>
      </c>
      <c r="J19" s="203">
        <f>'[1]Feb midyear Acadiana Ren'!K16</f>
        <v>0</v>
      </c>
      <c r="K19" s="204">
        <f t="shared" si="11"/>
        <v>0</v>
      </c>
      <c r="L19" s="345">
        <f t="shared" si="12"/>
        <v>0</v>
      </c>
      <c r="M19" s="286">
        <f t="shared" si="4"/>
        <v>0</v>
      </c>
      <c r="N19" s="345">
        <f t="shared" si="13"/>
        <v>0</v>
      </c>
      <c r="O19" s="201">
        <v>0</v>
      </c>
      <c r="P19" s="351">
        <f t="shared" si="14"/>
        <v>0</v>
      </c>
      <c r="Q19" s="203">
        <f>'[2]Table 5C1U-Acadiana Ren'!S19+'[14]Table 5C1U-Acadiana Ren'!S19+(6*'[20]Table 5C1U-Acadiana Ren'!S19)</f>
        <v>0</v>
      </c>
      <c r="R19" s="203">
        <f t="shared" si="15"/>
        <v>0</v>
      </c>
      <c r="S19" s="351">
        <f t="shared" si="5"/>
        <v>0</v>
      </c>
      <c r="T19" s="351">
        <f t="shared" si="16"/>
        <v>0</v>
      </c>
      <c r="U19" s="287">
        <f>'Table 5C1A-Madison Prep'!U19</f>
        <v>2762</v>
      </c>
      <c r="V19" s="328">
        <f t="shared" si="17"/>
        <v>0</v>
      </c>
      <c r="W19" s="995">
        <f>'[1]Oct midyear Acadiana Ren'!E16</f>
        <v>0</v>
      </c>
      <c r="X19" s="290">
        <f t="shared" si="18"/>
        <v>0</v>
      </c>
      <c r="Y19" s="289">
        <f>'[1]Feb midyear Acadiana Ren'!E16</f>
        <v>0</v>
      </c>
      <c r="Z19" s="290">
        <f t="shared" si="19"/>
        <v>0</v>
      </c>
      <c r="AA19" s="288">
        <f t="shared" si="20"/>
        <v>0</v>
      </c>
      <c r="AB19" s="324">
        <f t="shared" si="21"/>
        <v>0</v>
      </c>
      <c r="AC19" s="292">
        <f t="shared" si="22"/>
        <v>0</v>
      </c>
      <c r="AD19" s="324">
        <f t="shared" si="23"/>
        <v>0</v>
      </c>
      <c r="AE19" s="293">
        <v>0</v>
      </c>
      <c r="AF19" s="324">
        <f t="shared" si="24"/>
        <v>0</v>
      </c>
      <c r="AG19" s="293">
        <f>'[2]Table 5C1U-Acadiana Ren'!AI19+'[14]Table 5C1U-Acadiana Ren'!AI19+(6*'[20]Table 5C1U-Acadiana Ren'!AI19)</f>
        <v>0</v>
      </c>
      <c r="AH19" s="293">
        <f t="shared" si="25"/>
        <v>0</v>
      </c>
      <c r="AI19" s="324">
        <f t="shared" si="6"/>
        <v>0</v>
      </c>
      <c r="AJ19" s="321">
        <f t="shared" si="26"/>
        <v>0</v>
      </c>
      <c r="AK19" s="342">
        <f t="shared" si="27"/>
        <v>0</v>
      </c>
      <c r="AM19" s="286">
        <v>0</v>
      </c>
      <c r="AN19" s="286">
        <f t="shared" si="28"/>
        <v>0</v>
      </c>
      <c r="AO19" s="286">
        <f t="shared" si="7"/>
        <v>0</v>
      </c>
    </row>
    <row r="20" spans="1:41" ht="16.149999999999999" customHeight="1">
      <c r="A20" s="198">
        <v>14</v>
      </c>
      <c r="B20" s="199" t="s">
        <v>86</v>
      </c>
      <c r="C20" s="995">
        <v>0</v>
      </c>
      <c r="D20" s="201">
        <f>+'Table 5C1A-Madison Prep'!D20</f>
        <v>5334.9509412500001</v>
      </c>
      <c r="E20" s="202">
        <f t="shared" si="8"/>
        <v>0</v>
      </c>
      <c r="F20" s="202">
        <f>+'Table 5C1A-Madison Prep'!F20</f>
        <v>809.9799999999999</v>
      </c>
      <c r="G20" s="202">
        <f t="shared" si="9"/>
        <v>0</v>
      </c>
      <c r="H20" s="345">
        <f t="shared" si="10"/>
        <v>0</v>
      </c>
      <c r="I20" s="991">
        <f>'[1]Oct midyear Acadiana Ren'!K17</f>
        <v>0</v>
      </c>
      <c r="J20" s="203">
        <f>'[1]Feb midyear Acadiana Ren'!K17</f>
        <v>0</v>
      </c>
      <c r="K20" s="204">
        <f t="shared" si="11"/>
        <v>0</v>
      </c>
      <c r="L20" s="345">
        <f t="shared" si="12"/>
        <v>0</v>
      </c>
      <c r="M20" s="286">
        <f t="shared" si="4"/>
        <v>0</v>
      </c>
      <c r="N20" s="345">
        <f t="shared" si="13"/>
        <v>0</v>
      </c>
      <c r="O20" s="201">
        <v>0</v>
      </c>
      <c r="P20" s="351">
        <f t="shared" si="14"/>
        <v>0</v>
      </c>
      <c r="Q20" s="203">
        <f>'[2]Table 5C1U-Acadiana Ren'!S20+'[14]Table 5C1U-Acadiana Ren'!S20+(6*'[20]Table 5C1U-Acadiana Ren'!S20)</f>
        <v>0</v>
      </c>
      <c r="R20" s="203">
        <f t="shared" si="15"/>
        <v>0</v>
      </c>
      <c r="S20" s="351">
        <f t="shared" si="5"/>
        <v>0</v>
      </c>
      <c r="T20" s="351">
        <f t="shared" si="16"/>
        <v>0</v>
      </c>
      <c r="U20" s="287">
        <f>'Table 5C1A-Madison Prep'!U20</f>
        <v>4171</v>
      </c>
      <c r="V20" s="328">
        <f t="shared" si="17"/>
        <v>0</v>
      </c>
      <c r="W20" s="995">
        <f>'[1]Oct midyear Acadiana Ren'!E17</f>
        <v>0</v>
      </c>
      <c r="X20" s="290">
        <f t="shared" si="18"/>
        <v>0</v>
      </c>
      <c r="Y20" s="289">
        <f>'[1]Feb midyear Acadiana Ren'!E17</f>
        <v>0</v>
      </c>
      <c r="Z20" s="290">
        <f t="shared" si="19"/>
        <v>0</v>
      </c>
      <c r="AA20" s="288">
        <f t="shared" si="20"/>
        <v>0</v>
      </c>
      <c r="AB20" s="324">
        <f t="shared" si="21"/>
        <v>0</v>
      </c>
      <c r="AC20" s="292">
        <f t="shared" si="22"/>
        <v>0</v>
      </c>
      <c r="AD20" s="324">
        <f t="shared" si="23"/>
        <v>0</v>
      </c>
      <c r="AE20" s="293">
        <v>0</v>
      </c>
      <c r="AF20" s="324">
        <f t="shared" si="24"/>
        <v>0</v>
      </c>
      <c r="AG20" s="293">
        <f>'[2]Table 5C1U-Acadiana Ren'!AI20+'[14]Table 5C1U-Acadiana Ren'!AI20+(6*'[20]Table 5C1U-Acadiana Ren'!AI20)</f>
        <v>0</v>
      </c>
      <c r="AH20" s="293">
        <f t="shared" si="25"/>
        <v>0</v>
      </c>
      <c r="AI20" s="324">
        <f t="shared" si="6"/>
        <v>0</v>
      </c>
      <c r="AJ20" s="321">
        <f t="shared" si="26"/>
        <v>0</v>
      </c>
      <c r="AK20" s="342">
        <f t="shared" si="27"/>
        <v>0</v>
      </c>
      <c r="AM20" s="286">
        <v>0</v>
      </c>
      <c r="AN20" s="286">
        <f t="shared" si="28"/>
        <v>0</v>
      </c>
      <c r="AO20" s="286">
        <f t="shared" si="7"/>
        <v>0</v>
      </c>
    </row>
    <row r="21" spans="1:41" ht="16.149999999999999" customHeight="1">
      <c r="A21" s="191">
        <v>15</v>
      </c>
      <c r="B21" s="192" t="s">
        <v>87</v>
      </c>
      <c r="C21" s="996">
        <v>0</v>
      </c>
      <c r="D21" s="194">
        <f>+'Table 5C1A-Madison Prep'!D21</f>
        <v>5749.8285214059952</v>
      </c>
      <c r="E21" s="195">
        <f t="shared" si="8"/>
        <v>0</v>
      </c>
      <c r="F21" s="195">
        <f>+'Table 5C1A-Madison Prep'!F21</f>
        <v>553.79999999999995</v>
      </c>
      <c r="G21" s="195">
        <f t="shared" si="9"/>
        <v>0</v>
      </c>
      <c r="H21" s="346">
        <f t="shared" si="10"/>
        <v>0</v>
      </c>
      <c r="I21" s="992">
        <f>'[1]Oct midyear Acadiana Ren'!K18</f>
        <v>0</v>
      </c>
      <c r="J21" s="196">
        <f>'[1]Feb midyear Acadiana Ren'!K18</f>
        <v>0</v>
      </c>
      <c r="K21" s="197">
        <f t="shared" si="11"/>
        <v>0</v>
      </c>
      <c r="L21" s="346">
        <f t="shared" si="12"/>
        <v>0</v>
      </c>
      <c r="M21" s="296">
        <f t="shared" si="4"/>
        <v>0</v>
      </c>
      <c r="N21" s="346">
        <f t="shared" si="13"/>
        <v>0</v>
      </c>
      <c r="O21" s="194">
        <v>0</v>
      </c>
      <c r="P21" s="352">
        <f t="shared" si="14"/>
        <v>0</v>
      </c>
      <c r="Q21" s="196">
        <f>'[2]Table 5C1U-Acadiana Ren'!S21+'[14]Table 5C1U-Acadiana Ren'!S21+(6*'[20]Table 5C1U-Acadiana Ren'!S21)</f>
        <v>0</v>
      </c>
      <c r="R21" s="196">
        <f t="shared" si="15"/>
        <v>0</v>
      </c>
      <c r="S21" s="352">
        <f t="shared" si="5"/>
        <v>0</v>
      </c>
      <c r="T21" s="352">
        <f t="shared" si="16"/>
        <v>0</v>
      </c>
      <c r="U21" s="281">
        <f>'Table 5C1A-Madison Prep'!U21</f>
        <v>2880</v>
      </c>
      <c r="V21" s="329">
        <f t="shared" si="17"/>
        <v>0</v>
      </c>
      <c r="W21" s="996">
        <f>'[1]Oct midyear Acadiana Ren'!E18</f>
        <v>0</v>
      </c>
      <c r="X21" s="282">
        <f t="shared" si="18"/>
        <v>0</v>
      </c>
      <c r="Y21" s="884">
        <f>'[1]Feb midyear Acadiana Ren'!E18</f>
        <v>0</v>
      </c>
      <c r="Z21" s="282">
        <f t="shared" si="19"/>
        <v>0</v>
      </c>
      <c r="AA21" s="283">
        <f t="shared" si="20"/>
        <v>0</v>
      </c>
      <c r="AB21" s="325">
        <f t="shared" si="21"/>
        <v>0</v>
      </c>
      <c r="AC21" s="298">
        <f t="shared" si="22"/>
        <v>0</v>
      </c>
      <c r="AD21" s="325">
        <f t="shared" si="23"/>
        <v>0</v>
      </c>
      <c r="AE21" s="284">
        <v>0</v>
      </c>
      <c r="AF21" s="325">
        <f t="shared" si="24"/>
        <v>0</v>
      </c>
      <c r="AG21" s="284">
        <f>'[2]Table 5C1U-Acadiana Ren'!AI21+'[14]Table 5C1U-Acadiana Ren'!AI21+(6*'[20]Table 5C1U-Acadiana Ren'!AI21)</f>
        <v>0</v>
      </c>
      <c r="AH21" s="284">
        <f t="shared" si="25"/>
        <v>0</v>
      </c>
      <c r="AI21" s="325">
        <f t="shared" si="6"/>
        <v>0</v>
      </c>
      <c r="AJ21" s="338">
        <f t="shared" si="26"/>
        <v>0</v>
      </c>
      <c r="AK21" s="343">
        <f t="shared" si="27"/>
        <v>0</v>
      </c>
      <c r="AM21" s="296">
        <v>0</v>
      </c>
      <c r="AN21" s="296">
        <f t="shared" si="28"/>
        <v>0</v>
      </c>
      <c r="AO21" s="296">
        <f t="shared" si="7"/>
        <v>0</v>
      </c>
    </row>
    <row r="22" spans="1:41" ht="16.149999999999999" customHeight="1">
      <c r="A22" s="205">
        <v>16</v>
      </c>
      <c r="B22" s="206" t="s">
        <v>88</v>
      </c>
      <c r="C22" s="994">
        <v>0</v>
      </c>
      <c r="D22" s="208">
        <f>+'Table 5C1A-Madison Prep'!D22</f>
        <v>1980.2494354342025</v>
      </c>
      <c r="E22" s="209">
        <f t="shared" si="8"/>
        <v>0</v>
      </c>
      <c r="F22" s="209">
        <f>+'Table 5C1A-Madison Prep'!F22</f>
        <v>686.73</v>
      </c>
      <c r="G22" s="209">
        <f t="shared" si="9"/>
        <v>0</v>
      </c>
      <c r="H22" s="344">
        <f t="shared" si="10"/>
        <v>0</v>
      </c>
      <c r="I22" s="990">
        <f>'[1]Oct midyear Acadiana Ren'!K19</f>
        <v>0</v>
      </c>
      <c r="J22" s="210">
        <f>'[1]Feb midyear Acadiana Ren'!K19</f>
        <v>0</v>
      </c>
      <c r="K22" s="211">
        <f t="shared" si="11"/>
        <v>0</v>
      </c>
      <c r="L22" s="344">
        <f t="shared" si="12"/>
        <v>0</v>
      </c>
      <c r="M22" s="273">
        <f t="shared" si="4"/>
        <v>0</v>
      </c>
      <c r="N22" s="344">
        <f t="shared" si="13"/>
        <v>0</v>
      </c>
      <c r="O22" s="208">
        <v>0</v>
      </c>
      <c r="P22" s="350">
        <f t="shared" si="14"/>
        <v>0</v>
      </c>
      <c r="Q22" s="210">
        <f>'[2]Table 5C1U-Acadiana Ren'!S22+'[14]Table 5C1U-Acadiana Ren'!S22+(6*'[20]Table 5C1U-Acadiana Ren'!S22)</f>
        <v>0</v>
      </c>
      <c r="R22" s="210">
        <f t="shared" si="15"/>
        <v>0</v>
      </c>
      <c r="S22" s="350">
        <f t="shared" si="5"/>
        <v>0</v>
      </c>
      <c r="T22" s="350">
        <f t="shared" si="16"/>
        <v>0</v>
      </c>
      <c r="U22" s="274">
        <f>'Table 5C1A-Madison Prep'!U22</f>
        <v>13021</v>
      </c>
      <c r="V22" s="327">
        <f t="shared" si="17"/>
        <v>0</v>
      </c>
      <c r="W22" s="994">
        <f>'[1]Oct midyear Acadiana Ren'!E19</f>
        <v>0</v>
      </c>
      <c r="X22" s="276">
        <f t="shared" si="18"/>
        <v>0</v>
      </c>
      <c r="Y22" s="883">
        <f>'[1]Feb midyear Acadiana Ren'!E19</f>
        <v>0</v>
      </c>
      <c r="Z22" s="276">
        <f t="shared" si="19"/>
        <v>0</v>
      </c>
      <c r="AA22" s="275">
        <f t="shared" si="20"/>
        <v>0</v>
      </c>
      <c r="AB22" s="323">
        <f t="shared" si="21"/>
        <v>0</v>
      </c>
      <c r="AC22" s="278">
        <f t="shared" si="22"/>
        <v>0</v>
      </c>
      <c r="AD22" s="323">
        <f t="shared" si="23"/>
        <v>0</v>
      </c>
      <c r="AE22" s="279">
        <v>0</v>
      </c>
      <c r="AF22" s="323">
        <f t="shared" si="24"/>
        <v>0</v>
      </c>
      <c r="AG22" s="279">
        <f>'[2]Table 5C1U-Acadiana Ren'!AI22+'[14]Table 5C1U-Acadiana Ren'!AI22+(6*'[20]Table 5C1U-Acadiana Ren'!AI22)</f>
        <v>0</v>
      </c>
      <c r="AH22" s="279">
        <f t="shared" si="25"/>
        <v>0</v>
      </c>
      <c r="AI22" s="323">
        <f t="shared" si="6"/>
        <v>0</v>
      </c>
      <c r="AJ22" s="337">
        <f t="shared" si="26"/>
        <v>0</v>
      </c>
      <c r="AK22" s="341">
        <f t="shared" si="27"/>
        <v>0</v>
      </c>
      <c r="AM22" s="273">
        <v>0</v>
      </c>
      <c r="AN22" s="273">
        <f t="shared" si="28"/>
        <v>0</v>
      </c>
      <c r="AO22" s="273">
        <f t="shared" si="7"/>
        <v>0</v>
      </c>
    </row>
    <row r="23" spans="1:41" ht="16.149999999999999" customHeight="1">
      <c r="A23" s="198">
        <v>17</v>
      </c>
      <c r="B23" s="199" t="s">
        <v>89</v>
      </c>
      <c r="C23" s="995">
        <v>0</v>
      </c>
      <c r="D23" s="201">
        <f>+'Table 5C1A-Madison Prep'!D23</f>
        <v>3363.5980368254495</v>
      </c>
      <c r="E23" s="202">
        <f t="shared" si="8"/>
        <v>0</v>
      </c>
      <c r="F23" s="202">
        <f>+'Table 5C1A-Madison Prep'!F23</f>
        <v>801.47762416806802</v>
      </c>
      <c r="G23" s="202">
        <f t="shared" si="9"/>
        <v>0</v>
      </c>
      <c r="H23" s="345">
        <f t="shared" si="10"/>
        <v>0</v>
      </c>
      <c r="I23" s="991">
        <f>'[1]Oct midyear Acadiana Ren'!K20</f>
        <v>0</v>
      </c>
      <c r="J23" s="203">
        <f>'[1]Feb midyear Acadiana Ren'!K20</f>
        <v>0</v>
      </c>
      <c r="K23" s="204">
        <f t="shared" si="11"/>
        <v>0</v>
      </c>
      <c r="L23" s="345">
        <f t="shared" si="12"/>
        <v>0</v>
      </c>
      <c r="M23" s="286">
        <f t="shared" si="4"/>
        <v>0</v>
      </c>
      <c r="N23" s="345">
        <f t="shared" si="13"/>
        <v>0</v>
      </c>
      <c r="O23" s="201">
        <v>0</v>
      </c>
      <c r="P23" s="351">
        <f t="shared" si="14"/>
        <v>0</v>
      </c>
      <c r="Q23" s="203">
        <f>'[2]Table 5C1U-Acadiana Ren'!S23+'[14]Table 5C1U-Acadiana Ren'!S23+(6*'[20]Table 5C1U-Acadiana Ren'!S23)</f>
        <v>0</v>
      </c>
      <c r="R23" s="203">
        <f t="shared" si="15"/>
        <v>0</v>
      </c>
      <c r="S23" s="351">
        <f t="shared" si="5"/>
        <v>0</v>
      </c>
      <c r="T23" s="351">
        <f t="shared" si="16"/>
        <v>0</v>
      </c>
      <c r="U23" s="287">
        <f>'Table 5C1A-Madison Prep'!U23</f>
        <v>6954</v>
      </c>
      <c r="V23" s="328">
        <f t="shared" si="17"/>
        <v>0</v>
      </c>
      <c r="W23" s="995">
        <f>'[1]Oct midyear Acadiana Ren'!E20</f>
        <v>0</v>
      </c>
      <c r="X23" s="290">
        <f t="shared" si="18"/>
        <v>0</v>
      </c>
      <c r="Y23" s="289">
        <f>'[1]Feb midyear Acadiana Ren'!E20</f>
        <v>0</v>
      </c>
      <c r="Z23" s="290">
        <f t="shared" si="19"/>
        <v>0</v>
      </c>
      <c r="AA23" s="288">
        <f t="shared" si="20"/>
        <v>0</v>
      </c>
      <c r="AB23" s="324">
        <f t="shared" si="21"/>
        <v>0</v>
      </c>
      <c r="AC23" s="292">
        <f t="shared" si="22"/>
        <v>0</v>
      </c>
      <c r="AD23" s="324">
        <f t="shared" si="23"/>
        <v>0</v>
      </c>
      <c r="AE23" s="293">
        <v>0</v>
      </c>
      <c r="AF23" s="324">
        <f t="shared" si="24"/>
        <v>0</v>
      </c>
      <c r="AG23" s="293">
        <f>'[2]Table 5C1U-Acadiana Ren'!AI23+'[14]Table 5C1U-Acadiana Ren'!AI23+(6*'[20]Table 5C1U-Acadiana Ren'!AI23)</f>
        <v>0</v>
      </c>
      <c r="AH23" s="293">
        <f t="shared" si="25"/>
        <v>0</v>
      </c>
      <c r="AI23" s="324">
        <f t="shared" si="6"/>
        <v>0</v>
      </c>
      <c r="AJ23" s="321">
        <f t="shared" si="26"/>
        <v>0</v>
      </c>
      <c r="AK23" s="342">
        <f t="shared" si="27"/>
        <v>0</v>
      </c>
      <c r="AM23" s="286">
        <v>0</v>
      </c>
      <c r="AN23" s="286">
        <f t="shared" si="28"/>
        <v>0</v>
      </c>
      <c r="AO23" s="286">
        <f t="shared" si="7"/>
        <v>0</v>
      </c>
    </row>
    <row r="24" spans="1:41" ht="16.149999999999999" customHeight="1">
      <c r="A24" s="198">
        <v>18</v>
      </c>
      <c r="B24" s="199" t="s">
        <v>90</v>
      </c>
      <c r="C24" s="995">
        <v>0</v>
      </c>
      <c r="D24" s="201">
        <f>+'Table 5C1A-Madison Prep'!D24</f>
        <v>6354.5533500475731</v>
      </c>
      <c r="E24" s="202">
        <f t="shared" si="8"/>
        <v>0</v>
      </c>
      <c r="F24" s="202">
        <f>+'Table 5C1A-Madison Prep'!F24</f>
        <v>845.94999999999993</v>
      </c>
      <c r="G24" s="202">
        <f t="shared" si="9"/>
        <v>0</v>
      </c>
      <c r="H24" s="345">
        <f t="shared" si="10"/>
        <v>0</v>
      </c>
      <c r="I24" s="991">
        <f>'[1]Oct midyear Acadiana Ren'!K21</f>
        <v>0</v>
      </c>
      <c r="J24" s="203">
        <f>'[1]Feb midyear Acadiana Ren'!K21</f>
        <v>0</v>
      </c>
      <c r="K24" s="204">
        <f t="shared" si="11"/>
        <v>0</v>
      </c>
      <c r="L24" s="345">
        <f t="shared" si="12"/>
        <v>0</v>
      </c>
      <c r="M24" s="286">
        <f t="shared" si="4"/>
        <v>0</v>
      </c>
      <c r="N24" s="345">
        <f t="shared" si="13"/>
        <v>0</v>
      </c>
      <c r="O24" s="201">
        <v>0</v>
      </c>
      <c r="P24" s="351">
        <f t="shared" si="14"/>
        <v>0</v>
      </c>
      <c r="Q24" s="203">
        <f>'[2]Table 5C1U-Acadiana Ren'!S24+'[14]Table 5C1U-Acadiana Ren'!S24+(6*'[20]Table 5C1U-Acadiana Ren'!S24)</f>
        <v>0</v>
      </c>
      <c r="R24" s="203">
        <f t="shared" si="15"/>
        <v>0</v>
      </c>
      <c r="S24" s="351">
        <f t="shared" si="5"/>
        <v>0</v>
      </c>
      <c r="T24" s="351">
        <f t="shared" si="16"/>
        <v>0</v>
      </c>
      <c r="U24" s="287">
        <f>'Table 5C1A-Madison Prep'!U24</f>
        <v>2442</v>
      </c>
      <c r="V24" s="328">
        <f t="shared" si="17"/>
        <v>0</v>
      </c>
      <c r="W24" s="995">
        <f>'[1]Oct midyear Acadiana Ren'!E21</f>
        <v>0</v>
      </c>
      <c r="X24" s="290">
        <f t="shared" si="18"/>
        <v>0</v>
      </c>
      <c r="Y24" s="289">
        <f>'[1]Feb midyear Acadiana Ren'!E21</f>
        <v>0</v>
      </c>
      <c r="Z24" s="290">
        <f t="shared" si="19"/>
        <v>0</v>
      </c>
      <c r="AA24" s="288">
        <f t="shared" si="20"/>
        <v>0</v>
      </c>
      <c r="AB24" s="324">
        <f t="shared" si="21"/>
        <v>0</v>
      </c>
      <c r="AC24" s="292">
        <f t="shared" si="22"/>
        <v>0</v>
      </c>
      <c r="AD24" s="324">
        <f t="shared" si="23"/>
        <v>0</v>
      </c>
      <c r="AE24" s="293">
        <v>0</v>
      </c>
      <c r="AF24" s="324">
        <f t="shared" si="24"/>
        <v>0</v>
      </c>
      <c r="AG24" s="293">
        <f>'[2]Table 5C1U-Acadiana Ren'!AI24+'[14]Table 5C1U-Acadiana Ren'!AI24+(6*'[20]Table 5C1U-Acadiana Ren'!AI24)</f>
        <v>0</v>
      </c>
      <c r="AH24" s="293">
        <f t="shared" si="25"/>
        <v>0</v>
      </c>
      <c r="AI24" s="324">
        <f t="shared" si="6"/>
        <v>0</v>
      </c>
      <c r="AJ24" s="321">
        <f t="shared" si="26"/>
        <v>0</v>
      </c>
      <c r="AK24" s="342">
        <f t="shared" si="27"/>
        <v>0</v>
      </c>
      <c r="AM24" s="286">
        <v>0</v>
      </c>
      <c r="AN24" s="286">
        <f t="shared" si="28"/>
        <v>0</v>
      </c>
      <c r="AO24" s="286">
        <f t="shared" si="7"/>
        <v>0</v>
      </c>
    </row>
    <row r="25" spans="1:41" ht="16.149999999999999" customHeight="1">
      <c r="A25" s="198">
        <v>19</v>
      </c>
      <c r="B25" s="199" t="s">
        <v>91</v>
      </c>
      <c r="C25" s="995">
        <v>0</v>
      </c>
      <c r="D25" s="201">
        <f>+'Table 5C1A-Madison Prep'!D25</f>
        <v>5314.3921869460446</v>
      </c>
      <c r="E25" s="202">
        <f t="shared" si="8"/>
        <v>0</v>
      </c>
      <c r="F25" s="202">
        <f>+'Table 5C1A-Madison Prep'!F25</f>
        <v>905.43</v>
      </c>
      <c r="G25" s="202">
        <f t="shared" si="9"/>
        <v>0</v>
      </c>
      <c r="H25" s="345">
        <f t="shared" si="10"/>
        <v>0</v>
      </c>
      <c r="I25" s="991">
        <f>'[1]Oct midyear Acadiana Ren'!K22</f>
        <v>0</v>
      </c>
      <c r="J25" s="203">
        <f>'[1]Feb midyear Acadiana Ren'!K22</f>
        <v>0</v>
      </c>
      <c r="K25" s="204">
        <f t="shared" si="11"/>
        <v>0</v>
      </c>
      <c r="L25" s="345">
        <f t="shared" si="12"/>
        <v>0</v>
      </c>
      <c r="M25" s="286">
        <f t="shared" si="4"/>
        <v>0</v>
      </c>
      <c r="N25" s="345">
        <f t="shared" si="13"/>
        <v>0</v>
      </c>
      <c r="O25" s="201">
        <v>0</v>
      </c>
      <c r="P25" s="351">
        <f t="shared" si="14"/>
        <v>0</v>
      </c>
      <c r="Q25" s="203">
        <f>'[2]Table 5C1U-Acadiana Ren'!S25+'[14]Table 5C1U-Acadiana Ren'!S25+(6*'[20]Table 5C1U-Acadiana Ren'!S25)</f>
        <v>0</v>
      </c>
      <c r="R25" s="203">
        <f t="shared" si="15"/>
        <v>0</v>
      </c>
      <c r="S25" s="351">
        <f t="shared" si="5"/>
        <v>0</v>
      </c>
      <c r="T25" s="351">
        <f t="shared" si="16"/>
        <v>0</v>
      </c>
      <c r="U25" s="287">
        <f>'Table 5C1A-Madison Prep'!U25</f>
        <v>3051</v>
      </c>
      <c r="V25" s="328">
        <f t="shared" si="17"/>
        <v>0</v>
      </c>
      <c r="W25" s="995">
        <f>'[1]Oct midyear Acadiana Ren'!E22</f>
        <v>0</v>
      </c>
      <c r="X25" s="290">
        <f t="shared" si="18"/>
        <v>0</v>
      </c>
      <c r="Y25" s="289">
        <f>'[1]Feb midyear Acadiana Ren'!E22</f>
        <v>0</v>
      </c>
      <c r="Z25" s="290">
        <f t="shared" si="19"/>
        <v>0</v>
      </c>
      <c r="AA25" s="288">
        <f t="shared" si="20"/>
        <v>0</v>
      </c>
      <c r="AB25" s="324">
        <f t="shared" si="21"/>
        <v>0</v>
      </c>
      <c r="AC25" s="292">
        <f t="shared" si="22"/>
        <v>0</v>
      </c>
      <c r="AD25" s="324">
        <f t="shared" si="23"/>
        <v>0</v>
      </c>
      <c r="AE25" s="293">
        <v>0</v>
      </c>
      <c r="AF25" s="324">
        <f t="shared" si="24"/>
        <v>0</v>
      </c>
      <c r="AG25" s="293">
        <f>'[2]Table 5C1U-Acadiana Ren'!AI25+'[14]Table 5C1U-Acadiana Ren'!AI25+(6*'[20]Table 5C1U-Acadiana Ren'!AI25)</f>
        <v>0</v>
      </c>
      <c r="AH25" s="293">
        <f t="shared" si="25"/>
        <v>0</v>
      </c>
      <c r="AI25" s="324">
        <f t="shared" si="6"/>
        <v>0</v>
      </c>
      <c r="AJ25" s="321">
        <f t="shared" si="26"/>
        <v>0</v>
      </c>
      <c r="AK25" s="342">
        <f t="shared" si="27"/>
        <v>0</v>
      </c>
      <c r="AM25" s="286">
        <v>0</v>
      </c>
      <c r="AN25" s="286">
        <f t="shared" si="28"/>
        <v>0</v>
      </c>
      <c r="AO25" s="286">
        <f t="shared" si="7"/>
        <v>0</v>
      </c>
    </row>
    <row r="26" spans="1:41" ht="16.149999999999999" customHeight="1">
      <c r="A26" s="191">
        <v>20</v>
      </c>
      <c r="B26" s="192" t="s">
        <v>92</v>
      </c>
      <c r="C26" s="996">
        <v>0</v>
      </c>
      <c r="D26" s="194">
        <f>+'Table 5C1A-Madison Prep'!D26</f>
        <v>5278.5201565562011</v>
      </c>
      <c r="E26" s="195">
        <f t="shared" si="8"/>
        <v>0</v>
      </c>
      <c r="F26" s="195">
        <f>+'Table 5C1A-Madison Prep'!F26</f>
        <v>586.16999999999996</v>
      </c>
      <c r="G26" s="195">
        <f t="shared" si="9"/>
        <v>0</v>
      </c>
      <c r="H26" s="346">
        <f t="shared" si="10"/>
        <v>0</v>
      </c>
      <c r="I26" s="992">
        <f>'[1]Oct midyear Acadiana Ren'!K23</f>
        <v>0</v>
      </c>
      <c r="J26" s="196">
        <f>'[1]Feb midyear Acadiana Ren'!K23</f>
        <v>0</v>
      </c>
      <c r="K26" s="197">
        <f t="shared" si="11"/>
        <v>0</v>
      </c>
      <c r="L26" s="346">
        <f t="shared" si="12"/>
        <v>0</v>
      </c>
      <c r="M26" s="296">
        <f t="shared" si="4"/>
        <v>0</v>
      </c>
      <c r="N26" s="346">
        <f t="shared" si="13"/>
        <v>0</v>
      </c>
      <c r="O26" s="194">
        <v>0</v>
      </c>
      <c r="P26" s="352">
        <f t="shared" si="14"/>
        <v>0</v>
      </c>
      <c r="Q26" s="196">
        <f>'[2]Table 5C1U-Acadiana Ren'!S26+'[14]Table 5C1U-Acadiana Ren'!S26+(6*'[20]Table 5C1U-Acadiana Ren'!S26)</f>
        <v>0</v>
      </c>
      <c r="R26" s="196">
        <f t="shared" si="15"/>
        <v>0</v>
      </c>
      <c r="S26" s="352">
        <f t="shared" si="5"/>
        <v>0</v>
      </c>
      <c r="T26" s="352">
        <f t="shared" si="16"/>
        <v>0</v>
      </c>
      <c r="U26" s="281">
        <f>'Table 5C1A-Madison Prep'!U26</f>
        <v>2484</v>
      </c>
      <c r="V26" s="329">
        <f t="shared" si="17"/>
        <v>0</v>
      </c>
      <c r="W26" s="996">
        <f>'[1]Oct midyear Acadiana Ren'!E23</f>
        <v>0</v>
      </c>
      <c r="X26" s="282">
        <f t="shared" si="18"/>
        <v>0</v>
      </c>
      <c r="Y26" s="884">
        <f>'[1]Feb midyear Acadiana Ren'!E23</f>
        <v>0</v>
      </c>
      <c r="Z26" s="282">
        <f t="shared" si="19"/>
        <v>0</v>
      </c>
      <c r="AA26" s="283">
        <f t="shared" si="20"/>
        <v>0</v>
      </c>
      <c r="AB26" s="325">
        <f t="shared" si="21"/>
        <v>0</v>
      </c>
      <c r="AC26" s="298">
        <f t="shared" si="22"/>
        <v>0</v>
      </c>
      <c r="AD26" s="325">
        <f t="shared" si="23"/>
        <v>0</v>
      </c>
      <c r="AE26" s="284">
        <v>0</v>
      </c>
      <c r="AF26" s="325">
        <f t="shared" si="24"/>
        <v>0</v>
      </c>
      <c r="AG26" s="284">
        <f>'[2]Table 5C1U-Acadiana Ren'!AI26+'[14]Table 5C1U-Acadiana Ren'!AI26+(6*'[20]Table 5C1U-Acadiana Ren'!AI26)</f>
        <v>0</v>
      </c>
      <c r="AH26" s="284">
        <f t="shared" si="25"/>
        <v>0</v>
      </c>
      <c r="AI26" s="325">
        <f t="shared" si="6"/>
        <v>0</v>
      </c>
      <c r="AJ26" s="338">
        <f t="shared" si="26"/>
        <v>0</v>
      </c>
      <c r="AK26" s="343">
        <f t="shared" si="27"/>
        <v>0</v>
      </c>
      <c r="AM26" s="296">
        <v>0</v>
      </c>
      <c r="AN26" s="296">
        <f t="shared" si="28"/>
        <v>0</v>
      </c>
      <c r="AO26" s="296">
        <f t="shared" si="7"/>
        <v>0</v>
      </c>
    </row>
    <row r="27" spans="1:41" ht="16.149999999999999" customHeight="1">
      <c r="A27" s="205">
        <v>21</v>
      </c>
      <c r="B27" s="206" t="s">
        <v>93</v>
      </c>
      <c r="C27" s="994">
        <v>0</v>
      </c>
      <c r="D27" s="208">
        <f>+'Table 5C1A-Madison Prep'!D27</f>
        <v>6082.3042295867763</v>
      </c>
      <c r="E27" s="209">
        <f t="shared" si="8"/>
        <v>0</v>
      </c>
      <c r="F27" s="209">
        <f>+'Table 5C1A-Madison Prep'!F27</f>
        <v>610.35</v>
      </c>
      <c r="G27" s="209">
        <f t="shared" si="9"/>
        <v>0</v>
      </c>
      <c r="H27" s="344">
        <f t="shared" si="10"/>
        <v>0</v>
      </c>
      <c r="I27" s="990">
        <f>'[1]Oct midyear Acadiana Ren'!K24</f>
        <v>0</v>
      </c>
      <c r="J27" s="210">
        <f>'[1]Feb midyear Acadiana Ren'!K24</f>
        <v>0</v>
      </c>
      <c r="K27" s="211">
        <f t="shared" si="11"/>
        <v>0</v>
      </c>
      <c r="L27" s="344">
        <f t="shared" si="12"/>
        <v>0</v>
      </c>
      <c r="M27" s="273">
        <f t="shared" si="4"/>
        <v>0</v>
      </c>
      <c r="N27" s="344">
        <f t="shared" si="13"/>
        <v>0</v>
      </c>
      <c r="O27" s="208">
        <v>0</v>
      </c>
      <c r="P27" s="350">
        <f t="shared" si="14"/>
        <v>0</v>
      </c>
      <c r="Q27" s="210">
        <f>'[2]Table 5C1U-Acadiana Ren'!S27+'[14]Table 5C1U-Acadiana Ren'!S27+(6*'[20]Table 5C1U-Acadiana Ren'!S27)</f>
        <v>0</v>
      </c>
      <c r="R27" s="210">
        <f t="shared" si="15"/>
        <v>0</v>
      </c>
      <c r="S27" s="350">
        <f t="shared" si="5"/>
        <v>0</v>
      </c>
      <c r="T27" s="350">
        <f t="shared" si="16"/>
        <v>0</v>
      </c>
      <c r="U27" s="274">
        <f>'Table 5C1A-Madison Prep'!U27</f>
        <v>2487</v>
      </c>
      <c r="V27" s="327">
        <f t="shared" si="17"/>
        <v>0</v>
      </c>
      <c r="W27" s="994">
        <f>'[1]Oct midyear Acadiana Ren'!E24</f>
        <v>0</v>
      </c>
      <c r="X27" s="276">
        <f t="shared" si="18"/>
        <v>0</v>
      </c>
      <c r="Y27" s="883">
        <f>'[1]Feb midyear Acadiana Ren'!E24</f>
        <v>0</v>
      </c>
      <c r="Z27" s="276">
        <f t="shared" si="19"/>
        <v>0</v>
      </c>
      <c r="AA27" s="275">
        <f t="shared" si="20"/>
        <v>0</v>
      </c>
      <c r="AB27" s="323">
        <f t="shared" si="21"/>
        <v>0</v>
      </c>
      <c r="AC27" s="278">
        <f t="shared" si="22"/>
        <v>0</v>
      </c>
      <c r="AD27" s="323">
        <f t="shared" si="23"/>
        <v>0</v>
      </c>
      <c r="AE27" s="279">
        <v>0</v>
      </c>
      <c r="AF27" s="323">
        <f t="shared" si="24"/>
        <v>0</v>
      </c>
      <c r="AG27" s="279">
        <f>'[2]Table 5C1U-Acadiana Ren'!AI27+'[14]Table 5C1U-Acadiana Ren'!AI27+(6*'[20]Table 5C1U-Acadiana Ren'!AI27)</f>
        <v>0</v>
      </c>
      <c r="AH27" s="279">
        <f t="shared" si="25"/>
        <v>0</v>
      </c>
      <c r="AI27" s="323">
        <f t="shared" si="6"/>
        <v>0</v>
      </c>
      <c r="AJ27" s="337">
        <f t="shared" si="26"/>
        <v>0</v>
      </c>
      <c r="AK27" s="341">
        <f t="shared" si="27"/>
        <v>0</v>
      </c>
      <c r="AM27" s="273">
        <v>0</v>
      </c>
      <c r="AN27" s="273">
        <f t="shared" si="28"/>
        <v>0</v>
      </c>
      <c r="AO27" s="273">
        <f t="shared" si="7"/>
        <v>0</v>
      </c>
    </row>
    <row r="28" spans="1:41" ht="16.149999999999999" customHeight="1">
      <c r="A28" s="198">
        <v>22</v>
      </c>
      <c r="B28" s="199" t="s">
        <v>94</v>
      </c>
      <c r="C28" s="995">
        <v>0</v>
      </c>
      <c r="D28" s="201">
        <f>+'Table 5C1A-Madison Prep'!D28</f>
        <v>6416.1099808195995</v>
      </c>
      <c r="E28" s="202">
        <f t="shared" si="8"/>
        <v>0</v>
      </c>
      <c r="F28" s="202">
        <f>+'Table 5C1A-Madison Prep'!F28</f>
        <v>496.36</v>
      </c>
      <c r="G28" s="202">
        <f t="shared" si="9"/>
        <v>0</v>
      </c>
      <c r="H28" s="345">
        <f t="shared" si="10"/>
        <v>0</v>
      </c>
      <c r="I28" s="991">
        <f>'[1]Oct midyear Acadiana Ren'!K25</f>
        <v>0</v>
      </c>
      <c r="J28" s="203">
        <f>'[1]Feb midyear Acadiana Ren'!K25</f>
        <v>0</v>
      </c>
      <c r="K28" s="204">
        <f t="shared" si="11"/>
        <v>0</v>
      </c>
      <c r="L28" s="345">
        <f t="shared" si="12"/>
        <v>0</v>
      </c>
      <c r="M28" s="286">
        <f t="shared" si="4"/>
        <v>0</v>
      </c>
      <c r="N28" s="345">
        <f t="shared" si="13"/>
        <v>0</v>
      </c>
      <c r="O28" s="201">
        <v>0</v>
      </c>
      <c r="P28" s="351">
        <f t="shared" si="14"/>
        <v>0</v>
      </c>
      <c r="Q28" s="203">
        <f>'[2]Table 5C1U-Acadiana Ren'!S28+'[14]Table 5C1U-Acadiana Ren'!S28+(6*'[20]Table 5C1U-Acadiana Ren'!S28)</f>
        <v>0</v>
      </c>
      <c r="R28" s="203">
        <f t="shared" si="15"/>
        <v>0</v>
      </c>
      <c r="S28" s="351">
        <f t="shared" si="5"/>
        <v>0</v>
      </c>
      <c r="T28" s="351">
        <f t="shared" si="16"/>
        <v>0</v>
      </c>
      <c r="U28" s="287">
        <f>'Table 5C1A-Madison Prep'!U28</f>
        <v>1584</v>
      </c>
      <c r="V28" s="328">
        <f t="shared" si="17"/>
        <v>0</v>
      </c>
      <c r="W28" s="995">
        <f>'[1]Oct midyear Acadiana Ren'!E25</f>
        <v>0</v>
      </c>
      <c r="X28" s="290">
        <f t="shared" si="18"/>
        <v>0</v>
      </c>
      <c r="Y28" s="289">
        <f>'[1]Feb midyear Acadiana Ren'!E25</f>
        <v>0</v>
      </c>
      <c r="Z28" s="290">
        <f t="shared" si="19"/>
        <v>0</v>
      </c>
      <c r="AA28" s="288">
        <f t="shared" si="20"/>
        <v>0</v>
      </c>
      <c r="AB28" s="324">
        <f t="shared" si="21"/>
        <v>0</v>
      </c>
      <c r="AC28" s="292">
        <f t="shared" si="22"/>
        <v>0</v>
      </c>
      <c r="AD28" s="324">
        <f t="shared" si="23"/>
        <v>0</v>
      </c>
      <c r="AE28" s="293">
        <v>0</v>
      </c>
      <c r="AF28" s="324">
        <f t="shared" si="24"/>
        <v>0</v>
      </c>
      <c r="AG28" s="293">
        <f>'[2]Table 5C1U-Acadiana Ren'!AI28+'[14]Table 5C1U-Acadiana Ren'!AI28+(6*'[20]Table 5C1U-Acadiana Ren'!AI28)</f>
        <v>0</v>
      </c>
      <c r="AH28" s="293">
        <f t="shared" si="25"/>
        <v>0</v>
      </c>
      <c r="AI28" s="324">
        <f t="shared" si="6"/>
        <v>0</v>
      </c>
      <c r="AJ28" s="321">
        <f t="shared" si="26"/>
        <v>0</v>
      </c>
      <c r="AK28" s="342">
        <f t="shared" si="27"/>
        <v>0</v>
      </c>
      <c r="AM28" s="286">
        <v>0</v>
      </c>
      <c r="AN28" s="286">
        <f t="shared" si="28"/>
        <v>0</v>
      </c>
      <c r="AO28" s="286">
        <f t="shared" si="7"/>
        <v>0</v>
      </c>
    </row>
    <row r="29" spans="1:41" ht="16.149999999999999" customHeight="1">
      <c r="A29" s="198">
        <v>23</v>
      </c>
      <c r="B29" s="199" t="s">
        <v>95</v>
      </c>
      <c r="C29" s="995">
        <v>0</v>
      </c>
      <c r="D29" s="201">
        <f>+'Table 5C1A-Madison Prep'!D29</f>
        <v>5011.0215265979159</v>
      </c>
      <c r="E29" s="202">
        <f t="shared" si="8"/>
        <v>0</v>
      </c>
      <c r="F29" s="202">
        <f>+'Table 5C1A-Madison Prep'!F29</f>
        <v>688.58</v>
      </c>
      <c r="G29" s="202">
        <f t="shared" si="9"/>
        <v>0</v>
      </c>
      <c r="H29" s="345">
        <f t="shared" si="10"/>
        <v>0</v>
      </c>
      <c r="I29" s="991">
        <f>'[1]Oct midyear Acadiana Ren'!K26</f>
        <v>108292.42900536041</v>
      </c>
      <c r="J29" s="203">
        <f>'[1]Feb midyear Acadiana Ren'!K26</f>
        <v>5699.6015265979158</v>
      </c>
      <c r="K29" s="204">
        <f t="shared" si="11"/>
        <v>113992.03053195833</v>
      </c>
      <c r="L29" s="345">
        <f t="shared" si="12"/>
        <v>113992.03053195833</v>
      </c>
      <c r="M29" s="286">
        <f t="shared" si="4"/>
        <v>-284.98007632989584</v>
      </c>
      <c r="N29" s="345">
        <f t="shared" si="13"/>
        <v>113707.05045562843</v>
      </c>
      <c r="O29" s="201">
        <v>0</v>
      </c>
      <c r="P29" s="351">
        <f t="shared" si="14"/>
        <v>113707.05045562843</v>
      </c>
      <c r="Q29" s="203">
        <f>'[2]Table 5C1U-Acadiana Ren'!S29+'[14]Table 5C1U-Acadiana Ren'!S29+(6*'[20]Table 5C1U-Acadiana Ren'!S29)</f>
        <v>53543</v>
      </c>
      <c r="R29" s="203">
        <f t="shared" si="15"/>
        <v>60164.050455628429</v>
      </c>
      <c r="S29" s="351">
        <f t="shared" si="5"/>
        <v>15041</v>
      </c>
      <c r="T29" s="351">
        <f t="shared" si="16"/>
        <v>113707.05045562843</v>
      </c>
      <c r="U29" s="287">
        <f>'Table 5C1A-Madison Prep'!U29</f>
        <v>3500</v>
      </c>
      <c r="V29" s="328">
        <f t="shared" si="17"/>
        <v>0</v>
      </c>
      <c r="W29" s="995">
        <f>'[1]Oct midyear Acadiana Ren'!E26</f>
        <v>19</v>
      </c>
      <c r="X29" s="290">
        <f t="shared" si="18"/>
        <v>66500</v>
      </c>
      <c r="Y29" s="289">
        <f>'[1]Feb midyear Acadiana Ren'!E26</f>
        <v>2</v>
      </c>
      <c r="Z29" s="290">
        <f t="shared" si="19"/>
        <v>3500</v>
      </c>
      <c r="AA29" s="288">
        <f t="shared" si="20"/>
        <v>70000</v>
      </c>
      <c r="AB29" s="324">
        <f t="shared" si="21"/>
        <v>70000</v>
      </c>
      <c r="AC29" s="292">
        <f t="shared" si="22"/>
        <v>-175</v>
      </c>
      <c r="AD29" s="324">
        <f t="shared" si="23"/>
        <v>69825</v>
      </c>
      <c r="AE29" s="293">
        <v>0</v>
      </c>
      <c r="AF29" s="324">
        <f t="shared" si="24"/>
        <v>69825</v>
      </c>
      <c r="AG29" s="293">
        <f>'[2]Table 5C1U-Acadiana Ren'!AI29+'[14]Table 5C1U-Acadiana Ren'!AI29+(6*'[20]Table 5C1U-Acadiana Ren'!AI29)</f>
        <v>32626</v>
      </c>
      <c r="AH29" s="293">
        <f t="shared" si="25"/>
        <v>37199</v>
      </c>
      <c r="AI29" s="324">
        <f t="shared" si="6"/>
        <v>9300</v>
      </c>
      <c r="AJ29" s="321">
        <f t="shared" si="26"/>
        <v>183532.05045562843</v>
      </c>
      <c r="AK29" s="342">
        <f t="shared" si="27"/>
        <v>24341</v>
      </c>
      <c r="AM29" s="286">
        <v>-104.19</v>
      </c>
      <c r="AN29" s="286">
        <f t="shared" si="28"/>
        <v>-175</v>
      </c>
      <c r="AO29" s="286">
        <f t="shared" si="7"/>
        <v>-70.81</v>
      </c>
    </row>
    <row r="30" spans="1:41" ht="16.149999999999999" customHeight="1">
      <c r="A30" s="198">
        <v>24</v>
      </c>
      <c r="B30" s="199" t="s">
        <v>96</v>
      </c>
      <c r="C30" s="995">
        <v>0</v>
      </c>
      <c r="D30" s="201">
        <f>+'Table 5C1A-Madison Prep'!D30</f>
        <v>2611.6740361576999</v>
      </c>
      <c r="E30" s="202">
        <f t="shared" si="8"/>
        <v>0</v>
      </c>
      <c r="F30" s="202">
        <f>+'Table 5C1A-Madison Prep'!F30</f>
        <v>854.24999999999989</v>
      </c>
      <c r="G30" s="202">
        <f t="shared" si="9"/>
        <v>0</v>
      </c>
      <c r="H30" s="345">
        <f t="shared" si="10"/>
        <v>0</v>
      </c>
      <c r="I30" s="991">
        <f>'[1]Oct midyear Acadiana Ren'!K27</f>
        <v>0</v>
      </c>
      <c r="J30" s="203">
        <f>'[1]Feb midyear Acadiana Ren'!K27</f>
        <v>0</v>
      </c>
      <c r="K30" s="204">
        <f t="shared" si="11"/>
        <v>0</v>
      </c>
      <c r="L30" s="345">
        <f t="shared" si="12"/>
        <v>0</v>
      </c>
      <c r="M30" s="286">
        <f t="shared" si="4"/>
        <v>0</v>
      </c>
      <c r="N30" s="345">
        <f t="shared" si="13"/>
        <v>0</v>
      </c>
      <c r="O30" s="201">
        <v>0</v>
      </c>
      <c r="P30" s="351">
        <f t="shared" si="14"/>
        <v>0</v>
      </c>
      <c r="Q30" s="203">
        <f>'[2]Table 5C1U-Acadiana Ren'!S30+'[14]Table 5C1U-Acadiana Ren'!S30+(6*'[20]Table 5C1U-Acadiana Ren'!S30)</f>
        <v>0</v>
      </c>
      <c r="R30" s="203">
        <f t="shared" si="15"/>
        <v>0</v>
      </c>
      <c r="S30" s="351">
        <f t="shared" si="5"/>
        <v>0</v>
      </c>
      <c r="T30" s="351">
        <f t="shared" si="16"/>
        <v>0</v>
      </c>
      <c r="U30" s="287">
        <f>'Table 5C1A-Madison Prep'!U30</f>
        <v>11051</v>
      </c>
      <c r="V30" s="328">
        <f t="shared" si="17"/>
        <v>0</v>
      </c>
      <c r="W30" s="995">
        <f>'[1]Oct midyear Acadiana Ren'!E27</f>
        <v>0</v>
      </c>
      <c r="X30" s="290">
        <f t="shared" si="18"/>
        <v>0</v>
      </c>
      <c r="Y30" s="289">
        <f>'[1]Feb midyear Acadiana Ren'!E27</f>
        <v>0</v>
      </c>
      <c r="Z30" s="290">
        <f t="shared" si="19"/>
        <v>0</v>
      </c>
      <c r="AA30" s="288">
        <f t="shared" si="20"/>
        <v>0</v>
      </c>
      <c r="AB30" s="324">
        <f t="shared" si="21"/>
        <v>0</v>
      </c>
      <c r="AC30" s="292">
        <f t="shared" si="22"/>
        <v>0</v>
      </c>
      <c r="AD30" s="324">
        <f t="shared" si="23"/>
        <v>0</v>
      </c>
      <c r="AE30" s="293">
        <v>0</v>
      </c>
      <c r="AF30" s="324">
        <f t="shared" si="24"/>
        <v>0</v>
      </c>
      <c r="AG30" s="293">
        <f>'[2]Table 5C1U-Acadiana Ren'!AI30+'[14]Table 5C1U-Acadiana Ren'!AI30+(6*'[20]Table 5C1U-Acadiana Ren'!AI30)</f>
        <v>0</v>
      </c>
      <c r="AH30" s="293">
        <f t="shared" si="25"/>
        <v>0</v>
      </c>
      <c r="AI30" s="324">
        <f t="shared" si="6"/>
        <v>0</v>
      </c>
      <c r="AJ30" s="321">
        <f t="shared" si="26"/>
        <v>0</v>
      </c>
      <c r="AK30" s="342">
        <f t="shared" si="27"/>
        <v>0</v>
      </c>
      <c r="AM30" s="286">
        <v>0</v>
      </c>
      <c r="AN30" s="286">
        <f t="shared" si="28"/>
        <v>0</v>
      </c>
      <c r="AO30" s="286">
        <f t="shared" si="7"/>
        <v>0</v>
      </c>
    </row>
    <row r="31" spans="1:41" ht="16.149999999999999" customHeight="1">
      <c r="A31" s="191">
        <v>25</v>
      </c>
      <c r="B31" s="192" t="s">
        <v>97</v>
      </c>
      <c r="C31" s="996">
        <v>0</v>
      </c>
      <c r="D31" s="194">
        <f>+'Table 5C1A-Madison Prep'!D31</f>
        <v>4173.0720274945697</v>
      </c>
      <c r="E31" s="195">
        <f t="shared" si="8"/>
        <v>0</v>
      </c>
      <c r="F31" s="195">
        <f>+'Table 5C1A-Madison Prep'!F31</f>
        <v>653.73</v>
      </c>
      <c r="G31" s="195">
        <f t="shared" si="9"/>
        <v>0</v>
      </c>
      <c r="H31" s="346">
        <f t="shared" si="10"/>
        <v>0</v>
      </c>
      <c r="I31" s="992">
        <f>'[1]Oct midyear Acadiana Ren'!K28</f>
        <v>0</v>
      </c>
      <c r="J31" s="196">
        <f>'[1]Feb midyear Acadiana Ren'!K28</f>
        <v>0</v>
      </c>
      <c r="K31" s="197">
        <f t="shared" si="11"/>
        <v>0</v>
      </c>
      <c r="L31" s="346">
        <f t="shared" si="12"/>
        <v>0</v>
      </c>
      <c r="M31" s="296">
        <f t="shared" si="4"/>
        <v>0</v>
      </c>
      <c r="N31" s="346">
        <f t="shared" si="13"/>
        <v>0</v>
      </c>
      <c r="O31" s="194">
        <v>0</v>
      </c>
      <c r="P31" s="352">
        <f t="shared" si="14"/>
        <v>0</v>
      </c>
      <c r="Q31" s="196">
        <f>'[2]Table 5C1U-Acadiana Ren'!S31+'[14]Table 5C1U-Acadiana Ren'!S31+(6*'[20]Table 5C1U-Acadiana Ren'!S31)</f>
        <v>0</v>
      </c>
      <c r="R31" s="196">
        <f t="shared" si="15"/>
        <v>0</v>
      </c>
      <c r="S31" s="352">
        <f t="shared" si="5"/>
        <v>0</v>
      </c>
      <c r="T31" s="352">
        <f t="shared" si="16"/>
        <v>0</v>
      </c>
      <c r="U31" s="281">
        <f>'Table 5C1A-Madison Prep'!U31</f>
        <v>5156</v>
      </c>
      <c r="V31" s="329">
        <f t="shared" si="17"/>
        <v>0</v>
      </c>
      <c r="W31" s="996">
        <f>'[1]Oct midyear Acadiana Ren'!E28</f>
        <v>0</v>
      </c>
      <c r="X31" s="282">
        <f t="shared" si="18"/>
        <v>0</v>
      </c>
      <c r="Y31" s="884">
        <f>'[1]Feb midyear Acadiana Ren'!E28</f>
        <v>0</v>
      </c>
      <c r="Z31" s="282">
        <f t="shared" si="19"/>
        <v>0</v>
      </c>
      <c r="AA31" s="283">
        <f t="shared" si="20"/>
        <v>0</v>
      </c>
      <c r="AB31" s="325">
        <f t="shared" si="21"/>
        <v>0</v>
      </c>
      <c r="AC31" s="298">
        <f t="shared" si="22"/>
        <v>0</v>
      </c>
      <c r="AD31" s="325">
        <f t="shared" si="23"/>
        <v>0</v>
      </c>
      <c r="AE31" s="284">
        <v>0</v>
      </c>
      <c r="AF31" s="325">
        <f t="shared" si="24"/>
        <v>0</v>
      </c>
      <c r="AG31" s="284">
        <f>'[2]Table 5C1U-Acadiana Ren'!AI31+'[14]Table 5C1U-Acadiana Ren'!AI31+(6*'[20]Table 5C1U-Acadiana Ren'!AI31)</f>
        <v>0</v>
      </c>
      <c r="AH31" s="284">
        <f t="shared" si="25"/>
        <v>0</v>
      </c>
      <c r="AI31" s="325">
        <f t="shared" si="6"/>
        <v>0</v>
      </c>
      <c r="AJ31" s="338">
        <f t="shared" si="26"/>
        <v>0</v>
      </c>
      <c r="AK31" s="343">
        <f t="shared" si="27"/>
        <v>0</v>
      </c>
      <c r="AM31" s="296">
        <v>0</v>
      </c>
      <c r="AN31" s="296">
        <f t="shared" si="28"/>
        <v>0</v>
      </c>
      <c r="AO31" s="296">
        <f t="shared" si="7"/>
        <v>0</v>
      </c>
    </row>
    <row r="32" spans="1:41" ht="16.149999999999999" customHeight="1">
      <c r="A32" s="205">
        <v>26</v>
      </c>
      <c r="B32" s="206" t="s">
        <v>98</v>
      </c>
      <c r="C32" s="994">
        <v>0</v>
      </c>
      <c r="D32" s="208">
        <f>+'Table 5C1A-Madison Prep'!D32</f>
        <v>3424.5649970570835</v>
      </c>
      <c r="E32" s="209">
        <f t="shared" si="8"/>
        <v>0</v>
      </c>
      <c r="F32" s="209">
        <f>+'Table 5C1A-Madison Prep'!F32</f>
        <v>836.83</v>
      </c>
      <c r="G32" s="209">
        <f t="shared" si="9"/>
        <v>0</v>
      </c>
      <c r="H32" s="344">
        <f t="shared" si="10"/>
        <v>0</v>
      </c>
      <c r="I32" s="990">
        <f>'[1]Oct midyear Acadiana Ren'!K29</f>
        <v>0</v>
      </c>
      <c r="J32" s="210">
        <f>'[1]Feb midyear Acadiana Ren'!K29</f>
        <v>0</v>
      </c>
      <c r="K32" s="211">
        <f t="shared" si="11"/>
        <v>0</v>
      </c>
      <c r="L32" s="344">
        <f t="shared" si="12"/>
        <v>0</v>
      </c>
      <c r="M32" s="273">
        <f t="shared" si="4"/>
        <v>0</v>
      </c>
      <c r="N32" s="344">
        <f t="shared" si="13"/>
        <v>0</v>
      </c>
      <c r="O32" s="208">
        <v>0</v>
      </c>
      <c r="P32" s="350">
        <f t="shared" si="14"/>
        <v>0</v>
      </c>
      <c r="Q32" s="210">
        <f>'[2]Table 5C1U-Acadiana Ren'!S32+'[14]Table 5C1U-Acadiana Ren'!S32+(6*'[20]Table 5C1U-Acadiana Ren'!S32)</f>
        <v>0</v>
      </c>
      <c r="R32" s="210">
        <f t="shared" si="15"/>
        <v>0</v>
      </c>
      <c r="S32" s="350">
        <f t="shared" si="5"/>
        <v>0</v>
      </c>
      <c r="T32" s="350">
        <f t="shared" si="16"/>
        <v>0</v>
      </c>
      <c r="U32" s="274">
        <f>'Table 5C1A-Madison Prep'!U32</f>
        <v>5153</v>
      </c>
      <c r="V32" s="327">
        <f t="shared" si="17"/>
        <v>0</v>
      </c>
      <c r="W32" s="994">
        <f>'[1]Oct midyear Acadiana Ren'!E29</f>
        <v>0</v>
      </c>
      <c r="X32" s="276">
        <f t="shared" si="18"/>
        <v>0</v>
      </c>
      <c r="Y32" s="883">
        <f>'[1]Feb midyear Acadiana Ren'!E29</f>
        <v>0</v>
      </c>
      <c r="Z32" s="276">
        <f t="shared" si="19"/>
        <v>0</v>
      </c>
      <c r="AA32" s="275">
        <f t="shared" si="20"/>
        <v>0</v>
      </c>
      <c r="AB32" s="323">
        <f t="shared" si="21"/>
        <v>0</v>
      </c>
      <c r="AC32" s="278">
        <f t="shared" si="22"/>
        <v>0</v>
      </c>
      <c r="AD32" s="323">
        <f t="shared" si="23"/>
        <v>0</v>
      </c>
      <c r="AE32" s="279">
        <v>0</v>
      </c>
      <c r="AF32" s="323">
        <f t="shared" si="24"/>
        <v>0</v>
      </c>
      <c r="AG32" s="279">
        <f>'[2]Table 5C1U-Acadiana Ren'!AI32+'[14]Table 5C1U-Acadiana Ren'!AI32+(6*'[20]Table 5C1U-Acadiana Ren'!AI32)</f>
        <v>0</v>
      </c>
      <c r="AH32" s="279">
        <f t="shared" si="25"/>
        <v>0</v>
      </c>
      <c r="AI32" s="323">
        <f t="shared" si="6"/>
        <v>0</v>
      </c>
      <c r="AJ32" s="337">
        <f t="shared" si="26"/>
        <v>0</v>
      </c>
      <c r="AK32" s="341">
        <f t="shared" si="27"/>
        <v>0</v>
      </c>
      <c r="AM32" s="273">
        <v>0</v>
      </c>
      <c r="AN32" s="273">
        <f t="shared" si="28"/>
        <v>0</v>
      </c>
      <c r="AO32" s="273">
        <f t="shared" si="7"/>
        <v>0</v>
      </c>
    </row>
    <row r="33" spans="1:41" ht="16.149999999999999" customHeight="1">
      <c r="A33" s="198">
        <v>27</v>
      </c>
      <c r="B33" s="199" t="s">
        <v>99</v>
      </c>
      <c r="C33" s="995">
        <v>0</v>
      </c>
      <c r="D33" s="201">
        <f>+'Table 5C1A-Madison Prep'!D33</f>
        <v>5804.9013839977006</v>
      </c>
      <c r="E33" s="202">
        <f t="shared" si="8"/>
        <v>0</v>
      </c>
      <c r="F33" s="202">
        <f>+'Table 5C1A-Madison Prep'!F33</f>
        <v>693.06</v>
      </c>
      <c r="G33" s="202">
        <f t="shared" si="9"/>
        <v>0</v>
      </c>
      <c r="H33" s="345">
        <f t="shared" si="10"/>
        <v>0</v>
      </c>
      <c r="I33" s="991">
        <f>'[1]Oct midyear Acadiana Ren'!K30</f>
        <v>0</v>
      </c>
      <c r="J33" s="203">
        <f>'[1]Feb midyear Acadiana Ren'!K30</f>
        <v>0</v>
      </c>
      <c r="K33" s="204">
        <f t="shared" si="11"/>
        <v>0</v>
      </c>
      <c r="L33" s="345">
        <f t="shared" si="12"/>
        <v>0</v>
      </c>
      <c r="M33" s="286">
        <f t="shared" si="4"/>
        <v>0</v>
      </c>
      <c r="N33" s="345">
        <f t="shared" si="13"/>
        <v>0</v>
      </c>
      <c r="O33" s="201">
        <v>0</v>
      </c>
      <c r="P33" s="351">
        <f t="shared" si="14"/>
        <v>0</v>
      </c>
      <c r="Q33" s="203">
        <f>'[2]Table 5C1U-Acadiana Ren'!S33+'[14]Table 5C1U-Acadiana Ren'!S33+(6*'[20]Table 5C1U-Acadiana Ren'!S33)</f>
        <v>0</v>
      </c>
      <c r="R33" s="203">
        <f t="shared" si="15"/>
        <v>0</v>
      </c>
      <c r="S33" s="351">
        <f t="shared" si="5"/>
        <v>0</v>
      </c>
      <c r="T33" s="351">
        <f t="shared" si="16"/>
        <v>0</v>
      </c>
      <c r="U33" s="287">
        <f>'Table 5C1A-Madison Prep'!U33</f>
        <v>3225</v>
      </c>
      <c r="V33" s="328">
        <f t="shared" si="17"/>
        <v>0</v>
      </c>
      <c r="W33" s="995">
        <f>'[1]Oct midyear Acadiana Ren'!E30</f>
        <v>0</v>
      </c>
      <c r="X33" s="290">
        <f t="shared" si="18"/>
        <v>0</v>
      </c>
      <c r="Y33" s="289">
        <f>'[1]Feb midyear Acadiana Ren'!E30</f>
        <v>0</v>
      </c>
      <c r="Z33" s="290">
        <f t="shared" si="19"/>
        <v>0</v>
      </c>
      <c r="AA33" s="288">
        <f t="shared" si="20"/>
        <v>0</v>
      </c>
      <c r="AB33" s="324">
        <f t="shared" si="21"/>
        <v>0</v>
      </c>
      <c r="AC33" s="292">
        <f t="shared" si="22"/>
        <v>0</v>
      </c>
      <c r="AD33" s="324">
        <f t="shared" si="23"/>
        <v>0</v>
      </c>
      <c r="AE33" s="293">
        <v>0</v>
      </c>
      <c r="AF33" s="324">
        <f t="shared" si="24"/>
        <v>0</v>
      </c>
      <c r="AG33" s="293">
        <f>'[2]Table 5C1U-Acadiana Ren'!AI33+'[14]Table 5C1U-Acadiana Ren'!AI33+(6*'[20]Table 5C1U-Acadiana Ren'!AI33)</f>
        <v>0</v>
      </c>
      <c r="AH33" s="293">
        <f t="shared" si="25"/>
        <v>0</v>
      </c>
      <c r="AI33" s="324">
        <f t="shared" si="6"/>
        <v>0</v>
      </c>
      <c r="AJ33" s="321">
        <f t="shared" si="26"/>
        <v>0</v>
      </c>
      <c r="AK33" s="342">
        <f t="shared" si="27"/>
        <v>0</v>
      </c>
      <c r="AM33" s="286">
        <v>0</v>
      </c>
      <c r="AN33" s="286">
        <f t="shared" si="28"/>
        <v>0</v>
      </c>
      <c r="AO33" s="286">
        <f t="shared" si="7"/>
        <v>0</v>
      </c>
    </row>
    <row r="34" spans="1:41" ht="16.149999999999999" customHeight="1">
      <c r="A34" s="198">
        <v>28</v>
      </c>
      <c r="B34" s="199" t="s">
        <v>100</v>
      </c>
      <c r="C34" s="995">
        <v>0</v>
      </c>
      <c r="D34" s="201">
        <f>+'Table 5C1A-Madison Prep'!D34</f>
        <v>3137.4158846568821</v>
      </c>
      <c r="E34" s="202">
        <f t="shared" si="8"/>
        <v>0</v>
      </c>
      <c r="F34" s="202">
        <f>+'Table 5C1A-Madison Prep'!F34</f>
        <v>694.4</v>
      </c>
      <c r="G34" s="202">
        <f t="shared" si="9"/>
        <v>0</v>
      </c>
      <c r="H34" s="345">
        <f t="shared" si="10"/>
        <v>0</v>
      </c>
      <c r="I34" s="991">
        <f>'[1]Oct midyear Acadiana Ren'!K31</f>
        <v>2433203.0867571202</v>
      </c>
      <c r="J34" s="203">
        <f>'[1]Feb midyear Acadiana Ren'!K31</f>
        <v>-21074.987365612851</v>
      </c>
      <c r="K34" s="204">
        <f t="shared" si="11"/>
        <v>2412128.0993915075</v>
      </c>
      <c r="L34" s="345">
        <f t="shared" si="12"/>
        <v>2412128.0993915075</v>
      </c>
      <c r="M34" s="286">
        <f t="shared" si="4"/>
        <v>-6030.3202484787689</v>
      </c>
      <c r="N34" s="345">
        <f t="shared" si="13"/>
        <v>2406097.7791430289</v>
      </c>
      <c r="O34" s="201">
        <v>0</v>
      </c>
      <c r="P34" s="351">
        <f t="shared" si="14"/>
        <v>2406097.7791430289</v>
      </c>
      <c r="Q34" s="203">
        <f>'[2]Table 5C1U-Acadiana Ren'!S34+'[14]Table 5C1U-Acadiana Ren'!S34+(6*'[20]Table 5C1U-Acadiana Ren'!S34)</f>
        <v>1286145</v>
      </c>
      <c r="R34" s="203">
        <f t="shared" si="15"/>
        <v>1119952.7791430289</v>
      </c>
      <c r="S34" s="351">
        <f t="shared" si="5"/>
        <v>279988</v>
      </c>
      <c r="T34" s="351">
        <f t="shared" si="16"/>
        <v>2406097.7791430289</v>
      </c>
      <c r="U34" s="287">
        <f>'Table 5C1A-Madison Prep'!U34</f>
        <v>5816</v>
      </c>
      <c r="V34" s="328">
        <f t="shared" si="17"/>
        <v>0</v>
      </c>
      <c r="W34" s="995">
        <f>'[1]Oct midyear Acadiana Ren'!E31</f>
        <v>635</v>
      </c>
      <c r="X34" s="290">
        <f t="shared" si="18"/>
        <v>3693160</v>
      </c>
      <c r="Y34" s="289">
        <f>'[1]Feb midyear Acadiana Ren'!E31</f>
        <v>-11</v>
      </c>
      <c r="Z34" s="290">
        <f t="shared" si="19"/>
        <v>-31988</v>
      </c>
      <c r="AA34" s="288">
        <f t="shared" si="20"/>
        <v>3661172</v>
      </c>
      <c r="AB34" s="324">
        <f t="shared" si="21"/>
        <v>3661172</v>
      </c>
      <c r="AC34" s="292">
        <f t="shared" si="22"/>
        <v>-9152.93</v>
      </c>
      <c r="AD34" s="324">
        <f t="shared" si="23"/>
        <v>3652019.07</v>
      </c>
      <c r="AE34" s="293">
        <v>0</v>
      </c>
      <c r="AF34" s="324">
        <f t="shared" si="24"/>
        <v>3652019.07</v>
      </c>
      <c r="AG34" s="293">
        <f>'[2]Table 5C1U-Acadiana Ren'!AI34+'[14]Table 5C1U-Acadiana Ren'!AI34+(6*'[20]Table 5C1U-Acadiana Ren'!AI34)</f>
        <v>1943411</v>
      </c>
      <c r="AH34" s="293">
        <f t="shared" si="25"/>
        <v>1708608.0699999998</v>
      </c>
      <c r="AI34" s="324">
        <f t="shared" si="6"/>
        <v>427152</v>
      </c>
      <c r="AJ34" s="321">
        <f t="shared" si="26"/>
        <v>6058116.8491430283</v>
      </c>
      <c r="AK34" s="342">
        <f t="shared" si="27"/>
        <v>707140</v>
      </c>
      <c r="AM34" s="286">
        <v>-8033.625</v>
      </c>
      <c r="AN34" s="286">
        <f t="shared" si="28"/>
        <v>-9152.93</v>
      </c>
      <c r="AO34" s="286">
        <f>+AN34-AM34</f>
        <v>-1119.3050000000003</v>
      </c>
    </row>
    <row r="35" spans="1:41" ht="16.149999999999999" customHeight="1">
      <c r="A35" s="198">
        <v>29</v>
      </c>
      <c r="B35" s="199" t="s">
        <v>101</v>
      </c>
      <c r="C35" s="995">
        <v>0</v>
      </c>
      <c r="D35" s="201">
        <f>+'Table 5C1A-Madison Prep'!D35</f>
        <v>3839.0123210173724</v>
      </c>
      <c r="E35" s="202">
        <f t="shared" si="8"/>
        <v>0</v>
      </c>
      <c r="F35" s="202">
        <f>+'Table 5C1A-Madison Prep'!F35</f>
        <v>754.94999999999993</v>
      </c>
      <c r="G35" s="202">
        <f t="shared" si="9"/>
        <v>0</v>
      </c>
      <c r="H35" s="345">
        <f t="shared" si="10"/>
        <v>0</v>
      </c>
      <c r="I35" s="991">
        <f>'[1]Oct midyear Acadiana Ren'!K32</f>
        <v>0</v>
      </c>
      <c r="J35" s="203">
        <f>'[1]Feb midyear Acadiana Ren'!K32</f>
        <v>0</v>
      </c>
      <c r="K35" s="204">
        <f t="shared" si="11"/>
        <v>0</v>
      </c>
      <c r="L35" s="345">
        <f t="shared" si="12"/>
        <v>0</v>
      </c>
      <c r="M35" s="286">
        <f t="shared" si="4"/>
        <v>0</v>
      </c>
      <c r="N35" s="345">
        <f t="shared" si="13"/>
        <v>0</v>
      </c>
      <c r="O35" s="201">
        <v>0</v>
      </c>
      <c r="P35" s="351">
        <f t="shared" si="14"/>
        <v>0</v>
      </c>
      <c r="Q35" s="203">
        <f>'[2]Table 5C1U-Acadiana Ren'!S35+'[14]Table 5C1U-Acadiana Ren'!S35+(6*'[20]Table 5C1U-Acadiana Ren'!S35)</f>
        <v>0</v>
      </c>
      <c r="R35" s="203">
        <f t="shared" si="15"/>
        <v>0</v>
      </c>
      <c r="S35" s="351">
        <f t="shared" si="5"/>
        <v>0</v>
      </c>
      <c r="T35" s="351">
        <f t="shared" si="16"/>
        <v>0</v>
      </c>
      <c r="U35" s="287">
        <f>'Table 5C1A-Madison Prep'!U35</f>
        <v>5046</v>
      </c>
      <c r="V35" s="328">
        <f t="shared" si="17"/>
        <v>0</v>
      </c>
      <c r="W35" s="995">
        <f>'[1]Oct midyear Acadiana Ren'!E32</f>
        <v>0</v>
      </c>
      <c r="X35" s="290">
        <f t="shared" si="18"/>
        <v>0</v>
      </c>
      <c r="Y35" s="289">
        <f>'[1]Feb midyear Acadiana Ren'!E32</f>
        <v>0</v>
      </c>
      <c r="Z35" s="290">
        <f t="shared" si="19"/>
        <v>0</v>
      </c>
      <c r="AA35" s="288">
        <f t="shared" si="20"/>
        <v>0</v>
      </c>
      <c r="AB35" s="324">
        <f t="shared" si="21"/>
        <v>0</v>
      </c>
      <c r="AC35" s="292">
        <f t="shared" si="22"/>
        <v>0</v>
      </c>
      <c r="AD35" s="324">
        <f t="shared" si="23"/>
        <v>0</v>
      </c>
      <c r="AE35" s="293">
        <v>0</v>
      </c>
      <c r="AF35" s="324">
        <f t="shared" si="24"/>
        <v>0</v>
      </c>
      <c r="AG35" s="293">
        <f>'[2]Table 5C1U-Acadiana Ren'!AI35+'[14]Table 5C1U-Acadiana Ren'!AI35+(6*'[20]Table 5C1U-Acadiana Ren'!AI35)</f>
        <v>0</v>
      </c>
      <c r="AH35" s="293">
        <f t="shared" si="25"/>
        <v>0</v>
      </c>
      <c r="AI35" s="324">
        <f t="shared" si="6"/>
        <v>0</v>
      </c>
      <c r="AJ35" s="321">
        <f t="shared" si="26"/>
        <v>0</v>
      </c>
      <c r="AK35" s="342">
        <f t="shared" si="27"/>
        <v>0</v>
      </c>
      <c r="AM35" s="286">
        <v>0</v>
      </c>
      <c r="AN35" s="286">
        <f t="shared" si="28"/>
        <v>0</v>
      </c>
      <c r="AO35" s="286">
        <f t="shared" ref="AO35:AO75" si="29">+AN35-AM35</f>
        <v>0</v>
      </c>
    </row>
    <row r="36" spans="1:41" ht="16.149999999999999" customHeight="1">
      <c r="A36" s="191">
        <v>30</v>
      </c>
      <c r="B36" s="192" t="s">
        <v>102</v>
      </c>
      <c r="C36" s="996">
        <v>0</v>
      </c>
      <c r="D36" s="194">
        <f>+'Table 5C1A-Madison Prep'!D36</f>
        <v>5804.5327273996763</v>
      </c>
      <c r="E36" s="195">
        <f t="shared" si="8"/>
        <v>0</v>
      </c>
      <c r="F36" s="195">
        <f>+'Table 5C1A-Madison Prep'!F36</f>
        <v>727.17</v>
      </c>
      <c r="G36" s="195">
        <f t="shared" si="9"/>
        <v>0</v>
      </c>
      <c r="H36" s="346">
        <f t="shared" si="10"/>
        <v>0</v>
      </c>
      <c r="I36" s="992">
        <f>'[1]Oct midyear Acadiana Ren'!K33</f>
        <v>0</v>
      </c>
      <c r="J36" s="196">
        <f>'[1]Feb midyear Acadiana Ren'!K33</f>
        <v>0</v>
      </c>
      <c r="K36" s="197">
        <f t="shared" si="11"/>
        <v>0</v>
      </c>
      <c r="L36" s="346">
        <f t="shared" si="12"/>
        <v>0</v>
      </c>
      <c r="M36" s="296">
        <f t="shared" si="4"/>
        <v>0</v>
      </c>
      <c r="N36" s="346">
        <f t="shared" si="13"/>
        <v>0</v>
      </c>
      <c r="O36" s="194">
        <v>0</v>
      </c>
      <c r="P36" s="352">
        <f t="shared" si="14"/>
        <v>0</v>
      </c>
      <c r="Q36" s="196">
        <f>'[2]Table 5C1U-Acadiana Ren'!S36+'[14]Table 5C1U-Acadiana Ren'!S36+(6*'[20]Table 5C1U-Acadiana Ren'!S36)</f>
        <v>0</v>
      </c>
      <c r="R36" s="196">
        <f t="shared" si="15"/>
        <v>0</v>
      </c>
      <c r="S36" s="352">
        <f t="shared" si="5"/>
        <v>0</v>
      </c>
      <c r="T36" s="352">
        <f t="shared" si="16"/>
        <v>0</v>
      </c>
      <c r="U36" s="281">
        <f>'Table 5C1A-Madison Prep'!U36</f>
        <v>3999</v>
      </c>
      <c r="V36" s="329">
        <f t="shared" si="17"/>
        <v>0</v>
      </c>
      <c r="W36" s="996">
        <f>'[1]Oct midyear Acadiana Ren'!E33</f>
        <v>0</v>
      </c>
      <c r="X36" s="282">
        <f t="shared" si="18"/>
        <v>0</v>
      </c>
      <c r="Y36" s="884">
        <f>'[1]Feb midyear Acadiana Ren'!E33</f>
        <v>0</v>
      </c>
      <c r="Z36" s="282">
        <f t="shared" si="19"/>
        <v>0</v>
      </c>
      <c r="AA36" s="283">
        <f t="shared" si="20"/>
        <v>0</v>
      </c>
      <c r="AB36" s="325">
        <f t="shared" si="21"/>
        <v>0</v>
      </c>
      <c r="AC36" s="298">
        <f t="shared" si="22"/>
        <v>0</v>
      </c>
      <c r="AD36" s="325">
        <f t="shared" si="23"/>
        <v>0</v>
      </c>
      <c r="AE36" s="284">
        <v>0</v>
      </c>
      <c r="AF36" s="325">
        <f t="shared" si="24"/>
        <v>0</v>
      </c>
      <c r="AG36" s="284">
        <f>'[2]Table 5C1U-Acadiana Ren'!AI36+'[14]Table 5C1U-Acadiana Ren'!AI36+(6*'[20]Table 5C1U-Acadiana Ren'!AI36)</f>
        <v>0</v>
      </c>
      <c r="AH36" s="284">
        <f t="shared" si="25"/>
        <v>0</v>
      </c>
      <c r="AI36" s="325">
        <f t="shared" si="6"/>
        <v>0</v>
      </c>
      <c r="AJ36" s="338">
        <f t="shared" si="26"/>
        <v>0</v>
      </c>
      <c r="AK36" s="343">
        <f t="shared" si="27"/>
        <v>0</v>
      </c>
      <c r="AM36" s="296">
        <v>0</v>
      </c>
      <c r="AN36" s="296">
        <f t="shared" si="28"/>
        <v>0</v>
      </c>
      <c r="AO36" s="296">
        <f t="shared" si="29"/>
        <v>0</v>
      </c>
    </row>
    <row r="37" spans="1:41" ht="16.149999999999999" customHeight="1">
      <c r="A37" s="205">
        <v>31</v>
      </c>
      <c r="B37" s="206" t="s">
        <v>103</v>
      </c>
      <c r="C37" s="994">
        <v>0</v>
      </c>
      <c r="D37" s="208">
        <f>+'Table 5C1A-Madison Prep'!D37</f>
        <v>4520.6176716868531</v>
      </c>
      <c r="E37" s="209">
        <f t="shared" si="8"/>
        <v>0</v>
      </c>
      <c r="F37" s="209">
        <f>+'Table 5C1A-Madison Prep'!F37</f>
        <v>620.83000000000004</v>
      </c>
      <c r="G37" s="209">
        <f t="shared" si="9"/>
        <v>0</v>
      </c>
      <c r="H37" s="344">
        <f t="shared" si="10"/>
        <v>0</v>
      </c>
      <c r="I37" s="990">
        <f>'[1]Oct midyear Acadiana Ren'!K34</f>
        <v>0</v>
      </c>
      <c r="J37" s="210">
        <f>'[1]Feb midyear Acadiana Ren'!K34</f>
        <v>0</v>
      </c>
      <c r="K37" s="211">
        <f t="shared" si="11"/>
        <v>0</v>
      </c>
      <c r="L37" s="344">
        <f t="shared" si="12"/>
        <v>0</v>
      </c>
      <c r="M37" s="273">
        <f t="shared" si="4"/>
        <v>0</v>
      </c>
      <c r="N37" s="344">
        <f t="shared" si="13"/>
        <v>0</v>
      </c>
      <c r="O37" s="208">
        <v>0</v>
      </c>
      <c r="P37" s="350">
        <f t="shared" si="14"/>
        <v>0</v>
      </c>
      <c r="Q37" s="210">
        <f>'[2]Table 5C1U-Acadiana Ren'!S37+'[14]Table 5C1U-Acadiana Ren'!S37+(6*'[20]Table 5C1U-Acadiana Ren'!S37)</f>
        <v>0</v>
      </c>
      <c r="R37" s="210">
        <f t="shared" si="15"/>
        <v>0</v>
      </c>
      <c r="S37" s="350">
        <f t="shared" si="5"/>
        <v>0</v>
      </c>
      <c r="T37" s="350">
        <f t="shared" si="16"/>
        <v>0</v>
      </c>
      <c r="U37" s="274">
        <f>'Table 5C1A-Madison Prep'!U37</f>
        <v>5028</v>
      </c>
      <c r="V37" s="327">
        <f t="shared" si="17"/>
        <v>0</v>
      </c>
      <c r="W37" s="994">
        <f>'[1]Oct midyear Acadiana Ren'!E34</f>
        <v>0</v>
      </c>
      <c r="X37" s="276">
        <f t="shared" si="18"/>
        <v>0</v>
      </c>
      <c r="Y37" s="883">
        <f>'[1]Feb midyear Acadiana Ren'!E34</f>
        <v>0</v>
      </c>
      <c r="Z37" s="276">
        <f t="shared" si="19"/>
        <v>0</v>
      </c>
      <c r="AA37" s="275">
        <f t="shared" si="20"/>
        <v>0</v>
      </c>
      <c r="AB37" s="323">
        <f t="shared" si="21"/>
        <v>0</v>
      </c>
      <c r="AC37" s="278">
        <f t="shared" si="22"/>
        <v>0</v>
      </c>
      <c r="AD37" s="323">
        <f t="shared" si="23"/>
        <v>0</v>
      </c>
      <c r="AE37" s="279">
        <v>0</v>
      </c>
      <c r="AF37" s="323">
        <f t="shared" si="24"/>
        <v>0</v>
      </c>
      <c r="AG37" s="279">
        <f>'[2]Table 5C1U-Acadiana Ren'!AI37+'[14]Table 5C1U-Acadiana Ren'!AI37+(6*'[20]Table 5C1U-Acadiana Ren'!AI37)</f>
        <v>0</v>
      </c>
      <c r="AH37" s="279">
        <f t="shared" si="25"/>
        <v>0</v>
      </c>
      <c r="AI37" s="323">
        <f t="shared" si="6"/>
        <v>0</v>
      </c>
      <c r="AJ37" s="337">
        <f t="shared" si="26"/>
        <v>0</v>
      </c>
      <c r="AK37" s="341">
        <f t="shared" si="27"/>
        <v>0</v>
      </c>
      <c r="AM37" s="273">
        <v>0</v>
      </c>
      <c r="AN37" s="273">
        <f t="shared" si="28"/>
        <v>0</v>
      </c>
      <c r="AO37" s="273">
        <f t="shared" si="29"/>
        <v>0</v>
      </c>
    </row>
    <row r="38" spans="1:41" ht="16.149999999999999" customHeight="1">
      <c r="A38" s="198">
        <v>32</v>
      </c>
      <c r="B38" s="199" t="s">
        <v>104</v>
      </c>
      <c r="C38" s="995">
        <v>0</v>
      </c>
      <c r="D38" s="201">
        <f>+'Table 5C1A-Madison Prep'!D38</f>
        <v>5652.819189061127</v>
      </c>
      <c r="E38" s="202">
        <f t="shared" si="8"/>
        <v>0</v>
      </c>
      <c r="F38" s="202">
        <f>+'Table 5C1A-Madison Prep'!F38</f>
        <v>559.77</v>
      </c>
      <c r="G38" s="202">
        <f t="shared" si="9"/>
        <v>0</v>
      </c>
      <c r="H38" s="345">
        <f t="shared" si="10"/>
        <v>0</v>
      </c>
      <c r="I38" s="991">
        <f>'[1]Oct midyear Acadiana Ren'!K35</f>
        <v>0</v>
      </c>
      <c r="J38" s="203">
        <f>'[1]Feb midyear Acadiana Ren'!K35</f>
        <v>0</v>
      </c>
      <c r="K38" s="204">
        <f t="shared" si="11"/>
        <v>0</v>
      </c>
      <c r="L38" s="345">
        <f t="shared" si="12"/>
        <v>0</v>
      </c>
      <c r="M38" s="286">
        <f t="shared" si="4"/>
        <v>0</v>
      </c>
      <c r="N38" s="345">
        <f t="shared" si="13"/>
        <v>0</v>
      </c>
      <c r="O38" s="201">
        <v>0</v>
      </c>
      <c r="P38" s="351">
        <f t="shared" si="14"/>
        <v>0</v>
      </c>
      <c r="Q38" s="203">
        <f>'[2]Table 5C1U-Acadiana Ren'!S38+'[14]Table 5C1U-Acadiana Ren'!S38+(6*'[20]Table 5C1U-Acadiana Ren'!S38)</f>
        <v>0</v>
      </c>
      <c r="R38" s="203">
        <f t="shared" si="15"/>
        <v>0</v>
      </c>
      <c r="S38" s="351">
        <f t="shared" si="5"/>
        <v>0</v>
      </c>
      <c r="T38" s="351">
        <f t="shared" si="16"/>
        <v>0</v>
      </c>
      <c r="U38" s="287">
        <f>'Table 5C1A-Madison Prep'!U38</f>
        <v>2139</v>
      </c>
      <c r="V38" s="328">
        <f t="shared" si="17"/>
        <v>0</v>
      </c>
      <c r="W38" s="995">
        <f>'[1]Oct midyear Acadiana Ren'!E35</f>
        <v>0</v>
      </c>
      <c r="X38" s="290">
        <f t="shared" si="18"/>
        <v>0</v>
      </c>
      <c r="Y38" s="289">
        <f>'[1]Feb midyear Acadiana Ren'!E35</f>
        <v>0</v>
      </c>
      <c r="Z38" s="290">
        <f t="shared" si="19"/>
        <v>0</v>
      </c>
      <c r="AA38" s="288">
        <f t="shared" si="20"/>
        <v>0</v>
      </c>
      <c r="AB38" s="324">
        <f t="shared" si="21"/>
        <v>0</v>
      </c>
      <c r="AC38" s="292">
        <f t="shared" si="22"/>
        <v>0</v>
      </c>
      <c r="AD38" s="324">
        <f t="shared" si="23"/>
        <v>0</v>
      </c>
      <c r="AE38" s="293">
        <v>0</v>
      </c>
      <c r="AF38" s="324">
        <f t="shared" si="24"/>
        <v>0</v>
      </c>
      <c r="AG38" s="293">
        <f>'[2]Table 5C1U-Acadiana Ren'!AI38+'[14]Table 5C1U-Acadiana Ren'!AI38+(6*'[20]Table 5C1U-Acadiana Ren'!AI38)</f>
        <v>0</v>
      </c>
      <c r="AH38" s="293">
        <f t="shared" si="25"/>
        <v>0</v>
      </c>
      <c r="AI38" s="324">
        <f t="shared" si="6"/>
        <v>0</v>
      </c>
      <c r="AJ38" s="321">
        <f t="shared" si="26"/>
        <v>0</v>
      </c>
      <c r="AK38" s="342">
        <f t="shared" si="27"/>
        <v>0</v>
      </c>
      <c r="AM38" s="286">
        <v>0</v>
      </c>
      <c r="AN38" s="286">
        <f t="shared" si="28"/>
        <v>0</v>
      </c>
      <c r="AO38" s="286">
        <f t="shared" si="29"/>
        <v>0</v>
      </c>
    </row>
    <row r="39" spans="1:41" ht="16.149999999999999" customHeight="1">
      <c r="A39" s="198">
        <v>33</v>
      </c>
      <c r="B39" s="199" t="s">
        <v>105</v>
      </c>
      <c r="C39" s="995">
        <v>0</v>
      </c>
      <c r="D39" s="201">
        <f>+'Table 5C1A-Madison Prep'!D39</f>
        <v>5456.2254558085233</v>
      </c>
      <c r="E39" s="202">
        <f t="shared" si="8"/>
        <v>0</v>
      </c>
      <c r="F39" s="202">
        <f>+'Table 5C1A-Madison Prep'!F39</f>
        <v>655.31000000000006</v>
      </c>
      <c r="G39" s="202">
        <f t="shared" si="9"/>
        <v>0</v>
      </c>
      <c r="H39" s="345">
        <f t="shared" si="10"/>
        <v>0</v>
      </c>
      <c r="I39" s="991">
        <f>'[1]Oct midyear Acadiana Ren'!K36</f>
        <v>0</v>
      </c>
      <c r="J39" s="203">
        <f>'[1]Feb midyear Acadiana Ren'!K36</f>
        <v>0</v>
      </c>
      <c r="K39" s="204">
        <f t="shared" si="11"/>
        <v>0</v>
      </c>
      <c r="L39" s="345">
        <f t="shared" si="12"/>
        <v>0</v>
      </c>
      <c r="M39" s="286">
        <f t="shared" si="4"/>
        <v>0</v>
      </c>
      <c r="N39" s="345">
        <f t="shared" si="13"/>
        <v>0</v>
      </c>
      <c r="O39" s="201">
        <v>0</v>
      </c>
      <c r="P39" s="351">
        <f t="shared" si="14"/>
        <v>0</v>
      </c>
      <c r="Q39" s="203">
        <f>'[2]Table 5C1U-Acadiana Ren'!S39+'[14]Table 5C1U-Acadiana Ren'!S39+(6*'[20]Table 5C1U-Acadiana Ren'!S39)</f>
        <v>0</v>
      </c>
      <c r="R39" s="203">
        <f t="shared" si="15"/>
        <v>0</v>
      </c>
      <c r="S39" s="351">
        <f t="shared" ref="S39:S70" si="30">ROUND(R39/$S$88,0)</f>
        <v>0</v>
      </c>
      <c r="T39" s="351">
        <f t="shared" si="16"/>
        <v>0</v>
      </c>
      <c r="U39" s="287">
        <f>'Table 5C1A-Madison Prep'!U39</f>
        <v>3784</v>
      </c>
      <c r="V39" s="328">
        <f t="shared" si="17"/>
        <v>0</v>
      </c>
      <c r="W39" s="995">
        <f>'[1]Oct midyear Acadiana Ren'!E36</f>
        <v>0</v>
      </c>
      <c r="X39" s="290">
        <f t="shared" si="18"/>
        <v>0</v>
      </c>
      <c r="Y39" s="289">
        <f>'[1]Feb midyear Acadiana Ren'!E36</f>
        <v>0</v>
      </c>
      <c r="Z39" s="290">
        <f t="shared" si="19"/>
        <v>0</v>
      </c>
      <c r="AA39" s="288">
        <f t="shared" si="20"/>
        <v>0</v>
      </c>
      <c r="AB39" s="324">
        <f t="shared" si="21"/>
        <v>0</v>
      </c>
      <c r="AC39" s="292">
        <f t="shared" si="22"/>
        <v>0</v>
      </c>
      <c r="AD39" s="324">
        <f t="shared" si="23"/>
        <v>0</v>
      </c>
      <c r="AE39" s="293">
        <v>0</v>
      </c>
      <c r="AF39" s="324">
        <f t="shared" si="24"/>
        <v>0</v>
      </c>
      <c r="AG39" s="293">
        <f>'[2]Table 5C1U-Acadiana Ren'!AI39+'[14]Table 5C1U-Acadiana Ren'!AI39+(6*'[20]Table 5C1U-Acadiana Ren'!AI39)</f>
        <v>0</v>
      </c>
      <c r="AH39" s="293">
        <f t="shared" si="25"/>
        <v>0</v>
      </c>
      <c r="AI39" s="324">
        <f t="shared" ref="AI39:AI70" si="31">ROUND(AH39/$AI$88,0)</f>
        <v>0</v>
      </c>
      <c r="AJ39" s="321">
        <f t="shared" si="26"/>
        <v>0</v>
      </c>
      <c r="AK39" s="342">
        <f t="shared" si="27"/>
        <v>0</v>
      </c>
      <c r="AM39" s="286">
        <v>0</v>
      </c>
      <c r="AN39" s="286">
        <f t="shared" si="28"/>
        <v>0</v>
      </c>
      <c r="AO39" s="286">
        <f t="shared" si="29"/>
        <v>0</v>
      </c>
    </row>
    <row r="40" spans="1:41" ht="16.149999999999999" customHeight="1">
      <c r="A40" s="198">
        <v>34</v>
      </c>
      <c r="B40" s="199" t="s">
        <v>106</v>
      </c>
      <c r="C40" s="995">
        <v>0</v>
      </c>
      <c r="D40" s="201">
        <f>+'Table 5C1A-Madison Prep'!D40</f>
        <v>6292.0976842789005</v>
      </c>
      <c r="E40" s="202">
        <f t="shared" si="8"/>
        <v>0</v>
      </c>
      <c r="F40" s="202">
        <f>+'Table 5C1A-Madison Prep'!F40</f>
        <v>644.11000000000013</v>
      </c>
      <c r="G40" s="202">
        <f t="shared" si="9"/>
        <v>0</v>
      </c>
      <c r="H40" s="345">
        <f t="shared" si="10"/>
        <v>0</v>
      </c>
      <c r="I40" s="991">
        <f>'[1]Oct midyear Acadiana Ren'!K37</f>
        <v>0</v>
      </c>
      <c r="J40" s="203">
        <f>'[1]Feb midyear Acadiana Ren'!K37</f>
        <v>0</v>
      </c>
      <c r="K40" s="204">
        <f t="shared" si="11"/>
        <v>0</v>
      </c>
      <c r="L40" s="345">
        <f t="shared" si="12"/>
        <v>0</v>
      </c>
      <c r="M40" s="286">
        <f t="shared" si="4"/>
        <v>0</v>
      </c>
      <c r="N40" s="345">
        <f t="shared" si="13"/>
        <v>0</v>
      </c>
      <c r="O40" s="201">
        <v>0</v>
      </c>
      <c r="P40" s="351">
        <f t="shared" si="14"/>
        <v>0</v>
      </c>
      <c r="Q40" s="203">
        <f>'[2]Table 5C1U-Acadiana Ren'!S40+'[14]Table 5C1U-Acadiana Ren'!S40+(6*'[20]Table 5C1U-Acadiana Ren'!S40)</f>
        <v>0</v>
      </c>
      <c r="R40" s="203">
        <f t="shared" si="15"/>
        <v>0</v>
      </c>
      <c r="S40" s="351">
        <f t="shared" si="30"/>
        <v>0</v>
      </c>
      <c r="T40" s="351">
        <f t="shared" si="16"/>
        <v>0</v>
      </c>
      <c r="U40" s="287">
        <f>'Table 5C1A-Madison Prep'!U40</f>
        <v>2911</v>
      </c>
      <c r="V40" s="328">
        <f t="shared" si="17"/>
        <v>0</v>
      </c>
      <c r="W40" s="995">
        <f>'[1]Oct midyear Acadiana Ren'!E37</f>
        <v>0</v>
      </c>
      <c r="X40" s="290">
        <f t="shared" si="18"/>
        <v>0</v>
      </c>
      <c r="Y40" s="289">
        <f>'[1]Feb midyear Acadiana Ren'!E37</f>
        <v>0</v>
      </c>
      <c r="Z40" s="290">
        <f t="shared" si="19"/>
        <v>0</v>
      </c>
      <c r="AA40" s="288">
        <f t="shared" si="20"/>
        <v>0</v>
      </c>
      <c r="AB40" s="324">
        <f t="shared" si="21"/>
        <v>0</v>
      </c>
      <c r="AC40" s="292">
        <f t="shared" si="22"/>
        <v>0</v>
      </c>
      <c r="AD40" s="324">
        <f t="shared" si="23"/>
        <v>0</v>
      </c>
      <c r="AE40" s="293">
        <v>0</v>
      </c>
      <c r="AF40" s="324">
        <f t="shared" si="24"/>
        <v>0</v>
      </c>
      <c r="AG40" s="293">
        <f>'[2]Table 5C1U-Acadiana Ren'!AI40+'[14]Table 5C1U-Acadiana Ren'!AI40+(6*'[20]Table 5C1U-Acadiana Ren'!AI40)</f>
        <v>0</v>
      </c>
      <c r="AH40" s="293">
        <f t="shared" si="25"/>
        <v>0</v>
      </c>
      <c r="AI40" s="324">
        <f t="shared" si="31"/>
        <v>0</v>
      </c>
      <c r="AJ40" s="321">
        <f t="shared" si="26"/>
        <v>0</v>
      </c>
      <c r="AK40" s="342">
        <f t="shared" si="27"/>
        <v>0</v>
      </c>
      <c r="AM40" s="286">
        <v>0</v>
      </c>
      <c r="AN40" s="286">
        <f t="shared" si="28"/>
        <v>0</v>
      </c>
      <c r="AO40" s="286">
        <f t="shared" si="29"/>
        <v>0</v>
      </c>
    </row>
    <row r="41" spans="1:41" ht="16.149999999999999" customHeight="1">
      <c r="A41" s="191">
        <v>35</v>
      </c>
      <c r="B41" s="192" t="s">
        <v>107</v>
      </c>
      <c r="C41" s="996">
        <v>0</v>
      </c>
      <c r="D41" s="194">
        <f>+'Table 5C1A-Madison Prep'!D41</f>
        <v>5166.2482060477605</v>
      </c>
      <c r="E41" s="195">
        <f t="shared" si="8"/>
        <v>0</v>
      </c>
      <c r="F41" s="195">
        <f>+'Table 5C1A-Madison Prep'!F41</f>
        <v>537.96</v>
      </c>
      <c r="G41" s="195">
        <f t="shared" si="9"/>
        <v>0</v>
      </c>
      <c r="H41" s="346">
        <f t="shared" si="10"/>
        <v>0</v>
      </c>
      <c r="I41" s="992">
        <f>'[1]Oct midyear Acadiana Ren'!K38</f>
        <v>0</v>
      </c>
      <c r="J41" s="196">
        <f>'[1]Feb midyear Acadiana Ren'!K38</f>
        <v>0</v>
      </c>
      <c r="K41" s="197">
        <f t="shared" si="11"/>
        <v>0</v>
      </c>
      <c r="L41" s="346">
        <f t="shared" si="12"/>
        <v>0</v>
      </c>
      <c r="M41" s="296">
        <f t="shared" si="4"/>
        <v>0</v>
      </c>
      <c r="N41" s="346">
        <f t="shared" si="13"/>
        <v>0</v>
      </c>
      <c r="O41" s="194">
        <v>0</v>
      </c>
      <c r="P41" s="352">
        <f t="shared" si="14"/>
        <v>0</v>
      </c>
      <c r="Q41" s="196">
        <f>'[2]Table 5C1U-Acadiana Ren'!S41+'[14]Table 5C1U-Acadiana Ren'!S41+(6*'[20]Table 5C1U-Acadiana Ren'!S41)</f>
        <v>0</v>
      </c>
      <c r="R41" s="196">
        <f t="shared" si="15"/>
        <v>0</v>
      </c>
      <c r="S41" s="352">
        <f t="shared" si="30"/>
        <v>0</v>
      </c>
      <c r="T41" s="352">
        <f t="shared" si="16"/>
        <v>0</v>
      </c>
      <c r="U41" s="281">
        <f>'Table 5C1A-Madison Prep'!U41</f>
        <v>3337</v>
      </c>
      <c r="V41" s="329">
        <f t="shared" si="17"/>
        <v>0</v>
      </c>
      <c r="W41" s="996">
        <f>'[1]Oct midyear Acadiana Ren'!E38</f>
        <v>0</v>
      </c>
      <c r="X41" s="282">
        <f t="shared" si="18"/>
        <v>0</v>
      </c>
      <c r="Y41" s="884">
        <f>'[1]Feb midyear Acadiana Ren'!E38</f>
        <v>0</v>
      </c>
      <c r="Z41" s="282">
        <f t="shared" si="19"/>
        <v>0</v>
      </c>
      <c r="AA41" s="283">
        <f t="shared" si="20"/>
        <v>0</v>
      </c>
      <c r="AB41" s="325">
        <f t="shared" si="21"/>
        <v>0</v>
      </c>
      <c r="AC41" s="298">
        <f t="shared" si="22"/>
        <v>0</v>
      </c>
      <c r="AD41" s="325">
        <f t="shared" si="23"/>
        <v>0</v>
      </c>
      <c r="AE41" s="284">
        <v>0</v>
      </c>
      <c r="AF41" s="325">
        <f t="shared" si="24"/>
        <v>0</v>
      </c>
      <c r="AG41" s="284">
        <f>'[2]Table 5C1U-Acadiana Ren'!AI41+'[14]Table 5C1U-Acadiana Ren'!AI41+(6*'[20]Table 5C1U-Acadiana Ren'!AI41)</f>
        <v>0</v>
      </c>
      <c r="AH41" s="284">
        <f t="shared" si="25"/>
        <v>0</v>
      </c>
      <c r="AI41" s="325">
        <f t="shared" si="31"/>
        <v>0</v>
      </c>
      <c r="AJ41" s="338">
        <f t="shared" si="26"/>
        <v>0</v>
      </c>
      <c r="AK41" s="343">
        <f t="shared" si="27"/>
        <v>0</v>
      </c>
      <c r="AM41" s="296">
        <v>0</v>
      </c>
      <c r="AN41" s="296">
        <f t="shared" si="28"/>
        <v>0</v>
      </c>
      <c r="AO41" s="296">
        <f t="shared" si="29"/>
        <v>0</v>
      </c>
    </row>
    <row r="42" spans="1:41" ht="16.149999999999999" customHeight="1">
      <c r="A42" s="205">
        <v>36</v>
      </c>
      <c r="B42" s="206" t="s">
        <v>108</v>
      </c>
      <c r="C42" s="994">
        <v>0</v>
      </c>
      <c r="D42" s="208">
        <f>+'Table 5C1A-Madison Prep'!D42</f>
        <v>3602.7009974327857</v>
      </c>
      <c r="E42" s="209">
        <f t="shared" si="8"/>
        <v>0</v>
      </c>
      <c r="F42" s="209">
        <f>+'Table 5C1A-Madison Prep'!F42</f>
        <v>746.0335616438357</v>
      </c>
      <c r="G42" s="209">
        <f t="shared" si="9"/>
        <v>0</v>
      </c>
      <c r="H42" s="344">
        <f t="shared" si="10"/>
        <v>0</v>
      </c>
      <c r="I42" s="990">
        <f>'[1]Oct midyear Acadiana Ren'!K39</f>
        <v>0</v>
      </c>
      <c r="J42" s="210">
        <f>'[1]Feb midyear Acadiana Ren'!K39</f>
        <v>0</v>
      </c>
      <c r="K42" s="211">
        <f t="shared" si="11"/>
        <v>0</v>
      </c>
      <c r="L42" s="344">
        <f t="shared" si="12"/>
        <v>0</v>
      </c>
      <c r="M42" s="273">
        <f t="shared" si="4"/>
        <v>0</v>
      </c>
      <c r="N42" s="344">
        <f t="shared" si="13"/>
        <v>0</v>
      </c>
      <c r="O42" s="208">
        <v>0</v>
      </c>
      <c r="P42" s="350">
        <f t="shared" si="14"/>
        <v>0</v>
      </c>
      <c r="Q42" s="210">
        <f>'[2]Table 5C1U-Acadiana Ren'!S42+'[14]Table 5C1U-Acadiana Ren'!S42+(6*'[20]Table 5C1U-Acadiana Ren'!S42)</f>
        <v>0</v>
      </c>
      <c r="R42" s="210">
        <f t="shared" si="15"/>
        <v>0</v>
      </c>
      <c r="S42" s="350">
        <f t="shared" si="30"/>
        <v>0</v>
      </c>
      <c r="T42" s="350">
        <f t="shared" si="16"/>
        <v>0</v>
      </c>
      <c r="U42" s="274">
        <f>'Table 5C1A-Madison Prep'!U42</f>
        <v>5469</v>
      </c>
      <c r="V42" s="327">
        <f t="shared" si="17"/>
        <v>0</v>
      </c>
      <c r="W42" s="994">
        <f>'[1]Oct midyear Acadiana Ren'!E39</f>
        <v>0</v>
      </c>
      <c r="X42" s="276">
        <f t="shared" si="18"/>
        <v>0</v>
      </c>
      <c r="Y42" s="883">
        <f>'[1]Feb midyear Acadiana Ren'!E39</f>
        <v>0</v>
      </c>
      <c r="Z42" s="276">
        <f t="shared" si="19"/>
        <v>0</v>
      </c>
      <c r="AA42" s="275">
        <f t="shared" si="20"/>
        <v>0</v>
      </c>
      <c r="AB42" s="323">
        <f t="shared" si="21"/>
        <v>0</v>
      </c>
      <c r="AC42" s="278">
        <f t="shared" si="22"/>
        <v>0</v>
      </c>
      <c r="AD42" s="323">
        <f t="shared" si="23"/>
        <v>0</v>
      </c>
      <c r="AE42" s="279">
        <v>0</v>
      </c>
      <c r="AF42" s="323">
        <f t="shared" si="24"/>
        <v>0</v>
      </c>
      <c r="AG42" s="279">
        <f>'[2]Table 5C1U-Acadiana Ren'!AI42+'[14]Table 5C1U-Acadiana Ren'!AI42+(6*'[20]Table 5C1U-Acadiana Ren'!AI42)</f>
        <v>0</v>
      </c>
      <c r="AH42" s="279">
        <f t="shared" si="25"/>
        <v>0</v>
      </c>
      <c r="AI42" s="323">
        <f t="shared" si="31"/>
        <v>0</v>
      </c>
      <c r="AJ42" s="337">
        <f t="shared" si="26"/>
        <v>0</v>
      </c>
      <c r="AK42" s="341">
        <f t="shared" si="27"/>
        <v>0</v>
      </c>
      <c r="AM42" s="273">
        <v>0</v>
      </c>
      <c r="AN42" s="273">
        <f t="shared" si="28"/>
        <v>0</v>
      </c>
      <c r="AO42" s="273">
        <f t="shared" si="29"/>
        <v>0</v>
      </c>
    </row>
    <row r="43" spans="1:41" ht="16.149999999999999" customHeight="1">
      <c r="A43" s="198">
        <v>37</v>
      </c>
      <c r="B43" s="199" t="s">
        <v>109</v>
      </c>
      <c r="C43" s="995">
        <v>0</v>
      </c>
      <c r="D43" s="201">
        <f>+'Table 5C1A-Madison Prep'!D43</f>
        <v>5665.3839260317691</v>
      </c>
      <c r="E43" s="202">
        <f t="shared" si="8"/>
        <v>0</v>
      </c>
      <c r="F43" s="202">
        <f>+'Table 5C1A-Madison Prep'!F43</f>
        <v>653.61</v>
      </c>
      <c r="G43" s="202">
        <f t="shared" si="9"/>
        <v>0</v>
      </c>
      <c r="H43" s="345">
        <f t="shared" si="10"/>
        <v>0</v>
      </c>
      <c r="I43" s="991">
        <f>'[1]Oct midyear Acadiana Ren'!K40</f>
        <v>0</v>
      </c>
      <c r="J43" s="203">
        <f>'[1]Feb midyear Acadiana Ren'!K40</f>
        <v>0</v>
      </c>
      <c r="K43" s="204">
        <f t="shared" si="11"/>
        <v>0</v>
      </c>
      <c r="L43" s="345">
        <f t="shared" si="12"/>
        <v>0</v>
      </c>
      <c r="M43" s="286">
        <f t="shared" si="4"/>
        <v>0</v>
      </c>
      <c r="N43" s="345">
        <f t="shared" si="13"/>
        <v>0</v>
      </c>
      <c r="O43" s="201">
        <v>0</v>
      </c>
      <c r="P43" s="351">
        <f t="shared" si="14"/>
        <v>0</v>
      </c>
      <c r="Q43" s="203">
        <f>'[2]Table 5C1U-Acadiana Ren'!S43+'[14]Table 5C1U-Acadiana Ren'!S43+(6*'[20]Table 5C1U-Acadiana Ren'!S43)</f>
        <v>0</v>
      </c>
      <c r="R43" s="203">
        <f t="shared" si="15"/>
        <v>0</v>
      </c>
      <c r="S43" s="351">
        <f t="shared" si="30"/>
        <v>0</v>
      </c>
      <c r="T43" s="351">
        <f t="shared" si="16"/>
        <v>0</v>
      </c>
      <c r="U43" s="287">
        <f>'Table 5C1A-Madison Prep'!U43</f>
        <v>3424</v>
      </c>
      <c r="V43" s="328">
        <f t="shared" si="17"/>
        <v>0</v>
      </c>
      <c r="W43" s="995">
        <f>'[1]Oct midyear Acadiana Ren'!E40</f>
        <v>0</v>
      </c>
      <c r="X43" s="290">
        <f t="shared" si="18"/>
        <v>0</v>
      </c>
      <c r="Y43" s="289">
        <f>'[1]Feb midyear Acadiana Ren'!E40</f>
        <v>0</v>
      </c>
      <c r="Z43" s="290">
        <f t="shared" si="19"/>
        <v>0</v>
      </c>
      <c r="AA43" s="288">
        <f t="shared" si="20"/>
        <v>0</v>
      </c>
      <c r="AB43" s="324">
        <f t="shared" si="21"/>
        <v>0</v>
      </c>
      <c r="AC43" s="292">
        <f t="shared" si="22"/>
        <v>0</v>
      </c>
      <c r="AD43" s="324">
        <f t="shared" si="23"/>
        <v>0</v>
      </c>
      <c r="AE43" s="293">
        <v>0</v>
      </c>
      <c r="AF43" s="324">
        <f t="shared" si="24"/>
        <v>0</v>
      </c>
      <c r="AG43" s="293">
        <f>'[2]Table 5C1U-Acadiana Ren'!AI43+'[14]Table 5C1U-Acadiana Ren'!AI43+(6*'[20]Table 5C1U-Acadiana Ren'!AI43)</f>
        <v>0</v>
      </c>
      <c r="AH43" s="293">
        <f t="shared" si="25"/>
        <v>0</v>
      </c>
      <c r="AI43" s="324">
        <f t="shared" si="31"/>
        <v>0</v>
      </c>
      <c r="AJ43" s="321">
        <f t="shared" si="26"/>
        <v>0</v>
      </c>
      <c r="AK43" s="342">
        <f t="shared" si="27"/>
        <v>0</v>
      </c>
      <c r="AM43" s="286">
        <v>0</v>
      </c>
      <c r="AN43" s="286">
        <f t="shared" si="28"/>
        <v>0</v>
      </c>
      <c r="AO43" s="286">
        <f t="shared" si="29"/>
        <v>0</v>
      </c>
    </row>
    <row r="44" spans="1:41" ht="16.149999999999999" customHeight="1">
      <c r="A44" s="198">
        <v>38</v>
      </c>
      <c r="B44" s="199" t="s">
        <v>110</v>
      </c>
      <c r="C44" s="995">
        <v>0</v>
      </c>
      <c r="D44" s="201">
        <f>+'Table 5C1A-Madison Prep'!D44</f>
        <v>2088.8017552916881</v>
      </c>
      <c r="E44" s="202">
        <f t="shared" si="8"/>
        <v>0</v>
      </c>
      <c r="F44" s="202">
        <f>+'Table 5C1A-Madison Prep'!F44</f>
        <v>829.92000000000007</v>
      </c>
      <c r="G44" s="202">
        <f t="shared" si="9"/>
        <v>0</v>
      </c>
      <c r="H44" s="345">
        <f t="shared" si="10"/>
        <v>0</v>
      </c>
      <c r="I44" s="991">
        <f>'[1]Oct midyear Acadiana Ren'!K41</f>
        <v>0</v>
      </c>
      <c r="J44" s="203">
        <f>'[1]Feb midyear Acadiana Ren'!K41</f>
        <v>0</v>
      </c>
      <c r="K44" s="204">
        <f t="shared" si="11"/>
        <v>0</v>
      </c>
      <c r="L44" s="345">
        <f t="shared" si="12"/>
        <v>0</v>
      </c>
      <c r="M44" s="286">
        <f t="shared" si="4"/>
        <v>0</v>
      </c>
      <c r="N44" s="345">
        <f t="shared" si="13"/>
        <v>0</v>
      </c>
      <c r="O44" s="201">
        <v>0</v>
      </c>
      <c r="P44" s="351">
        <f t="shared" si="14"/>
        <v>0</v>
      </c>
      <c r="Q44" s="203">
        <f>'[2]Table 5C1U-Acadiana Ren'!S44+'[14]Table 5C1U-Acadiana Ren'!S44+(6*'[20]Table 5C1U-Acadiana Ren'!S44)</f>
        <v>0</v>
      </c>
      <c r="R44" s="203">
        <f t="shared" si="15"/>
        <v>0</v>
      </c>
      <c r="S44" s="351">
        <f t="shared" si="30"/>
        <v>0</v>
      </c>
      <c r="T44" s="351">
        <f t="shared" si="16"/>
        <v>0</v>
      </c>
      <c r="U44" s="287">
        <f>'Table 5C1A-Madison Prep'!U44</f>
        <v>11060</v>
      </c>
      <c r="V44" s="328">
        <f t="shared" si="17"/>
        <v>0</v>
      </c>
      <c r="W44" s="995">
        <f>'[1]Oct midyear Acadiana Ren'!E41</f>
        <v>0</v>
      </c>
      <c r="X44" s="290">
        <f t="shared" si="18"/>
        <v>0</v>
      </c>
      <c r="Y44" s="289">
        <f>'[1]Feb midyear Acadiana Ren'!E41</f>
        <v>0</v>
      </c>
      <c r="Z44" s="290">
        <f t="shared" si="19"/>
        <v>0</v>
      </c>
      <c r="AA44" s="288">
        <f t="shared" si="20"/>
        <v>0</v>
      </c>
      <c r="AB44" s="324">
        <f t="shared" si="21"/>
        <v>0</v>
      </c>
      <c r="AC44" s="292">
        <f t="shared" si="22"/>
        <v>0</v>
      </c>
      <c r="AD44" s="324">
        <f t="shared" si="23"/>
        <v>0</v>
      </c>
      <c r="AE44" s="293">
        <v>0</v>
      </c>
      <c r="AF44" s="324">
        <f t="shared" si="24"/>
        <v>0</v>
      </c>
      <c r="AG44" s="293">
        <f>'[2]Table 5C1U-Acadiana Ren'!AI44+'[14]Table 5C1U-Acadiana Ren'!AI44+(6*'[20]Table 5C1U-Acadiana Ren'!AI44)</f>
        <v>0</v>
      </c>
      <c r="AH44" s="293">
        <f t="shared" si="25"/>
        <v>0</v>
      </c>
      <c r="AI44" s="324">
        <f t="shared" si="31"/>
        <v>0</v>
      </c>
      <c r="AJ44" s="321">
        <f t="shared" si="26"/>
        <v>0</v>
      </c>
      <c r="AK44" s="342">
        <f t="shared" si="27"/>
        <v>0</v>
      </c>
      <c r="AM44" s="286">
        <v>0</v>
      </c>
      <c r="AN44" s="286">
        <f t="shared" si="28"/>
        <v>0</v>
      </c>
      <c r="AO44" s="286">
        <f t="shared" si="29"/>
        <v>0</v>
      </c>
    </row>
    <row r="45" spans="1:41" ht="16.149999999999999" customHeight="1">
      <c r="A45" s="198">
        <v>39</v>
      </c>
      <c r="B45" s="199" t="s">
        <v>111</v>
      </c>
      <c r="C45" s="995">
        <v>0</v>
      </c>
      <c r="D45" s="201">
        <f>+'Table 5C1A-Madison Prep'!D45</f>
        <v>3656.9056809295676</v>
      </c>
      <c r="E45" s="202">
        <f t="shared" si="8"/>
        <v>0</v>
      </c>
      <c r="F45" s="202">
        <f>+'Table 5C1A-Madison Prep'!F45</f>
        <v>779.65573042776396</v>
      </c>
      <c r="G45" s="202">
        <f t="shared" si="9"/>
        <v>0</v>
      </c>
      <c r="H45" s="345">
        <f t="shared" si="10"/>
        <v>0</v>
      </c>
      <c r="I45" s="991">
        <f>'[1]Oct midyear Acadiana Ren'!K42</f>
        <v>0</v>
      </c>
      <c r="J45" s="203">
        <f>'[1]Feb midyear Acadiana Ren'!K42</f>
        <v>0</v>
      </c>
      <c r="K45" s="204">
        <f t="shared" si="11"/>
        <v>0</v>
      </c>
      <c r="L45" s="345">
        <f t="shared" si="12"/>
        <v>0</v>
      </c>
      <c r="M45" s="286">
        <f t="shared" si="4"/>
        <v>0</v>
      </c>
      <c r="N45" s="345">
        <f t="shared" si="13"/>
        <v>0</v>
      </c>
      <c r="O45" s="201">
        <v>0</v>
      </c>
      <c r="P45" s="351">
        <f t="shared" si="14"/>
        <v>0</v>
      </c>
      <c r="Q45" s="203">
        <f>'[2]Table 5C1U-Acadiana Ren'!S45+'[14]Table 5C1U-Acadiana Ren'!S45+(6*'[20]Table 5C1U-Acadiana Ren'!S45)</f>
        <v>0</v>
      </c>
      <c r="R45" s="203">
        <f t="shared" si="15"/>
        <v>0</v>
      </c>
      <c r="S45" s="351">
        <f t="shared" si="30"/>
        <v>0</v>
      </c>
      <c r="T45" s="351">
        <f t="shared" si="16"/>
        <v>0</v>
      </c>
      <c r="U45" s="287">
        <f>'Table 5C1A-Madison Prep'!U45</f>
        <v>4922</v>
      </c>
      <c r="V45" s="328">
        <f t="shared" si="17"/>
        <v>0</v>
      </c>
      <c r="W45" s="995">
        <f>'[1]Oct midyear Acadiana Ren'!E42</f>
        <v>0</v>
      </c>
      <c r="X45" s="290">
        <f t="shared" si="18"/>
        <v>0</v>
      </c>
      <c r="Y45" s="289">
        <f>'[1]Feb midyear Acadiana Ren'!E42</f>
        <v>0</v>
      </c>
      <c r="Z45" s="290">
        <f t="shared" si="19"/>
        <v>0</v>
      </c>
      <c r="AA45" s="288">
        <f t="shared" si="20"/>
        <v>0</v>
      </c>
      <c r="AB45" s="324">
        <f t="shared" si="21"/>
        <v>0</v>
      </c>
      <c r="AC45" s="292">
        <f t="shared" si="22"/>
        <v>0</v>
      </c>
      <c r="AD45" s="324">
        <f t="shared" si="23"/>
        <v>0</v>
      </c>
      <c r="AE45" s="293">
        <v>0</v>
      </c>
      <c r="AF45" s="324">
        <f t="shared" si="24"/>
        <v>0</v>
      </c>
      <c r="AG45" s="293">
        <f>'[2]Table 5C1U-Acadiana Ren'!AI45+'[14]Table 5C1U-Acadiana Ren'!AI45+(6*'[20]Table 5C1U-Acadiana Ren'!AI45)</f>
        <v>0</v>
      </c>
      <c r="AH45" s="293">
        <f t="shared" si="25"/>
        <v>0</v>
      </c>
      <c r="AI45" s="324">
        <f t="shared" si="31"/>
        <v>0</v>
      </c>
      <c r="AJ45" s="321">
        <f t="shared" si="26"/>
        <v>0</v>
      </c>
      <c r="AK45" s="342">
        <f t="shared" si="27"/>
        <v>0</v>
      </c>
      <c r="AM45" s="286">
        <v>0</v>
      </c>
      <c r="AN45" s="286">
        <f t="shared" si="28"/>
        <v>0</v>
      </c>
      <c r="AO45" s="286">
        <f t="shared" si="29"/>
        <v>0</v>
      </c>
    </row>
    <row r="46" spans="1:41" ht="16.149999999999999" customHeight="1">
      <c r="A46" s="191">
        <v>40</v>
      </c>
      <c r="B46" s="192" t="s">
        <v>112</v>
      </c>
      <c r="C46" s="996">
        <v>0</v>
      </c>
      <c r="D46" s="194">
        <f>+'Table 5C1A-Madison Prep'!D46</f>
        <v>5121.8110285698403</v>
      </c>
      <c r="E46" s="195">
        <f t="shared" si="8"/>
        <v>0</v>
      </c>
      <c r="F46" s="195">
        <f>+'Table 5C1A-Madison Prep'!F46</f>
        <v>700.2700000000001</v>
      </c>
      <c r="G46" s="195">
        <f t="shared" si="9"/>
        <v>0</v>
      </c>
      <c r="H46" s="346">
        <f t="shared" si="10"/>
        <v>0</v>
      </c>
      <c r="I46" s="992">
        <f>'[1]Oct midyear Acadiana Ren'!K43</f>
        <v>0</v>
      </c>
      <c r="J46" s="196">
        <f>'[1]Feb midyear Acadiana Ren'!K43</f>
        <v>0</v>
      </c>
      <c r="K46" s="197">
        <f t="shared" si="11"/>
        <v>0</v>
      </c>
      <c r="L46" s="346">
        <f t="shared" si="12"/>
        <v>0</v>
      </c>
      <c r="M46" s="296">
        <f t="shared" si="4"/>
        <v>0</v>
      </c>
      <c r="N46" s="346">
        <f t="shared" si="13"/>
        <v>0</v>
      </c>
      <c r="O46" s="194">
        <v>0</v>
      </c>
      <c r="P46" s="352">
        <f t="shared" si="14"/>
        <v>0</v>
      </c>
      <c r="Q46" s="196">
        <f>'[2]Table 5C1U-Acadiana Ren'!S46+'[14]Table 5C1U-Acadiana Ren'!S46+(6*'[20]Table 5C1U-Acadiana Ren'!S46)</f>
        <v>0</v>
      </c>
      <c r="R46" s="196">
        <f t="shared" si="15"/>
        <v>0</v>
      </c>
      <c r="S46" s="352">
        <f t="shared" si="30"/>
        <v>0</v>
      </c>
      <c r="T46" s="352">
        <f t="shared" si="16"/>
        <v>0</v>
      </c>
      <c r="U46" s="281">
        <f>'Table 5C1A-Madison Prep'!U46</f>
        <v>3152</v>
      </c>
      <c r="V46" s="329">
        <f t="shared" si="17"/>
        <v>0</v>
      </c>
      <c r="W46" s="996">
        <f>'[1]Oct midyear Acadiana Ren'!E43</f>
        <v>0</v>
      </c>
      <c r="X46" s="282">
        <f t="shared" si="18"/>
        <v>0</v>
      </c>
      <c r="Y46" s="884">
        <f>'[1]Feb midyear Acadiana Ren'!E43</f>
        <v>0</v>
      </c>
      <c r="Z46" s="282">
        <f t="shared" si="19"/>
        <v>0</v>
      </c>
      <c r="AA46" s="283">
        <f t="shared" si="20"/>
        <v>0</v>
      </c>
      <c r="AB46" s="325">
        <f t="shared" si="21"/>
        <v>0</v>
      </c>
      <c r="AC46" s="298">
        <f t="shared" si="22"/>
        <v>0</v>
      </c>
      <c r="AD46" s="325">
        <f t="shared" si="23"/>
        <v>0</v>
      </c>
      <c r="AE46" s="284">
        <v>0</v>
      </c>
      <c r="AF46" s="325">
        <f t="shared" si="24"/>
        <v>0</v>
      </c>
      <c r="AG46" s="284">
        <f>'[2]Table 5C1U-Acadiana Ren'!AI46+'[14]Table 5C1U-Acadiana Ren'!AI46+(6*'[20]Table 5C1U-Acadiana Ren'!AI46)</f>
        <v>0</v>
      </c>
      <c r="AH46" s="284">
        <f t="shared" si="25"/>
        <v>0</v>
      </c>
      <c r="AI46" s="325">
        <f t="shared" si="31"/>
        <v>0</v>
      </c>
      <c r="AJ46" s="338">
        <f t="shared" si="26"/>
        <v>0</v>
      </c>
      <c r="AK46" s="343">
        <f t="shared" si="27"/>
        <v>0</v>
      </c>
      <c r="AM46" s="296">
        <v>0</v>
      </c>
      <c r="AN46" s="296">
        <f t="shared" si="28"/>
        <v>0</v>
      </c>
      <c r="AO46" s="296">
        <f t="shared" si="29"/>
        <v>0</v>
      </c>
    </row>
    <row r="47" spans="1:41" ht="16.149999999999999" customHeight="1">
      <c r="A47" s="205">
        <v>41</v>
      </c>
      <c r="B47" s="206" t="s">
        <v>113</v>
      </c>
      <c r="C47" s="994">
        <v>0</v>
      </c>
      <c r="D47" s="208">
        <f>+'Table 5C1A-Madison Prep'!D47</f>
        <v>3291.1948574716475</v>
      </c>
      <c r="E47" s="209">
        <f t="shared" si="8"/>
        <v>0</v>
      </c>
      <c r="F47" s="209">
        <f>+'Table 5C1A-Madison Prep'!F47</f>
        <v>886.22</v>
      </c>
      <c r="G47" s="209">
        <f t="shared" si="9"/>
        <v>0</v>
      </c>
      <c r="H47" s="344">
        <f t="shared" si="10"/>
        <v>0</v>
      </c>
      <c r="I47" s="990">
        <f>'[1]Oct midyear Acadiana Ren'!K44</f>
        <v>0</v>
      </c>
      <c r="J47" s="210">
        <f>'[1]Feb midyear Acadiana Ren'!K44</f>
        <v>0</v>
      </c>
      <c r="K47" s="211">
        <f t="shared" si="11"/>
        <v>0</v>
      </c>
      <c r="L47" s="344">
        <f t="shared" si="12"/>
        <v>0</v>
      </c>
      <c r="M47" s="273">
        <f t="shared" si="4"/>
        <v>0</v>
      </c>
      <c r="N47" s="344">
        <f t="shared" si="13"/>
        <v>0</v>
      </c>
      <c r="O47" s="208">
        <v>0</v>
      </c>
      <c r="P47" s="350">
        <f t="shared" si="14"/>
        <v>0</v>
      </c>
      <c r="Q47" s="210">
        <f>'[2]Table 5C1U-Acadiana Ren'!S47+'[14]Table 5C1U-Acadiana Ren'!S47+(6*'[20]Table 5C1U-Acadiana Ren'!S47)</f>
        <v>0</v>
      </c>
      <c r="R47" s="210">
        <f t="shared" si="15"/>
        <v>0</v>
      </c>
      <c r="S47" s="350">
        <f t="shared" si="30"/>
        <v>0</v>
      </c>
      <c r="T47" s="350">
        <f t="shared" si="16"/>
        <v>0</v>
      </c>
      <c r="U47" s="274">
        <f>'Table 5C1A-Madison Prep'!U47</f>
        <v>9422</v>
      </c>
      <c r="V47" s="327">
        <f t="shared" si="17"/>
        <v>0</v>
      </c>
      <c r="W47" s="994">
        <f>'[1]Oct midyear Acadiana Ren'!E44</f>
        <v>0</v>
      </c>
      <c r="X47" s="276">
        <f t="shared" si="18"/>
        <v>0</v>
      </c>
      <c r="Y47" s="883">
        <f>'[1]Feb midyear Acadiana Ren'!E44</f>
        <v>0</v>
      </c>
      <c r="Z47" s="276">
        <f t="shared" si="19"/>
        <v>0</v>
      </c>
      <c r="AA47" s="275">
        <f t="shared" si="20"/>
        <v>0</v>
      </c>
      <c r="AB47" s="323">
        <f t="shared" si="21"/>
        <v>0</v>
      </c>
      <c r="AC47" s="278">
        <f t="shared" si="22"/>
        <v>0</v>
      </c>
      <c r="AD47" s="323">
        <f t="shared" si="23"/>
        <v>0</v>
      </c>
      <c r="AE47" s="279">
        <v>0</v>
      </c>
      <c r="AF47" s="323">
        <f t="shared" si="24"/>
        <v>0</v>
      </c>
      <c r="AG47" s="279">
        <f>'[2]Table 5C1U-Acadiana Ren'!AI47+'[14]Table 5C1U-Acadiana Ren'!AI47+(6*'[20]Table 5C1U-Acadiana Ren'!AI47)</f>
        <v>0</v>
      </c>
      <c r="AH47" s="279">
        <f t="shared" si="25"/>
        <v>0</v>
      </c>
      <c r="AI47" s="323">
        <f t="shared" si="31"/>
        <v>0</v>
      </c>
      <c r="AJ47" s="337">
        <f t="shared" si="26"/>
        <v>0</v>
      </c>
      <c r="AK47" s="341">
        <f t="shared" si="27"/>
        <v>0</v>
      </c>
      <c r="AM47" s="273">
        <v>0</v>
      </c>
      <c r="AN47" s="273">
        <f t="shared" si="28"/>
        <v>0</v>
      </c>
      <c r="AO47" s="273">
        <f t="shared" si="29"/>
        <v>0</v>
      </c>
    </row>
    <row r="48" spans="1:41" ht="16.149999999999999" customHeight="1">
      <c r="A48" s="198">
        <v>42</v>
      </c>
      <c r="B48" s="199" t="s">
        <v>114</v>
      </c>
      <c r="C48" s="995">
        <v>0</v>
      </c>
      <c r="D48" s="201">
        <f>+'Table 5C1A-Madison Prep'!D48</f>
        <v>5113.6077751368684</v>
      </c>
      <c r="E48" s="202">
        <f t="shared" si="8"/>
        <v>0</v>
      </c>
      <c r="F48" s="202">
        <f>+'Table 5C1A-Madison Prep'!F48</f>
        <v>534.28</v>
      </c>
      <c r="G48" s="202">
        <f t="shared" si="9"/>
        <v>0</v>
      </c>
      <c r="H48" s="345">
        <f t="shared" si="10"/>
        <v>0</v>
      </c>
      <c r="I48" s="991">
        <f>'[1]Oct midyear Acadiana Ren'!K45</f>
        <v>0</v>
      </c>
      <c r="J48" s="203">
        <f>'[1]Feb midyear Acadiana Ren'!K45</f>
        <v>0</v>
      </c>
      <c r="K48" s="204">
        <f t="shared" si="11"/>
        <v>0</v>
      </c>
      <c r="L48" s="345">
        <f t="shared" si="12"/>
        <v>0</v>
      </c>
      <c r="M48" s="286">
        <f t="shared" si="4"/>
        <v>0</v>
      </c>
      <c r="N48" s="345">
        <f t="shared" si="13"/>
        <v>0</v>
      </c>
      <c r="O48" s="201">
        <v>0</v>
      </c>
      <c r="P48" s="351">
        <f t="shared" si="14"/>
        <v>0</v>
      </c>
      <c r="Q48" s="203">
        <f>'[2]Table 5C1U-Acadiana Ren'!S48+'[14]Table 5C1U-Acadiana Ren'!S48+(6*'[20]Table 5C1U-Acadiana Ren'!S48)</f>
        <v>0</v>
      </c>
      <c r="R48" s="203">
        <f t="shared" si="15"/>
        <v>0</v>
      </c>
      <c r="S48" s="351">
        <f t="shared" si="30"/>
        <v>0</v>
      </c>
      <c r="T48" s="351">
        <f t="shared" si="16"/>
        <v>0</v>
      </c>
      <c r="U48" s="287">
        <f>'Table 5C1A-Madison Prep'!U48</f>
        <v>3415</v>
      </c>
      <c r="V48" s="328">
        <f t="shared" si="17"/>
        <v>0</v>
      </c>
      <c r="W48" s="995">
        <f>'[1]Oct midyear Acadiana Ren'!E45</f>
        <v>0</v>
      </c>
      <c r="X48" s="290">
        <f t="shared" si="18"/>
        <v>0</v>
      </c>
      <c r="Y48" s="289">
        <f>'[1]Feb midyear Acadiana Ren'!E45</f>
        <v>0</v>
      </c>
      <c r="Z48" s="290">
        <f t="shared" si="19"/>
        <v>0</v>
      </c>
      <c r="AA48" s="288">
        <f t="shared" si="20"/>
        <v>0</v>
      </c>
      <c r="AB48" s="324">
        <f t="shared" si="21"/>
        <v>0</v>
      </c>
      <c r="AC48" s="292">
        <f t="shared" si="22"/>
        <v>0</v>
      </c>
      <c r="AD48" s="324">
        <f t="shared" si="23"/>
        <v>0</v>
      </c>
      <c r="AE48" s="293">
        <v>0</v>
      </c>
      <c r="AF48" s="324">
        <f t="shared" si="24"/>
        <v>0</v>
      </c>
      <c r="AG48" s="293">
        <f>'[2]Table 5C1U-Acadiana Ren'!AI48+'[14]Table 5C1U-Acadiana Ren'!AI48+(6*'[20]Table 5C1U-Acadiana Ren'!AI48)</f>
        <v>0</v>
      </c>
      <c r="AH48" s="293">
        <f t="shared" si="25"/>
        <v>0</v>
      </c>
      <c r="AI48" s="324">
        <f t="shared" si="31"/>
        <v>0</v>
      </c>
      <c r="AJ48" s="321">
        <f t="shared" si="26"/>
        <v>0</v>
      </c>
      <c r="AK48" s="342">
        <f t="shared" si="27"/>
        <v>0</v>
      </c>
      <c r="AM48" s="286">
        <v>0</v>
      </c>
      <c r="AN48" s="286">
        <f t="shared" si="28"/>
        <v>0</v>
      </c>
      <c r="AO48" s="286">
        <f t="shared" si="29"/>
        <v>0</v>
      </c>
    </row>
    <row r="49" spans="1:41" ht="16.149999999999999" customHeight="1">
      <c r="A49" s="198">
        <v>43</v>
      </c>
      <c r="B49" s="199" t="s">
        <v>115</v>
      </c>
      <c r="C49" s="995">
        <v>0</v>
      </c>
      <c r="D49" s="201">
        <f>+'Table 5C1A-Madison Prep'!D49</f>
        <v>5788.74387205947</v>
      </c>
      <c r="E49" s="202">
        <f t="shared" si="8"/>
        <v>0</v>
      </c>
      <c r="F49" s="202">
        <f>+'Table 5C1A-Madison Prep'!F49</f>
        <v>574.6099999999999</v>
      </c>
      <c r="G49" s="202">
        <f t="shared" si="9"/>
        <v>0</v>
      </c>
      <c r="H49" s="345">
        <f t="shared" si="10"/>
        <v>0</v>
      </c>
      <c r="I49" s="991">
        <f>'[1]Oct midyear Acadiana Ren'!K46</f>
        <v>0</v>
      </c>
      <c r="J49" s="203">
        <f>'[1]Feb midyear Acadiana Ren'!K46</f>
        <v>0</v>
      </c>
      <c r="K49" s="204">
        <f t="shared" si="11"/>
        <v>0</v>
      </c>
      <c r="L49" s="345">
        <f t="shared" si="12"/>
        <v>0</v>
      </c>
      <c r="M49" s="286">
        <f t="shared" si="4"/>
        <v>0</v>
      </c>
      <c r="N49" s="345">
        <f t="shared" si="13"/>
        <v>0</v>
      </c>
      <c r="O49" s="201">
        <v>0</v>
      </c>
      <c r="P49" s="351">
        <f t="shared" si="14"/>
        <v>0</v>
      </c>
      <c r="Q49" s="203">
        <f>'[2]Table 5C1U-Acadiana Ren'!S49+'[14]Table 5C1U-Acadiana Ren'!S49+(6*'[20]Table 5C1U-Acadiana Ren'!S49)</f>
        <v>0</v>
      </c>
      <c r="R49" s="203">
        <f t="shared" si="15"/>
        <v>0</v>
      </c>
      <c r="S49" s="351">
        <f t="shared" si="30"/>
        <v>0</v>
      </c>
      <c r="T49" s="351">
        <f t="shared" si="16"/>
        <v>0</v>
      </c>
      <c r="U49" s="287">
        <f>'Table 5C1A-Madison Prep'!U49</f>
        <v>3334</v>
      </c>
      <c r="V49" s="328">
        <f t="shared" si="17"/>
        <v>0</v>
      </c>
      <c r="W49" s="995">
        <f>'[1]Oct midyear Acadiana Ren'!E46</f>
        <v>0</v>
      </c>
      <c r="X49" s="290">
        <f t="shared" si="18"/>
        <v>0</v>
      </c>
      <c r="Y49" s="289">
        <f>'[1]Feb midyear Acadiana Ren'!E46</f>
        <v>0</v>
      </c>
      <c r="Z49" s="290">
        <f t="shared" si="19"/>
        <v>0</v>
      </c>
      <c r="AA49" s="288">
        <f t="shared" si="20"/>
        <v>0</v>
      </c>
      <c r="AB49" s="324">
        <f t="shared" si="21"/>
        <v>0</v>
      </c>
      <c r="AC49" s="292">
        <f t="shared" si="22"/>
        <v>0</v>
      </c>
      <c r="AD49" s="324">
        <f t="shared" si="23"/>
        <v>0</v>
      </c>
      <c r="AE49" s="293">
        <v>0</v>
      </c>
      <c r="AF49" s="324">
        <f t="shared" si="24"/>
        <v>0</v>
      </c>
      <c r="AG49" s="293">
        <f>'[2]Table 5C1U-Acadiana Ren'!AI49+'[14]Table 5C1U-Acadiana Ren'!AI49+(6*'[20]Table 5C1U-Acadiana Ren'!AI49)</f>
        <v>0</v>
      </c>
      <c r="AH49" s="293">
        <f t="shared" si="25"/>
        <v>0</v>
      </c>
      <c r="AI49" s="324">
        <f t="shared" si="31"/>
        <v>0</v>
      </c>
      <c r="AJ49" s="321">
        <f t="shared" si="26"/>
        <v>0</v>
      </c>
      <c r="AK49" s="342">
        <f t="shared" si="27"/>
        <v>0</v>
      </c>
      <c r="AM49" s="286">
        <v>0</v>
      </c>
      <c r="AN49" s="286">
        <f t="shared" si="28"/>
        <v>0</v>
      </c>
      <c r="AO49" s="286">
        <f t="shared" si="29"/>
        <v>0</v>
      </c>
    </row>
    <row r="50" spans="1:41" ht="16.149999999999999" customHeight="1">
      <c r="A50" s="198">
        <v>44</v>
      </c>
      <c r="B50" s="199" t="s">
        <v>116</v>
      </c>
      <c r="C50" s="995">
        <v>0</v>
      </c>
      <c r="D50" s="201">
        <f>+'Table 5C1A-Madison Prep'!D50</f>
        <v>4897.5958151820359</v>
      </c>
      <c r="E50" s="202">
        <f t="shared" si="8"/>
        <v>0</v>
      </c>
      <c r="F50" s="202">
        <f>+'Table 5C1A-Madison Prep'!F50</f>
        <v>663.16000000000008</v>
      </c>
      <c r="G50" s="202">
        <f t="shared" si="9"/>
        <v>0</v>
      </c>
      <c r="H50" s="345">
        <f t="shared" si="10"/>
        <v>0</v>
      </c>
      <c r="I50" s="991">
        <f>'[1]Oct midyear Acadiana Ren'!K47</f>
        <v>0</v>
      </c>
      <c r="J50" s="203">
        <f>'[1]Feb midyear Acadiana Ren'!K47</f>
        <v>0</v>
      </c>
      <c r="K50" s="204">
        <f t="shared" si="11"/>
        <v>0</v>
      </c>
      <c r="L50" s="345">
        <f t="shared" si="12"/>
        <v>0</v>
      </c>
      <c r="M50" s="286">
        <f t="shared" si="4"/>
        <v>0</v>
      </c>
      <c r="N50" s="345">
        <f t="shared" si="13"/>
        <v>0</v>
      </c>
      <c r="O50" s="201">
        <v>0</v>
      </c>
      <c r="P50" s="351">
        <f t="shared" si="14"/>
        <v>0</v>
      </c>
      <c r="Q50" s="203">
        <f>'[2]Table 5C1U-Acadiana Ren'!S50+'[14]Table 5C1U-Acadiana Ren'!S50+(6*'[20]Table 5C1U-Acadiana Ren'!S50)</f>
        <v>0</v>
      </c>
      <c r="R50" s="203">
        <f t="shared" si="15"/>
        <v>0</v>
      </c>
      <c r="S50" s="351">
        <f t="shared" si="30"/>
        <v>0</v>
      </c>
      <c r="T50" s="351">
        <f t="shared" si="16"/>
        <v>0</v>
      </c>
      <c r="U50" s="287">
        <f>'Table 5C1A-Madison Prep'!U50</f>
        <v>3587</v>
      </c>
      <c r="V50" s="328">
        <f t="shared" si="17"/>
        <v>0</v>
      </c>
      <c r="W50" s="995">
        <f>'[1]Oct midyear Acadiana Ren'!E47</f>
        <v>0</v>
      </c>
      <c r="X50" s="290">
        <f t="shared" si="18"/>
        <v>0</v>
      </c>
      <c r="Y50" s="289">
        <f>'[1]Feb midyear Acadiana Ren'!E47</f>
        <v>0</v>
      </c>
      <c r="Z50" s="290">
        <f t="shared" si="19"/>
        <v>0</v>
      </c>
      <c r="AA50" s="288">
        <f t="shared" si="20"/>
        <v>0</v>
      </c>
      <c r="AB50" s="324">
        <f t="shared" si="21"/>
        <v>0</v>
      </c>
      <c r="AC50" s="292">
        <f t="shared" si="22"/>
        <v>0</v>
      </c>
      <c r="AD50" s="324">
        <f t="shared" si="23"/>
        <v>0</v>
      </c>
      <c r="AE50" s="293">
        <v>0</v>
      </c>
      <c r="AF50" s="324">
        <f t="shared" si="24"/>
        <v>0</v>
      </c>
      <c r="AG50" s="293">
        <f>'[2]Table 5C1U-Acadiana Ren'!AI50+'[14]Table 5C1U-Acadiana Ren'!AI50+(6*'[20]Table 5C1U-Acadiana Ren'!AI50)</f>
        <v>0</v>
      </c>
      <c r="AH50" s="293">
        <f t="shared" si="25"/>
        <v>0</v>
      </c>
      <c r="AI50" s="324">
        <f t="shared" si="31"/>
        <v>0</v>
      </c>
      <c r="AJ50" s="321">
        <f t="shared" si="26"/>
        <v>0</v>
      </c>
      <c r="AK50" s="342">
        <f t="shared" si="27"/>
        <v>0</v>
      </c>
      <c r="AM50" s="286">
        <v>0</v>
      </c>
      <c r="AN50" s="286">
        <f t="shared" si="28"/>
        <v>0</v>
      </c>
      <c r="AO50" s="286">
        <f t="shared" si="29"/>
        <v>0</v>
      </c>
    </row>
    <row r="51" spans="1:41" ht="16.149999999999999" customHeight="1">
      <c r="A51" s="191">
        <v>45</v>
      </c>
      <c r="B51" s="192" t="s">
        <v>117</v>
      </c>
      <c r="C51" s="996">
        <v>0</v>
      </c>
      <c r="D51" s="194">
        <f>+'Table 5C1A-Madison Prep'!D51</f>
        <v>2054.0472499469101</v>
      </c>
      <c r="E51" s="195">
        <f t="shared" si="8"/>
        <v>0</v>
      </c>
      <c r="F51" s="195">
        <f>+'Table 5C1A-Madison Prep'!F51</f>
        <v>753.96000000000015</v>
      </c>
      <c r="G51" s="195">
        <f t="shared" si="9"/>
        <v>0</v>
      </c>
      <c r="H51" s="346">
        <f t="shared" si="10"/>
        <v>0</v>
      </c>
      <c r="I51" s="992">
        <f>'[1]Oct midyear Acadiana Ren'!K48</f>
        <v>0</v>
      </c>
      <c r="J51" s="196">
        <f>'[1]Feb midyear Acadiana Ren'!K48</f>
        <v>0</v>
      </c>
      <c r="K51" s="197">
        <f t="shared" si="11"/>
        <v>0</v>
      </c>
      <c r="L51" s="346">
        <f t="shared" si="12"/>
        <v>0</v>
      </c>
      <c r="M51" s="296">
        <f t="shared" si="4"/>
        <v>0</v>
      </c>
      <c r="N51" s="346">
        <f t="shared" si="13"/>
        <v>0</v>
      </c>
      <c r="O51" s="194">
        <v>0</v>
      </c>
      <c r="P51" s="352">
        <f t="shared" si="14"/>
        <v>0</v>
      </c>
      <c r="Q51" s="196">
        <f>'[2]Table 5C1U-Acadiana Ren'!S51+'[14]Table 5C1U-Acadiana Ren'!S51+(6*'[20]Table 5C1U-Acadiana Ren'!S51)</f>
        <v>0</v>
      </c>
      <c r="R51" s="196">
        <f t="shared" si="15"/>
        <v>0</v>
      </c>
      <c r="S51" s="352">
        <f t="shared" si="30"/>
        <v>0</v>
      </c>
      <c r="T51" s="352">
        <f t="shared" si="16"/>
        <v>0</v>
      </c>
      <c r="U51" s="281">
        <f>'Table 5C1A-Madison Prep'!U51</f>
        <v>12134</v>
      </c>
      <c r="V51" s="329">
        <f t="shared" si="17"/>
        <v>0</v>
      </c>
      <c r="W51" s="996">
        <f>'[1]Oct midyear Acadiana Ren'!E48</f>
        <v>0</v>
      </c>
      <c r="X51" s="282">
        <f t="shared" si="18"/>
        <v>0</v>
      </c>
      <c r="Y51" s="884">
        <f>'[1]Feb midyear Acadiana Ren'!E48</f>
        <v>0</v>
      </c>
      <c r="Z51" s="282">
        <f t="shared" si="19"/>
        <v>0</v>
      </c>
      <c r="AA51" s="283">
        <f t="shared" si="20"/>
        <v>0</v>
      </c>
      <c r="AB51" s="325">
        <f t="shared" si="21"/>
        <v>0</v>
      </c>
      <c r="AC51" s="298">
        <f t="shared" si="22"/>
        <v>0</v>
      </c>
      <c r="AD51" s="325">
        <f t="shared" si="23"/>
        <v>0</v>
      </c>
      <c r="AE51" s="284">
        <v>0</v>
      </c>
      <c r="AF51" s="325">
        <f t="shared" si="24"/>
        <v>0</v>
      </c>
      <c r="AG51" s="284">
        <f>'[2]Table 5C1U-Acadiana Ren'!AI51+'[14]Table 5C1U-Acadiana Ren'!AI51+(6*'[20]Table 5C1U-Acadiana Ren'!AI51)</f>
        <v>0</v>
      </c>
      <c r="AH51" s="284">
        <f t="shared" si="25"/>
        <v>0</v>
      </c>
      <c r="AI51" s="325">
        <f t="shared" si="31"/>
        <v>0</v>
      </c>
      <c r="AJ51" s="338">
        <f t="shared" si="26"/>
        <v>0</v>
      </c>
      <c r="AK51" s="343">
        <f t="shared" si="27"/>
        <v>0</v>
      </c>
      <c r="AM51" s="296">
        <v>0</v>
      </c>
      <c r="AN51" s="296">
        <f t="shared" si="28"/>
        <v>0</v>
      </c>
      <c r="AO51" s="296">
        <f t="shared" si="29"/>
        <v>0</v>
      </c>
    </row>
    <row r="52" spans="1:41" ht="16.149999999999999" customHeight="1">
      <c r="A52" s="205">
        <v>46</v>
      </c>
      <c r="B52" s="206" t="s">
        <v>118</v>
      </c>
      <c r="C52" s="994">
        <v>0</v>
      </c>
      <c r="D52" s="208">
        <f>+'Table 5C1A-Madison Prep'!D52</f>
        <v>6051.2144468088381</v>
      </c>
      <c r="E52" s="209">
        <f t="shared" si="8"/>
        <v>0</v>
      </c>
      <c r="F52" s="209">
        <f>+'Table 5C1A-Madison Prep'!F52</f>
        <v>728.06</v>
      </c>
      <c r="G52" s="209">
        <f t="shared" si="9"/>
        <v>0</v>
      </c>
      <c r="H52" s="344">
        <f t="shared" si="10"/>
        <v>0</v>
      </c>
      <c r="I52" s="990">
        <f>'[1]Oct midyear Acadiana Ren'!K49</f>
        <v>0</v>
      </c>
      <c r="J52" s="210">
        <f>'[1]Feb midyear Acadiana Ren'!K49</f>
        <v>0</v>
      </c>
      <c r="K52" s="211">
        <f t="shared" si="11"/>
        <v>0</v>
      </c>
      <c r="L52" s="344">
        <f t="shared" si="12"/>
        <v>0</v>
      </c>
      <c r="M52" s="273">
        <f t="shared" si="4"/>
        <v>0</v>
      </c>
      <c r="N52" s="344">
        <f t="shared" si="13"/>
        <v>0</v>
      </c>
      <c r="O52" s="208">
        <v>0</v>
      </c>
      <c r="P52" s="350">
        <f t="shared" si="14"/>
        <v>0</v>
      </c>
      <c r="Q52" s="210">
        <f>'[2]Table 5C1U-Acadiana Ren'!S52+'[14]Table 5C1U-Acadiana Ren'!S52+(6*'[20]Table 5C1U-Acadiana Ren'!S52)</f>
        <v>0</v>
      </c>
      <c r="R52" s="210">
        <f t="shared" si="15"/>
        <v>0</v>
      </c>
      <c r="S52" s="350">
        <f t="shared" si="30"/>
        <v>0</v>
      </c>
      <c r="T52" s="350">
        <f t="shared" si="16"/>
        <v>0</v>
      </c>
      <c r="U52" s="274">
        <f>'Table 5C1A-Madison Prep'!U52</f>
        <v>2554</v>
      </c>
      <c r="V52" s="327">
        <f t="shared" si="17"/>
        <v>0</v>
      </c>
      <c r="W52" s="994">
        <f>'[1]Oct midyear Acadiana Ren'!E49</f>
        <v>0</v>
      </c>
      <c r="X52" s="276">
        <f t="shared" si="18"/>
        <v>0</v>
      </c>
      <c r="Y52" s="883">
        <f>'[1]Feb midyear Acadiana Ren'!E49</f>
        <v>0</v>
      </c>
      <c r="Z52" s="276">
        <f t="shared" si="19"/>
        <v>0</v>
      </c>
      <c r="AA52" s="275">
        <f t="shared" si="20"/>
        <v>0</v>
      </c>
      <c r="AB52" s="323">
        <f t="shared" si="21"/>
        <v>0</v>
      </c>
      <c r="AC52" s="278">
        <f t="shared" si="22"/>
        <v>0</v>
      </c>
      <c r="AD52" s="323">
        <f t="shared" si="23"/>
        <v>0</v>
      </c>
      <c r="AE52" s="279">
        <v>0</v>
      </c>
      <c r="AF52" s="323">
        <f t="shared" si="24"/>
        <v>0</v>
      </c>
      <c r="AG52" s="279">
        <f>'[2]Table 5C1U-Acadiana Ren'!AI52+'[14]Table 5C1U-Acadiana Ren'!AI52+(6*'[20]Table 5C1U-Acadiana Ren'!AI52)</f>
        <v>0</v>
      </c>
      <c r="AH52" s="279">
        <f t="shared" si="25"/>
        <v>0</v>
      </c>
      <c r="AI52" s="323">
        <f t="shared" si="31"/>
        <v>0</v>
      </c>
      <c r="AJ52" s="337">
        <f t="shared" si="26"/>
        <v>0</v>
      </c>
      <c r="AK52" s="341">
        <f t="shared" si="27"/>
        <v>0</v>
      </c>
      <c r="AM52" s="273">
        <v>0</v>
      </c>
      <c r="AN52" s="273">
        <f t="shared" si="28"/>
        <v>0</v>
      </c>
      <c r="AO52" s="273">
        <f t="shared" si="29"/>
        <v>0</v>
      </c>
    </row>
    <row r="53" spans="1:41" ht="16.149999999999999" customHeight="1">
      <c r="A53" s="198">
        <v>47</v>
      </c>
      <c r="B53" s="199" t="s">
        <v>119</v>
      </c>
      <c r="C53" s="995">
        <v>0</v>
      </c>
      <c r="D53" s="201">
        <f>+'Table 5C1A-Madison Prep'!D53</f>
        <v>2524.1485257646736</v>
      </c>
      <c r="E53" s="202">
        <f t="shared" si="8"/>
        <v>0</v>
      </c>
      <c r="F53" s="202">
        <f>+'Table 5C1A-Madison Prep'!F53</f>
        <v>910.76</v>
      </c>
      <c r="G53" s="202">
        <f t="shared" si="9"/>
        <v>0</v>
      </c>
      <c r="H53" s="345">
        <f t="shared" si="10"/>
        <v>0</v>
      </c>
      <c r="I53" s="991">
        <f>'[1]Oct midyear Acadiana Ren'!K50</f>
        <v>0</v>
      </c>
      <c r="J53" s="203">
        <f>'[1]Feb midyear Acadiana Ren'!K50</f>
        <v>0</v>
      </c>
      <c r="K53" s="204">
        <f t="shared" si="11"/>
        <v>0</v>
      </c>
      <c r="L53" s="345">
        <f t="shared" si="12"/>
        <v>0</v>
      </c>
      <c r="M53" s="286">
        <f t="shared" si="4"/>
        <v>0</v>
      </c>
      <c r="N53" s="345">
        <f t="shared" si="13"/>
        <v>0</v>
      </c>
      <c r="O53" s="201">
        <v>0</v>
      </c>
      <c r="P53" s="351">
        <f t="shared" si="14"/>
        <v>0</v>
      </c>
      <c r="Q53" s="203">
        <f>'[2]Table 5C1U-Acadiana Ren'!S53+'[14]Table 5C1U-Acadiana Ren'!S53+(6*'[20]Table 5C1U-Acadiana Ren'!S53)</f>
        <v>0</v>
      </c>
      <c r="R53" s="203">
        <f t="shared" si="15"/>
        <v>0</v>
      </c>
      <c r="S53" s="351">
        <f t="shared" si="30"/>
        <v>0</v>
      </c>
      <c r="T53" s="351">
        <f t="shared" si="16"/>
        <v>0</v>
      </c>
      <c r="U53" s="287">
        <f>'Table 5C1A-Madison Prep'!U53</f>
        <v>11506</v>
      </c>
      <c r="V53" s="328">
        <f t="shared" si="17"/>
        <v>0</v>
      </c>
      <c r="W53" s="995">
        <f>'[1]Oct midyear Acadiana Ren'!E50</f>
        <v>0</v>
      </c>
      <c r="X53" s="290">
        <f t="shared" si="18"/>
        <v>0</v>
      </c>
      <c r="Y53" s="289">
        <f>'[1]Feb midyear Acadiana Ren'!E50</f>
        <v>0</v>
      </c>
      <c r="Z53" s="290">
        <f t="shared" si="19"/>
        <v>0</v>
      </c>
      <c r="AA53" s="288">
        <f t="shared" si="20"/>
        <v>0</v>
      </c>
      <c r="AB53" s="324">
        <f t="shared" si="21"/>
        <v>0</v>
      </c>
      <c r="AC53" s="292">
        <f t="shared" si="22"/>
        <v>0</v>
      </c>
      <c r="AD53" s="324">
        <f t="shared" si="23"/>
        <v>0</v>
      </c>
      <c r="AE53" s="293">
        <v>0</v>
      </c>
      <c r="AF53" s="324">
        <f t="shared" si="24"/>
        <v>0</v>
      </c>
      <c r="AG53" s="293">
        <f>'[2]Table 5C1U-Acadiana Ren'!AI53+'[14]Table 5C1U-Acadiana Ren'!AI53+(6*'[20]Table 5C1U-Acadiana Ren'!AI53)</f>
        <v>0</v>
      </c>
      <c r="AH53" s="293">
        <f t="shared" si="25"/>
        <v>0</v>
      </c>
      <c r="AI53" s="324">
        <f t="shared" si="31"/>
        <v>0</v>
      </c>
      <c r="AJ53" s="321">
        <f t="shared" si="26"/>
        <v>0</v>
      </c>
      <c r="AK53" s="342">
        <f t="shared" si="27"/>
        <v>0</v>
      </c>
      <c r="AM53" s="286">
        <v>0</v>
      </c>
      <c r="AN53" s="286">
        <f t="shared" si="28"/>
        <v>0</v>
      </c>
      <c r="AO53" s="286">
        <f t="shared" si="29"/>
        <v>0</v>
      </c>
    </row>
    <row r="54" spans="1:41" ht="16.149999999999999" customHeight="1">
      <c r="A54" s="198">
        <v>48</v>
      </c>
      <c r="B54" s="199" t="s">
        <v>144</v>
      </c>
      <c r="C54" s="995">
        <v>0</v>
      </c>
      <c r="D54" s="201">
        <f>+'Table 5C1A-Madison Prep'!D54</f>
        <v>3983.3582529800719</v>
      </c>
      <c r="E54" s="202">
        <f t="shared" si="8"/>
        <v>0</v>
      </c>
      <c r="F54" s="202">
        <f>+'Table 5C1A-Madison Prep'!F54</f>
        <v>871.07</v>
      </c>
      <c r="G54" s="202">
        <f t="shared" si="9"/>
        <v>0</v>
      </c>
      <c r="H54" s="345">
        <f t="shared" si="10"/>
        <v>0</v>
      </c>
      <c r="I54" s="991">
        <f>'[1]Oct midyear Acadiana Ren'!K51</f>
        <v>0</v>
      </c>
      <c r="J54" s="203">
        <f>'[1]Feb midyear Acadiana Ren'!K51</f>
        <v>0</v>
      </c>
      <c r="K54" s="204">
        <f t="shared" si="11"/>
        <v>0</v>
      </c>
      <c r="L54" s="345">
        <f t="shared" si="12"/>
        <v>0</v>
      </c>
      <c r="M54" s="286">
        <f t="shared" si="4"/>
        <v>0</v>
      </c>
      <c r="N54" s="345">
        <f t="shared" si="13"/>
        <v>0</v>
      </c>
      <c r="O54" s="201">
        <v>0</v>
      </c>
      <c r="P54" s="351">
        <f t="shared" si="14"/>
        <v>0</v>
      </c>
      <c r="Q54" s="203">
        <f>'[2]Table 5C1U-Acadiana Ren'!S54+'[14]Table 5C1U-Acadiana Ren'!S54+(6*'[20]Table 5C1U-Acadiana Ren'!S54)</f>
        <v>0</v>
      </c>
      <c r="R54" s="203">
        <f t="shared" si="15"/>
        <v>0</v>
      </c>
      <c r="S54" s="351">
        <f t="shared" si="30"/>
        <v>0</v>
      </c>
      <c r="T54" s="351">
        <f t="shared" si="16"/>
        <v>0</v>
      </c>
      <c r="U54" s="287">
        <f>'Table 5C1A-Madison Prep'!U54</f>
        <v>6827</v>
      </c>
      <c r="V54" s="328">
        <f t="shared" si="17"/>
        <v>0</v>
      </c>
      <c r="W54" s="995">
        <f>'[1]Oct midyear Acadiana Ren'!E51</f>
        <v>0</v>
      </c>
      <c r="X54" s="290">
        <f t="shared" si="18"/>
        <v>0</v>
      </c>
      <c r="Y54" s="289">
        <f>'[1]Feb midyear Acadiana Ren'!E51</f>
        <v>0</v>
      </c>
      <c r="Z54" s="290">
        <f t="shared" si="19"/>
        <v>0</v>
      </c>
      <c r="AA54" s="288">
        <f t="shared" si="20"/>
        <v>0</v>
      </c>
      <c r="AB54" s="324">
        <f t="shared" si="21"/>
        <v>0</v>
      </c>
      <c r="AC54" s="292">
        <f t="shared" si="22"/>
        <v>0</v>
      </c>
      <c r="AD54" s="324">
        <f t="shared" si="23"/>
        <v>0</v>
      </c>
      <c r="AE54" s="293">
        <v>0</v>
      </c>
      <c r="AF54" s="324">
        <f t="shared" si="24"/>
        <v>0</v>
      </c>
      <c r="AG54" s="293">
        <f>'[2]Table 5C1U-Acadiana Ren'!AI54+'[14]Table 5C1U-Acadiana Ren'!AI54+(6*'[20]Table 5C1U-Acadiana Ren'!AI54)</f>
        <v>0</v>
      </c>
      <c r="AH54" s="293">
        <f t="shared" si="25"/>
        <v>0</v>
      </c>
      <c r="AI54" s="324">
        <f t="shared" si="31"/>
        <v>0</v>
      </c>
      <c r="AJ54" s="321">
        <f t="shared" si="26"/>
        <v>0</v>
      </c>
      <c r="AK54" s="342">
        <f t="shared" si="27"/>
        <v>0</v>
      </c>
      <c r="AM54" s="286">
        <v>0</v>
      </c>
      <c r="AN54" s="286">
        <f t="shared" si="28"/>
        <v>0</v>
      </c>
      <c r="AO54" s="286">
        <f t="shared" si="29"/>
        <v>0</v>
      </c>
    </row>
    <row r="55" spans="1:41" ht="16.149999999999999" customHeight="1">
      <c r="A55" s="198">
        <v>49</v>
      </c>
      <c r="B55" s="199" t="s">
        <v>120</v>
      </c>
      <c r="C55" s="995">
        <v>0</v>
      </c>
      <c r="D55" s="201">
        <f>+'Table 5C1A-Madison Prep'!D55</f>
        <v>4995.8755315659191</v>
      </c>
      <c r="E55" s="202">
        <f t="shared" si="8"/>
        <v>0</v>
      </c>
      <c r="F55" s="202">
        <f>+'Table 5C1A-Madison Prep'!F55</f>
        <v>574.43999999999994</v>
      </c>
      <c r="G55" s="202">
        <f t="shared" si="9"/>
        <v>0</v>
      </c>
      <c r="H55" s="345">
        <f t="shared" si="10"/>
        <v>0</v>
      </c>
      <c r="I55" s="991">
        <f>'[1]Oct midyear Acadiana Ren'!K52</f>
        <v>0</v>
      </c>
      <c r="J55" s="203">
        <f>'[1]Feb midyear Acadiana Ren'!K52</f>
        <v>2785.1577657829594</v>
      </c>
      <c r="K55" s="204">
        <f t="shared" si="11"/>
        <v>2785.1577657829594</v>
      </c>
      <c r="L55" s="345">
        <f t="shared" si="12"/>
        <v>2785.1577657829594</v>
      </c>
      <c r="M55" s="286">
        <f t="shared" si="4"/>
        <v>-6.9628944144573985</v>
      </c>
      <c r="N55" s="345">
        <f t="shared" si="13"/>
        <v>2778.1948713685019</v>
      </c>
      <c r="O55" s="201">
        <v>0</v>
      </c>
      <c r="P55" s="351">
        <f t="shared" si="14"/>
        <v>2778.1948713685019</v>
      </c>
      <c r="Q55" s="203">
        <f>'[2]Table 5C1U-Acadiana Ren'!S55+'[14]Table 5C1U-Acadiana Ren'!S55+(6*'[20]Table 5C1U-Acadiana Ren'!S55)</f>
        <v>7070</v>
      </c>
      <c r="R55" s="203">
        <f t="shared" si="15"/>
        <v>-4291.8051286314985</v>
      </c>
      <c r="S55" s="351">
        <f t="shared" si="30"/>
        <v>-1073</v>
      </c>
      <c r="T55" s="351">
        <f t="shared" si="16"/>
        <v>2778.1948713685019</v>
      </c>
      <c r="U55" s="287">
        <f>'Table 5C1A-Madison Prep'!U55</f>
        <v>2399</v>
      </c>
      <c r="V55" s="328">
        <f t="shared" si="17"/>
        <v>0</v>
      </c>
      <c r="W55" s="995">
        <f>'[1]Oct midyear Acadiana Ren'!E52</f>
        <v>0</v>
      </c>
      <c r="X55" s="290">
        <f t="shared" si="18"/>
        <v>0</v>
      </c>
      <c r="Y55" s="289">
        <f>'[1]Feb midyear Acadiana Ren'!E52</f>
        <v>1</v>
      </c>
      <c r="Z55" s="290">
        <f t="shared" si="19"/>
        <v>1199.5</v>
      </c>
      <c r="AA55" s="288">
        <f t="shared" si="20"/>
        <v>1199.5</v>
      </c>
      <c r="AB55" s="324">
        <f t="shared" si="21"/>
        <v>1199.5</v>
      </c>
      <c r="AC55" s="292">
        <f t="shared" si="22"/>
        <v>-2.9987500000000002</v>
      </c>
      <c r="AD55" s="324">
        <f t="shared" si="23"/>
        <v>1196.50125</v>
      </c>
      <c r="AE55" s="293">
        <v>0</v>
      </c>
      <c r="AF55" s="324">
        <f t="shared" si="24"/>
        <v>1196.50125</v>
      </c>
      <c r="AG55" s="293">
        <f>'[2]Table 5C1U-Acadiana Ren'!AI55+'[14]Table 5C1U-Acadiana Ren'!AI55+(6*'[20]Table 5C1U-Acadiana Ren'!AI55)</f>
        <v>2989</v>
      </c>
      <c r="AH55" s="293">
        <f t="shared" si="25"/>
        <v>-1792.49875</v>
      </c>
      <c r="AI55" s="324">
        <f t="shared" si="31"/>
        <v>-448</v>
      </c>
      <c r="AJ55" s="321">
        <f t="shared" si="26"/>
        <v>3974.6961213685017</v>
      </c>
      <c r="AK55" s="342">
        <f t="shared" si="27"/>
        <v>-1521</v>
      </c>
      <c r="AM55" s="286">
        <v>0</v>
      </c>
      <c r="AN55" s="286">
        <f t="shared" si="28"/>
        <v>-2.9987500000000002</v>
      </c>
      <c r="AO55" s="286">
        <f t="shared" si="29"/>
        <v>-2.9987500000000002</v>
      </c>
    </row>
    <row r="56" spans="1:41" ht="16.149999999999999" customHeight="1">
      <c r="A56" s="191">
        <v>50</v>
      </c>
      <c r="B56" s="192" t="s">
        <v>121</v>
      </c>
      <c r="C56" s="996">
        <v>0</v>
      </c>
      <c r="D56" s="194">
        <f>+'Table 5C1A-Madison Prep'!D56</f>
        <v>5177.6892722701677</v>
      </c>
      <c r="E56" s="195">
        <f t="shared" si="8"/>
        <v>0</v>
      </c>
      <c r="F56" s="195">
        <f>+'Table 5C1A-Madison Prep'!F56</f>
        <v>634.46</v>
      </c>
      <c r="G56" s="195">
        <f t="shared" si="9"/>
        <v>0</v>
      </c>
      <c r="H56" s="346">
        <f t="shared" si="10"/>
        <v>0</v>
      </c>
      <c r="I56" s="992">
        <f>'[1]Oct midyear Acadiana Ren'!K53</f>
        <v>34872.89563362101</v>
      </c>
      <c r="J56" s="196">
        <f>'[1]Feb midyear Acadiana Ren'!K53</f>
        <v>2906.0746361350839</v>
      </c>
      <c r="K56" s="197">
        <f t="shared" si="11"/>
        <v>37778.970269756093</v>
      </c>
      <c r="L56" s="346">
        <f t="shared" si="12"/>
        <v>37778.970269756093</v>
      </c>
      <c r="M56" s="296">
        <f t="shared" si="4"/>
        <v>-94.447425674390232</v>
      </c>
      <c r="N56" s="346">
        <f t="shared" si="13"/>
        <v>37684.522844081701</v>
      </c>
      <c r="O56" s="194">
        <v>0</v>
      </c>
      <c r="P56" s="352">
        <f t="shared" si="14"/>
        <v>37684.522844081701</v>
      </c>
      <c r="Q56" s="196">
        <f>'[2]Table 5C1U-Acadiana Ren'!S56+'[14]Table 5C1U-Acadiana Ren'!S56+(6*'[20]Table 5C1U-Acadiana Ren'!S56)</f>
        <v>458645</v>
      </c>
      <c r="R56" s="196">
        <f t="shared" si="15"/>
        <v>-420960.47715591831</v>
      </c>
      <c r="S56" s="352">
        <f t="shared" si="30"/>
        <v>-105240</v>
      </c>
      <c r="T56" s="352">
        <f t="shared" si="16"/>
        <v>37684.522844081701</v>
      </c>
      <c r="U56" s="281">
        <f>'Table 5C1A-Madison Prep'!U56</f>
        <v>3413</v>
      </c>
      <c r="V56" s="329">
        <f t="shared" si="17"/>
        <v>0</v>
      </c>
      <c r="W56" s="996">
        <f>'[1]Oct midyear Acadiana Ren'!E53</f>
        <v>6</v>
      </c>
      <c r="X56" s="282">
        <f t="shared" si="18"/>
        <v>20478</v>
      </c>
      <c r="Y56" s="884">
        <f>'[1]Feb midyear Acadiana Ren'!E53</f>
        <v>1</v>
      </c>
      <c r="Z56" s="282">
        <f t="shared" si="19"/>
        <v>1706.5</v>
      </c>
      <c r="AA56" s="283">
        <f t="shared" si="20"/>
        <v>22184.5</v>
      </c>
      <c r="AB56" s="325">
        <f t="shared" si="21"/>
        <v>22184.5</v>
      </c>
      <c r="AC56" s="298">
        <f t="shared" si="22"/>
        <v>-55.46125</v>
      </c>
      <c r="AD56" s="325">
        <f t="shared" si="23"/>
        <v>22129.03875</v>
      </c>
      <c r="AE56" s="284">
        <v>0</v>
      </c>
      <c r="AF56" s="325">
        <f t="shared" si="24"/>
        <v>22129.03875</v>
      </c>
      <c r="AG56" s="284">
        <f>'[2]Table 5C1U-Acadiana Ren'!AI56+'[14]Table 5C1U-Acadiana Ren'!AI56+(6*'[20]Table 5C1U-Acadiana Ren'!AI56)</f>
        <v>276976</v>
      </c>
      <c r="AH56" s="284">
        <f t="shared" si="25"/>
        <v>-254846.96124999999</v>
      </c>
      <c r="AI56" s="325">
        <f t="shared" si="31"/>
        <v>-63712</v>
      </c>
      <c r="AJ56" s="338">
        <f t="shared" si="26"/>
        <v>59813.561594081701</v>
      </c>
      <c r="AK56" s="343">
        <f t="shared" si="27"/>
        <v>-168952</v>
      </c>
      <c r="AM56" s="296">
        <v>0</v>
      </c>
      <c r="AN56" s="296">
        <f t="shared" si="28"/>
        <v>-55.46125</v>
      </c>
      <c r="AO56" s="296">
        <f t="shared" si="29"/>
        <v>-55.46125</v>
      </c>
    </row>
    <row r="57" spans="1:41" ht="16.149999999999999" customHeight="1">
      <c r="A57" s="205">
        <v>51</v>
      </c>
      <c r="B57" s="206" t="s">
        <v>122</v>
      </c>
      <c r="C57" s="994">
        <v>0</v>
      </c>
      <c r="D57" s="208">
        <f>+'Table 5C1A-Madison Prep'!D57</f>
        <v>4154.1928602178996</v>
      </c>
      <c r="E57" s="209">
        <f t="shared" si="8"/>
        <v>0</v>
      </c>
      <c r="F57" s="209">
        <f>+'Table 5C1A-Madison Prep'!F57</f>
        <v>706.66</v>
      </c>
      <c r="G57" s="209">
        <f t="shared" si="9"/>
        <v>0</v>
      </c>
      <c r="H57" s="344">
        <f t="shared" si="10"/>
        <v>0</v>
      </c>
      <c r="I57" s="990">
        <f>'[1]Oct midyear Acadiana Ren'!K54</f>
        <v>0</v>
      </c>
      <c r="J57" s="210">
        <f>'[1]Feb midyear Acadiana Ren'!K54</f>
        <v>0</v>
      </c>
      <c r="K57" s="211">
        <f t="shared" si="11"/>
        <v>0</v>
      </c>
      <c r="L57" s="344">
        <f t="shared" si="12"/>
        <v>0</v>
      </c>
      <c r="M57" s="273">
        <f t="shared" si="4"/>
        <v>0</v>
      </c>
      <c r="N57" s="344">
        <f t="shared" si="13"/>
        <v>0</v>
      </c>
      <c r="O57" s="208">
        <v>0</v>
      </c>
      <c r="P57" s="350">
        <f t="shared" si="14"/>
        <v>0</v>
      </c>
      <c r="Q57" s="210">
        <f>'[2]Table 5C1U-Acadiana Ren'!S57+'[14]Table 5C1U-Acadiana Ren'!S57+(6*'[20]Table 5C1U-Acadiana Ren'!S57)</f>
        <v>177</v>
      </c>
      <c r="R57" s="210">
        <f t="shared" si="15"/>
        <v>-177</v>
      </c>
      <c r="S57" s="350">
        <f t="shared" si="30"/>
        <v>-44</v>
      </c>
      <c r="T57" s="350">
        <f t="shared" si="16"/>
        <v>0</v>
      </c>
      <c r="U57" s="274">
        <f>'Table 5C1A-Madison Prep'!U57</f>
        <v>4512</v>
      </c>
      <c r="V57" s="327">
        <f t="shared" si="17"/>
        <v>0</v>
      </c>
      <c r="W57" s="994">
        <f>'[1]Oct midyear Acadiana Ren'!E54</f>
        <v>0</v>
      </c>
      <c r="X57" s="276">
        <f t="shared" si="18"/>
        <v>0</v>
      </c>
      <c r="Y57" s="883">
        <f>'[1]Feb midyear Acadiana Ren'!E54</f>
        <v>0</v>
      </c>
      <c r="Z57" s="276">
        <f t="shared" si="19"/>
        <v>0</v>
      </c>
      <c r="AA57" s="275">
        <f t="shared" si="20"/>
        <v>0</v>
      </c>
      <c r="AB57" s="323">
        <f t="shared" si="21"/>
        <v>0</v>
      </c>
      <c r="AC57" s="278">
        <f t="shared" si="22"/>
        <v>0</v>
      </c>
      <c r="AD57" s="323">
        <f t="shared" si="23"/>
        <v>0</v>
      </c>
      <c r="AE57" s="279">
        <v>0</v>
      </c>
      <c r="AF57" s="323">
        <f t="shared" si="24"/>
        <v>0</v>
      </c>
      <c r="AG57" s="279">
        <f>'[2]Table 5C1U-Acadiana Ren'!AI57+'[14]Table 5C1U-Acadiana Ren'!AI57+(6*'[20]Table 5C1U-Acadiana Ren'!AI57)</f>
        <v>165</v>
      </c>
      <c r="AH57" s="279">
        <f t="shared" si="25"/>
        <v>-165</v>
      </c>
      <c r="AI57" s="323">
        <f t="shared" si="31"/>
        <v>-41</v>
      </c>
      <c r="AJ57" s="337">
        <f t="shared" si="26"/>
        <v>0</v>
      </c>
      <c r="AK57" s="341">
        <f t="shared" si="27"/>
        <v>-85</v>
      </c>
      <c r="AM57" s="273">
        <v>0</v>
      </c>
      <c r="AN57" s="273">
        <f t="shared" si="28"/>
        <v>0</v>
      </c>
      <c r="AO57" s="273">
        <f t="shared" si="29"/>
        <v>0</v>
      </c>
    </row>
    <row r="58" spans="1:41" ht="16.149999999999999" customHeight="1">
      <c r="A58" s="198">
        <v>52</v>
      </c>
      <c r="B58" s="199" t="s">
        <v>123</v>
      </c>
      <c r="C58" s="995">
        <v>0</v>
      </c>
      <c r="D58" s="201">
        <f>+'Table 5C1A-Madison Prep'!D58</f>
        <v>5062.2745845228173</v>
      </c>
      <c r="E58" s="202">
        <f t="shared" si="8"/>
        <v>0</v>
      </c>
      <c r="F58" s="202">
        <f>+'Table 5C1A-Madison Prep'!F58</f>
        <v>658.37</v>
      </c>
      <c r="G58" s="202">
        <f t="shared" si="9"/>
        <v>0</v>
      </c>
      <c r="H58" s="345">
        <f t="shared" si="10"/>
        <v>0</v>
      </c>
      <c r="I58" s="991">
        <f>'[1]Oct midyear Acadiana Ren'!K55</f>
        <v>0</v>
      </c>
      <c r="J58" s="203">
        <f>'[1]Feb midyear Acadiana Ren'!K55</f>
        <v>0</v>
      </c>
      <c r="K58" s="204">
        <f t="shared" si="11"/>
        <v>0</v>
      </c>
      <c r="L58" s="345">
        <f t="shared" si="12"/>
        <v>0</v>
      </c>
      <c r="M58" s="286">
        <f t="shared" si="4"/>
        <v>0</v>
      </c>
      <c r="N58" s="345">
        <f t="shared" si="13"/>
        <v>0</v>
      </c>
      <c r="O58" s="201">
        <v>0</v>
      </c>
      <c r="P58" s="351">
        <f t="shared" si="14"/>
        <v>0</v>
      </c>
      <c r="Q58" s="203">
        <f>'[2]Table 5C1U-Acadiana Ren'!S58+'[14]Table 5C1U-Acadiana Ren'!S58+(6*'[20]Table 5C1U-Acadiana Ren'!S58)</f>
        <v>414</v>
      </c>
      <c r="R58" s="203">
        <f t="shared" si="15"/>
        <v>-414</v>
      </c>
      <c r="S58" s="351">
        <f t="shared" si="30"/>
        <v>-104</v>
      </c>
      <c r="T58" s="351">
        <f t="shared" si="16"/>
        <v>0</v>
      </c>
      <c r="U58" s="287">
        <f>'Table 5C1A-Madison Prep'!U58</f>
        <v>5289</v>
      </c>
      <c r="V58" s="328">
        <f t="shared" si="17"/>
        <v>0</v>
      </c>
      <c r="W58" s="995">
        <f>'[1]Oct midyear Acadiana Ren'!E55</f>
        <v>0</v>
      </c>
      <c r="X58" s="290">
        <f t="shared" si="18"/>
        <v>0</v>
      </c>
      <c r="Y58" s="289">
        <f>'[1]Feb midyear Acadiana Ren'!E55</f>
        <v>0</v>
      </c>
      <c r="Z58" s="290">
        <f t="shared" si="19"/>
        <v>0</v>
      </c>
      <c r="AA58" s="288">
        <f t="shared" si="20"/>
        <v>0</v>
      </c>
      <c r="AB58" s="324">
        <f t="shared" si="21"/>
        <v>0</v>
      </c>
      <c r="AC58" s="292">
        <f t="shared" si="22"/>
        <v>0</v>
      </c>
      <c r="AD58" s="324">
        <f t="shared" si="23"/>
        <v>0</v>
      </c>
      <c r="AE58" s="293">
        <v>0</v>
      </c>
      <c r="AF58" s="324">
        <f t="shared" si="24"/>
        <v>0</v>
      </c>
      <c r="AG58" s="293">
        <f>'[2]Table 5C1U-Acadiana Ren'!AI58+'[14]Table 5C1U-Acadiana Ren'!AI58+(6*'[20]Table 5C1U-Acadiana Ren'!AI58)</f>
        <v>375</v>
      </c>
      <c r="AH58" s="293">
        <f t="shared" si="25"/>
        <v>-375</v>
      </c>
      <c r="AI58" s="324">
        <f t="shared" si="31"/>
        <v>-94</v>
      </c>
      <c r="AJ58" s="321">
        <f t="shared" si="26"/>
        <v>0</v>
      </c>
      <c r="AK58" s="342">
        <f t="shared" si="27"/>
        <v>-198</v>
      </c>
      <c r="AM58" s="286">
        <v>0</v>
      </c>
      <c r="AN58" s="286">
        <f t="shared" si="28"/>
        <v>0</v>
      </c>
      <c r="AO58" s="286">
        <f t="shared" si="29"/>
        <v>0</v>
      </c>
    </row>
    <row r="59" spans="1:41" ht="16.149999999999999" customHeight="1">
      <c r="A59" s="198">
        <v>53</v>
      </c>
      <c r="B59" s="199" t="s">
        <v>124</v>
      </c>
      <c r="C59" s="995">
        <v>0</v>
      </c>
      <c r="D59" s="201">
        <f>+'Table 5C1A-Madison Prep'!D59</f>
        <v>5060.1508194045482</v>
      </c>
      <c r="E59" s="202">
        <f t="shared" si="8"/>
        <v>0</v>
      </c>
      <c r="F59" s="202">
        <f>+'Table 5C1A-Madison Prep'!F59</f>
        <v>689.74</v>
      </c>
      <c r="G59" s="202">
        <f t="shared" si="9"/>
        <v>0</v>
      </c>
      <c r="H59" s="345">
        <f t="shared" si="10"/>
        <v>0</v>
      </c>
      <c r="I59" s="991">
        <f>'[1]Oct midyear Acadiana Ren'!K56</f>
        <v>0</v>
      </c>
      <c r="J59" s="203">
        <f>'[1]Feb midyear Acadiana Ren'!K56</f>
        <v>0</v>
      </c>
      <c r="K59" s="204">
        <f t="shared" si="11"/>
        <v>0</v>
      </c>
      <c r="L59" s="345">
        <f t="shared" si="12"/>
        <v>0</v>
      </c>
      <c r="M59" s="286">
        <f t="shared" si="4"/>
        <v>0</v>
      </c>
      <c r="N59" s="345">
        <f t="shared" si="13"/>
        <v>0</v>
      </c>
      <c r="O59" s="201">
        <v>0</v>
      </c>
      <c r="P59" s="351">
        <f t="shared" si="14"/>
        <v>0</v>
      </c>
      <c r="Q59" s="203">
        <f>'[2]Table 5C1U-Acadiana Ren'!S59+'[14]Table 5C1U-Acadiana Ren'!S59+(6*'[20]Table 5C1U-Acadiana Ren'!S59)</f>
        <v>0</v>
      </c>
      <c r="R59" s="203">
        <f t="shared" si="15"/>
        <v>0</v>
      </c>
      <c r="S59" s="351">
        <f t="shared" si="30"/>
        <v>0</v>
      </c>
      <c r="T59" s="351">
        <f t="shared" si="16"/>
        <v>0</v>
      </c>
      <c r="U59" s="287">
        <f>'Table 5C1A-Madison Prep'!U59</f>
        <v>2101</v>
      </c>
      <c r="V59" s="328">
        <f t="shared" si="17"/>
        <v>0</v>
      </c>
      <c r="W59" s="995">
        <f>'[1]Oct midyear Acadiana Ren'!E56</f>
        <v>0</v>
      </c>
      <c r="X59" s="290">
        <f t="shared" si="18"/>
        <v>0</v>
      </c>
      <c r="Y59" s="289">
        <f>'[1]Feb midyear Acadiana Ren'!E56</f>
        <v>0</v>
      </c>
      <c r="Z59" s="290">
        <f t="shared" si="19"/>
        <v>0</v>
      </c>
      <c r="AA59" s="288">
        <f t="shared" si="20"/>
        <v>0</v>
      </c>
      <c r="AB59" s="324">
        <f t="shared" si="21"/>
        <v>0</v>
      </c>
      <c r="AC59" s="292">
        <f t="shared" si="22"/>
        <v>0</v>
      </c>
      <c r="AD59" s="324">
        <f t="shared" si="23"/>
        <v>0</v>
      </c>
      <c r="AE59" s="293">
        <v>0</v>
      </c>
      <c r="AF59" s="324">
        <f t="shared" si="24"/>
        <v>0</v>
      </c>
      <c r="AG59" s="293">
        <f>'[2]Table 5C1U-Acadiana Ren'!AI59+'[14]Table 5C1U-Acadiana Ren'!AI59+(6*'[20]Table 5C1U-Acadiana Ren'!AI59)</f>
        <v>0</v>
      </c>
      <c r="AH59" s="293">
        <f t="shared" si="25"/>
        <v>0</v>
      </c>
      <c r="AI59" s="324">
        <f t="shared" si="31"/>
        <v>0</v>
      </c>
      <c r="AJ59" s="321">
        <f t="shared" si="26"/>
        <v>0</v>
      </c>
      <c r="AK59" s="342">
        <f t="shared" si="27"/>
        <v>0</v>
      </c>
      <c r="AM59" s="286">
        <v>0</v>
      </c>
      <c r="AN59" s="286">
        <f t="shared" si="28"/>
        <v>0</v>
      </c>
      <c r="AO59" s="286">
        <f t="shared" si="29"/>
        <v>0</v>
      </c>
    </row>
    <row r="60" spans="1:41" ht="16.149999999999999" customHeight="1">
      <c r="A60" s="198">
        <v>54</v>
      </c>
      <c r="B60" s="199" t="s">
        <v>125</v>
      </c>
      <c r="C60" s="995">
        <v>0</v>
      </c>
      <c r="D60" s="201">
        <f>+'Table 5C1A-Madison Prep'!D60</f>
        <v>5867.0798370516713</v>
      </c>
      <c r="E60" s="202">
        <f t="shared" si="8"/>
        <v>0</v>
      </c>
      <c r="F60" s="202">
        <f>+'Table 5C1A-Madison Prep'!F60</f>
        <v>951.45</v>
      </c>
      <c r="G60" s="202">
        <f t="shared" si="9"/>
        <v>0</v>
      </c>
      <c r="H60" s="345">
        <f t="shared" si="10"/>
        <v>0</v>
      </c>
      <c r="I60" s="991">
        <f>'[1]Oct midyear Acadiana Ren'!K57</f>
        <v>0</v>
      </c>
      <c r="J60" s="203">
        <f>'[1]Feb midyear Acadiana Ren'!K57</f>
        <v>0</v>
      </c>
      <c r="K60" s="204">
        <f t="shared" si="11"/>
        <v>0</v>
      </c>
      <c r="L60" s="345">
        <f t="shared" si="12"/>
        <v>0</v>
      </c>
      <c r="M60" s="286">
        <f t="shared" si="4"/>
        <v>0</v>
      </c>
      <c r="N60" s="345">
        <f t="shared" si="13"/>
        <v>0</v>
      </c>
      <c r="O60" s="201">
        <v>0</v>
      </c>
      <c r="P60" s="351">
        <f t="shared" si="14"/>
        <v>0</v>
      </c>
      <c r="Q60" s="203">
        <f>'[2]Table 5C1U-Acadiana Ren'!S60+'[14]Table 5C1U-Acadiana Ren'!S60+(6*'[20]Table 5C1U-Acadiana Ren'!S60)</f>
        <v>0</v>
      </c>
      <c r="R60" s="203">
        <f t="shared" si="15"/>
        <v>0</v>
      </c>
      <c r="S60" s="351">
        <f t="shared" si="30"/>
        <v>0</v>
      </c>
      <c r="T60" s="351">
        <f t="shared" si="16"/>
        <v>0</v>
      </c>
      <c r="U60" s="287">
        <f>'Table 5C1A-Madison Prep'!U60</f>
        <v>4150</v>
      </c>
      <c r="V60" s="328">
        <f t="shared" si="17"/>
        <v>0</v>
      </c>
      <c r="W60" s="995">
        <f>'[1]Oct midyear Acadiana Ren'!E57</f>
        <v>0</v>
      </c>
      <c r="X60" s="290">
        <f t="shared" si="18"/>
        <v>0</v>
      </c>
      <c r="Y60" s="289">
        <f>'[1]Feb midyear Acadiana Ren'!E57</f>
        <v>0</v>
      </c>
      <c r="Z60" s="290">
        <f t="shared" si="19"/>
        <v>0</v>
      </c>
      <c r="AA60" s="288">
        <f t="shared" si="20"/>
        <v>0</v>
      </c>
      <c r="AB60" s="324">
        <f t="shared" si="21"/>
        <v>0</v>
      </c>
      <c r="AC60" s="292">
        <f t="shared" si="22"/>
        <v>0</v>
      </c>
      <c r="AD60" s="324">
        <f t="shared" si="23"/>
        <v>0</v>
      </c>
      <c r="AE60" s="293">
        <v>0</v>
      </c>
      <c r="AF60" s="324">
        <f t="shared" si="24"/>
        <v>0</v>
      </c>
      <c r="AG60" s="293">
        <f>'[2]Table 5C1U-Acadiana Ren'!AI60+'[14]Table 5C1U-Acadiana Ren'!AI60+(6*'[20]Table 5C1U-Acadiana Ren'!AI60)</f>
        <v>0</v>
      </c>
      <c r="AH60" s="293">
        <f t="shared" si="25"/>
        <v>0</v>
      </c>
      <c r="AI60" s="324">
        <f t="shared" si="31"/>
        <v>0</v>
      </c>
      <c r="AJ60" s="321">
        <f t="shared" si="26"/>
        <v>0</v>
      </c>
      <c r="AK60" s="342">
        <f t="shared" si="27"/>
        <v>0</v>
      </c>
      <c r="AM60" s="286">
        <v>0</v>
      </c>
      <c r="AN60" s="286">
        <f t="shared" si="28"/>
        <v>0</v>
      </c>
      <c r="AO60" s="286">
        <f t="shared" si="29"/>
        <v>0</v>
      </c>
    </row>
    <row r="61" spans="1:41" ht="16.149999999999999" customHeight="1">
      <c r="A61" s="191">
        <v>55</v>
      </c>
      <c r="B61" s="192" t="s">
        <v>126</v>
      </c>
      <c r="C61" s="996">
        <v>0</v>
      </c>
      <c r="D61" s="194">
        <f>+'Table 5C1A-Madison Prep'!D61</f>
        <v>4266.8225491298481</v>
      </c>
      <c r="E61" s="195">
        <f t="shared" si="8"/>
        <v>0</v>
      </c>
      <c r="F61" s="195">
        <f>+'Table 5C1A-Madison Prep'!F61</f>
        <v>795.14</v>
      </c>
      <c r="G61" s="195">
        <f t="shared" si="9"/>
        <v>0</v>
      </c>
      <c r="H61" s="346">
        <f t="shared" si="10"/>
        <v>0</v>
      </c>
      <c r="I61" s="992">
        <f>'[1]Oct midyear Acadiana Ren'!K58</f>
        <v>0</v>
      </c>
      <c r="J61" s="196">
        <f>'[1]Feb midyear Acadiana Ren'!K58</f>
        <v>0</v>
      </c>
      <c r="K61" s="197">
        <f t="shared" si="11"/>
        <v>0</v>
      </c>
      <c r="L61" s="346">
        <f t="shared" si="12"/>
        <v>0</v>
      </c>
      <c r="M61" s="296">
        <f t="shared" si="4"/>
        <v>0</v>
      </c>
      <c r="N61" s="346">
        <f t="shared" si="13"/>
        <v>0</v>
      </c>
      <c r="O61" s="194">
        <v>0</v>
      </c>
      <c r="P61" s="352">
        <f t="shared" si="14"/>
        <v>0</v>
      </c>
      <c r="Q61" s="196">
        <f>'[2]Table 5C1U-Acadiana Ren'!S61+'[14]Table 5C1U-Acadiana Ren'!S61+(6*'[20]Table 5C1U-Acadiana Ren'!S61)</f>
        <v>6426</v>
      </c>
      <c r="R61" s="196">
        <f t="shared" si="15"/>
        <v>-6426</v>
      </c>
      <c r="S61" s="352">
        <f t="shared" si="30"/>
        <v>-1607</v>
      </c>
      <c r="T61" s="352">
        <f t="shared" si="16"/>
        <v>0</v>
      </c>
      <c r="U61" s="281">
        <f>'Table 5C1A-Madison Prep'!U61</f>
        <v>3637</v>
      </c>
      <c r="V61" s="329">
        <f t="shared" si="17"/>
        <v>0</v>
      </c>
      <c r="W61" s="996">
        <f>'[1]Oct midyear Acadiana Ren'!E58</f>
        <v>0</v>
      </c>
      <c r="X61" s="282">
        <f t="shared" si="18"/>
        <v>0</v>
      </c>
      <c r="Y61" s="884">
        <f>'[1]Feb midyear Acadiana Ren'!E58</f>
        <v>0</v>
      </c>
      <c r="Z61" s="282">
        <f t="shared" si="19"/>
        <v>0</v>
      </c>
      <c r="AA61" s="283">
        <f t="shared" si="20"/>
        <v>0</v>
      </c>
      <c r="AB61" s="325">
        <f t="shared" si="21"/>
        <v>0</v>
      </c>
      <c r="AC61" s="298">
        <f t="shared" si="22"/>
        <v>0</v>
      </c>
      <c r="AD61" s="325">
        <f t="shared" si="23"/>
        <v>0</v>
      </c>
      <c r="AE61" s="284">
        <v>0</v>
      </c>
      <c r="AF61" s="325">
        <f t="shared" si="24"/>
        <v>0</v>
      </c>
      <c r="AG61" s="284">
        <f>'[2]Table 5C1U-Acadiana Ren'!AI61+'[14]Table 5C1U-Acadiana Ren'!AI61+(6*'[20]Table 5C1U-Acadiana Ren'!AI61)</f>
        <v>4487</v>
      </c>
      <c r="AH61" s="284">
        <f t="shared" si="25"/>
        <v>-4487</v>
      </c>
      <c r="AI61" s="325">
        <f t="shared" si="31"/>
        <v>-1122</v>
      </c>
      <c r="AJ61" s="338">
        <f t="shared" si="26"/>
        <v>0</v>
      </c>
      <c r="AK61" s="343">
        <f t="shared" si="27"/>
        <v>-2729</v>
      </c>
      <c r="AM61" s="296">
        <v>0</v>
      </c>
      <c r="AN61" s="296">
        <f t="shared" si="28"/>
        <v>0</v>
      </c>
      <c r="AO61" s="296">
        <f t="shared" si="29"/>
        <v>0</v>
      </c>
    </row>
    <row r="62" spans="1:41" ht="16.149999999999999" customHeight="1">
      <c r="A62" s="205">
        <v>56</v>
      </c>
      <c r="B62" s="206" t="s">
        <v>127</v>
      </c>
      <c r="C62" s="994">
        <v>0</v>
      </c>
      <c r="D62" s="208">
        <f>+'Table 5C1A-Madison Prep'!D62</f>
        <v>5028.4909408288286</v>
      </c>
      <c r="E62" s="209">
        <f t="shared" si="8"/>
        <v>0</v>
      </c>
      <c r="F62" s="209">
        <f>+'Table 5C1A-Madison Prep'!F62</f>
        <v>614.66000000000008</v>
      </c>
      <c r="G62" s="209">
        <f t="shared" si="9"/>
        <v>0</v>
      </c>
      <c r="H62" s="344">
        <f t="shared" si="10"/>
        <v>0</v>
      </c>
      <c r="I62" s="990">
        <f>'[1]Oct midyear Acadiana Ren'!K59</f>
        <v>0</v>
      </c>
      <c r="J62" s="210">
        <f>'[1]Feb midyear Acadiana Ren'!K59</f>
        <v>0</v>
      </c>
      <c r="K62" s="211">
        <f t="shared" si="11"/>
        <v>0</v>
      </c>
      <c r="L62" s="344">
        <f t="shared" si="12"/>
        <v>0</v>
      </c>
      <c r="M62" s="273">
        <f t="shared" si="4"/>
        <v>0</v>
      </c>
      <c r="N62" s="344">
        <f t="shared" si="13"/>
        <v>0</v>
      </c>
      <c r="O62" s="208">
        <v>0</v>
      </c>
      <c r="P62" s="350">
        <f t="shared" si="14"/>
        <v>0</v>
      </c>
      <c r="Q62" s="210">
        <f>'[2]Table 5C1U-Acadiana Ren'!S62+'[14]Table 5C1U-Acadiana Ren'!S62+(6*'[20]Table 5C1U-Acadiana Ren'!S62)</f>
        <v>0</v>
      </c>
      <c r="R62" s="210">
        <f t="shared" si="15"/>
        <v>0</v>
      </c>
      <c r="S62" s="350">
        <f t="shared" si="30"/>
        <v>0</v>
      </c>
      <c r="T62" s="350">
        <f t="shared" si="16"/>
        <v>0</v>
      </c>
      <c r="U62" s="274">
        <f>'Table 5C1A-Madison Prep'!U62</f>
        <v>2857</v>
      </c>
      <c r="V62" s="327">
        <f t="shared" si="17"/>
        <v>0</v>
      </c>
      <c r="W62" s="994">
        <f>'[1]Oct midyear Acadiana Ren'!E59</f>
        <v>0</v>
      </c>
      <c r="X62" s="276">
        <f t="shared" si="18"/>
        <v>0</v>
      </c>
      <c r="Y62" s="883">
        <f>'[1]Feb midyear Acadiana Ren'!E59</f>
        <v>0</v>
      </c>
      <c r="Z62" s="276">
        <f t="shared" si="19"/>
        <v>0</v>
      </c>
      <c r="AA62" s="275">
        <f t="shared" si="20"/>
        <v>0</v>
      </c>
      <c r="AB62" s="323">
        <f t="shared" si="21"/>
        <v>0</v>
      </c>
      <c r="AC62" s="278">
        <f t="shared" si="22"/>
        <v>0</v>
      </c>
      <c r="AD62" s="323">
        <f t="shared" si="23"/>
        <v>0</v>
      </c>
      <c r="AE62" s="279">
        <v>0</v>
      </c>
      <c r="AF62" s="323">
        <f t="shared" si="24"/>
        <v>0</v>
      </c>
      <c r="AG62" s="279">
        <f>'[2]Table 5C1U-Acadiana Ren'!AI62+'[14]Table 5C1U-Acadiana Ren'!AI62+(6*'[20]Table 5C1U-Acadiana Ren'!AI62)</f>
        <v>0</v>
      </c>
      <c r="AH62" s="279">
        <f t="shared" si="25"/>
        <v>0</v>
      </c>
      <c r="AI62" s="323">
        <f t="shared" si="31"/>
        <v>0</v>
      </c>
      <c r="AJ62" s="337">
        <f t="shared" si="26"/>
        <v>0</v>
      </c>
      <c r="AK62" s="341">
        <f t="shared" si="27"/>
        <v>0</v>
      </c>
      <c r="AM62" s="273">
        <v>0</v>
      </c>
      <c r="AN62" s="273">
        <f t="shared" si="28"/>
        <v>0</v>
      </c>
      <c r="AO62" s="273">
        <f t="shared" si="29"/>
        <v>0</v>
      </c>
    </row>
    <row r="63" spans="1:41" ht="16.149999999999999" customHeight="1">
      <c r="A63" s="198">
        <v>57</v>
      </c>
      <c r="B63" s="199" t="s">
        <v>128</v>
      </c>
      <c r="C63" s="995">
        <v>0</v>
      </c>
      <c r="D63" s="201">
        <f>+'Table 5C1A-Madison Prep'!D63</f>
        <v>4625.9922979230687</v>
      </c>
      <c r="E63" s="202">
        <f t="shared" si="8"/>
        <v>0</v>
      </c>
      <c r="F63" s="202">
        <f>+'Table 5C1A-Madison Prep'!F63</f>
        <v>764.51</v>
      </c>
      <c r="G63" s="202">
        <f t="shared" si="9"/>
        <v>0</v>
      </c>
      <c r="H63" s="345">
        <f t="shared" si="10"/>
        <v>0</v>
      </c>
      <c r="I63" s="991">
        <f>'[1]Oct midyear Acadiana Ren'!K60</f>
        <v>80857.534468846032</v>
      </c>
      <c r="J63" s="203">
        <f>'[1]Feb midyear Acadiana Ren'!K60</f>
        <v>5390.5022979230689</v>
      </c>
      <c r="K63" s="204">
        <f t="shared" si="11"/>
        <v>86248.036766769103</v>
      </c>
      <c r="L63" s="345">
        <f t="shared" si="12"/>
        <v>86248.036766769103</v>
      </c>
      <c r="M63" s="286">
        <f t="shared" si="4"/>
        <v>-215.62009191692277</v>
      </c>
      <c r="N63" s="345">
        <f t="shared" si="13"/>
        <v>86032.416674852182</v>
      </c>
      <c r="O63" s="201">
        <v>0</v>
      </c>
      <c r="P63" s="351">
        <f t="shared" si="14"/>
        <v>86032.416674852182</v>
      </c>
      <c r="Q63" s="203">
        <f>'[2]Table 5C1U-Acadiana Ren'!S63+'[14]Table 5C1U-Acadiana Ren'!S63+(6*'[20]Table 5C1U-Acadiana Ren'!S63)</f>
        <v>76843</v>
      </c>
      <c r="R63" s="203">
        <f t="shared" si="15"/>
        <v>9189.416674852182</v>
      </c>
      <c r="S63" s="351">
        <f t="shared" si="30"/>
        <v>2297</v>
      </c>
      <c r="T63" s="351">
        <f t="shared" si="16"/>
        <v>86032.416674852182</v>
      </c>
      <c r="U63" s="287">
        <f>'Table 5C1A-Madison Prep'!U63</f>
        <v>3465</v>
      </c>
      <c r="V63" s="328">
        <f t="shared" si="17"/>
        <v>0</v>
      </c>
      <c r="W63" s="995">
        <f>'[1]Oct midyear Acadiana Ren'!E60</f>
        <v>15</v>
      </c>
      <c r="X63" s="290">
        <f t="shared" si="18"/>
        <v>51975</v>
      </c>
      <c r="Y63" s="289">
        <f>'[1]Feb midyear Acadiana Ren'!E60</f>
        <v>2</v>
      </c>
      <c r="Z63" s="290">
        <f t="shared" si="19"/>
        <v>3465</v>
      </c>
      <c r="AA63" s="288">
        <f t="shared" si="20"/>
        <v>55440</v>
      </c>
      <c r="AB63" s="324">
        <f t="shared" si="21"/>
        <v>55440</v>
      </c>
      <c r="AC63" s="292">
        <f t="shared" si="22"/>
        <v>-138.6</v>
      </c>
      <c r="AD63" s="324">
        <f t="shared" si="23"/>
        <v>55301.4</v>
      </c>
      <c r="AE63" s="293">
        <v>0</v>
      </c>
      <c r="AF63" s="324">
        <f t="shared" si="24"/>
        <v>55301.4</v>
      </c>
      <c r="AG63" s="293">
        <f>'[2]Table 5C1U-Acadiana Ren'!AI63+'[14]Table 5C1U-Acadiana Ren'!AI63+(6*'[20]Table 5C1U-Acadiana Ren'!AI63)</f>
        <v>48398</v>
      </c>
      <c r="AH63" s="293">
        <f t="shared" si="25"/>
        <v>6903.4000000000015</v>
      </c>
      <c r="AI63" s="324">
        <f t="shared" si="31"/>
        <v>1726</v>
      </c>
      <c r="AJ63" s="321">
        <f t="shared" si="26"/>
        <v>141333.81667485219</v>
      </c>
      <c r="AK63" s="342">
        <f t="shared" si="27"/>
        <v>4023</v>
      </c>
      <c r="AM63" s="286">
        <v>-101.85000000000001</v>
      </c>
      <c r="AN63" s="286">
        <f t="shared" si="28"/>
        <v>-138.6</v>
      </c>
      <c r="AO63" s="286">
        <f t="shared" si="29"/>
        <v>-36.749999999999986</v>
      </c>
    </row>
    <row r="64" spans="1:41" ht="16.149999999999999" customHeight="1">
      <c r="A64" s="198">
        <v>58</v>
      </c>
      <c r="B64" s="199" t="s">
        <v>129</v>
      </c>
      <c r="C64" s="995">
        <v>0</v>
      </c>
      <c r="D64" s="201">
        <f>+'Table 5C1A-Madison Prep'!D64</f>
        <v>5673.1129637882123</v>
      </c>
      <c r="E64" s="202">
        <f t="shared" si="8"/>
        <v>0</v>
      </c>
      <c r="F64" s="202">
        <f>+'Table 5C1A-Madison Prep'!F64</f>
        <v>697.04</v>
      </c>
      <c r="G64" s="202">
        <f t="shared" si="9"/>
        <v>0</v>
      </c>
      <c r="H64" s="345">
        <f t="shared" si="10"/>
        <v>0</v>
      </c>
      <c r="I64" s="991">
        <f>'[1]Oct midyear Acadiana Ren'!K61</f>
        <v>0</v>
      </c>
      <c r="J64" s="203">
        <f>'[1]Feb midyear Acadiana Ren'!K61</f>
        <v>0</v>
      </c>
      <c r="K64" s="204">
        <f t="shared" si="11"/>
        <v>0</v>
      </c>
      <c r="L64" s="345">
        <f t="shared" si="12"/>
        <v>0</v>
      </c>
      <c r="M64" s="286">
        <f t="shared" si="4"/>
        <v>0</v>
      </c>
      <c r="N64" s="345">
        <f t="shared" si="13"/>
        <v>0</v>
      </c>
      <c r="O64" s="201">
        <v>0</v>
      </c>
      <c r="P64" s="351">
        <f t="shared" si="14"/>
        <v>0</v>
      </c>
      <c r="Q64" s="203">
        <f>'[2]Table 5C1U-Acadiana Ren'!S64+'[14]Table 5C1U-Acadiana Ren'!S64+(6*'[20]Table 5C1U-Acadiana Ren'!S64)</f>
        <v>0</v>
      </c>
      <c r="R64" s="203">
        <f t="shared" si="15"/>
        <v>0</v>
      </c>
      <c r="S64" s="351">
        <f t="shared" si="30"/>
        <v>0</v>
      </c>
      <c r="T64" s="351">
        <f t="shared" si="16"/>
        <v>0</v>
      </c>
      <c r="U64" s="287">
        <f>'Table 5C1A-Madison Prep'!U64</f>
        <v>2167</v>
      </c>
      <c r="V64" s="328">
        <f t="shared" si="17"/>
        <v>0</v>
      </c>
      <c r="W64" s="995">
        <f>'[1]Oct midyear Acadiana Ren'!E61</f>
        <v>0</v>
      </c>
      <c r="X64" s="290">
        <f t="shared" si="18"/>
        <v>0</v>
      </c>
      <c r="Y64" s="289">
        <f>'[1]Feb midyear Acadiana Ren'!E61</f>
        <v>0</v>
      </c>
      <c r="Z64" s="290">
        <f t="shared" si="19"/>
        <v>0</v>
      </c>
      <c r="AA64" s="288">
        <f t="shared" si="20"/>
        <v>0</v>
      </c>
      <c r="AB64" s="324">
        <f t="shared" si="21"/>
        <v>0</v>
      </c>
      <c r="AC64" s="292">
        <f t="shared" si="22"/>
        <v>0</v>
      </c>
      <c r="AD64" s="324">
        <f t="shared" si="23"/>
        <v>0</v>
      </c>
      <c r="AE64" s="293">
        <v>0</v>
      </c>
      <c r="AF64" s="324">
        <f t="shared" si="24"/>
        <v>0</v>
      </c>
      <c r="AG64" s="293">
        <f>'[2]Table 5C1U-Acadiana Ren'!AI64+'[14]Table 5C1U-Acadiana Ren'!AI64+(6*'[20]Table 5C1U-Acadiana Ren'!AI64)</f>
        <v>0</v>
      </c>
      <c r="AH64" s="293">
        <f t="shared" si="25"/>
        <v>0</v>
      </c>
      <c r="AI64" s="324">
        <f t="shared" si="31"/>
        <v>0</v>
      </c>
      <c r="AJ64" s="321">
        <f t="shared" si="26"/>
        <v>0</v>
      </c>
      <c r="AK64" s="342">
        <f t="shared" si="27"/>
        <v>0</v>
      </c>
      <c r="AM64" s="286">
        <v>0</v>
      </c>
      <c r="AN64" s="286">
        <f t="shared" si="28"/>
        <v>0</v>
      </c>
      <c r="AO64" s="286">
        <f t="shared" si="29"/>
        <v>0</v>
      </c>
    </row>
    <row r="65" spans="1:41" ht="16.149999999999999" customHeight="1">
      <c r="A65" s="198">
        <v>59</v>
      </c>
      <c r="B65" s="199" t="s">
        <v>130</v>
      </c>
      <c r="C65" s="995">
        <v>0</v>
      </c>
      <c r="D65" s="201">
        <f>+'Table 5C1A-Madison Prep'!D65</f>
        <v>6621.946293521848</v>
      </c>
      <c r="E65" s="202">
        <f t="shared" si="8"/>
        <v>0</v>
      </c>
      <c r="F65" s="202">
        <f>+'Table 5C1A-Madison Prep'!F65</f>
        <v>689.52</v>
      </c>
      <c r="G65" s="202">
        <f t="shared" si="9"/>
        <v>0</v>
      </c>
      <c r="H65" s="345">
        <f t="shared" si="10"/>
        <v>0</v>
      </c>
      <c r="I65" s="991">
        <f>'[1]Oct midyear Acadiana Ren'!K62</f>
        <v>0</v>
      </c>
      <c r="J65" s="203">
        <f>'[1]Feb midyear Acadiana Ren'!K62</f>
        <v>0</v>
      </c>
      <c r="K65" s="204">
        <f t="shared" si="11"/>
        <v>0</v>
      </c>
      <c r="L65" s="345">
        <f t="shared" si="12"/>
        <v>0</v>
      </c>
      <c r="M65" s="286">
        <f t="shared" si="4"/>
        <v>0</v>
      </c>
      <c r="N65" s="345">
        <f t="shared" si="13"/>
        <v>0</v>
      </c>
      <c r="O65" s="201">
        <v>0</v>
      </c>
      <c r="P65" s="351">
        <f t="shared" si="14"/>
        <v>0</v>
      </c>
      <c r="Q65" s="203">
        <f>'[2]Table 5C1U-Acadiana Ren'!S65+'[14]Table 5C1U-Acadiana Ren'!S65+(6*'[20]Table 5C1U-Acadiana Ren'!S65)</f>
        <v>0</v>
      </c>
      <c r="R65" s="203">
        <f t="shared" si="15"/>
        <v>0</v>
      </c>
      <c r="S65" s="351">
        <f t="shared" si="30"/>
        <v>0</v>
      </c>
      <c r="T65" s="351">
        <f t="shared" si="16"/>
        <v>0</v>
      </c>
      <c r="U65" s="287">
        <f>'Table 5C1A-Madison Prep'!U65</f>
        <v>1521</v>
      </c>
      <c r="V65" s="328">
        <f t="shared" si="17"/>
        <v>0</v>
      </c>
      <c r="W65" s="995">
        <f>'[1]Oct midyear Acadiana Ren'!E62</f>
        <v>0</v>
      </c>
      <c r="X65" s="290">
        <f t="shared" si="18"/>
        <v>0</v>
      </c>
      <c r="Y65" s="289">
        <f>'[1]Feb midyear Acadiana Ren'!E62</f>
        <v>0</v>
      </c>
      <c r="Z65" s="290">
        <f t="shared" si="19"/>
        <v>0</v>
      </c>
      <c r="AA65" s="288">
        <f t="shared" si="20"/>
        <v>0</v>
      </c>
      <c r="AB65" s="324">
        <f t="shared" si="21"/>
        <v>0</v>
      </c>
      <c r="AC65" s="292">
        <f t="shared" si="22"/>
        <v>0</v>
      </c>
      <c r="AD65" s="324">
        <f t="shared" si="23"/>
        <v>0</v>
      </c>
      <c r="AE65" s="293">
        <v>0</v>
      </c>
      <c r="AF65" s="324">
        <f t="shared" si="24"/>
        <v>0</v>
      </c>
      <c r="AG65" s="293">
        <f>'[2]Table 5C1U-Acadiana Ren'!AI65+'[14]Table 5C1U-Acadiana Ren'!AI65+(6*'[20]Table 5C1U-Acadiana Ren'!AI65)</f>
        <v>0</v>
      </c>
      <c r="AH65" s="293">
        <f t="shared" si="25"/>
        <v>0</v>
      </c>
      <c r="AI65" s="324">
        <f t="shared" si="31"/>
        <v>0</v>
      </c>
      <c r="AJ65" s="321">
        <f t="shared" si="26"/>
        <v>0</v>
      </c>
      <c r="AK65" s="342">
        <f t="shared" si="27"/>
        <v>0</v>
      </c>
      <c r="AM65" s="286">
        <v>0</v>
      </c>
      <c r="AN65" s="286">
        <f t="shared" si="28"/>
        <v>0</v>
      </c>
      <c r="AO65" s="286">
        <f t="shared" si="29"/>
        <v>0</v>
      </c>
    </row>
    <row r="66" spans="1:41" ht="16.149999999999999" customHeight="1">
      <c r="A66" s="191">
        <v>60</v>
      </c>
      <c r="B66" s="192" t="s">
        <v>131</v>
      </c>
      <c r="C66" s="996">
        <v>0</v>
      </c>
      <c r="D66" s="194">
        <f>+'Table 5C1A-Madison Prep'!D66</f>
        <v>5301.224090063828</v>
      </c>
      <c r="E66" s="195">
        <f t="shared" si="8"/>
        <v>0</v>
      </c>
      <c r="F66" s="195">
        <f>+'Table 5C1A-Madison Prep'!F66</f>
        <v>594.04</v>
      </c>
      <c r="G66" s="195">
        <f t="shared" si="9"/>
        <v>0</v>
      </c>
      <c r="H66" s="346">
        <f t="shared" si="10"/>
        <v>0</v>
      </c>
      <c r="I66" s="992">
        <f>'[1]Oct midyear Acadiana Ren'!K63</f>
        <v>0</v>
      </c>
      <c r="J66" s="196">
        <f>'[1]Feb midyear Acadiana Ren'!K63</f>
        <v>0</v>
      </c>
      <c r="K66" s="197">
        <f t="shared" si="11"/>
        <v>0</v>
      </c>
      <c r="L66" s="346">
        <f t="shared" si="12"/>
        <v>0</v>
      </c>
      <c r="M66" s="296">
        <f t="shared" si="4"/>
        <v>0</v>
      </c>
      <c r="N66" s="346">
        <f t="shared" si="13"/>
        <v>0</v>
      </c>
      <c r="O66" s="194">
        <v>0</v>
      </c>
      <c r="P66" s="352">
        <f t="shared" si="14"/>
        <v>0</v>
      </c>
      <c r="Q66" s="196">
        <f>'[2]Table 5C1U-Acadiana Ren'!S66+'[14]Table 5C1U-Acadiana Ren'!S66+(6*'[20]Table 5C1U-Acadiana Ren'!S66)</f>
        <v>0</v>
      </c>
      <c r="R66" s="196">
        <f t="shared" si="15"/>
        <v>0</v>
      </c>
      <c r="S66" s="352">
        <f t="shared" si="30"/>
        <v>0</v>
      </c>
      <c r="T66" s="352">
        <f t="shared" si="16"/>
        <v>0</v>
      </c>
      <c r="U66" s="281">
        <f>'Table 5C1A-Madison Prep'!U66</f>
        <v>4024</v>
      </c>
      <c r="V66" s="329">
        <f t="shared" si="17"/>
        <v>0</v>
      </c>
      <c r="W66" s="996">
        <f>'[1]Oct midyear Acadiana Ren'!E63</f>
        <v>0</v>
      </c>
      <c r="X66" s="282">
        <f t="shared" si="18"/>
        <v>0</v>
      </c>
      <c r="Y66" s="884">
        <f>'[1]Feb midyear Acadiana Ren'!E63</f>
        <v>0</v>
      </c>
      <c r="Z66" s="282">
        <f t="shared" si="19"/>
        <v>0</v>
      </c>
      <c r="AA66" s="283">
        <f t="shared" si="20"/>
        <v>0</v>
      </c>
      <c r="AB66" s="325">
        <f t="shared" si="21"/>
        <v>0</v>
      </c>
      <c r="AC66" s="298">
        <f t="shared" si="22"/>
        <v>0</v>
      </c>
      <c r="AD66" s="325">
        <f t="shared" si="23"/>
        <v>0</v>
      </c>
      <c r="AE66" s="284">
        <v>0</v>
      </c>
      <c r="AF66" s="325">
        <f t="shared" si="24"/>
        <v>0</v>
      </c>
      <c r="AG66" s="284">
        <f>'[2]Table 5C1U-Acadiana Ren'!AI66+'[14]Table 5C1U-Acadiana Ren'!AI66+(6*'[20]Table 5C1U-Acadiana Ren'!AI66)</f>
        <v>0</v>
      </c>
      <c r="AH66" s="284">
        <f t="shared" si="25"/>
        <v>0</v>
      </c>
      <c r="AI66" s="325">
        <f t="shared" si="31"/>
        <v>0</v>
      </c>
      <c r="AJ66" s="338">
        <f t="shared" si="26"/>
        <v>0</v>
      </c>
      <c r="AK66" s="343">
        <f t="shared" si="27"/>
        <v>0</v>
      </c>
      <c r="AM66" s="296">
        <v>0</v>
      </c>
      <c r="AN66" s="296">
        <f t="shared" si="28"/>
        <v>0</v>
      </c>
      <c r="AO66" s="296">
        <f t="shared" si="29"/>
        <v>0</v>
      </c>
    </row>
    <row r="67" spans="1:41" ht="16.149999999999999" customHeight="1">
      <c r="A67" s="205">
        <v>61</v>
      </c>
      <c r="B67" s="206" t="s">
        <v>132</v>
      </c>
      <c r="C67" s="994">
        <v>0</v>
      </c>
      <c r="D67" s="208">
        <f>+'Table 5C1A-Madison Prep'!D67</f>
        <v>2854.1575356369185</v>
      </c>
      <c r="E67" s="209">
        <f t="shared" si="8"/>
        <v>0</v>
      </c>
      <c r="F67" s="209">
        <f>+'Table 5C1A-Madison Prep'!F67</f>
        <v>833.70999999999992</v>
      </c>
      <c r="G67" s="209">
        <f t="shared" si="9"/>
        <v>0</v>
      </c>
      <c r="H67" s="344">
        <f t="shared" si="10"/>
        <v>0</v>
      </c>
      <c r="I67" s="990">
        <f>'[1]Oct midyear Acadiana Ren'!K64</f>
        <v>0</v>
      </c>
      <c r="J67" s="210">
        <f>'[1]Feb midyear Acadiana Ren'!K64</f>
        <v>0</v>
      </c>
      <c r="K67" s="211">
        <f t="shared" si="11"/>
        <v>0</v>
      </c>
      <c r="L67" s="344">
        <f t="shared" si="12"/>
        <v>0</v>
      </c>
      <c r="M67" s="273">
        <f t="shared" si="4"/>
        <v>0</v>
      </c>
      <c r="N67" s="344">
        <f t="shared" si="13"/>
        <v>0</v>
      </c>
      <c r="O67" s="208">
        <v>0</v>
      </c>
      <c r="P67" s="350">
        <f t="shared" si="14"/>
        <v>0</v>
      </c>
      <c r="Q67" s="210">
        <f>'[2]Table 5C1U-Acadiana Ren'!S67+'[14]Table 5C1U-Acadiana Ren'!S67+(6*'[20]Table 5C1U-Acadiana Ren'!S67)</f>
        <v>0</v>
      </c>
      <c r="R67" s="210">
        <f t="shared" si="15"/>
        <v>0</v>
      </c>
      <c r="S67" s="350">
        <f t="shared" si="30"/>
        <v>0</v>
      </c>
      <c r="T67" s="350">
        <f t="shared" si="16"/>
        <v>0</v>
      </c>
      <c r="U67" s="274">
        <f>'Table 5C1A-Madison Prep'!U67</f>
        <v>6739</v>
      </c>
      <c r="V67" s="327">
        <f t="shared" si="17"/>
        <v>0</v>
      </c>
      <c r="W67" s="994">
        <f>'[1]Oct midyear Acadiana Ren'!E64</f>
        <v>0</v>
      </c>
      <c r="X67" s="276">
        <f t="shared" si="18"/>
        <v>0</v>
      </c>
      <c r="Y67" s="883">
        <f>'[1]Feb midyear Acadiana Ren'!E64</f>
        <v>0</v>
      </c>
      <c r="Z67" s="276">
        <f t="shared" si="19"/>
        <v>0</v>
      </c>
      <c r="AA67" s="275">
        <f t="shared" si="20"/>
        <v>0</v>
      </c>
      <c r="AB67" s="323">
        <f t="shared" si="21"/>
        <v>0</v>
      </c>
      <c r="AC67" s="278">
        <f t="shared" si="22"/>
        <v>0</v>
      </c>
      <c r="AD67" s="323">
        <f t="shared" si="23"/>
        <v>0</v>
      </c>
      <c r="AE67" s="279">
        <v>0</v>
      </c>
      <c r="AF67" s="323">
        <f t="shared" si="24"/>
        <v>0</v>
      </c>
      <c r="AG67" s="279">
        <f>'[2]Table 5C1U-Acadiana Ren'!AI67+'[14]Table 5C1U-Acadiana Ren'!AI67+(6*'[20]Table 5C1U-Acadiana Ren'!AI67)</f>
        <v>0</v>
      </c>
      <c r="AH67" s="279">
        <f t="shared" si="25"/>
        <v>0</v>
      </c>
      <c r="AI67" s="323">
        <f t="shared" si="31"/>
        <v>0</v>
      </c>
      <c r="AJ67" s="337">
        <f t="shared" si="26"/>
        <v>0</v>
      </c>
      <c r="AK67" s="341">
        <f t="shared" si="27"/>
        <v>0</v>
      </c>
      <c r="AM67" s="273">
        <v>0</v>
      </c>
      <c r="AN67" s="273">
        <f t="shared" si="28"/>
        <v>0</v>
      </c>
      <c r="AO67" s="273">
        <f t="shared" si="29"/>
        <v>0</v>
      </c>
    </row>
    <row r="68" spans="1:41" ht="16.149999999999999" customHeight="1">
      <c r="A68" s="198">
        <v>62</v>
      </c>
      <c r="B68" s="199" t="s">
        <v>133</v>
      </c>
      <c r="C68" s="995">
        <v>0</v>
      </c>
      <c r="D68" s="201">
        <f>+'Table 5C1A-Madison Prep'!D68</f>
        <v>5901.074538516008</v>
      </c>
      <c r="E68" s="202">
        <f t="shared" si="8"/>
        <v>0</v>
      </c>
      <c r="F68" s="202">
        <f>+'Table 5C1A-Madison Prep'!F68</f>
        <v>516.08000000000004</v>
      </c>
      <c r="G68" s="202">
        <f t="shared" si="9"/>
        <v>0</v>
      </c>
      <c r="H68" s="345">
        <f t="shared" si="10"/>
        <v>0</v>
      </c>
      <c r="I68" s="991">
        <f>'[1]Oct midyear Acadiana Ren'!K65</f>
        <v>0</v>
      </c>
      <c r="J68" s="203">
        <f>'[1]Feb midyear Acadiana Ren'!K65</f>
        <v>0</v>
      </c>
      <c r="K68" s="204">
        <f t="shared" si="11"/>
        <v>0</v>
      </c>
      <c r="L68" s="345">
        <f t="shared" si="12"/>
        <v>0</v>
      </c>
      <c r="M68" s="286">
        <f t="shared" si="4"/>
        <v>0</v>
      </c>
      <c r="N68" s="345">
        <f t="shared" si="13"/>
        <v>0</v>
      </c>
      <c r="O68" s="201">
        <v>0</v>
      </c>
      <c r="P68" s="351">
        <f t="shared" si="14"/>
        <v>0</v>
      </c>
      <c r="Q68" s="203">
        <f>'[2]Table 5C1U-Acadiana Ren'!S68+'[14]Table 5C1U-Acadiana Ren'!S68+(6*'[20]Table 5C1U-Acadiana Ren'!S68)</f>
        <v>0</v>
      </c>
      <c r="R68" s="203">
        <f t="shared" si="15"/>
        <v>0</v>
      </c>
      <c r="S68" s="351">
        <f t="shared" si="30"/>
        <v>0</v>
      </c>
      <c r="T68" s="351">
        <f t="shared" si="16"/>
        <v>0</v>
      </c>
      <c r="U68" s="287">
        <f>'Table 5C1A-Madison Prep'!U68</f>
        <v>2089</v>
      </c>
      <c r="V68" s="328">
        <f t="shared" si="17"/>
        <v>0</v>
      </c>
      <c r="W68" s="995">
        <f>'[1]Oct midyear Acadiana Ren'!E65</f>
        <v>0</v>
      </c>
      <c r="X68" s="290">
        <f t="shared" si="18"/>
        <v>0</v>
      </c>
      <c r="Y68" s="289">
        <f>'[1]Feb midyear Acadiana Ren'!E65</f>
        <v>0</v>
      </c>
      <c r="Z68" s="290">
        <f t="shared" si="19"/>
        <v>0</v>
      </c>
      <c r="AA68" s="288">
        <f t="shared" si="20"/>
        <v>0</v>
      </c>
      <c r="AB68" s="324">
        <f t="shared" si="21"/>
        <v>0</v>
      </c>
      <c r="AC68" s="292">
        <f t="shared" si="22"/>
        <v>0</v>
      </c>
      <c r="AD68" s="324">
        <f t="shared" si="23"/>
        <v>0</v>
      </c>
      <c r="AE68" s="293">
        <v>0</v>
      </c>
      <c r="AF68" s="324">
        <f t="shared" si="24"/>
        <v>0</v>
      </c>
      <c r="AG68" s="293">
        <f>'[2]Table 5C1U-Acadiana Ren'!AI68+'[14]Table 5C1U-Acadiana Ren'!AI68+(6*'[20]Table 5C1U-Acadiana Ren'!AI68)</f>
        <v>0</v>
      </c>
      <c r="AH68" s="293">
        <f t="shared" si="25"/>
        <v>0</v>
      </c>
      <c r="AI68" s="324">
        <f t="shared" si="31"/>
        <v>0</v>
      </c>
      <c r="AJ68" s="321">
        <f t="shared" si="26"/>
        <v>0</v>
      </c>
      <c r="AK68" s="342">
        <f t="shared" si="27"/>
        <v>0</v>
      </c>
      <c r="AM68" s="286">
        <v>0</v>
      </c>
      <c r="AN68" s="286">
        <f t="shared" si="28"/>
        <v>0</v>
      </c>
      <c r="AO68" s="286">
        <f t="shared" si="29"/>
        <v>0</v>
      </c>
    </row>
    <row r="69" spans="1:41" ht="16.149999999999999" customHeight="1">
      <c r="A69" s="198">
        <v>63</v>
      </c>
      <c r="B69" s="199" t="s">
        <v>134</v>
      </c>
      <c r="C69" s="995">
        <v>0</v>
      </c>
      <c r="D69" s="201">
        <f>+'Table 5C1A-Madison Prep'!D69</f>
        <v>4124.3813481848092</v>
      </c>
      <c r="E69" s="202">
        <f t="shared" si="8"/>
        <v>0</v>
      </c>
      <c r="F69" s="202">
        <f>+'Table 5C1A-Madison Prep'!F69</f>
        <v>756.79</v>
      </c>
      <c r="G69" s="202">
        <f t="shared" si="9"/>
        <v>0</v>
      </c>
      <c r="H69" s="345">
        <f t="shared" si="10"/>
        <v>0</v>
      </c>
      <c r="I69" s="991">
        <f>'[1]Oct midyear Acadiana Ren'!K66</f>
        <v>0</v>
      </c>
      <c r="J69" s="203">
        <f>'[1]Feb midyear Acadiana Ren'!K66</f>
        <v>0</v>
      </c>
      <c r="K69" s="204">
        <f t="shared" si="11"/>
        <v>0</v>
      </c>
      <c r="L69" s="345">
        <f t="shared" si="12"/>
        <v>0</v>
      </c>
      <c r="M69" s="286">
        <f t="shared" si="4"/>
        <v>0</v>
      </c>
      <c r="N69" s="345">
        <f t="shared" si="13"/>
        <v>0</v>
      </c>
      <c r="O69" s="201">
        <v>0</v>
      </c>
      <c r="P69" s="351">
        <f t="shared" si="14"/>
        <v>0</v>
      </c>
      <c r="Q69" s="203">
        <f>'[2]Table 5C1U-Acadiana Ren'!S69+'[14]Table 5C1U-Acadiana Ren'!S69+(6*'[20]Table 5C1U-Acadiana Ren'!S69)</f>
        <v>0</v>
      </c>
      <c r="R69" s="203">
        <f t="shared" si="15"/>
        <v>0</v>
      </c>
      <c r="S69" s="351">
        <f t="shared" si="30"/>
        <v>0</v>
      </c>
      <c r="T69" s="351">
        <f t="shared" si="16"/>
        <v>0</v>
      </c>
      <c r="U69" s="287">
        <f>'Table 5C1A-Madison Prep'!U69</f>
        <v>7403</v>
      </c>
      <c r="V69" s="328">
        <f t="shared" si="17"/>
        <v>0</v>
      </c>
      <c r="W69" s="995">
        <f>'[1]Oct midyear Acadiana Ren'!E66</f>
        <v>0</v>
      </c>
      <c r="X69" s="290">
        <f t="shared" si="18"/>
        <v>0</v>
      </c>
      <c r="Y69" s="289">
        <f>'[1]Feb midyear Acadiana Ren'!E66</f>
        <v>0</v>
      </c>
      <c r="Z69" s="290">
        <f t="shared" si="19"/>
        <v>0</v>
      </c>
      <c r="AA69" s="288">
        <f t="shared" si="20"/>
        <v>0</v>
      </c>
      <c r="AB69" s="324">
        <f t="shared" si="21"/>
        <v>0</v>
      </c>
      <c r="AC69" s="292">
        <f t="shared" si="22"/>
        <v>0</v>
      </c>
      <c r="AD69" s="324">
        <f t="shared" si="23"/>
        <v>0</v>
      </c>
      <c r="AE69" s="293">
        <v>0</v>
      </c>
      <c r="AF69" s="324">
        <f t="shared" si="24"/>
        <v>0</v>
      </c>
      <c r="AG69" s="293">
        <f>'[2]Table 5C1U-Acadiana Ren'!AI69+'[14]Table 5C1U-Acadiana Ren'!AI69+(6*'[20]Table 5C1U-Acadiana Ren'!AI69)</f>
        <v>0</v>
      </c>
      <c r="AH69" s="293">
        <f t="shared" si="25"/>
        <v>0</v>
      </c>
      <c r="AI69" s="324">
        <f t="shared" si="31"/>
        <v>0</v>
      </c>
      <c r="AJ69" s="321">
        <f t="shared" si="26"/>
        <v>0</v>
      </c>
      <c r="AK69" s="342">
        <f t="shared" si="27"/>
        <v>0</v>
      </c>
      <c r="AM69" s="286">
        <v>0</v>
      </c>
      <c r="AN69" s="286">
        <f t="shared" si="28"/>
        <v>0</v>
      </c>
      <c r="AO69" s="286">
        <f t="shared" si="29"/>
        <v>0</v>
      </c>
    </row>
    <row r="70" spans="1:41" ht="16.149999999999999" customHeight="1">
      <c r="A70" s="198">
        <v>64</v>
      </c>
      <c r="B70" s="199" t="s">
        <v>135</v>
      </c>
      <c r="C70" s="995">
        <v>0</v>
      </c>
      <c r="D70" s="201">
        <f>+'Table 5C1A-Madison Prep'!D70</f>
        <v>6277.8307532778254</v>
      </c>
      <c r="E70" s="202">
        <f t="shared" si="8"/>
        <v>0</v>
      </c>
      <c r="F70" s="202">
        <f>+'Table 5C1A-Madison Prep'!F70</f>
        <v>592.66</v>
      </c>
      <c r="G70" s="202">
        <f t="shared" si="9"/>
        <v>0</v>
      </c>
      <c r="H70" s="345">
        <f t="shared" si="10"/>
        <v>0</v>
      </c>
      <c r="I70" s="991">
        <f>'[1]Oct midyear Acadiana Ren'!K67</f>
        <v>0</v>
      </c>
      <c r="J70" s="203">
        <f>'[1]Feb midyear Acadiana Ren'!K67</f>
        <v>0</v>
      </c>
      <c r="K70" s="204">
        <f t="shared" si="11"/>
        <v>0</v>
      </c>
      <c r="L70" s="345">
        <f t="shared" si="12"/>
        <v>0</v>
      </c>
      <c r="M70" s="286">
        <f t="shared" si="4"/>
        <v>0</v>
      </c>
      <c r="N70" s="345">
        <f t="shared" si="13"/>
        <v>0</v>
      </c>
      <c r="O70" s="201">
        <v>0</v>
      </c>
      <c r="P70" s="351">
        <f t="shared" si="14"/>
        <v>0</v>
      </c>
      <c r="Q70" s="203">
        <f>'[2]Table 5C1U-Acadiana Ren'!S70+'[14]Table 5C1U-Acadiana Ren'!S70+(6*'[20]Table 5C1U-Acadiana Ren'!S70)</f>
        <v>0</v>
      </c>
      <c r="R70" s="203">
        <f t="shared" si="15"/>
        <v>0</v>
      </c>
      <c r="S70" s="351">
        <f t="shared" si="30"/>
        <v>0</v>
      </c>
      <c r="T70" s="351">
        <f t="shared" si="16"/>
        <v>0</v>
      </c>
      <c r="U70" s="287">
        <f>'Table 5C1A-Madison Prep'!U70</f>
        <v>2802</v>
      </c>
      <c r="V70" s="328">
        <f t="shared" si="17"/>
        <v>0</v>
      </c>
      <c r="W70" s="995">
        <f>'[1]Oct midyear Acadiana Ren'!E67</f>
        <v>0</v>
      </c>
      <c r="X70" s="290">
        <f t="shared" si="18"/>
        <v>0</v>
      </c>
      <c r="Y70" s="289">
        <f>'[1]Feb midyear Acadiana Ren'!E67</f>
        <v>0</v>
      </c>
      <c r="Z70" s="290">
        <f t="shared" si="19"/>
        <v>0</v>
      </c>
      <c r="AA70" s="288">
        <f t="shared" si="20"/>
        <v>0</v>
      </c>
      <c r="AB70" s="324">
        <f t="shared" si="21"/>
        <v>0</v>
      </c>
      <c r="AC70" s="292">
        <f t="shared" si="22"/>
        <v>0</v>
      </c>
      <c r="AD70" s="324">
        <f t="shared" si="23"/>
        <v>0</v>
      </c>
      <c r="AE70" s="293">
        <v>0</v>
      </c>
      <c r="AF70" s="324">
        <f t="shared" si="24"/>
        <v>0</v>
      </c>
      <c r="AG70" s="293">
        <f>'[2]Table 5C1U-Acadiana Ren'!AI70+'[14]Table 5C1U-Acadiana Ren'!AI70+(6*'[20]Table 5C1U-Acadiana Ren'!AI70)</f>
        <v>0</v>
      </c>
      <c r="AH70" s="293">
        <f t="shared" si="25"/>
        <v>0</v>
      </c>
      <c r="AI70" s="324">
        <f t="shared" si="31"/>
        <v>0</v>
      </c>
      <c r="AJ70" s="321">
        <f t="shared" si="26"/>
        <v>0</v>
      </c>
      <c r="AK70" s="342">
        <f t="shared" si="27"/>
        <v>0</v>
      </c>
      <c r="AM70" s="286">
        <v>0</v>
      </c>
      <c r="AN70" s="286">
        <f t="shared" si="28"/>
        <v>0</v>
      </c>
      <c r="AO70" s="286">
        <f t="shared" si="29"/>
        <v>0</v>
      </c>
    </row>
    <row r="71" spans="1:41" ht="16.149999999999999" customHeight="1">
      <c r="A71" s="191">
        <v>65</v>
      </c>
      <c r="B71" s="192" t="s">
        <v>136</v>
      </c>
      <c r="C71" s="996">
        <v>0</v>
      </c>
      <c r="D71" s="194">
        <f>+'Table 5C1A-Madison Prep'!D71</f>
        <v>4775.1605543943642</v>
      </c>
      <c r="E71" s="195">
        <f t="shared" si="8"/>
        <v>0</v>
      </c>
      <c r="F71" s="195">
        <f>+'Table 5C1A-Madison Prep'!F71</f>
        <v>829.12</v>
      </c>
      <c r="G71" s="195">
        <f t="shared" si="9"/>
        <v>0</v>
      </c>
      <c r="H71" s="346">
        <f t="shared" si="10"/>
        <v>0</v>
      </c>
      <c r="I71" s="992">
        <f>'[1]Oct midyear Acadiana Ren'!K68</f>
        <v>0</v>
      </c>
      <c r="J71" s="196">
        <f>'[1]Feb midyear Acadiana Ren'!K68</f>
        <v>0</v>
      </c>
      <c r="K71" s="197">
        <f t="shared" si="11"/>
        <v>0</v>
      </c>
      <c r="L71" s="346">
        <f t="shared" si="12"/>
        <v>0</v>
      </c>
      <c r="M71" s="296">
        <f t="shared" ref="M71:M73" si="32">-(0.25%*L71)</f>
        <v>0</v>
      </c>
      <c r="N71" s="346">
        <f t="shared" si="13"/>
        <v>0</v>
      </c>
      <c r="O71" s="194">
        <v>0</v>
      </c>
      <c r="P71" s="352">
        <f t="shared" si="14"/>
        <v>0</v>
      </c>
      <c r="Q71" s="196">
        <f>'[2]Table 5C1U-Acadiana Ren'!S71+'[14]Table 5C1U-Acadiana Ren'!S71+(6*'[20]Table 5C1U-Acadiana Ren'!S71)</f>
        <v>0</v>
      </c>
      <c r="R71" s="196">
        <f t="shared" si="15"/>
        <v>0</v>
      </c>
      <c r="S71" s="352">
        <f t="shared" ref="S71:S75" si="33">ROUND(R71/$S$88,0)</f>
        <v>0</v>
      </c>
      <c r="T71" s="352">
        <f t="shared" si="16"/>
        <v>0</v>
      </c>
      <c r="U71" s="281">
        <f>'Table 5C1A-Madison Prep'!U71</f>
        <v>5215</v>
      </c>
      <c r="V71" s="329">
        <f t="shared" si="17"/>
        <v>0</v>
      </c>
      <c r="W71" s="996">
        <f>'[1]Oct midyear Acadiana Ren'!E68</f>
        <v>0</v>
      </c>
      <c r="X71" s="282">
        <f t="shared" si="18"/>
        <v>0</v>
      </c>
      <c r="Y71" s="884">
        <f>'[1]Feb midyear Acadiana Ren'!E68</f>
        <v>0</v>
      </c>
      <c r="Z71" s="282">
        <f t="shared" si="19"/>
        <v>0</v>
      </c>
      <c r="AA71" s="283">
        <f t="shared" si="20"/>
        <v>0</v>
      </c>
      <c r="AB71" s="325">
        <f t="shared" si="21"/>
        <v>0</v>
      </c>
      <c r="AC71" s="298">
        <f t="shared" si="22"/>
        <v>0</v>
      </c>
      <c r="AD71" s="325">
        <f t="shared" si="23"/>
        <v>0</v>
      </c>
      <c r="AE71" s="284">
        <v>0</v>
      </c>
      <c r="AF71" s="325">
        <f t="shared" si="24"/>
        <v>0</v>
      </c>
      <c r="AG71" s="284">
        <f>'[2]Table 5C1U-Acadiana Ren'!AI71+'[14]Table 5C1U-Acadiana Ren'!AI71+(6*'[20]Table 5C1U-Acadiana Ren'!AI71)</f>
        <v>0</v>
      </c>
      <c r="AH71" s="284">
        <f t="shared" si="25"/>
        <v>0</v>
      </c>
      <c r="AI71" s="325">
        <f t="shared" ref="AI71:AI75" si="34">ROUND(AH71/$AI$88,0)</f>
        <v>0</v>
      </c>
      <c r="AJ71" s="338">
        <f t="shared" si="26"/>
        <v>0</v>
      </c>
      <c r="AK71" s="343">
        <f t="shared" si="27"/>
        <v>0</v>
      </c>
      <c r="AM71" s="296">
        <v>0</v>
      </c>
      <c r="AN71" s="296">
        <f t="shared" si="28"/>
        <v>0</v>
      </c>
      <c r="AO71" s="296">
        <f t="shared" si="29"/>
        <v>0</v>
      </c>
    </row>
    <row r="72" spans="1:41" ht="16.149999999999999" customHeight="1">
      <c r="A72" s="205">
        <v>66</v>
      </c>
      <c r="B72" s="206" t="s">
        <v>137</v>
      </c>
      <c r="C72" s="994">
        <v>0</v>
      </c>
      <c r="D72" s="208">
        <f>+'Table 5C1A-Madison Prep'!D72</f>
        <v>6564.0085433910035</v>
      </c>
      <c r="E72" s="209">
        <f t="shared" ref="E72:E75" si="35">C72*D72</f>
        <v>0</v>
      </c>
      <c r="F72" s="209">
        <f>+'Table 5C1A-Madison Prep'!F72</f>
        <v>730.06</v>
      </c>
      <c r="G72" s="209">
        <f t="shared" ref="G72:G75" si="36">C72*F72</f>
        <v>0</v>
      </c>
      <c r="H72" s="344">
        <f t="shared" ref="H72:H75" si="37">E72+G72</f>
        <v>0</v>
      </c>
      <c r="I72" s="990">
        <f>'[1]Oct midyear Acadiana Ren'!K69</f>
        <v>0</v>
      </c>
      <c r="J72" s="210">
        <f>'[1]Feb midyear Acadiana Ren'!K69</f>
        <v>0</v>
      </c>
      <c r="K72" s="211">
        <f t="shared" ref="K72:K75" si="38">I72+J72</f>
        <v>0</v>
      </c>
      <c r="L72" s="344">
        <f t="shared" ref="L72:L75" si="39">+H72+K72</f>
        <v>0</v>
      </c>
      <c r="M72" s="273">
        <f t="shared" si="32"/>
        <v>0</v>
      </c>
      <c r="N72" s="344">
        <f t="shared" ref="N72:N75" si="40">SUM(L72:M72)</f>
        <v>0</v>
      </c>
      <c r="O72" s="208">
        <v>0</v>
      </c>
      <c r="P72" s="350">
        <f t="shared" ref="P72:P75" si="41">SUM(N72:O72)</f>
        <v>0</v>
      </c>
      <c r="Q72" s="210">
        <f>'[2]Table 5C1U-Acadiana Ren'!S72+'[14]Table 5C1U-Acadiana Ren'!S72+(6*'[20]Table 5C1U-Acadiana Ren'!S72)</f>
        <v>0</v>
      </c>
      <c r="R72" s="210">
        <f t="shared" ref="R72:R75" si="42">+P72-Q72</f>
        <v>0</v>
      </c>
      <c r="S72" s="350">
        <f t="shared" si="33"/>
        <v>0</v>
      </c>
      <c r="T72" s="350">
        <f t="shared" ref="T72:T75" si="43">+P72</f>
        <v>0</v>
      </c>
      <c r="U72" s="274">
        <f>'Table 5C1A-Madison Prep'!U72</f>
        <v>3609</v>
      </c>
      <c r="V72" s="327">
        <f t="shared" ref="V72:V75" si="44">C72*U72</f>
        <v>0</v>
      </c>
      <c r="W72" s="994">
        <f>'[1]Oct midyear Acadiana Ren'!E69</f>
        <v>0</v>
      </c>
      <c r="X72" s="276">
        <f t="shared" ref="X72:X75" si="45">+U72*W72</f>
        <v>0</v>
      </c>
      <c r="Y72" s="883">
        <f>'[1]Feb midyear Acadiana Ren'!E69</f>
        <v>0</v>
      </c>
      <c r="Z72" s="276">
        <f t="shared" ref="Z72:Z75" si="46">+U72*Y72*0.5</f>
        <v>0</v>
      </c>
      <c r="AA72" s="275">
        <f t="shared" ref="AA72:AA75" si="47">+X72+Z72</f>
        <v>0</v>
      </c>
      <c r="AB72" s="323">
        <f t="shared" ref="AB72:AB75" si="48">+V72+AA72</f>
        <v>0</v>
      </c>
      <c r="AC72" s="278">
        <f t="shared" ref="AC72:AC75" si="49">-(0.25%*AB72)</f>
        <v>0</v>
      </c>
      <c r="AD72" s="323">
        <f t="shared" ref="AD72:AD75" si="50">SUM(AB72:AC72)</f>
        <v>0</v>
      </c>
      <c r="AE72" s="279">
        <v>0</v>
      </c>
      <c r="AF72" s="323">
        <f t="shared" ref="AF72:AF75" si="51">SUM(AD72:AE72)</f>
        <v>0</v>
      </c>
      <c r="AG72" s="279">
        <f>'[2]Table 5C1U-Acadiana Ren'!AI72+'[14]Table 5C1U-Acadiana Ren'!AI72+(6*'[20]Table 5C1U-Acadiana Ren'!AI72)</f>
        <v>0</v>
      </c>
      <c r="AH72" s="279">
        <f t="shared" ref="AH72:AH75" si="52">+AF72-AG72</f>
        <v>0</v>
      </c>
      <c r="AI72" s="323">
        <f t="shared" si="34"/>
        <v>0</v>
      </c>
      <c r="AJ72" s="337">
        <f t="shared" ref="AJ72:AJ75" si="53">T72+AF72</f>
        <v>0</v>
      </c>
      <c r="AK72" s="341">
        <f t="shared" ref="AK72:AK75" si="54">S72+AI72</f>
        <v>0</v>
      </c>
      <c r="AM72" s="310">
        <v>0</v>
      </c>
      <c r="AN72" s="310">
        <f t="shared" ref="AN72:AN75" si="55">+AC72</f>
        <v>0</v>
      </c>
      <c r="AO72" s="310">
        <f t="shared" si="29"/>
        <v>0</v>
      </c>
    </row>
    <row r="73" spans="1:41" ht="16.149999999999999" customHeight="1">
      <c r="A73" s="198">
        <v>67</v>
      </c>
      <c r="B73" s="199" t="s">
        <v>28</v>
      </c>
      <c r="C73" s="995">
        <v>0</v>
      </c>
      <c r="D73" s="201">
        <f>+'Table 5C1A-Madison Prep'!D73</f>
        <v>5029.1467736134118</v>
      </c>
      <c r="E73" s="202">
        <f t="shared" si="35"/>
        <v>0</v>
      </c>
      <c r="F73" s="202">
        <f>+'Table 5C1A-Madison Prep'!F73</f>
        <v>715.61</v>
      </c>
      <c r="G73" s="202">
        <f t="shared" si="36"/>
        <v>0</v>
      </c>
      <c r="H73" s="345">
        <f t="shared" si="37"/>
        <v>0</v>
      </c>
      <c r="I73" s="991">
        <f>'[1]Oct midyear Acadiana Ren'!K70</f>
        <v>0</v>
      </c>
      <c r="J73" s="203">
        <f>'[1]Feb midyear Acadiana Ren'!K70</f>
        <v>0</v>
      </c>
      <c r="K73" s="204">
        <f t="shared" si="38"/>
        <v>0</v>
      </c>
      <c r="L73" s="345">
        <f t="shared" si="39"/>
        <v>0</v>
      </c>
      <c r="M73" s="286">
        <f t="shared" si="32"/>
        <v>0</v>
      </c>
      <c r="N73" s="345">
        <f t="shared" si="40"/>
        <v>0</v>
      </c>
      <c r="O73" s="201">
        <v>0</v>
      </c>
      <c r="P73" s="351">
        <f t="shared" si="41"/>
        <v>0</v>
      </c>
      <c r="Q73" s="203">
        <f>'[2]Table 5C1U-Acadiana Ren'!S73+'[14]Table 5C1U-Acadiana Ren'!S73+(6*'[20]Table 5C1U-Acadiana Ren'!S73)</f>
        <v>0</v>
      </c>
      <c r="R73" s="203">
        <f t="shared" si="42"/>
        <v>0</v>
      </c>
      <c r="S73" s="351">
        <f t="shared" si="33"/>
        <v>0</v>
      </c>
      <c r="T73" s="351">
        <f t="shared" si="43"/>
        <v>0</v>
      </c>
      <c r="U73" s="287">
        <f>'Table 5C1A-Madison Prep'!U73</f>
        <v>5069</v>
      </c>
      <c r="V73" s="328">
        <f t="shared" si="44"/>
        <v>0</v>
      </c>
      <c r="W73" s="995">
        <f>'[1]Oct midyear Acadiana Ren'!E70</f>
        <v>0</v>
      </c>
      <c r="X73" s="290">
        <f t="shared" si="45"/>
        <v>0</v>
      </c>
      <c r="Y73" s="289">
        <f>'[1]Feb midyear Acadiana Ren'!E70</f>
        <v>0</v>
      </c>
      <c r="Z73" s="290">
        <f t="shared" si="46"/>
        <v>0</v>
      </c>
      <c r="AA73" s="288">
        <f t="shared" si="47"/>
        <v>0</v>
      </c>
      <c r="AB73" s="324">
        <f t="shared" si="48"/>
        <v>0</v>
      </c>
      <c r="AC73" s="292">
        <f t="shared" si="49"/>
        <v>0</v>
      </c>
      <c r="AD73" s="324">
        <f t="shared" si="50"/>
        <v>0</v>
      </c>
      <c r="AE73" s="293">
        <v>0</v>
      </c>
      <c r="AF73" s="324">
        <f t="shared" si="51"/>
        <v>0</v>
      </c>
      <c r="AG73" s="293">
        <f>'[2]Table 5C1U-Acadiana Ren'!AI73+'[14]Table 5C1U-Acadiana Ren'!AI73+(6*'[20]Table 5C1U-Acadiana Ren'!AI73)</f>
        <v>0</v>
      </c>
      <c r="AH73" s="293">
        <f t="shared" si="52"/>
        <v>0</v>
      </c>
      <c r="AI73" s="324">
        <f t="shared" si="34"/>
        <v>0</v>
      </c>
      <c r="AJ73" s="321">
        <f t="shared" si="53"/>
        <v>0</v>
      </c>
      <c r="AK73" s="342">
        <f t="shared" si="54"/>
        <v>0</v>
      </c>
      <c r="AM73" s="310">
        <v>0</v>
      </c>
      <c r="AN73" s="310">
        <f t="shared" si="55"/>
        <v>0</v>
      </c>
      <c r="AO73" s="310">
        <f t="shared" si="29"/>
        <v>0</v>
      </c>
    </row>
    <row r="74" spans="1:41" ht="16.149999999999999" customHeight="1">
      <c r="A74" s="198">
        <v>68</v>
      </c>
      <c r="B74" s="199" t="s">
        <v>27</v>
      </c>
      <c r="C74" s="995">
        <v>0</v>
      </c>
      <c r="D74" s="201">
        <f>+'Table 5C1A-Madison Prep'!D74</f>
        <v>6390.1644202560601</v>
      </c>
      <c r="E74" s="202">
        <f t="shared" si="35"/>
        <v>0</v>
      </c>
      <c r="F74" s="202">
        <f>+'Table 5C1A-Madison Prep'!F74</f>
        <v>798.7</v>
      </c>
      <c r="G74" s="202">
        <f t="shared" si="36"/>
        <v>0</v>
      </c>
      <c r="H74" s="345">
        <f t="shared" si="37"/>
        <v>0</v>
      </c>
      <c r="I74" s="991">
        <f>'[1]Oct midyear Acadiana Ren'!K71</f>
        <v>0</v>
      </c>
      <c r="J74" s="203">
        <f>'[1]Feb midyear Acadiana Ren'!K71</f>
        <v>0</v>
      </c>
      <c r="K74" s="204">
        <f t="shared" si="38"/>
        <v>0</v>
      </c>
      <c r="L74" s="345">
        <f t="shared" si="39"/>
        <v>0</v>
      </c>
      <c r="M74" s="286">
        <f t="shared" ref="M74" si="56">-(0.25%*H74)</f>
        <v>0</v>
      </c>
      <c r="N74" s="345">
        <f t="shared" si="40"/>
        <v>0</v>
      </c>
      <c r="O74" s="201">
        <v>0</v>
      </c>
      <c r="P74" s="351">
        <f t="shared" si="41"/>
        <v>0</v>
      </c>
      <c r="Q74" s="203">
        <f>'[2]Table 5C1U-Acadiana Ren'!S74+'[14]Table 5C1U-Acadiana Ren'!S74+(6*'[20]Table 5C1U-Acadiana Ren'!S74)</f>
        <v>0</v>
      </c>
      <c r="R74" s="203">
        <f t="shared" si="42"/>
        <v>0</v>
      </c>
      <c r="S74" s="351">
        <f t="shared" si="33"/>
        <v>0</v>
      </c>
      <c r="T74" s="351">
        <f t="shared" si="43"/>
        <v>0</v>
      </c>
      <c r="U74" s="287">
        <f>'Table 5C1A-Madison Prep'!U74</f>
        <v>2880</v>
      </c>
      <c r="V74" s="328">
        <f t="shared" si="44"/>
        <v>0</v>
      </c>
      <c r="W74" s="995">
        <f>'[1]Oct midyear Acadiana Ren'!E71</f>
        <v>0</v>
      </c>
      <c r="X74" s="290">
        <f t="shared" si="45"/>
        <v>0</v>
      </c>
      <c r="Y74" s="289">
        <f>'[1]Feb midyear Acadiana Ren'!E71</f>
        <v>0</v>
      </c>
      <c r="Z74" s="290">
        <f t="shared" si="46"/>
        <v>0</v>
      </c>
      <c r="AA74" s="288">
        <f t="shared" si="47"/>
        <v>0</v>
      </c>
      <c r="AB74" s="324">
        <f t="shared" si="48"/>
        <v>0</v>
      </c>
      <c r="AC74" s="292">
        <f t="shared" si="49"/>
        <v>0</v>
      </c>
      <c r="AD74" s="324">
        <f t="shared" si="50"/>
        <v>0</v>
      </c>
      <c r="AE74" s="293">
        <v>0</v>
      </c>
      <c r="AF74" s="324">
        <f t="shared" si="51"/>
        <v>0</v>
      </c>
      <c r="AG74" s="293">
        <f>'[2]Table 5C1U-Acadiana Ren'!AI74+'[14]Table 5C1U-Acadiana Ren'!AI74+(6*'[20]Table 5C1U-Acadiana Ren'!AI74)</f>
        <v>0</v>
      </c>
      <c r="AH74" s="293">
        <f t="shared" si="52"/>
        <v>0</v>
      </c>
      <c r="AI74" s="324">
        <f t="shared" si="34"/>
        <v>0</v>
      </c>
      <c r="AJ74" s="321">
        <f t="shared" si="53"/>
        <v>0</v>
      </c>
      <c r="AK74" s="342">
        <f t="shared" si="54"/>
        <v>0</v>
      </c>
      <c r="AM74" s="310">
        <v>0</v>
      </c>
      <c r="AN74" s="310">
        <f t="shared" si="55"/>
        <v>0</v>
      </c>
      <c r="AO74" s="310">
        <f t="shared" si="29"/>
        <v>0</v>
      </c>
    </row>
    <row r="75" spans="1:41" ht="16.149999999999999" customHeight="1">
      <c r="A75" s="198">
        <v>69</v>
      </c>
      <c r="B75" s="199" t="s">
        <v>147</v>
      </c>
      <c r="C75" s="995">
        <v>0</v>
      </c>
      <c r="D75" s="201">
        <f>+'Table 5C1A-Madison Prep'!D75</f>
        <v>5722.4947921281337</v>
      </c>
      <c r="E75" s="202">
        <f t="shared" si="35"/>
        <v>0</v>
      </c>
      <c r="F75" s="202">
        <f>+'Table 5C1A-Madison Prep'!F75</f>
        <v>705.67</v>
      </c>
      <c r="G75" s="202">
        <f t="shared" si="36"/>
        <v>0</v>
      </c>
      <c r="H75" s="345">
        <f t="shared" si="37"/>
        <v>0</v>
      </c>
      <c r="I75" s="991">
        <f>'[1]Oct midyear Acadiana Ren'!K72</f>
        <v>0</v>
      </c>
      <c r="J75" s="203">
        <f>'[1]Feb midyear Acadiana Ren'!K72</f>
        <v>0</v>
      </c>
      <c r="K75" s="204">
        <f t="shared" si="38"/>
        <v>0</v>
      </c>
      <c r="L75" s="345">
        <f t="shared" si="39"/>
        <v>0</v>
      </c>
      <c r="M75" s="286">
        <f>-(0.25%*L75)</f>
        <v>0</v>
      </c>
      <c r="N75" s="345">
        <f t="shared" si="40"/>
        <v>0</v>
      </c>
      <c r="O75" s="201">
        <v>0</v>
      </c>
      <c r="P75" s="351">
        <f t="shared" si="41"/>
        <v>0</v>
      </c>
      <c r="Q75" s="203">
        <f>'[2]Table 5C1U-Acadiana Ren'!S75+'[14]Table 5C1U-Acadiana Ren'!S75+(6*'[20]Table 5C1U-Acadiana Ren'!S75)</f>
        <v>0</v>
      </c>
      <c r="R75" s="203">
        <f t="shared" si="42"/>
        <v>0</v>
      </c>
      <c r="S75" s="351">
        <f t="shared" si="33"/>
        <v>0</v>
      </c>
      <c r="T75" s="351">
        <f t="shared" si="43"/>
        <v>0</v>
      </c>
      <c r="U75" s="287">
        <f>'Table 5C1A-Madison Prep'!U75</f>
        <v>3330</v>
      </c>
      <c r="V75" s="328">
        <f t="shared" si="44"/>
        <v>0</v>
      </c>
      <c r="W75" s="995">
        <f>'[1]Oct midyear Acadiana Ren'!E72</f>
        <v>0</v>
      </c>
      <c r="X75" s="290">
        <f t="shared" si="45"/>
        <v>0</v>
      </c>
      <c r="Y75" s="289">
        <f>'[1]Feb midyear Acadiana Ren'!E72</f>
        <v>0</v>
      </c>
      <c r="Z75" s="290">
        <f t="shared" si="46"/>
        <v>0</v>
      </c>
      <c r="AA75" s="288">
        <f t="shared" si="47"/>
        <v>0</v>
      </c>
      <c r="AB75" s="324">
        <f t="shared" si="48"/>
        <v>0</v>
      </c>
      <c r="AC75" s="292">
        <f t="shared" si="49"/>
        <v>0</v>
      </c>
      <c r="AD75" s="324">
        <f t="shared" si="50"/>
        <v>0</v>
      </c>
      <c r="AE75" s="293">
        <v>0</v>
      </c>
      <c r="AF75" s="324">
        <f t="shared" si="51"/>
        <v>0</v>
      </c>
      <c r="AG75" s="293">
        <f>'[2]Table 5C1U-Acadiana Ren'!AI75+'[14]Table 5C1U-Acadiana Ren'!AI75+(6*'[20]Table 5C1U-Acadiana Ren'!AI75)</f>
        <v>0</v>
      </c>
      <c r="AH75" s="293">
        <f t="shared" si="52"/>
        <v>0</v>
      </c>
      <c r="AI75" s="324">
        <f t="shared" si="34"/>
        <v>0</v>
      </c>
      <c r="AJ75" s="321">
        <f t="shared" si="53"/>
        <v>0</v>
      </c>
      <c r="AK75" s="342">
        <f t="shared" si="54"/>
        <v>0</v>
      </c>
      <c r="AM75" s="300">
        <v>0</v>
      </c>
      <c r="AN75" s="300">
        <f t="shared" si="55"/>
        <v>0</v>
      </c>
      <c r="AO75" s="300">
        <f t="shared" si="29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0</v>
      </c>
      <c r="D76" s="28">
        <f>+'Table 5C1A-Madison Prep'!D76</f>
        <v>4479.9292126977662</v>
      </c>
      <c r="E76" s="35">
        <f>SUM(E7:E75)</f>
        <v>0</v>
      </c>
      <c r="F76" s="35">
        <f>+'Table 5C1A-Madison Prep'!F76</f>
        <v>704.64781030742063</v>
      </c>
      <c r="G76" s="35">
        <f>SUM(G7:G75)</f>
        <v>0</v>
      </c>
      <c r="H76" s="348">
        <f>SUM(H7:H75)</f>
        <v>0</v>
      </c>
      <c r="I76" s="37">
        <f>SUM(I7:I75)</f>
        <v>2657225.9458649475</v>
      </c>
      <c r="J76" s="70">
        <f>SUM(J7:J75)</f>
        <v>-4293.6511391738259</v>
      </c>
      <c r="K76" s="56">
        <f t="shared" ref="K76:T76" si="57">SUM(K7:K75)</f>
        <v>2652932.2947257734</v>
      </c>
      <c r="L76" s="364">
        <f t="shared" si="57"/>
        <v>2652932.2947257734</v>
      </c>
      <c r="M76" s="36">
        <f t="shared" si="57"/>
        <v>-6632.3307368144342</v>
      </c>
      <c r="N76" s="348">
        <f t="shared" si="57"/>
        <v>2646299.9639889598</v>
      </c>
      <c r="O76" s="28">
        <f t="shared" si="57"/>
        <v>0</v>
      </c>
      <c r="P76" s="354">
        <f t="shared" si="57"/>
        <v>2646299.9639889598</v>
      </c>
      <c r="Q76" s="70">
        <f t="shared" si="57"/>
        <v>1901827</v>
      </c>
      <c r="R76" s="70">
        <f t="shared" si="57"/>
        <v>744472.96398895979</v>
      </c>
      <c r="S76" s="354">
        <f t="shared" si="57"/>
        <v>186117</v>
      </c>
      <c r="T76" s="354">
        <f t="shared" si="57"/>
        <v>2646299.9639889598</v>
      </c>
      <c r="U76" s="83">
        <f>'Table 5C1A-Madison Prep'!U76</f>
        <v>4703</v>
      </c>
      <c r="V76" s="330">
        <f t="shared" ref="V76:AK76" si="58">SUM(V7:V75)</f>
        <v>0</v>
      </c>
      <c r="W76" s="1001">
        <f t="shared" si="58"/>
        <v>675</v>
      </c>
      <c r="X76" s="75">
        <f t="shared" si="58"/>
        <v>3832113</v>
      </c>
      <c r="Y76" s="74">
        <f t="shared" si="58"/>
        <v>-5</v>
      </c>
      <c r="Z76" s="75">
        <f t="shared" si="58"/>
        <v>-22117</v>
      </c>
      <c r="AA76" s="63">
        <f t="shared" si="58"/>
        <v>3809996</v>
      </c>
      <c r="AB76" s="332">
        <f t="shared" si="58"/>
        <v>3809996</v>
      </c>
      <c r="AC76" s="37">
        <f t="shared" si="58"/>
        <v>-9524.9900000000016</v>
      </c>
      <c r="AD76" s="330">
        <f t="shared" si="58"/>
        <v>3800471.01</v>
      </c>
      <c r="AE76" s="85">
        <f t="shared" si="58"/>
        <v>0</v>
      </c>
      <c r="AF76" s="330">
        <f t="shared" si="58"/>
        <v>3800471.01</v>
      </c>
      <c r="AG76" s="75">
        <f t="shared" si="58"/>
        <v>2314889</v>
      </c>
      <c r="AH76" s="75">
        <f t="shared" si="58"/>
        <v>1485582.0099999998</v>
      </c>
      <c r="AI76" s="330">
        <f t="shared" si="58"/>
        <v>371395</v>
      </c>
      <c r="AJ76" s="339">
        <f t="shared" si="58"/>
        <v>6446770.9739889586</v>
      </c>
      <c r="AK76" s="339">
        <f t="shared" si="58"/>
        <v>557512</v>
      </c>
      <c r="AM76" s="36">
        <f>SUM(AM7:AM75)</f>
        <v>-8311.9349999999995</v>
      </c>
      <c r="AN76" s="36">
        <f>SUM(AN7:AN75)</f>
        <v>-9524.9900000000016</v>
      </c>
      <c r="AO76" s="36">
        <f>SUM(AO7:AO75)</f>
        <v>-1213.0550000000003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90"/>
      <c r="J77" s="222"/>
      <c r="K77" s="222"/>
      <c r="L77" s="220"/>
      <c r="M77" s="222"/>
      <c r="N77" s="220"/>
      <c r="O77" s="220"/>
      <c r="P77" s="295">
        <f>'Table 4 Level 4'!$E117</f>
        <v>0</v>
      </c>
      <c r="Q77" s="222">
        <f>'[2]Table 5C1U-Acadiana Ren'!S77+'[14]Table 5C1U-Acadiana Ren'!S77+(6*'[20]Table 5C1U-Acadiana Ren'!S77)</f>
        <v>0</v>
      </c>
      <c r="R77" s="222">
        <f t="shared" ref="R77" si="59">+P77-Q77</f>
        <v>0</v>
      </c>
      <c r="S77" s="295">
        <f t="shared" ref="S77:S81" si="60">ROUND(R77/$S$88,0)</f>
        <v>0</v>
      </c>
      <c r="T77" s="295">
        <f>'Table 4 Level 4'!$E117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61">T77+AF77</f>
        <v>0</v>
      </c>
      <c r="AK77" s="321">
        <f t="shared" ref="AK77:AK81" si="62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90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4'!$J117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61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90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4'!$L117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61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90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4'!$M117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61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302"/>
      <c r="J81" s="217"/>
      <c r="K81" s="217"/>
      <c r="L81" s="215"/>
      <c r="M81" s="217"/>
      <c r="N81" s="215"/>
      <c r="O81" s="215"/>
      <c r="P81" s="353">
        <f>'Table 4 Level 4'!O117</f>
        <v>0</v>
      </c>
      <c r="Q81" s="217">
        <f>'[2]Table 5C1U-Acadiana Ren'!S81+'[14]Table 5C1U-Acadiana Ren'!S81+(6*'[20]Table 5C1U-Acadiana Ren'!S81)</f>
        <v>0</v>
      </c>
      <c r="R81" s="217">
        <f t="shared" ref="R81" si="63">+P81-Q81</f>
        <v>0</v>
      </c>
      <c r="S81" s="353">
        <f t="shared" si="60"/>
        <v>0</v>
      </c>
      <c r="T81" s="353">
        <f>P81</f>
        <v>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61"/>
        <v>0</v>
      </c>
      <c r="AK81" s="322">
        <f t="shared" si="62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0</v>
      </c>
      <c r="D82" s="128">
        <f t="shared" ref="D82:AK82" si="64">SUM(D76:D81)</f>
        <v>4479.9292126977662</v>
      </c>
      <c r="E82" s="128">
        <f t="shared" si="64"/>
        <v>0</v>
      </c>
      <c r="F82" s="128">
        <f t="shared" si="64"/>
        <v>704.64781030742063</v>
      </c>
      <c r="G82" s="128">
        <f t="shared" si="64"/>
        <v>0</v>
      </c>
      <c r="H82" s="128">
        <f t="shared" si="64"/>
        <v>0</v>
      </c>
      <c r="I82" s="134">
        <f t="shared" si="64"/>
        <v>2657225.9458649475</v>
      </c>
      <c r="J82" s="133">
        <f t="shared" si="64"/>
        <v>-4293.6511391738259</v>
      </c>
      <c r="K82" s="133">
        <f t="shared" si="64"/>
        <v>2652932.2947257734</v>
      </c>
      <c r="L82" s="128">
        <f t="shared" si="64"/>
        <v>2652932.2947257734</v>
      </c>
      <c r="M82" s="133">
        <f t="shared" si="64"/>
        <v>-6632.3307368144342</v>
      </c>
      <c r="N82" s="128">
        <f t="shared" si="64"/>
        <v>2646299.9639889598</v>
      </c>
      <c r="O82" s="128">
        <f t="shared" si="64"/>
        <v>0</v>
      </c>
      <c r="P82" s="355">
        <f t="shared" si="64"/>
        <v>2646299.9639889598</v>
      </c>
      <c r="Q82" s="133">
        <f t="shared" si="64"/>
        <v>1901827</v>
      </c>
      <c r="R82" s="133">
        <f t="shared" si="64"/>
        <v>744472.96398895979</v>
      </c>
      <c r="S82" s="355">
        <f t="shared" si="64"/>
        <v>186117</v>
      </c>
      <c r="T82" s="355">
        <f t="shared" si="64"/>
        <v>2646299.9639889598</v>
      </c>
      <c r="U82" s="137">
        <f t="shared" si="64"/>
        <v>4703</v>
      </c>
      <c r="V82" s="134">
        <f t="shared" si="64"/>
        <v>0</v>
      </c>
      <c r="W82" s="136">
        <f t="shared" si="64"/>
        <v>675</v>
      </c>
      <c r="X82" s="134">
        <f t="shared" si="64"/>
        <v>3832113</v>
      </c>
      <c r="Y82" s="136">
        <f t="shared" si="64"/>
        <v>-5</v>
      </c>
      <c r="Z82" s="134">
        <f t="shared" si="64"/>
        <v>-22117</v>
      </c>
      <c r="AA82" s="134">
        <f t="shared" si="64"/>
        <v>3809996</v>
      </c>
      <c r="AB82" s="134">
        <f t="shared" si="64"/>
        <v>3809996</v>
      </c>
      <c r="AC82" s="134">
        <f t="shared" si="64"/>
        <v>-9524.9900000000016</v>
      </c>
      <c r="AD82" s="134">
        <f t="shared" si="64"/>
        <v>3800471.01</v>
      </c>
      <c r="AE82" s="134">
        <f t="shared" si="64"/>
        <v>0</v>
      </c>
      <c r="AF82" s="134">
        <f t="shared" si="64"/>
        <v>3800471.01</v>
      </c>
      <c r="AG82" s="134">
        <f t="shared" si="64"/>
        <v>2314889</v>
      </c>
      <c r="AH82" s="134">
        <f t="shared" si="64"/>
        <v>1485582.0099999998</v>
      </c>
      <c r="AI82" s="134">
        <f t="shared" si="64"/>
        <v>371395</v>
      </c>
      <c r="AJ82" s="320">
        <f t="shared" si="64"/>
        <v>6446770.9739889586</v>
      </c>
      <c r="AK82" s="320">
        <f t="shared" si="64"/>
        <v>557512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-5815.6478079371036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-816.6829288773306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  <row r="98" ht="13.9" customHeight="1"/>
  </sheetData>
  <mergeCells count="43">
    <mergeCell ref="AG3:AG4"/>
    <mergeCell ref="AH3:AH4"/>
    <mergeCell ref="AI3:AI4"/>
    <mergeCell ref="AF3:AF4"/>
    <mergeCell ref="AC1:AI1"/>
    <mergeCell ref="AE3:AE4"/>
    <mergeCell ref="AD3:AD4"/>
    <mergeCell ref="AK1:AK4"/>
    <mergeCell ref="I2:K2"/>
    <mergeCell ref="C3:C4"/>
    <mergeCell ref="D3:D4"/>
    <mergeCell ref="E3:E4"/>
    <mergeCell ref="U3:U4"/>
    <mergeCell ref="F3:F4"/>
    <mergeCell ref="G3:G4"/>
    <mergeCell ref="H3:H4"/>
    <mergeCell ref="I3:I4"/>
    <mergeCell ref="J3:J4"/>
    <mergeCell ref="K3:K4"/>
    <mergeCell ref="L3:L4"/>
    <mergeCell ref="N3:N4"/>
    <mergeCell ref="M1:T1"/>
    <mergeCell ref="AJ1:AJ4"/>
    <mergeCell ref="A82:B82"/>
    <mergeCell ref="A76:B76"/>
    <mergeCell ref="A77:B77"/>
    <mergeCell ref="A78:B78"/>
    <mergeCell ref="A79:B79"/>
    <mergeCell ref="A80:B80"/>
    <mergeCell ref="A81:B81"/>
    <mergeCell ref="U1:AB1"/>
    <mergeCell ref="A1:B4"/>
    <mergeCell ref="O3:O4"/>
    <mergeCell ref="P3:P4"/>
    <mergeCell ref="S3:S4"/>
    <mergeCell ref="T3:T4"/>
    <mergeCell ref="C1:L1"/>
    <mergeCell ref="AB3:AB4"/>
    <mergeCell ref="W3:W4"/>
    <mergeCell ref="X3:X4"/>
    <mergeCell ref="Y3:Y4"/>
    <mergeCell ref="Z3:Z4"/>
    <mergeCell ref="W2:AA2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5C1-U: FY2014-15 MFP Budget Letter (March 2015)
Acadiana Renaissance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customWidth="1"/>
    <col min="4" max="4" width="13.7109375" style="784" customWidth="1"/>
    <col min="5" max="5" width="9.85546875" style="784" customWidth="1"/>
    <col min="6" max="7" width="12.28515625" style="784" customWidth="1"/>
    <col min="8" max="8" width="11.5703125" style="784" customWidth="1"/>
    <col min="9" max="12" width="12" style="784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5.28515625" style="784" customWidth="1"/>
    <col min="23" max="23" width="14.28515625" style="784" customWidth="1"/>
    <col min="24" max="24" width="15.28515625" style="784" customWidth="1"/>
    <col min="25" max="25" width="13.28515625" style="784" customWidth="1"/>
    <col min="26" max="26" width="12.28515625" style="784" customWidth="1"/>
    <col min="27" max="28" width="15.7109375" style="784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4" width="10.7109375" style="784" bestFit="1" customWidth="1"/>
    <col min="35" max="35" width="14.42578125" style="784" bestFit="1" customWidth="1"/>
    <col min="36" max="36" width="14.28515625" style="784" customWidth="1"/>
    <col min="37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668</v>
      </c>
      <c r="B1" s="1577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33" customHeight="1">
      <c r="A2" s="1578"/>
      <c r="B2" s="1579"/>
      <c r="C2" s="619"/>
      <c r="D2" s="620"/>
      <c r="E2" s="620"/>
      <c r="F2" s="620"/>
      <c r="G2" s="620"/>
      <c r="H2" s="620"/>
      <c r="I2" s="1411" t="s">
        <v>1036</v>
      </c>
      <c r="J2" s="1411"/>
      <c r="K2" s="1411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1035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85" t="s">
        <v>1037</v>
      </c>
      <c r="J3" s="1518" t="s">
        <v>554</v>
      </c>
      <c r="K3" s="1585" t="s">
        <v>1033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1543" t="s">
        <v>871</v>
      </c>
      <c r="W3" s="1587" t="s">
        <v>906</v>
      </c>
      <c r="X3" s="1507" t="s">
        <v>1038</v>
      </c>
      <c r="Y3" s="1507" t="s">
        <v>861</v>
      </c>
      <c r="Z3" s="1507" t="s">
        <v>859</v>
      </c>
      <c r="AA3" s="1215" t="s">
        <v>1034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586"/>
      <c r="J4" s="1470"/>
      <c r="K4" s="1586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1544"/>
      <c r="W4" s="1588"/>
      <c r="X4" s="1470"/>
      <c r="Y4" s="1470"/>
      <c r="Z4" s="1470"/>
      <c r="AA4" s="1214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si="1"/>
        <v>8</v>
      </c>
      <c r="K5" s="23">
        <f t="shared" si="1"/>
        <v>9</v>
      </c>
      <c r="L5" s="23">
        <f t="shared" si="1"/>
        <v>10</v>
      </c>
      <c r="M5" s="23">
        <f t="shared" si="1"/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si="1"/>
        <v>15</v>
      </c>
      <c r="R5" s="23">
        <f t="shared" si="1"/>
        <v>16</v>
      </c>
      <c r="S5" s="23">
        <f t="shared" si="1"/>
        <v>17</v>
      </c>
      <c r="T5" s="23">
        <f t="shared" ref="T5" si="2">S5+1</f>
        <v>18</v>
      </c>
      <c r="U5" s="23">
        <f t="shared" ref="U5" si="3">T5+1</f>
        <v>19</v>
      </c>
      <c r="V5" s="23">
        <f t="shared" si="1"/>
        <v>20</v>
      </c>
      <c r="W5" s="23">
        <f t="shared" si="1"/>
        <v>21</v>
      </c>
      <c r="X5" s="23">
        <f t="shared" si="1"/>
        <v>22</v>
      </c>
      <c r="Y5" s="23">
        <f t="shared" si="1"/>
        <v>23</v>
      </c>
      <c r="Z5" s="23">
        <f t="shared" si="1"/>
        <v>24</v>
      </c>
      <c r="AA5" s="23">
        <f t="shared" si="1"/>
        <v>25</v>
      </c>
      <c r="AB5" s="23">
        <f t="shared" si="1"/>
        <v>26</v>
      </c>
      <c r="AC5" s="23">
        <f t="shared" si="1"/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si="1"/>
        <v>31</v>
      </c>
      <c r="AH5" s="23">
        <f t="shared" si="1"/>
        <v>32</v>
      </c>
      <c r="AI5" s="23">
        <f t="shared" si="1"/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Laf Ren'!K4</f>
        <v>33260.030648009895</v>
      </c>
      <c r="J7" s="210">
        <f>'[1]Feb midyear Laf Ren'!K4</f>
        <v>0</v>
      </c>
      <c r="K7" s="211">
        <f>I7+J7</f>
        <v>33260.030648009895</v>
      </c>
      <c r="L7" s="344">
        <f>+H7+K7</f>
        <v>33260.030648009895</v>
      </c>
      <c r="M7" s="273">
        <f t="shared" ref="M7:M70" si="4">-(0.25%*L7)</f>
        <v>-83.150076620024734</v>
      </c>
      <c r="N7" s="344">
        <f>SUM(L7:M7)</f>
        <v>33176.880571389869</v>
      </c>
      <c r="O7" s="208">
        <v>0</v>
      </c>
      <c r="P7" s="350">
        <f>SUM(N7:O7)</f>
        <v>33176.880571389869</v>
      </c>
      <c r="Q7" s="210">
        <f>(4*'[2]Table 5C1V-Laf Ren'!S7)+(4*'[3]Table 5C1V-Laf Ren'!S7)</f>
        <v>27644</v>
      </c>
      <c r="R7" s="210">
        <f>+P7-Q7</f>
        <v>5532.8805713898691</v>
      </c>
      <c r="S7" s="350">
        <f t="shared" ref="S7:S38" si="5">ROUND(R7/$S$88,0)</f>
        <v>1383</v>
      </c>
      <c r="T7" s="350">
        <f>+P7</f>
        <v>33176.880571389869</v>
      </c>
      <c r="U7" s="274">
        <f>'Table 5C1A-Madison Prep'!U7</f>
        <v>2424</v>
      </c>
      <c r="V7" s="327">
        <f>C7*U7</f>
        <v>0</v>
      </c>
      <c r="W7" s="883">
        <f>'[1]Oct midyear Laf Ren'!E4</f>
        <v>6</v>
      </c>
      <c r="X7" s="276">
        <f>+U7*W7</f>
        <v>14544</v>
      </c>
      <c r="Y7" s="883">
        <f>'[1]Feb midyear Laf Ren'!E4</f>
        <v>0</v>
      </c>
      <c r="Z7" s="276">
        <f>+U7*Y7*0.5</f>
        <v>0</v>
      </c>
      <c r="AA7" s="275">
        <f>+X7+Z7</f>
        <v>14544</v>
      </c>
      <c r="AB7" s="323">
        <f>+V7+AA7</f>
        <v>14544</v>
      </c>
      <c r="AC7" s="278">
        <f>-(0.25%*AB7)</f>
        <v>-36.36</v>
      </c>
      <c r="AD7" s="323">
        <f>SUM(AB7:AC7)</f>
        <v>14507.64</v>
      </c>
      <c r="AE7" s="279">
        <v>0</v>
      </c>
      <c r="AF7" s="323">
        <f>SUM(AD7:AE7)</f>
        <v>14507.64</v>
      </c>
      <c r="AG7" s="279">
        <f>(4*'[2]Table 5C1V-Laf Ren'!AI7)+(4*'[3]Table 5C1V-Laf Ren'!AI7)</f>
        <v>12016</v>
      </c>
      <c r="AH7" s="279">
        <f>+AF7-AG7</f>
        <v>2491.6399999999994</v>
      </c>
      <c r="AI7" s="323">
        <f t="shared" ref="AI7:AI38" si="6">ROUND(AH7/$AI$88,0)</f>
        <v>623</v>
      </c>
      <c r="AJ7" s="337">
        <f>T7+AF7</f>
        <v>47684.520571389869</v>
      </c>
      <c r="AK7" s="341">
        <f>S7+AI7</f>
        <v>2006</v>
      </c>
      <c r="AM7" s="273">
        <v>-72.27</v>
      </c>
      <c r="AN7" s="273">
        <f>+AC7</f>
        <v>-36.36</v>
      </c>
      <c r="AO7" s="273">
        <f t="shared" ref="AO7:AO33" si="7">+AN7-AM7</f>
        <v>35.909999999999997</v>
      </c>
    </row>
    <row r="8" spans="1:41" ht="16.149999999999999" customHeight="1">
      <c r="A8" s="198">
        <v>2</v>
      </c>
      <c r="B8" s="199" t="s">
        <v>74</v>
      </c>
      <c r="C8" s="995">
        <v>0</v>
      </c>
      <c r="D8" s="201">
        <f>+'Table 5C1A-Madison Prep'!D8</f>
        <v>6316.6266417386641</v>
      </c>
      <c r="E8" s="202">
        <f t="shared" ref="E8:E71" si="8">C8*D8</f>
        <v>0</v>
      </c>
      <c r="F8" s="202">
        <f>+'Table 5C1A-Madison Prep'!F8</f>
        <v>842.32</v>
      </c>
      <c r="G8" s="202">
        <f t="shared" ref="G8:G71" si="9">C8*F8</f>
        <v>0</v>
      </c>
      <c r="H8" s="345">
        <f t="shared" ref="H8:H71" si="10">E8+G8</f>
        <v>0</v>
      </c>
      <c r="I8" s="203">
        <f>'[1]Oct midyear Laf Ren'!K5</f>
        <v>0</v>
      </c>
      <c r="J8" s="203">
        <f>'[1]Feb midyear Laf Ren'!K5</f>
        <v>0</v>
      </c>
      <c r="K8" s="204">
        <f t="shared" ref="K8:K71" si="11">I8+J8</f>
        <v>0</v>
      </c>
      <c r="L8" s="345">
        <f t="shared" ref="L8:L71" si="12">+H8+K8</f>
        <v>0</v>
      </c>
      <c r="M8" s="286">
        <f t="shared" si="4"/>
        <v>0</v>
      </c>
      <c r="N8" s="345">
        <f t="shared" ref="N8:N71" si="13">SUM(L8:M8)</f>
        <v>0</v>
      </c>
      <c r="O8" s="201">
        <v>0</v>
      </c>
      <c r="P8" s="351">
        <f t="shared" ref="P8:P71" si="14">SUM(N8:O8)</f>
        <v>0</v>
      </c>
      <c r="Q8" s="203">
        <f>(4*'[2]Table 5C1V-Laf Ren'!S8)+(4*'[3]Table 5C1V-Laf Ren'!S8)</f>
        <v>0</v>
      </c>
      <c r="R8" s="203">
        <f t="shared" ref="R8:R71" si="15">+P8-Q8</f>
        <v>0</v>
      </c>
      <c r="S8" s="351">
        <f t="shared" si="5"/>
        <v>0</v>
      </c>
      <c r="T8" s="351">
        <f t="shared" ref="T8:T71" si="16">+P8</f>
        <v>0</v>
      </c>
      <c r="U8" s="287">
        <f>'Table 5C1A-Madison Prep'!U8</f>
        <v>2786</v>
      </c>
      <c r="V8" s="328">
        <f t="shared" ref="V8:V71" si="17">C8*U8</f>
        <v>0</v>
      </c>
      <c r="W8" s="289">
        <f>'[1]Oct midyear Laf Ren'!E5</f>
        <v>0</v>
      </c>
      <c r="X8" s="290">
        <f t="shared" ref="X8:X71" si="18">+U8*W8</f>
        <v>0</v>
      </c>
      <c r="Y8" s="289">
        <f>'[1]Feb midyear Laf Ren'!E5</f>
        <v>0</v>
      </c>
      <c r="Z8" s="290">
        <f t="shared" ref="Z8:Z71" si="19">+U8*Y8*0.5</f>
        <v>0</v>
      </c>
      <c r="AA8" s="288">
        <f t="shared" ref="AA8:AA71" si="20">+X8+Z8</f>
        <v>0</v>
      </c>
      <c r="AB8" s="324">
        <f t="shared" ref="AB8:AB71" si="21">+V8+AA8</f>
        <v>0</v>
      </c>
      <c r="AC8" s="292">
        <f t="shared" ref="AC8:AC71" si="22">-(0.25%*AB8)</f>
        <v>0</v>
      </c>
      <c r="AD8" s="324">
        <f t="shared" ref="AD8:AD71" si="23">SUM(AB8:AC8)</f>
        <v>0</v>
      </c>
      <c r="AE8" s="293">
        <v>0</v>
      </c>
      <c r="AF8" s="324">
        <f t="shared" ref="AF8:AF71" si="24">SUM(AD8:AE8)</f>
        <v>0</v>
      </c>
      <c r="AG8" s="293">
        <f>(4*'[2]Table 5C1V-Laf Ren'!AI8)+(4*'[3]Table 5C1V-Laf Ren'!AI8)</f>
        <v>0</v>
      </c>
      <c r="AH8" s="293">
        <f t="shared" ref="AH8:AH71" si="25">+AF8-AG8</f>
        <v>0</v>
      </c>
      <c r="AI8" s="324">
        <f t="shared" si="6"/>
        <v>0</v>
      </c>
      <c r="AJ8" s="321">
        <f t="shared" ref="AJ8:AJ71" si="26">T8+AF8</f>
        <v>0</v>
      </c>
      <c r="AK8" s="342">
        <f t="shared" ref="AK8:AK71" si="27">S8+AI8</f>
        <v>0</v>
      </c>
      <c r="AM8" s="286">
        <v>0</v>
      </c>
      <c r="AN8" s="286">
        <f t="shared" ref="AN8:AN71" si="28">+AC8</f>
        <v>0</v>
      </c>
      <c r="AO8" s="286">
        <f t="shared" si="7"/>
        <v>0</v>
      </c>
    </row>
    <row r="9" spans="1:41" ht="16.149999999999999" customHeight="1">
      <c r="A9" s="198">
        <v>3</v>
      </c>
      <c r="B9" s="199" t="s">
        <v>75</v>
      </c>
      <c r="C9" s="995">
        <v>0</v>
      </c>
      <c r="D9" s="201">
        <f>+'Table 5C1A-Madison Prep'!D9</f>
        <v>4155.1862027396819</v>
      </c>
      <c r="E9" s="202">
        <f t="shared" si="8"/>
        <v>0</v>
      </c>
      <c r="F9" s="202">
        <f>+'Table 5C1A-Madison Prep'!F9</f>
        <v>596.84</v>
      </c>
      <c r="G9" s="202">
        <f t="shared" si="9"/>
        <v>0</v>
      </c>
      <c r="H9" s="345">
        <f t="shared" si="10"/>
        <v>0</v>
      </c>
      <c r="I9" s="203">
        <f>'[1]Oct midyear Laf Ren'!K6</f>
        <v>0</v>
      </c>
      <c r="J9" s="203">
        <f>'[1]Feb midyear Laf Ren'!K6</f>
        <v>0</v>
      </c>
      <c r="K9" s="204">
        <f t="shared" si="11"/>
        <v>0</v>
      </c>
      <c r="L9" s="345">
        <f t="shared" si="12"/>
        <v>0</v>
      </c>
      <c r="M9" s="286">
        <f t="shared" si="4"/>
        <v>0</v>
      </c>
      <c r="N9" s="345">
        <f t="shared" si="13"/>
        <v>0</v>
      </c>
      <c r="O9" s="201">
        <v>0</v>
      </c>
      <c r="P9" s="351">
        <f t="shared" si="14"/>
        <v>0</v>
      </c>
      <c r="Q9" s="203">
        <f>(4*'[2]Table 5C1V-Laf Ren'!S9)+(4*'[3]Table 5C1V-Laf Ren'!S9)</f>
        <v>0</v>
      </c>
      <c r="R9" s="203">
        <f t="shared" si="15"/>
        <v>0</v>
      </c>
      <c r="S9" s="351">
        <f t="shared" si="5"/>
        <v>0</v>
      </c>
      <c r="T9" s="351">
        <f t="shared" si="16"/>
        <v>0</v>
      </c>
      <c r="U9" s="287">
        <f>'Table 5C1A-Madison Prep'!U9</f>
        <v>5927</v>
      </c>
      <c r="V9" s="328">
        <f t="shared" si="17"/>
        <v>0</v>
      </c>
      <c r="W9" s="289">
        <f>'[1]Oct midyear Laf Ren'!E6</f>
        <v>0</v>
      </c>
      <c r="X9" s="290">
        <f t="shared" si="18"/>
        <v>0</v>
      </c>
      <c r="Y9" s="289">
        <f>'[1]Feb midyear Laf Ren'!E6</f>
        <v>0</v>
      </c>
      <c r="Z9" s="290">
        <f t="shared" si="19"/>
        <v>0</v>
      </c>
      <c r="AA9" s="288">
        <f t="shared" si="20"/>
        <v>0</v>
      </c>
      <c r="AB9" s="324">
        <f t="shared" si="21"/>
        <v>0</v>
      </c>
      <c r="AC9" s="292">
        <f t="shared" si="22"/>
        <v>0</v>
      </c>
      <c r="AD9" s="324">
        <f t="shared" si="23"/>
        <v>0</v>
      </c>
      <c r="AE9" s="293">
        <v>0</v>
      </c>
      <c r="AF9" s="324">
        <f t="shared" si="24"/>
        <v>0</v>
      </c>
      <c r="AG9" s="293">
        <f>(4*'[2]Table 5C1V-Laf Ren'!AI9)+(4*'[3]Table 5C1V-Laf Ren'!AI9)</f>
        <v>0</v>
      </c>
      <c r="AH9" s="293">
        <f t="shared" si="25"/>
        <v>0</v>
      </c>
      <c r="AI9" s="324">
        <f t="shared" si="6"/>
        <v>0</v>
      </c>
      <c r="AJ9" s="321">
        <f t="shared" si="26"/>
        <v>0</v>
      </c>
      <c r="AK9" s="342">
        <f t="shared" si="27"/>
        <v>0</v>
      </c>
      <c r="AM9" s="286">
        <v>0</v>
      </c>
      <c r="AN9" s="286">
        <f t="shared" si="28"/>
        <v>0</v>
      </c>
      <c r="AO9" s="286">
        <f t="shared" si="7"/>
        <v>0</v>
      </c>
    </row>
    <row r="10" spans="1:41" ht="16.149999999999999" customHeight="1">
      <c r="A10" s="198">
        <v>4</v>
      </c>
      <c r="B10" s="199" t="s">
        <v>76</v>
      </c>
      <c r="C10" s="995">
        <v>0</v>
      </c>
      <c r="D10" s="201">
        <f>+'Table 5C1A-Madison Prep'!D10</f>
        <v>6119.0581446878568</v>
      </c>
      <c r="E10" s="202">
        <f t="shared" si="8"/>
        <v>0</v>
      </c>
      <c r="F10" s="202">
        <f>+'Table 5C1A-Madison Prep'!F10</f>
        <v>585.76</v>
      </c>
      <c r="G10" s="202">
        <f t="shared" si="9"/>
        <v>0</v>
      </c>
      <c r="H10" s="345">
        <f t="shared" si="10"/>
        <v>0</v>
      </c>
      <c r="I10" s="203">
        <f>'[1]Oct midyear Laf Ren'!K7</f>
        <v>0</v>
      </c>
      <c r="J10" s="203">
        <f>'[1]Feb midyear Laf Ren'!K7</f>
        <v>0</v>
      </c>
      <c r="K10" s="204">
        <f t="shared" si="11"/>
        <v>0</v>
      </c>
      <c r="L10" s="345">
        <f t="shared" si="12"/>
        <v>0</v>
      </c>
      <c r="M10" s="286">
        <f t="shared" si="4"/>
        <v>0</v>
      </c>
      <c r="N10" s="345">
        <f t="shared" si="13"/>
        <v>0</v>
      </c>
      <c r="O10" s="201">
        <v>0</v>
      </c>
      <c r="P10" s="351">
        <f t="shared" si="14"/>
        <v>0</v>
      </c>
      <c r="Q10" s="203">
        <f>(4*'[2]Table 5C1V-Laf Ren'!S10)+(4*'[3]Table 5C1V-Laf Ren'!S10)</f>
        <v>0</v>
      </c>
      <c r="R10" s="203">
        <f t="shared" si="15"/>
        <v>0</v>
      </c>
      <c r="S10" s="351">
        <f t="shared" si="5"/>
        <v>0</v>
      </c>
      <c r="T10" s="351">
        <f t="shared" si="16"/>
        <v>0</v>
      </c>
      <c r="U10" s="287">
        <f>'Table 5C1A-Madison Prep'!U10</f>
        <v>4203</v>
      </c>
      <c r="V10" s="328">
        <f t="shared" si="17"/>
        <v>0</v>
      </c>
      <c r="W10" s="289">
        <f>'[1]Oct midyear Laf Ren'!E7</f>
        <v>0</v>
      </c>
      <c r="X10" s="290">
        <f t="shared" si="18"/>
        <v>0</v>
      </c>
      <c r="Y10" s="289">
        <f>'[1]Feb midyear Laf Ren'!E7</f>
        <v>0</v>
      </c>
      <c r="Z10" s="290">
        <f t="shared" si="19"/>
        <v>0</v>
      </c>
      <c r="AA10" s="288">
        <f t="shared" si="20"/>
        <v>0</v>
      </c>
      <c r="AB10" s="324">
        <f t="shared" si="21"/>
        <v>0</v>
      </c>
      <c r="AC10" s="292">
        <f t="shared" si="22"/>
        <v>0</v>
      </c>
      <c r="AD10" s="324">
        <f t="shared" si="23"/>
        <v>0</v>
      </c>
      <c r="AE10" s="293">
        <v>0</v>
      </c>
      <c r="AF10" s="324">
        <f t="shared" si="24"/>
        <v>0</v>
      </c>
      <c r="AG10" s="293">
        <f>(4*'[2]Table 5C1V-Laf Ren'!AI10)+(4*'[3]Table 5C1V-Laf Ren'!AI10)</f>
        <v>0</v>
      </c>
      <c r="AH10" s="293">
        <f t="shared" si="25"/>
        <v>0</v>
      </c>
      <c r="AI10" s="324">
        <f t="shared" si="6"/>
        <v>0</v>
      </c>
      <c r="AJ10" s="321">
        <f t="shared" si="26"/>
        <v>0</v>
      </c>
      <c r="AK10" s="342">
        <f t="shared" si="27"/>
        <v>0</v>
      </c>
      <c r="AM10" s="286">
        <v>0</v>
      </c>
      <c r="AN10" s="286">
        <f t="shared" si="28"/>
        <v>0</v>
      </c>
      <c r="AO10" s="286">
        <f t="shared" si="7"/>
        <v>0</v>
      </c>
    </row>
    <row r="11" spans="1:41" ht="16.149999999999999" customHeight="1">
      <c r="A11" s="191">
        <v>5</v>
      </c>
      <c r="B11" s="192" t="s">
        <v>77</v>
      </c>
      <c r="C11" s="996">
        <v>0</v>
      </c>
      <c r="D11" s="194">
        <f>+'Table 5C1A-Madison Prep'!D11</f>
        <v>5268.940566009911</v>
      </c>
      <c r="E11" s="195">
        <f t="shared" si="8"/>
        <v>0</v>
      </c>
      <c r="F11" s="195">
        <f>+'Table 5C1A-Madison Prep'!F11</f>
        <v>555.91</v>
      </c>
      <c r="G11" s="195">
        <f t="shared" si="9"/>
        <v>0</v>
      </c>
      <c r="H11" s="346">
        <f t="shared" si="10"/>
        <v>0</v>
      </c>
      <c r="I11" s="196">
        <f>'[1]Oct midyear Laf Ren'!K8</f>
        <v>0</v>
      </c>
      <c r="J11" s="196">
        <f>'[1]Feb midyear Laf Ren'!K8</f>
        <v>0</v>
      </c>
      <c r="K11" s="197">
        <f t="shared" si="11"/>
        <v>0</v>
      </c>
      <c r="L11" s="346">
        <f t="shared" si="12"/>
        <v>0</v>
      </c>
      <c r="M11" s="296">
        <f t="shared" si="4"/>
        <v>0</v>
      </c>
      <c r="N11" s="346">
        <f t="shared" si="13"/>
        <v>0</v>
      </c>
      <c r="O11" s="194">
        <v>0</v>
      </c>
      <c r="P11" s="352">
        <f t="shared" si="14"/>
        <v>0</v>
      </c>
      <c r="Q11" s="196">
        <f>(4*'[2]Table 5C1V-Laf Ren'!S11)+(4*'[3]Table 5C1V-Laf Ren'!S11)</f>
        <v>0</v>
      </c>
      <c r="R11" s="196">
        <f t="shared" si="15"/>
        <v>0</v>
      </c>
      <c r="S11" s="352">
        <f t="shared" si="5"/>
        <v>0</v>
      </c>
      <c r="T11" s="352">
        <f t="shared" si="16"/>
        <v>0</v>
      </c>
      <c r="U11" s="281">
        <f>'Table 5C1A-Madison Prep'!U11</f>
        <v>1923</v>
      </c>
      <c r="V11" s="329">
        <f t="shared" si="17"/>
        <v>0</v>
      </c>
      <c r="W11" s="884">
        <f>'[1]Oct midyear Laf Ren'!E8</f>
        <v>0</v>
      </c>
      <c r="X11" s="282">
        <f t="shared" si="18"/>
        <v>0</v>
      </c>
      <c r="Y11" s="884">
        <f>'[1]Feb midyear Laf Ren'!E8</f>
        <v>0</v>
      </c>
      <c r="Z11" s="282">
        <f t="shared" si="19"/>
        <v>0</v>
      </c>
      <c r="AA11" s="283">
        <f t="shared" si="20"/>
        <v>0</v>
      </c>
      <c r="AB11" s="325">
        <f t="shared" si="21"/>
        <v>0</v>
      </c>
      <c r="AC11" s="298">
        <f t="shared" si="22"/>
        <v>0</v>
      </c>
      <c r="AD11" s="325">
        <f t="shared" si="23"/>
        <v>0</v>
      </c>
      <c r="AE11" s="284">
        <v>0</v>
      </c>
      <c r="AF11" s="325">
        <f t="shared" si="24"/>
        <v>0</v>
      </c>
      <c r="AG11" s="284">
        <f>(4*'[2]Table 5C1V-Laf Ren'!AI11)+(4*'[3]Table 5C1V-Laf Ren'!AI11)</f>
        <v>0</v>
      </c>
      <c r="AH11" s="284">
        <f t="shared" si="25"/>
        <v>0</v>
      </c>
      <c r="AI11" s="325">
        <f t="shared" si="6"/>
        <v>0</v>
      </c>
      <c r="AJ11" s="338">
        <f t="shared" si="26"/>
        <v>0</v>
      </c>
      <c r="AK11" s="343">
        <f t="shared" si="27"/>
        <v>0</v>
      </c>
      <c r="AM11" s="296">
        <v>0</v>
      </c>
      <c r="AN11" s="296">
        <f t="shared" si="28"/>
        <v>0</v>
      </c>
      <c r="AO11" s="296">
        <f t="shared" si="7"/>
        <v>0</v>
      </c>
    </row>
    <row r="12" spans="1:41" ht="16.149999999999999" customHeight="1">
      <c r="A12" s="205">
        <v>6</v>
      </c>
      <c r="B12" s="206" t="s">
        <v>78</v>
      </c>
      <c r="C12" s="994">
        <v>0</v>
      </c>
      <c r="D12" s="208">
        <f>+'Table 5C1A-Madison Prep'!D12</f>
        <v>5378.5086124955869</v>
      </c>
      <c r="E12" s="209">
        <f t="shared" si="8"/>
        <v>0</v>
      </c>
      <c r="F12" s="209">
        <f>+'Table 5C1A-Madison Prep'!F12</f>
        <v>545.4799999999999</v>
      </c>
      <c r="G12" s="209">
        <f t="shared" si="9"/>
        <v>0</v>
      </c>
      <c r="H12" s="344">
        <f t="shared" si="10"/>
        <v>0</v>
      </c>
      <c r="I12" s="210">
        <f>'[1]Oct midyear Laf Ren'!K9</f>
        <v>0</v>
      </c>
      <c r="J12" s="210">
        <f>'[1]Feb midyear Laf Ren'!K9</f>
        <v>0</v>
      </c>
      <c r="K12" s="211">
        <f t="shared" si="11"/>
        <v>0</v>
      </c>
      <c r="L12" s="344">
        <f t="shared" si="12"/>
        <v>0</v>
      </c>
      <c r="M12" s="273">
        <f t="shared" si="4"/>
        <v>0</v>
      </c>
      <c r="N12" s="344">
        <f t="shared" si="13"/>
        <v>0</v>
      </c>
      <c r="O12" s="208">
        <v>0</v>
      </c>
      <c r="P12" s="350">
        <f t="shared" si="14"/>
        <v>0</v>
      </c>
      <c r="Q12" s="210">
        <f>(4*'[2]Table 5C1V-Laf Ren'!S12)+(4*'[3]Table 5C1V-Laf Ren'!S12)</f>
        <v>0</v>
      </c>
      <c r="R12" s="210">
        <f t="shared" si="15"/>
        <v>0</v>
      </c>
      <c r="S12" s="350">
        <f t="shared" si="5"/>
        <v>0</v>
      </c>
      <c r="T12" s="350">
        <f t="shared" si="16"/>
        <v>0</v>
      </c>
      <c r="U12" s="274">
        <f>'Table 5C1A-Madison Prep'!U12</f>
        <v>4057</v>
      </c>
      <c r="V12" s="327">
        <f t="shared" si="17"/>
        <v>0</v>
      </c>
      <c r="W12" s="883">
        <f>'[1]Oct midyear Laf Ren'!E9</f>
        <v>0</v>
      </c>
      <c r="X12" s="276">
        <f t="shared" si="18"/>
        <v>0</v>
      </c>
      <c r="Y12" s="883">
        <f>'[1]Feb midyear Laf Ren'!E9</f>
        <v>0</v>
      </c>
      <c r="Z12" s="276">
        <f t="shared" si="19"/>
        <v>0</v>
      </c>
      <c r="AA12" s="275">
        <f t="shared" si="20"/>
        <v>0</v>
      </c>
      <c r="AB12" s="323">
        <f t="shared" si="21"/>
        <v>0</v>
      </c>
      <c r="AC12" s="278">
        <f t="shared" si="22"/>
        <v>0</v>
      </c>
      <c r="AD12" s="323">
        <f t="shared" si="23"/>
        <v>0</v>
      </c>
      <c r="AE12" s="279">
        <v>0</v>
      </c>
      <c r="AF12" s="323">
        <f t="shared" si="24"/>
        <v>0</v>
      </c>
      <c r="AG12" s="279">
        <f>(4*'[2]Table 5C1V-Laf Ren'!AI12)+(4*'[3]Table 5C1V-Laf Ren'!AI12)</f>
        <v>0</v>
      </c>
      <c r="AH12" s="279">
        <f t="shared" si="25"/>
        <v>0</v>
      </c>
      <c r="AI12" s="323">
        <f t="shared" si="6"/>
        <v>0</v>
      </c>
      <c r="AJ12" s="337">
        <f t="shared" si="26"/>
        <v>0</v>
      </c>
      <c r="AK12" s="341">
        <f t="shared" si="27"/>
        <v>0</v>
      </c>
      <c r="AM12" s="273">
        <v>0</v>
      </c>
      <c r="AN12" s="273">
        <f t="shared" si="28"/>
        <v>0</v>
      </c>
      <c r="AO12" s="273">
        <f t="shared" si="7"/>
        <v>0</v>
      </c>
    </row>
    <row r="13" spans="1:41" ht="16.149999999999999" customHeight="1">
      <c r="A13" s="198">
        <v>7</v>
      </c>
      <c r="B13" s="199" t="s">
        <v>79</v>
      </c>
      <c r="C13" s="995">
        <v>0</v>
      </c>
      <c r="D13" s="201">
        <f>+'Table 5C1A-Madison Prep'!D13</f>
        <v>2243.0031963470319</v>
      </c>
      <c r="E13" s="202">
        <f t="shared" si="8"/>
        <v>0</v>
      </c>
      <c r="F13" s="202">
        <f>+'Table 5C1A-Madison Prep'!F13</f>
        <v>756.91999999999985</v>
      </c>
      <c r="G13" s="202">
        <f t="shared" si="9"/>
        <v>0</v>
      </c>
      <c r="H13" s="345">
        <f t="shared" si="10"/>
        <v>0</v>
      </c>
      <c r="I13" s="203">
        <f>'[1]Oct midyear Laf Ren'!K10</f>
        <v>0</v>
      </c>
      <c r="J13" s="203">
        <f>'[1]Feb midyear Laf Ren'!K10</f>
        <v>0</v>
      </c>
      <c r="K13" s="204">
        <f t="shared" si="11"/>
        <v>0</v>
      </c>
      <c r="L13" s="345">
        <f t="shared" si="12"/>
        <v>0</v>
      </c>
      <c r="M13" s="286">
        <f t="shared" si="4"/>
        <v>0</v>
      </c>
      <c r="N13" s="345">
        <f t="shared" si="13"/>
        <v>0</v>
      </c>
      <c r="O13" s="201">
        <v>0</v>
      </c>
      <c r="P13" s="351">
        <f t="shared" si="14"/>
        <v>0</v>
      </c>
      <c r="Q13" s="203">
        <f>(4*'[2]Table 5C1V-Laf Ren'!S13)+(4*'[3]Table 5C1V-Laf Ren'!S13)</f>
        <v>0</v>
      </c>
      <c r="R13" s="203">
        <f t="shared" si="15"/>
        <v>0</v>
      </c>
      <c r="S13" s="351">
        <f t="shared" si="5"/>
        <v>0</v>
      </c>
      <c r="T13" s="351">
        <f t="shared" si="16"/>
        <v>0</v>
      </c>
      <c r="U13" s="287">
        <f>'Table 5C1A-Madison Prep'!U13</f>
        <v>12112</v>
      </c>
      <c r="V13" s="328">
        <f t="shared" si="17"/>
        <v>0</v>
      </c>
      <c r="W13" s="289">
        <f>'[1]Oct midyear Laf Ren'!E10</f>
        <v>0</v>
      </c>
      <c r="X13" s="290">
        <f t="shared" si="18"/>
        <v>0</v>
      </c>
      <c r="Y13" s="289">
        <f>'[1]Feb midyear Laf Ren'!E10</f>
        <v>0</v>
      </c>
      <c r="Z13" s="290">
        <f t="shared" si="19"/>
        <v>0</v>
      </c>
      <c r="AA13" s="288">
        <f t="shared" si="20"/>
        <v>0</v>
      </c>
      <c r="AB13" s="324">
        <f t="shared" si="21"/>
        <v>0</v>
      </c>
      <c r="AC13" s="292">
        <f t="shared" si="22"/>
        <v>0</v>
      </c>
      <c r="AD13" s="324">
        <f t="shared" si="23"/>
        <v>0</v>
      </c>
      <c r="AE13" s="293">
        <v>0</v>
      </c>
      <c r="AF13" s="324">
        <f t="shared" si="24"/>
        <v>0</v>
      </c>
      <c r="AG13" s="293">
        <f>(4*'[2]Table 5C1V-Laf Ren'!AI13)+(4*'[3]Table 5C1V-Laf Ren'!AI13)</f>
        <v>0</v>
      </c>
      <c r="AH13" s="293">
        <f t="shared" si="25"/>
        <v>0</v>
      </c>
      <c r="AI13" s="324">
        <f t="shared" si="6"/>
        <v>0</v>
      </c>
      <c r="AJ13" s="321">
        <f t="shared" si="26"/>
        <v>0</v>
      </c>
      <c r="AK13" s="342">
        <f t="shared" si="27"/>
        <v>0</v>
      </c>
      <c r="AM13" s="286">
        <v>0</v>
      </c>
      <c r="AN13" s="286">
        <f t="shared" si="28"/>
        <v>0</v>
      </c>
      <c r="AO13" s="286">
        <f t="shared" si="7"/>
        <v>0</v>
      </c>
    </row>
    <row r="14" spans="1:41" ht="16.149999999999999" customHeight="1">
      <c r="A14" s="198">
        <v>8</v>
      </c>
      <c r="B14" s="199" t="s">
        <v>80</v>
      </c>
      <c r="C14" s="995">
        <v>0</v>
      </c>
      <c r="D14" s="201">
        <f>+'Table 5C1A-Madison Prep'!D14</f>
        <v>4669.802459558854</v>
      </c>
      <c r="E14" s="202">
        <f t="shared" si="8"/>
        <v>0</v>
      </c>
      <c r="F14" s="202">
        <f>+'Table 5C1A-Madison Prep'!F14</f>
        <v>725.76</v>
      </c>
      <c r="G14" s="202">
        <f t="shared" si="9"/>
        <v>0</v>
      </c>
      <c r="H14" s="345">
        <f t="shared" si="10"/>
        <v>0</v>
      </c>
      <c r="I14" s="203">
        <f>'[1]Oct midyear Laf Ren'!K11</f>
        <v>0</v>
      </c>
      <c r="J14" s="203">
        <f>'[1]Feb midyear Laf Ren'!K11</f>
        <v>0</v>
      </c>
      <c r="K14" s="204">
        <f t="shared" si="11"/>
        <v>0</v>
      </c>
      <c r="L14" s="345">
        <f t="shared" si="12"/>
        <v>0</v>
      </c>
      <c r="M14" s="286">
        <f t="shared" si="4"/>
        <v>0</v>
      </c>
      <c r="N14" s="345">
        <f t="shared" si="13"/>
        <v>0</v>
      </c>
      <c r="O14" s="201">
        <v>0</v>
      </c>
      <c r="P14" s="351">
        <f t="shared" si="14"/>
        <v>0</v>
      </c>
      <c r="Q14" s="203">
        <f>(4*'[2]Table 5C1V-Laf Ren'!S14)+(4*'[3]Table 5C1V-Laf Ren'!S14)</f>
        <v>0</v>
      </c>
      <c r="R14" s="203">
        <f t="shared" si="15"/>
        <v>0</v>
      </c>
      <c r="S14" s="351">
        <f t="shared" si="5"/>
        <v>0</v>
      </c>
      <c r="T14" s="351">
        <f t="shared" si="16"/>
        <v>0</v>
      </c>
      <c r="U14" s="287">
        <f>'Table 5C1A-Madison Prep'!U14</f>
        <v>4124</v>
      </c>
      <c r="V14" s="328">
        <f t="shared" si="17"/>
        <v>0</v>
      </c>
      <c r="W14" s="289">
        <f>'[1]Oct midyear Laf Ren'!E11</f>
        <v>0</v>
      </c>
      <c r="X14" s="290">
        <f t="shared" si="18"/>
        <v>0</v>
      </c>
      <c r="Y14" s="289">
        <f>'[1]Feb midyear Laf Ren'!E11</f>
        <v>0</v>
      </c>
      <c r="Z14" s="290">
        <f t="shared" si="19"/>
        <v>0</v>
      </c>
      <c r="AA14" s="288">
        <f t="shared" si="20"/>
        <v>0</v>
      </c>
      <c r="AB14" s="324">
        <f t="shared" si="21"/>
        <v>0</v>
      </c>
      <c r="AC14" s="292">
        <f t="shared" si="22"/>
        <v>0</v>
      </c>
      <c r="AD14" s="324">
        <f t="shared" si="23"/>
        <v>0</v>
      </c>
      <c r="AE14" s="293">
        <v>0</v>
      </c>
      <c r="AF14" s="324">
        <f t="shared" si="24"/>
        <v>0</v>
      </c>
      <c r="AG14" s="293">
        <f>(4*'[2]Table 5C1V-Laf Ren'!AI14)+(4*'[3]Table 5C1V-Laf Ren'!AI14)</f>
        <v>0</v>
      </c>
      <c r="AH14" s="293">
        <f t="shared" si="25"/>
        <v>0</v>
      </c>
      <c r="AI14" s="324">
        <f t="shared" si="6"/>
        <v>0</v>
      </c>
      <c r="AJ14" s="321">
        <f t="shared" si="26"/>
        <v>0</v>
      </c>
      <c r="AK14" s="342">
        <f t="shared" si="27"/>
        <v>0</v>
      </c>
      <c r="AM14" s="286">
        <v>0</v>
      </c>
      <c r="AN14" s="286">
        <f t="shared" si="28"/>
        <v>0</v>
      </c>
      <c r="AO14" s="286">
        <f t="shared" si="7"/>
        <v>0</v>
      </c>
    </row>
    <row r="15" spans="1:41" ht="16.149999999999999" customHeight="1">
      <c r="A15" s="198">
        <v>9</v>
      </c>
      <c r="B15" s="199" t="s">
        <v>81</v>
      </c>
      <c r="C15" s="995">
        <v>0</v>
      </c>
      <c r="D15" s="201">
        <f>+'Table 5C1A-Madison Prep'!D15</f>
        <v>4632.4615072045008</v>
      </c>
      <c r="E15" s="202">
        <f t="shared" si="8"/>
        <v>0</v>
      </c>
      <c r="F15" s="202">
        <f>+'Table 5C1A-Madison Prep'!F15</f>
        <v>744.76</v>
      </c>
      <c r="G15" s="202">
        <f t="shared" si="9"/>
        <v>0</v>
      </c>
      <c r="H15" s="345">
        <f t="shared" si="10"/>
        <v>0</v>
      </c>
      <c r="I15" s="203">
        <f>'[1]Oct midyear Laf Ren'!K12</f>
        <v>0</v>
      </c>
      <c r="J15" s="203">
        <f>'[1]Feb midyear Laf Ren'!K12</f>
        <v>0</v>
      </c>
      <c r="K15" s="204">
        <f t="shared" si="11"/>
        <v>0</v>
      </c>
      <c r="L15" s="345">
        <f t="shared" si="12"/>
        <v>0</v>
      </c>
      <c r="M15" s="286">
        <f t="shared" si="4"/>
        <v>0</v>
      </c>
      <c r="N15" s="345">
        <f t="shared" si="13"/>
        <v>0</v>
      </c>
      <c r="O15" s="201">
        <v>0</v>
      </c>
      <c r="P15" s="351">
        <f t="shared" si="14"/>
        <v>0</v>
      </c>
      <c r="Q15" s="203">
        <f>(4*'[2]Table 5C1V-Laf Ren'!S15)+(4*'[3]Table 5C1V-Laf Ren'!S15)</f>
        <v>0</v>
      </c>
      <c r="R15" s="203">
        <f t="shared" si="15"/>
        <v>0</v>
      </c>
      <c r="S15" s="351">
        <f t="shared" si="5"/>
        <v>0</v>
      </c>
      <c r="T15" s="351">
        <f t="shared" si="16"/>
        <v>0</v>
      </c>
      <c r="U15" s="287">
        <f>'Table 5C1A-Madison Prep'!U15</f>
        <v>4901</v>
      </c>
      <c r="V15" s="328">
        <f t="shared" si="17"/>
        <v>0</v>
      </c>
      <c r="W15" s="289">
        <f>'[1]Oct midyear Laf Ren'!E12</f>
        <v>0</v>
      </c>
      <c r="X15" s="290">
        <f t="shared" si="18"/>
        <v>0</v>
      </c>
      <c r="Y15" s="289">
        <f>'[1]Feb midyear Laf Ren'!E12</f>
        <v>0</v>
      </c>
      <c r="Z15" s="290">
        <f t="shared" si="19"/>
        <v>0</v>
      </c>
      <c r="AA15" s="288">
        <f t="shared" si="20"/>
        <v>0</v>
      </c>
      <c r="AB15" s="324">
        <f t="shared" si="21"/>
        <v>0</v>
      </c>
      <c r="AC15" s="292">
        <f t="shared" si="22"/>
        <v>0</v>
      </c>
      <c r="AD15" s="324">
        <f t="shared" si="23"/>
        <v>0</v>
      </c>
      <c r="AE15" s="293">
        <v>0</v>
      </c>
      <c r="AF15" s="324">
        <f t="shared" si="24"/>
        <v>0</v>
      </c>
      <c r="AG15" s="293">
        <f>(4*'[2]Table 5C1V-Laf Ren'!AI15)+(4*'[3]Table 5C1V-Laf Ren'!AI15)</f>
        <v>0</v>
      </c>
      <c r="AH15" s="293">
        <f t="shared" si="25"/>
        <v>0</v>
      </c>
      <c r="AI15" s="324">
        <f t="shared" si="6"/>
        <v>0</v>
      </c>
      <c r="AJ15" s="321">
        <f t="shared" si="26"/>
        <v>0</v>
      </c>
      <c r="AK15" s="342">
        <f t="shared" si="27"/>
        <v>0</v>
      </c>
      <c r="AM15" s="286">
        <v>0</v>
      </c>
      <c r="AN15" s="286">
        <f t="shared" si="28"/>
        <v>0</v>
      </c>
      <c r="AO15" s="286">
        <f t="shared" si="7"/>
        <v>0</v>
      </c>
    </row>
    <row r="16" spans="1:41" ht="16.149999999999999" customHeight="1">
      <c r="A16" s="191">
        <v>10</v>
      </c>
      <c r="B16" s="192" t="s">
        <v>82</v>
      </c>
      <c r="C16" s="996">
        <v>0</v>
      </c>
      <c r="D16" s="194">
        <f>+'Table 5C1A-Madison Prep'!D16</f>
        <v>4384.374733918472</v>
      </c>
      <c r="E16" s="195">
        <f t="shared" si="8"/>
        <v>0</v>
      </c>
      <c r="F16" s="195">
        <f>+'Table 5C1A-Madison Prep'!F16</f>
        <v>608.04000000000008</v>
      </c>
      <c r="G16" s="195">
        <f t="shared" si="9"/>
        <v>0</v>
      </c>
      <c r="H16" s="346">
        <f t="shared" si="10"/>
        <v>0</v>
      </c>
      <c r="I16" s="196">
        <f>'[1]Oct midyear Laf Ren'!K13</f>
        <v>24962.073669592359</v>
      </c>
      <c r="J16" s="196">
        <f>'[1]Feb midyear Laf Ren'!K13</f>
        <v>0</v>
      </c>
      <c r="K16" s="197">
        <f t="shared" si="11"/>
        <v>24962.073669592359</v>
      </c>
      <c r="L16" s="346">
        <f t="shared" si="12"/>
        <v>24962.073669592359</v>
      </c>
      <c r="M16" s="296">
        <f t="shared" si="4"/>
        <v>-62.405184173980899</v>
      </c>
      <c r="N16" s="346">
        <f t="shared" si="13"/>
        <v>24899.668485418377</v>
      </c>
      <c r="O16" s="194">
        <v>0</v>
      </c>
      <c r="P16" s="352">
        <f t="shared" si="14"/>
        <v>24899.668485418377</v>
      </c>
      <c r="Q16" s="196">
        <f>(4*'[2]Table 5C1V-Laf Ren'!S16)+(4*'[3]Table 5C1V-Laf Ren'!S16)</f>
        <v>12448</v>
      </c>
      <c r="R16" s="196">
        <f t="shared" si="15"/>
        <v>12451.668485418377</v>
      </c>
      <c r="S16" s="352">
        <f t="shared" si="5"/>
        <v>3113</v>
      </c>
      <c r="T16" s="352">
        <f t="shared" si="16"/>
        <v>24899.668485418377</v>
      </c>
      <c r="U16" s="281">
        <f>'Table 5C1A-Madison Prep'!U16</f>
        <v>4619</v>
      </c>
      <c r="V16" s="329">
        <f t="shared" si="17"/>
        <v>0</v>
      </c>
      <c r="W16" s="884">
        <f>'[1]Oct midyear Laf Ren'!E13</f>
        <v>5</v>
      </c>
      <c r="X16" s="282">
        <f t="shared" si="18"/>
        <v>23095</v>
      </c>
      <c r="Y16" s="884">
        <f>'[1]Feb midyear Laf Ren'!E13</f>
        <v>0</v>
      </c>
      <c r="Z16" s="282">
        <f t="shared" si="19"/>
        <v>0</v>
      </c>
      <c r="AA16" s="283">
        <f t="shared" si="20"/>
        <v>23095</v>
      </c>
      <c r="AB16" s="325">
        <f t="shared" si="21"/>
        <v>23095</v>
      </c>
      <c r="AC16" s="298">
        <f t="shared" si="22"/>
        <v>-57.737500000000004</v>
      </c>
      <c r="AD16" s="325">
        <f t="shared" si="23"/>
        <v>23037.262500000001</v>
      </c>
      <c r="AE16" s="284">
        <v>0</v>
      </c>
      <c r="AF16" s="325">
        <f t="shared" si="24"/>
        <v>23037.262500000001</v>
      </c>
      <c r="AG16" s="284">
        <f>(4*'[2]Table 5C1V-Laf Ren'!AI16)+(4*'[3]Table 5C1V-Laf Ren'!AI16)</f>
        <v>11384</v>
      </c>
      <c r="AH16" s="284">
        <f t="shared" si="25"/>
        <v>11653.262500000001</v>
      </c>
      <c r="AI16" s="325">
        <f t="shared" si="6"/>
        <v>2913</v>
      </c>
      <c r="AJ16" s="338">
        <f t="shared" si="26"/>
        <v>47936.930985418381</v>
      </c>
      <c r="AK16" s="343">
        <f t="shared" si="27"/>
        <v>6026</v>
      </c>
      <c r="AM16" s="296">
        <v>0</v>
      </c>
      <c r="AN16" s="296">
        <f t="shared" si="28"/>
        <v>-57.737500000000004</v>
      </c>
      <c r="AO16" s="296">
        <f t="shared" si="7"/>
        <v>-57.737500000000004</v>
      </c>
    </row>
    <row r="17" spans="1:41" ht="16.149999999999999" customHeight="1">
      <c r="A17" s="205">
        <v>11</v>
      </c>
      <c r="B17" s="206" t="s">
        <v>83</v>
      </c>
      <c r="C17" s="994">
        <v>0</v>
      </c>
      <c r="D17" s="208">
        <f>+'Table 5C1A-Madison Prep'!D17</f>
        <v>7098.5372236353351</v>
      </c>
      <c r="E17" s="209">
        <f t="shared" si="8"/>
        <v>0</v>
      </c>
      <c r="F17" s="209">
        <f>+'Table 5C1A-Madison Prep'!F17</f>
        <v>706.55</v>
      </c>
      <c r="G17" s="209">
        <f t="shared" si="9"/>
        <v>0</v>
      </c>
      <c r="H17" s="344">
        <f t="shared" si="10"/>
        <v>0</v>
      </c>
      <c r="I17" s="210">
        <f>'[1]Oct midyear Laf Ren'!K14</f>
        <v>0</v>
      </c>
      <c r="J17" s="210">
        <f>'[1]Feb midyear Laf Ren'!K14</f>
        <v>0</v>
      </c>
      <c r="K17" s="211">
        <f t="shared" si="11"/>
        <v>0</v>
      </c>
      <c r="L17" s="344">
        <f t="shared" si="12"/>
        <v>0</v>
      </c>
      <c r="M17" s="273">
        <f t="shared" si="4"/>
        <v>0</v>
      </c>
      <c r="N17" s="344">
        <f t="shared" si="13"/>
        <v>0</v>
      </c>
      <c r="O17" s="208">
        <v>0</v>
      </c>
      <c r="P17" s="350">
        <f t="shared" si="14"/>
        <v>0</v>
      </c>
      <c r="Q17" s="210">
        <f>(4*'[2]Table 5C1V-Laf Ren'!S17)+(4*'[3]Table 5C1V-Laf Ren'!S17)</f>
        <v>0</v>
      </c>
      <c r="R17" s="210">
        <f t="shared" si="15"/>
        <v>0</v>
      </c>
      <c r="S17" s="350">
        <f t="shared" si="5"/>
        <v>0</v>
      </c>
      <c r="T17" s="350">
        <f t="shared" si="16"/>
        <v>0</v>
      </c>
      <c r="U17" s="274">
        <f>'Table 5C1A-Madison Prep'!U17</f>
        <v>3580</v>
      </c>
      <c r="V17" s="327">
        <f t="shared" si="17"/>
        <v>0</v>
      </c>
      <c r="W17" s="883">
        <f>'[1]Oct midyear Laf Ren'!E14</f>
        <v>0</v>
      </c>
      <c r="X17" s="276">
        <f t="shared" si="18"/>
        <v>0</v>
      </c>
      <c r="Y17" s="883">
        <f>'[1]Feb midyear Laf Ren'!E14</f>
        <v>0</v>
      </c>
      <c r="Z17" s="276">
        <f t="shared" si="19"/>
        <v>0</v>
      </c>
      <c r="AA17" s="275">
        <f t="shared" si="20"/>
        <v>0</v>
      </c>
      <c r="AB17" s="323">
        <f t="shared" si="21"/>
        <v>0</v>
      </c>
      <c r="AC17" s="278">
        <f t="shared" si="22"/>
        <v>0</v>
      </c>
      <c r="AD17" s="323">
        <f t="shared" si="23"/>
        <v>0</v>
      </c>
      <c r="AE17" s="279">
        <v>0</v>
      </c>
      <c r="AF17" s="323">
        <f t="shared" si="24"/>
        <v>0</v>
      </c>
      <c r="AG17" s="279">
        <f>(4*'[2]Table 5C1V-Laf Ren'!AI17)+(4*'[3]Table 5C1V-Laf Ren'!AI17)</f>
        <v>0</v>
      </c>
      <c r="AH17" s="279">
        <f t="shared" si="25"/>
        <v>0</v>
      </c>
      <c r="AI17" s="323">
        <f t="shared" si="6"/>
        <v>0</v>
      </c>
      <c r="AJ17" s="337">
        <f t="shared" si="26"/>
        <v>0</v>
      </c>
      <c r="AK17" s="341">
        <f t="shared" si="27"/>
        <v>0</v>
      </c>
      <c r="AM17" s="273">
        <v>0</v>
      </c>
      <c r="AN17" s="273">
        <f t="shared" si="28"/>
        <v>0</v>
      </c>
      <c r="AO17" s="273">
        <f t="shared" si="7"/>
        <v>0</v>
      </c>
    </row>
    <row r="18" spans="1:41" ht="16.149999999999999" customHeight="1">
      <c r="A18" s="198">
        <v>12</v>
      </c>
      <c r="B18" s="199" t="s">
        <v>84</v>
      </c>
      <c r="C18" s="995">
        <v>0</v>
      </c>
      <c r="D18" s="201">
        <f>+'Table 5C1A-Madison Prep'!D18</f>
        <v>1666.6040983606558</v>
      </c>
      <c r="E18" s="202">
        <f t="shared" si="8"/>
        <v>0</v>
      </c>
      <c r="F18" s="202">
        <f>+'Table 5C1A-Madison Prep'!F18</f>
        <v>1063.31</v>
      </c>
      <c r="G18" s="202">
        <f t="shared" si="9"/>
        <v>0</v>
      </c>
      <c r="H18" s="345">
        <f t="shared" si="10"/>
        <v>0</v>
      </c>
      <c r="I18" s="203">
        <f>'[1]Oct midyear Laf Ren'!K15</f>
        <v>0</v>
      </c>
      <c r="J18" s="203">
        <f>'[1]Feb midyear Laf Ren'!K15</f>
        <v>0</v>
      </c>
      <c r="K18" s="204">
        <f t="shared" si="11"/>
        <v>0</v>
      </c>
      <c r="L18" s="345">
        <f t="shared" si="12"/>
        <v>0</v>
      </c>
      <c r="M18" s="286">
        <f t="shared" si="4"/>
        <v>0</v>
      </c>
      <c r="N18" s="345">
        <f t="shared" si="13"/>
        <v>0</v>
      </c>
      <c r="O18" s="201">
        <v>0</v>
      </c>
      <c r="P18" s="351">
        <f t="shared" si="14"/>
        <v>0</v>
      </c>
      <c r="Q18" s="203">
        <f>(4*'[2]Table 5C1V-Laf Ren'!S18)+(4*'[3]Table 5C1V-Laf Ren'!S18)</f>
        <v>0</v>
      </c>
      <c r="R18" s="203">
        <f t="shared" si="15"/>
        <v>0</v>
      </c>
      <c r="S18" s="351">
        <f t="shared" si="5"/>
        <v>0</v>
      </c>
      <c r="T18" s="351">
        <f t="shared" si="16"/>
        <v>0</v>
      </c>
      <c r="U18" s="287">
        <f>'Table 5C1A-Madison Prep'!U18</f>
        <v>8094</v>
      </c>
      <c r="V18" s="328">
        <f t="shared" si="17"/>
        <v>0</v>
      </c>
      <c r="W18" s="289">
        <f>'[1]Oct midyear Laf Ren'!E15</f>
        <v>0</v>
      </c>
      <c r="X18" s="290">
        <f t="shared" si="18"/>
        <v>0</v>
      </c>
      <c r="Y18" s="289">
        <f>'[1]Feb midyear Laf Ren'!E15</f>
        <v>0</v>
      </c>
      <c r="Z18" s="290">
        <f t="shared" si="19"/>
        <v>0</v>
      </c>
      <c r="AA18" s="288">
        <f t="shared" si="20"/>
        <v>0</v>
      </c>
      <c r="AB18" s="324">
        <f t="shared" si="21"/>
        <v>0</v>
      </c>
      <c r="AC18" s="292">
        <f t="shared" si="22"/>
        <v>0</v>
      </c>
      <c r="AD18" s="324">
        <f t="shared" si="23"/>
        <v>0</v>
      </c>
      <c r="AE18" s="293">
        <v>0</v>
      </c>
      <c r="AF18" s="324">
        <f t="shared" si="24"/>
        <v>0</v>
      </c>
      <c r="AG18" s="293">
        <f>(4*'[2]Table 5C1V-Laf Ren'!AI18)+(4*'[3]Table 5C1V-Laf Ren'!AI18)</f>
        <v>0</v>
      </c>
      <c r="AH18" s="293">
        <f t="shared" si="25"/>
        <v>0</v>
      </c>
      <c r="AI18" s="324">
        <f t="shared" si="6"/>
        <v>0</v>
      </c>
      <c r="AJ18" s="321">
        <f t="shared" si="26"/>
        <v>0</v>
      </c>
      <c r="AK18" s="342">
        <f t="shared" si="27"/>
        <v>0</v>
      </c>
      <c r="AM18" s="286">
        <v>0</v>
      </c>
      <c r="AN18" s="286">
        <f t="shared" si="28"/>
        <v>0</v>
      </c>
      <c r="AO18" s="286">
        <f t="shared" si="7"/>
        <v>0</v>
      </c>
    </row>
    <row r="19" spans="1:41" ht="16.149999999999999" customHeight="1">
      <c r="A19" s="198">
        <v>13</v>
      </c>
      <c r="B19" s="199" t="s">
        <v>85</v>
      </c>
      <c r="C19" s="995">
        <v>0</v>
      </c>
      <c r="D19" s="201">
        <f>+'Table 5C1A-Madison Prep'!D19</f>
        <v>6433.6297758332212</v>
      </c>
      <c r="E19" s="202">
        <f t="shared" si="8"/>
        <v>0</v>
      </c>
      <c r="F19" s="202">
        <f>+'Table 5C1A-Madison Prep'!F19</f>
        <v>749.43000000000006</v>
      </c>
      <c r="G19" s="202">
        <f t="shared" si="9"/>
        <v>0</v>
      </c>
      <c r="H19" s="345">
        <f t="shared" si="10"/>
        <v>0</v>
      </c>
      <c r="I19" s="203">
        <f>'[1]Oct midyear Laf Ren'!K16</f>
        <v>0</v>
      </c>
      <c r="J19" s="203">
        <f>'[1]Feb midyear Laf Ren'!K16</f>
        <v>0</v>
      </c>
      <c r="K19" s="204">
        <f t="shared" si="11"/>
        <v>0</v>
      </c>
      <c r="L19" s="345">
        <f t="shared" si="12"/>
        <v>0</v>
      </c>
      <c r="M19" s="286">
        <f t="shared" si="4"/>
        <v>0</v>
      </c>
      <c r="N19" s="345">
        <f t="shared" si="13"/>
        <v>0</v>
      </c>
      <c r="O19" s="201">
        <v>0</v>
      </c>
      <c r="P19" s="351">
        <f t="shared" si="14"/>
        <v>0</v>
      </c>
      <c r="Q19" s="203">
        <f>(4*'[2]Table 5C1V-Laf Ren'!S19)+(4*'[3]Table 5C1V-Laf Ren'!S19)</f>
        <v>0</v>
      </c>
      <c r="R19" s="203">
        <f t="shared" si="15"/>
        <v>0</v>
      </c>
      <c r="S19" s="351">
        <f t="shared" si="5"/>
        <v>0</v>
      </c>
      <c r="T19" s="351">
        <f t="shared" si="16"/>
        <v>0</v>
      </c>
      <c r="U19" s="287">
        <f>'Table 5C1A-Madison Prep'!U19</f>
        <v>2762</v>
      </c>
      <c r="V19" s="328">
        <f t="shared" si="17"/>
        <v>0</v>
      </c>
      <c r="W19" s="289">
        <f>'[1]Oct midyear Laf Ren'!E16</f>
        <v>0</v>
      </c>
      <c r="X19" s="290">
        <f t="shared" si="18"/>
        <v>0</v>
      </c>
      <c r="Y19" s="289">
        <f>'[1]Feb midyear Laf Ren'!E16</f>
        <v>0</v>
      </c>
      <c r="Z19" s="290">
        <f t="shared" si="19"/>
        <v>0</v>
      </c>
      <c r="AA19" s="288">
        <f t="shared" si="20"/>
        <v>0</v>
      </c>
      <c r="AB19" s="324">
        <f t="shared" si="21"/>
        <v>0</v>
      </c>
      <c r="AC19" s="292">
        <f t="shared" si="22"/>
        <v>0</v>
      </c>
      <c r="AD19" s="324">
        <f t="shared" si="23"/>
        <v>0</v>
      </c>
      <c r="AE19" s="293">
        <v>0</v>
      </c>
      <c r="AF19" s="324">
        <f t="shared" si="24"/>
        <v>0</v>
      </c>
      <c r="AG19" s="293">
        <f>(4*'[2]Table 5C1V-Laf Ren'!AI19)+(4*'[3]Table 5C1V-Laf Ren'!AI19)</f>
        <v>0</v>
      </c>
      <c r="AH19" s="293">
        <f t="shared" si="25"/>
        <v>0</v>
      </c>
      <c r="AI19" s="324">
        <f t="shared" si="6"/>
        <v>0</v>
      </c>
      <c r="AJ19" s="321">
        <f t="shared" si="26"/>
        <v>0</v>
      </c>
      <c r="AK19" s="342">
        <f t="shared" si="27"/>
        <v>0</v>
      </c>
      <c r="AM19" s="286">
        <v>0</v>
      </c>
      <c r="AN19" s="286">
        <f t="shared" si="28"/>
        <v>0</v>
      </c>
      <c r="AO19" s="286">
        <f t="shared" si="7"/>
        <v>0</v>
      </c>
    </row>
    <row r="20" spans="1:41" ht="16.149999999999999" customHeight="1">
      <c r="A20" s="198">
        <v>14</v>
      </c>
      <c r="B20" s="199" t="s">
        <v>86</v>
      </c>
      <c r="C20" s="995">
        <v>0</v>
      </c>
      <c r="D20" s="201">
        <f>+'Table 5C1A-Madison Prep'!D20</f>
        <v>5334.9509412500001</v>
      </c>
      <c r="E20" s="202">
        <f t="shared" si="8"/>
        <v>0</v>
      </c>
      <c r="F20" s="202">
        <f>+'Table 5C1A-Madison Prep'!F20</f>
        <v>809.9799999999999</v>
      </c>
      <c r="G20" s="202">
        <f t="shared" si="9"/>
        <v>0</v>
      </c>
      <c r="H20" s="345">
        <f t="shared" si="10"/>
        <v>0</v>
      </c>
      <c r="I20" s="203">
        <f>'[1]Oct midyear Laf Ren'!K17</f>
        <v>0</v>
      </c>
      <c r="J20" s="203">
        <f>'[1]Feb midyear Laf Ren'!K17</f>
        <v>0</v>
      </c>
      <c r="K20" s="204">
        <f t="shared" si="11"/>
        <v>0</v>
      </c>
      <c r="L20" s="345">
        <f t="shared" si="12"/>
        <v>0</v>
      </c>
      <c r="M20" s="286">
        <f t="shared" si="4"/>
        <v>0</v>
      </c>
      <c r="N20" s="345">
        <f t="shared" si="13"/>
        <v>0</v>
      </c>
      <c r="O20" s="201">
        <v>0</v>
      </c>
      <c r="P20" s="351">
        <f t="shared" si="14"/>
        <v>0</v>
      </c>
      <c r="Q20" s="203">
        <f>(4*'[2]Table 5C1V-Laf Ren'!S20)+(4*'[3]Table 5C1V-Laf Ren'!S20)</f>
        <v>0</v>
      </c>
      <c r="R20" s="203">
        <f t="shared" si="15"/>
        <v>0</v>
      </c>
      <c r="S20" s="351">
        <f t="shared" si="5"/>
        <v>0</v>
      </c>
      <c r="T20" s="351">
        <f t="shared" si="16"/>
        <v>0</v>
      </c>
      <c r="U20" s="287">
        <f>'Table 5C1A-Madison Prep'!U20</f>
        <v>4171</v>
      </c>
      <c r="V20" s="328">
        <f t="shared" si="17"/>
        <v>0</v>
      </c>
      <c r="W20" s="289">
        <f>'[1]Oct midyear Laf Ren'!E17</f>
        <v>0</v>
      </c>
      <c r="X20" s="290">
        <f t="shared" si="18"/>
        <v>0</v>
      </c>
      <c r="Y20" s="289">
        <f>'[1]Feb midyear Laf Ren'!E17</f>
        <v>0</v>
      </c>
      <c r="Z20" s="290">
        <f t="shared" si="19"/>
        <v>0</v>
      </c>
      <c r="AA20" s="288">
        <f t="shared" si="20"/>
        <v>0</v>
      </c>
      <c r="AB20" s="324">
        <f t="shared" si="21"/>
        <v>0</v>
      </c>
      <c r="AC20" s="292">
        <f t="shared" si="22"/>
        <v>0</v>
      </c>
      <c r="AD20" s="324">
        <f t="shared" si="23"/>
        <v>0</v>
      </c>
      <c r="AE20" s="293">
        <v>0</v>
      </c>
      <c r="AF20" s="324">
        <f t="shared" si="24"/>
        <v>0</v>
      </c>
      <c r="AG20" s="293">
        <f>(4*'[2]Table 5C1V-Laf Ren'!AI20)+(4*'[3]Table 5C1V-Laf Ren'!AI20)</f>
        <v>0</v>
      </c>
      <c r="AH20" s="293">
        <f t="shared" si="25"/>
        <v>0</v>
      </c>
      <c r="AI20" s="324">
        <f t="shared" si="6"/>
        <v>0</v>
      </c>
      <c r="AJ20" s="321">
        <f t="shared" si="26"/>
        <v>0</v>
      </c>
      <c r="AK20" s="342">
        <f t="shared" si="27"/>
        <v>0</v>
      </c>
      <c r="AM20" s="286">
        <v>0</v>
      </c>
      <c r="AN20" s="286">
        <f t="shared" si="28"/>
        <v>0</v>
      </c>
      <c r="AO20" s="286">
        <f t="shared" si="7"/>
        <v>0</v>
      </c>
    </row>
    <row r="21" spans="1:41" ht="16.149999999999999" customHeight="1">
      <c r="A21" s="191">
        <v>15</v>
      </c>
      <c r="B21" s="192" t="s">
        <v>87</v>
      </c>
      <c r="C21" s="996">
        <v>0</v>
      </c>
      <c r="D21" s="194">
        <f>+'Table 5C1A-Madison Prep'!D21</f>
        <v>5749.8285214059952</v>
      </c>
      <c r="E21" s="195">
        <f t="shared" si="8"/>
        <v>0</v>
      </c>
      <c r="F21" s="195">
        <f>+'Table 5C1A-Madison Prep'!F21</f>
        <v>553.79999999999995</v>
      </c>
      <c r="G21" s="195">
        <f t="shared" si="9"/>
        <v>0</v>
      </c>
      <c r="H21" s="346">
        <f t="shared" si="10"/>
        <v>0</v>
      </c>
      <c r="I21" s="196">
        <f>'[1]Oct midyear Laf Ren'!K18</f>
        <v>0</v>
      </c>
      <c r="J21" s="196">
        <f>'[1]Feb midyear Laf Ren'!K18</f>
        <v>0</v>
      </c>
      <c r="K21" s="197">
        <f t="shared" si="11"/>
        <v>0</v>
      </c>
      <c r="L21" s="346">
        <f t="shared" si="12"/>
        <v>0</v>
      </c>
      <c r="M21" s="296">
        <f t="shared" si="4"/>
        <v>0</v>
      </c>
      <c r="N21" s="346">
        <f t="shared" si="13"/>
        <v>0</v>
      </c>
      <c r="O21" s="194">
        <v>0</v>
      </c>
      <c r="P21" s="352">
        <f t="shared" si="14"/>
        <v>0</v>
      </c>
      <c r="Q21" s="196">
        <f>(4*'[2]Table 5C1V-Laf Ren'!S21)+(4*'[3]Table 5C1V-Laf Ren'!S21)</f>
        <v>0</v>
      </c>
      <c r="R21" s="196">
        <f t="shared" si="15"/>
        <v>0</v>
      </c>
      <c r="S21" s="352">
        <f t="shared" si="5"/>
        <v>0</v>
      </c>
      <c r="T21" s="352">
        <f t="shared" si="16"/>
        <v>0</v>
      </c>
      <c r="U21" s="281">
        <f>'Table 5C1A-Madison Prep'!U21</f>
        <v>2880</v>
      </c>
      <c r="V21" s="329">
        <f t="shared" si="17"/>
        <v>0</v>
      </c>
      <c r="W21" s="884">
        <f>'[1]Oct midyear Laf Ren'!E18</f>
        <v>0</v>
      </c>
      <c r="X21" s="282">
        <f t="shared" si="18"/>
        <v>0</v>
      </c>
      <c r="Y21" s="884">
        <f>'[1]Feb midyear Laf Ren'!E18</f>
        <v>0</v>
      </c>
      <c r="Z21" s="282">
        <f t="shared" si="19"/>
        <v>0</v>
      </c>
      <c r="AA21" s="283">
        <f t="shared" si="20"/>
        <v>0</v>
      </c>
      <c r="AB21" s="325">
        <f t="shared" si="21"/>
        <v>0</v>
      </c>
      <c r="AC21" s="298">
        <f t="shared" si="22"/>
        <v>0</v>
      </c>
      <c r="AD21" s="325">
        <f t="shared" si="23"/>
        <v>0</v>
      </c>
      <c r="AE21" s="284">
        <v>0</v>
      </c>
      <c r="AF21" s="325">
        <f t="shared" si="24"/>
        <v>0</v>
      </c>
      <c r="AG21" s="284">
        <f>(4*'[2]Table 5C1V-Laf Ren'!AI21)+(4*'[3]Table 5C1V-Laf Ren'!AI21)</f>
        <v>0</v>
      </c>
      <c r="AH21" s="284">
        <f t="shared" si="25"/>
        <v>0</v>
      </c>
      <c r="AI21" s="325">
        <f t="shared" si="6"/>
        <v>0</v>
      </c>
      <c r="AJ21" s="338">
        <f t="shared" si="26"/>
        <v>0</v>
      </c>
      <c r="AK21" s="343">
        <f t="shared" si="27"/>
        <v>0</v>
      </c>
      <c r="AM21" s="296">
        <v>0</v>
      </c>
      <c r="AN21" s="296">
        <f t="shared" si="28"/>
        <v>0</v>
      </c>
      <c r="AO21" s="296">
        <f t="shared" si="7"/>
        <v>0</v>
      </c>
    </row>
    <row r="22" spans="1:41" ht="16.149999999999999" customHeight="1">
      <c r="A22" s="205">
        <v>16</v>
      </c>
      <c r="B22" s="206" t="s">
        <v>88</v>
      </c>
      <c r="C22" s="994">
        <v>0</v>
      </c>
      <c r="D22" s="208">
        <f>+'Table 5C1A-Madison Prep'!D22</f>
        <v>1980.2494354342025</v>
      </c>
      <c r="E22" s="209">
        <f t="shared" si="8"/>
        <v>0</v>
      </c>
      <c r="F22" s="209">
        <f>+'Table 5C1A-Madison Prep'!F22</f>
        <v>686.73</v>
      </c>
      <c r="G22" s="209">
        <f t="shared" si="9"/>
        <v>0</v>
      </c>
      <c r="H22" s="344">
        <f t="shared" si="10"/>
        <v>0</v>
      </c>
      <c r="I22" s="210">
        <f>'[1]Oct midyear Laf Ren'!K19</f>
        <v>0</v>
      </c>
      <c r="J22" s="210">
        <f>'[1]Feb midyear Laf Ren'!K19</f>
        <v>0</v>
      </c>
      <c r="K22" s="211">
        <f t="shared" si="11"/>
        <v>0</v>
      </c>
      <c r="L22" s="344">
        <f t="shared" si="12"/>
        <v>0</v>
      </c>
      <c r="M22" s="273">
        <f t="shared" si="4"/>
        <v>0</v>
      </c>
      <c r="N22" s="344">
        <f t="shared" si="13"/>
        <v>0</v>
      </c>
      <c r="O22" s="208">
        <v>0</v>
      </c>
      <c r="P22" s="350">
        <f t="shared" si="14"/>
        <v>0</v>
      </c>
      <c r="Q22" s="210">
        <f>(4*'[2]Table 5C1V-Laf Ren'!S22)+(4*'[3]Table 5C1V-Laf Ren'!S22)</f>
        <v>0</v>
      </c>
      <c r="R22" s="210">
        <f t="shared" si="15"/>
        <v>0</v>
      </c>
      <c r="S22" s="350">
        <f t="shared" si="5"/>
        <v>0</v>
      </c>
      <c r="T22" s="350">
        <f t="shared" si="16"/>
        <v>0</v>
      </c>
      <c r="U22" s="274">
        <f>'Table 5C1A-Madison Prep'!U22</f>
        <v>13021</v>
      </c>
      <c r="V22" s="327">
        <f t="shared" si="17"/>
        <v>0</v>
      </c>
      <c r="W22" s="883">
        <f>'[1]Oct midyear Laf Ren'!E19</f>
        <v>0</v>
      </c>
      <c r="X22" s="276">
        <f t="shared" si="18"/>
        <v>0</v>
      </c>
      <c r="Y22" s="883">
        <f>'[1]Feb midyear Laf Ren'!E19</f>
        <v>0</v>
      </c>
      <c r="Z22" s="276">
        <f t="shared" si="19"/>
        <v>0</v>
      </c>
      <c r="AA22" s="275">
        <f t="shared" si="20"/>
        <v>0</v>
      </c>
      <c r="AB22" s="323">
        <f t="shared" si="21"/>
        <v>0</v>
      </c>
      <c r="AC22" s="278">
        <f t="shared" si="22"/>
        <v>0</v>
      </c>
      <c r="AD22" s="323">
        <f t="shared" si="23"/>
        <v>0</v>
      </c>
      <c r="AE22" s="279">
        <v>0</v>
      </c>
      <c r="AF22" s="323">
        <f t="shared" si="24"/>
        <v>0</v>
      </c>
      <c r="AG22" s="279">
        <f>(4*'[2]Table 5C1V-Laf Ren'!AI22)+(4*'[3]Table 5C1V-Laf Ren'!AI22)</f>
        <v>0</v>
      </c>
      <c r="AH22" s="279">
        <f t="shared" si="25"/>
        <v>0</v>
      </c>
      <c r="AI22" s="323">
        <f t="shared" si="6"/>
        <v>0</v>
      </c>
      <c r="AJ22" s="337">
        <f t="shared" si="26"/>
        <v>0</v>
      </c>
      <c r="AK22" s="341">
        <f t="shared" si="27"/>
        <v>0</v>
      </c>
      <c r="AM22" s="273">
        <v>0</v>
      </c>
      <c r="AN22" s="273">
        <f t="shared" si="28"/>
        <v>0</v>
      </c>
      <c r="AO22" s="273">
        <f t="shared" si="7"/>
        <v>0</v>
      </c>
    </row>
    <row r="23" spans="1:41" ht="16.149999999999999" customHeight="1">
      <c r="A23" s="198">
        <v>17</v>
      </c>
      <c r="B23" s="199" t="s">
        <v>89</v>
      </c>
      <c r="C23" s="995">
        <v>0</v>
      </c>
      <c r="D23" s="201">
        <f>+'Table 5C1A-Madison Prep'!D23</f>
        <v>3363.5980368254495</v>
      </c>
      <c r="E23" s="202">
        <f t="shared" si="8"/>
        <v>0</v>
      </c>
      <c r="F23" s="202">
        <f>+'Table 5C1A-Madison Prep'!F23</f>
        <v>801.47762416806802</v>
      </c>
      <c r="G23" s="202">
        <f t="shared" si="9"/>
        <v>0</v>
      </c>
      <c r="H23" s="345">
        <f t="shared" si="10"/>
        <v>0</v>
      </c>
      <c r="I23" s="203">
        <f>'[1]Oct midyear Laf Ren'!K20</f>
        <v>0</v>
      </c>
      <c r="J23" s="203">
        <f>'[1]Feb midyear Laf Ren'!K20</f>
        <v>0</v>
      </c>
      <c r="K23" s="204">
        <f t="shared" si="11"/>
        <v>0</v>
      </c>
      <c r="L23" s="345">
        <f t="shared" si="12"/>
        <v>0</v>
      </c>
      <c r="M23" s="286">
        <f t="shared" si="4"/>
        <v>0</v>
      </c>
      <c r="N23" s="345">
        <f t="shared" si="13"/>
        <v>0</v>
      </c>
      <c r="O23" s="201">
        <v>0</v>
      </c>
      <c r="P23" s="351">
        <f t="shared" si="14"/>
        <v>0</v>
      </c>
      <c r="Q23" s="203">
        <f>(4*'[2]Table 5C1V-Laf Ren'!S23)+(4*'[3]Table 5C1V-Laf Ren'!S23)</f>
        <v>0</v>
      </c>
      <c r="R23" s="203">
        <f t="shared" si="15"/>
        <v>0</v>
      </c>
      <c r="S23" s="351">
        <f t="shared" si="5"/>
        <v>0</v>
      </c>
      <c r="T23" s="351">
        <f t="shared" si="16"/>
        <v>0</v>
      </c>
      <c r="U23" s="287">
        <f>'Table 5C1A-Madison Prep'!U23</f>
        <v>6954</v>
      </c>
      <c r="V23" s="328">
        <f t="shared" si="17"/>
        <v>0</v>
      </c>
      <c r="W23" s="289">
        <f>'[1]Oct midyear Laf Ren'!E20</f>
        <v>0</v>
      </c>
      <c r="X23" s="290">
        <f t="shared" si="18"/>
        <v>0</v>
      </c>
      <c r="Y23" s="289">
        <f>'[1]Feb midyear Laf Ren'!E20</f>
        <v>0</v>
      </c>
      <c r="Z23" s="290">
        <f t="shared" si="19"/>
        <v>0</v>
      </c>
      <c r="AA23" s="288">
        <f t="shared" si="20"/>
        <v>0</v>
      </c>
      <c r="AB23" s="324">
        <f t="shared" si="21"/>
        <v>0</v>
      </c>
      <c r="AC23" s="292">
        <f t="shared" si="22"/>
        <v>0</v>
      </c>
      <c r="AD23" s="324">
        <f t="shared" si="23"/>
        <v>0</v>
      </c>
      <c r="AE23" s="293">
        <v>0</v>
      </c>
      <c r="AF23" s="324">
        <f t="shared" si="24"/>
        <v>0</v>
      </c>
      <c r="AG23" s="293">
        <f>(4*'[2]Table 5C1V-Laf Ren'!AI23)+(4*'[3]Table 5C1V-Laf Ren'!AI23)</f>
        <v>0</v>
      </c>
      <c r="AH23" s="293">
        <f t="shared" si="25"/>
        <v>0</v>
      </c>
      <c r="AI23" s="324">
        <f t="shared" si="6"/>
        <v>0</v>
      </c>
      <c r="AJ23" s="321">
        <f t="shared" si="26"/>
        <v>0</v>
      </c>
      <c r="AK23" s="342">
        <f t="shared" si="27"/>
        <v>0</v>
      </c>
      <c r="AM23" s="286">
        <v>0</v>
      </c>
      <c r="AN23" s="286">
        <f t="shared" si="28"/>
        <v>0</v>
      </c>
      <c r="AO23" s="286">
        <f t="shared" si="7"/>
        <v>0</v>
      </c>
    </row>
    <row r="24" spans="1:41" ht="16.149999999999999" customHeight="1">
      <c r="A24" s="198">
        <v>18</v>
      </c>
      <c r="B24" s="199" t="s">
        <v>90</v>
      </c>
      <c r="C24" s="995">
        <v>0</v>
      </c>
      <c r="D24" s="201">
        <f>+'Table 5C1A-Madison Prep'!D24</f>
        <v>6354.5533500475731</v>
      </c>
      <c r="E24" s="202">
        <f t="shared" si="8"/>
        <v>0</v>
      </c>
      <c r="F24" s="202">
        <f>+'Table 5C1A-Madison Prep'!F24</f>
        <v>845.94999999999993</v>
      </c>
      <c r="G24" s="202">
        <f t="shared" si="9"/>
        <v>0</v>
      </c>
      <c r="H24" s="345">
        <f t="shared" si="10"/>
        <v>0</v>
      </c>
      <c r="I24" s="203">
        <f>'[1]Oct midyear Laf Ren'!K21</f>
        <v>0</v>
      </c>
      <c r="J24" s="203">
        <f>'[1]Feb midyear Laf Ren'!K21</f>
        <v>0</v>
      </c>
      <c r="K24" s="204">
        <f t="shared" si="11"/>
        <v>0</v>
      </c>
      <c r="L24" s="345">
        <f t="shared" si="12"/>
        <v>0</v>
      </c>
      <c r="M24" s="286">
        <f t="shared" si="4"/>
        <v>0</v>
      </c>
      <c r="N24" s="345">
        <f t="shared" si="13"/>
        <v>0</v>
      </c>
      <c r="O24" s="201">
        <v>0</v>
      </c>
      <c r="P24" s="351">
        <f t="shared" si="14"/>
        <v>0</v>
      </c>
      <c r="Q24" s="203">
        <f>(4*'[2]Table 5C1V-Laf Ren'!S24)+(4*'[3]Table 5C1V-Laf Ren'!S24)</f>
        <v>0</v>
      </c>
      <c r="R24" s="203">
        <f t="shared" si="15"/>
        <v>0</v>
      </c>
      <c r="S24" s="351">
        <f t="shared" si="5"/>
        <v>0</v>
      </c>
      <c r="T24" s="351">
        <f t="shared" si="16"/>
        <v>0</v>
      </c>
      <c r="U24" s="287">
        <f>'Table 5C1A-Madison Prep'!U24</f>
        <v>2442</v>
      </c>
      <c r="V24" s="328">
        <f t="shared" si="17"/>
        <v>0</v>
      </c>
      <c r="W24" s="289">
        <f>'[1]Oct midyear Laf Ren'!E21</f>
        <v>0</v>
      </c>
      <c r="X24" s="290">
        <f t="shared" si="18"/>
        <v>0</v>
      </c>
      <c r="Y24" s="289">
        <f>'[1]Feb midyear Laf Ren'!E21</f>
        <v>0</v>
      </c>
      <c r="Z24" s="290">
        <f t="shared" si="19"/>
        <v>0</v>
      </c>
      <c r="AA24" s="288">
        <f t="shared" si="20"/>
        <v>0</v>
      </c>
      <c r="AB24" s="324">
        <f t="shared" si="21"/>
        <v>0</v>
      </c>
      <c r="AC24" s="292">
        <f t="shared" si="22"/>
        <v>0</v>
      </c>
      <c r="AD24" s="324">
        <f t="shared" si="23"/>
        <v>0</v>
      </c>
      <c r="AE24" s="293">
        <v>0</v>
      </c>
      <c r="AF24" s="324">
        <f t="shared" si="24"/>
        <v>0</v>
      </c>
      <c r="AG24" s="293">
        <f>(4*'[2]Table 5C1V-Laf Ren'!AI24)+(4*'[3]Table 5C1V-Laf Ren'!AI24)</f>
        <v>0</v>
      </c>
      <c r="AH24" s="293">
        <f t="shared" si="25"/>
        <v>0</v>
      </c>
      <c r="AI24" s="324">
        <f t="shared" si="6"/>
        <v>0</v>
      </c>
      <c r="AJ24" s="321">
        <f t="shared" si="26"/>
        <v>0</v>
      </c>
      <c r="AK24" s="342">
        <f t="shared" si="27"/>
        <v>0</v>
      </c>
      <c r="AM24" s="286">
        <v>0</v>
      </c>
      <c r="AN24" s="286">
        <f t="shared" si="28"/>
        <v>0</v>
      </c>
      <c r="AO24" s="286">
        <f t="shared" si="7"/>
        <v>0</v>
      </c>
    </row>
    <row r="25" spans="1:41" ht="16.149999999999999" customHeight="1">
      <c r="A25" s="198">
        <v>19</v>
      </c>
      <c r="B25" s="199" t="s">
        <v>91</v>
      </c>
      <c r="C25" s="995">
        <v>0</v>
      </c>
      <c r="D25" s="201">
        <f>+'Table 5C1A-Madison Prep'!D25</f>
        <v>5314.3921869460446</v>
      </c>
      <c r="E25" s="202">
        <f t="shared" si="8"/>
        <v>0</v>
      </c>
      <c r="F25" s="202">
        <f>+'Table 5C1A-Madison Prep'!F25</f>
        <v>905.43</v>
      </c>
      <c r="G25" s="202">
        <f t="shared" si="9"/>
        <v>0</v>
      </c>
      <c r="H25" s="345">
        <f t="shared" si="10"/>
        <v>0</v>
      </c>
      <c r="I25" s="203">
        <f>'[1]Oct midyear Laf Ren'!K22</f>
        <v>0</v>
      </c>
      <c r="J25" s="203">
        <f>'[1]Feb midyear Laf Ren'!K22</f>
        <v>0</v>
      </c>
      <c r="K25" s="204">
        <f t="shared" si="11"/>
        <v>0</v>
      </c>
      <c r="L25" s="345">
        <f t="shared" si="12"/>
        <v>0</v>
      </c>
      <c r="M25" s="286">
        <f t="shared" si="4"/>
        <v>0</v>
      </c>
      <c r="N25" s="345">
        <f t="shared" si="13"/>
        <v>0</v>
      </c>
      <c r="O25" s="201">
        <v>0</v>
      </c>
      <c r="P25" s="351">
        <f t="shared" si="14"/>
        <v>0</v>
      </c>
      <c r="Q25" s="203">
        <f>(4*'[2]Table 5C1V-Laf Ren'!S25)+(4*'[3]Table 5C1V-Laf Ren'!S25)</f>
        <v>0</v>
      </c>
      <c r="R25" s="203">
        <f t="shared" si="15"/>
        <v>0</v>
      </c>
      <c r="S25" s="351">
        <f t="shared" si="5"/>
        <v>0</v>
      </c>
      <c r="T25" s="351">
        <f t="shared" si="16"/>
        <v>0</v>
      </c>
      <c r="U25" s="287">
        <f>'Table 5C1A-Madison Prep'!U25</f>
        <v>3051</v>
      </c>
      <c r="V25" s="328">
        <f t="shared" si="17"/>
        <v>0</v>
      </c>
      <c r="W25" s="289">
        <f>'[1]Oct midyear Laf Ren'!E22</f>
        <v>0</v>
      </c>
      <c r="X25" s="290">
        <f t="shared" si="18"/>
        <v>0</v>
      </c>
      <c r="Y25" s="289">
        <f>'[1]Feb midyear Laf Ren'!E22</f>
        <v>0</v>
      </c>
      <c r="Z25" s="290">
        <f t="shared" si="19"/>
        <v>0</v>
      </c>
      <c r="AA25" s="288">
        <f t="shared" si="20"/>
        <v>0</v>
      </c>
      <c r="AB25" s="324">
        <f t="shared" si="21"/>
        <v>0</v>
      </c>
      <c r="AC25" s="292">
        <f t="shared" si="22"/>
        <v>0</v>
      </c>
      <c r="AD25" s="324">
        <f t="shared" si="23"/>
        <v>0</v>
      </c>
      <c r="AE25" s="293">
        <v>0</v>
      </c>
      <c r="AF25" s="324">
        <f t="shared" si="24"/>
        <v>0</v>
      </c>
      <c r="AG25" s="293">
        <f>(4*'[2]Table 5C1V-Laf Ren'!AI25)+(4*'[3]Table 5C1V-Laf Ren'!AI25)</f>
        <v>0</v>
      </c>
      <c r="AH25" s="293">
        <f t="shared" si="25"/>
        <v>0</v>
      </c>
      <c r="AI25" s="324">
        <f t="shared" si="6"/>
        <v>0</v>
      </c>
      <c r="AJ25" s="321">
        <f t="shared" si="26"/>
        <v>0</v>
      </c>
      <c r="AK25" s="342">
        <f t="shared" si="27"/>
        <v>0</v>
      </c>
      <c r="AM25" s="286">
        <v>0</v>
      </c>
      <c r="AN25" s="286">
        <f t="shared" si="28"/>
        <v>0</v>
      </c>
      <c r="AO25" s="286">
        <f t="shared" si="7"/>
        <v>0</v>
      </c>
    </row>
    <row r="26" spans="1:41" ht="16.149999999999999" customHeight="1">
      <c r="A26" s="191">
        <v>20</v>
      </c>
      <c r="B26" s="192" t="s">
        <v>92</v>
      </c>
      <c r="C26" s="996">
        <v>0</v>
      </c>
      <c r="D26" s="194">
        <f>+'Table 5C1A-Madison Prep'!D26</f>
        <v>5278.5201565562011</v>
      </c>
      <c r="E26" s="195">
        <f t="shared" si="8"/>
        <v>0</v>
      </c>
      <c r="F26" s="195">
        <f>+'Table 5C1A-Madison Prep'!F26</f>
        <v>586.16999999999996</v>
      </c>
      <c r="G26" s="195">
        <f t="shared" si="9"/>
        <v>0</v>
      </c>
      <c r="H26" s="346">
        <f t="shared" si="10"/>
        <v>0</v>
      </c>
      <c r="I26" s="196">
        <f>'[1]Oct midyear Laf Ren'!K23</f>
        <v>0</v>
      </c>
      <c r="J26" s="196">
        <f>'[1]Feb midyear Laf Ren'!K23</f>
        <v>0</v>
      </c>
      <c r="K26" s="197">
        <f t="shared" si="11"/>
        <v>0</v>
      </c>
      <c r="L26" s="346">
        <f t="shared" si="12"/>
        <v>0</v>
      </c>
      <c r="M26" s="296">
        <f t="shared" si="4"/>
        <v>0</v>
      </c>
      <c r="N26" s="346">
        <f t="shared" si="13"/>
        <v>0</v>
      </c>
      <c r="O26" s="194">
        <v>0</v>
      </c>
      <c r="P26" s="352">
        <f t="shared" si="14"/>
        <v>0</v>
      </c>
      <c r="Q26" s="196">
        <f>(4*'[2]Table 5C1V-Laf Ren'!S26)+(4*'[3]Table 5C1V-Laf Ren'!S26)</f>
        <v>0</v>
      </c>
      <c r="R26" s="196">
        <f t="shared" si="15"/>
        <v>0</v>
      </c>
      <c r="S26" s="352">
        <f t="shared" si="5"/>
        <v>0</v>
      </c>
      <c r="T26" s="352">
        <f t="shared" si="16"/>
        <v>0</v>
      </c>
      <c r="U26" s="281">
        <f>'Table 5C1A-Madison Prep'!U26</f>
        <v>2484</v>
      </c>
      <c r="V26" s="329">
        <f t="shared" si="17"/>
        <v>0</v>
      </c>
      <c r="W26" s="884">
        <f>'[1]Oct midyear Laf Ren'!E23</f>
        <v>0</v>
      </c>
      <c r="X26" s="282">
        <f t="shared" si="18"/>
        <v>0</v>
      </c>
      <c r="Y26" s="884">
        <f>'[1]Feb midyear Laf Ren'!E23</f>
        <v>0</v>
      </c>
      <c r="Z26" s="282">
        <f t="shared" si="19"/>
        <v>0</v>
      </c>
      <c r="AA26" s="283">
        <f t="shared" si="20"/>
        <v>0</v>
      </c>
      <c r="AB26" s="325">
        <f t="shared" si="21"/>
        <v>0</v>
      </c>
      <c r="AC26" s="298">
        <f t="shared" si="22"/>
        <v>0</v>
      </c>
      <c r="AD26" s="325">
        <f t="shared" si="23"/>
        <v>0</v>
      </c>
      <c r="AE26" s="284">
        <v>0</v>
      </c>
      <c r="AF26" s="325">
        <f t="shared" si="24"/>
        <v>0</v>
      </c>
      <c r="AG26" s="284">
        <f>(4*'[2]Table 5C1V-Laf Ren'!AI26)+(4*'[3]Table 5C1V-Laf Ren'!AI26)</f>
        <v>0</v>
      </c>
      <c r="AH26" s="284">
        <f t="shared" si="25"/>
        <v>0</v>
      </c>
      <c r="AI26" s="325">
        <f t="shared" si="6"/>
        <v>0</v>
      </c>
      <c r="AJ26" s="338">
        <f t="shared" si="26"/>
        <v>0</v>
      </c>
      <c r="AK26" s="343">
        <f t="shared" si="27"/>
        <v>0</v>
      </c>
      <c r="AM26" s="296">
        <v>0</v>
      </c>
      <c r="AN26" s="296">
        <f t="shared" si="28"/>
        <v>0</v>
      </c>
      <c r="AO26" s="296">
        <f t="shared" si="7"/>
        <v>0</v>
      </c>
    </row>
    <row r="27" spans="1:41" ht="16.149999999999999" customHeight="1">
      <c r="A27" s="205">
        <v>21</v>
      </c>
      <c r="B27" s="206" t="s">
        <v>93</v>
      </c>
      <c r="C27" s="994">
        <v>0</v>
      </c>
      <c r="D27" s="208">
        <f>+'Table 5C1A-Madison Prep'!D27</f>
        <v>6082.3042295867763</v>
      </c>
      <c r="E27" s="209">
        <f t="shared" si="8"/>
        <v>0</v>
      </c>
      <c r="F27" s="209">
        <f>+'Table 5C1A-Madison Prep'!F27</f>
        <v>610.35</v>
      </c>
      <c r="G27" s="209">
        <f t="shared" si="9"/>
        <v>0</v>
      </c>
      <c r="H27" s="344">
        <f t="shared" si="10"/>
        <v>0</v>
      </c>
      <c r="I27" s="210">
        <f>'[1]Oct midyear Laf Ren'!K24</f>
        <v>0</v>
      </c>
      <c r="J27" s="210">
        <f>'[1]Feb midyear Laf Ren'!K24</f>
        <v>0</v>
      </c>
      <c r="K27" s="211">
        <f t="shared" si="11"/>
        <v>0</v>
      </c>
      <c r="L27" s="344">
        <f t="shared" si="12"/>
        <v>0</v>
      </c>
      <c r="M27" s="273">
        <f t="shared" si="4"/>
        <v>0</v>
      </c>
      <c r="N27" s="344">
        <f t="shared" si="13"/>
        <v>0</v>
      </c>
      <c r="O27" s="208">
        <v>0</v>
      </c>
      <c r="P27" s="350">
        <f t="shared" si="14"/>
        <v>0</v>
      </c>
      <c r="Q27" s="210">
        <f>(4*'[2]Table 5C1V-Laf Ren'!S27)+(4*'[3]Table 5C1V-Laf Ren'!S27)</f>
        <v>0</v>
      </c>
      <c r="R27" s="210">
        <f t="shared" si="15"/>
        <v>0</v>
      </c>
      <c r="S27" s="350">
        <f t="shared" si="5"/>
        <v>0</v>
      </c>
      <c r="T27" s="350">
        <f t="shared" si="16"/>
        <v>0</v>
      </c>
      <c r="U27" s="274">
        <f>'Table 5C1A-Madison Prep'!U27</f>
        <v>2487</v>
      </c>
      <c r="V27" s="327">
        <f t="shared" si="17"/>
        <v>0</v>
      </c>
      <c r="W27" s="883">
        <f>'[1]Oct midyear Laf Ren'!E24</f>
        <v>0</v>
      </c>
      <c r="X27" s="276">
        <f t="shared" si="18"/>
        <v>0</v>
      </c>
      <c r="Y27" s="883">
        <f>'[1]Feb midyear Laf Ren'!E24</f>
        <v>0</v>
      </c>
      <c r="Z27" s="276">
        <f t="shared" si="19"/>
        <v>0</v>
      </c>
      <c r="AA27" s="275">
        <f t="shared" si="20"/>
        <v>0</v>
      </c>
      <c r="AB27" s="323">
        <f t="shared" si="21"/>
        <v>0</v>
      </c>
      <c r="AC27" s="278">
        <f t="shared" si="22"/>
        <v>0</v>
      </c>
      <c r="AD27" s="323">
        <f t="shared" si="23"/>
        <v>0</v>
      </c>
      <c r="AE27" s="279">
        <v>0</v>
      </c>
      <c r="AF27" s="323">
        <f t="shared" si="24"/>
        <v>0</v>
      </c>
      <c r="AG27" s="279">
        <f>(4*'[2]Table 5C1V-Laf Ren'!AI27)+(4*'[3]Table 5C1V-Laf Ren'!AI27)</f>
        <v>0</v>
      </c>
      <c r="AH27" s="279">
        <f t="shared" si="25"/>
        <v>0</v>
      </c>
      <c r="AI27" s="323">
        <f t="shared" si="6"/>
        <v>0</v>
      </c>
      <c r="AJ27" s="337">
        <f t="shared" si="26"/>
        <v>0</v>
      </c>
      <c r="AK27" s="341">
        <f t="shared" si="27"/>
        <v>0</v>
      </c>
      <c r="AM27" s="273">
        <v>0</v>
      </c>
      <c r="AN27" s="273">
        <f t="shared" si="28"/>
        <v>0</v>
      </c>
      <c r="AO27" s="273">
        <f t="shared" si="7"/>
        <v>0</v>
      </c>
    </row>
    <row r="28" spans="1:41" ht="16.149999999999999" customHeight="1">
      <c r="A28" s="198">
        <v>22</v>
      </c>
      <c r="B28" s="199" t="s">
        <v>94</v>
      </c>
      <c r="C28" s="995">
        <v>0</v>
      </c>
      <c r="D28" s="201">
        <f>+'Table 5C1A-Madison Prep'!D28</f>
        <v>6416.1099808195995</v>
      </c>
      <c r="E28" s="202">
        <f t="shared" si="8"/>
        <v>0</v>
      </c>
      <c r="F28" s="202">
        <f>+'Table 5C1A-Madison Prep'!F28</f>
        <v>496.36</v>
      </c>
      <c r="G28" s="202">
        <f t="shared" si="9"/>
        <v>0</v>
      </c>
      <c r="H28" s="345">
        <f t="shared" si="10"/>
        <v>0</v>
      </c>
      <c r="I28" s="203">
        <f>'[1]Oct midyear Laf Ren'!K25</f>
        <v>0</v>
      </c>
      <c r="J28" s="203">
        <f>'[1]Feb midyear Laf Ren'!K25</f>
        <v>0</v>
      </c>
      <c r="K28" s="204">
        <f t="shared" si="11"/>
        <v>0</v>
      </c>
      <c r="L28" s="345">
        <f t="shared" si="12"/>
        <v>0</v>
      </c>
      <c r="M28" s="286">
        <f t="shared" si="4"/>
        <v>0</v>
      </c>
      <c r="N28" s="345">
        <f t="shared" si="13"/>
        <v>0</v>
      </c>
      <c r="O28" s="201">
        <v>0</v>
      </c>
      <c r="P28" s="351">
        <f t="shared" si="14"/>
        <v>0</v>
      </c>
      <c r="Q28" s="203">
        <f>(4*'[2]Table 5C1V-Laf Ren'!S28)+(4*'[3]Table 5C1V-Laf Ren'!S28)</f>
        <v>0</v>
      </c>
      <c r="R28" s="203">
        <f t="shared" si="15"/>
        <v>0</v>
      </c>
      <c r="S28" s="351">
        <f t="shared" si="5"/>
        <v>0</v>
      </c>
      <c r="T28" s="351">
        <f t="shared" si="16"/>
        <v>0</v>
      </c>
      <c r="U28" s="287">
        <f>'Table 5C1A-Madison Prep'!U28</f>
        <v>1584</v>
      </c>
      <c r="V28" s="328">
        <f t="shared" si="17"/>
        <v>0</v>
      </c>
      <c r="W28" s="289">
        <f>'[1]Oct midyear Laf Ren'!E25</f>
        <v>0</v>
      </c>
      <c r="X28" s="290">
        <f t="shared" si="18"/>
        <v>0</v>
      </c>
      <c r="Y28" s="289">
        <f>'[1]Feb midyear Laf Ren'!E25</f>
        <v>0</v>
      </c>
      <c r="Z28" s="290">
        <f t="shared" si="19"/>
        <v>0</v>
      </c>
      <c r="AA28" s="288">
        <f t="shared" si="20"/>
        <v>0</v>
      </c>
      <c r="AB28" s="324">
        <f t="shared" si="21"/>
        <v>0</v>
      </c>
      <c r="AC28" s="292">
        <f t="shared" si="22"/>
        <v>0</v>
      </c>
      <c r="AD28" s="324">
        <f t="shared" si="23"/>
        <v>0</v>
      </c>
      <c r="AE28" s="293">
        <v>0</v>
      </c>
      <c r="AF28" s="324">
        <f t="shared" si="24"/>
        <v>0</v>
      </c>
      <c r="AG28" s="293">
        <f>(4*'[2]Table 5C1V-Laf Ren'!AI28)+(4*'[3]Table 5C1V-Laf Ren'!AI28)</f>
        <v>0</v>
      </c>
      <c r="AH28" s="293">
        <f t="shared" si="25"/>
        <v>0</v>
      </c>
      <c r="AI28" s="324">
        <f t="shared" si="6"/>
        <v>0</v>
      </c>
      <c r="AJ28" s="321">
        <f t="shared" si="26"/>
        <v>0</v>
      </c>
      <c r="AK28" s="342">
        <f t="shared" si="27"/>
        <v>0</v>
      </c>
      <c r="AM28" s="286">
        <v>0</v>
      </c>
      <c r="AN28" s="286">
        <f t="shared" si="28"/>
        <v>0</v>
      </c>
      <c r="AO28" s="286">
        <f t="shared" si="7"/>
        <v>0</v>
      </c>
    </row>
    <row r="29" spans="1:41" ht="16.149999999999999" customHeight="1">
      <c r="A29" s="198">
        <v>23</v>
      </c>
      <c r="B29" s="199" t="s">
        <v>95</v>
      </c>
      <c r="C29" s="995">
        <v>0</v>
      </c>
      <c r="D29" s="201">
        <f>+'Table 5C1A-Madison Prep'!D29</f>
        <v>5011.0215265979159</v>
      </c>
      <c r="E29" s="202">
        <f t="shared" si="8"/>
        <v>0</v>
      </c>
      <c r="F29" s="202">
        <f>+'Table 5C1A-Madison Prep'!F29</f>
        <v>688.58</v>
      </c>
      <c r="G29" s="202">
        <f t="shared" si="9"/>
        <v>0</v>
      </c>
      <c r="H29" s="345">
        <f t="shared" si="10"/>
        <v>0</v>
      </c>
      <c r="I29" s="203">
        <f>'[1]Oct midyear Laf Ren'!K26</f>
        <v>5699.6015265979158</v>
      </c>
      <c r="J29" s="203">
        <f>'[1]Feb midyear Laf Ren'!K26</f>
        <v>0</v>
      </c>
      <c r="K29" s="204">
        <f t="shared" si="11"/>
        <v>5699.6015265979158</v>
      </c>
      <c r="L29" s="345">
        <f t="shared" si="12"/>
        <v>5699.6015265979158</v>
      </c>
      <c r="M29" s="286">
        <f t="shared" si="4"/>
        <v>-14.24900381649479</v>
      </c>
      <c r="N29" s="345">
        <f t="shared" si="13"/>
        <v>5685.3525227814207</v>
      </c>
      <c r="O29" s="201">
        <v>0</v>
      </c>
      <c r="P29" s="351">
        <f t="shared" si="14"/>
        <v>5685.3525227814207</v>
      </c>
      <c r="Q29" s="203">
        <f>(4*'[2]Table 5C1V-Laf Ren'!S29)+(4*'[3]Table 5C1V-Laf Ren'!S29)</f>
        <v>18952</v>
      </c>
      <c r="R29" s="203">
        <f t="shared" si="15"/>
        <v>-13266.647477218579</v>
      </c>
      <c r="S29" s="351">
        <f t="shared" si="5"/>
        <v>-3317</v>
      </c>
      <c r="T29" s="351">
        <f t="shared" si="16"/>
        <v>5685.3525227814207</v>
      </c>
      <c r="U29" s="287">
        <f>'Table 5C1A-Madison Prep'!U29</f>
        <v>3500</v>
      </c>
      <c r="V29" s="328">
        <f t="shared" si="17"/>
        <v>0</v>
      </c>
      <c r="W29" s="289">
        <f>'[1]Oct midyear Laf Ren'!E26</f>
        <v>1</v>
      </c>
      <c r="X29" s="290">
        <f t="shared" si="18"/>
        <v>3500</v>
      </c>
      <c r="Y29" s="289">
        <f>'[1]Feb midyear Laf Ren'!E26</f>
        <v>0</v>
      </c>
      <c r="Z29" s="290">
        <f t="shared" si="19"/>
        <v>0</v>
      </c>
      <c r="AA29" s="288">
        <f t="shared" si="20"/>
        <v>3500</v>
      </c>
      <c r="AB29" s="324">
        <f t="shared" si="21"/>
        <v>3500</v>
      </c>
      <c r="AC29" s="292">
        <f t="shared" si="22"/>
        <v>-8.75</v>
      </c>
      <c r="AD29" s="324">
        <f t="shared" si="23"/>
        <v>3491.25</v>
      </c>
      <c r="AE29" s="293">
        <v>0</v>
      </c>
      <c r="AF29" s="324">
        <f t="shared" si="24"/>
        <v>3491.25</v>
      </c>
      <c r="AG29" s="293">
        <f>(4*'[2]Table 5C1V-Laf Ren'!AI29)+(4*'[3]Table 5C1V-Laf Ren'!AI29)</f>
        <v>11548</v>
      </c>
      <c r="AH29" s="293">
        <f t="shared" si="25"/>
        <v>-8056.75</v>
      </c>
      <c r="AI29" s="324">
        <f t="shared" si="6"/>
        <v>-2014</v>
      </c>
      <c r="AJ29" s="321">
        <f t="shared" si="26"/>
        <v>9176.6025227814207</v>
      </c>
      <c r="AK29" s="342">
        <f t="shared" si="27"/>
        <v>-5331</v>
      </c>
      <c r="AM29" s="286">
        <v>-147.60249999999999</v>
      </c>
      <c r="AN29" s="286">
        <f t="shared" si="28"/>
        <v>-8.75</v>
      </c>
      <c r="AO29" s="286">
        <f t="shared" si="7"/>
        <v>138.85249999999999</v>
      </c>
    </row>
    <row r="30" spans="1:41" ht="16.149999999999999" customHeight="1">
      <c r="A30" s="198">
        <v>24</v>
      </c>
      <c r="B30" s="199" t="s">
        <v>96</v>
      </c>
      <c r="C30" s="995">
        <v>0</v>
      </c>
      <c r="D30" s="201">
        <f>+'Table 5C1A-Madison Prep'!D30</f>
        <v>2611.6740361576999</v>
      </c>
      <c r="E30" s="202">
        <f t="shared" si="8"/>
        <v>0</v>
      </c>
      <c r="F30" s="202">
        <f>+'Table 5C1A-Madison Prep'!F30</f>
        <v>854.24999999999989</v>
      </c>
      <c r="G30" s="202">
        <f t="shared" si="9"/>
        <v>0</v>
      </c>
      <c r="H30" s="345">
        <f t="shared" si="10"/>
        <v>0</v>
      </c>
      <c r="I30" s="203">
        <f>'[1]Oct midyear Laf Ren'!K27</f>
        <v>0</v>
      </c>
      <c r="J30" s="203">
        <f>'[1]Feb midyear Laf Ren'!K27</f>
        <v>0</v>
      </c>
      <c r="K30" s="204">
        <f t="shared" si="11"/>
        <v>0</v>
      </c>
      <c r="L30" s="345">
        <f t="shared" si="12"/>
        <v>0</v>
      </c>
      <c r="M30" s="286">
        <f t="shared" si="4"/>
        <v>0</v>
      </c>
      <c r="N30" s="345">
        <f t="shared" si="13"/>
        <v>0</v>
      </c>
      <c r="O30" s="201">
        <v>0</v>
      </c>
      <c r="P30" s="351">
        <f t="shared" si="14"/>
        <v>0</v>
      </c>
      <c r="Q30" s="203">
        <f>(4*'[2]Table 5C1V-Laf Ren'!S30)+(4*'[3]Table 5C1V-Laf Ren'!S30)</f>
        <v>0</v>
      </c>
      <c r="R30" s="203">
        <f t="shared" si="15"/>
        <v>0</v>
      </c>
      <c r="S30" s="351">
        <f t="shared" si="5"/>
        <v>0</v>
      </c>
      <c r="T30" s="351">
        <f t="shared" si="16"/>
        <v>0</v>
      </c>
      <c r="U30" s="287">
        <f>'Table 5C1A-Madison Prep'!U30</f>
        <v>11051</v>
      </c>
      <c r="V30" s="328">
        <f t="shared" si="17"/>
        <v>0</v>
      </c>
      <c r="W30" s="289">
        <f>'[1]Oct midyear Laf Ren'!E27</f>
        <v>0</v>
      </c>
      <c r="X30" s="290">
        <f t="shared" si="18"/>
        <v>0</v>
      </c>
      <c r="Y30" s="289">
        <f>'[1]Feb midyear Laf Ren'!E27</f>
        <v>0</v>
      </c>
      <c r="Z30" s="290">
        <f t="shared" si="19"/>
        <v>0</v>
      </c>
      <c r="AA30" s="288">
        <f t="shared" si="20"/>
        <v>0</v>
      </c>
      <c r="AB30" s="324">
        <f t="shared" si="21"/>
        <v>0</v>
      </c>
      <c r="AC30" s="292">
        <f t="shared" si="22"/>
        <v>0</v>
      </c>
      <c r="AD30" s="324">
        <f t="shared" si="23"/>
        <v>0</v>
      </c>
      <c r="AE30" s="293">
        <v>0</v>
      </c>
      <c r="AF30" s="324">
        <f t="shared" si="24"/>
        <v>0</v>
      </c>
      <c r="AG30" s="293">
        <f>(4*'[2]Table 5C1V-Laf Ren'!AI30)+(4*'[3]Table 5C1V-Laf Ren'!AI30)</f>
        <v>0</v>
      </c>
      <c r="AH30" s="293">
        <f t="shared" si="25"/>
        <v>0</v>
      </c>
      <c r="AI30" s="324">
        <f t="shared" si="6"/>
        <v>0</v>
      </c>
      <c r="AJ30" s="321">
        <f t="shared" si="26"/>
        <v>0</v>
      </c>
      <c r="AK30" s="342">
        <f t="shared" si="27"/>
        <v>0</v>
      </c>
      <c r="AM30" s="286">
        <v>0</v>
      </c>
      <c r="AN30" s="286">
        <f t="shared" si="28"/>
        <v>0</v>
      </c>
      <c r="AO30" s="286">
        <f t="shared" si="7"/>
        <v>0</v>
      </c>
    </row>
    <row r="31" spans="1:41" ht="16.149999999999999" customHeight="1">
      <c r="A31" s="191">
        <v>25</v>
      </c>
      <c r="B31" s="192" t="s">
        <v>97</v>
      </c>
      <c r="C31" s="996">
        <v>0</v>
      </c>
      <c r="D31" s="194">
        <f>+'Table 5C1A-Madison Prep'!D31</f>
        <v>4173.0720274945697</v>
      </c>
      <c r="E31" s="195">
        <f t="shared" si="8"/>
        <v>0</v>
      </c>
      <c r="F31" s="195">
        <f>+'Table 5C1A-Madison Prep'!F31</f>
        <v>653.73</v>
      </c>
      <c r="G31" s="195">
        <f t="shared" si="9"/>
        <v>0</v>
      </c>
      <c r="H31" s="346">
        <f t="shared" si="10"/>
        <v>0</v>
      </c>
      <c r="I31" s="196">
        <f>'[1]Oct midyear Laf Ren'!K28</f>
        <v>0</v>
      </c>
      <c r="J31" s="196">
        <f>'[1]Feb midyear Laf Ren'!K28</f>
        <v>0</v>
      </c>
      <c r="K31" s="197">
        <f t="shared" si="11"/>
        <v>0</v>
      </c>
      <c r="L31" s="346">
        <f t="shared" si="12"/>
        <v>0</v>
      </c>
      <c r="M31" s="296">
        <f t="shared" si="4"/>
        <v>0</v>
      </c>
      <c r="N31" s="346">
        <f t="shared" si="13"/>
        <v>0</v>
      </c>
      <c r="O31" s="194">
        <v>0</v>
      </c>
      <c r="P31" s="352">
        <f t="shared" si="14"/>
        <v>0</v>
      </c>
      <c r="Q31" s="196">
        <f>(4*'[2]Table 5C1V-Laf Ren'!S31)+(4*'[3]Table 5C1V-Laf Ren'!S31)</f>
        <v>0</v>
      </c>
      <c r="R31" s="196">
        <f t="shared" si="15"/>
        <v>0</v>
      </c>
      <c r="S31" s="352">
        <f t="shared" si="5"/>
        <v>0</v>
      </c>
      <c r="T31" s="352">
        <f t="shared" si="16"/>
        <v>0</v>
      </c>
      <c r="U31" s="281">
        <f>'Table 5C1A-Madison Prep'!U31</f>
        <v>5156</v>
      </c>
      <c r="V31" s="329">
        <f t="shared" si="17"/>
        <v>0</v>
      </c>
      <c r="W31" s="884">
        <f>'[1]Oct midyear Laf Ren'!E28</f>
        <v>0</v>
      </c>
      <c r="X31" s="282">
        <f t="shared" si="18"/>
        <v>0</v>
      </c>
      <c r="Y31" s="884">
        <f>'[1]Feb midyear Laf Ren'!E28</f>
        <v>0</v>
      </c>
      <c r="Z31" s="282">
        <f t="shared" si="19"/>
        <v>0</v>
      </c>
      <c r="AA31" s="283">
        <f t="shared" si="20"/>
        <v>0</v>
      </c>
      <c r="AB31" s="325">
        <f t="shared" si="21"/>
        <v>0</v>
      </c>
      <c r="AC31" s="298">
        <f t="shared" si="22"/>
        <v>0</v>
      </c>
      <c r="AD31" s="325">
        <f t="shared" si="23"/>
        <v>0</v>
      </c>
      <c r="AE31" s="284">
        <v>0</v>
      </c>
      <c r="AF31" s="325">
        <f t="shared" si="24"/>
        <v>0</v>
      </c>
      <c r="AG31" s="284">
        <f>(4*'[2]Table 5C1V-Laf Ren'!AI31)+(4*'[3]Table 5C1V-Laf Ren'!AI31)</f>
        <v>0</v>
      </c>
      <c r="AH31" s="284">
        <f t="shared" si="25"/>
        <v>0</v>
      </c>
      <c r="AI31" s="325">
        <f t="shared" si="6"/>
        <v>0</v>
      </c>
      <c r="AJ31" s="338">
        <f t="shared" si="26"/>
        <v>0</v>
      </c>
      <c r="AK31" s="343">
        <f t="shared" si="27"/>
        <v>0</v>
      </c>
      <c r="AM31" s="296">
        <v>0</v>
      </c>
      <c r="AN31" s="296">
        <f t="shared" si="28"/>
        <v>0</v>
      </c>
      <c r="AO31" s="296">
        <f t="shared" si="7"/>
        <v>0</v>
      </c>
    </row>
    <row r="32" spans="1:41" ht="16.149999999999999" customHeight="1">
      <c r="A32" s="205">
        <v>26</v>
      </c>
      <c r="B32" s="206" t="s">
        <v>98</v>
      </c>
      <c r="C32" s="994">
        <v>0</v>
      </c>
      <c r="D32" s="208">
        <f>+'Table 5C1A-Madison Prep'!D32</f>
        <v>3424.5649970570835</v>
      </c>
      <c r="E32" s="209">
        <f t="shared" si="8"/>
        <v>0</v>
      </c>
      <c r="F32" s="209">
        <f>+'Table 5C1A-Madison Prep'!F32</f>
        <v>836.83</v>
      </c>
      <c r="G32" s="209">
        <f t="shared" si="9"/>
        <v>0</v>
      </c>
      <c r="H32" s="344">
        <f t="shared" si="10"/>
        <v>0</v>
      </c>
      <c r="I32" s="210">
        <f>'[1]Oct midyear Laf Ren'!K29</f>
        <v>0</v>
      </c>
      <c r="J32" s="210">
        <f>'[1]Feb midyear Laf Ren'!K29</f>
        <v>0</v>
      </c>
      <c r="K32" s="211">
        <f t="shared" si="11"/>
        <v>0</v>
      </c>
      <c r="L32" s="344">
        <f t="shared" si="12"/>
        <v>0</v>
      </c>
      <c r="M32" s="273">
        <f t="shared" si="4"/>
        <v>0</v>
      </c>
      <c r="N32" s="344">
        <f t="shared" si="13"/>
        <v>0</v>
      </c>
      <c r="O32" s="208">
        <v>0</v>
      </c>
      <c r="P32" s="350">
        <f t="shared" si="14"/>
        <v>0</v>
      </c>
      <c r="Q32" s="210">
        <f>(4*'[2]Table 5C1V-Laf Ren'!S32)+(4*'[3]Table 5C1V-Laf Ren'!S32)</f>
        <v>0</v>
      </c>
      <c r="R32" s="210">
        <f t="shared" si="15"/>
        <v>0</v>
      </c>
      <c r="S32" s="350">
        <f t="shared" si="5"/>
        <v>0</v>
      </c>
      <c r="T32" s="350">
        <f t="shared" si="16"/>
        <v>0</v>
      </c>
      <c r="U32" s="274">
        <f>'Table 5C1A-Madison Prep'!U32</f>
        <v>5153</v>
      </c>
      <c r="V32" s="327">
        <f t="shared" si="17"/>
        <v>0</v>
      </c>
      <c r="W32" s="883">
        <f>'[1]Oct midyear Laf Ren'!E29</f>
        <v>0</v>
      </c>
      <c r="X32" s="276">
        <f t="shared" si="18"/>
        <v>0</v>
      </c>
      <c r="Y32" s="883">
        <f>'[1]Feb midyear Laf Ren'!E29</f>
        <v>0</v>
      </c>
      <c r="Z32" s="276">
        <f t="shared" si="19"/>
        <v>0</v>
      </c>
      <c r="AA32" s="275">
        <f t="shared" si="20"/>
        <v>0</v>
      </c>
      <c r="AB32" s="323">
        <f t="shared" si="21"/>
        <v>0</v>
      </c>
      <c r="AC32" s="278">
        <f t="shared" si="22"/>
        <v>0</v>
      </c>
      <c r="AD32" s="323">
        <f t="shared" si="23"/>
        <v>0</v>
      </c>
      <c r="AE32" s="279">
        <v>0</v>
      </c>
      <c r="AF32" s="323">
        <f t="shared" si="24"/>
        <v>0</v>
      </c>
      <c r="AG32" s="279">
        <f>(4*'[2]Table 5C1V-Laf Ren'!AI32)+(4*'[3]Table 5C1V-Laf Ren'!AI32)</f>
        <v>0</v>
      </c>
      <c r="AH32" s="279">
        <f t="shared" si="25"/>
        <v>0</v>
      </c>
      <c r="AI32" s="323">
        <f t="shared" si="6"/>
        <v>0</v>
      </c>
      <c r="AJ32" s="337">
        <f t="shared" si="26"/>
        <v>0</v>
      </c>
      <c r="AK32" s="341">
        <f t="shared" si="27"/>
        <v>0</v>
      </c>
      <c r="AM32" s="273">
        <v>0</v>
      </c>
      <c r="AN32" s="273">
        <f t="shared" si="28"/>
        <v>0</v>
      </c>
      <c r="AO32" s="273">
        <f t="shared" si="7"/>
        <v>0</v>
      </c>
    </row>
    <row r="33" spans="1:41" ht="16.149999999999999" customHeight="1">
      <c r="A33" s="198">
        <v>27</v>
      </c>
      <c r="B33" s="199" t="s">
        <v>99</v>
      </c>
      <c r="C33" s="995">
        <v>0</v>
      </c>
      <c r="D33" s="201">
        <f>+'Table 5C1A-Madison Prep'!D33</f>
        <v>5804.9013839977006</v>
      </c>
      <c r="E33" s="202">
        <f t="shared" si="8"/>
        <v>0</v>
      </c>
      <c r="F33" s="202">
        <f>+'Table 5C1A-Madison Prep'!F33</f>
        <v>693.06</v>
      </c>
      <c r="G33" s="202">
        <f t="shared" si="9"/>
        <v>0</v>
      </c>
      <c r="H33" s="345">
        <f t="shared" si="10"/>
        <v>0</v>
      </c>
      <c r="I33" s="203">
        <f>'[1]Oct midyear Laf Ren'!K30</f>
        <v>6497.961383997701</v>
      </c>
      <c r="J33" s="203">
        <f>'[1]Feb midyear Laf Ren'!K30</f>
        <v>0</v>
      </c>
      <c r="K33" s="204">
        <f t="shared" si="11"/>
        <v>6497.961383997701</v>
      </c>
      <c r="L33" s="345">
        <f t="shared" si="12"/>
        <v>6497.961383997701</v>
      </c>
      <c r="M33" s="286">
        <f t="shared" si="4"/>
        <v>-16.244903459994251</v>
      </c>
      <c r="N33" s="345">
        <f t="shared" si="13"/>
        <v>6481.716480537707</v>
      </c>
      <c r="O33" s="201">
        <v>0</v>
      </c>
      <c r="P33" s="351">
        <f t="shared" si="14"/>
        <v>6481.716480537707</v>
      </c>
      <c r="Q33" s="203">
        <f>(4*'[2]Table 5C1V-Laf Ren'!S33)+(4*'[3]Table 5C1V-Laf Ren'!S33)</f>
        <v>3240</v>
      </c>
      <c r="R33" s="203">
        <f t="shared" si="15"/>
        <v>3241.716480537707</v>
      </c>
      <c r="S33" s="351">
        <f t="shared" si="5"/>
        <v>810</v>
      </c>
      <c r="T33" s="351">
        <f t="shared" si="16"/>
        <v>6481.716480537707</v>
      </c>
      <c r="U33" s="287">
        <f>'Table 5C1A-Madison Prep'!U33</f>
        <v>3225</v>
      </c>
      <c r="V33" s="328">
        <f t="shared" si="17"/>
        <v>0</v>
      </c>
      <c r="W33" s="289">
        <f>'[1]Oct midyear Laf Ren'!E30</f>
        <v>1</v>
      </c>
      <c r="X33" s="290">
        <f t="shared" si="18"/>
        <v>3225</v>
      </c>
      <c r="Y33" s="289">
        <f>'[1]Feb midyear Laf Ren'!E30</f>
        <v>0</v>
      </c>
      <c r="Z33" s="290">
        <f t="shared" si="19"/>
        <v>0</v>
      </c>
      <c r="AA33" s="288">
        <f t="shared" si="20"/>
        <v>3225</v>
      </c>
      <c r="AB33" s="324">
        <f t="shared" si="21"/>
        <v>3225</v>
      </c>
      <c r="AC33" s="292">
        <f t="shared" si="22"/>
        <v>-8.0625</v>
      </c>
      <c r="AD33" s="324">
        <f t="shared" si="23"/>
        <v>3216.9375</v>
      </c>
      <c r="AE33" s="293">
        <v>0</v>
      </c>
      <c r="AF33" s="324">
        <f t="shared" si="24"/>
        <v>3216.9375</v>
      </c>
      <c r="AG33" s="293">
        <f>(4*'[2]Table 5C1V-Laf Ren'!AI33)+(4*'[3]Table 5C1V-Laf Ren'!AI33)</f>
        <v>1580</v>
      </c>
      <c r="AH33" s="293">
        <f t="shared" si="25"/>
        <v>1636.9375</v>
      </c>
      <c r="AI33" s="324">
        <f t="shared" si="6"/>
        <v>409</v>
      </c>
      <c r="AJ33" s="321">
        <f t="shared" si="26"/>
        <v>9698.653980537707</v>
      </c>
      <c r="AK33" s="342">
        <f t="shared" si="27"/>
        <v>1219</v>
      </c>
      <c r="AM33" s="286">
        <v>0</v>
      </c>
      <c r="AN33" s="286">
        <f t="shared" si="28"/>
        <v>-8.0625</v>
      </c>
      <c r="AO33" s="286">
        <f t="shared" si="7"/>
        <v>-8.0625</v>
      </c>
    </row>
    <row r="34" spans="1:41" ht="16.149999999999999" customHeight="1">
      <c r="A34" s="198">
        <v>28</v>
      </c>
      <c r="B34" s="199" t="s">
        <v>100</v>
      </c>
      <c r="C34" s="995">
        <v>0</v>
      </c>
      <c r="D34" s="201">
        <f>+'Table 5C1A-Madison Prep'!D34</f>
        <v>3137.4158846568821</v>
      </c>
      <c r="E34" s="202">
        <f t="shared" si="8"/>
        <v>0</v>
      </c>
      <c r="F34" s="202">
        <f>+'Table 5C1A-Madison Prep'!F34</f>
        <v>694.4</v>
      </c>
      <c r="G34" s="202">
        <f t="shared" si="9"/>
        <v>0</v>
      </c>
      <c r="H34" s="345">
        <f t="shared" si="10"/>
        <v>0</v>
      </c>
      <c r="I34" s="203">
        <f>'[1]Oct midyear Laf Ren'!K31</f>
        <v>1754971.6751728521</v>
      </c>
      <c r="J34" s="203">
        <f>'[1]Feb midyear Laf Ren'!K31</f>
        <v>-44065.882673554144</v>
      </c>
      <c r="K34" s="204">
        <f t="shared" si="11"/>
        <v>1710905.792499298</v>
      </c>
      <c r="L34" s="345">
        <f t="shared" si="12"/>
        <v>1710905.792499298</v>
      </c>
      <c r="M34" s="286">
        <f t="shared" si="4"/>
        <v>-4277.2644812482449</v>
      </c>
      <c r="N34" s="345">
        <f t="shared" si="13"/>
        <v>1706628.5280180497</v>
      </c>
      <c r="O34" s="201">
        <v>0</v>
      </c>
      <c r="P34" s="351">
        <f t="shared" si="14"/>
        <v>1706628.5280180497</v>
      </c>
      <c r="Q34" s="203">
        <f>(4*'[2]Table 5C1V-Laf Ren'!S34)+(4*'[3]Table 5C1V-Laf Ren'!S34)</f>
        <v>1212288</v>
      </c>
      <c r="R34" s="203">
        <f t="shared" si="15"/>
        <v>494340.52801804966</v>
      </c>
      <c r="S34" s="351">
        <f t="shared" si="5"/>
        <v>123585</v>
      </c>
      <c r="T34" s="351">
        <f t="shared" si="16"/>
        <v>1706628.5280180497</v>
      </c>
      <c r="U34" s="287">
        <f>'Table 5C1A-Madison Prep'!U34</f>
        <v>5816</v>
      </c>
      <c r="V34" s="328">
        <f t="shared" si="17"/>
        <v>0</v>
      </c>
      <c r="W34" s="289">
        <f>'[1]Oct midyear Laf Ren'!E31</f>
        <v>458</v>
      </c>
      <c r="X34" s="290">
        <f t="shared" si="18"/>
        <v>2663728</v>
      </c>
      <c r="Y34" s="289">
        <f>'[1]Feb midyear Laf Ren'!E31</f>
        <v>-23</v>
      </c>
      <c r="Z34" s="290">
        <f t="shared" si="19"/>
        <v>-66884</v>
      </c>
      <c r="AA34" s="288">
        <f t="shared" si="20"/>
        <v>2596844</v>
      </c>
      <c r="AB34" s="324">
        <f t="shared" si="21"/>
        <v>2596844</v>
      </c>
      <c r="AC34" s="292">
        <f t="shared" si="22"/>
        <v>-6492.1100000000006</v>
      </c>
      <c r="AD34" s="324">
        <f t="shared" si="23"/>
        <v>2590351.89</v>
      </c>
      <c r="AE34" s="293">
        <v>0</v>
      </c>
      <c r="AF34" s="324">
        <f t="shared" si="24"/>
        <v>2590351.89</v>
      </c>
      <c r="AG34" s="293">
        <f>(4*'[2]Table 5C1V-Laf Ren'!AI34)+(4*'[3]Table 5C1V-Laf Ren'!AI34)</f>
        <v>1831804</v>
      </c>
      <c r="AH34" s="293">
        <f t="shared" si="25"/>
        <v>758547.89000000013</v>
      </c>
      <c r="AI34" s="324">
        <f t="shared" si="6"/>
        <v>189637</v>
      </c>
      <c r="AJ34" s="321">
        <f t="shared" si="26"/>
        <v>4296980.4180180496</v>
      </c>
      <c r="AK34" s="342">
        <f t="shared" si="27"/>
        <v>313222</v>
      </c>
      <c r="AM34" s="286">
        <v>-7657.2750000000005</v>
      </c>
      <c r="AN34" s="286">
        <f t="shared" si="28"/>
        <v>-6492.1100000000006</v>
      </c>
      <c r="AO34" s="286">
        <f>+AN34-AM34</f>
        <v>1165.165</v>
      </c>
    </row>
    <row r="35" spans="1:41" ht="16.149999999999999" customHeight="1">
      <c r="A35" s="198">
        <v>29</v>
      </c>
      <c r="B35" s="199" t="s">
        <v>101</v>
      </c>
      <c r="C35" s="995">
        <v>0</v>
      </c>
      <c r="D35" s="201">
        <f>+'Table 5C1A-Madison Prep'!D35</f>
        <v>3839.0123210173724</v>
      </c>
      <c r="E35" s="202">
        <f t="shared" si="8"/>
        <v>0</v>
      </c>
      <c r="F35" s="202">
        <f>+'Table 5C1A-Madison Prep'!F35</f>
        <v>754.94999999999993</v>
      </c>
      <c r="G35" s="202">
        <f t="shared" si="9"/>
        <v>0</v>
      </c>
      <c r="H35" s="345">
        <f t="shared" si="10"/>
        <v>0</v>
      </c>
      <c r="I35" s="203">
        <f>'[1]Oct midyear Laf Ren'!K32</f>
        <v>0</v>
      </c>
      <c r="J35" s="203">
        <f>'[1]Feb midyear Laf Ren'!K32</f>
        <v>0</v>
      </c>
      <c r="K35" s="204">
        <f t="shared" si="11"/>
        <v>0</v>
      </c>
      <c r="L35" s="345">
        <f t="shared" si="12"/>
        <v>0</v>
      </c>
      <c r="M35" s="286">
        <f t="shared" si="4"/>
        <v>0</v>
      </c>
      <c r="N35" s="345">
        <f t="shared" si="13"/>
        <v>0</v>
      </c>
      <c r="O35" s="201">
        <v>0</v>
      </c>
      <c r="P35" s="351">
        <f t="shared" si="14"/>
        <v>0</v>
      </c>
      <c r="Q35" s="203">
        <f>(4*'[2]Table 5C1V-Laf Ren'!S35)+(4*'[3]Table 5C1V-Laf Ren'!S35)</f>
        <v>0</v>
      </c>
      <c r="R35" s="203">
        <f t="shared" si="15"/>
        <v>0</v>
      </c>
      <c r="S35" s="351">
        <f t="shared" si="5"/>
        <v>0</v>
      </c>
      <c r="T35" s="351">
        <f t="shared" si="16"/>
        <v>0</v>
      </c>
      <c r="U35" s="287">
        <f>'Table 5C1A-Madison Prep'!U35</f>
        <v>5046</v>
      </c>
      <c r="V35" s="328">
        <f t="shared" si="17"/>
        <v>0</v>
      </c>
      <c r="W35" s="289">
        <f>'[1]Oct midyear Laf Ren'!E32</f>
        <v>0</v>
      </c>
      <c r="X35" s="290">
        <f t="shared" si="18"/>
        <v>0</v>
      </c>
      <c r="Y35" s="289">
        <f>'[1]Feb midyear Laf Ren'!E32</f>
        <v>0</v>
      </c>
      <c r="Z35" s="290">
        <f t="shared" si="19"/>
        <v>0</v>
      </c>
      <c r="AA35" s="288">
        <f t="shared" si="20"/>
        <v>0</v>
      </c>
      <c r="AB35" s="324">
        <f t="shared" si="21"/>
        <v>0</v>
      </c>
      <c r="AC35" s="292">
        <f t="shared" si="22"/>
        <v>0</v>
      </c>
      <c r="AD35" s="324">
        <f t="shared" si="23"/>
        <v>0</v>
      </c>
      <c r="AE35" s="293">
        <v>0</v>
      </c>
      <c r="AF35" s="324">
        <f t="shared" si="24"/>
        <v>0</v>
      </c>
      <c r="AG35" s="293">
        <f>(4*'[2]Table 5C1V-Laf Ren'!AI35)+(4*'[3]Table 5C1V-Laf Ren'!AI35)</f>
        <v>0</v>
      </c>
      <c r="AH35" s="293">
        <f t="shared" si="25"/>
        <v>0</v>
      </c>
      <c r="AI35" s="324">
        <f t="shared" si="6"/>
        <v>0</v>
      </c>
      <c r="AJ35" s="321">
        <f t="shared" si="26"/>
        <v>0</v>
      </c>
      <c r="AK35" s="342">
        <f t="shared" si="27"/>
        <v>0</v>
      </c>
      <c r="AM35" s="286">
        <v>0</v>
      </c>
      <c r="AN35" s="286">
        <f t="shared" si="28"/>
        <v>0</v>
      </c>
      <c r="AO35" s="286">
        <f t="shared" ref="AO35:AO75" si="29">+AN35-AM35</f>
        <v>0</v>
      </c>
    </row>
    <row r="36" spans="1:41" ht="16.149999999999999" customHeight="1">
      <c r="A36" s="191">
        <v>30</v>
      </c>
      <c r="B36" s="192" t="s">
        <v>102</v>
      </c>
      <c r="C36" s="996">
        <v>0</v>
      </c>
      <c r="D36" s="194">
        <f>+'Table 5C1A-Madison Prep'!D36</f>
        <v>5804.5327273996763</v>
      </c>
      <c r="E36" s="195">
        <f t="shared" si="8"/>
        <v>0</v>
      </c>
      <c r="F36" s="195">
        <f>+'Table 5C1A-Madison Prep'!F36</f>
        <v>727.17</v>
      </c>
      <c r="G36" s="195">
        <f t="shared" si="9"/>
        <v>0</v>
      </c>
      <c r="H36" s="346">
        <f t="shared" si="10"/>
        <v>0</v>
      </c>
      <c r="I36" s="196">
        <f>'[1]Oct midyear Laf Ren'!K33</f>
        <v>0</v>
      </c>
      <c r="J36" s="196">
        <f>'[1]Feb midyear Laf Ren'!K33</f>
        <v>0</v>
      </c>
      <c r="K36" s="197">
        <f t="shared" si="11"/>
        <v>0</v>
      </c>
      <c r="L36" s="346">
        <f t="shared" si="12"/>
        <v>0</v>
      </c>
      <c r="M36" s="296">
        <f t="shared" si="4"/>
        <v>0</v>
      </c>
      <c r="N36" s="346">
        <f t="shared" si="13"/>
        <v>0</v>
      </c>
      <c r="O36" s="194">
        <v>0</v>
      </c>
      <c r="P36" s="352">
        <f t="shared" si="14"/>
        <v>0</v>
      </c>
      <c r="Q36" s="196">
        <f>(4*'[2]Table 5C1V-Laf Ren'!S36)+(4*'[3]Table 5C1V-Laf Ren'!S36)</f>
        <v>0</v>
      </c>
      <c r="R36" s="196">
        <f t="shared" si="15"/>
        <v>0</v>
      </c>
      <c r="S36" s="352">
        <f t="shared" si="5"/>
        <v>0</v>
      </c>
      <c r="T36" s="352">
        <f t="shared" si="16"/>
        <v>0</v>
      </c>
      <c r="U36" s="281">
        <f>'Table 5C1A-Madison Prep'!U36</f>
        <v>3999</v>
      </c>
      <c r="V36" s="329">
        <f t="shared" si="17"/>
        <v>0</v>
      </c>
      <c r="W36" s="884">
        <f>'[1]Oct midyear Laf Ren'!E33</f>
        <v>0</v>
      </c>
      <c r="X36" s="282">
        <f t="shared" si="18"/>
        <v>0</v>
      </c>
      <c r="Y36" s="884">
        <f>'[1]Feb midyear Laf Ren'!E33</f>
        <v>0</v>
      </c>
      <c r="Z36" s="282">
        <f t="shared" si="19"/>
        <v>0</v>
      </c>
      <c r="AA36" s="283">
        <f t="shared" si="20"/>
        <v>0</v>
      </c>
      <c r="AB36" s="325">
        <f t="shared" si="21"/>
        <v>0</v>
      </c>
      <c r="AC36" s="298">
        <f t="shared" si="22"/>
        <v>0</v>
      </c>
      <c r="AD36" s="325">
        <f t="shared" si="23"/>
        <v>0</v>
      </c>
      <c r="AE36" s="284">
        <v>0</v>
      </c>
      <c r="AF36" s="325">
        <f t="shared" si="24"/>
        <v>0</v>
      </c>
      <c r="AG36" s="284">
        <f>(4*'[2]Table 5C1V-Laf Ren'!AI36)+(4*'[3]Table 5C1V-Laf Ren'!AI36)</f>
        <v>0</v>
      </c>
      <c r="AH36" s="284">
        <f t="shared" si="25"/>
        <v>0</v>
      </c>
      <c r="AI36" s="325">
        <f t="shared" si="6"/>
        <v>0</v>
      </c>
      <c r="AJ36" s="338">
        <f t="shared" si="26"/>
        <v>0</v>
      </c>
      <c r="AK36" s="343">
        <f t="shared" si="27"/>
        <v>0</v>
      </c>
      <c r="AM36" s="296">
        <v>0</v>
      </c>
      <c r="AN36" s="296">
        <f t="shared" si="28"/>
        <v>0</v>
      </c>
      <c r="AO36" s="296">
        <f t="shared" si="29"/>
        <v>0</v>
      </c>
    </row>
    <row r="37" spans="1:41" ht="16.149999999999999" customHeight="1">
      <c r="A37" s="205">
        <v>31</v>
      </c>
      <c r="B37" s="206" t="s">
        <v>103</v>
      </c>
      <c r="C37" s="994">
        <v>0</v>
      </c>
      <c r="D37" s="208">
        <f>+'Table 5C1A-Madison Prep'!D37</f>
        <v>4520.6176716868531</v>
      </c>
      <c r="E37" s="209">
        <f t="shared" si="8"/>
        <v>0</v>
      </c>
      <c r="F37" s="209">
        <f>+'Table 5C1A-Madison Prep'!F37</f>
        <v>620.83000000000004</v>
      </c>
      <c r="G37" s="209">
        <f t="shared" si="9"/>
        <v>0</v>
      </c>
      <c r="H37" s="344">
        <f t="shared" si="10"/>
        <v>0</v>
      </c>
      <c r="I37" s="210">
        <f>'[1]Oct midyear Laf Ren'!K34</f>
        <v>0</v>
      </c>
      <c r="J37" s="210">
        <f>'[1]Feb midyear Laf Ren'!K34</f>
        <v>0</v>
      </c>
      <c r="K37" s="211">
        <f t="shared" si="11"/>
        <v>0</v>
      </c>
      <c r="L37" s="344">
        <f t="shared" si="12"/>
        <v>0</v>
      </c>
      <c r="M37" s="273">
        <f t="shared" si="4"/>
        <v>0</v>
      </c>
      <c r="N37" s="344">
        <f t="shared" si="13"/>
        <v>0</v>
      </c>
      <c r="O37" s="208">
        <v>0</v>
      </c>
      <c r="P37" s="350">
        <f t="shared" si="14"/>
        <v>0</v>
      </c>
      <c r="Q37" s="210">
        <f>(4*'[2]Table 5C1V-Laf Ren'!S37)+(4*'[3]Table 5C1V-Laf Ren'!S37)</f>
        <v>0</v>
      </c>
      <c r="R37" s="210">
        <f t="shared" si="15"/>
        <v>0</v>
      </c>
      <c r="S37" s="350">
        <f t="shared" si="5"/>
        <v>0</v>
      </c>
      <c r="T37" s="350">
        <f t="shared" si="16"/>
        <v>0</v>
      </c>
      <c r="U37" s="274">
        <f>'Table 5C1A-Madison Prep'!U37</f>
        <v>5028</v>
      </c>
      <c r="V37" s="327">
        <f t="shared" si="17"/>
        <v>0</v>
      </c>
      <c r="W37" s="883">
        <f>'[1]Oct midyear Laf Ren'!E34</f>
        <v>0</v>
      </c>
      <c r="X37" s="276">
        <f t="shared" si="18"/>
        <v>0</v>
      </c>
      <c r="Y37" s="883">
        <f>'[1]Feb midyear Laf Ren'!E34</f>
        <v>0</v>
      </c>
      <c r="Z37" s="276">
        <f t="shared" si="19"/>
        <v>0</v>
      </c>
      <c r="AA37" s="275">
        <f t="shared" si="20"/>
        <v>0</v>
      </c>
      <c r="AB37" s="323">
        <f t="shared" si="21"/>
        <v>0</v>
      </c>
      <c r="AC37" s="278">
        <f t="shared" si="22"/>
        <v>0</v>
      </c>
      <c r="AD37" s="323">
        <f t="shared" si="23"/>
        <v>0</v>
      </c>
      <c r="AE37" s="279">
        <v>0</v>
      </c>
      <c r="AF37" s="323">
        <f t="shared" si="24"/>
        <v>0</v>
      </c>
      <c r="AG37" s="279">
        <f>(4*'[2]Table 5C1V-Laf Ren'!AI37)+(4*'[3]Table 5C1V-Laf Ren'!AI37)</f>
        <v>0</v>
      </c>
      <c r="AH37" s="279">
        <f t="shared" si="25"/>
        <v>0</v>
      </c>
      <c r="AI37" s="323">
        <f t="shared" si="6"/>
        <v>0</v>
      </c>
      <c r="AJ37" s="337">
        <f t="shared" si="26"/>
        <v>0</v>
      </c>
      <c r="AK37" s="341">
        <f t="shared" si="27"/>
        <v>0</v>
      </c>
      <c r="AM37" s="273">
        <v>0</v>
      </c>
      <c r="AN37" s="273">
        <f t="shared" si="28"/>
        <v>0</v>
      </c>
      <c r="AO37" s="273">
        <f t="shared" si="29"/>
        <v>0</v>
      </c>
    </row>
    <row r="38" spans="1:41" ht="16.149999999999999" customHeight="1">
      <c r="A38" s="198">
        <v>32</v>
      </c>
      <c r="B38" s="199" t="s">
        <v>104</v>
      </c>
      <c r="C38" s="995">
        <v>0</v>
      </c>
      <c r="D38" s="201">
        <f>+'Table 5C1A-Madison Prep'!D38</f>
        <v>5652.819189061127</v>
      </c>
      <c r="E38" s="202">
        <f t="shared" si="8"/>
        <v>0</v>
      </c>
      <c r="F38" s="202">
        <f>+'Table 5C1A-Madison Prep'!F38</f>
        <v>559.77</v>
      </c>
      <c r="G38" s="202">
        <f t="shared" si="9"/>
        <v>0</v>
      </c>
      <c r="H38" s="345">
        <f t="shared" si="10"/>
        <v>0</v>
      </c>
      <c r="I38" s="203">
        <f>'[1]Oct midyear Laf Ren'!K35</f>
        <v>0</v>
      </c>
      <c r="J38" s="203">
        <f>'[1]Feb midyear Laf Ren'!K35</f>
        <v>0</v>
      </c>
      <c r="K38" s="204">
        <f t="shared" si="11"/>
        <v>0</v>
      </c>
      <c r="L38" s="345">
        <f t="shared" si="12"/>
        <v>0</v>
      </c>
      <c r="M38" s="286">
        <f t="shared" si="4"/>
        <v>0</v>
      </c>
      <c r="N38" s="345">
        <f t="shared" si="13"/>
        <v>0</v>
      </c>
      <c r="O38" s="201">
        <v>0</v>
      </c>
      <c r="P38" s="351">
        <f t="shared" si="14"/>
        <v>0</v>
      </c>
      <c r="Q38" s="203">
        <f>(4*'[2]Table 5C1V-Laf Ren'!S38)+(4*'[3]Table 5C1V-Laf Ren'!S38)</f>
        <v>0</v>
      </c>
      <c r="R38" s="203">
        <f t="shared" si="15"/>
        <v>0</v>
      </c>
      <c r="S38" s="351">
        <f t="shared" si="5"/>
        <v>0</v>
      </c>
      <c r="T38" s="351">
        <f t="shared" si="16"/>
        <v>0</v>
      </c>
      <c r="U38" s="287">
        <f>'Table 5C1A-Madison Prep'!U38</f>
        <v>2139</v>
      </c>
      <c r="V38" s="328">
        <f t="shared" si="17"/>
        <v>0</v>
      </c>
      <c r="W38" s="289">
        <f>'[1]Oct midyear Laf Ren'!E35</f>
        <v>0</v>
      </c>
      <c r="X38" s="290">
        <f t="shared" si="18"/>
        <v>0</v>
      </c>
      <c r="Y38" s="289">
        <f>'[1]Feb midyear Laf Ren'!E35</f>
        <v>0</v>
      </c>
      <c r="Z38" s="290">
        <f t="shared" si="19"/>
        <v>0</v>
      </c>
      <c r="AA38" s="288">
        <f t="shared" si="20"/>
        <v>0</v>
      </c>
      <c r="AB38" s="324">
        <f t="shared" si="21"/>
        <v>0</v>
      </c>
      <c r="AC38" s="292">
        <f t="shared" si="22"/>
        <v>0</v>
      </c>
      <c r="AD38" s="324">
        <f t="shared" si="23"/>
        <v>0</v>
      </c>
      <c r="AE38" s="293">
        <v>0</v>
      </c>
      <c r="AF38" s="324">
        <f t="shared" si="24"/>
        <v>0</v>
      </c>
      <c r="AG38" s="293">
        <f>(4*'[2]Table 5C1V-Laf Ren'!AI38)+(4*'[3]Table 5C1V-Laf Ren'!AI38)</f>
        <v>0</v>
      </c>
      <c r="AH38" s="293">
        <f t="shared" si="25"/>
        <v>0</v>
      </c>
      <c r="AI38" s="324">
        <f t="shared" si="6"/>
        <v>0</v>
      </c>
      <c r="AJ38" s="321">
        <f t="shared" si="26"/>
        <v>0</v>
      </c>
      <c r="AK38" s="342">
        <f t="shared" si="27"/>
        <v>0</v>
      </c>
      <c r="AM38" s="286">
        <v>0</v>
      </c>
      <c r="AN38" s="286">
        <f t="shared" si="28"/>
        <v>0</v>
      </c>
      <c r="AO38" s="286">
        <f t="shared" si="29"/>
        <v>0</v>
      </c>
    </row>
    <row r="39" spans="1:41" ht="16.149999999999999" customHeight="1">
      <c r="A39" s="198">
        <v>33</v>
      </c>
      <c r="B39" s="199" t="s">
        <v>105</v>
      </c>
      <c r="C39" s="995">
        <v>0</v>
      </c>
      <c r="D39" s="201">
        <f>+'Table 5C1A-Madison Prep'!D39</f>
        <v>5456.2254558085233</v>
      </c>
      <c r="E39" s="202">
        <f t="shared" si="8"/>
        <v>0</v>
      </c>
      <c r="F39" s="202">
        <f>+'Table 5C1A-Madison Prep'!F39</f>
        <v>655.31000000000006</v>
      </c>
      <c r="G39" s="202">
        <f t="shared" si="9"/>
        <v>0</v>
      </c>
      <c r="H39" s="345">
        <f t="shared" si="10"/>
        <v>0</v>
      </c>
      <c r="I39" s="203">
        <f>'[1]Oct midyear Laf Ren'!K36</f>
        <v>0</v>
      </c>
      <c r="J39" s="203">
        <f>'[1]Feb midyear Laf Ren'!K36</f>
        <v>0</v>
      </c>
      <c r="K39" s="204">
        <f t="shared" si="11"/>
        <v>0</v>
      </c>
      <c r="L39" s="345">
        <f t="shared" si="12"/>
        <v>0</v>
      </c>
      <c r="M39" s="286">
        <f t="shared" si="4"/>
        <v>0</v>
      </c>
      <c r="N39" s="345">
        <f t="shared" si="13"/>
        <v>0</v>
      </c>
      <c r="O39" s="201">
        <v>0</v>
      </c>
      <c r="P39" s="351">
        <f t="shared" si="14"/>
        <v>0</v>
      </c>
      <c r="Q39" s="203">
        <f>(4*'[2]Table 5C1V-Laf Ren'!S39)+(4*'[3]Table 5C1V-Laf Ren'!S39)</f>
        <v>0</v>
      </c>
      <c r="R39" s="203">
        <f t="shared" si="15"/>
        <v>0</v>
      </c>
      <c r="S39" s="351">
        <f t="shared" ref="S39:S70" si="30">ROUND(R39/$S$88,0)</f>
        <v>0</v>
      </c>
      <c r="T39" s="351">
        <f t="shared" si="16"/>
        <v>0</v>
      </c>
      <c r="U39" s="287">
        <f>'Table 5C1A-Madison Prep'!U39</f>
        <v>3784</v>
      </c>
      <c r="V39" s="328">
        <f t="shared" si="17"/>
        <v>0</v>
      </c>
      <c r="W39" s="289">
        <f>'[1]Oct midyear Laf Ren'!E36</f>
        <v>0</v>
      </c>
      <c r="X39" s="290">
        <f t="shared" si="18"/>
        <v>0</v>
      </c>
      <c r="Y39" s="289">
        <f>'[1]Feb midyear Laf Ren'!E36</f>
        <v>0</v>
      </c>
      <c r="Z39" s="290">
        <f t="shared" si="19"/>
        <v>0</v>
      </c>
      <c r="AA39" s="288">
        <f t="shared" si="20"/>
        <v>0</v>
      </c>
      <c r="AB39" s="324">
        <f t="shared" si="21"/>
        <v>0</v>
      </c>
      <c r="AC39" s="292">
        <f t="shared" si="22"/>
        <v>0</v>
      </c>
      <c r="AD39" s="324">
        <f t="shared" si="23"/>
        <v>0</v>
      </c>
      <c r="AE39" s="293">
        <v>0</v>
      </c>
      <c r="AF39" s="324">
        <f t="shared" si="24"/>
        <v>0</v>
      </c>
      <c r="AG39" s="293">
        <f>(4*'[2]Table 5C1V-Laf Ren'!AI39)+(4*'[3]Table 5C1V-Laf Ren'!AI39)</f>
        <v>0</v>
      </c>
      <c r="AH39" s="293">
        <f t="shared" si="25"/>
        <v>0</v>
      </c>
      <c r="AI39" s="324">
        <f t="shared" ref="AI39:AI70" si="31">ROUND(AH39/$AI$88,0)</f>
        <v>0</v>
      </c>
      <c r="AJ39" s="321">
        <f t="shared" si="26"/>
        <v>0</v>
      </c>
      <c r="AK39" s="342">
        <f t="shared" si="27"/>
        <v>0</v>
      </c>
      <c r="AM39" s="286">
        <v>0</v>
      </c>
      <c r="AN39" s="286">
        <f t="shared" si="28"/>
        <v>0</v>
      </c>
      <c r="AO39" s="286">
        <f t="shared" si="29"/>
        <v>0</v>
      </c>
    </row>
    <row r="40" spans="1:41" ht="16.149999999999999" customHeight="1">
      <c r="A40" s="198">
        <v>34</v>
      </c>
      <c r="B40" s="199" t="s">
        <v>106</v>
      </c>
      <c r="C40" s="995">
        <v>0</v>
      </c>
      <c r="D40" s="201">
        <f>+'Table 5C1A-Madison Prep'!D40</f>
        <v>6292.0976842789005</v>
      </c>
      <c r="E40" s="202">
        <f t="shared" si="8"/>
        <v>0</v>
      </c>
      <c r="F40" s="202">
        <f>+'Table 5C1A-Madison Prep'!F40</f>
        <v>644.11000000000013</v>
      </c>
      <c r="G40" s="202">
        <f t="shared" si="9"/>
        <v>0</v>
      </c>
      <c r="H40" s="345">
        <f t="shared" si="10"/>
        <v>0</v>
      </c>
      <c r="I40" s="203">
        <f>'[1]Oct midyear Laf Ren'!K37</f>
        <v>0</v>
      </c>
      <c r="J40" s="203">
        <f>'[1]Feb midyear Laf Ren'!K37</f>
        <v>0</v>
      </c>
      <c r="K40" s="204">
        <f t="shared" si="11"/>
        <v>0</v>
      </c>
      <c r="L40" s="345">
        <f t="shared" si="12"/>
        <v>0</v>
      </c>
      <c r="M40" s="286">
        <f t="shared" si="4"/>
        <v>0</v>
      </c>
      <c r="N40" s="345">
        <f t="shared" si="13"/>
        <v>0</v>
      </c>
      <c r="O40" s="201">
        <v>0</v>
      </c>
      <c r="P40" s="351">
        <f t="shared" si="14"/>
        <v>0</v>
      </c>
      <c r="Q40" s="203">
        <f>(4*'[2]Table 5C1V-Laf Ren'!S40)+(4*'[3]Table 5C1V-Laf Ren'!S40)</f>
        <v>0</v>
      </c>
      <c r="R40" s="203">
        <f t="shared" si="15"/>
        <v>0</v>
      </c>
      <c r="S40" s="351">
        <f t="shared" si="30"/>
        <v>0</v>
      </c>
      <c r="T40" s="351">
        <f t="shared" si="16"/>
        <v>0</v>
      </c>
      <c r="U40" s="287">
        <f>'Table 5C1A-Madison Prep'!U40</f>
        <v>2911</v>
      </c>
      <c r="V40" s="328">
        <f t="shared" si="17"/>
        <v>0</v>
      </c>
      <c r="W40" s="289">
        <f>'[1]Oct midyear Laf Ren'!E37</f>
        <v>0</v>
      </c>
      <c r="X40" s="290">
        <f t="shared" si="18"/>
        <v>0</v>
      </c>
      <c r="Y40" s="289">
        <f>'[1]Feb midyear Laf Ren'!E37</f>
        <v>0</v>
      </c>
      <c r="Z40" s="290">
        <f t="shared" si="19"/>
        <v>0</v>
      </c>
      <c r="AA40" s="288">
        <f t="shared" si="20"/>
        <v>0</v>
      </c>
      <c r="AB40" s="324">
        <f t="shared" si="21"/>
        <v>0</v>
      </c>
      <c r="AC40" s="292">
        <f t="shared" si="22"/>
        <v>0</v>
      </c>
      <c r="AD40" s="324">
        <f t="shared" si="23"/>
        <v>0</v>
      </c>
      <c r="AE40" s="293">
        <v>0</v>
      </c>
      <c r="AF40" s="324">
        <f t="shared" si="24"/>
        <v>0</v>
      </c>
      <c r="AG40" s="293">
        <f>(4*'[2]Table 5C1V-Laf Ren'!AI40)+(4*'[3]Table 5C1V-Laf Ren'!AI40)</f>
        <v>0</v>
      </c>
      <c r="AH40" s="293">
        <f t="shared" si="25"/>
        <v>0</v>
      </c>
      <c r="AI40" s="324">
        <f t="shared" si="31"/>
        <v>0</v>
      </c>
      <c r="AJ40" s="321">
        <f t="shared" si="26"/>
        <v>0</v>
      </c>
      <c r="AK40" s="342">
        <f t="shared" si="27"/>
        <v>0</v>
      </c>
      <c r="AM40" s="286">
        <v>0</v>
      </c>
      <c r="AN40" s="286">
        <f t="shared" si="28"/>
        <v>0</v>
      </c>
      <c r="AO40" s="286">
        <f t="shared" si="29"/>
        <v>0</v>
      </c>
    </row>
    <row r="41" spans="1:41" ht="16.149999999999999" customHeight="1">
      <c r="A41" s="191">
        <v>35</v>
      </c>
      <c r="B41" s="192" t="s">
        <v>107</v>
      </c>
      <c r="C41" s="996">
        <v>0</v>
      </c>
      <c r="D41" s="194">
        <f>+'Table 5C1A-Madison Prep'!D41</f>
        <v>5166.2482060477605</v>
      </c>
      <c r="E41" s="195">
        <f t="shared" si="8"/>
        <v>0</v>
      </c>
      <c r="F41" s="195">
        <f>+'Table 5C1A-Madison Prep'!F41</f>
        <v>537.96</v>
      </c>
      <c r="G41" s="195">
        <f t="shared" si="9"/>
        <v>0</v>
      </c>
      <c r="H41" s="346">
        <f t="shared" si="10"/>
        <v>0</v>
      </c>
      <c r="I41" s="196">
        <f>'[1]Oct midyear Laf Ren'!K38</f>
        <v>0</v>
      </c>
      <c r="J41" s="196">
        <f>'[1]Feb midyear Laf Ren'!K38</f>
        <v>0</v>
      </c>
      <c r="K41" s="197">
        <f t="shared" si="11"/>
        <v>0</v>
      </c>
      <c r="L41" s="346">
        <f t="shared" si="12"/>
        <v>0</v>
      </c>
      <c r="M41" s="296">
        <f t="shared" si="4"/>
        <v>0</v>
      </c>
      <c r="N41" s="346">
        <f t="shared" si="13"/>
        <v>0</v>
      </c>
      <c r="O41" s="194">
        <v>0</v>
      </c>
      <c r="P41" s="352">
        <f t="shared" si="14"/>
        <v>0</v>
      </c>
      <c r="Q41" s="196">
        <f>(4*'[2]Table 5C1V-Laf Ren'!S41)+(4*'[3]Table 5C1V-Laf Ren'!S41)</f>
        <v>0</v>
      </c>
      <c r="R41" s="196">
        <f t="shared" si="15"/>
        <v>0</v>
      </c>
      <c r="S41" s="352">
        <f t="shared" si="30"/>
        <v>0</v>
      </c>
      <c r="T41" s="352">
        <f t="shared" si="16"/>
        <v>0</v>
      </c>
      <c r="U41" s="281">
        <f>'Table 5C1A-Madison Prep'!U41</f>
        <v>3337</v>
      </c>
      <c r="V41" s="329">
        <f t="shared" si="17"/>
        <v>0</v>
      </c>
      <c r="W41" s="884">
        <f>'[1]Oct midyear Laf Ren'!E38</f>
        <v>0</v>
      </c>
      <c r="X41" s="282">
        <f t="shared" si="18"/>
        <v>0</v>
      </c>
      <c r="Y41" s="884">
        <f>'[1]Feb midyear Laf Ren'!E38</f>
        <v>0</v>
      </c>
      <c r="Z41" s="282">
        <f t="shared" si="19"/>
        <v>0</v>
      </c>
      <c r="AA41" s="283">
        <f t="shared" si="20"/>
        <v>0</v>
      </c>
      <c r="AB41" s="325">
        <f t="shared" si="21"/>
        <v>0</v>
      </c>
      <c r="AC41" s="298">
        <f t="shared" si="22"/>
        <v>0</v>
      </c>
      <c r="AD41" s="325">
        <f t="shared" si="23"/>
        <v>0</v>
      </c>
      <c r="AE41" s="284">
        <v>0</v>
      </c>
      <c r="AF41" s="325">
        <f t="shared" si="24"/>
        <v>0</v>
      </c>
      <c r="AG41" s="284">
        <f>(4*'[2]Table 5C1V-Laf Ren'!AI41)+(4*'[3]Table 5C1V-Laf Ren'!AI41)</f>
        <v>0</v>
      </c>
      <c r="AH41" s="284">
        <f t="shared" si="25"/>
        <v>0</v>
      </c>
      <c r="AI41" s="325">
        <f t="shared" si="31"/>
        <v>0</v>
      </c>
      <c r="AJ41" s="338">
        <f t="shared" si="26"/>
        <v>0</v>
      </c>
      <c r="AK41" s="343">
        <f t="shared" si="27"/>
        <v>0</v>
      </c>
      <c r="AM41" s="296">
        <v>0</v>
      </c>
      <c r="AN41" s="296">
        <f t="shared" si="28"/>
        <v>0</v>
      </c>
      <c r="AO41" s="296">
        <f t="shared" si="29"/>
        <v>0</v>
      </c>
    </row>
    <row r="42" spans="1:41" ht="16.149999999999999" customHeight="1">
      <c r="A42" s="205">
        <v>36</v>
      </c>
      <c r="B42" s="206" t="s">
        <v>108</v>
      </c>
      <c r="C42" s="994">
        <v>0</v>
      </c>
      <c r="D42" s="208">
        <f>+'Table 5C1A-Madison Prep'!D42</f>
        <v>3602.7009974327857</v>
      </c>
      <c r="E42" s="209">
        <f t="shared" si="8"/>
        <v>0</v>
      </c>
      <c r="F42" s="209">
        <f>+'Table 5C1A-Madison Prep'!F42</f>
        <v>746.0335616438357</v>
      </c>
      <c r="G42" s="209">
        <f t="shared" si="9"/>
        <v>0</v>
      </c>
      <c r="H42" s="344">
        <f t="shared" si="10"/>
        <v>0</v>
      </c>
      <c r="I42" s="210">
        <f>'[1]Oct midyear Laf Ren'!K39</f>
        <v>0</v>
      </c>
      <c r="J42" s="210">
        <f>'[1]Feb midyear Laf Ren'!K39</f>
        <v>0</v>
      </c>
      <c r="K42" s="211">
        <f t="shared" si="11"/>
        <v>0</v>
      </c>
      <c r="L42" s="344">
        <f t="shared" si="12"/>
        <v>0</v>
      </c>
      <c r="M42" s="273">
        <f t="shared" si="4"/>
        <v>0</v>
      </c>
      <c r="N42" s="344">
        <f t="shared" si="13"/>
        <v>0</v>
      </c>
      <c r="O42" s="208">
        <v>0</v>
      </c>
      <c r="P42" s="350">
        <f t="shared" si="14"/>
        <v>0</v>
      </c>
      <c r="Q42" s="210">
        <f>(4*'[2]Table 5C1V-Laf Ren'!S42)+(4*'[3]Table 5C1V-Laf Ren'!S42)</f>
        <v>0</v>
      </c>
      <c r="R42" s="210">
        <f t="shared" si="15"/>
        <v>0</v>
      </c>
      <c r="S42" s="350">
        <f t="shared" si="30"/>
        <v>0</v>
      </c>
      <c r="T42" s="350">
        <f t="shared" si="16"/>
        <v>0</v>
      </c>
      <c r="U42" s="274">
        <f>'Table 5C1A-Madison Prep'!U42</f>
        <v>5469</v>
      </c>
      <c r="V42" s="327">
        <f t="shared" si="17"/>
        <v>0</v>
      </c>
      <c r="W42" s="883">
        <f>'[1]Oct midyear Laf Ren'!E39</f>
        <v>0</v>
      </c>
      <c r="X42" s="276">
        <f t="shared" si="18"/>
        <v>0</v>
      </c>
      <c r="Y42" s="883">
        <f>'[1]Feb midyear Laf Ren'!E39</f>
        <v>0</v>
      </c>
      <c r="Z42" s="276">
        <f t="shared" si="19"/>
        <v>0</v>
      </c>
      <c r="AA42" s="275">
        <f t="shared" si="20"/>
        <v>0</v>
      </c>
      <c r="AB42" s="323">
        <f t="shared" si="21"/>
        <v>0</v>
      </c>
      <c r="AC42" s="278">
        <f t="shared" si="22"/>
        <v>0</v>
      </c>
      <c r="AD42" s="323">
        <f t="shared" si="23"/>
        <v>0</v>
      </c>
      <c r="AE42" s="279">
        <v>0</v>
      </c>
      <c r="AF42" s="323">
        <f t="shared" si="24"/>
        <v>0</v>
      </c>
      <c r="AG42" s="279">
        <f>(4*'[2]Table 5C1V-Laf Ren'!AI42)+(4*'[3]Table 5C1V-Laf Ren'!AI42)</f>
        <v>0</v>
      </c>
      <c r="AH42" s="279">
        <f t="shared" si="25"/>
        <v>0</v>
      </c>
      <c r="AI42" s="323">
        <f t="shared" si="31"/>
        <v>0</v>
      </c>
      <c r="AJ42" s="337">
        <f t="shared" si="26"/>
        <v>0</v>
      </c>
      <c r="AK42" s="341">
        <f t="shared" si="27"/>
        <v>0</v>
      </c>
      <c r="AM42" s="273">
        <v>0</v>
      </c>
      <c r="AN42" s="273">
        <f t="shared" si="28"/>
        <v>0</v>
      </c>
      <c r="AO42" s="273">
        <f t="shared" si="29"/>
        <v>0</v>
      </c>
    </row>
    <row r="43" spans="1:41" ht="16.149999999999999" customHeight="1">
      <c r="A43" s="198">
        <v>37</v>
      </c>
      <c r="B43" s="199" t="s">
        <v>109</v>
      </c>
      <c r="C43" s="995">
        <v>0</v>
      </c>
      <c r="D43" s="201">
        <f>+'Table 5C1A-Madison Prep'!D43</f>
        <v>5665.3839260317691</v>
      </c>
      <c r="E43" s="202">
        <f t="shared" si="8"/>
        <v>0</v>
      </c>
      <c r="F43" s="202">
        <f>+'Table 5C1A-Madison Prep'!F43</f>
        <v>653.61</v>
      </c>
      <c r="G43" s="202">
        <f t="shared" si="9"/>
        <v>0</v>
      </c>
      <c r="H43" s="345">
        <f t="shared" si="10"/>
        <v>0</v>
      </c>
      <c r="I43" s="203">
        <f>'[1]Oct midyear Laf Ren'!K40</f>
        <v>0</v>
      </c>
      <c r="J43" s="203">
        <f>'[1]Feb midyear Laf Ren'!K40</f>
        <v>0</v>
      </c>
      <c r="K43" s="204">
        <f t="shared" si="11"/>
        <v>0</v>
      </c>
      <c r="L43" s="345">
        <f t="shared" si="12"/>
        <v>0</v>
      </c>
      <c r="M43" s="286">
        <f t="shared" si="4"/>
        <v>0</v>
      </c>
      <c r="N43" s="345">
        <f t="shared" si="13"/>
        <v>0</v>
      </c>
      <c r="O43" s="201">
        <v>0</v>
      </c>
      <c r="P43" s="351">
        <f t="shared" si="14"/>
        <v>0</v>
      </c>
      <c r="Q43" s="203">
        <f>(4*'[2]Table 5C1V-Laf Ren'!S43)+(4*'[3]Table 5C1V-Laf Ren'!S43)</f>
        <v>0</v>
      </c>
      <c r="R43" s="203">
        <f t="shared" si="15"/>
        <v>0</v>
      </c>
      <c r="S43" s="351">
        <f t="shared" si="30"/>
        <v>0</v>
      </c>
      <c r="T43" s="351">
        <f t="shared" si="16"/>
        <v>0</v>
      </c>
      <c r="U43" s="287">
        <f>'Table 5C1A-Madison Prep'!U43</f>
        <v>3424</v>
      </c>
      <c r="V43" s="328">
        <f t="shared" si="17"/>
        <v>0</v>
      </c>
      <c r="W43" s="289">
        <f>'[1]Oct midyear Laf Ren'!E40</f>
        <v>0</v>
      </c>
      <c r="X43" s="290">
        <f t="shared" si="18"/>
        <v>0</v>
      </c>
      <c r="Y43" s="289">
        <f>'[1]Feb midyear Laf Ren'!E40</f>
        <v>0</v>
      </c>
      <c r="Z43" s="290">
        <f t="shared" si="19"/>
        <v>0</v>
      </c>
      <c r="AA43" s="288">
        <f t="shared" si="20"/>
        <v>0</v>
      </c>
      <c r="AB43" s="324">
        <f t="shared" si="21"/>
        <v>0</v>
      </c>
      <c r="AC43" s="292">
        <f t="shared" si="22"/>
        <v>0</v>
      </c>
      <c r="AD43" s="324">
        <f t="shared" si="23"/>
        <v>0</v>
      </c>
      <c r="AE43" s="293">
        <v>0</v>
      </c>
      <c r="AF43" s="324">
        <f t="shared" si="24"/>
        <v>0</v>
      </c>
      <c r="AG43" s="293">
        <f>(4*'[2]Table 5C1V-Laf Ren'!AI43)+(4*'[3]Table 5C1V-Laf Ren'!AI43)</f>
        <v>0</v>
      </c>
      <c r="AH43" s="293">
        <f t="shared" si="25"/>
        <v>0</v>
      </c>
      <c r="AI43" s="324">
        <f t="shared" si="31"/>
        <v>0</v>
      </c>
      <c r="AJ43" s="321">
        <f t="shared" si="26"/>
        <v>0</v>
      </c>
      <c r="AK43" s="342">
        <f t="shared" si="27"/>
        <v>0</v>
      </c>
      <c r="AM43" s="286">
        <v>0</v>
      </c>
      <c r="AN43" s="286">
        <f t="shared" si="28"/>
        <v>0</v>
      </c>
      <c r="AO43" s="286">
        <f t="shared" si="29"/>
        <v>0</v>
      </c>
    </row>
    <row r="44" spans="1:41" ht="16.149999999999999" customHeight="1">
      <c r="A44" s="198">
        <v>38</v>
      </c>
      <c r="B44" s="199" t="s">
        <v>110</v>
      </c>
      <c r="C44" s="995">
        <v>0</v>
      </c>
      <c r="D44" s="201">
        <f>+'Table 5C1A-Madison Prep'!D44</f>
        <v>2088.8017552916881</v>
      </c>
      <c r="E44" s="202">
        <f t="shared" si="8"/>
        <v>0</v>
      </c>
      <c r="F44" s="202">
        <f>+'Table 5C1A-Madison Prep'!F44</f>
        <v>829.92000000000007</v>
      </c>
      <c r="G44" s="202">
        <f t="shared" si="9"/>
        <v>0</v>
      </c>
      <c r="H44" s="345">
        <f t="shared" si="10"/>
        <v>0</v>
      </c>
      <c r="I44" s="203">
        <f>'[1]Oct midyear Laf Ren'!K41</f>
        <v>0</v>
      </c>
      <c r="J44" s="203">
        <f>'[1]Feb midyear Laf Ren'!K41</f>
        <v>0</v>
      </c>
      <c r="K44" s="204">
        <f t="shared" si="11"/>
        <v>0</v>
      </c>
      <c r="L44" s="345">
        <f t="shared" si="12"/>
        <v>0</v>
      </c>
      <c r="M44" s="286">
        <f t="shared" si="4"/>
        <v>0</v>
      </c>
      <c r="N44" s="345">
        <f t="shared" si="13"/>
        <v>0</v>
      </c>
      <c r="O44" s="201">
        <v>0</v>
      </c>
      <c r="P44" s="351">
        <f t="shared" si="14"/>
        <v>0</v>
      </c>
      <c r="Q44" s="203">
        <f>(4*'[2]Table 5C1V-Laf Ren'!S44)+(4*'[3]Table 5C1V-Laf Ren'!S44)</f>
        <v>0</v>
      </c>
      <c r="R44" s="203">
        <f t="shared" si="15"/>
        <v>0</v>
      </c>
      <c r="S44" s="351">
        <f t="shared" si="30"/>
        <v>0</v>
      </c>
      <c r="T44" s="351">
        <f t="shared" si="16"/>
        <v>0</v>
      </c>
      <c r="U44" s="287">
        <f>'Table 5C1A-Madison Prep'!U44</f>
        <v>11060</v>
      </c>
      <c r="V44" s="328">
        <f t="shared" si="17"/>
        <v>0</v>
      </c>
      <c r="W44" s="289">
        <f>'[1]Oct midyear Laf Ren'!E41</f>
        <v>0</v>
      </c>
      <c r="X44" s="290">
        <f t="shared" si="18"/>
        <v>0</v>
      </c>
      <c r="Y44" s="289">
        <f>'[1]Feb midyear Laf Ren'!E41</f>
        <v>0</v>
      </c>
      <c r="Z44" s="290">
        <f t="shared" si="19"/>
        <v>0</v>
      </c>
      <c r="AA44" s="288">
        <f t="shared" si="20"/>
        <v>0</v>
      </c>
      <c r="AB44" s="324">
        <f t="shared" si="21"/>
        <v>0</v>
      </c>
      <c r="AC44" s="292">
        <f t="shared" si="22"/>
        <v>0</v>
      </c>
      <c r="AD44" s="324">
        <f t="shared" si="23"/>
        <v>0</v>
      </c>
      <c r="AE44" s="293">
        <v>0</v>
      </c>
      <c r="AF44" s="324">
        <f t="shared" si="24"/>
        <v>0</v>
      </c>
      <c r="AG44" s="293">
        <f>(4*'[2]Table 5C1V-Laf Ren'!AI44)+(4*'[3]Table 5C1V-Laf Ren'!AI44)</f>
        <v>0</v>
      </c>
      <c r="AH44" s="293">
        <f t="shared" si="25"/>
        <v>0</v>
      </c>
      <c r="AI44" s="324">
        <f t="shared" si="31"/>
        <v>0</v>
      </c>
      <c r="AJ44" s="321">
        <f t="shared" si="26"/>
        <v>0</v>
      </c>
      <c r="AK44" s="342">
        <f t="shared" si="27"/>
        <v>0</v>
      </c>
      <c r="AM44" s="286">
        <v>0</v>
      </c>
      <c r="AN44" s="286">
        <f t="shared" si="28"/>
        <v>0</v>
      </c>
      <c r="AO44" s="286">
        <f t="shared" si="29"/>
        <v>0</v>
      </c>
    </row>
    <row r="45" spans="1:41" ht="16.149999999999999" customHeight="1">
      <c r="A45" s="198">
        <v>39</v>
      </c>
      <c r="B45" s="199" t="s">
        <v>111</v>
      </c>
      <c r="C45" s="995">
        <v>0</v>
      </c>
      <c r="D45" s="201">
        <f>+'Table 5C1A-Madison Prep'!D45</f>
        <v>3656.9056809295676</v>
      </c>
      <c r="E45" s="202">
        <f t="shared" si="8"/>
        <v>0</v>
      </c>
      <c r="F45" s="202">
        <f>+'Table 5C1A-Madison Prep'!F45</f>
        <v>779.65573042776396</v>
      </c>
      <c r="G45" s="202">
        <f t="shared" si="9"/>
        <v>0</v>
      </c>
      <c r="H45" s="345">
        <f t="shared" si="10"/>
        <v>0</v>
      </c>
      <c r="I45" s="203">
        <f>'[1]Oct midyear Laf Ren'!K42</f>
        <v>0</v>
      </c>
      <c r="J45" s="203">
        <f>'[1]Feb midyear Laf Ren'!K42</f>
        <v>0</v>
      </c>
      <c r="K45" s="204">
        <f t="shared" si="11"/>
        <v>0</v>
      </c>
      <c r="L45" s="345">
        <f t="shared" si="12"/>
        <v>0</v>
      </c>
      <c r="M45" s="286">
        <f t="shared" si="4"/>
        <v>0</v>
      </c>
      <c r="N45" s="345">
        <f t="shared" si="13"/>
        <v>0</v>
      </c>
      <c r="O45" s="201">
        <v>0</v>
      </c>
      <c r="P45" s="351">
        <f t="shared" si="14"/>
        <v>0</v>
      </c>
      <c r="Q45" s="203">
        <f>(4*'[2]Table 5C1V-Laf Ren'!S45)+(4*'[3]Table 5C1V-Laf Ren'!S45)</f>
        <v>0</v>
      </c>
      <c r="R45" s="203">
        <f t="shared" si="15"/>
        <v>0</v>
      </c>
      <c r="S45" s="351">
        <f t="shared" si="30"/>
        <v>0</v>
      </c>
      <c r="T45" s="351">
        <f t="shared" si="16"/>
        <v>0</v>
      </c>
      <c r="U45" s="287">
        <f>'Table 5C1A-Madison Prep'!U45</f>
        <v>4922</v>
      </c>
      <c r="V45" s="328">
        <f t="shared" si="17"/>
        <v>0</v>
      </c>
      <c r="W45" s="289">
        <f>'[1]Oct midyear Laf Ren'!E42</f>
        <v>0</v>
      </c>
      <c r="X45" s="290">
        <f t="shared" si="18"/>
        <v>0</v>
      </c>
      <c r="Y45" s="289">
        <f>'[1]Feb midyear Laf Ren'!E42</f>
        <v>0</v>
      </c>
      <c r="Z45" s="290">
        <f t="shared" si="19"/>
        <v>0</v>
      </c>
      <c r="AA45" s="288">
        <f t="shared" si="20"/>
        <v>0</v>
      </c>
      <c r="AB45" s="324">
        <f t="shared" si="21"/>
        <v>0</v>
      </c>
      <c r="AC45" s="292">
        <f t="shared" si="22"/>
        <v>0</v>
      </c>
      <c r="AD45" s="324">
        <f t="shared" si="23"/>
        <v>0</v>
      </c>
      <c r="AE45" s="293">
        <v>0</v>
      </c>
      <c r="AF45" s="324">
        <f t="shared" si="24"/>
        <v>0</v>
      </c>
      <c r="AG45" s="293">
        <f>(4*'[2]Table 5C1V-Laf Ren'!AI45)+(4*'[3]Table 5C1V-Laf Ren'!AI45)</f>
        <v>0</v>
      </c>
      <c r="AH45" s="293">
        <f t="shared" si="25"/>
        <v>0</v>
      </c>
      <c r="AI45" s="324">
        <f t="shared" si="31"/>
        <v>0</v>
      </c>
      <c r="AJ45" s="321">
        <f t="shared" si="26"/>
        <v>0</v>
      </c>
      <c r="AK45" s="342">
        <f t="shared" si="27"/>
        <v>0</v>
      </c>
      <c r="AM45" s="286">
        <v>0</v>
      </c>
      <c r="AN45" s="286">
        <f t="shared" si="28"/>
        <v>0</v>
      </c>
      <c r="AO45" s="286">
        <f t="shared" si="29"/>
        <v>0</v>
      </c>
    </row>
    <row r="46" spans="1:41" ht="16.149999999999999" customHeight="1">
      <c r="A46" s="191">
        <v>40</v>
      </c>
      <c r="B46" s="192" t="s">
        <v>112</v>
      </c>
      <c r="C46" s="996">
        <v>0</v>
      </c>
      <c r="D46" s="194">
        <f>+'Table 5C1A-Madison Prep'!D46</f>
        <v>5121.8110285698403</v>
      </c>
      <c r="E46" s="195">
        <f t="shared" si="8"/>
        <v>0</v>
      </c>
      <c r="F46" s="195">
        <f>+'Table 5C1A-Madison Prep'!F46</f>
        <v>700.2700000000001</v>
      </c>
      <c r="G46" s="195">
        <f t="shared" si="9"/>
        <v>0</v>
      </c>
      <c r="H46" s="346">
        <f t="shared" si="10"/>
        <v>0</v>
      </c>
      <c r="I46" s="196">
        <f>'[1]Oct midyear Laf Ren'!K43</f>
        <v>0</v>
      </c>
      <c r="J46" s="196">
        <f>'[1]Feb midyear Laf Ren'!K43</f>
        <v>0</v>
      </c>
      <c r="K46" s="197">
        <f t="shared" si="11"/>
        <v>0</v>
      </c>
      <c r="L46" s="346">
        <f t="shared" si="12"/>
        <v>0</v>
      </c>
      <c r="M46" s="296">
        <f t="shared" si="4"/>
        <v>0</v>
      </c>
      <c r="N46" s="346">
        <f t="shared" si="13"/>
        <v>0</v>
      </c>
      <c r="O46" s="194">
        <v>0</v>
      </c>
      <c r="P46" s="352">
        <f t="shared" si="14"/>
        <v>0</v>
      </c>
      <c r="Q46" s="196">
        <f>(4*'[2]Table 5C1V-Laf Ren'!S46)+(4*'[3]Table 5C1V-Laf Ren'!S46)</f>
        <v>0</v>
      </c>
      <c r="R46" s="196">
        <f t="shared" si="15"/>
        <v>0</v>
      </c>
      <c r="S46" s="352">
        <f t="shared" si="30"/>
        <v>0</v>
      </c>
      <c r="T46" s="352">
        <f t="shared" si="16"/>
        <v>0</v>
      </c>
      <c r="U46" s="281">
        <f>'Table 5C1A-Madison Prep'!U46</f>
        <v>3152</v>
      </c>
      <c r="V46" s="329">
        <f t="shared" si="17"/>
        <v>0</v>
      </c>
      <c r="W46" s="884">
        <f>'[1]Oct midyear Laf Ren'!E43</f>
        <v>0</v>
      </c>
      <c r="X46" s="282">
        <f t="shared" si="18"/>
        <v>0</v>
      </c>
      <c r="Y46" s="884">
        <f>'[1]Feb midyear Laf Ren'!E43</f>
        <v>0</v>
      </c>
      <c r="Z46" s="282">
        <f t="shared" si="19"/>
        <v>0</v>
      </c>
      <c r="AA46" s="283">
        <f t="shared" si="20"/>
        <v>0</v>
      </c>
      <c r="AB46" s="325">
        <f t="shared" si="21"/>
        <v>0</v>
      </c>
      <c r="AC46" s="298">
        <f t="shared" si="22"/>
        <v>0</v>
      </c>
      <c r="AD46" s="325">
        <f t="shared" si="23"/>
        <v>0</v>
      </c>
      <c r="AE46" s="284">
        <v>0</v>
      </c>
      <c r="AF46" s="325">
        <f t="shared" si="24"/>
        <v>0</v>
      </c>
      <c r="AG46" s="284">
        <f>(4*'[2]Table 5C1V-Laf Ren'!AI46)+(4*'[3]Table 5C1V-Laf Ren'!AI46)</f>
        <v>0</v>
      </c>
      <c r="AH46" s="284">
        <f t="shared" si="25"/>
        <v>0</v>
      </c>
      <c r="AI46" s="325">
        <f t="shared" si="31"/>
        <v>0</v>
      </c>
      <c r="AJ46" s="338">
        <f t="shared" si="26"/>
        <v>0</v>
      </c>
      <c r="AK46" s="343">
        <f t="shared" si="27"/>
        <v>0</v>
      </c>
      <c r="AM46" s="296">
        <v>0</v>
      </c>
      <c r="AN46" s="296">
        <f t="shared" si="28"/>
        <v>0</v>
      </c>
      <c r="AO46" s="296">
        <f t="shared" si="29"/>
        <v>0</v>
      </c>
    </row>
    <row r="47" spans="1:41" ht="16.149999999999999" customHeight="1">
      <c r="A47" s="205">
        <v>41</v>
      </c>
      <c r="B47" s="206" t="s">
        <v>113</v>
      </c>
      <c r="C47" s="994">
        <v>0</v>
      </c>
      <c r="D47" s="208">
        <f>+'Table 5C1A-Madison Prep'!D47</f>
        <v>3291.1948574716475</v>
      </c>
      <c r="E47" s="209">
        <f t="shared" si="8"/>
        <v>0</v>
      </c>
      <c r="F47" s="209">
        <f>+'Table 5C1A-Madison Prep'!F47</f>
        <v>886.22</v>
      </c>
      <c r="G47" s="209">
        <f t="shared" si="9"/>
        <v>0</v>
      </c>
      <c r="H47" s="344">
        <f t="shared" si="10"/>
        <v>0</v>
      </c>
      <c r="I47" s="210">
        <f>'[1]Oct midyear Laf Ren'!K44</f>
        <v>0</v>
      </c>
      <c r="J47" s="210">
        <f>'[1]Feb midyear Laf Ren'!K44</f>
        <v>0</v>
      </c>
      <c r="K47" s="211">
        <f t="shared" si="11"/>
        <v>0</v>
      </c>
      <c r="L47" s="344">
        <f t="shared" si="12"/>
        <v>0</v>
      </c>
      <c r="M47" s="273">
        <f t="shared" si="4"/>
        <v>0</v>
      </c>
      <c r="N47" s="344">
        <f t="shared" si="13"/>
        <v>0</v>
      </c>
      <c r="O47" s="208">
        <v>0</v>
      </c>
      <c r="P47" s="350">
        <f t="shared" si="14"/>
        <v>0</v>
      </c>
      <c r="Q47" s="210">
        <f>(4*'[2]Table 5C1V-Laf Ren'!S47)+(4*'[3]Table 5C1V-Laf Ren'!S47)</f>
        <v>0</v>
      </c>
      <c r="R47" s="210">
        <f t="shared" si="15"/>
        <v>0</v>
      </c>
      <c r="S47" s="350">
        <f t="shared" si="30"/>
        <v>0</v>
      </c>
      <c r="T47" s="350">
        <f t="shared" si="16"/>
        <v>0</v>
      </c>
      <c r="U47" s="274">
        <f>'Table 5C1A-Madison Prep'!U47</f>
        <v>9422</v>
      </c>
      <c r="V47" s="327">
        <f t="shared" si="17"/>
        <v>0</v>
      </c>
      <c r="W47" s="883">
        <f>'[1]Oct midyear Laf Ren'!E44</f>
        <v>0</v>
      </c>
      <c r="X47" s="276">
        <f t="shared" si="18"/>
        <v>0</v>
      </c>
      <c r="Y47" s="883">
        <f>'[1]Feb midyear Laf Ren'!E44</f>
        <v>0</v>
      </c>
      <c r="Z47" s="276">
        <f t="shared" si="19"/>
        <v>0</v>
      </c>
      <c r="AA47" s="275">
        <f t="shared" si="20"/>
        <v>0</v>
      </c>
      <c r="AB47" s="323">
        <f t="shared" si="21"/>
        <v>0</v>
      </c>
      <c r="AC47" s="278">
        <f t="shared" si="22"/>
        <v>0</v>
      </c>
      <c r="AD47" s="323">
        <f t="shared" si="23"/>
        <v>0</v>
      </c>
      <c r="AE47" s="279">
        <v>0</v>
      </c>
      <c r="AF47" s="323">
        <f t="shared" si="24"/>
        <v>0</v>
      </c>
      <c r="AG47" s="279">
        <f>(4*'[2]Table 5C1V-Laf Ren'!AI47)+(4*'[3]Table 5C1V-Laf Ren'!AI47)</f>
        <v>0</v>
      </c>
      <c r="AH47" s="279">
        <f t="shared" si="25"/>
        <v>0</v>
      </c>
      <c r="AI47" s="323">
        <f t="shared" si="31"/>
        <v>0</v>
      </c>
      <c r="AJ47" s="337">
        <f t="shared" si="26"/>
        <v>0</v>
      </c>
      <c r="AK47" s="341">
        <f t="shared" si="27"/>
        <v>0</v>
      </c>
      <c r="AM47" s="273">
        <v>0</v>
      </c>
      <c r="AN47" s="273">
        <f t="shared" si="28"/>
        <v>0</v>
      </c>
      <c r="AO47" s="273">
        <f t="shared" si="29"/>
        <v>0</v>
      </c>
    </row>
    <row r="48" spans="1:41" ht="16.149999999999999" customHeight="1">
      <c r="A48" s="198">
        <v>42</v>
      </c>
      <c r="B48" s="199" t="s">
        <v>114</v>
      </c>
      <c r="C48" s="995">
        <v>0</v>
      </c>
      <c r="D48" s="201">
        <f>+'Table 5C1A-Madison Prep'!D48</f>
        <v>5113.6077751368684</v>
      </c>
      <c r="E48" s="202">
        <f t="shared" si="8"/>
        <v>0</v>
      </c>
      <c r="F48" s="202">
        <f>+'Table 5C1A-Madison Prep'!F48</f>
        <v>534.28</v>
      </c>
      <c r="G48" s="202">
        <f t="shared" si="9"/>
        <v>0</v>
      </c>
      <c r="H48" s="345">
        <f t="shared" si="10"/>
        <v>0</v>
      </c>
      <c r="I48" s="203">
        <f>'[1]Oct midyear Laf Ren'!K45</f>
        <v>0</v>
      </c>
      <c r="J48" s="203">
        <f>'[1]Feb midyear Laf Ren'!K45</f>
        <v>0</v>
      </c>
      <c r="K48" s="204">
        <f t="shared" si="11"/>
        <v>0</v>
      </c>
      <c r="L48" s="345">
        <f t="shared" si="12"/>
        <v>0</v>
      </c>
      <c r="M48" s="286">
        <f t="shared" si="4"/>
        <v>0</v>
      </c>
      <c r="N48" s="345">
        <f t="shared" si="13"/>
        <v>0</v>
      </c>
      <c r="O48" s="201">
        <v>0</v>
      </c>
      <c r="P48" s="351">
        <f t="shared" si="14"/>
        <v>0</v>
      </c>
      <c r="Q48" s="203">
        <f>(4*'[2]Table 5C1V-Laf Ren'!S48)+(4*'[3]Table 5C1V-Laf Ren'!S48)</f>
        <v>0</v>
      </c>
      <c r="R48" s="203">
        <f t="shared" si="15"/>
        <v>0</v>
      </c>
      <c r="S48" s="351">
        <f t="shared" si="30"/>
        <v>0</v>
      </c>
      <c r="T48" s="351">
        <f t="shared" si="16"/>
        <v>0</v>
      </c>
      <c r="U48" s="287">
        <f>'Table 5C1A-Madison Prep'!U48</f>
        <v>3415</v>
      </c>
      <c r="V48" s="328">
        <f t="shared" si="17"/>
        <v>0</v>
      </c>
      <c r="W48" s="289">
        <f>'[1]Oct midyear Laf Ren'!E45</f>
        <v>0</v>
      </c>
      <c r="X48" s="290">
        <f t="shared" si="18"/>
        <v>0</v>
      </c>
      <c r="Y48" s="289">
        <f>'[1]Feb midyear Laf Ren'!E45</f>
        <v>0</v>
      </c>
      <c r="Z48" s="290">
        <f t="shared" si="19"/>
        <v>0</v>
      </c>
      <c r="AA48" s="288">
        <f t="shared" si="20"/>
        <v>0</v>
      </c>
      <c r="AB48" s="324">
        <f t="shared" si="21"/>
        <v>0</v>
      </c>
      <c r="AC48" s="292">
        <f t="shared" si="22"/>
        <v>0</v>
      </c>
      <c r="AD48" s="324">
        <f t="shared" si="23"/>
        <v>0</v>
      </c>
      <c r="AE48" s="293">
        <v>0</v>
      </c>
      <c r="AF48" s="324">
        <f t="shared" si="24"/>
        <v>0</v>
      </c>
      <c r="AG48" s="293">
        <f>(4*'[2]Table 5C1V-Laf Ren'!AI48)+(4*'[3]Table 5C1V-Laf Ren'!AI48)</f>
        <v>0</v>
      </c>
      <c r="AH48" s="293">
        <f t="shared" si="25"/>
        <v>0</v>
      </c>
      <c r="AI48" s="324">
        <f t="shared" si="31"/>
        <v>0</v>
      </c>
      <c r="AJ48" s="321">
        <f t="shared" si="26"/>
        <v>0</v>
      </c>
      <c r="AK48" s="342">
        <f t="shared" si="27"/>
        <v>0</v>
      </c>
      <c r="AM48" s="286">
        <v>0</v>
      </c>
      <c r="AN48" s="286">
        <f t="shared" si="28"/>
        <v>0</v>
      </c>
      <c r="AO48" s="286">
        <f t="shared" si="29"/>
        <v>0</v>
      </c>
    </row>
    <row r="49" spans="1:41" ht="16.149999999999999" customHeight="1">
      <c r="A49" s="198">
        <v>43</v>
      </c>
      <c r="B49" s="199" t="s">
        <v>115</v>
      </c>
      <c r="C49" s="995">
        <v>0</v>
      </c>
      <c r="D49" s="201">
        <f>+'Table 5C1A-Madison Prep'!D49</f>
        <v>5788.74387205947</v>
      </c>
      <c r="E49" s="202">
        <f t="shared" si="8"/>
        <v>0</v>
      </c>
      <c r="F49" s="202">
        <f>+'Table 5C1A-Madison Prep'!F49</f>
        <v>574.6099999999999</v>
      </c>
      <c r="G49" s="202">
        <f t="shared" si="9"/>
        <v>0</v>
      </c>
      <c r="H49" s="345">
        <f t="shared" si="10"/>
        <v>0</v>
      </c>
      <c r="I49" s="203">
        <f>'[1]Oct midyear Laf Ren'!K46</f>
        <v>0</v>
      </c>
      <c r="J49" s="203">
        <f>'[1]Feb midyear Laf Ren'!K46</f>
        <v>0</v>
      </c>
      <c r="K49" s="204">
        <f t="shared" si="11"/>
        <v>0</v>
      </c>
      <c r="L49" s="345">
        <f t="shared" si="12"/>
        <v>0</v>
      </c>
      <c r="M49" s="286">
        <f t="shared" si="4"/>
        <v>0</v>
      </c>
      <c r="N49" s="345">
        <f t="shared" si="13"/>
        <v>0</v>
      </c>
      <c r="O49" s="201">
        <v>0</v>
      </c>
      <c r="P49" s="351">
        <f t="shared" si="14"/>
        <v>0</v>
      </c>
      <c r="Q49" s="203">
        <f>(4*'[2]Table 5C1V-Laf Ren'!S49)+(4*'[3]Table 5C1V-Laf Ren'!S49)</f>
        <v>0</v>
      </c>
      <c r="R49" s="203">
        <f t="shared" si="15"/>
        <v>0</v>
      </c>
      <c r="S49" s="351">
        <f t="shared" si="30"/>
        <v>0</v>
      </c>
      <c r="T49" s="351">
        <f t="shared" si="16"/>
        <v>0</v>
      </c>
      <c r="U49" s="287">
        <f>'Table 5C1A-Madison Prep'!U49</f>
        <v>3334</v>
      </c>
      <c r="V49" s="328">
        <f t="shared" si="17"/>
        <v>0</v>
      </c>
      <c r="W49" s="289">
        <f>'[1]Oct midyear Laf Ren'!E46</f>
        <v>0</v>
      </c>
      <c r="X49" s="290">
        <f t="shared" si="18"/>
        <v>0</v>
      </c>
      <c r="Y49" s="289">
        <f>'[1]Feb midyear Laf Ren'!E46</f>
        <v>0</v>
      </c>
      <c r="Z49" s="290">
        <f t="shared" si="19"/>
        <v>0</v>
      </c>
      <c r="AA49" s="288">
        <f t="shared" si="20"/>
        <v>0</v>
      </c>
      <c r="AB49" s="324">
        <f t="shared" si="21"/>
        <v>0</v>
      </c>
      <c r="AC49" s="292">
        <f t="shared" si="22"/>
        <v>0</v>
      </c>
      <c r="AD49" s="324">
        <f t="shared" si="23"/>
        <v>0</v>
      </c>
      <c r="AE49" s="293">
        <v>0</v>
      </c>
      <c r="AF49" s="324">
        <f t="shared" si="24"/>
        <v>0</v>
      </c>
      <c r="AG49" s="293">
        <f>(4*'[2]Table 5C1V-Laf Ren'!AI49)+(4*'[3]Table 5C1V-Laf Ren'!AI49)</f>
        <v>0</v>
      </c>
      <c r="AH49" s="293">
        <f t="shared" si="25"/>
        <v>0</v>
      </c>
      <c r="AI49" s="324">
        <f t="shared" si="31"/>
        <v>0</v>
      </c>
      <c r="AJ49" s="321">
        <f t="shared" si="26"/>
        <v>0</v>
      </c>
      <c r="AK49" s="342">
        <f t="shared" si="27"/>
        <v>0</v>
      </c>
      <c r="AM49" s="286">
        <v>0</v>
      </c>
      <c r="AN49" s="286">
        <f t="shared" si="28"/>
        <v>0</v>
      </c>
      <c r="AO49" s="286">
        <f t="shared" si="29"/>
        <v>0</v>
      </c>
    </row>
    <row r="50" spans="1:41" ht="16.149999999999999" customHeight="1">
      <c r="A50" s="198">
        <v>44</v>
      </c>
      <c r="B50" s="199" t="s">
        <v>116</v>
      </c>
      <c r="C50" s="995">
        <v>0</v>
      </c>
      <c r="D50" s="201">
        <f>+'Table 5C1A-Madison Prep'!D50</f>
        <v>4897.5958151820359</v>
      </c>
      <c r="E50" s="202">
        <f t="shared" si="8"/>
        <v>0</v>
      </c>
      <c r="F50" s="202">
        <f>+'Table 5C1A-Madison Prep'!F50</f>
        <v>663.16000000000008</v>
      </c>
      <c r="G50" s="202">
        <f t="shared" si="9"/>
        <v>0</v>
      </c>
      <c r="H50" s="345">
        <f t="shared" si="10"/>
        <v>0</v>
      </c>
      <c r="I50" s="203">
        <f>'[1]Oct midyear Laf Ren'!K47</f>
        <v>0</v>
      </c>
      <c r="J50" s="203">
        <f>'[1]Feb midyear Laf Ren'!K47</f>
        <v>0</v>
      </c>
      <c r="K50" s="204">
        <f t="shared" si="11"/>
        <v>0</v>
      </c>
      <c r="L50" s="345">
        <f t="shared" si="12"/>
        <v>0</v>
      </c>
      <c r="M50" s="286">
        <f t="shared" si="4"/>
        <v>0</v>
      </c>
      <c r="N50" s="345">
        <f t="shared" si="13"/>
        <v>0</v>
      </c>
      <c r="O50" s="201">
        <v>0</v>
      </c>
      <c r="P50" s="351">
        <f t="shared" si="14"/>
        <v>0</v>
      </c>
      <c r="Q50" s="203">
        <f>(4*'[2]Table 5C1V-Laf Ren'!S50)+(4*'[3]Table 5C1V-Laf Ren'!S50)</f>
        <v>0</v>
      </c>
      <c r="R50" s="203">
        <f t="shared" si="15"/>
        <v>0</v>
      </c>
      <c r="S50" s="351">
        <f t="shared" si="30"/>
        <v>0</v>
      </c>
      <c r="T50" s="351">
        <f t="shared" si="16"/>
        <v>0</v>
      </c>
      <c r="U50" s="287">
        <f>'Table 5C1A-Madison Prep'!U50</f>
        <v>3587</v>
      </c>
      <c r="V50" s="328">
        <f t="shared" si="17"/>
        <v>0</v>
      </c>
      <c r="W50" s="289">
        <f>'[1]Oct midyear Laf Ren'!E47</f>
        <v>0</v>
      </c>
      <c r="X50" s="290">
        <f t="shared" si="18"/>
        <v>0</v>
      </c>
      <c r="Y50" s="289">
        <f>'[1]Feb midyear Laf Ren'!E47</f>
        <v>0</v>
      </c>
      <c r="Z50" s="290">
        <f t="shared" si="19"/>
        <v>0</v>
      </c>
      <c r="AA50" s="288">
        <f t="shared" si="20"/>
        <v>0</v>
      </c>
      <c r="AB50" s="324">
        <f t="shared" si="21"/>
        <v>0</v>
      </c>
      <c r="AC50" s="292">
        <f t="shared" si="22"/>
        <v>0</v>
      </c>
      <c r="AD50" s="324">
        <f t="shared" si="23"/>
        <v>0</v>
      </c>
      <c r="AE50" s="293">
        <v>0</v>
      </c>
      <c r="AF50" s="324">
        <f t="shared" si="24"/>
        <v>0</v>
      </c>
      <c r="AG50" s="293">
        <f>(4*'[2]Table 5C1V-Laf Ren'!AI50)+(4*'[3]Table 5C1V-Laf Ren'!AI50)</f>
        <v>0</v>
      </c>
      <c r="AH50" s="293">
        <f t="shared" si="25"/>
        <v>0</v>
      </c>
      <c r="AI50" s="324">
        <f t="shared" si="31"/>
        <v>0</v>
      </c>
      <c r="AJ50" s="321">
        <f t="shared" si="26"/>
        <v>0</v>
      </c>
      <c r="AK50" s="342">
        <f t="shared" si="27"/>
        <v>0</v>
      </c>
      <c r="AM50" s="286">
        <v>0</v>
      </c>
      <c r="AN50" s="286">
        <f t="shared" si="28"/>
        <v>0</v>
      </c>
      <c r="AO50" s="286">
        <f t="shared" si="29"/>
        <v>0</v>
      </c>
    </row>
    <row r="51" spans="1:41" ht="16.149999999999999" customHeight="1">
      <c r="A51" s="191">
        <v>45</v>
      </c>
      <c r="B51" s="192" t="s">
        <v>117</v>
      </c>
      <c r="C51" s="996">
        <v>0</v>
      </c>
      <c r="D51" s="194">
        <f>+'Table 5C1A-Madison Prep'!D51</f>
        <v>2054.0472499469101</v>
      </c>
      <c r="E51" s="195">
        <f t="shared" si="8"/>
        <v>0</v>
      </c>
      <c r="F51" s="195">
        <f>+'Table 5C1A-Madison Prep'!F51</f>
        <v>753.96000000000015</v>
      </c>
      <c r="G51" s="195">
        <f t="shared" si="9"/>
        <v>0</v>
      </c>
      <c r="H51" s="346">
        <f t="shared" si="10"/>
        <v>0</v>
      </c>
      <c r="I51" s="196">
        <f>'[1]Oct midyear Laf Ren'!K48</f>
        <v>0</v>
      </c>
      <c r="J51" s="196">
        <f>'[1]Feb midyear Laf Ren'!K48</f>
        <v>0</v>
      </c>
      <c r="K51" s="197">
        <f t="shared" si="11"/>
        <v>0</v>
      </c>
      <c r="L51" s="346">
        <f t="shared" si="12"/>
        <v>0</v>
      </c>
      <c r="M51" s="296">
        <f t="shared" si="4"/>
        <v>0</v>
      </c>
      <c r="N51" s="346">
        <f t="shared" si="13"/>
        <v>0</v>
      </c>
      <c r="O51" s="194">
        <v>0</v>
      </c>
      <c r="P51" s="352">
        <f t="shared" si="14"/>
        <v>0</v>
      </c>
      <c r="Q51" s="196">
        <f>(4*'[2]Table 5C1V-Laf Ren'!S51)+(4*'[3]Table 5C1V-Laf Ren'!S51)</f>
        <v>0</v>
      </c>
      <c r="R51" s="196">
        <f t="shared" si="15"/>
        <v>0</v>
      </c>
      <c r="S51" s="352">
        <f t="shared" si="30"/>
        <v>0</v>
      </c>
      <c r="T51" s="352">
        <f t="shared" si="16"/>
        <v>0</v>
      </c>
      <c r="U51" s="281">
        <f>'Table 5C1A-Madison Prep'!U51</f>
        <v>12134</v>
      </c>
      <c r="V51" s="329">
        <f t="shared" si="17"/>
        <v>0</v>
      </c>
      <c r="W51" s="884">
        <f>'[1]Oct midyear Laf Ren'!E48</f>
        <v>0</v>
      </c>
      <c r="X51" s="282">
        <f t="shared" si="18"/>
        <v>0</v>
      </c>
      <c r="Y51" s="884">
        <f>'[1]Feb midyear Laf Ren'!E48</f>
        <v>0</v>
      </c>
      <c r="Z51" s="282">
        <f t="shared" si="19"/>
        <v>0</v>
      </c>
      <c r="AA51" s="283">
        <f t="shared" si="20"/>
        <v>0</v>
      </c>
      <c r="AB51" s="325">
        <f t="shared" si="21"/>
        <v>0</v>
      </c>
      <c r="AC51" s="298">
        <f t="shared" si="22"/>
        <v>0</v>
      </c>
      <c r="AD51" s="325">
        <f t="shared" si="23"/>
        <v>0</v>
      </c>
      <c r="AE51" s="284">
        <v>0</v>
      </c>
      <c r="AF51" s="325">
        <f t="shared" si="24"/>
        <v>0</v>
      </c>
      <c r="AG51" s="284">
        <f>(4*'[2]Table 5C1V-Laf Ren'!AI51)+(4*'[3]Table 5C1V-Laf Ren'!AI51)</f>
        <v>0</v>
      </c>
      <c r="AH51" s="284">
        <f t="shared" si="25"/>
        <v>0</v>
      </c>
      <c r="AI51" s="325">
        <f t="shared" si="31"/>
        <v>0</v>
      </c>
      <c r="AJ51" s="338">
        <f t="shared" si="26"/>
        <v>0</v>
      </c>
      <c r="AK51" s="343">
        <f t="shared" si="27"/>
        <v>0</v>
      </c>
      <c r="AM51" s="296">
        <v>0</v>
      </c>
      <c r="AN51" s="296">
        <f t="shared" si="28"/>
        <v>0</v>
      </c>
      <c r="AO51" s="296">
        <f t="shared" si="29"/>
        <v>0</v>
      </c>
    </row>
    <row r="52" spans="1:41" ht="16.149999999999999" customHeight="1">
      <c r="A52" s="205">
        <v>46</v>
      </c>
      <c r="B52" s="206" t="s">
        <v>118</v>
      </c>
      <c r="C52" s="994">
        <v>0</v>
      </c>
      <c r="D52" s="208">
        <f>+'Table 5C1A-Madison Prep'!D52</f>
        <v>6051.2144468088381</v>
      </c>
      <c r="E52" s="209">
        <f t="shared" si="8"/>
        <v>0</v>
      </c>
      <c r="F52" s="209">
        <f>+'Table 5C1A-Madison Prep'!F52</f>
        <v>728.06</v>
      </c>
      <c r="G52" s="209">
        <f t="shared" si="9"/>
        <v>0</v>
      </c>
      <c r="H52" s="344">
        <f t="shared" si="10"/>
        <v>0</v>
      </c>
      <c r="I52" s="210">
        <f>'[1]Oct midyear Laf Ren'!K49</f>
        <v>0</v>
      </c>
      <c r="J52" s="210">
        <f>'[1]Feb midyear Laf Ren'!K49</f>
        <v>0</v>
      </c>
      <c r="K52" s="211">
        <f t="shared" si="11"/>
        <v>0</v>
      </c>
      <c r="L52" s="344">
        <f t="shared" si="12"/>
        <v>0</v>
      </c>
      <c r="M52" s="273">
        <f t="shared" si="4"/>
        <v>0</v>
      </c>
      <c r="N52" s="344">
        <f t="shared" si="13"/>
        <v>0</v>
      </c>
      <c r="O52" s="208">
        <v>0</v>
      </c>
      <c r="P52" s="350">
        <f t="shared" si="14"/>
        <v>0</v>
      </c>
      <c r="Q52" s="210">
        <f>(4*'[2]Table 5C1V-Laf Ren'!S52)+(4*'[3]Table 5C1V-Laf Ren'!S52)</f>
        <v>0</v>
      </c>
      <c r="R52" s="210">
        <f t="shared" si="15"/>
        <v>0</v>
      </c>
      <c r="S52" s="350">
        <f t="shared" si="30"/>
        <v>0</v>
      </c>
      <c r="T52" s="350">
        <f t="shared" si="16"/>
        <v>0</v>
      </c>
      <c r="U52" s="274">
        <f>'Table 5C1A-Madison Prep'!U52</f>
        <v>2554</v>
      </c>
      <c r="V52" s="327">
        <f t="shared" si="17"/>
        <v>0</v>
      </c>
      <c r="W52" s="883">
        <f>'[1]Oct midyear Laf Ren'!E49</f>
        <v>0</v>
      </c>
      <c r="X52" s="276">
        <f t="shared" si="18"/>
        <v>0</v>
      </c>
      <c r="Y52" s="883">
        <f>'[1]Feb midyear Laf Ren'!E49</f>
        <v>0</v>
      </c>
      <c r="Z52" s="276">
        <f t="shared" si="19"/>
        <v>0</v>
      </c>
      <c r="AA52" s="275">
        <f t="shared" si="20"/>
        <v>0</v>
      </c>
      <c r="AB52" s="323">
        <f t="shared" si="21"/>
        <v>0</v>
      </c>
      <c r="AC52" s="278">
        <f t="shared" si="22"/>
        <v>0</v>
      </c>
      <c r="AD52" s="323">
        <f t="shared" si="23"/>
        <v>0</v>
      </c>
      <c r="AE52" s="279">
        <v>0</v>
      </c>
      <c r="AF52" s="323">
        <f t="shared" si="24"/>
        <v>0</v>
      </c>
      <c r="AG52" s="279">
        <f>(4*'[2]Table 5C1V-Laf Ren'!AI52)+(4*'[3]Table 5C1V-Laf Ren'!AI52)</f>
        <v>0</v>
      </c>
      <c r="AH52" s="279">
        <f t="shared" si="25"/>
        <v>0</v>
      </c>
      <c r="AI52" s="323">
        <f t="shared" si="31"/>
        <v>0</v>
      </c>
      <c r="AJ52" s="337">
        <f t="shared" si="26"/>
        <v>0</v>
      </c>
      <c r="AK52" s="341">
        <f t="shared" si="27"/>
        <v>0</v>
      </c>
      <c r="AM52" s="273">
        <v>0</v>
      </c>
      <c r="AN52" s="273">
        <f t="shared" si="28"/>
        <v>0</v>
      </c>
      <c r="AO52" s="273">
        <f t="shared" si="29"/>
        <v>0</v>
      </c>
    </row>
    <row r="53" spans="1:41" ht="16.149999999999999" customHeight="1">
      <c r="A53" s="198">
        <v>47</v>
      </c>
      <c r="B53" s="199" t="s">
        <v>119</v>
      </c>
      <c r="C53" s="995">
        <v>0</v>
      </c>
      <c r="D53" s="201">
        <f>+'Table 5C1A-Madison Prep'!D53</f>
        <v>2524.1485257646736</v>
      </c>
      <c r="E53" s="202">
        <f t="shared" si="8"/>
        <v>0</v>
      </c>
      <c r="F53" s="202">
        <f>+'Table 5C1A-Madison Prep'!F53</f>
        <v>910.76</v>
      </c>
      <c r="G53" s="202">
        <f t="shared" si="9"/>
        <v>0</v>
      </c>
      <c r="H53" s="345">
        <f t="shared" si="10"/>
        <v>0</v>
      </c>
      <c r="I53" s="203">
        <f>'[1]Oct midyear Laf Ren'!K50</f>
        <v>0</v>
      </c>
      <c r="J53" s="203">
        <f>'[1]Feb midyear Laf Ren'!K50</f>
        <v>0</v>
      </c>
      <c r="K53" s="204">
        <f t="shared" si="11"/>
        <v>0</v>
      </c>
      <c r="L53" s="345">
        <f t="shared" si="12"/>
        <v>0</v>
      </c>
      <c r="M53" s="286">
        <f t="shared" si="4"/>
        <v>0</v>
      </c>
      <c r="N53" s="345">
        <f t="shared" si="13"/>
        <v>0</v>
      </c>
      <c r="O53" s="201">
        <v>0</v>
      </c>
      <c r="P53" s="351">
        <f t="shared" si="14"/>
        <v>0</v>
      </c>
      <c r="Q53" s="203">
        <f>(4*'[2]Table 5C1V-Laf Ren'!S53)+(4*'[3]Table 5C1V-Laf Ren'!S53)</f>
        <v>0</v>
      </c>
      <c r="R53" s="203">
        <f t="shared" si="15"/>
        <v>0</v>
      </c>
      <c r="S53" s="351">
        <f t="shared" si="30"/>
        <v>0</v>
      </c>
      <c r="T53" s="351">
        <f t="shared" si="16"/>
        <v>0</v>
      </c>
      <c r="U53" s="287">
        <f>'Table 5C1A-Madison Prep'!U53</f>
        <v>11506</v>
      </c>
      <c r="V53" s="328">
        <f t="shared" si="17"/>
        <v>0</v>
      </c>
      <c r="W53" s="289">
        <f>'[1]Oct midyear Laf Ren'!E50</f>
        <v>0</v>
      </c>
      <c r="X53" s="290">
        <f t="shared" si="18"/>
        <v>0</v>
      </c>
      <c r="Y53" s="289">
        <f>'[1]Feb midyear Laf Ren'!E50</f>
        <v>0</v>
      </c>
      <c r="Z53" s="290">
        <f t="shared" si="19"/>
        <v>0</v>
      </c>
      <c r="AA53" s="288">
        <f t="shared" si="20"/>
        <v>0</v>
      </c>
      <c r="AB53" s="324">
        <f t="shared" si="21"/>
        <v>0</v>
      </c>
      <c r="AC53" s="292">
        <f t="shared" si="22"/>
        <v>0</v>
      </c>
      <c r="AD53" s="324">
        <f t="shared" si="23"/>
        <v>0</v>
      </c>
      <c r="AE53" s="293">
        <v>0</v>
      </c>
      <c r="AF53" s="324">
        <f t="shared" si="24"/>
        <v>0</v>
      </c>
      <c r="AG53" s="293">
        <f>(4*'[2]Table 5C1V-Laf Ren'!AI53)+(4*'[3]Table 5C1V-Laf Ren'!AI53)</f>
        <v>0</v>
      </c>
      <c r="AH53" s="293">
        <f t="shared" si="25"/>
        <v>0</v>
      </c>
      <c r="AI53" s="324">
        <f t="shared" si="31"/>
        <v>0</v>
      </c>
      <c r="AJ53" s="321">
        <f t="shared" si="26"/>
        <v>0</v>
      </c>
      <c r="AK53" s="342">
        <f t="shared" si="27"/>
        <v>0</v>
      </c>
      <c r="AM53" s="286">
        <v>0</v>
      </c>
      <c r="AN53" s="286">
        <f t="shared" si="28"/>
        <v>0</v>
      </c>
      <c r="AO53" s="286">
        <f t="shared" si="29"/>
        <v>0</v>
      </c>
    </row>
    <row r="54" spans="1:41" ht="16.149999999999999" customHeight="1">
      <c r="A54" s="198">
        <v>48</v>
      </c>
      <c r="B54" s="199" t="s">
        <v>144</v>
      </c>
      <c r="C54" s="995">
        <v>0</v>
      </c>
      <c r="D54" s="201">
        <f>+'Table 5C1A-Madison Prep'!D54</f>
        <v>3983.3582529800719</v>
      </c>
      <c r="E54" s="202">
        <f t="shared" si="8"/>
        <v>0</v>
      </c>
      <c r="F54" s="202">
        <f>+'Table 5C1A-Madison Prep'!F54</f>
        <v>871.07</v>
      </c>
      <c r="G54" s="202">
        <f t="shared" si="9"/>
        <v>0</v>
      </c>
      <c r="H54" s="345">
        <f t="shared" si="10"/>
        <v>0</v>
      </c>
      <c r="I54" s="203">
        <f>'[1]Oct midyear Laf Ren'!K51</f>
        <v>0</v>
      </c>
      <c r="J54" s="203">
        <f>'[1]Feb midyear Laf Ren'!K51</f>
        <v>0</v>
      </c>
      <c r="K54" s="204">
        <f t="shared" si="11"/>
        <v>0</v>
      </c>
      <c r="L54" s="345">
        <f t="shared" si="12"/>
        <v>0</v>
      </c>
      <c r="M54" s="286">
        <f t="shared" si="4"/>
        <v>0</v>
      </c>
      <c r="N54" s="345">
        <f t="shared" si="13"/>
        <v>0</v>
      </c>
      <c r="O54" s="201">
        <v>0</v>
      </c>
      <c r="P54" s="351">
        <f t="shared" si="14"/>
        <v>0</v>
      </c>
      <c r="Q54" s="203">
        <f>(4*'[2]Table 5C1V-Laf Ren'!S54)+(4*'[3]Table 5C1V-Laf Ren'!S54)</f>
        <v>0</v>
      </c>
      <c r="R54" s="203">
        <f t="shared" si="15"/>
        <v>0</v>
      </c>
      <c r="S54" s="351">
        <f t="shared" si="30"/>
        <v>0</v>
      </c>
      <c r="T54" s="351">
        <f t="shared" si="16"/>
        <v>0</v>
      </c>
      <c r="U54" s="287">
        <f>'Table 5C1A-Madison Prep'!U54</f>
        <v>6827</v>
      </c>
      <c r="V54" s="328">
        <f t="shared" si="17"/>
        <v>0</v>
      </c>
      <c r="W54" s="289">
        <f>'[1]Oct midyear Laf Ren'!E51</f>
        <v>0</v>
      </c>
      <c r="X54" s="290">
        <f t="shared" si="18"/>
        <v>0</v>
      </c>
      <c r="Y54" s="289">
        <f>'[1]Feb midyear Laf Ren'!E51</f>
        <v>0</v>
      </c>
      <c r="Z54" s="290">
        <f t="shared" si="19"/>
        <v>0</v>
      </c>
      <c r="AA54" s="288">
        <f t="shared" si="20"/>
        <v>0</v>
      </c>
      <c r="AB54" s="324">
        <f t="shared" si="21"/>
        <v>0</v>
      </c>
      <c r="AC54" s="292">
        <f t="shared" si="22"/>
        <v>0</v>
      </c>
      <c r="AD54" s="324">
        <f t="shared" si="23"/>
        <v>0</v>
      </c>
      <c r="AE54" s="293">
        <v>0</v>
      </c>
      <c r="AF54" s="324">
        <f t="shared" si="24"/>
        <v>0</v>
      </c>
      <c r="AG54" s="293">
        <f>(4*'[2]Table 5C1V-Laf Ren'!AI54)+(4*'[3]Table 5C1V-Laf Ren'!AI54)</f>
        <v>0</v>
      </c>
      <c r="AH54" s="293">
        <f t="shared" si="25"/>
        <v>0</v>
      </c>
      <c r="AI54" s="324">
        <f t="shared" si="31"/>
        <v>0</v>
      </c>
      <c r="AJ54" s="321">
        <f t="shared" si="26"/>
        <v>0</v>
      </c>
      <c r="AK54" s="342">
        <f t="shared" si="27"/>
        <v>0</v>
      </c>
      <c r="AM54" s="286">
        <v>0</v>
      </c>
      <c r="AN54" s="286">
        <f t="shared" si="28"/>
        <v>0</v>
      </c>
      <c r="AO54" s="286">
        <f t="shared" si="29"/>
        <v>0</v>
      </c>
    </row>
    <row r="55" spans="1:41" ht="16.149999999999999" customHeight="1">
      <c r="A55" s="198">
        <v>49</v>
      </c>
      <c r="B55" s="199" t="s">
        <v>120</v>
      </c>
      <c r="C55" s="995">
        <v>0</v>
      </c>
      <c r="D55" s="201">
        <f>+'Table 5C1A-Madison Prep'!D55</f>
        <v>4995.8755315659191</v>
      </c>
      <c r="E55" s="202">
        <f t="shared" si="8"/>
        <v>0</v>
      </c>
      <c r="F55" s="202">
        <f>+'Table 5C1A-Madison Prep'!F55</f>
        <v>574.43999999999994</v>
      </c>
      <c r="G55" s="202">
        <f t="shared" si="9"/>
        <v>0</v>
      </c>
      <c r="H55" s="345">
        <f t="shared" si="10"/>
        <v>0</v>
      </c>
      <c r="I55" s="203">
        <f>'[1]Oct midyear Laf Ren'!K52</f>
        <v>295226.72317299369</v>
      </c>
      <c r="J55" s="203">
        <f>'[1]Feb midyear Laf Ren'!K52</f>
        <v>0</v>
      </c>
      <c r="K55" s="204">
        <f t="shared" si="11"/>
        <v>295226.72317299369</v>
      </c>
      <c r="L55" s="345">
        <f t="shared" si="12"/>
        <v>295226.72317299369</v>
      </c>
      <c r="M55" s="286">
        <f t="shared" si="4"/>
        <v>-738.06680793248427</v>
      </c>
      <c r="N55" s="345">
        <f t="shared" si="13"/>
        <v>294488.65636506118</v>
      </c>
      <c r="O55" s="201">
        <v>0</v>
      </c>
      <c r="P55" s="351">
        <f t="shared" si="14"/>
        <v>294488.65636506118</v>
      </c>
      <c r="Q55" s="203">
        <f>(4*'[2]Table 5C1V-Laf Ren'!S55)+(4*'[3]Table 5C1V-Laf Ren'!S55)</f>
        <v>147244</v>
      </c>
      <c r="R55" s="203">
        <f t="shared" si="15"/>
        <v>147244.65636506118</v>
      </c>
      <c r="S55" s="351">
        <f t="shared" si="30"/>
        <v>36811</v>
      </c>
      <c r="T55" s="351">
        <f t="shared" si="16"/>
        <v>294488.65636506118</v>
      </c>
      <c r="U55" s="287">
        <f>'Table 5C1A-Madison Prep'!U55</f>
        <v>2399</v>
      </c>
      <c r="V55" s="328">
        <f t="shared" si="17"/>
        <v>0</v>
      </c>
      <c r="W55" s="289">
        <f>'[1]Oct midyear Laf Ren'!E52</f>
        <v>53</v>
      </c>
      <c r="X55" s="290">
        <f t="shared" si="18"/>
        <v>127147</v>
      </c>
      <c r="Y55" s="289">
        <f>'[1]Feb midyear Laf Ren'!E52</f>
        <v>0</v>
      </c>
      <c r="Z55" s="290">
        <f t="shared" si="19"/>
        <v>0</v>
      </c>
      <c r="AA55" s="288">
        <f t="shared" si="20"/>
        <v>127147</v>
      </c>
      <c r="AB55" s="324">
        <f t="shared" si="21"/>
        <v>127147</v>
      </c>
      <c r="AC55" s="292">
        <f t="shared" si="22"/>
        <v>-317.86750000000001</v>
      </c>
      <c r="AD55" s="324">
        <f t="shared" si="23"/>
        <v>126829.13250000001</v>
      </c>
      <c r="AE55" s="293">
        <v>0</v>
      </c>
      <c r="AF55" s="324">
        <f t="shared" si="24"/>
        <v>126829.13250000001</v>
      </c>
      <c r="AG55" s="293">
        <f>(4*'[2]Table 5C1V-Laf Ren'!AI55)+(4*'[3]Table 5C1V-Laf Ren'!AI55)</f>
        <v>62200</v>
      </c>
      <c r="AH55" s="293">
        <f t="shared" si="25"/>
        <v>64629.132500000007</v>
      </c>
      <c r="AI55" s="324">
        <f t="shared" si="31"/>
        <v>16157</v>
      </c>
      <c r="AJ55" s="321">
        <f t="shared" si="26"/>
        <v>421317.78886506119</v>
      </c>
      <c r="AK55" s="342">
        <f t="shared" si="27"/>
        <v>52968</v>
      </c>
      <c r="AM55" s="286">
        <v>0</v>
      </c>
      <c r="AN55" s="286">
        <f t="shared" si="28"/>
        <v>-317.86750000000001</v>
      </c>
      <c r="AO55" s="286">
        <f t="shared" si="29"/>
        <v>-317.86750000000001</v>
      </c>
    </row>
    <row r="56" spans="1:41" ht="16.149999999999999" customHeight="1">
      <c r="A56" s="191">
        <v>50</v>
      </c>
      <c r="B56" s="192" t="s">
        <v>121</v>
      </c>
      <c r="C56" s="996">
        <v>0</v>
      </c>
      <c r="D56" s="194">
        <f>+'Table 5C1A-Madison Prep'!D56</f>
        <v>5177.6892722701677</v>
      </c>
      <c r="E56" s="195">
        <f t="shared" si="8"/>
        <v>0</v>
      </c>
      <c r="F56" s="195">
        <f>+'Table 5C1A-Madison Prep'!F56</f>
        <v>634.46</v>
      </c>
      <c r="G56" s="195">
        <f t="shared" si="9"/>
        <v>0</v>
      </c>
      <c r="H56" s="346">
        <f t="shared" si="10"/>
        <v>0</v>
      </c>
      <c r="I56" s="196">
        <f>'[1]Oct midyear Laf Ren'!K53</f>
        <v>29060.746361350837</v>
      </c>
      <c r="J56" s="196">
        <f>'[1]Feb midyear Laf Ren'!K53</f>
        <v>8718.2239084052526</v>
      </c>
      <c r="K56" s="197">
        <f t="shared" si="11"/>
        <v>37778.970269756086</v>
      </c>
      <c r="L56" s="346">
        <f t="shared" si="12"/>
        <v>37778.970269756086</v>
      </c>
      <c r="M56" s="296">
        <f t="shared" si="4"/>
        <v>-94.447425674390217</v>
      </c>
      <c r="N56" s="346">
        <f t="shared" si="13"/>
        <v>37684.522844081694</v>
      </c>
      <c r="O56" s="194">
        <v>0</v>
      </c>
      <c r="P56" s="352">
        <f t="shared" si="14"/>
        <v>37684.522844081694</v>
      </c>
      <c r="Q56" s="196">
        <f>(4*'[2]Table 5C1V-Laf Ren'!S56)+(4*'[3]Table 5C1V-Laf Ren'!S56)</f>
        <v>14496</v>
      </c>
      <c r="R56" s="196">
        <f t="shared" si="15"/>
        <v>23188.522844081694</v>
      </c>
      <c r="S56" s="352">
        <f t="shared" si="30"/>
        <v>5797</v>
      </c>
      <c r="T56" s="352">
        <f t="shared" si="16"/>
        <v>37684.522844081694</v>
      </c>
      <c r="U56" s="281">
        <f>'Table 5C1A-Madison Prep'!U56</f>
        <v>3413</v>
      </c>
      <c r="V56" s="329">
        <f t="shared" si="17"/>
        <v>0</v>
      </c>
      <c r="W56" s="884">
        <f>'[1]Oct midyear Laf Ren'!E53</f>
        <v>5</v>
      </c>
      <c r="X56" s="282">
        <f t="shared" si="18"/>
        <v>17065</v>
      </c>
      <c r="Y56" s="884">
        <f>'[1]Feb midyear Laf Ren'!E53</f>
        <v>3</v>
      </c>
      <c r="Z56" s="282">
        <f t="shared" si="19"/>
        <v>5119.5</v>
      </c>
      <c r="AA56" s="283">
        <f t="shared" si="20"/>
        <v>22184.5</v>
      </c>
      <c r="AB56" s="325">
        <f t="shared" si="21"/>
        <v>22184.5</v>
      </c>
      <c r="AC56" s="298">
        <f t="shared" si="22"/>
        <v>-55.46125</v>
      </c>
      <c r="AD56" s="325">
        <f t="shared" si="23"/>
        <v>22129.03875</v>
      </c>
      <c r="AE56" s="284">
        <v>0</v>
      </c>
      <c r="AF56" s="325">
        <f t="shared" si="24"/>
        <v>22129.03875</v>
      </c>
      <c r="AG56" s="284">
        <f>(4*'[2]Table 5C1V-Laf Ren'!AI56)+(4*'[3]Table 5C1V-Laf Ren'!AI56)</f>
        <v>8752</v>
      </c>
      <c r="AH56" s="284">
        <f t="shared" si="25"/>
        <v>13377.03875</v>
      </c>
      <c r="AI56" s="325">
        <f t="shared" si="31"/>
        <v>3344</v>
      </c>
      <c r="AJ56" s="338">
        <f t="shared" si="26"/>
        <v>59813.561594081693</v>
      </c>
      <c r="AK56" s="343">
        <f t="shared" si="27"/>
        <v>9141</v>
      </c>
      <c r="AM56" s="296">
        <v>0</v>
      </c>
      <c r="AN56" s="296">
        <f t="shared" si="28"/>
        <v>-55.46125</v>
      </c>
      <c r="AO56" s="296">
        <f t="shared" si="29"/>
        <v>-55.46125</v>
      </c>
    </row>
    <row r="57" spans="1:41" ht="16.149999999999999" customHeight="1">
      <c r="A57" s="205">
        <v>51</v>
      </c>
      <c r="B57" s="206" t="s">
        <v>122</v>
      </c>
      <c r="C57" s="994">
        <v>0</v>
      </c>
      <c r="D57" s="208">
        <f>+'Table 5C1A-Madison Prep'!D57</f>
        <v>4154.1928602178996</v>
      </c>
      <c r="E57" s="209">
        <f t="shared" si="8"/>
        <v>0</v>
      </c>
      <c r="F57" s="209">
        <f>+'Table 5C1A-Madison Prep'!F57</f>
        <v>706.66</v>
      </c>
      <c r="G57" s="209">
        <f t="shared" si="9"/>
        <v>0</v>
      </c>
      <c r="H57" s="344">
        <f t="shared" si="10"/>
        <v>0</v>
      </c>
      <c r="I57" s="210">
        <f>'[1]Oct midyear Laf Ren'!K54</f>
        <v>14582.558580653698</v>
      </c>
      <c r="J57" s="210">
        <f>'[1]Feb midyear Laf Ren'!K54</f>
        <v>0</v>
      </c>
      <c r="K57" s="211">
        <f t="shared" si="11"/>
        <v>14582.558580653698</v>
      </c>
      <c r="L57" s="344">
        <f t="shared" si="12"/>
        <v>14582.558580653698</v>
      </c>
      <c r="M57" s="273">
        <f t="shared" si="4"/>
        <v>-36.456396451634248</v>
      </c>
      <c r="N57" s="344">
        <f t="shared" si="13"/>
        <v>14546.102184202064</v>
      </c>
      <c r="O57" s="208">
        <v>0</v>
      </c>
      <c r="P57" s="350">
        <f t="shared" si="14"/>
        <v>14546.102184202064</v>
      </c>
      <c r="Q57" s="210">
        <f>(4*'[2]Table 5C1V-Laf Ren'!S57)+(4*'[3]Table 5C1V-Laf Ren'!S57)</f>
        <v>7272</v>
      </c>
      <c r="R57" s="210">
        <f t="shared" si="15"/>
        <v>7274.1021842020637</v>
      </c>
      <c r="S57" s="350">
        <f t="shared" si="30"/>
        <v>1819</v>
      </c>
      <c r="T57" s="350">
        <f t="shared" si="16"/>
        <v>14546.102184202064</v>
      </c>
      <c r="U57" s="274">
        <f>'Table 5C1A-Madison Prep'!U57</f>
        <v>4512</v>
      </c>
      <c r="V57" s="327">
        <f t="shared" si="17"/>
        <v>0</v>
      </c>
      <c r="W57" s="883">
        <f>'[1]Oct midyear Laf Ren'!E54</f>
        <v>3</v>
      </c>
      <c r="X57" s="276">
        <f t="shared" si="18"/>
        <v>13536</v>
      </c>
      <c r="Y57" s="883">
        <f>'[1]Feb midyear Laf Ren'!E54</f>
        <v>0</v>
      </c>
      <c r="Z57" s="276">
        <f t="shared" si="19"/>
        <v>0</v>
      </c>
      <c r="AA57" s="275">
        <f t="shared" si="20"/>
        <v>13536</v>
      </c>
      <c r="AB57" s="323">
        <f t="shared" si="21"/>
        <v>13536</v>
      </c>
      <c r="AC57" s="278">
        <f t="shared" si="22"/>
        <v>-33.840000000000003</v>
      </c>
      <c r="AD57" s="323">
        <f t="shared" si="23"/>
        <v>13502.16</v>
      </c>
      <c r="AE57" s="279">
        <v>0</v>
      </c>
      <c r="AF57" s="323">
        <f t="shared" si="24"/>
        <v>13502.16</v>
      </c>
      <c r="AG57" s="279">
        <f>(4*'[2]Table 5C1V-Laf Ren'!AI57)+(4*'[3]Table 5C1V-Laf Ren'!AI57)</f>
        <v>6880</v>
      </c>
      <c r="AH57" s="279">
        <f t="shared" si="25"/>
        <v>6622.16</v>
      </c>
      <c r="AI57" s="323">
        <f t="shared" si="31"/>
        <v>1656</v>
      </c>
      <c r="AJ57" s="337">
        <f t="shared" si="26"/>
        <v>28048.262184202064</v>
      </c>
      <c r="AK57" s="341">
        <f t="shared" si="27"/>
        <v>3475</v>
      </c>
      <c r="AM57" s="273">
        <v>0</v>
      </c>
      <c r="AN57" s="273">
        <f t="shared" si="28"/>
        <v>-33.840000000000003</v>
      </c>
      <c r="AO57" s="273">
        <f t="shared" si="29"/>
        <v>-33.840000000000003</v>
      </c>
    </row>
    <row r="58" spans="1:41" ht="16.149999999999999" customHeight="1">
      <c r="A58" s="198">
        <v>52</v>
      </c>
      <c r="B58" s="199" t="s">
        <v>123</v>
      </c>
      <c r="C58" s="995">
        <v>0</v>
      </c>
      <c r="D58" s="201">
        <f>+'Table 5C1A-Madison Prep'!D58</f>
        <v>5062.2745845228173</v>
      </c>
      <c r="E58" s="202">
        <f t="shared" si="8"/>
        <v>0</v>
      </c>
      <c r="F58" s="202">
        <f>+'Table 5C1A-Madison Prep'!F58</f>
        <v>658.37</v>
      </c>
      <c r="G58" s="202">
        <f t="shared" si="9"/>
        <v>0</v>
      </c>
      <c r="H58" s="345">
        <f t="shared" si="10"/>
        <v>0</v>
      </c>
      <c r="I58" s="203">
        <f>'[1]Oct midyear Laf Ren'!K55</f>
        <v>0</v>
      </c>
      <c r="J58" s="203">
        <f>'[1]Feb midyear Laf Ren'!K55</f>
        <v>0</v>
      </c>
      <c r="K58" s="204">
        <f t="shared" si="11"/>
        <v>0</v>
      </c>
      <c r="L58" s="345">
        <f t="shared" si="12"/>
        <v>0</v>
      </c>
      <c r="M58" s="286">
        <f t="shared" si="4"/>
        <v>0</v>
      </c>
      <c r="N58" s="345">
        <f t="shared" si="13"/>
        <v>0</v>
      </c>
      <c r="O58" s="201">
        <v>0</v>
      </c>
      <c r="P58" s="351">
        <f t="shared" si="14"/>
        <v>0</v>
      </c>
      <c r="Q58" s="203">
        <f>(4*'[2]Table 5C1V-Laf Ren'!S58)+(4*'[3]Table 5C1V-Laf Ren'!S58)</f>
        <v>0</v>
      </c>
      <c r="R58" s="203">
        <f t="shared" si="15"/>
        <v>0</v>
      </c>
      <c r="S58" s="351">
        <f t="shared" si="30"/>
        <v>0</v>
      </c>
      <c r="T58" s="351">
        <f t="shared" si="16"/>
        <v>0</v>
      </c>
      <c r="U58" s="287">
        <f>'Table 5C1A-Madison Prep'!U58</f>
        <v>5289</v>
      </c>
      <c r="V58" s="328">
        <f t="shared" si="17"/>
        <v>0</v>
      </c>
      <c r="W58" s="289">
        <f>'[1]Oct midyear Laf Ren'!E55</f>
        <v>0</v>
      </c>
      <c r="X58" s="290">
        <f t="shared" si="18"/>
        <v>0</v>
      </c>
      <c r="Y58" s="289">
        <f>'[1]Feb midyear Laf Ren'!E55</f>
        <v>0</v>
      </c>
      <c r="Z58" s="290">
        <f t="shared" si="19"/>
        <v>0</v>
      </c>
      <c r="AA58" s="288">
        <f t="shared" si="20"/>
        <v>0</v>
      </c>
      <c r="AB58" s="324">
        <f t="shared" si="21"/>
        <v>0</v>
      </c>
      <c r="AC58" s="292">
        <f t="shared" si="22"/>
        <v>0</v>
      </c>
      <c r="AD58" s="324">
        <f t="shared" si="23"/>
        <v>0</v>
      </c>
      <c r="AE58" s="293">
        <v>0</v>
      </c>
      <c r="AF58" s="324">
        <f t="shared" si="24"/>
        <v>0</v>
      </c>
      <c r="AG58" s="293">
        <f>(4*'[2]Table 5C1V-Laf Ren'!AI58)+(4*'[3]Table 5C1V-Laf Ren'!AI58)</f>
        <v>0</v>
      </c>
      <c r="AH58" s="293">
        <f t="shared" si="25"/>
        <v>0</v>
      </c>
      <c r="AI58" s="324">
        <f t="shared" si="31"/>
        <v>0</v>
      </c>
      <c r="AJ58" s="321">
        <f t="shared" si="26"/>
        <v>0</v>
      </c>
      <c r="AK58" s="342">
        <f t="shared" si="27"/>
        <v>0</v>
      </c>
      <c r="AM58" s="286">
        <v>0</v>
      </c>
      <c r="AN58" s="286">
        <f t="shared" si="28"/>
        <v>0</v>
      </c>
      <c r="AO58" s="286">
        <f t="shared" si="29"/>
        <v>0</v>
      </c>
    </row>
    <row r="59" spans="1:41" ht="16.149999999999999" customHeight="1">
      <c r="A59" s="198">
        <v>53</v>
      </c>
      <c r="B59" s="199" t="s">
        <v>124</v>
      </c>
      <c r="C59" s="995">
        <v>0</v>
      </c>
      <c r="D59" s="201">
        <f>+'Table 5C1A-Madison Prep'!D59</f>
        <v>5060.1508194045482</v>
      </c>
      <c r="E59" s="202">
        <f t="shared" si="8"/>
        <v>0</v>
      </c>
      <c r="F59" s="202">
        <f>+'Table 5C1A-Madison Prep'!F59</f>
        <v>689.74</v>
      </c>
      <c r="G59" s="202">
        <f t="shared" si="9"/>
        <v>0</v>
      </c>
      <c r="H59" s="345">
        <f t="shared" si="10"/>
        <v>0</v>
      </c>
      <c r="I59" s="203">
        <f>'[1]Oct midyear Laf Ren'!K56</f>
        <v>0</v>
      </c>
      <c r="J59" s="203">
        <f>'[1]Feb midyear Laf Ren'!K56</f>
        <v>0</v>
      </c>
      <c r="K59" s="204">
        <f t="shared" si="11"/>
        <v>0</v>
      </c>
      <c r="L59" s="345">
        <f t="shared" si="12"/>
        <v>0</v>
      </c>
      <c r="M59" s="286">
        <f t="shared" si="4"/>
        <v>0</v>
      </c>
      <c r="N59" s="345">
        <f t="shared" si="13"/>
        <v>0</v>
      </c>
      <c r="O59" s="201">
        <v>0</v>
      </c>
      <c r="P59" s="351">
        <f t="shared" si="14"/>
        <v>0</v>
      </c>
      <c r="Q59" s="203">
        <f>(4*'[2]Table 5C1V-Laf Ren'!S59)+(4*'[3]Table 5C1V-Laf Ren'!S59)</f>
        <v>0</v>
      </c>
      <c r="R59" s="203">
        <f t="shared" si="15"/>
        <v>0</v>
      </c>
      <c r="S59" s="351">
        <f t="shared" si="30"/>
        <v>0</v>
      </c>
      <c r="T59" s="351">
        <f t="shared" si="16"/>
        <v>0</v>
      </c>
      <c r="U59" s="287">
        <f>'Table 5C1A-Madison Prep'!U59</f>
        <v>2101</v>
      </c>
      <c r="V59" s="328">
        <f t="shared" si="17"/>
        <v>0</v>
      </c>
      <c r="W59" s="289">
        <f>'[1]Oct midyear Laf Ren'!E56</f>
        <v>0</v>
      </c>
      <c r="X59" s="290">
        <f t="shared" si="18"/>
        <v>0</v>
      </c>
      <c r="Y59" s="289">
        <f>'[1]Feb midyear Laf Ren'!E56</f>
        <v>0</v>
      </c>
      <c r="Z59" s="290">
        <f t="shared" si="19"/>
        <v>0</v>
      </c>
      <c r="AA59" s="288">
        <f t="shared" si="20"/>
        <v>0</v>
      </c>
      <c r="AB59" s="324">
        <f t="shared" si="21"/>
        <v>0</v>
      </c>
      <c r="AC59" s="292">
        <f t="shared" si="22"/>
        <v>0</v>
      </c>
      <c r="AD59" s="324">
        <f t="shared" si="23"/>
        <v>0</v>
      </c>
      <c r="AE59" s="293">
        <v>0</v>
      </c>
      <c r="AF59" s="324">
        <f t="shared" si="24"/>
        <v>0</v>
      </c>
      <c r="AG59" s="293">
        <f>(4*'[2]Table 5C1V-Laf Ren'!AI59)+(4*'[3]Table 5C1V-Laf Ren'!AI59)</f>
        <v>0</v>
      </c>
      <c r="AH59" s="293">
        <f t="shared" si="25"/>
        <v>0</v>
      </c>
      <c r="AI59" s="324">
        <f t="shared" si="31"/>
        <v>0</v>
      </c>
      <c r="AJ59" s="321">
        <f t="shared" si="26"/>
        <v>0</v>
      </c>
      <c r="AK59" s="342">
        <f t="shared" si="27"/>
        <v>0</v>
      </c>
      <c r="AM59" s="286">
        <v>0</v>
      </c>
      <c r="AN59" s="286">
        <f t="shared" si="28"/>
        <v>0</v>
      </c>
      <c r="AO59" s="286">
        <f t="shared" si="29"/>
        <v>0</v>
      </c>
    </row>
    <row r="60" spans="1:41" ht="16.149999999999999" customHeight="1">
      <c r="A60" s="198">
        <v>54</v>
      </c>
      <c r="B60" s="199" t="s">
        <v>125</v>
      </c>
      <c r="C60" s="995">
        <v>0</v>
      </c>
      <c r="D60" s="201">
        <f>+'Table 5C1A-Madison Prep'!D60</f>
        <v>5867.0798370516713</v>
      </c>
      <c r="E60" s="202">
        <f t="shared" si="8"/>
        <v>0</v>
      </c>
      <c r="F60" s="202">
        <f>+'Table 5C1A-Madison Prep'!F60</f>
        <v>951.45</v>
      </c>
      <c r="G60" s="202">
        <f t="shared" si="9"/>
        <v>0</v>
      </c>
      <c r="H60" s="345">
        <f t="shared" si="10"/>
        <v>0</v>
      </c>
      <c r="I60" s="203">
        <f>'[1]Oct midyear Laf Ren'!K57</f>
        <v>0</v>
      </c>
      <c r="J60" s="203">
        <f>'[1]Feb midyear Laf Ren'!K57</f>
        <v>0</v>
      </c>
      <c r="K60" s="204">
        <f t="shared" si="11"/>
        <v>0</v>
      </c>
      <c r="L60" s="345">
        <f t="shared" si="12"/>
        <v>0</v>
      </c>
      <c r="M60" s="286">
        <f t="shared" si="4"/>
        <v>0</v>
      </c>
      <c r="N60" s="345">
        <f t="shared" si="13"/>
        <v>0</v>
      </c>
      <c r="O60" s="201">
        <v>0</v>
      </c>
      <c r="P60" s="351">
        <f t="shared" si="14"/>
        <v>0</v>
      </c>
      <c r="Q60" s="203">
        <f>(4*'[2]Table 5C1V-Laf Ren'!S60)+(4*'[3]Table 5C1V-Laf Ren'!S60)</f>
        <v>0</v>
      </c>
      <c r="R60" s="203">
        <f t="shared" si="15"/>
        <v>0</v>
      </c>
      <c r="S60" s="351">
        <f t="shared" si="30"/>
        <v>0</v>
      </c>
      <c r="T60" s="351">
        <f t="shared" si="16"/>
        <v>0</v>
      </c>
      <c r="U60" s="287">
        <f>'Table 5C1A-Madison Prep'!U60</f>
        <v>4150</v>
      </c>
      <c r="V60" s="328">
        <f t="shared" si="17"/>
        <v>0</v>
      </c>
      <c r="W60" s="289">
        <f>'[1]Oct midyear Laf Ren'!E57</f>
        <v>0</v>
      </c>
      <c r="X60" s="290">
        <f t="shared" si="18"/>
        <v>0</v>
      </c>
      <c r="Y60" s="289">
        <f>'[1]Feb midyear Laf Ren'!E57</f>
        <v>0</v>
      </c>
      <c r="Z60" s="290">
        <f t="shared" si="19"/>
        <v>0</v>
      </c>
      <c r="AA60" s="288">
        <f t="shared" si="20"/>
        <v>0</v>
      </c>
      <c r="AB60" s="324">
        <f t="shared" si="21"/>
        <v>0</v>
      </c>
      <c r="AC60" s="292">
        <f t="shared" si="22"/>
        <v>0</v>
      </c>
      <c r="AD60" s="324">
        <f t="shared" si="23"/>
        <v>0</v>
      </c>
      <c r="AE60" s="293">
        <v>0</v>
      </c>
      <c r="AF60" s="324">
        <f t="shared" si="24"/>
        <v>0</v>
      </c>
      <c r="AG60" s="293">
        <f>(4*'[2]Table 5C1V-Laf Ren'!AI60)+(4*'[3]Table 5C1V-Laf Ren'!AI60)</f>
        <v>0</v>
      </c>
      <c r="AH60" s="293">
        <f t="shared" si="25"/>
        <v>0</v>
      </c>
      <c r="AI60" s="324">
        <f t="shared" si="31"/>
        <v>0</v>
      </c>
      <c r="AJ60" s="321">
        <f t="shared" si="26"/>
        <v>0</v>
      </c>
      <c r="AK60" s="342">
        <f t="shared" si="27"/>
        <v>0</v>
      </c>
      <c r="AM60" s="286">
        <v>0</v>
      </c>
      <c r="AN60" s="286">
        <f t="shared" si="28"/>
        <v>0</v>
      </c>
      <c r="AO60" s="286">
        <f t="shared" si="29"/>
        <v>0</v>
      </c>
    </row>
    <row r="61" spans="1:41" ht="16.149999999999999" customHeight="1">
      <c r="A61" s="191">
        <v>55</v>
      </c>
      <c r="B61" s="192" t="s">
        <v>126</v>
      </c>
      <c r="C61" s="996">
        <v>0</v>
      </c>
      <c r="D61" s="194">
        <f>+'Table 5C1A-Madison Prep'!D61</f>
        <v>4266.8225491298481</v>
      </c>
      <c r="E61" s="195">
        <f t="shared" si="8"/>
        <v>0</v>
      </c>
      <c r="F61" s="195">
        <f>+'Table 5C1A-Madison Prep'!F61</f>
        <v>795.14</v>
      </c>
      <c r="G61" s="195">
        <f t="shared" si="9"/>
        <v>0</v>
      </c>
      <c r="H61" s="346">
        <f t="shared" si="10"/>
        <v>0</v>
      </c>
      <c r="I61" s="196">
        <f>'[1]Oct midyear Laf Ren'!K58</f>
        <v>0</v>
      </c>
      <c r="J61" s="196">
        <f>'[1]Feb midyear Laf Ren'!K58</f>
        <v>0</v>
      </c>
      <c r="K61" s="197">
        <f t="shared" si="11"/>
        <v>0</v>
      </c>
      <c r="L61" s="346">
        <f t="shared" si="12"/>
        <v>0</v>
      </c>
      <c r="M61" s="296">
        <f t="shared" si="4"/>
        <v>0</v>
      </c>
      <c r="N61" s="346">
        <f t="shared" si="13"/>
        <v>0</v>
      </c>
      <c r="O61" s="194">
        <v>0</v>
      </c>
      <c r="P61" s="352">
        <f t="shared" si="14"/>
        <v>0</v>
      </c>
      <c r="Q61" s="196">
        <f>(4*'[2]Table 5C1V-Laf Ren'!S61)+(4*'[3]Table 5C1V-Laf Ren'!S61)</f>
        <v>0</v>
      </c>
      <c r="R61" s="196">
        <f t="shared" si="15"/>
        <v>0</v>
      </c>
      <c r="S61" s="352">
        <f t="shared" si="30"/>
        <v>0</v>
      </c>
      <c r="T61" s="352">
        <f t="shared" si="16"/>
        <v>0</v>
      </c>
      <c r="U61" s="281">
        <f>'Table 5C1A-Madison Prep'!U61</f>
        <v>3637</v>
      </c>
      <c r="V61" s="329">
        <f t="shared" si="17"/>
        <v>0</v>
      </c>
      <c r="W61" s="884">
        <f>'[1]Oct midyear Laf Ren'!E58</f>
        <v>0</v>
      </c>
      <c r="X61" s="282">
        <f t="shared" si="18"/>
        <v>0</v>
      </c>
      <c r="Y61" s="884">
        <f>'[1]Feb midyear Laf Ren'!E58</f>
        <v>0</v>
      </c>
      <c r="Z61" s="282">
        <f t="shared" si="19"/>
        <v>0</v>
      </c>
      <c r="AA61" s="283">
        <f t="shared" si="20"/>
        <v>0</v>
      </c>
      <c r="AB61" s="325">
        <f t="shared" si="21"/>
        <v>0</v>
      </c>
      <c r="AC61" s="298">
        <f t="shared" si="22"/>
        <v>0</v>
      </c>
      <c r="AD61" s="325">
        <f t="shared" si="23"/>
        <v>0</v>
      </c>
      <c r="AE61" s="284">
        <v>0</v>
      </c>
      <c r="AF61" s="325">
        <f t="shared" si="24"/>
        <v>0</v>
      </c>
      <c r="AG61" s="284">
        <f>(4*'[2]Table 5C1V-Laf Ren'!AI61)+(4*'[3]Table 5C1V-Laf Ren'!AI61)</f>
        <v>0</v>
      </c>
      <c r="AH61" s="284">
        <f t="shared" si="25"/>
        <v>0</v>
      </c>
      <c r="AI61" s="325">
        <f t="shared" si="31"/>
        <v>0</v>
      </c>
      <c r="AJ61" s="338">
        <f t="shared" si="26"/>
        <v>0</v>
      </c>
      <c r="AK61" s="343">
        <f t="shared" si="27"/>
        <v>0</v>
      </c>
      <c r="AM61" s="296">
        <v>0</v>
      </c>
      <c r="AN61" s="296">
        <f t="shared" si="28"/>
        <v>0</v>
      </c>
      <c r="AO61" s="296">
        <f t="shared" si="29"/>
        <v>0</v>
      </c>
    </row>
    <row r="62" spans="1:41" ht="16.149999999999999" customHeight="1">
      <c r="A62" s="205">
        <v>56</v>
      </c>
      <c r="B62" s="206" t="s">
        <v>127</v>
      </c>
      <c r="C62" s="994">
        <v>0</v>
      </c>
      <c r="D62" s="208">
        <f>+'Table 5C1A-Madison Prep'!D62</f>
        <v>5028.4909408288286</v>
      </c>
      <c r="E62" s="209">
        <f t="shared" si="8"/>
        <v>0</v>
      </c>
      <c r="F62" s="209">
        <f>+'Table 5C1A-Madison Prep'!F62</f>
        <v>614.66000000000008</v>
      </c>
      <c r="G62" s="209">
        <f t="shared" si="9"/>
        <v>0</v>
      </c>
      <c r="H62" s="344">
        <f t="shared" si="10"/>
        <v>0</v>
      </c>
      <c r="I62" s="210">
        <f>'[1]Oct midyear Laf Ren'!K59</f>
        <v>0</v>
      </c>
      <c r="J62" s="210">
        <f>'[1]Feb midyear Laf Ren'!K59</f>
        <v>0</v>
      </c>
      <c r="K62" s="211">
        <f t="shared" si="11"/>
        <v>0</v>
      </c>
      <c r="L62" s="344">
        <f t="shared" si="12"/>
        <v>0</v>
      </c>
      <c r="M62" s="273">
        <f t="shared" si="4"/>
        <v>0</v>
      </c>
      <c r="N62" s="344">
        <f t="shared" si="13"/>
        <v>0</v>
      </c>
      <c r="O62" s="208">
        <v>0</v>
      </c>
      <c r="P62" s="350">
        <f t="shared" si="14"/>
        <v>0</v>
      </c>
      <c r="Q62" s="210">
        <f>(4*'[2]Table 5C1V-Laf Ren'!S62)+(4*'[3]Table 5C1V-Laf Ren'!S62)</f>
        <v>0</v>
      </c>
      <c r="R62" s="210">
        <f t="shared" si="15"/>
        <v>0</v>
      </c>
      <c r="S62" s="350">
        <f t="shared" si="30"/>
        <v>0</v>
      </c>
      <c r="T62" s="350">
        <f t="shared" si="16"/>
        <v>0</v>
      </c>
      <c r="U62" s="274">
        <f>'Table 5C1A-Madison Prep'!U62</f>
        <v>2857</v>
      </c>
      <c r="V62" s="327">
        <f t="shared" si="17"/>
        <v>0</v>
      </c>
      <c r="W62" s="883">
        <f>'[1]Oct midyear Laf Ren'!E59</f>
        <v>0</v>
      </c>
      <c r="X62" s="276">
        <f t="shared" si="18"/>
        <v>0</v>
      </c>
      <c r="Y62" s="883">
        <f>'[1]Feb midyear Laf Ren'!E59</f>
        <v>0</v>
      </c>
      <c r="Z62" s="276">
        <f t="shared" si="19"/>
        <v>0</v>
      </c>
      <c r="AA62" s="275">
        <f t="shared" si="20"/>
        <v>0</v>
      </c>
      <c r="AB62" s="323">
        <f t="shared" si="21"/>
        <v>0</v>
      </c>
      <c r="AC62" s="278">
        <f t="shared" si="22"/>
        <v>0</v>
      </c>
      <c r="AD62" s="323">
        <f t="shared" si="23"/>
        <v>0</v>
      </c>
      <c r="AE62" s="279">
        <v>0</v>
      </c>
      <c r="AF62" s="323">
        <f t="shared" si="24"/>
        <v>0</v>
      </c>
      <c r="AG62" s="279">
        <f>(4*'[2]Table 5C1V-Laf Ren'!AI62)+(4*'[3]Table 5C1V-Laf Ren'!AI62)</f>
        <v>0</v>
      </c>
      <c r="AH62" s="279">
        <f t="shared" si="25"/>
        <v>0</v>
      </c>
      <c r="AI62" s="323">
        <f t="shared" si="31"/>
        <v>0</v>
      </c>
      <c r="AJ62" s="337">
        <f t="shared" si="26"/>
        <v>0</v>
      </c>
      <c r="AK62" s="341">
        <f t="shared" si="27"/>
        <v>0</v>
      </c>
      <c r="AM62" s="273">
        <v>0</v>
      </c>
      <c r="AN62" s="273">
        <f t="shared" si="28"/>
        <v>0</v>
      </c>
      <c r="AO62" s="273">
        <f t="shared" si="29"/>
        <v>0</v>
      </c>
    </row>
    <row r="63" spans="1:41" ht="16.149999999999999" customHeight="1">
      <c r="A63" s="198">
        <v>57</v>
      </c>
      <c r="B63" s="199" t="s">
        <v>128</v>
      </c>
      <c r="C63" s="995">
        <v>0</v>
      </c>
      <c r="D63" s="201">
        <f>+'Table 5C1A-Madison Prep'!D63</f>
        <v>4625.9922979230687</v>
      </c>
      <c r="E63" s="202">
        <f t="shared" si="8"/>
        <v>0</v>
      </c>
      <c r="F63" s="202">
        <f>+'Table 5C1A-Madison Prep'!F63</f>
        <v>764.51</v>
      </c>
      <c r="G63" s="202">
        <f t="shared" si="9"/>
        <v>0</v>
      </c>
      <c r="H63" s="345">
        <f t="shared" si="10"/>
        <v>0</v>
      </c>
      <c r="I63" s="203">
        <f>'[1]Oct midyear Laf Ren'!K60</f>
        <v>10781.004595846138</v>
      </c>
      <c r="J63" s="203">
        <f>'[1]Feb midyear Laf Ren'!K60</f>
        <v>0</v>
      </c>
      <c r="K63" s="204">
        <f t="shared" si="11"/>
        <v>10781.004595846138</v>
      </c>
      <c r="L63" s="345">
        <f t="shared" si="12"/>
        <v>10781.004595846138</v>
      </c>
      <c r="M63" s="286">
        <f t="shared" si="4"/>
        <v>-26.952511489615347</v>
      </c>
      <c r="N63" s="345">
        <f t="shared" si="13"/>
        <v>10754.052084356523</v>
      </c>
      <c r="O63" s="201">
        <v>0</v>
      </c>
      <c r="P63" s="351">
        <f t="shared" si="14"/>
        <v>10754.052084356523</v>
      </c>
      <c r="Q63" s="203">
        <f>(4*'[2]Table 5C1V-Laf Ren'!S63)+(4*'[3]Table 5C1V-Laf Ren'!S63)</f>
        <v>25988</v>
      </c>
      <c r="R63" s="203">
        <f t="shared" si="15"/>
        <v>-15233.947915643477</v>
      </c>
      <c r="S63" s="351">
        <f t="shared" si="30"/>
        <v>-3808</v>
      </c>
      <c r="T63" s="351">
        <f t="shared" si="16"/>
        <v>10754.052084356523</v>
      </c>
      <c r="U63" s="287">
        <f>'Table 5C1A-Madison Prep'!U63</f>
        <v>3465</v>
      </c>
      <c r="V63" s="328">
        <f t="shared" si="17"/>
        <v>0</v>
      </c>
      <c r="W63" s="289">
        <f>'[1]Oct midyear Laf Ren'!E60</f>
        <v>2</v>
      </c>
      <c r="X63" s="290">
        <f t="shared" si="18"/>
        <v>6930</v>
      </c>
      <c r="Y63" s="289">
        <f>'[1]Feb midyear Laf Ren'!E60</f>
        <v>0</v>
      </c>
      <c r="Z63" s="290">
        <f t="shared" si="19"/>
        <v>0</v>
      </c>
      <c r="AA63" s="288">
        <f t="shared" si="20"/>
        <v>6930</v>
      </c>
      <c r="AB63" s="324">
        <f t="shared" si="21"/>
        <v>6930</v>
      </c>
      <c r="AC63" s="292">
        <f t="shared" si="22"/>
        <v>-17.324999999999999</v>
      </c>
      <c r="AD63" s="324">
        <f t="shared" si="23"/>
        <v>6912.6750000000002</v>
      </c>
      <c r="AE63" s="293">
        <v>0</v>
      </c>
      <c r="AF63" s="324">
        <f t="shared" si="24"/>
        <v>6912.6750000000002</v>
      </c>
      <c r="AG63" s="293">
        <f>(4*'[2]Table 5C1V-Laf Ren'!AI63)+(4*'[3]Table 5C1V-Laf Ren'!AI63)</f>
        <v>16368</v>
      </c>
      <c r="AH63" s="293">
        <f t="shared" si="25"/>
        <v>-9455.3250000000007</v>
      </c>
      <c r="AI63" s="324">
        <f t="shared" si="31"/>
        <v>-2364</v>
      </c>
      <c r="AJ63" s="321">
        <f t="shared" si="26"/>
        <v>17666.727084356524</v>
      </c>
      <c r="AK63" s="342">
        <f t="shared" si="27"/>
        <v>-6172</v>
      </c>
      <c r="AM63" s="286">
        <v>-195.21250000000001</v>
      </c>
      <c r="AN63" s="286">
        <f t="shared" si="28"/>
        <v>-17.324999999999999</v>
      </c>
      <c r="AO63" s="286">
        <f t="shared" si="29"/>
        <v>177.88750000000002</v>
      </c>
    </row>
    <row r="64" spans="1:41" ht="16.149999999999999" customHeight="1">
      <c r="A64" s="198">
        <v>58</v>
      </c>
      <c r="B64" s="199" t="s">
        <v>129</v>
      </c>
      <c r="C64" s="995">
        <v>0</v>
      </c>
      <c r="D64" s="201">
        <f>+'Table 5C1A-Madison Prep'!D64</f>
        <v>5673.1129637882123</v>
      </c>
      <c r="E64" s="202">
        <f t="shared" si="8"/>
        <v>0</v>
      </c>
      <c r="F64" s="202">
        <f>+'Table 5C1A-Madison Prep'!F64</f>
        <v>697.04</v>
      </c>
      <c r="G64" s="202">
        <f t="shared" si="9"/>
        <v>0</v>
      </c>
      <c r="H64" s="345">
        <f t="shared" si="10"/>
        <v>0</v>
      </c>
      <c r="I64" s="203">
        <f>'[1]Oct midyear Laf Ren'!K61</f>
        <v>0</v>
      </c>
      <c r="J64" s="203">
        <f>'[1]Feb midyear Laf Ren'!K61</f>
        <v>0</v>
      </c>
      <c r="K64" s="204">
        <f t="shared" si="11"/>
        <v>0</v>
      </c>
      <c r="L64" s="345">
        <f t="shared" si="12"/>
        <v>0</v>
      </c>
      <c r="M64" s="286">
        <f t="shared" si="4"/>
        <v>0</v>
      </c>
      <c r="N64" s="345">
        <f t="shared" si="13"/>
        <v>0</v>
      </c>
      <c r="O64" s="201">
        <v>0</v>
      </c>
      <c r="P64" s="351">
        <f t="shared" si="14"/>
        <v>0</v>
      </c>
      <c r="Q64" s="203">
        <f>(4*'[2]Table 5C1V-Laf Ren'!S64)+(4*'[3]Table 5C1V-Laf Ren'!S64)</f>
        <v>0</v>
      </c>
      <c r="R64" s="203">
        <f t="shared" si="15"/>
        <v>0</v>
      </c>
      <c r="S64" s="351">
        <f t="shared" si="30"/>
        <v>0</v>
      </c>
      <c r="T64" s="351">
        <f t="shared" si="16"/>
        <v>0</v>
      </c>
      <c r="U64" s="287">
        <f>'Table 5C1A-Madison Prep'!U64</f>
        <v>2167</v>
      </c>
      <c r="V64" s="328">
        <f t="shared" si="17"/>
        <v>0</v>
      </c>
      <c r="W64" s="289">
        <f>'[1]Oct midyear Laf Ren'!E61</f>
        <v>0</v>
      </c>
      <c r="X64" s="290">
        <f t="shared" si="18"/>
        <v>0</v>
      </c>
      <c r="Y64" s="289">
        <f>'[1]Feb midyear Laf Ren'!E61</f>
        <v>0</v>
      </c>
      <c r="Z64" s="290">
        <f t="shared" si="19"/>
        <v>0</v>
      </c>
      <c r="AA64" s="288">
        <f t="shared" si="20"/>
        <v>0</v>
      </c>
      <c r="AB64" s="324">
        <f t="shared" si="21"/>
        <v>0</v>
      </c>
      <c r="AC64" s="292">
        <f t="shared" si="22"/>
        <v>0</v>
      </c>
      <c r="AD64" s="324">
        <f t="shared" si="23"/>
        <v>0</v>
      </c>
      <c r="AE64" s="293">
        <v>0</v>
      </c>
      <c r="AF64" s="324">
        <f t="shared" si="24"/>
        <v>0</v>
      </c>
      <c r="AG64" s="293">
        <f>(4*'[2]Table 5C1V-Laf Ren'!AI64)+(4*'[3]Table 5C1V-Laf Ren'!AI64)</f>
        <v>0</v>
      </c>
      <c r="AH64" s="293">
        <f t="shared" si="25"/>
        <v>0</v>
      </c>
      <c r="AI64" s="324">
        <f t="shared" si="31"/>
        <v>0</v>
      </c>
      <c r="AJ64" s="321">
        <f t="shared" si="26"/>
        <v>0</v>
      </c>
      <c r="AK64" s="342">
        <f t="shared" si="27"/>
        <v>0</v>
      </c>
      <c r="AM64" s="286">
        <v>0</v>
      </c>
      <c r="AN64" s="286">
        <f t="shared" si="28"/>
        <v>0</v>
      </c>
      <c r="AO64" s="286">
        <f t="shared" si="29"/>
        <v>0</v>
      </c>
    </row>
    <row r="65" spans="1:41" ht="16.149999999999999" customHeight="1">
      <c r="A65" s="198">
        <v>59</v>
      </c>
      <c r="B65" s="199" t="s">
        <v>130</v>
      </c>
      <c r="C65" s="995">
        <v>0</v>
      </c>
      <c r="D65" s="201">
        <f>+'Table 5C1A-Madison Prep'!D65</f>
        <v>6621.946293521848</v>
      </c>
      <c r="E65" s="202">
        <f t="shared" si="8"/>
        <v>0</v>
      </c>
      <c r="F65" s="202">
        <f>+'Table 5C1A-Madison Prep'!F65</f>
        <v>689.52</v>
      </c>
      <c r="G65" s="202">
        <f t="shared" si="9"/>
        <v>0</v>
      </c>
      <c r="H65" s="345">
        <f t="shared" si="10"/>
        <v>0</v>
      </c>
      <c r="I65" s="203">
        <f>'[1]Oct midyear Laf Ren'!K62</f>
        <v>0</v>
      </c>
      <c r="J65" s="203">
        <f>'[1]Feb midyear Laf Ren'!K62</f>
        <v>0</v>
      </c>
      <c r="K65" s="204">
        <f t="shared" si="11"/>
        <v>0</v>
      </c>
      <c r="L65" s="345">
        <f t="shared" si="12"/>
        <v>0</v>
      </c>
      <c r="M65" s="286">
        <f t="shared" si="4"/>
        <v>0</v>
      </c>
      <c r="N65" s="345">
        <f t="shared" si="13"/>
        <v>0</v>
      </c>
      <c r="O65" s="201">
        <v>0</v>
      </c>
      <c r="P65" s="351">
        <f t="shared" si="14"/>
        <v>0</v>
      </c>
      <c r="Q65" s="203">
        <f>(4*'[2]Table 5C1V-Laf Ren'!S65)+(4*'[3]Table 5C1V-Laf Ren'!S65)</f>
        <v>0</v>
      </c>
      <c r="R65" s="203">
        <f t="shared" si="15"/>
        <v>0</v>
      </c>
      <c r="S65" s="351">
        <f t="shared" si="30"/>
        <v>0</v>
      </c>
      <c r="T65" s="351">
        <f t="shared" si="16"/>
        <v>0</v>
      </c>
      <c r="U65" s="287">
        <f>'Table 5C1A-Madison Prep'!U65</f>
        <v>1521</v>
      </c>
      <c r="V65" s="328">
        <f t="shared" si="17"/>
        <v>0</v>
      </c>
      <c r="W65" s="289">
        <f>'[1]Oct midyear Laf Ren'!E62</f>
        <v>0</v>
      </c>
      <c r="X65" s="290">
        <f t="shared" si="18"/>
        <v>0</v>
      </c>
      <c r="Y65" s="289">
        <f>'[1]Feb midyear Laf Ren'!E62</f>
        <v>0</v>
      </c>
      <c r="Z65" s="290">
        <f t="shared" si="19"/>
        <v>0</v>
      </c>
      <c r="AA65" s="288">
        <f t="shared" si="20"/>
        <v>0</v>
      </c>
      <c r="AB65" s="324">
        <f t="shared" si="21"/>
        <v>0</v>
      </c>
      <c r="AC65" s="292">
        <f t="shared" si="22"/>
        <v>0</v>
      </c>
      <c r="AD65" s="324">
        <f t="shared" si="23"/>
        <v>0</v>
      </c>
      <c r="AE65" s="293">
        <v>0</v>
      </c>
      <c r="AF65" s="324">
        <f t="shared" si="24"/>
        <v>0</v>
      </c>
      <c r="AG65" s="293">
        <f>(4*'[2]Table 5C1V-Laf Ren'!AI65)+(4*'[3]Table 5C1V-Laf Ren'!AI65)</f>
        <v>0</v>
      </c>
      <c r="AH65" s="293">
        <f t="shared" si="25"/>
        <v>0</v>
      </c>
      <c r="AI65" s="324">
        <f t="shared" si="31"/>
        <v>0</v>
      </c>
      <c r="AJ65" s="321">
        <f t="shared" si="26"/>
        <v>0</v>
      </c>
      <c r="AK65" s="342">
        <f t="shared" si="27"/>
        <v>0</v>
      </c>
      <c r="AM65" s="286">
        <v>0</v>
      </c>
      <c r="AN65" s="286">
        <f t="shared" si="28"/>
        <v>0</v>
      </c>
      <c r="AO65" s="286">
        <f t="shared" si="29"/>
        <v>0</v>
      </c>
    </row>
    <row r="66" spans="1:41" ht="16.149999999999999" customHeight="1">
      <c r="A66" s="191">
        <v>60</v>
      </c>
      <c r="B66" s="192" t="s">
        <v>131</v>
      </c>
      <c r="C66" s="996">
        <v>0</v>
      </c>
      <c r="D66" s="194">
        <f>+'Table 5C1A-Madison Prep'!D66</f>
        <v>5301.224090063828</v>
      </c>
      <c r="E66" s="195">
        <f t="shared" si="8"/>
        <v>0</v>
      </c>
      <c r="F66" s="195">
        <f>+'Table 5C1A-Madison Prep'!F66</f>
        <v>594.04</v>
      </c>
      <c r="G66" s="195">
        <f t="shared" si="9"/>
        <v>0</v>
      </c>
      <c r="H66" s="346">
        <f t="shared" si="10"/>
        <v>0</v>
      </c>
      <c r="I66" s="196">
        <f>'[1]Oct midyear Laf Ren'!K63</f>
        <v>0</v>
      </c>
      <c r="J66" s="196">
        <f>'[1]Feb midyear Laf Ren'!K63</f>
        <v>0</v>
      </c>
      <c r="K66" s="197">
        <f t="shared" si="11"/>
        <v>0</v>
      </c>
      <c r="L66" s="346">
        <f t="shared" si="12"/>
        <v>0</v>
      </c>
      <c r="M66" s="296">
        <f t="shared" si="4"/>
        <v>0</v>
      </c>
      <c r="N66" s="346">
        <f t="shared" si="13"/>
        <v>0</v>
      </c>
      <c r="O66" s="194">
        <v>0</v>
      </c>
      <c r="P66" s="352">
        <f t="shared" si="14"/>
        <v>0</v>
      </c>
      <c r="Q66" s="196">
        <f>(4*'[2]Table 5C1V-Laf Ren'!S66)+(4*'[3]Table 5C1V-Laf Ren'!S66)</f>
        <v>0</v>
      </c>
      <c r="R66" s="196">
        <f t="shared" si="15"/>
        <v>0</v>
      </c>
      <c r="S66" s="352">
        <f t="shared" si="30"/>
        <v>0</v>
      </c>
      <c r="T66" s="352">
        <f t="shared" si="16"/>
        <v>0</v>
      </c>
      <c r="U66" s="281">
        <f>'Table 5C1A-Madison Prep'!U66</f>
        <v>4024</v>
      </c>
      <c r="V66" s="329">
        <f t="shared" si="17"/>
        <v>0</v>
      </c>
      <c r="W66" s="884">
        <f>'[1]Oct midyear Laf Ren'!E63</f>
        <v>0</v>
      </c>
      <c r="X66" s="282">
        <f t="shared" si="18"/>
        <v>0</v>
      </c>
      <c r="Y66" s="884">
        <f>'[1]Feb midyear Laf Ren'!E63</f>
        <v>0</v>
      </c>
      <c r="Z66" s="282">
        <f t="shared" si="19"/>
        <v>0</v>
      </c>
      <c r="AA66" s="283">
        <f t="shared" si="20"/>
        <v>0</v>
      </c>
      <c r="AB66" s="325">
        <f t="shared" si="21"/>
        <v>0</v>
      </c>
      <c r="AC66" s="298">
        <f t="shared" si="22"/>
        <v>0</v>
      </c>
      <c r="AD66" s="325">
        <f t="shared" si="23"/>
        <v>0</v>
      </c>
      <c r="AE66" s="284">
        <v>0</v>
      </c>
      <c r="AF66" s="325">
        <f t="shared" si="24"/>
        <v>0</v>
      </c>
      <c r="AG66" s="284">
        <f>(4*'[2]Table 5C1V-Laf Ren'!AI66)+(4*'[3]Table 5C1V-Laf Ren'!AI66)</f>
        <v>0</v>
      </c>
      <c r="AH66" s="284">
        <f t="shared" si="25"/>
        <v>0</v>
      </c>
      <c r="AI66" s="325">
        <f t="shared" si="31"/>
        <v>0</v>
      </c>
      <c r="AJ66" s="338">
        <f t="shared" si="26"/>
        <v>0</v>
      </c>
      <c r="AK66" s="343">
        <f t="shared" si="27"/>
        <v>0</v>
      </c>
      <c r="AM66" s="296">
        <v>0</v>
      </c>
      <c r="AN66" s="296">
        <f t="shared" si="28"/>
        <v>0</v>
      </c>
      <c r="AO66" s="296">
        <f t="shared" si="29"/>
        <v>0</v>
      </c>
    </row>
    <row r="67" spans="1:41" ht="16.149999999999999" customHeight="1">
      <c r="A67" s="205">
        <v>61</v>
      </c>
      <c r="B67" s="206" t="s">
        <v>132</v>
      </c>
      <c r="C67" s="994">
        <v>0</v>
      </c>
      <c r="D67" s="208">
        <f>+'Table 5C1A-Madison Prep'!D67</f>
        <v>2854.1575356369185</v>
      </c>
      <c r="E67" s="209">
        <f t="shared" si="8"/>
        <v>0</v>
      </c>
      <c r="F67" s="209">
        <f>+'Table 5C1A-Madison Prep'!F67</f>
        <v>833.70999999999992</v>
      </c>
      <c r="G67" s="209">
        <f t="shared" si="9"/>
        <v>0</v>
      </c>
      <c r="H67" s="344">
        <f t="shared" si="10"/>
        <v>0</v>
      </c>
      <c r="I67" s="210">
        <f>'[1]Oct midyear Laf Ren'!K64</f>
        <v>0</v>
      </c>
      <c r="J67" s="210">
        <f>'[1]Feb midyear Laf Ren'!K64</f>
        <v>0</v>
      </c>
      <c r="K67" s="211">
        <f t="shared" si="11"/>
        <v>0</v>
      </c>
      <c r="L67" s="344">
        <f t="shared" si="12"/>
        <v>0</v>
      </c>
      <c r="M67" s="273">
        <f t="shared" si="4"/>
        <v>0</v>
      </c>
      <c r="N67" s="344">
        <f t="shared" si="13"/>
        <v>0</v>
      </c>
      <c r="O67" s="208">
        <v>0</v>
      </c>
      <c r="P67" s="350">
        <f t="shared" si="14"/>
        <v>0</v>
      </c>
      <c r="Q67" s="210">
        <f>(4*'[2]Table 5C1V-Laf Ren'!S67)+(4*'[3]Table 5C1V-Laf Ren'!S67)</f>
        <v>0</v>
      </c>
      <c r="R67" s="210">
        <f t="shared" si="15"/>
        <v>0</v>
      </c>
      <c r="S67" s="350">
        <f t="shared" si="30"/>
        <v>0</v>
      </c>
      <c r="T67" s="350">
        <f t="shared" si="16"/>
        <v>0</v>
      </c>
      <c r="U67" s="274">
        <f>'Table 5C1A-Madison Prep'!U67</f>
        <v>6739</v>
      </c>
      <c r="V67" s="327">
        <f t="shared" si="17"/>
        <v>0</v>
      </c>
      <c r="W67" s="883">
        <f>'[1]Oct midyear Laf Ren'!E64</f>
        <v>0</v>
      </c>
      <c r="X67" s="276">
        <f t="shared" si="18"/>
        <v>0</v>
      </c>
      <c r="Y67" s="883">
        <f>'[1]Feb midyear Laf Ren'!E64</f>
        <v>0</v>
      </c>
      <c r="Z67" s="276">
        <f t="shared" si="19"/>
        <v>0</v>
      </c>
      <c r="AA67" s="275">
        <f t="shared" si="20"/>
        <v>0</v>
      </c>
      <c r="AB67" s="323">
        <f t="shared" si="21"/>
        <v>0</v>
      </c>
      <c r="AC67" s="278">
        <f t="shared" si="22"/>
        <v>0</v>
      </c>
      <c r="AD67" s="323">
        <f t="shared" si="23"/>
        <v>0</v>
      </c>
      <c r="AE67" s="279">
        <v>0</v>
      </c>
      <c r="AF67" s="323">
        <f t="shared" si="24"/>
        <v>0</v>
      </c>
      <c r="AG67" s="279">
        <f>(4*'[2]Table 5C1V-Laf Ren'!AI67)+(4*'[3]Table 5C1V-Laf Ren'!AI67)</f>
        <v>0</v>
      </c>
      <c r="AH67" s="279">
        <f t="shared" si="25"/>
        <v>0</v>
      </c>
      <c r="AI67" s="323">
        <f t="shared" si="31"/>
        <v>0</v>
      </c>
      <c r="AJ67" s="337">
        <f t="shared" si="26"/>
        <v>0</v>
      </c>
      <c r="AK67" s="341">
        <f t="shared" si="27"/>
        <v>0</v>
      </c>
      <c r="AM67" s="273">
        <v>0</v>
      </c>
      <c r="AN67" s="273">
        <f t="shared" si="28"/>
        <v>0</v>
      </c>
      <c r="AO67" s="273">
        <f t="shared" si="29"/>
        <v>0</v>
      </c>
    </row>
    <row r="68" spans="1:41" ht="16.149999999999999" customHeight="1">
      <c r="A68" s="198">
        <v>62</v>
      </c>
      <c r="B68" s="199" t="s">
        <v>133</v>
      </c>
      <c r="C68" s="995">
        <v>0</v>
      </c>
      <c r="D68" s="201">
        <f>+'Table 5C1A-Madison Prep'!D68</f>
        <v>5901.074538516008</v>
      </c>
      <c r="E68" s="202">
        <f t="shared" si="8"/>
        <v>0</v>
      </c>
      <c r="F68" s="202">
        <f>+'Table 5C1A-Madison Prep'!F68</f>
        <v>516.08000000000004</v>
      </c>
      <c r="G68" s="202">
        <f t="shared" si="9"/>
        <v>0</v>
      </c>
      <c r="H68" s="345">
        <f t="shared" si="10"/>
        <v>0</v>
      </c>
      <c r="I68" s="203">
        <f>'[1]Oct midyear Laf Ren'!K65</f>
        <v>0</v>
      </c>
      <c r="J68" s="203">
        <f>'[1]Feb midyear Laf Ren'!K65</f>
        <v>0</v>
      </c>
      <c r="K68" s="204">
        <f t="shared" si="11"/>
        <v>0</v>
      </c>
      <c r="L68" s="345">
        <f t="shared" si="12"/>
        <v>0</v>
      </c>
      <c r="M68" s="286">
        <f t="shared" si="4"/>
        <v>0</v>
      </c>
      <c r="N68" s="345">
        <f t="shared" si="13"/>
        <v>0</v>
      </c>
      <c r="O68" s="201">
        <v>0</v>
      </c>
      <c r="P68" s="351">
        <f t="shared" si="14"/>
        <v>0</v>
      </c>
      <c r="Q68" s="203">
        <f>(4*'[2]Table 5C1V-Laf Ren'!S68)+(4*'[3]Table 5C1V-Laf Ren'!S68)</f>
        <v>0</v>
      </c>
      <c r="R68" s="203">
        <f t="shared" si="15"/>
        <v>0</v>
      </c>
      <c r="S68" s="351">
        <f t="shared" si="30"/>
        <v>0</v>
      </c>
      <c r="T68" s="351">
        <f t="shared" si="16"/>
        <v>0</v>
      </c>
      <c r="U68" s="287">
        <f>'Table 5C1A-Madison Prep'!U68</f>
        <v>2089</v>
      </c>
      <c r="V68" s="328">
        <f t="shared" si="17"/>
        <v>0</v>
      </c>
      <c r="W68" s="289">
        <f>'[1]Oct midyear Laf Ren'!E65</f>
        <v>0</v>
      </c>
      <c r="X68" s="290">
        <f t="shared" si="18"/>
        <v>0</v>
      </c>
      <c r="Y68" s="289">
        <f>'[1]Feb midyear Laf Ren'!E65</f>
        <v>0</v>
      </c>
      <c r="Z68" s="290">
        <f t="shared" si="19"/>
        <v>0</v>
      </c>
      <c r="AA68" s="288">
        <f t="shared" si="20"/>
        <v>0</v>
      </c>
      <c r="AB68" s="324">
        <f t="shared" si="21"/>
        <v>0</v>
      </c>
      <c r="AC68" s="292">
        <f t="shared" si="22"/>
        <v>0</v>
      </c>
      <c r="AD68" s="324">
        <f t="shared" si="23"/>
        <v>0</v>
      </c>
      <c r="AE68" s="293">
        <v>0</v>
      </c>
      <c r="AF68" s="324">
        <f t="shared" si="24"/>
        <v>0</v>
      </c>
      <c r="AG68" s="293">
        <f>(4*'[2]Table 5C1V-Laf Ren'!AI68)+(4*'[3]Table 5C1V-Laf Ren'!AI68)</f>
        <v>0</v>
      </c>
      <c r="AH68" s="293">
        <f t="shared" si="25"/>
        <v>0</v>
      </c>
      <c r="AI68" s="324">
        <f t="shared" si="31"/>
        <v>0</v>
      </c>
      <c r="AJ68" s="321">
        <f t="shared" si="26"/>
        <v>0</v>
      </c>
      <c r="AK68" s="342">
        <f t="shared" si="27"/>
        <v>0</v>
      </c>
      <c r="AM68" s="286">
        <v>0</v>
      </c>
      <c r="AN68" s="286">
        <f t="shared" si="28"/>
        <v>0</v>
      </c>
      <c r="AO68" s="286">
        <f t="shared" si="29"/>
        <v>0</v>
      </c>
    </row>
    <row r="69" spans="1:41" ht="16.149999999999999" customHeight="1">
      <c r="A69" s="198">
        <v>63</v>
      </c>
      <c r="B69" s="199" t="s">
        <v>134</v>
      </c>
      <c r="C69" s="995">
        <v>0</v>
      </c>
      <c r="D69" s="201">
        <f>+'Table 5C1A-Madison Prep'!D69</f>
        <v>4124.3813481848092</v>
      </c>
      <c r="E69" s="202">
        <f t="shared" si="8"/>
        <v>0</v>
      </c>
      <c r="F69" s="202">
        <f>+'Table 5C1A-Madison Prep'!F69</f>
        <v>756.79</v>
      </c>
      <c r="G69" s="202">
        <f t="shared" si="9"/>
        <v>0</v>
      </c>
      <c r="H69" s="345">
        <f t="shared" si="10"/>
        <v>0</v>
      </c>
      <c r="I69" s="203">
        <f>'[1]Oct midyear Laf Ren'!K66</f>
        <v>0</v>
      </c>
      <c r="J69" s="203">
        <f>'[1]Feb midyear Laf Ren'!K66</f>
        <v>0</v>
      </c>
      <c r="K69" s="204">
        <f t="shared" si="11"/>
        <v>0</v>
      </c>
      <c r="L69" s="345">
        <f t="shared" si="12"/>
        <v>0</v>
      </c>
      <c r="M69" s="286">
        <f t="shared" si="4"/>
        <v>0</v>
      </c>
      <c r="N69" s="345">
        <f t="shared" si="13"/>
        <v>0</v>
      </c>
      <c r="O69" s="201">
        <v>0</v>
      </c>
      <c r="P69" s="351">
        <f t="shared" si="14"/>
        <v>0</v>
      </c>
      <c r="Q69" s="203">
        <f>(4*'[2]Table 5C1V-Laf Ren'!S69)+(4*'[3]Table 5C1V-Laf Ren'!S69)</f>
        <v>0</v>
      </c>
      <c r="R69" s="203">
        <f t="shared" si="15"/>
        <v>0</v>
      </c>
      <c r="S69" s="351">
        <f t="shared" si="30"/>
        <v>0</v>
      </c>
      <c r="T69" s="351">
        <f t="shared" si="16"/>
        <v>0</v>
      </c>
      <c r="U69" s="287">
        <f>'Table 5C1A-Madison Prep'!U69</f>
        <v>7403</v>
      </c>
      <c r="V69" s="328">
        <f t="shared" si="17"/>
        <v>0</v>
      </c>
      <c r="W69" s="289">
        <f>'[1]Oct midyear Laf Ren'!E66</f>
        <v>0</v>
      </c>
      <c r="X69" s="290">
        <f t="shared" si="18"/>
        <v>0</v>
      </c>
      <c r="Y69" s="289">
        <f>'[1]Feb midyear Laf Ren'!E66</f>
        <v>0</v>
      </c>
      <c r="Z69" s="290">
        <f t="shared" si="19"/>
        <v>0</v>
      </c>
      <c r="AA69" s="288">
        <f t="shared" si="20"/>
        <v>0</v>
      </c>
      <c r="AB69" s="324">
        <f t="shared" si="21"/>
        <v>0</v>
      </c>
      <c r="AC69" s="292">
        <f t="shared" si="22"/>
        <v>0</v>
      </c>
      <c r="AD69" s="324">
        <f t="shared" si="23"/>
        <v>0</v>
      </c>
      <c r="AE69" s="293">
        <v>0</v>
      </c>
      <c r="AF69" s="324">
        <f t="shared" si="24"/>
        <v>0</v>
      </c>
      <c r="AG69" s="293">
        <f>(4*'[2]Table 5C1V-Laf Ren'!AI69)+(4*'[3]Table 5C1V-Laf Ren'!AI69)</f>
        <v>0</v>
      </c>
      <c r="AH69" s="293">
        <f t="shared" si="25"/>
        <v>0</v>
      </c>
      <c r="AI69" s="324">
        <f t="shared" si="31"/>
        <v>0</v>
      </c>
      <c r="AJ69" s="321">
        <f t="shared" si="26"/>
        <v>0</v>
      </c>
      <c r="AK69" s="342">
        <f t="shared" si="27"/>
        <v>0</v>
      </c>
      <c r="AM69" s="286">
        <v>0</v>
      </c>
      <c r="AN69" s="286">
        <f t="shared" si="28"/>
        <v>0</v>
      </c>
      <c r="AO69" s="286">
        <f t="shared" si="29"/>
        <v>0</v>
      </c>
    </row>
    <row r="70" spans="1:41" ht="16.149999999999999" customHeight="1">
      <c r="A70" s="198">
        <v>64</v>
      </c>
      <c r="B70" s="199" t="s">
        <v>135</v>
      </c>
      <c r="C70" s="995">
        <v>0</v>
      </c>
      <c r="D70" s="201">
        <f>+'Table 5C1A-Madison Prep'!D70</f>
        <v>6277.8307532778254</v>
      </c>
      <c r="E70" s="202">
        <f t="shared" si="8"/>
        <v>0</v>
      </c>
      <c r="F70" s="202">
        <f>+'Table 5C1A-Madison Prep'!F70</f>
        <v>592.66</v>
      </c>
      <c r="G70" s="202">
        <f t="shared" si="9"/>
        <v>0</v>
      </c>
      <c r="H70" s="345">
        <f t="shared" si="10"/>
        <v>0</v>
      </c>
      <c r="I70" s="203">
        <f>'[1]Oct midyear Laf Ren'!K67</f>
        <v>0</v>
      </c>
      <c r="J70" s="203">
        <f>'[1]Feb midyear Laf Ren'!K67</f>
        <v>0</v>
      </c>
      <c r="K70" s="204">
        <f t="shared" si="11"/>
        <v>0</v>
      </c>
      <c r="L70" s="345">
        <f t="shared" si="12"/>
        <v>0</v>
      </c>
      <c r="M70" s="286">
        <f t="shared" si="4"/>
        <v>0</v>
      </c>
      <c r="N70" s="345">
        <f t="shared" si="13"/>
        <v>0</v>
      </c>
      <c r="O70" s="201">
        <v>0</v>
      </c>
      <c r="P70" s="351">
        <f t="shared" si="14"/>
        <v>0</v>
      </c>
      <c r="Q70" s="203">
        <f>(4*'[2]Table 5C1V-Laf Ren'!S70)+(4*'[3]Table 5C1V-Laf Ren'!S70)</f>
        <v>0</v>
      </c>
      <c r="R70" s="203">
        <f t="shared" si="15"/>
        <v>0</v>
      </c>
      <c r="S70" s="351">
        <f t="shared" si="30"/>
        <v>0</v>
      </c>
      <c r="T70" s="351">
        <f t="shared" si="16"/>
        <v>0</v>
      </c>
      <c r="U70" s="287">
        <f>'Table 5C1A-Madison Prep'!U70</f>
        <v>2802</v>
      </c>
      <c r="V70" s="328">
        <f t="shared" si="17"/>
        <v>0</v>
      </c>
      <c r="W70" s="289">
        <f>'[1]Oct midyear Laf Ren'!E67</f>
        <v>0</v>
      </c>
      <c r="X70" s="290">
        <f t="shared" si="18"/>
        <v>0</v>
      </c>
      <c r="Y70" s="289">
        <f>'[1]Feb midyear Laf Ren'!E67</f>
        <v>0</v>
      </c>
      <c r="Z70" s="290">
        <f t="shared" si="19"/>
        <v>0</v>
      </c>
      <c r="AA70" s="288">
        <f t="shared" si="20"/>
        <v>0</v>
      </c>
      <c r="AB70" s="324">
        <f t="shared" si="21"/>
        <v>0</v>
      </c>
      <c r="AC70" s="292">
        <f t="shared" si="22"/>
        <v>0</v>
      </c>
      <c r="AD70" s="324">
        <f t="shared" si="23"/>
        <v>0</v>
      </c>
      <c r="AE70" s="293">
        <v>0</v>
      </c>
      <c r="AF70" s="324">
        <f t="shared" si="24"/>
        <v>0</v>
      </c>
      <c r="AG70" s="293">
        <f>(4*'[2]Table 5C1V-Laf Ren'!AI70)+(4*'[3]Table 5C1V-Laf Ren'!AI70)</f>
        <v>0</v>
      </c>
      <c r="AH70" s="293">
        <f t="shared" si="25"/>
        <v>0</v>
      </c>
      <c r="AI70" s="324">
        <f t="shared" si="31"/>
        <v>0</v>
      </c>
      <c r="AJ70" s="321">
        <f t="shared" si="26"/>
        <v>0</v>
      </c>
      <c r="AK70" s="342">
        <f t="shared" si="27"/>
        <v>0</v>
      </c>
      <c r="AM70" s="286">
        <v>0</v>
      </c>
      <c r="AN70" s="286">
        <f t="shared" si="28"/>
        <v>0</v>
      </c>
      <c r="AO70" s="286">
        <f t="shared" si="29"/>
        <v>0</v>
      </c>
    </row>
    <row r="71" spans="1:41" ht="16.149999999999999" customHeight="1">
      <c r="A71" s="191">
        <v>65</v>
      </c>
      <c r="B71" s="192" t="s">
        <v>136</v>
      </c>
      <c r="C71" s="996">
        <v>0</v>
      </c>
      <c r="D71" s="194">
        <f>+'Table 5C1A-Madison Prep'!D71</f>
        <v>4775.1605543943642</v>
      </c>
      <c r="E71" s="195">
        <f t="shared" si="8"/>
        <v>0</v>
      </c>
      <c r="F71" s="195">
        <f>+'Table 5C1A-Madison Prep'!F71</f>
        <v>829.12</v>
      </c>
      <c r="G71" s="195">
        <f t="shared" si="9"/>
        <v>0</v>
      </c>
      <c r="H71" s="346">
        <f t="shared" si="10"/>
        <v>0</v>
      </c>
      <c r="I71" s="196">
        <f>'[1]Oct midyear Laf Ren'!K68</f>
        <v>0</v>
      </c>
      <c r="J71" s="196">
        <f>'[1]Feb midyear Laf Ren'!K68</f>
        <v>0</v>
      </c>
      <c r="K71" s="197">
        <f t="shared" si="11"/>
        <v>0</v>
      </c>
      <c r="L71" s="346">
        <f t="shared" si="12"/>
        <v>0</v>
      </c>
      <c r="M71" s="296">
        <f t="shared" ref="M71:M73" si="32">-(0.25%*L71)</f>
        <v>0</v>
      </c>
      <c r="N71" s="346">
        <f t="shared" si="13"/>
        <v>0</v>
      </c>
      <c r="O71" s="194">
        <v>0</v>
      </c>
      <c r="P71" s="352">
        <f t="shared" si="14"/>
        <v>0</v>
      </c>
      <c r="Q71" s="196">
        <f>(4*'[2]Table 5C1V-Laf Ren'!S71)+(4*'[3]Table 5C1V-Laf Ren'!S71)</f>
        <v>0</v>
      </c>
      <c r="R71" s="196">
        <f t="shared" si="15"/>
        <v>0</v>
      </c>
      <c r="S71" s="352">
        <f t="shared" ref="S71:S75" si="33">ROUND(R71/$S$88,0)</f>
        <v>0</v>
      </c>
      <c r="T71" s="352">
        <f t="shared" si="16"/>
        <v>0</v>
      </c>
      <c r="U71" s="281">
        <f>'Table 5C1A-Madison Prep'!U71</f>
        <v>5215</v>
      </c>
      <c r="V71" s="329">
        <f t="shared" si="17"/>
        <v>0</v>
      </c>
      <c r="W71" s="884">
        <f>'[1]Oct midyear Laf Ren'!E68</f>
        <v>0</v>
      </c>
      <c r="X71" s="282">
        <f t="shared" si="18"/>
        <v>0</v>
      </c>
      <c r="Y71" s="884">
        <f>'[1]Feb midyear Laf Ren'!E68</f>
        <v>0</v>
      </c>
      <c r="Z71" s="282">
        <f t="shared" si="19"/>
        <v>0</v>
      </c>
      <c r="AA71" s="283">
        <f t="shared" si="20"/>
        <v>0</v>
      </c>
      <c r="AB71" s="325">
        <f t="shared" si="21"/>
        <v>0</v>
      </c>
      <c r="AC71" s="298">
        <f t="shared" si="22"/>
        <v>0</v>
      </c>
      <c r="AD71" s="325">
        <f t="shared" si="23"/>
        <v>0</v>
      </c>
      <c r="AE71" s="284">
        <v>0</v>
      </c>
      <c r="AF71" s="325">
        <f t="shared" si="24"/>
        <v>0</v>
      </c>
      <c r="AG71" s="284">
        <f>(4*'[2]Table 5C1V-Laf Ren'!AI71)+(4*'[3]Table 5C1V-Laf Ren'!AI71)</f>
        <v>0</v>
      </c>
      <c r="AH71" s="284">
        <f t="shared" si="25"/>
        <v>0</v>
      </c>
      <c r="AI71" s="325">
        <f t="shared" ref="AI71:AI75" si="34">ROUND(AH71/$AI$88,0)</f>
        <v>0</v>
      </c>
      <c r="AJ71" s="338">
        <f t="shared" si="26"/>
        <v>0</v>
      </c>
      <c r="AK71" s="343">
        <f t="shared" si="27"/>
        <v>0</v>
      </c>
      <c r="AM71" s="296">
        <v>0</v>
      </c>
      <c r="AN71" s="296">
        <f t="shared" si="28"/>
        <v>0</v>
      </c>
      <c r="AO71" s="296">
        <f t="shared" si="29"/>
        <v>0</v>
      </c>
    </row>
    <row r="72" spans="1:41" ht="16.149999999999999" customHeight="1">
      <c r="A72" s="205">
        <v>66</v>
      </c>
      <c r="B72" s="206" t="s">
        <v>137</v>
      </c>
      <c r="C72" s="994">
        <v>0</v>
      </c>
      <c r="D72" s="208">
        <f>+'Table 5C1A-Madison Prep'!D72</f>
        <v>6564.0085433910035</v>
      </c>
      <c r="E72" s="209">
        <f t="shared" ref="E72:E75" si="35">C72*D72</f>
        <v>0</v>
      </c>
      <c r="F72" s="209">
        <f>+'Table 5C1A-Madison Prep'!F72</f>
        <v>730.06</v>
      </c>
      <c r="G72" s="209">
        <f t="shared" ref="G72:G75" si="36">C72*F72</f>
        <v>0</v>
      </c>
      <c r="H72" s="344">
        <f t="shared" ref="H72:H75" si="37">E72+G72</f>
        <v>0</v>
      </c>
      <c r="I72" s="210">
        <f>'[1]Oct midyear Laf Ren'!K69</f>
        <v>0</v>
      </c>
      <c r="J72" s="210">
        <f>'[1]Feb midyear Laf Ren'!K69</f>
        <v>0</v>
      </c>
      <c r="K72" s="211">
        <f t="shared" ref="K72:K75" si="38">I72+J72</f>
        <v>0</v>
      </c>
      <c r="L72" s="344">
        <f t="shared" ref="L72:L75" si="39">+H72+K72</f>
        <v>0</v>
      </c>
      <c r="M72" s="273">
        <f t="shared" si="32"/>
        <v>0</v>
      </c>
      <c r="N72" s="344">
        <f t="shared" ref="N72:N75" si="40">SUM(L72:M72)</f>
        <v>0</v>
      </c>
      <c r="O72" s="208">
        <v>0</v>
      </c>
      <c r="P72" s="350">
        <f t="shared" ref="P72:P75" si="41">SUM(N72:O72)</f>
        <v>0</v>
      </c>
      <c r="Q72" s="210">
        <f>(4*'[2]Table 5C1V-Laf Ren'!S72)+(4*'[3]Table 5C1V-Laf Ren'!S72)</f>
        <v>0</v>
      </c>
      <c r="R72" s="210">
        <f t="shared" ref="R72:R75" si="42">+P72-Q72</f>
        <v>0</v>
      </c>
      <c r="S72" s="350">
        <f t="shared" si="33"/>
        <v>0</v>
      </c>
      <c r="T72" s="350">
        <f t="shared" ref="T72:T75" si="43">+P72</f>
        <v>0</v>
      </c>
      <c r="U72" s="274">
        <f>'Table 5C1A-Madison Prep'!U72</f>
        <v>3609</v>
      </c>
      <c r="V72" s="327">
        <f t="shared" ref="V72:V75" si="44">C72*U72</f>
        <v>0</v>
      </c>
      <c r="W72" s="883">
        <f>'[1]Oct midyear Laf Ren'!E69</f>
        <v>0</v>
      </c>
      <c r="X72" s="276">
        <f t="shared" ref="X72:X75" si="45">+U72*W72</f>
        <v>0</v>
      </c>
      <c r="Y72" s="883">
        <f>'[1]Feb midyear Laf Ren'!E69</f>
        <v>0</v>
      </c>
      <c r="Z72" s="276">
        <f t="shared" ref="Z72:Z75" si="46">+U72*Y72*0.5</f>
        <v>0</v>
      </c>
      <c r="AA72" s="275">
        <f t="shared" ref="AA72:AA75" si="47">+X72+Z72</f>
        <v>0</v>
      </c>
      <c r="AB72" s="323">
        <f t="shared" ref="AB72:AB75" si="48">+V72+AA72</f>
        <v>0</v>
      </c>
      <c r="AC72" s="278">
        <f t="shared" ref="AC72:AC75" si="49">-(0.25%*AB72)</f>
        <v>0</v>
      </c>
      <c r="AD72" s="323">
        <f t="shared" ref="AD72:AD75" si="50">SUM(AB72:AC72)</f>
        <v>0</v>
      </c>
      <c r="AE72" s="279">
        <v>0</v>
      </c>
      <c r="AF72" s="323">
        <f t="shared" ref="AF72:AF75" si="51">SUM(AD72:AE72)</f>
        <v>0</v>
      </c>
      <c r="AG72" s="279">
        <f>(4*'[2]Table 5C1V-Laf Ren'!AI72)+(4*'[3]Table 5C1V-Laf Ren'!AI72)</f>
        <v>0</v>
      </c>
      <c r="AH72" s="279">
        <f t="shared" ref="AH72:AH75" si="52">+AF72-AG72</f>
        <v>0</v>
      </c>
      <c r="AI72" s="323">
        <f t="shared" si="34"/>
        <v>0</v>
      </c>
      <c r="AJ72" s="337">
        <f t="shared" ref="AJ72:AJ75" si="53">T72+AF72</f>
        <v>0</v>
      </c>
      <c r="AK72" s="341">
        <f t="shared" ref="AK72:AK75" si="54">S72+AI72</f>
        <v>0</v>
      </c>
      <c r="AM72" s="310">
        <v>0</v>
      </c>
      <c r="AN72" s="310">
        <f t="shared" ref="AN72:AN75" si="55">+AC72</f>
        <v>0</v>
      </c>
      <c r="AO72" s="310">
        <f t="shared" si="29"/>
        <v>0</v>
      </c>
    </row>
    <row r="73" spans="1:41" ht="16.149999999999999" customHeight="1">
      <c r="A73" s="198">
        <v>67</v>
      </c>
      <c r="B73" s="199" t="s">
        <v>28</v>
      </c>
      <c r="C73" s="995">
        <v>0</v>
      </c>
      <c r="D73" s="201">
        <f>+'Table 5C1A-Madison Prep'!D73</f>
        <v>5029.1467736134118</v>
      </c>
      <c r="E73" s="202">
        <f t="shared" si="35"/>
        <v>0</v>
      </c>
      <c r="F73" s="202">
        <f>+'Table 5C1A-Madison Prep'!F73</f>
        <v>715.61</v>
      </c>
      <c r="G73" s="202">
        <f t="shared" si="36"/>
        <v>0</v>
      </c>
      <c r="H73" s="345">
        <f t="shared" si="37"/>
        <v>0</v>
      </c>
      <c r="I73" s="203">
        <f>'[1]Oct midyear Laf Ren'!K70</f>
        <v>0</v>
      </c>
      <c r="J73" s="203">
        <f>'[1]Feb midyear Laf Ren'!K70</f>
        <v>0</v>
      </c>
      <c r="K73" s="204">
        <f t="shared" si="38"/>
        <v>0</v>
      </c>
      <c r="L73" s="345">
        <f t="shared" si="39"/>
        <v>0</v>
      </c>
      <c r="M73" s="286">
        <f t="shared" si="32"/>
        <v>0</v>
      </c>
      <c r="N73" s="345">
        <f t="shared" si="40"/>
        <v>0</v>
      </c>
      <c r="O73" s="201">
        <v>0</v>
      </c>
      <c r="P73" s="351">
        <f t="shared" si="41"/>
        <v>0</v>
      </c>
      <c r="Q73" s="203">
        <f>(4*'[2]Table 5C1V-Laf Ren'!S73)+(4*'[3]Table 5C1V-Laf Ren'!S73)</f>
        <v>0</v>
      </c>
      <c r="R73" s="203">
        <f t="shared" si="42"/>
        <v>0</v>
      </c>
      <c r="S73" s="351">
        <f t="shared" si="33"/>
        <v>0</v>
      </c>
      <c r="T73" s="351">
        <f t="shared" si="43"/>
        <v>0</v>
      </c>
      <c r="U73" s="287">
        <f>'Table 5C1A-Madison Prep'!U73</f>
        <v>5069</v>
      </c>
      <c r="V73" s="328">
        <f t="shared" si="44"/>
        <v>0</v>
      </c>
      <c r="W73" s="289">
        <f>'[1]Oct midyear Laf Ren'!E70</f>
        <v>0</v>
      </c>
      <c r="X73" s="290">
        <f t="shared" si="45"/>
        <v>0</v>
      </c>
      <c r="Y73" s="289">
        <f>'[1]Feb midyear Laf Ren'!E70</f>
        <v>0</v>
      </c>
      <c r="Z73" s="290">
        <f t="shared" si="46"/>
        <v>0</v>
      </c>
      <c r="AA73" s="288">
        <f t="shared" si="47"/>
        <v>0</v>
      </c>
      <c r="AB73" s="324">
        <f t="shared" si="48"/>
        <v>0</v>
      </c>
      <c r="AC73" s="292">
        <f t="shared" si="49"/>
        <v>0</v>
      </c>
      <c r="AD73" s="324">
        <f t="shared" si="50"/>
        <v>0</v>
      </c>
      <c r="AE73" s="293">
        <v>0</v>
      </c>
      <c r="AF73" s="324">
        <f t="shared" si="51"/>
        <v>0</v>
      </c>
      <c r="AG73" s="293">
        <f>(4*'[2]Table 5C1V-Laf Ren'!AI73)+(4*'[3]Table 5C1V-Laf Ren'!AI73)</f>
        <v>0</v>
      </c>
      <c r="AH73" s="293">
        <f t="shared" si="52"/>
        <v>0</v>
      </c>
      <c r="AI73" s="324">
        <f t="shared" si="34"/>
        <v>0</v>
      </c>
      <c r="AJ73" s="321">
        <f t="shared" si="53"/>
        <v>0</v>
      </c>
      <c r="AK73" s="342">
        <f t="shared" si="54"/>
        <v>0</v>
      </c>
      <c r="AM73" s="310">
        <v>0</v>
      </c>
      <c r="AN73" s="310">
        <f t="shared" si="55"/>
        <v>0</v>
      </c>
      <c r="AO73" s="310">
        <f t="shared" si="29"/>
        <v>0</v>
      </c>
    </row>
    <row r="74" spans="1:41" ht="16.149999999999999" customHeight="1">
      <c r="A74" s="198">
        <v>68</v>
      </c>
      <c r="B74" s="199" t="s">
        <v>27</v>
      </c>
      <c r="C74" s="995">
        <v>0</v>
      </c>
      <c r="D74" s="201">
        <f>+'Table 5C1A-Madison Prep'!D74</f>
        <v>6390.1644202560601</v>
      </c>
      <c r="E74" s="202">
        <f t="shared" si="35"/>
        <v>0</v>
      </c>
      <c r="F74" s="202">
        <f>+'Table 5C1A-Madison Prep'!F74</f>
        <v>798.7</v>
      </c>
      <c r="G74" s="202">
        <f t="shared" si="36"/>
        <v>0</v>
      </c>
      <c r="H74" s="345">
        <f t="shared" si="37"/>
        <v>0</v>
      </c>
      <c r="I74" s="203">
        <f>'[1]Oct midyear Laf Ren'!K71</f>
        <v>0</v>
      </c>
      <c r="J74" s="203">
        <f>'[1]Feb midyear Laf Ren'!K71</f>
        <v>0</v>
      </c>
      <c r="K74" s="204">
        <f t="shared" si="38"/>
        <v>0</v>
      </c>
      <c r="L74" s="345">
        <f t="shared" si="39"/>
        <v>0</v>
      </c>
      <c r="M74" s="286">
        <f t="shared" ref="M74" si="56">-(0.25%*H74)</f>
        <v>0</v>
      </c>
      <c r="N74" s="345">
        <f t="shared" si="40"/>
        <v>0</v>
      </c>
      <c r="O74" s="201">
        <v>0</v>
      </c>
      <c r="P74" s="351">
        <f t="shared" si="41"/>
        <v>0</v>
      </c>
      <c r="Q74" s="203">
        <f>(4*'[2]Table 5C1V-Laf Ren'!S74)+(4*'[3]Table 5C1V-Laf Ren'!S74)</f>
        <v>0</v>
      </c>
      <c r="R74" s="203">
        <f t="shared" si="42"/>
        <v>0</v>
      </c>
      <c r="S74" s="351">
        <f t="shared" si="33"/>
        <v>0</v>
      </c>
      <c r="T74" s="351">
        <f t="shared" si="43"/>
        <v>0</v>
      </c>
      <c r="U74" s="287">
        <f>'Table 5C1A-Madison Prep'!U74</f>
        <v>2880</v>
      </c>
      <c r="V74" s="328">
        <f t="shared" si="44"/>
        <v>0</v>
      </c>
      <c r="W74" s="289">
        <f>'[1]Oct midyear Laf Ren'!E71</f>
        <v>0</v>
      </c>
      <c r="X74" s="290">
        <f t="shared" si="45"/>
        <v>0</v>
      </c>
      <c r="Y74" s="289">
        <f>'[1]Feb midyear Laf Ren'!E71</f>
        <v>0</v>
      </c>
      <c r="Z74" s="290">
        <f t="shared" si="46"/>
        <v>0</v>
      </c>
      <c r="AA74" s="288">
        <f t="shared" si="47"/>
        <v>0</v>
      </c>
      <c r="AB74" s="324">
        <f t="shared" si="48"/>
        <v>0</v>
      </c>
      <c r="AC74" s="292">
        <f t="shared" si="49"/>
        <v>0</v>
      </c>
      <c r="AD74" s="324">
        <f t="shared" si="50"/>
        <v>0</v>
      </c>
      <c r="AE74" s="293">
        <v>0</v>
      </c>
      <c r="AF74" s="324">
        <f t="shared" si="51"/>
        <v>0</v>
      </c>
      <c r="AG74" s="293">
        <f>(4*'[2]Table 5C1V-Laf Ren'!AI74)+(4*'[3]Table 5C1V-Laf Ren'!AI74)</f>
        <v>0</v>
      </c>
      <c r="AH74" s="293">
        <f t="shared" si="52"/>
        <v>0</v>
      </c>
      <c r="AI74" s="324">
        <f t="shared" si="34"/>
        <v>0</v>
      </c>
      <c r="AJ74" s="321">
        <f t="shared" si="53"/>
        <v>0</v>
      </c>
      <c r="AK74" s="342">
        <f t="shared" si="54"/>
        <v>0</v>
      </c>
      <c r="AM74" s="310">
        <v>0</v>
      </c>
      <c r="AN74" s="310">
        <f t="shared" si="55"/>
        <v>0</v>
      </c>
      <c r="AO74" s="310">
        <f t="shared" si="29"/>
        <v>0</v>
      </c>
    </row>
    <row r="75" spans="1:41" ht="16.149999999999999" customHeight="1">
      <c r="A75" s="198">
        <v>69</v>
      </c>
      <c r="B75" s="199" t="s">
        <v>147</v>
      </c>
      <c r="C75" s="995">
        <v>0</v>
      </c>
      <c r="D75" s="201">
        <f>+'Table 5C1A-Madison Prep'!D75</f>
        <v>5722.4947921281337</v>
      </c>
      <c r="E75" s="202">
        <f t="shared" si="35"/>
        <v>0</v>
      </c>
      <c r="F75" s="202">
        <f>+'Table 5C1A-Madison Prep'!F75</f>
        <v>705.67</v>
      </c>
      <c r="G75" s="202">
        <f t="shared" si="36"/>
        <v>0</v>
      </c>
      <c r="H75" s="345">
        <f t="shared" si="37"/>
        <v>0</v>
      </c>
      <c r="I75" s="203">
        <f>'[1]Oct midyear Laf Ren'!K72</f>
        <v>0</v>
      </c>
      <c r="J75" s="203">
        <f>'[1]Feb midyear Laf Ren'!K72</f>
        <v>0</v>
      </c>
      <c r="K75" s="204">
        <f t="shared" si="38"/>
        <v>0</v>
      </c>
      <c r="L75" s="345">
        <f t="shared" si="39"/>
        <v>0</v>
      </c>
      <c r="M75" s="286">
        <f>-(0.25%*L75)</f>
        <v>0</v>
      </c>
      <c r="N75" s="345">
        <f t="shared" si="40"/>
        <v>0</v>
      </c>
      <c r="O75" s="201">
        <v>0</v>
      </c>
      <c r="P75" s="351">
        <f t="shared" si="41"/>
        <v>0</v>
      </c>
      <c r="Q75" s="203">
        <f>(4*'[2]Table 5C1V-Laf Ren'!S75)+(4*'[3]Table 5C1V-Laf Ren'!S75)</f>
        <v>0</v>
      </c>
      <c r="R75" s="203">
        <f t="shared" si="42"/>
        <v>0</v>
      </c>
      <c r="S75" s="351">
        <f t="shared" si="33"/>
        <v>0</v>
      </c>
      <c r="T75" s="351">
        <f t="shared" si="43"/>
        <v>0</v>
      </c>
      <c r="U75" s="287">
        <f>'Table 5C1A-Madison Prep'!U75</f>
        <v>3330</v>
      </c>
      <c r="V75" s="328">
        <f t="shared" si="44"/>
        <v>0</v>
      </c>
      <c r="W75" s="289">
        <f>'[1]Oct midyear Laf Ren'!E72</f>
        <v>0</v>
      </c>
      <c r="X75" s="290">
        <f t="shared" si="45"/>
        <v>0</v>
      </c>
      <c r="Y75" s="289">
        <f>'[1]Feb midyear Laf Ren'!E72</f>
        <v>0</v>
      </c>
      <c r="Z75" s="290">
        <f t="shared" si="46"/>
        <v>0</v>
      </c>
      <c r="AA75" s="288">
        <f t="shared" si="47"/>
        <v>0</v>
      </c>
      <c r="AB75" s="324">
        <f t="shared" si="48"/>
        <v>0</v>
      </c>
      <c r="AC75" s="292">
        <f t="shared" si="49"/>
        <v>0</v>
      </c>
      <c r="AD75" s="324">
        <f t="shared" si="50"/>
        <v>0</v>
      </c>
      <c r="AE75" s="293">
        <v>0</v>
      </c>
      <c r="AF75" s="324">
        <f t="shared" si="51"/>
        <v>0</v>
      </c>
      <c r="AG75" s="293">
        <f>(4*'[2]Table 5C1V-Laf Ren'!AI75)+(4*'[3]Table 5C1V-Laf Ren'!AI75)</f>
        <v>0</v>
      </c>
      <c r="AH75" s="293">
        <f t="shared" si="52"/>
        <v>0</v>
      </c>
      <c r="AI75" s="324">
        <f t="shared" si="34"/>
        <v>0</v>
      </c>
      <c r="AJ75" s="321">
        <f t="shared" si="53"/>
        <v>0</v>
      </c>
      <c r="AK75" s="342">
        <f t="shared" si="54"/>
        <v>0</v>
      </c>
      <c r="AM75" s="300">
        <v>0</v>
      </c>
      <c r="AN75" s="300">
        <f t="shared" si="55"/>
        <v>0</v>
      </c>
      <c r="AO75" s="300">
        <f t="shared" si="29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0</v>
      </c>
      <c r="D76" s="28">
        <f>+'Table 5C1A-Madison Prep'!D76</f>
        <v>4479.9292126977662</v>
      </c>
      <c r="E76" s="35">
        <f>SUM(E7:E75)</f>
        <v>0</v>
      </c>
      <c r="F76" s="35">
        <f>+'Table 5C1A-Madison Prep'!F76</f>
        <v>704.64781030742063</v>
      </c>
      <c r="G76" s="35">
        <f>SUM(G7:G75)</f>
        <v>0</v>
      </c>
      <c r="H76" s="348">
        <f>SUM(H7:H75)</f>
        <v>0</v>
      </c>
      <c r="I76" s="70">
        <f>SUM(I7:I75)</f>
        <v>2175042.3751118942</v>
      </c>
      <c r="J76" s="70">
        <f>SUM(J7:J75)</f>
        <v>-35347.658765148895</v>
      </c>
      <c r="K76" s="56">
        <f t="shared" ref="K76:T76" si="57">SUM(K7:K75)</f>
        <v>2139694.7163467454</v>
      </c>
      <c r="L76" s="364">
        <f t="shared" si="57"/>
        <v>2139694.7163467454</v>
      </c>
      <c r="M76" s="36">
        <f t="shared" si="57"/>
        <v>-5349.2367908668639</v>
      </c>
      <c r="N76" s="348">
        <f t="shared" si="57"/>
        <v>2134345.4795558783</v>
      </c>
      <c r="O76" s="28">
        <f t="shared" si="57"/>
        <v>0</v>
      </c>
      <c r="P76" s="354">
        <f t="shared" si="57"/>
        <v>2134345.4795558783</v>
      </c>
      <c r="Q76" s="70">
        <f t="shared" si="57"/>
        <v>1469572</v>
      </c>
      <c r="R76" s="70">
        <f t="shared" si="57"/>
        <v>664773.47955587856</v>
      </c>
      <c r="S76" s="354">
        <f t="shared" si="57"/>
        <v>166193</v>
      </c>
      <c r="T76" s="354">
        <f t="shared" si="57"/>
        <v>2134345.4795558783</v>
      </c>
      <c r="U76" s="83"/>
      <c r="V76" s="330">
        <f t="shared" ref="V76:AK76" si="58">SUM(V7:V75)</f>
        <v>0</v>
      </c>
      <c r="W76" s="74">
        <f t="shared" si="58"/>
        <v>534</v>
      </c>
      <c r="X76" s="75">
        <f t="shared" si="58"/>
        <v>2872770</v>
      </c>
      <c r="Y76" s="74">
        <f t="shared" si="58"/>
        <v>-20</v>
      </c>
      <c r="Z76" s="75">
        <f t="shared" si="58"/>
        <v>-61764.5</v>
      </c>
      <c r="AA76" s="63">
        <f t="shared" si="58"/>
        <v>2811005.5</v>
      </c>
      <c r="AB76" s="332">
        <f t="shared" si="58"/>
        <v>2811005.5</v>
      </c>
      <c r="AC76" s="37">
        <f t="shared" si="58"/>
        <v>-7027.513750000001</v>
      </c>
      <c r="AD76" s="330">
        <f t="shared" si="58"/>
        <v>2803977.9862499996</v>
      </c>
      <c r="AE76" s="85">
        <f t="shared" si="58"/>
        <v>0</v>
      </c>
      <c r="AF76" s="330">
        <f t="shared" si="58"/>
        <v>2803977.9862499996</v>
      </c>
      <c r="AG76" s="75">
        <f t="shared" si="58"/>
        <v>1962532</v>
      </c>
      <c r="AH76" s="75">
        <f t="shared" si="58"/>
        <v>841445.98625000007</v>
      </c>
      <c r="AI76" s="330">
        <f t="shared" si="58"/>
        <v>210361</v>
      </c>
      <c r="AJ76" s="339">
        <f t="shared" si="58"/>
        <v>4938323.4658058789</v>
      </c>
      <c r="AK76" s="339">
        <f t="shared" si="58"/>
        <v>376554</v>
      </c>
      <c r="AM76" s="36">
        <f>SUM(AM7:AM75)</f>
        <v>-8072.3600000000006</v>
      </c>
      <c r="AN76" s="36">
        <f>SUM(AN7:AN75)</f>
        <v>-7027.513750000001</v>
      </c>
      <c r="AO76" s="36">
        <f>SUM(AO7:AO75)</f>
        <v>1044.8462500000001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4'!$E118</f>
        <v>0</v>
      </c>
      <c r="Q77" s="222">
        <f>(4*'[2]Table 5C1V-Laf Ren'!S77)+(4*'[3]Table 5C1V-Laf Ren'!S77)</f>
        <v>0</v>
      </c>
      <c r="R77" s="222">
        <f t="shared" ref="R77" si="59">+P77-Q77</f>
        <v>0</v>
      </c>
      <c r="S77" s="295">
        <f t="shared" ref="S77:S81" si="60">ROUND(R77/$S$88,0)</f>
        <v>0</v>
      </c>
      <c r="T77" s="295">
        <f>'Table 4 Level 4'!$E118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61">T77+AF77</f>
        <v>0</v>
      </c>
      <c r="AK77" s="321">
        <f t="shared" ref="AK77:AK81" si="62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4'!$J118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61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4'!$L118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61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4'!$M118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61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4'!O118</f>
        <v>0</v>
      </c>
      <c r="Q81" s="217">
        <f>(4*'[2]Table 5C1V-Laf Ren'!S81)+(4*'[3]Table 5C1V-Laf Ren'!S81)</f>
        <v>0</v>
      </c>
      <c r="R81" s="217">
        <f t="shared" ref="R81" si="63">+P81-Q81</f>
        <v>0</v>
      </c>
      <c r="S81" s="353">
        <f t="shared" si="60"/>
        <v>0</v>
      </c>
      <c r="T81" s="353">
        <f>P81</f>
        <v>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61"/>
        <v>0</v>
      </c>
      <c r="AK81" s="322">
        <f t="shared" si="62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0</v>
      </c>
      <c r="D82" s="128">
        <f t="shared" ref="D82:AK82" si="64">SUM(D76:D81)</f>
        <v>4479.9292126977662</v>
      </c>
      <c r="E82" s="128">
        <f t="shared" si="64"/>
        <v>0</v>
      </c>
      <c r="F82" s="128">
        <f t="shared" si="64"/>
        <v>704.64781030742063</v>
      </c>
      <c r="G82" s="128">
        <f t="shared" si="64"/>
        <v>0</v>
      </c>
      <c r="H82" s="128">
        <f t="shared" si="64"/>
        <v>0</v>
      </c>
      <c r="I82" s="133">
        <f t="shared" si="64"/>
        <v>2175042.3751118942</v>
      </c>
      <c r="J82" s="133">
        <f t="shared" si="64"/>
        <v>-35347.658765148895</v>
      </c>
      <c r="K82" s="133">
        <f t="shared" si="64"/>
        <v>2139694.7163467454</v>
      </c>
      <c r="L82" s="128">
        <f t="shared" si="64"/>
        <v>2139694.7163467454</v>
      </c>
      <c r="M82" s="133">
        <f t="shared" si="64"/>
        <v>-5349.2367908668639</v>
      </c>
      <c r="N82" s="128">
        <f t="shared" si="64"/>
        <v>2134345.4795558783</v>
      </c>
      <c r="O82" s="128">
        <f t="shared" si="64"/>
        <v>0</v>
      </c>
      <c r="P82" s="355">
        <f t="shared" si="64"/>
        <v>2134345.4795558783</v>
      </c>
      <c r="Q82" s="133">
        <f t="shared" si="64"/>
        <v>1469572</v>
      </c>
      <c r="R82" s="133">
        <f t="shared" si="64"/>
        <v>664773.47955587856</v>
      </c>
      <c r="S82" s="355">
        <f t="shared" si="64"/>
        <v>166193</v>
      </c>
      <c r="T82" s="355">
        <f t="shared" si="64"/>
        <v>2134345.4795558783</v>
      </c>
      <c r="U82" s="137"/>
      <c r="V82" s="134">
        <f t="shared" si="64"/>
        <v>0</v>
      </c>
      <c r="W82" s="136">
        <f t="shared" si="64"/>
        <v>534</v>
      </c>
      <c r="X82" s="134">
        <f t="shared" si="64"/>
        <v>2872770</v>
      </c>
      <c r="Y82" s="136">
        <f t="shared" si="64"/>
        <v>-20</v>
      </c>
      <c r="Z82" s="134">
        <f t="shared" si="64"/>
        <v>-61764.5</v>
      </c>
      <c r="AA82" s="134">
        <f t="shared" si="64"/>
        <v>2811005.5</v>
      </c>
      <c r="AB82" s="134">
        <f t="shared" si="64"/>
        <v>2811005.5</v>
      </c>
      <c r="AC82" s="134">
        <f t="shared" si="64"/>
        <v>-7027.513750000001</v>
      </c>
      <c r="AD82" s="134">
        <f t="shared" si="64"/>
        <v>2803977.9862499996</v>
      </c>
      <c r="AE82" s="134">
        <f t="shared" si="64"/>
        <v>0</v>
      </c>
      <c r="AF82" s="134">
        <f t="shared" si="64"/>
        <v>2803977.9862499996</v>
      </c>
      <c r="AG82" s="134">
        <f t="shared" si="64"/>
        <v>1962532</v>
      </c>
      <c r="AH82" s="134">
        <f t="shared" si="64"/>
        <v>841445.98625000007</v>
      </c>
      <c r="AI82" s="134">
        <f t="shared" si="64"/>
        <v>210361</v>
      </c>
      <c r="AJ82" s="320">
        <f t="shared" si="64"/>
        <v>4938323.4658058789</v>
      </c>
      <c r="AK82" s="320">
        <f t="shared" si="64"/>
        <v>376554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-5786.0636077097643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436.82681684290037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4">
    <mergeCell ref="C1:L1"/>
    <mergeCell ref="U1:AB1"/>
    <mergeCell ref="Y3:Y4"/>
    <mergeCell ref="Z3:Z4"/>
    <mergeCell ref="AB3:AB4"/>
    <mergeCell ref="M1:T1"/>
    <mergeCell ref="W2:AA2"/>
    <mergeCell ref="AG3:AG4"/>
    <mergeCell ref="AH3:AH4"/>
    <mergeCell ref="AI3:AI4"/>
    <mergeCell ref="AF3:AF4"/>
    <mergeCell ref="X3:X4"/>
    <mergeCell ref="AK1:AK4"/>
    <mergeCell ref="I2:K2"/>
    <mergeCell ref="C3:C4"/>
    <mergeCell ref="D3:D4"/>
    <mergeCell ref="E3:E4"/>
    <mergeCell ref="U3:U4"/>
    <mergeCell ref="F3:F4"/>
    <mergeCell ref="G3:G4"/>
    <mergeCell ref="H3:H4"/>
    <mergeCell ref="I3:I4"/>
    <mergeCell ref="J3:J4"/>
    <mergeCell ref="K3:K4"/>
    <mergeCell ref="L3:L4"/>
    <mergeCell ref="N3:N4"/>
    <mergeCell ref="AD3:AD4"/>
    <mergeCell ref="T3:T4"/>
    <mergeCell ref="AJ1:AJ4"/>
    <mergeCell ref="V3:V4"/>
    <mergeCell ref="A82:B82"/>
    <mergeCell ref="A76:B76"/>
    <mergeCell ref="A77:B77"/>
    <mergeCell ref="A78:B78"/>
    <mergeCell ref="A79:B79"/>
    <mergeCell ref="A80:B80"/>
    <mergeCell ref="A81:B81"/>
    <mergeCell ref="A1:B4"/>
    <mergeCell ref="O3:O4"/>
    <mergeCell ref="P3:P4"/>
    <mergeCell ref="S3:S4"/>
    <mergeCell ref="W3:W4"/>
    <mergeCell ref="AC1:AI1"/>
    <mergeCell ref="AE3:AE4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5C1-V: FY2014-15 MFP Budget Letter (March 2015)
Lafayette Renaissance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0"/>
  <sheetViews>
    <sheetView view="pageBreakPreview" zoomScale="80" zoomScaleNormal="100" zoomScaleSheetLayoutView="80" workbookViewId="0">
      <pane xSplit="2" ySplit="6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5" style="784" customWidth="1"/>
    <col min="2" max="2" width="37.7109375" style="784" customWidth="1"/>
    <col min="3" max="3" width="12.140625" style="784" bestFit="1" customWidth="1"/>
    <col min="4" max="4" width="13.7109375" style="784" bestFit="1" customWidth="1"/>
    <col min="5" max="5" width="10.140625" style="784" bestFit="1" customWidth="1"/>
    <col min="6" max="7" width="12.28515625" style="784" bestFit="1" customWidth="1"/>
    <col min="8" max="8" width="11.5703125" style="784" bestFit="1" customWidth="1"/>
    <col min="9" max="12" width="11.85546875" style="784" bestFit="1" customWidth="1"/>
    <col min="13" max="13" width="10.85546875" style="784" bestFit="1" customWidth="1"/>
    <col min="14" max="14" width="13.140625" style="784" customWidth="1"/>
    <col min="15" max="15" width="13.42578125" style="784" bestFit="1" customWidth="1"/>
    <col min="16" max="16" width="14.7109375" style="784" customWidth="1"/>
    <col min="17" max="18" width="14" style="784" customWidth="1"/>
    <col min="19" max="19" width="10.7109375" style="784" customWidth="1"/>
    <col min="20" max="20" width="14.85546875" style="784" customWidth="1"/>
    <col min="21" max="22" width="15.28515625" style="784" customWidth="1"/>
    <col min="23" max="23" width="14.28515625" style="784" customWidth="1"/>
    <col min="24" max="24" width="15.28515625" style="784" customWidth="1"/>
    <col min="25" max="25" width="13.28515625" style="784" customWidth="1"/>
    <col min="26" max="26" width="12.28515625" style="784" customWidth="1"/>
    <col min="27" max="28" width="15.7109375" style="784" customWidth="1"/>
    <col min="29" max="29" width="10.5703125" style="784" customWidth="1"/>
    <col min="30" max="30" width="14.42578125" style="784" bestFit="1" customWidth="1"/>
    <col min="31" max="31" width="11.85546875" style="784" bestFit="1" customWidth="1"/>
    <col min="32" max="32" width="14.42578125" style="784" bestFit="1" customWidth="1"/>
    <col min="33" max="34" width="10.7109375" style="784" bestFit="1" customWidth="1"/>
    <col min="35" max="35" width="14.42578125" style="784" bestFit="1" customWidth="1"/>
    <col min="36" max="36" width="14.28515625" style="784" customWidth="1"/>
    <col min="37" max="37" width="14.42578125" style="784" bestFit="1" customWidth="1"/>
    <col min="38" max="38" width="0" style="784" hidden="1" customWidth="1"/>
    <col min="39" max="40" width="12.28515625" style="784" hidden="1" customWidth="1"/>
    <col min="41" max="41" width="10" style="784" hidden="1" customWidth="1"/>
    <col min="42" max="16384" width="8.85546875" style="784"/>
  </cols>
  <sheetData>
    <row r="1" spans="1:41" ht="23.45" customHeight="1">
      <c r="A1" s="1576" t="s">
        <v>677</v>
      </c>
      <c r="B1" s="1577"/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4"/>
      <c r="M1" s="1563" t="s">
        <v>742</v>
      </c>
      <c r="N1" s="1564"/>
      <c r="O1" s="1564"/>
      <c r="P1" s="1564"/>
      <c r="Q1" s="1564"/>
      <c r="R1" s="1564"/>
      <c r="S1" s="1564"/>
      <c r="T1" s="1565"/>
      <c r="U1" s="1489" t="s">
        <v>856</v>
      </c>
      <c r="V1" s="1487"/>
      <c r="W1" s="1487"/>
      <c r="X1" s="1487"/>
      <c r="Y1" s="1487"/>
      <c r="Z1" s="1487"/>
      <c r="AA1" s="1487"/>
      <c r="AB1" s="1488"/>
      <c r="AC1" s="1489" t="s">
        <v>856</v>
      </c>
      <c r="AD1" s="1487"/>
      <c r="AE1" s="1487"/>
      <c r="AF1" s="1487"/>
      <c r="AG1" s="1487"/>
      <c r="AH1" s="1487"/>
      <c r="AI1" s="1488"/>
      <c r="AJ1" s="1521" t="s">
        <v>875</v>
      </c>
      <c r="AK1" s="1521" t="s">
        <v>876</v>
      </c>
    </row>
    <row r="2" spans="1:41" ht="33" customHeight="1">
      <c r="A2" s="1578"/>
      <c r="B2" s="1579"/>
      <c r="C2" s="619"/>
      <c r="D2" s="620"/>
      <c r="E2" s="620"/>
      <c r="F2" s="620"/>
      <c r="G2" s="620"/>
      <c r="H2" s="620"/>
      <c r="I2" s="1448" t="s">
        <v>1036</v>
      </c>
      <c r="J2" s="1449"/>
      <c r="K2" s="1450"/>
      <c r="L2" s="621"/>
      <c r="M2" s="619"/>
      <c r="N2" s="620"/>
      <c r="O2" s="620"/>
      <c r="P2" s="620"/>
      <c r="Q2" s="620"/>
      <c r="R2" s="620"/>
      <c r="S2" s="620"/>
      <c r="T2" s="621"/>
      <c r="U2" s="873"/>
      <c r="V2" s="874"/>
      <c r="W2" s="1448" t="s">
        <v>1035</v>
      </c>
      <c r="X2" s="1449"/>
      <c r="Y2" s="1449"/>
      <c r="Z2" s="1449"/>
      <c r="AA2" s="1450"/>
      <c r="AB2" s="875"/>
      <c r="AC2" s="873"/>
      <c r="AD2" s="874"/>
      <c r="AE2" s="874"/>
      <c r="AF2" s="874"/>
      <c r="AG2" s="874"/>
      <c r="AH2" s="874"/>
      <c r="AI2" s="875"/>
      <c r="AJ2" s="1522"/>
      <c r="AK2" s="1522"/>
    </row>
    <row r="3" spans="1:41" ht="168" customHeight="1">
      <c r="A3" s="1580"/>
      <c r="B3" s="1579"/>
      <c r="C3" s="1539" t="s">
        <v>620</v>
      </c>
      <c r="D3" s="1539" t="s">
        <v>761</v>
      </c>
      <c r="E3" s="1539" t="s">
        <v>280</v>
      </c>
      <c r="F3" s="1525" t="s">
        <v>425</v>
      </c>
      <c r="G3" s="1525" t="s">
        <v>261</v>
      </c>
      <c r="H3" s="1525" t="s">
        <v>426</v>
      </c>
      <c r="I3" s="1585" t="s">
        <v>1037</v>
      </c>
      <c r="J3" s="1518" t="s">
        <v>554</v>
      </c>
      <c r="K3" s="1585" t="s">
        <v>1033</v>
      </c>
      <c r="L3" s="1519" t="s">
        <v>427</v>
      </c>
      <c r="M3" s="876" t="s">
        <v>262</v>
      </c>
      <c r="N3" s="1525" t="s">
        <v>424</v>
      </c>
      <c r="O3" s="1526" t="s">
        <v>702</v>
      </c>
      <c r="P3" s="1525" t="s">
        <v>722</v>
      </c>
      <c r="Q3" s="877" t="s">
        <v>546</v>
      </c>
      <c r="R3" s="877" t="s">
        <v>547</v>
      </c>
      <c r="S3" s="1527" t="s">
        <v>423</v>
      </c>
      <c r="T3" s="1527" t="s">
        <v>723</v>
      </c>
      <c r="U3" s="1529" t="s">
        <v>922</v>
      </c>
      <c r="V3" s="878" t="s">
        <v>871</v>
      </c>
      <c r="W3" s="1587" t="s">
        <v>906</v>
      </c>
      <c r="X3" s="1507" t="s">
        <v>1038</v>
      </c>
      <c r="Y3" s="1507" t="s">
        <v>861</v>
      </c>
      <c r="Z3" s="1507" t="s">
        <v>859</v>
      </c>
      <c r="AA3" s="1215" t="s">
        <v>1034</v>
      </c>
      <c r="AB3" s="1531" t="s">
        <v>872</v>
      </c>
      <c r="AC3" s="878" t="s">
        <v>746</v>
      </c>
      <c r="AD3" s="1528" t="s">
        <v>873</v>
      </c>
      <c r="AE3" s="1526" t="s">
        <v>702</v>
      </c>
      <c r="AF3" s="1528" t="s">
        <v>874</v>
      </c>
      <c r="AG3" s="1543" t="s">
        <v>653</v>
      </c>
      <c r="AH3" s="1543" t="s">
        <v>547</v>
      </c>
      <c r="AI3" s="1543" t="s">
        <v>851</v>
      </c>
      <c r="AJ3" s="1523"/>
      <c r="AK3" s="1523"/>
      <c r="AM3" s="876" t="s">
        <v>1039</v>
      </c>
      <c r="AN3" s="876" t="s">
        <v>1040</v>
      </c>
      <c r="AO3" s="876" t="s">
        <v>253</v>
      </c>
    </row>
    <row r="4" spans="1:41" ht="19.899999999999999" customHeight="1">
      <c r="A4" s="1581"/>
      <c r="B4" s="1582"/>
      <c r="C4" s="1539"/>
      <c r="D4" s="1539"/>
      <c r="E4" s="1539"/>
      <c r="F4" s="1520"/>
      <c r="G4" s="1520"/>
      <c r="H4" s="1520"/>
      <c r="I4" s="1586"/>
      <c r="J4" s="1470"/>
      <c r="K4" s="1586"/>
      <c r="L4" s="1520"/>
      <c r="M4" s="879">
        <v>2.5000000000000001E-3</v>
      </c>
      <c r="N4" s="1520"/>
      <c r="O4" s="1470"/>
      <c r="P4" s="1520"/>
      <c r="Q4" s="880"/>
      <c r="R4" s="880"/>
      <c r="S4" s="1520"/>
      <c r="T4" s="1520"/>
      <c r="U4" s="1530"/>
      <c r="V4" s="881"/>
      <c r="W4" s="1588"/>
      <c r="X4" s="1470"/>
      <c r="Y4" s="1470"/>
      <c r="Z4" s="1470"/>
      <c r="AA4" s="1214"/>
      <c r="AB4" s="1499" t="s">
        <v>416</v>
      </c>
      <c r="AC4" s="882">
        <v>2.5000000000000001E-3</v>
      </c>
      <c r="AD4" s="1499"/>
      <c r="AE4" s="1470"/>
      <c r="AF4" s="1499"/>
      <c r="AG4" s="1544"/>
      <c r="AH4" s="1544"/>
      <c r="AI4" s="1544"/>
      <c r="AJ4" s="1524"/>
      <c r="AK4" s="1524"/>
      <c r="AM4" s="879">
        <v>2.5000000000000001E-3</v>
      </c>
      <c r="AN4" s="879">
        <v>2.5000000000000001E-3</v>
      </c>
      <c r="AO4" s="879"/>
    </row>
    <row r="5" spans="1:41" ht="14.25" customHeight="1">
      <c r="A5" s="21"/>
      <c r="B5" s="22"/>
      <c r="C5" s="23">
        <v>1</v>
      </c>
      <c r="D5" s="23">
        <f t="shared" ref="D5" si="0">C5+1</f>
        <v>2</v>
      </c>
      <c r="E5" s="23">
        <f>D5+1</f>
        <v>3</v>
      </c>
      <c r="F5" s="23">
        <f t="shared" ref="F5:AK5" si="1">E5+1</f>
        <v>4</v>
      </c>
      <c r="G5" s="23">
        <f t="shared" si="1"/>
        <v>5</v>
      </c>
      <c r="H5" s="23">
        <f t="shared" si="1"/>
        <v>6</v>
      </c>
      <c r="I5" s="23">
        <f t="shared" si="1"/>
        <v>7</v>
      </c>
      <c r="J5" s="23">
        <f t="shared" si="1"/>
        <v>8</v>
      </c>
      <c r="K5" s="23">
        <f t="shared" si="1"/>
        <v>9</v>
      </c>
      <c r="L5" s="23">
        <f t="shared" si="1"/>
        <v>10</v>
      </c>
      <c r="M5" s="23">
        <f t="shared" si="1"/>
        <v>11</v>
      </c>
      <c r="N5" s="23">
        <f t="shared" si="1"/>
        <v>12</v>
      </c>
      <c r="O5" s="23">
        <f t="shared" si="1"/>
        <v>13</v>
      </c>
      <c r="P5" s="23">
        <f t="shared" si="1"/>
        <v>14</v>
      </c>
      <c r="Q5" s="23">
        <f t="shared" si="1"/>
        <v>15</v>
      </c>
      <c r="R5" s="23">
        <f t="shared" si="1"/>
        <v>16</v>
      </c>
      <c r="S5" s="23">
        <f t="shared" si="1"/>
        <v>17</v>
      </c>
      <c r="T5" s="23">
        <f t="shared" ref="T5" si="2">S5+1</f>
        <v>18</v>
      </c>
      <c r="U5" s="23">
        <f t="shared" ref="U5" si="3">T5+1</f>
        <v>19</v>
      </c>
      <c r="V5" s="23">
        <f t="shared" si="1"/>
        <v>20</v>
      </c>
      <c r="W5" s="23">
        <f t="shared" si="1"/>
        <v>21</v>
      </c>
      <c r="X5" s="23">
        <f t="shared" si="1"/>
        <v>22</v>
      </c>
      <c r="Y5" s="23">
        <f t="shared" si="1"/>
        <v>23</v>
      </c>
      <c r="Z5" s="23">
        <f t="shared" si="1"/>
        <v>24</v>
      </c>
      <c r="AA5" s="23">
        <f t="shared" si="1"/>
        <v>25</v>
      </c>
      <c r="AB5" s="23">
        <f t="shared" si="1"/>
        <v>26</v>
      </c>
      <c r="AC5" s="23">
        <f t="shared" si="1"/>
        <v>27</v>
      </c>
      <c r="AD5" s="23">
        <f t="shared" si="1"/>
        <v>28</v>
      </c>
      <c r="AE5" s="23">
        <f t="shared" si="1"/>
        <v>29</v>
      </c>
      <c r="AF5" s="23">
        <f t="shared" si="1"/>
        <v>30</v>
      </c>
      <c r="AG5" s="23">
        <f t="shared" si="1"/>
        <v>31</v>
      </c>
      <c r="AH5" s="23">
        <f t="shared" si="1"/>
        <v>32</v>
      </c>
      <c r="AI5" s="23">
        <f t="shared" si="1"/>
        <v>33</v>
      </c>
      <c r="AJ5" s="23">
        <f t="shared" si="1"/>
        <v>34</v>
      </c>
      <c r="AK5" s="23">
        <f t="shared" si="1"/>
        <v>35</v>
      </c>
      <c r="AM5" s="23"/>
      <c r="AN5" s="23"/>
      <c r="AO5" s="23"/>
    </row>
    <row r="6" spans="1:41" ht="27" hidden="1" customHeight="1">
      <c r="A6" s="29"/>
      <c r="B6" s="30"/>
      <c r="C6" s="30"/>
      <c r="D6" s="30"/>
      <c r="E6" s="30"/>
      <c r="F6" s="30"/>
      <c r="G6" s="30"/>
      <c r="H6" s="30"/>
      <c r="I6" s="55"/>
      <c r="J6" s="55"/>
      <c r="K6" s="55"/>
      <c r="L6" s="55"/>
      <c r="M6" s="30"/>
      <c r="N6" s="30"/>
      <c r="O6" s="30"/>
      <c r="P6" s="30"/>
      <c r="Q6" s="55"/>
      <c r="R6" s="55"/>
      <c r="S6" s="30"/>
      <c r="T6" s="30"/>
      <c r="U6" s="30"/>
      <c r="V6" s="30"/>
      <c r="W6" s="55"/>
      <c r="X6" s="55"/>
      <c r="Y6" s="55"/>
      <c r="Z6" s="55"/>
      <c r="AA6" s="55"/>
      <c r="AB6" s="55"/>
      <c r="AC6" s="30"/>
      <c r="AD6" s="30"/>
      <c r="AE6" s="30"/>
      <c r="AF6" s="30"/>
      <c r="AG6" s="55"/>
      <c r="AH6" s="55"/>
      <c r="AI6" s="30"/>
      <c r="AJ6" s="30"/>
      <c r="AK6" s="30"/>
      <c r="AM6" s="30"/>
      <c r="AN6" s="30"/>
      <c r="AO6" s="30"/>
    </row>
    <row r="7" spans="1:41" ht="16.149999999999999" customHeight="1">
      <c r="A7" s="205">
        <v>1</v>
      </c>
      <c r="B7" s="206" t="s">
        <v>73</v>
      </c>
      <c r="C7" s="994">
        <v>0</v>
      </c>
      <c r="D7" s="208">
        <f>+'Table 5C1A-Madison Prep'!D7</f>
        <v>4765.8584413349836</v>
      </c>
      <c r="E7" s="209">
        <f>C7*D7</f>
        <v>0</v>
      </c>
      <c r="F7" s="209">
        <f>+'Table 5C1A-Madison Prep'!F7</f>
        <v>777.48</v>
      </c>
      <c r="G7" s="209">
        <f>C7*F7</f>
        <v>0</v>
      </c>
      <c r="H7" s="344">
        <f>E7+G7</f>
        <v>0</v>
      </c>
      <c r="I7" s="210">
        <f>'[1]Oct midyear Willow'!K4</f>
        <v>33260.030648009895</v>
      </c>
      <c r="J7" s="210">
        <f>'[1]Feb midyear Willow'!K4</f>
        <v>11086.676882669966</v>
      </c>
      <c r="K7" s="211">
        <f>I7+J7</f>
        <v>44346.707530679865</v>
      </c>
      <c r="L7" s="344">
        <f>+H7+K7</f>
        <v>44346.707530679865</v>
      </c>
      <c r="M7" s="273">
        <f t="shared" ref="M7:M70" si="4">-(0.25%*L7)</f>
        <v>-110.86676882669967</v>
      </c>
      <c r="N7" s="344">
        <f>SUM(L7:M7)</f>
        <v>44235.840761853164</v>
      </c>
      <c r="O7" s="208">
        <v>0</v>
      </c>
      <c r="P7" s="350">
        <f>SUM(N7:O7)</f>
        <v>44235.840761853164</v>
      </c>
      <c r="Q7" s="210">
        <f>8*'[2]Table 5C1W-Willow'!S7</f>
        <v>0</v>
      </c>
      <c r="R7" s="210">
        <f>+P7-Q7</f>
        <v>44235.840761853164</v>
      </c>
      <c r="S7" s="350">
        <f t="shared" ref="S7:S38" si="5">ROUND(R7/$S$88,0)</f>
        <v>11059</v>
      </c>
      <c r="T7" s="350">
        <f>+P7</f>
        <v>44235.840761853164</v>
      </c>
      <c r="U7" s="274">
        <f>'Table 5C1A-Madison Prep'!U7</f>
        <v>2424</v>
      </c>
      <c r="V7" s="327">
        <f>C7*U7</f>
        <v>0</v>
      </c>
      <c r="W7" s="883">
        <f>'[1]Oct midyear Willow'!E4</f>
        <v>6</v>
      </c>
      <c r="X7" s="276">
        <f>+U7*W7</f>
        <v>14544</v>
      </c>
      <c r="Y7" s="883">
        <f>'[1]Feb midyear Willow'!E4</f>
        <v>4</v>
      </c>
      <c r="Z7" s="276">
        <f>+U7*Y7*0.5</f>
        <v>4848</v>
      </c>
      <c r="AA7" s="275">
        <f>+X7+Z7</f>
        <v>19392</v>
      </c>
      <c r="AB7" s="323">
        <f>+V7+AA7</f>
        <v>19392</v>
      </c>
      <c r="AC7" s="278">
        <f>-(0.25%*AB7)</f>
        <v>-48.480000000000004</v>
      </c>
      <c r="AD7" s="323">
        <f>SUM(AB7:AC7)</f>
        <v>19343.52</v>
      </c>
      <c r="AE7" s="279">
        <v>0</v>
      </c>
      <c r="AF7" s="323">
        <f>SUM(AD7:AE7)</f>
        <v>19343.52</v>
      </c>
      <c r="AG7" s="279">
        <f>8*'[2]Table 5C1W-Willow'!AI7</f>
        <v>0</v>
      </c>
      <c r="AH7" s="279">
        <f>+AF7-AG7</f>
        <v>19343.52</v>
      </c>
      <c r="AI7" s="323">
        <f t="shared" ref="AI7:AI38" si="6">ROUND(AH7/$AI$88,0)</f>
        <v>4836</v>
      </c>
      <c r="AJ7" s="337">
        <f>T7+AF7</f>
        <v>63579.360761853168</v>
      </c>
      <c r="AK7" s="341">
        <f>S7+AI7</f>
        <v>15895</v>
      </c>
      <c r="AM7" s="273">
        <v>0</v>
      </c>
      <c r="AN7" s="273">
        <f>+AC7</f>
        <v>-48.480000000000004</v>
      </c>
      <c r="AO7" s="273">
        <f t="shared" ref="AO7:AO33" si="7">+AN7-AM7</f>
        <v>-48.480000000000004</v>
      </c>
    </row>
    <row r="8" spans="1:41" ht="16.149999999999999" customHeight="1">
      <c r="A8" s="198">
        <v>2</v>
      </c>
      <c r="B8" s="199" t="s">
        <v>74</v>
      </c>
      <c r="C8" s="995">
        <v>0</v>
      </c>
      <c r="D8" s="201">
        <f>+'Table 5C1A-Madison Prep'!D8</f>
        <v>6316.6266417386641</v>
      </c>
      <c r="E8" s="202">
        <f t="shared" ref="E8:E71" si="8">C8*D8</f>
        <v>0</v>
      </c>
      <c r="F8" s="202">
        <f>+'Table 5C1A-Madison Prep'!F8</f>
        <v>842.32</v>
      </c>
      <c r="G8" s="202">
        <f t="shared" ref="G8:G71" si="9">C8*F8</f>
        <v>0</v>
      </c>
      <c r="H8" s="345">
        <f t="shared" ref="H8:H71" si="10">E8+G8</f>
        <v>0</v>
      </c>
      <c r="I8" s="203">
        <f>'[1]Oct midyear Willow'!K5</f>
        <v>0</v>
      </c>
      <c r="J8" s="203">
        <f>'[1]Feb midyear Willow'!K5</f>
        <v>0</v>
      </c>
      <c r="K8" s="204">
        <f t="shared" ref="K8:K71" si="11">I8+J8</f>
        <v>0</v>
      </c>
      <c r="L8" s="345">
        <f t="shared" ref="L8:L71" si="12">+H8+K8</f>
        <v>0</v>
      </c>
      <c r="M8" s="286">
        <f t="shared" si="4"/>
        <v>0</v>
      </c>
      <c r="N8" s="345">
        <f t="shared" ref="N8:N71" si="13">SUM(L8:M8)</f>
        <v>0</v>
      </c>
      <c r="O8" s="201">
        <v>0</v>
      </c>
      <c r="P8" s="351">
        <f t="shared" ref="P8:P71" si="14">SUM(N8:O8)</f>
        <v>0</v>
      </c>
      <c r="Q8" s="203">
        <f>8*'[2]Table 5C1W-Willow'!S8</f>
        <v>0</v>
      </c>
      <c r="R8" s="203">
        <f t="shared" ref="R8:R71" si="15">+P8-Q8</f>
        <v>0</v>
      </c>
      <c r="S8" s="351">
        <f t="shared" si="5"/>
        <v>0</v>
      </c>
      <c r="T8" s="351">
        <f t="shared" ref="T8:T71" si="16">+P8</f>
        <v>0</v>
      </c>
      <c r="U8" s="287">
        <f>'Table 5C1A-Madison Prep'!U8</f>
        <v>2786</v>
      </c>
      <c r="V8" s="328">
        <f t="shared" ref="V8:V71" si="17">C8*U8</f>
        <v>0</v>
      </c>
      <c r="W8" s="289">
        <f>'[1]Oct midyear Willow'!E5</f>
        <v>0</v>
      </c>
      <c r="X8" s="290">
        <f t="shared" ref="X8:X71" si="18">+U8*W8</f>
        <v>0</v>
      </c>
      <c r="Y8" s="289">
        <f>'[1]Feb midyear Willow'!E5</f>
        <v>0</v>
      </c>
      <c r="Z8" s="290">
        <f t="shared" ref="Z8:Z71" si="19">+U8*Y8*0.5</f>
        <v>0</v>
      </c>
      <c r="AA8" s="288">
        <f t="shared" ref="AA8:AA71" si="20">+X8+Z8</f>
        <v>0</v>
      </c>
      <c r="AB8" s="324">
        <f t="shared" ref="AB8:AB71" si="21">+V8+AA8</f>
        <v>0</v>
      </c>
      <c r="AC8" s="292">
        <f t="shared" ref="AC8:AC71" si="22">-(0.25%*AB8)</f>
        <v>0</v>
      </c>
      <c r="AD8" s="324">
        <f t="shared" ref="AD8:AD71" si="23">SUM(AB8:AC8)</f>
        <v>0</v>
      </c>
      <c r="AE8" s="293">
        <v>0</v>
      </c>
      <c r="AF8" s="324">
        <f t="shared" ref="AF8:AF71" si="24">SUM(AD8:AE8)</f>
        <v>0</v>
      </c>
      <c r="AG8" s="293">
        <f>8*'[2]Table 5C1W-Willow'!AI8</f>
        <v>0</v>
      </c>
      <c r="AH8" s="293">
        <f t="shared" ref="AH8:AH71" si="25">+AF8-AG8</f>
        <v>0</v>
      </c>
      <c r="AI8" s="324">
        <f t="shared" si="6"/>
        <v>0</v>
      </c>
      <c r="AJ8" s="321">
        <f t="shared" ref="AJ8:AJ71" si="26">T8+AF8</f>
        <v>0</v>
      </c>
      <c r="AK8" s="342">
        <f t="shared" ref="AK8:AK71" si="27">S8+AI8</f>
        <v>0</v>
      </c>
      <c r="AM8" s="286">
        <v>0</v>
      </c>
      <c r="AN8" s="286">
        <f t="shared" ref="AN8:AN71" si="28">+AC8</f>
        <v>0</v>
      </c>
      <c r="AO8" s="286">
        <f t="shared" si="7"/>
        <v>0</v>
      </c>
    </row>
    <row r="9" spans="1:41" ht="16.149999999999999" customHeight="1">
      <c r="A9" s="198">
        <v>3</v>
      </c>
      <c r="B9" s="199" t="s">
        <v>75</v>
      </c>
      <c r="C9" s="995">
        <v>0</v>
      </c>
      <c r="D9" s="201">
        <f>+'Table 5C1A-Madison Prep'!D9</f>
        <v>4155.1862027396819</v>
      </c>
      <c r="E9" s="202">
        <f t="shared" si="8"/>
        <v>0</v>
      </c>
      <c r="F9" s="202">
        <f>+'Table 5C1A-Madison Prep'!F9</f>
        <v>596.84</v>
      </c>
      <c r="G9" s="202">
        <f t="shared" si="9"/>
        <v>0</v>
      </c>
      <c r="H9" s="345">
        <f t="shared" si="10"/>
        <v>0</v>
      </c>
      <c r="I9" s="203">
        <f>'[1]Oct midyear Willow'!K6</f>
        <v>0</v>
      </c>
      <c r="J9" s="203">
        <f>'[1]Feb midyear Willow'!K6</f>
        <v>0</v>
      </c>
      <c r="K9" s="204">
        <f t="shared" si="11"/>
        <v>0</v>
      </c>
      <c r="L9" s="345">
        <f t="shared" si="12"/>
        <v>0</v>
      </c>
      <c r="M9" s="286">
        <f t="shared" si="4"/>
        <v>0</v>
      </c>
      <c r="N9" s="345">
        <f t="shared" si="13"/>
        <v>0</v>
      </c>
      <c r="O9" s="201">
        <v>0</v>
      </c>
      <c r="P9" s="351">
        <f t="shared" si="14"/>
        <v>0</v>
      </c>
      <c r="Q9" s="203">
        <f>8*'[2]Table 5C1W-Willow'!S9</f>
        <v>0</v>
      </c>
      <c r="R9" s="203">
        <f t="shared" si="15"/>
        <v>0</v>
      </c>
      <c r="S9" s="351">
        <f t="shared" si="5"/>
        <v>0</v>
      </c>
      <c r="T9" s="351">
        <f t="shared" si="16"/>
        <v>0</v>
      </c>
      <c r="U9" s="287">
        <f>'Table 5C1A-Madison Prep'!U9</f>
        <v>5927</v>
      </c>
      <c r="V9" s="328">
        <f t="shared" si="17"/>
        <v>0</v>
      </c>
      <c r="W9" s="289">
        <f>'[1]Oct midyear Willow'!E6</f>
        <v>0</v>
      </c>
      <c r="X9" s="290">
        <f t="shared" si="18"/>
        <v>0</v>
      </c>
      <c r="Y9" s="289">
        <f>'[1]Feb midyear Willow'!E6</f>
        <v>0</v>
      </c>
      <c r="Z9" s="290">
        <f t="shared" si="19"/>
        <v>0</v>
      </c>
      <c r="AA9" s="288">
        <f t="shared" si="20"/>
        <v>0</v>
      </c>
      <c r="AB9" s="324">
        <f t="shared" si="21"/>
        <v>0</v>
      </c>
      <c r="AC9" s="292">
        <f t="shared" si="22"/>
        <v>0</v>
      </c>
      <c r="AD9" s="324">
        <f t="shared" si="23"/>
        <v>0</v>
      </c>
      <c r="AE9" s="293">
        <v>0</v>
      </c>
      <c r="AF9" s="324">
        <f t="shared" si="24"/>
        <v>0</v>
      </c>
      <c r="AG9" s="293">
        <f>8*'[2]Table 5C1W-Willow'!AI9</f>
        <v>0</v>
      </c>
      <c r="AH9" s="293">
        <f t="shared" si="25"/>
        <v>0</v>
      </c>
      <c r="AI9" s="324">
        <f t="shared" si="6"/>
        <v>0</v>
      </c>
      <c r="AJ9" s="321">
        <f t="shared" si="26"/>
        <v>0</v>
      </c>
      <c r="AK9" s="342">
        <f t="shared" si="27"/>
        <v>0</v>
      </c>
      <c r="AM9" s="286">
        <v>0</v>
      </c>
      <c r="AN9" s="286">
        <f t="shared" si="28"/>
        <v>0</v>
      </c>
      <c r="AO9" s="286">
        <f t="shared" si="7"/>
        <v>0</v>
      </c>
    </row>
    <row r="10" spans="1:41" ht="16.149999999999999" customHeight="1">
      <c r="A10" s="198">
        <v>4</v>
      </c>
      <c r="B10" s="199" t="s">
        <v>76</v>
      </c>
      <c r="C10" s="995">
        <v>0</v>
      </c>
      <c r="D10" s="201">
        <f>+'Table 5C1A-Madison Prep'!D10</f>
        <v>6119.0581446878568</v>
      </c>
      <c r="E10" s="202">
        <f t="shared" si="8"/>
        <v>0</v>
      </c>
      <c r="F10" s="202">
        <f>+'Table 5C1A-Madison Prep'!F10</f>
        <v>585.76</v>
      </c>
      <c r="G10" s="202">
        <f t="shared" si="9"/>
        <v>0</v>
      </c>
      <c r="H10" s="345">
        <f t="shared" si="10"/>
        <v>0</v>
      </c>
      <c r="I10" s="203">
        <f>'[1]Oct midyear Willow'!K7</f>
        <v>0</v>
      </c>
      <c r="J10" s="203">
        <f>'[1]Feb midyear Willow'!K7</f>
        <v>0</v>
      </c>
      <c r="K10" s="204">
        <f t="shared" si="11"/>
        <v>0</v>
      </c>
      <c r="L10" s="345">
        <f t="shared" si="12"/>
        <v>0</v>
      </c>
      <c r="M10" s="286">
        <f t="shared" si="4"/>
        <v>0</v>
      </c>
      <c r="N10" s="345">
        <f t="shared" si="13"/>
        <v>0</v>
      </c>
      <c r="O10" s="201">
        <v>0</v>
      </c>
      <c r="P10" s="351">
        <f t="shared" si="14"/>
        <v>0</v>
      </c>
      <c r="Q10" s="203">
        <f>8*'[2]Table 5C1W-Willow'!S10</f>
        <v>0</v>
      </c>
      <c r="R10" s="203">
        <f t="shared" si="15"/>
        <v>0</v>
      </c>
      <c r="S10" s="351">
        <f t="shared" si="5"/>
        <v>0</v>
      </c>
      <c r="T10" s="351">
        <f t="shared" si="16"/>
        <v>0</v>
      </c>
      <c r="U10" s="287">
        <f>'Table 5C1A-Madison Prep'!U10</f>
        <v>4203</v>
      </c>
      <c r="V10" s="328">
        <f t="shared" si="17"/>
        <v>0</v>
      </c>
      <c r="W10" s="289">
        <f>'[1]Oct midyear Willow'!E7</f>
        <v>0</v>
      </c>
      <c r="X10" s="290">
        <f t="shared" si="18"/>
        <v>0</v>
      </c>
      <c r="Y10" s="289">
        <f>'[1]Feb midyear Willow'!E7</f>
        <v>0</v>
      </c>
      <c r="Z10" s="290">
        <f t="shared" si="19"/>
        <v>0</v>
      </c>
      <c r="AA10" s="288">
        <f t="shared" si="20"/>
        <v>0</v>
      </c>
      <c r="AB10" s="324">
        <f t="shared" si="21"/>
        <v>0</v>
      </c>
      <c r="AC10" s="292">
        <f t="shared" si="22"/>
        <v>0</v>
      </c>
      <c r="AD10" s="324">
        <f t="shared" si="23"/>
        <v>0</v>
      </c>
      <c r="AE10" s="293">
        <v>0</v>
      </c>
      <c r="AF10" s="324">
        <f t="shared" si="24"/>
        <v>0</v>
      </c>
      <c r="AG10" s="293">
        <f>8*'[2]Table 5C1W-Willow'!AI10</f>
        <v>0</v>
      </c>
      <c r="AH10" s="293">
        <f t="shared" si="25"/>
        <v>0</v>
      </c>
      <c r="AI10" s="324">
        <f t="shared" si="6"/>
        <v>0</v>
      </c>
      <c r="AJ10" s="321">
        <f t="shared" si="26"/>
        <v>0</v>
      </c>
      <c r="AK10" s="342">
        <f t="shared" si="27"/>
        <v>0</v>
      </c>
      <c r="AM10" s="286">
        <v>0</v>
      </c>
      <c r="AN10" s="286">
        <f t="shared" si="28"/>
        <v>0</v>
      </c>
      <c r="AO10" s="286">
        <f t="shared" si="7"/>
        <v>0</v>
      </c>
    </row>
    <row r="11" spans="1:41" ht="16.149999999999999" customHeight="1">
      <c r="A11" s="191">
        <v>5</v>
      </c>
      <c r="B11" s="192" t="s">
        <v>77</v>
      </c>
      <c r="C11" s="996">
        <v>0</v>
      </c>
      <c r="D11" s="194">
        <f>+'Table 5C1A-Madison Prep'!D11</f>
        <v>5268.940566009911</v>
      </c>
      <c r="E11" s="195">
        <f t="shared" si="8"/>
        <v>0</v>
      </c>
      <c r="F11" s="195">
        <f>+'Table 5C1A-Madison Prep'!F11</f>
        <v>555.91</v>
      </c>
      <c r="G11" s="195">
        <f t="shared" si="9"/>
        <v>0</v>
      </c>
      <c r="H11" s="346">
        <f t="shared" si="10"/>
        <v>0</v>
      </c>
      <c r="I11" s="196">
        <f>'[1]Oct midyear Willow'!K8</f>
        <v>0</v>
      </c>
      <c r="J11" s="196">
        <f>'[1]Feb midyear Willow'!K8</f>
        <v>2912.4252830049554</v>
      </c>
      <c r="K11" s="197">
        <f t="shared" si="11"/>
        <v>2912.4252830049554</v>
      </c>
      <c r="L11" s="346">
        <f t="shared" si="12"/>
        <v>2912.4252830049554</v>
      </c>
      <c r="M11" s="296">
        <f t="shared" si="4"/>
        <v>-7.2810632075123891</v>
      </c>
      <c r="N11" s="346">
        <f t="shared" si="13"/>
        <v>2905.1442197974429</v>
      </c>
      <c r="O11" s="194">
        <v>0</v>
      </c>
      <c r="P11" s="352">
        <f t="shared" si="14"/>
        <v>2905.1442197974429</v>
      </c>
      <c r="Q11" s="196">
        <f>8*'[2]Table 5C1W-Willow'!S11</f>
        <v>0</v>
      </c>
      <c r="R11" s="196">
        <f t="shared" si="15"/>
        <v>2905.1442197974429</v>
      </c>
      <c r="S11" s="352">
        <f t="shared" si="5"/>
        <v>726</v>
      </c>
      <c r="T11" s="352">
        <f t="shared" si="16"/>
        <v>2905.1442197974429</v>
      </c>
      <c r="U11" s="281">
        <f>'Table 5C1A-Madison Prep'!U11</f>
        <v>1923</v>
      </c>
      <c r="V11" s="329">
        <f t="shared" si="17"/>
        <v>0</v>
      </c>
      <c r="W11" s="884">
        <f>'[1]Oct midyear Willow'!E8</f>
        <v>0</v>
      </c>
      <c r="X11" s="282">
        <f t="shared" si="18"/>
        <v>0</v>
      </c>
      <c r="Y11" s="884">
        <f>'[1]Feb midyear Willow'!E8</f>
        <v>1</v>
      </c>
      <c r="Z11" s="282">
        <f t="shared" si="19"/>
        <v>961.5</v>
      </c>
      <c r="AA11" s="283">
        <f t="shared" si="20"/>
        <v>961.5</v>
      </c>
      <c r="AB11" s="325">
        <f t="shared" si="21"/>
        <v>961.5</v>
      </c>
      <c r="AC11" s="298">
        <f t="shared" si="22"/>
        <v>-2.4037500000000001</v>
      </c>
      <c r="AD11" s="325">
        <f t="shared" si="23"/>
        <v>959.09625000000005</v>
      </c>
      <c r="AE11" s="284">
        <v>0</v>
      </c>
      <c r="AF11" s="325">
        <f t="shared" si="24"/>
        <v>959.09625000000005</v>
      </c>
      <c r="AG11" s="284">
        <f>8*'[2]Table 5C1W-Willow'!AI11</f>
        <v>0</v>
      </c>
      <c r="AH11" s="284">
        <f t="shared" si="25"/>
        <v>959.09625000000005</v>
      </c>
      <c r="AI11" s="325">
        <f t="shared" si="6"/>
        <v>240</v>
      </c>
      <c r="AJ11" s="338">
        <f t="shared" si="26"/>
        <v>3864.240469797443</v>
      </c>
      <c r="AK11" s="343">
        <f t="shared" si="27"/>
        <v>966</v>
      </c>
      <c r="AM11" s="296">
        <v>0</v>
      </c>
      <c r="AN11" s="296">
        <f t="shared" si="28"/>
        <v>-2.4037500000000001</v>
      </c>
      <c r="AO11" s="296">
        <f t="shared" si="7"/>
        <v>-2.4037500000000001</v>
      </c>
    </row>
    <row r="12" spans="1:41" ht="16.149999999999999" customHeight="1">
      <c r="A12" s="205">
        <v>6</v>
      </c>
      <c r="B12" s="206" t="s">
        <v>78</v>
      </c>
      <c r="C12" s="994">
        <v>0</v>
      </c>
      <c r="D12" s="208">
        <f>+'Table 5C1A-Madison Prep'!D12</f>
        <v>5378.5086124955869</v>
      </c>
      <c r="E12" s="209">
        <f t="shared" si="8"/>
        <v>0</v>
      </c>
      <c r="F12" s="209">
        <f>+'Table 5C1A-Madison Prep'!F12</f>
        <v>545.4799999999999</v>
      </c>
      <c r="G12" s="209">
        <f t="shared" si="9"/>
        <v>0</v>
      </c>
      <c r="H12" s="344">
        <f t="shared" si="10"/>
        <v>0</v>
      </c>
      <c r="I12" s="210">
        <f>'[1]Oct midyear Willow'!K9</f>
        <v>0</v>
      </c>
      <c r="J12" s="210">
        <f>'[1]Feb midyear Willow'!K9</f>
        <v>0</v>
      </c>
      <c r="K12" s="211">
        <f t="shared" si="11"/>
        <v>0</v>
      </c>
      <c r="L12" s="344">
        <f t="shared" si="12"/>
        <v>0</v>
      </c>
      <c r="M12" s="273">
        <f t="shared" si="4"/>
        <v>0</v>
      </c>
      <c r="N12" s="344">
        <f t="shared" si="13"/>
        <v>0</v>
      </c>
      <c r="O12" s="208">
        <v>0</v>
      </c>
      <c r="P12" s="350">
        <f t="shared" si="14"/>
        <v>0</v>
      </c>
      <c r="Q12" s="210">
        <f>8*'[2]Table 5C1W-Willow'!S12</f>
        <v>0</v>
      </c>
      <c r="R12" s="210">
        <f t="shared" si="15"/>
        <v>0</v>
      </c>
      <c r="S12" s="350">
        <f t="shared" si="5"/>
        <v>0</v>
      </c>
      <c r="T12" s="350">
        <f t="shared" si="16"/>
        <v>0</v>
      </c>
      <c r="U12" s="274">
        <f>'Table 5C1A-Madison Prep'!U12</f>
        <v>4057</v>
      </c>
      <c r="V12" s="327">
        <f t="shared" si="17"/>
        <v>0</v>
      </c>
      <c r="W12" s="883">
        <f>'[1]Oct midyear Willow'!E9</f>
        <v>0</v>
      </c>
      <c r="X12" s="276">
        <f t="shared" si="18"/>
        <v>0</v>
      </c>
      <c r="Y12" s="883">
        <f>'[1]Feb midyear Willow'!E9</f>
        <v>0</v>
      </c>
      <c r="Z12" s="276">
        <f t="shared" si="19"/>
        <v>0</v>
      </c>
      <c r="AA12" s="275">
        <f t="shared" si="20"/>
        <v>0</v>
      </c>
      <c r="AB12" s="323">
        <f t="shared" si="21"/>
        <v>0</v>
      </c>
      <c r="AC12" s="278">
        <f t="shared" si="22"/>
        <v>0</v>
      </c>
      <c r="AD12" s="323">
        <f t="shared" si="23"/>
        <v>0</v>
      </c>
      <c r="AE12" s="279">
        <v>0</v>
      </c>
      <c r="AF12" s="323">
        <f t="shared" si="24"/>
        <v>0</v>
      </c>
      <c r="AG12" s="279">
        <f>8*'[2]Table 5C1W-Willow'!AI12</f>
        <v>0</v>
      </c>
      <c r="AH12" s="279">
        <f t="shared" si="25"/>
        <v>0</v>
      </c>
      <c r="AI12" s="323">
        <f t="shared" si="6"/>
        <v>0</v>
      </c>
      <c r="AJ12" s="337">
        <f t="shared" si="26"/>
        <v>0</v>
      </c>
      <c r="AK12" s="341">
        <f t="shared" si="27"/>
        <v>0</v>
      </c>
      <c r="AM12" s="273">
        <v>0</v>
      </c>
      <c r="AN12" s="273">
        <f t="shared" si="28"/>
        <v>0</v>
      </c>
      <c r="AO12" s="273">
        <f t="shared" si="7"/>
        <v>0</v>
      </c>
    </row>
    <row r="13" spans="1:41" ht="16.149999999999999" customHeight="1">
      <c r="A13" s="198">
        <v>7</v>
      </c>
      <c r="B13" s="199" t="s">
        <v>79</v>
      </c>
      <c r="C13" s="995">
        <v>0</v>
      </c>
      <c r="D13" s="201">
        <f>+'Table 5C1A-Madison Prep'!D13</f>
        <v>2243.0031963470319</v>
      </c>
      <c r="E13" s="202">
        <f t="shared" si="8"/>
        <v>0</v>
      </c>
      <c r="F13" s="202">
        <f>+'Table 5C1A-Madison Prep'!F13</f>
        <v>756.91999999999985</v>
      </c>
      <c r="G13" s="202">
        <f t="shared" si="9"/>
        <v>0</v>
      </c>
      <c r="H13" s="345">
        <f t="shared" si="10"/>
        <v>0</v>
      </c>
      <c r="I13" s="203">
        <f>'[1]Oct midyear Willow'!K10</f>
        <v>0</v>
      </c>
      <c r="J13" s="203">
        <f>'[1]Feb midyear Willow'!K10</f>
        <v>0</v>
      </c>
      <c r="K13" s="204">
        <f t="shared" si="11"/>
        <v>0</v>
      </c>
      <c r="L13" s="345">
        <f t="shared" si="12"/>
        <v>0</v>
      </c>
      <c r="M13" s="286">
        <f t="shared" si="4"/>
        <v>0</v>
      </c>
      <c r="N13" s="345">
        <f t="shared" si="13"/>
        <v>0</v>
      </c>
      <c r="O13" s="201">
        <v>0</v>
      </c>
      <c r="P13" s="351">
        <f t="shared" si="14"/>
        <v>0</v>
      </c>
      <c r="Q13" s="203">
        <f>8*'[2]Table 5C1W-Willow'!S13</f>
        <v>0</v>
      </c>
      <c r="R13" s="203">
        <f t="shared" si="15"/>
        <v>0</v>
      </c>
      <c r="S13" s="351">
        <f t="shared" si="5"/>
        <v>0</v>
      </c>
      <c r="T13" s="351">
        <f t="shared" si="16"/>
        <v>0</v>
      </c>
      <c r="U13" s="287">
        <f>'Table 5C1A-Madison Prep'!U13</f>
        <v>12112</v>
      </c>
      <c r="V13" s="328">
        <f t="shared" si="17"/>
        <v>0</v>
      </c>
      <c r="W13" s="289">
        <f>'[1]Oct midyear Willow'!E10</f>
        <v>0</v>
      </c>
      <c r="X13" s="290">
        <f t="shared" si="18"/>
        <v>0</v>
      </c>
      <c r="Y13" s="289">
        <f>'[1]Feb midyear Willow'!E10</f>
        <v>0</v>
      </c>
      <c r="Z13" s="290">
        <f t="shared" si="19"/>
        <v>0</v>
      </c>
      <c r="AA13" s="288">
        <f t="shared" si="20"/>
        <v>0</v>
      </c>
      <c r="AB13" s="324">
        <f t="shared" si="21"/>
        <v>0</v>
      </c>
      <c r="AC13" s="292">
        <f t="shared" si="22"/>
        <v>0</v>
      </c>
      <c r="AD13" s="324">
        <f t="shared" si="23"/>
        <v>0</v>
      </c>
      <c r="AE13" s="293">
        <v>0</v>
      </c>
      <c r="AF13" s="324">
        <f t="shared" si="24"/>
        <v>0</v>
      </c>
      <c r="AG13" s="293">
        <f>8*'[2]Table 5C1W-Willow'!AI13</f>
        <v>0</v>
      </c>
      <c r="AH13" s="293">
        <f t="shared" si="25"/>
        <v>0</v>
      </c>
      <c r="AI13" s="324">
        <f t="shared" si="6"/>
        <v>0</v>
      </c>
      <c r="AJ13" s="321">
        <f t="shared" si="26"/>
        <v>0</v>
      </c>
      <c r="AK13" s="342">
        <f t="shared" si="27"/>
        <v>0</v>
      </c>
      <c r="AM13" s="286">
        <v>0</v>
      </c>
      <c r="AN13" s="286">
        <f t="shared" si="28"/>
        <v>0</v>
      </c>
      <c r="AO13" s="286">
        <f t="shared" si="7"/>
        <v>0</v>
      </c>
    </row>
    <row r="14" spans="1:41" ht="16.149999999999999" customHeight="1">
      <c r="A14" s="198">
        <v>8</v>
      </c>
      <c r="B14" s="199" t="s">
        <v>80</v>
      </c>
      <c r="C14" s="995">
        <v>0</v>
      </c>
      <c r="D14" s="201">
        <f>+'Table 5C1A-Madison Prep'!D14</f>
        <v>4669.802459558854</v>
      </c>
      <c r="E14" s="202">
        <f t="shared" si="8"/>
        <v>0</v>
      </c>
      <c r="F14" s="202">
        <f>+'Table 5C1A-Madison Prep'!F14</f>
        <v>725.76</v>
      </c>
      <c r="G14" s="202">
        <f t="shared" si="9"/>
        <v>0</v>
      </c>
      <c r="H14" s="345">
        <f t="shared" si="10"/>
        <v>0</v>
      </c>
      <c r="I14" s="203">
        <f>'[1]Oct midyear Willow'!K11</f>
        <v>0</v>
      </c>
      <c r="J14" s="203">
        <f>'[1]Feb midyear Willow'!K11</f>
        <v>0</v>
      </c>
      <c r="K14" s="204">
        <f t="shared" si="11"/>
        <v>0</v>
      </c>
      <c r="L14" s="345">
        <f t="shared" si="12"/>
        <v>0</v>
      </c>
      <c r="M14" s="286">
        <f t="shared" si="4"/>
        <v>0</v>
      </c>
      <c r="N14" s="345">
        <f t="shared" si="13"/>
        <v>0</v>
      </c>
      <c r="O14" s="201">
        <v>0</v>
      </c>
      <c r="P14" s="351">
        <f t="shared" si="14"/>
        <v>0</v>
      </c>
      <c r="Q14" s="203">
        <f>8*'[2]Table 5C1W-Willow'!S14</f>
        <v>0</v>
      </c>
      <c r="R14" s="203">
        <f t="shared" si="15"/>
        <v>0</v>
      </c>
      <c r="S14" s="351">
        <f t="shared" si="5"/>
        <v>0</v>
      </c>
      <c r="T14" s="351">
        <f t="shared" si="16"/>
        <v>0</v>
      </c>
      <c r="U14" s="287">
        <f>'Table 5C1A-Madison Prep'!U14</f>
        <v>4124</v>
      </c>
      <c r="V14" s="328">
        <f t="shared" si="17"/>
        <v>0</v>
      </c>
      <c r="W14" s="289">
        <f>'[1]Oct midyear Willow'!E11</f>
        <v>0</v>
      </c>
      <c r="X14" s="290">
        <f t="shared" si="18"/>
        <v>0</v>
      </c>
      <c r="Y14" s="289">
        <f>'[1]Feb midyear Willow'!E11</f>
        <v>0</v>
      </c>
      <c r="Z14" s="290">
        <f t="shared" si="19"/>
        <v>0</v>
      </c>
      <c r="AA14" s="288">
        <f t="shared" si="20"/>
        <v>0</v>
      </c>
      <c r="AB14" s="324">
        <f t="shared" si="21"/>
        <v>0</v>
      </c>
      <c r="AC14" s="292">
        <f t="shared" si="22"/>
        <v>0</v>
      </c>
      <c r="AD14" s="324">
        <f t="shared" si="23"/>
        <v>0</v>
      </c>
      <c r="AE14" s="293">
        <v>0</v>
      </c>
      <c r="AF14" s="324">
        <f t="shared" si="24"/>
        <v>0</v>
      </c>
      <c r="AG14" s="293">
        <f>8*'[2]Table 5C1W-Willow'!AI14</f>
        <v>0</v>
      </c>
      <c r="AH14" s="293">
        <f t="shared" si="25"/>
        <v>0</v>
      </c>
      <c r="AI14" s="324">
        <f t="shared" si="6"/>
        <v>0</v>
      </c>
      <c r="AJ14" s="321">
        <f t="shared" si="26"/>
        <v>0</v>
      </c>
      <c r="AK14" s="342">
        <f t="shared" si="27"/>
        <v>0</v>
      </c>
      <c r="AM14" s="286">
        <v>0</v>
      </c>
      <c r="AN14" s="286">
        <f t="shared" si="28"/>
        <v>0</v>
      </c>
      <c r="AO14" s="286">
        <f t="shared" si="7"/>
        <v>0</v>
      </c>
    </row>
    <row r="15" spans="1:41" ht="16.149999999999999" customHeight="1">
      <c r="A15" s="198">
        <v>9</v>
      </c>
      <c r="B15" s="199" t="s">
        <v>81</v>
      </c>
      <c r="C15" s="995">
        <v>0</v>
      </c>
      <c r="D15" s="201">
        <f>+'Table 5C1A-Madison Prep'!D15</f>
        <v>4632.4615072045008</v>
      </c>
      <c r="E15" s="202">
        <f t="shared" si="8"/>
        <v>0</v>
      </c>
      <c r="F15" s="202">
        <f>+'Table 5C1A-Madison Prep'!F15</f>
        <v>744.76</v>
      </c>
      <c r="G15" s="202">
        <f t="shared" si="9"/>
        <v>0</v>
      </c>
      <c r="H15" s="345">
        <f t="shared" si="10"/>
        <v>0</v>
      </c>
      <c r="I15" s="203">
        <f>'[1]Oct midyear Willow'!K12</f>
        <v>0</v>
      </c>
      <c r="J15" s="203">
        <f>'[1]Feb midyear Willow'!K12</f>
        <v>0</v>
      </c>
      <c r="K15" s="204">
        <f t="shared" si="11"/>
        <v>0</v>
      </c>
      <c r="L15" s="345">
        <f t="shared" si="12"/>
        <v>0</v>
      </c>
      <c r="M15" s="286">
        <f t="shared" si="4"/>
        <v>0</v>
      </c>
      <c r="N15" s="345">
        <f t="shared" si="13"/>
        <v>0</v>
      </c>
      <c r="O15" s="201">
        <v>0</v>
      </c>
      <c r="P15" s="351">
        <f t="shared" si="14"/>
        <v>0</v>
      </c>
      <c r="Q15" s="203">
        <f>8*'[2]Table 5C1W-Willow'!S15</f>
        <v>0</v>
      </c>
      <c r="R15" s="203">
        <f t="shared" si="15"/>
        <v>0</v>
      </c>
      <c r="S15" s="351">
        <f t="shared" si="5"/>
        <v>0</v>
      </c>
      <c r="T15" s="351">
        <f t="shared" si="16"/>
        <v>0</v>
      </c>
      <c r="U15" s="287">
        <f>'Table 5C1A-Madison Prep'!U15</f>
        <v>4901</v>
      </c>
      <c r="V15" s="328">
        <f t="shared" si="17"/>
        <v>0</v>
      </c>
      <c r="W15" s="289">
        <f>'[1]Oct midyear Willow'!E12</f>
        <v>0</v>
      </c>
      <c r="X15" s="290">
        <f t="shared" si="18"/>
        <v>0</v>
      </c>
      <c r="Y15" s="289">
        <f>'[1]Feb midyear Willow'!E12</f>
        <v>0</v>
      </c>
      <c r="Z15" s="290">
        <f t="shared" si="19"/>
        <v>0</v>
      </c>
      <c r="AA15" s="288">
        <f t="shared" si="20"/>
        <v>0</v>
      </c>
      <c r="AB15" s="324">
        <f t="shared" si="21"/>
        <v>0</v>
      </c>
      <c r="AC15" s="292">
        <f t="shared" si="22"/>
        <v>0</v>
      </c>
      <c r="AD15" s="324">
        <f t="shared" si="23"/>
        <v>0</v>
      </c>
      <c r="AE15" s="293">
        <v>0</v>
      </c>
      <c r="AF15" s="324">
        <f t="shared" si="24"/>
        <v>0</v>
      </c>
      <c r="AG15" s="293">
        <f>8*'[2]Table 5C1W-Willow'!AI15</f>
        <v>0</v>
      </c>
      <c r="AH15" s="293">
        <f t="shared" si="25"/>
        <v>0</v>
      </c>
      <c r="AI15" s="324">
        <f t="shared" si="6"/>
        <v>0</v>
      </c>
      <c r="AJ15" s="321">
        <f t="shared" si="26"/>
        <v>0</v>
      </c>
      <c r="AK15" s="342">
        <f t="shared" si="27"/>
        <v>0</v>
      </c>
      <c r="AM15" s="286">
        <v>0</v>
      </c>
      <c r="AN15" s="286">
        <f t="shared" si="28"/>
        <v>0</v>
      </c>
      <c r="AO15" s="286">
        <f t="shared" si="7"/>
        <v>0</v>
      </c>
    </row>
    <row r="16" spans="1:41" ht="16.149999999999999" customHeight="1">
      <c r="A16" s="191">
        <v>10</v>
      </c>
      <c r="B16" s="192" t="s">
        <v>82</v>
      </c>
      <c r="C16" s="996">
        <v>0</v>
      </c>
      <c r="D16" s="194">
        <f>+'Table 5C1A-Madison Prep'!D16</f>
        <v>4384.374733918472</v>
      </c>
      <c r="E16" s="195">
        <f t="shared" si="8"/>
        <v>0</v>
      </c>
      <c r="F16" s="195">
        <f>+'Table 5C1A-Madison Prep'!F16</f>
        <v>608.04000000000008</v>
      </c>
      <c r="G16" s="195">
        <f t="shared" si="9"/>
        <v>0</v>
      </c>
      <c r="H16" s="346">
        <f t="shared" si="10"/>
        <v>0</v>
      </c>
      <c r="I16" s="196">
        <f>'[1]Oct midyear Willow'!K13</f>
        <v>0</v>
      </c>
      <c r="J16" s="196">
        <f>'[1]Feb midyear Willow'!K13</f>
        <v>0</v>
      </c>
      <c r="K16" s="197">
        <f t="shared" si="11"/>
        <v>0</v>
      </c>
      <c r="L16" s="346">
        <f t="shared" si="12"/>
        <v>0</v>
      </c>
      <c r="M16" s="296">
        <f t="shared" si="4"/>
        <v>0</v>
      </c>
      <c r="N16" s="346">
        <f t="shared" si="13"/>
        <v>0</v>
      </c>
      <c r="O16" s="194">
        <v>0</v>
      </c>
      <c r="P16" s="352">
        <f t="shared" si="14"/>
        <v>0</v>
      </c>
      <c r="Q16" s="196">
        <f>8*'[2]Table 5C1W-Willow'!S16</f>
        <v>0</v>
      </c>
      <c r="R16" s="196">
        <f t="shared" si="15"/>
        <v>0</v>
      </c>
      <c r="S16" s="352">
        <f t="shared" si="5"/>
        <v>0</v>
      </c>
      <c r="T16" s="352">
        <f t="shared" si="16"/>
        <v>0</v>
      </c>
      <c r="U16" s="281">
        <f>'Table 5C1A-Madison Prep'!U16</f>
        <v>4619</v>
      </c>
      <c r="V16" s="329">
        <f t="shared" si="17"/>
        <v>0</v>
      </c>
      <c r="W16" s="884">
        <f>'[1]Oct midyear Willow'!E13</f>
        <v>0</v>
      </c>
      <c r="X16" s="282">
        <f t="shared" si="18"/>
        <v>0</v>
      </c>
      <c r="Y16" s="884">
        <f>'[1]Feb midyear Willow'!E13</f>
        <v>0</v>
      </c>
      <c r="Z16" s="282">
        <f t="shared" si="19"/>
        <v>0</v>
      </c>
      <c r="AA16" s="283">
        <f t="shared" si="20"/>
        <v>0</v>
      </c>
      <c r="AB16" s="325">
        <f t="shared" si="21"/>
        <v>0</v>
      </c>
      <c r="AC16" s="298">
        <f t="shared" si="22"/>
        <v>0</v>
      </c>
      <c r="AD16" s="325">
        <f t="shared" si="23"/>
        <v>0</v>
      </c>
      <c r="AE16" s="284">
        <v>0</v>
      </c>
      <c r="AF16" s="325">
        <f t="shared" si="24"/>
        <v>0</v>
      </c>
      <c r="AG16" s="284">
        <f>8*'[2]Table 5C1W-Willow'!AI16</f>
        <v>0</v>
      </c>
      <c r="AH16" s="284">
        <f t="shared" si="25"/>
        <v>0</v>
      </c>
      <c r="AI16" s="325">
        <f t="shared" si="6"/>
        <v>0</v>
      </c>
      <c r="AJ16" s="338">
        <f t="shared" si="26"/>
        <v>0</v>
      </c>
      <c r="AK16" s="343">
        <f t="shared" si="27"/>
        <v>0</v>
      </c>
      <c r="AM16" s="296">
        <v>0</v>
      </c>
      <c r="AN16" s="296">
        <f t="shared" si="28"/>
        <v>0</v>
      </c>
      <c r="AO16" s="296">
        <f t="shared" si="7"/>
        <v>0</v>
      </c>
    </row>
    <row r="17" spans="1:41" ht="16.149999999999999" customHeight="1">
      <c r="A17" s="205">
        <v>11</v>
      </c>
      <c r="B17" s="206" t="s">
        <v>83</v>
      </c>
      <c r="C17" s="994">
        <v>0</v>
      </c>
      <c r="D17" s="208">
        <f>+'Table 5C1A-Madison Prep'!D17</f>
        <v>7098.5372236353351</v>
      </c>
      <c r="E17" s="209">
        <f t="shared" si="8"/>
        <v>0</v>
      </c>
      <c r="F17" s="209">
        <f>+'Table 5C1A-Madison Prep'!F17</f>
        <v>706.55</v>
      </c>
      <c r="G17" s="209">
        <f t="shared" si="9"/>
        <v>0</v>
      </c>
      <c r="H17" s="344">
        <f t="shared" si="10"/>
        <v>0</v>
      </c>
      <c r="I17" s="210">
        <f>'[1]Oct midyear Willow'!K14</f>
        <v>0</v>
      </c>
      <c r="J17" s="210">
        <f>'[1]Feb midyear Willow'!K14</f>
        <v>0</v>
      </c>
      <c r="K17" s="211">
        <f t="shared" si="11"/>
        <v>0</v>
      </c>
      <c r="L17" s="344">
        <f t="shared" si="12"/>
        <v>0</v>
      </c>
      <c r="M17" s="273">
        <f t="shared" si="4"/>
        <v>0</v>
      </c>
      <c r="N17" s="344">
        <f t="shared" si="13"/>
        <v>0</v>
      </c>
      <c r="O17" s="208">
        <v>0</v>
      </c>
      <c r="P17" s="350">
        <f t="shared" si="14"/>
        <v>0</v>
      </c>
      <c r="Q17" s="210">
        <f>8*'[2]Table 5C1W-Willow'!S17</f>
        <v>0</v>
      </c>
      <c r="R17" s="210">
        <f t="shared" si="15"/>
        <v>0</v>
      </c>
      <c r="S17" s="350">
        <f t="shared" si="5"/>
        <v>0</v>
      </c>
      <c r="T17" s="350">
        <f t="shared" si="16"/>
        <v>0</v>
      </c>
      <c r="U17" s="274">
        <f>'Table 5C1A-Madison Prep'!U17</f>
        <v>3580</v>
      </c>
      <c r="V17" s="327">
        <f t="shared" si="17"/>
        <v>0</v>
      </c>
      <c r="W17" s="883">
        <f>'[1]Oct midyear Willow'!E14</f>
        <v>0</v>
      </c>
      <c r="X17" s="276">
        <f t="shared" si="18"/>
        <v>0</v>
      </c>
      <c r="Y17" s="883">
        <f>'[1]Feb midyear Willow'!E14</f>
        <v>0</v>
      </c>
      <c r="Z17" s="276">
        <f t="shared" si="19"/>
        <v>0</v>
      </c>
      <c r="AA17" s="275">
        <f t="shared" si="20"/>
        <v>0</v>
      </c>
      <c r="AB17" s="323">
        <f t="shared" si="21"/>
        <v>0</v>
      </c>
      <c r="AC17" s="278">
        <f t="shared" si="22"/>
        <v>0</v>
      </c>
      <c r="AD17" s="323">
        <f t="shared" si="23"/>
        <v>0</v>
      </c>
      <c r="AE17" s="279">
        <v>0</v>
      </c>
      <c r="AF17" s="323">
        <f t="shared" si="24"/>
        <v>0</v>
      </c>
      <c r="AG17" s="279">
        <f>8*'[2]Table 5C1W-Willow'!AI17</f>
        <v>0</v>
      </c>
      <c r="AH17" s="279">
        <f t="shared" si="25"/>
        <v>0</v>
      </c>
      <c r="AI17" s="323">
        <f t="shared" si="6"/>
        <v>0</v>
      </c>
      <c r="AJ17" s="337">
        <f t="shared" si="26"/>
        <v>0</v>
      </c>
      <c r="AK17" s="341">
        <f t="shared" si="27"/>
        <v>0</v>
      </c>
      <c r="AM17" s="273">
        <v>0</v>
      </c>
      <c r="AN17" s="273">
        <f t="shared" si="28"/>
        <v>0</v>
      </c>
      <c r="AO17" s="273">
        <f t="shared" si="7"/>
        <v>0</v>
      </c>
    </row>
    <row r="18" spans="1:41" ht="16.149999999999999" customHeight="1">
      <c r="A18" s="198">
        <v>12</v>
      </c>
      <c r="B18" s="199" t="s">
        <v>84</v>
      </c>
      <c r="C18" s="995">
        <v>0</v>
      </c>
      <c r="D18" s="201">
        <f>+'Table 5C1A-Madison Prep'!D18</f>
        <v>1666.6040983606558</v>
      </c>
      <c r="E18" s="202">
        <f t="shared" si="8"/>
        <v>0</v>
      </c>
      <c r="F18" s="202">
        <f>+'Table 5C1A-Madison Prep'!F18</f>
        <v>1063.31</v>
      </c>
      <c r="G18" s="202">
        <f t="shared" si="9"/>
        <v>0</v>
      </c>
      <c r="H18" s="345">
        <f t="shared" si="10"/>
        <v>0</v>
      </c>
      <c r="I18" s="203">
        <f>'[1]Oct midyear Willow'!K15</f>
        <v>0</v>
      </c>
      <c r="J18" s="203">
        <f>'[1]Feb midyear Willow'!K15</f>
        <v>0</v>
      </c>
      <c r="K18" s="204">
        <f t="shared" si="11"/>
        <v>0</v>
      </c>
      <c r="L18" s="345">
        <f t="shared" si="12"/>
        <v>0</v>
      </c>
      <c r="M18" s="286">
        <f t="shared" si="4"/>
        <v>0</v>
      </c>
      <c r="N18" s="345">
        <f t="shared" si="13"/>
        <v>0</v>
      </c>
      <c r="O18" s="201">
        <v>0</v>
      </c>
      <c r="P18" s="351">
        <f t="shared" si="14"/>
        <v>0</v>
      </c>
      <c r="Q18" s="203">
        <f>8*'[2]Table 5C1W-Willow'!S18</f>
        <v>0</v>
      </c>
      <c r="R18" s="203">
        <f t="shared" si="15"/>
        <v>0</v>
      </c>
      <c r="S18" s="351">
        <f t="shared" si="5"/>
        <v>0</v>
      </c>
      <c r="T18" s="351">
        <f t="shared" si="16"/>
        <v>0</v>
      </c>
      <c r="U18" s="287">
        <f>'Table 5C1A-Madison Prep'!U18</f>
        <v>8094</v>
      </c>
      <c r="V18" s="328">
        <f t="shared" si="17"/>
        <v>0</v>
      </c>
      <c r="W18" s="289">
        <f>'[1]Oct midyear Willow'!E15</f>
        <v>0</v>
      </c>
      <c r="X18" s="290">
        <f t="shared" si="18"/>
        <v>0</v>
      </c>
      <c r="Y18" s="289">
        <f>'[1]Feb midyear Willow'!E15</f>
        <v>0</v>
      </c>
      <c r="Z18" s="290">
        <f t="shared" si="19"/>
        <v>0</v>
      </c>
      <c r="AA18" s="288">
        <f t="shared" si="20"/>
        <v>0</v>
      </c>
      <c r="AB18" s="324">
        <f t="shared" si="21"/>
        <v>0</v>
      </c>
      <c r="AC18" s="292">
        <f t="shared" si="22"/>
        <v>0</v>
      </c>
      <c r="AD18" s="324">
        <f t="shared" si="23"/>
        <v>0</v>
      </c>
      <c r="AE18" s="293">
        <v>0</v>
      </c>
      <c r="AF18" s="324">
        <f t="shared" si="24"/>
        <v>0</v>
      </c>
      <c r="AG18" s="293">
        <f>8*'[2]Table 5C1W-Willow'!AI18</f>
        <v>0</v>
      </c>
      <c r="AH18" s="293">
        <f t="shared" si="25"/>
        <v>0</v>
      </c>
      <c r="AI18" s="324">
        <f t="shared" si="6"/>
        <v>0</v>
      </c>
      <c r="AJ18" s="321">
        <f t="shared" si="26"/>
        <v>0</v>
      </c>
      <c r="AK18" s="342">
        <f t="shared" si="27"/>
        <v>0</v>
      </c>
      <c r="AM18" s="286">
        <v>0</v>
      </c>
      <c r="AN18" s="286">
        <f t="shared" si="28"/>
        <v>0</v>
      </c>
      <c r="AO18" s="286">
        <f t="shared" si="7"/>
        <v>0</v>
      </c>
    </row>
    <row r="19" spans="1:41" ht="16.149999999999999" customHeight="1">
      <c r="A19" s="198">
        <v>13</v>
      </c>
      <c r="B19" s="199" t="s">
        <v>85</v>
      </c>
      <c r="C19" s="995">
        <v>0</v>
      </c>
      <c r="D19" s="201">
        <f>+'Table 5C1A-Madison Prep'!D19</f>
        <v>6433.6297758332212</v>
      </c>
      <c r="E19" s="202">
        <f t="shared" si="8"/>
        <v>0</v>
      </c>
      <c r="F19" s="202">
        <f>+'Table 5C1A-Madison Prep'!F19</f>
        <v>749.43000000000006</v>
      </c>
      <c r="G19" s="202">
        <f t="shared" si="9"/>
        <v>0</v>
      </c>
      <c r="H19" s="345">
        <f t="shared" si="10"/>
        <v>0</v>
      </c>
      <c r="I19" s="203">
        <f>'[1]Oct midyear Willow'!K16</f>
        <v>0</v>
      </c>
      <c r="J19" s="203">
        <f>'[1]Feb midyear Willow'!K16</f>
        <v>0</v>
      </c>
      <c r="K19" s="204">
        <f t="shared" si="11"/>
        <v>0</v>
      </c>
      <c r="L19" s="345">
        <f t="shared" si="12"/>
        <v>0</v>
      </c>
      <c r="M19" s="286">
        <f t="shared" si="4"/>
        <v>0</v>
      </c>
      <c r="N19" s="345">
        <f t="shared" si="13"/>
        <v>0</v>
      </c>
      <c r="O19" s="201">
        <v>0</v>
      </c>
      <c r="P19" s="351">
        <f t="shared" si="14"/>
        <v>0</v>
      </c>
      <c r="Q19" s="203">
        <f>8*'[2]Table 5C1W-Willow'!S19</f>
        <v>0</v>
      </c>
      <c r="R19" s="203">
        <f t="shared" si="15"/>
        <v>0</v>
      </c>
      <c r="S19" s="351">
        <f t="shared" si="5"/>
        <v>0</v>
      </c>
      <c r="T19" s="351">
        <f t="shared" si="16"/>
        <v>0</v>
      </c>
      <c r="U19" s="287">
        <f>'Table 5C1A-Madison Prep'!U19</f>
        <v>2762</v>
      </c>
      <c r="V19" s="328">
        <f t="shared" si="17"/>
        <v>0</v>
      </c>
      <c r="W19" s="289">
        <f>'[1]Oct midyear Willow'!E16</f>
        <v>0</v>
      </c>
      <c r="X19" s="290">
        <f t="shared" si="18"/>
        <v>0</v>
      </c>
      <c r="Y19" s="289">
        <f>'[1]Feb midyear Willow'!E16</f>
        <v>0</v>
      </c>
      <c r="Z19" s="290">
        <f t="shared" si="19"/>
        <v>0</v>
      </c>
      <c r="AA19" s="288">
        <f t="shared" si="20"/>
        <v>0</v>
      </c>
      <c r="AB19" s="324">
        <f t="shared" si="21"/>
        <v>0</v>
      </c>
      <c r="AC19" s="292">
        <f t="shared" si="22"/>
        <v>0</v>
      </c>
      <c r="AD19" s="324">
        <f t="shared" si="23"/>
        <v>0</v>
      </c>
      <c r="AE19" s="293">
        <v>0</v>
      </c>
      <c r="AF19" s="324">
        <f t="shared" si="24"/>
        <v>0</v>
      </c>
      <c r="AG19" s="293">
        <f>8*'[2]Table 5C1W-Willow'!AI19</f>
        <v>0</v>
      </c>
      <c r="AH19" s="293">
        <f t="shared" si="25"/>
        <v>0</v>
      </c>
      <c r="AI19" s="324">
        <f t="shared" si="6"/>
        <v>0</v>
      </c>
      <c r="AJ19" s="321">
        <f t="shared" si="26"/>
        <v>0</v>
      </c>
      <c r="AK19" s="342">
        <f t="shared" si="27"/>
        <v>0</v>
      </c>
      <c r="AM19" s="286">
        <v>0</v>
      </c>
      <c r="AN19" s="286">
        <f t="shared" si="28"/>
        <v>0</v>
      </c>
      <c r="AO19" s="286">
        <f t="shared" si="7"/>
        <v>0</v>
      </c>
    </row>
    <row r="20" spans="1:41" ht="16.149999999999999" customHeight="1">
      <c r="A20" s="198">
        <v>14</v>
      </c>
      <c r="B20" s="199" t="s">
        <v>86</v>
      </c>
      <c r="C20" s="995">
        <v>0</v>
      </c>
      <c r="D20" s="201">
        <f>+'Table 5C1A-Madison Prep'!D20</f>
        <v>5334.9509412500001</v>
      </c>
      <c r="E20" s="202">
        <f t="shared" si="8"/>
        <v>0</v>
      </c>
      <c r="F20" s="202">
        <f>+'Table 5C1A-Madison Prep'!F20</f>
        <v>809.9799999999999</v>
      </c>
      <c r="G20" s="202">
        <f t="shared" si="9"/>
        <v>0</v>
      </c>
      <c r="H20" s="345">
        <f t="shared" si="10"/>
        <v>0</v>
      </c>
      <c r="I20" s="203">
        <f>'[1]Oct midyear Willow'!K17</f>
        <v>0</v>
      </c>
      <c r="J20" s="203">
        <f>'[1]Feb midyear Willow'!K17</f>
        <v>0</v>
      </c>
      <c r="K20" s="204">
        <f t="shared" si="11"/>
        <v>0</v>
      </c>
      <c r="L20" s="345">
        <f t="shared" si="12"/>
        <v>0</v>
      </c>
      <c r="M20" s="286">
        <f t="shared" si="4"/>
        <v>0</v>
      </c>
      <c r="N20" s="345">
        <f t="shared" si="13"/>
        <v>0</v>
      </c>
      <c r="O20" s="201">
        <v>0</v>
      </c>
      <c r="P20" s="351">
        <f t="shared" si="14"/>
        <v>0</v>
      </c>
      <c r="Q20" s="203">
        <f>8*'[2]Table 5C1W-Willow'!S20</f>
        <v>0</v>
      </c>
      <c r="R20" s="203">
        <f t="shared" si="15"/>
        <v>0</v>
      </c>
      <c r="S20" s="351">
        <f t="shared" si="5"/>
        <v>0</v>
      </c>
      <c r="T20" s="351">
        <f t="shared" si="16"/>
        <v>0</v>
      </c>
      <c r="U20" s="287">
        <f>'Table 5C1A-Madison Prep'!U20</f>
        <v>4171</v>
      </c>
      <c r="V20" s="328">
        <f t="shared" si="17"/>
        <v>0</v>
      </c>
      <c r="W20" s="289">
        <f>'[1]Oct midyear Willow'!E17</f>
        <v>0</v>
      </c>
      <c r="X20" s="290">
        <f t="shared" si="18"/>
        <v>0</v>
      </c>
      <c r="Y20" s="289">
        <f>'[1]Feb midyear Willow'!E17</f>
        <v>0</v>
      </c>
      <c r="Z20" s="290">
        <f t="shared" si="19"/>
        <v>0</v>
      </c>
      <c r="AA20" s="288">
        <f t="shared" si="20"/>
        <v>0</v>
      </c>
      <c r="AB20" s="324">
        <f t="shared" si="21"/>
        <v>0</v>
      </c>
      <c r="AC20" s="292">
        <f t="shared" si="22"/>
        <v>0</v>
      </c>
      <c r="AD20" s="324">
        <f t="shared" si="23"/>
        <v>0</v>
      </c>
      <c r="AE20" s="293">
        <v>0</v>
      </c>
      <c r="AF20" s="324">
        <f t="shared" si="24"/>
        <v>0</v>
      </c>
      <c r="AG20" s="293">
        <f>8*'[2]Table 5C1W-Willow'!AI20</f>
        <v>0</v>
      </c>
      <c r="AH20" s="293">
        <f t="shared" si="25"/>
        <v>0</v>
      </c>
      <c r="AI20" s="324">
        <f t="shared" si="6"/>
        <v>0</v>
      </c>
      <c r="AJ20" s="321">
        <f t="shared" si="26"/>
        <v>0</v>
      </c>
      <c r="AK20" s="342">
        <f t="shared" si="27"/>
        <v>0</v>
      </c>
      <c r="AM20" s="286">
        <v>0</v>
      </c>
      <c r="AN20" s="286">
        <f t="shared" si="28"/>
        <v>0</v>
      </c>
      <c r="AO20" s="286">
        <f t="shared" si="7"/>
        <v>0</v>
      </c>
    </row>
    <row r="21" spans="1:41" ht="16.149999999999999" customHeight="1">
      <c r="A21" s="191">
        <v>15</v>
      </c>
      <c r="B21" s="192" t="s">
        <v>87</v>
      </c>
      <c r="C21" s="996">
        <v>0</v>
      </c>
      <c r="D21" s="194">
        <f>+'Table 5C1A-Madison Prep'!D21</f>
        <v>5749.8285214059952</v>
      </c>
      <c r="E21" s="195">
        <f t="shared" si="8"/>
        <v>0</v>
      </c>
      <c r="F21" s="195">
        <f>+'Table 5C1A-Madison Prep'!F21</f>
        <v>553.79999999999995</v>
      </c>
      <c r="G21" s="195">
        <f t="shared" si="9"/>
        <v>0</v>
      </c>
      <c r="H21" s="346">
        <f t="shared" si="10"/>
        <v>0</v>
      </c>
      <c r="I21" s="196">
        <f>'[1]Oct midyear Willow'!K18</f>
        <v>0</v>
      </c>
      <c r="J21" s="196">
        <f>'[1]Feb midyear Willow'!K18</f>
        <v>0</v>
      </c>
      <c r="K21" s="197">
        <f t="shared" si="11"/>
        <v>0</v>
      </c>
      <c r="L21" s="346">
        <f t="shared" si="12"/>
        <v>0</v>
      </c>
      <c r="M21" s="296">
        <f t="shared" si="4"/>
        <v>0</v>
      </c>
      <c r="N21" s="346">
        <f t="shared" si="13"/>
        <v>0</v>
      </c>
      <c r="O21" s="194">
        <v>0</v>
      </c>
      <c r="P21" s="352">
        <f t="shared" si="14"/>
        <v>0</v>
      </c>
      <c r="Q21" s="196">
        <f>8*'[2]Table 5C1W-Willow'!S21</f>
        <v>0</v>
      </c>
      <c r="R21" s="196">
        <f t="shared" si="15"/>
        <v>0</v>
      </c>
      <c r="S21" s="352">
        <f t="shared" si="5"/>
        <v>0</v>
      </c>
      <c r="T21" s="352">
        <f t="shared" si="16"/>
        <v>0</v>
      </c>
      <c r="U21" s="281">
        <f>'Table 5C1A-Madison Prep'!U21</f>
        <v>2880</v>
      </c>
      <c r="V21" s="329">
        <f t="shared" si="17"/>
        <v>0</v>
      </c>
      <c r="W21" s="884">
        <f>'[1]Oct midyear Willow'!E18</f>
        <v>0</v>
      </c>
      <c r="X21" s="282">
        <f t="shared" si="18"/>
        <v>0</v>
      </c>
      <c r="Y21" s="884">
        <f>'[1]Feb midyear Willow'!E18</f>
        <v>0</v>
      </c>
      <c r="Z21" s="282">
        <f t="shared" si="19"/>
        <v>0</v>
      </c>
      <c r="AA21" s="283">
        <f t="shared" si="20"/>
        <v>0</v>
      </c>
      <c r="AB21" s="325">
        <f t="shared" si="21"/>
        <v>0</v>
      </c>
      <c r="AC21" s="298">
        <f t="shared" si="22"/>
        <v>0</v>
      </c>
      <c r="AD21" s="325">
        <f t="shared" si="23"/>
        <v>0</v>
      </c>
      <c r="AE21" s="284">
        <v>0</v>
      </c>
      <c r="AF21" s="325">
        <f t="shared" si="24"/>
        <v>0</v>
      </c>
      <c r="AG21" s="284">
        <f>8*'[2]Table 5C1W-Willow'!AI21</f>
        <v>0</v>
      </c>
      <c r="AH21" s="284">
        <f t="shared" si="25"/>
        <v>0</v>
      </c>
      <c r="AI21" s="325">
        <f t="shared" si="6"/>
        <v>0</v>
      </c>
      <c r="AJ21" s="338">
        <f t="shared" si="26"/>
        <v>0</v>
      </c>
      <c r="AK21" s="343">
        <f t="shared" si="27"/>
        <v>0</v>
      </c>
      <c r="AM21" s="296">
        <v>0</v>
      </c>
      <c r="AN21" s="296">
        <f t="shared" si="28"/>
        <v>0</v>
      </c>
      <c r="AO21" s="296">
        <f t="shared" si="7"/>
        <v>0</v>
      </c>
    </row>
    <row r="22" spans="1:41" ht="16.149999999999999" customHeight="1">
      <c r="A22" s="205">
        <v>16</v>
      </c>
      <c r="B22" s="206" t="s">
        <v>88</v>
      </c>
      <c r="C22" s="994">
        <v>0</v>
      </c>
      <c r="D22" s="208">
        <f>+'Table 5C1A-Madison Prep'!D22</f>
        <v>1980.2494354342025</v>
      </c>
      <c r="E22" s="209">
        <f t="shared" si="8"/>
        <v>0</v>
      </c>
      <c r="F22" s="209">
        <f>+'Table 5C1A-Madison Prep'!F22</f>
        <v>686.73</v>
      </c>
      <c r="G22" s="209">
        <f t="shared" si="9"/>
        <v>0</v>
      </c>
      <c r="H22" s="344">
        <f t="shared" si="10"/>
        <v>0</v>
      </c>
      <c r="I22" s="210">
        <f>'[1]Oct midyear Willow'!K19</f>
        <v>0</v>
      </c>
      <c r="J22" s="210">
        <f>'[1]Feb midyear Willow'!K19</f>
        <v>0</v>
      </c>
      <c r="K22" s="211">
        <f t="shared" si="11"/>
        <v>0</v>
      </c>
      <c r="L22" s="344">
        <f t="shared" si="12"/>
        <v>0</v>
      </c>
      <c r="M22" s="273">
        <f t="shared" si="4"/>
        <v>0</v>
      </c>
      <c r="N22" s="344">
        <f t="shared" si="13"/>
        <v>0</v>
      </c>
      <c r="O22" s="208">
        <v>0</v>
      </c>
      <c r="P22" s="350">
        <f t="shared" si="14"/>
        <v>0</v>
      </c>
      <c r="Q22" s="210">
        <f>8*'[2]Table 5C1W-Willow'!S22</f>
        <v>0</v>
      </c>
      <c r="R22" s="210">
        <f t="shared" si="15"/>
        <v>0</v>
      </c>
      <c r="S22" s="350">
        <f t="shared" si="5"/>
        <v>0</v>
      </c>
      <c r="T22" s="350">
        <f t="shared" si="16"/>
        <v>0</v>
      </c>
      <c r="U22" s="274">
        <f>'Table 5C1A-Madison Prep'!U22</f>
        <v>13021</v>
      </c>
      <c r="V22" s="327">
        <f t="shared" si="17"/>
        <v>0</v>
      </c>
      <c r="W22" s="883">
        <f>'[1]Oct midyear Willow'!E19</f>
        <v>0</v>
      </c>
      <c r="X22" s="276">
        <f t="shared" si="18"/>
        <v>0</v>
      </c>
      <c r="Y22" s="883">
        <f>'[1]Feb midyear Willow'!E19</f>
        <v>0</v>
      </c>
      <c r="Z22" s="276">
        <f t="shared" si="19"/>
        <v>0</v>
      </c>
      <c r="AA22" s="275">
        <f t="shared" si="20"/>
        <v>0</v>
      </c>
      <c r="AB22" s="323">
        <f t="shared" si="21"/>
        <v>0</v>
      </c>
      <c r="AC22" s="278">
        <f t="shared" si="22"/>
        <v>0</v>
      </c>
      <c r="AD22" s="323">
        <f t="shared" si="23"/>
        <v>0</v>
      </c>
      <c r="AE22" s="279">
        <v>0</v>
      </c>
      <c r="AF22" s="323">
        <f t="shared" si="24"/>
        <v>0</v>
      </c>
      <c r="AG22" s="279">
        <f>8*'[2]Table 5C1W-Willow'!AI22</f>
        <v>0</v>
      </c>
      <c r="AH22" s="279">
        <f t="shared" si="25"/>
        <v>0</v>
      </c>
      <c r="AI22" s="323">
        <f t="shared" si="6"/>
        <v>0</v>
      </c>
      <c r="AJ22" s="337">
        <f t="shared" si="26"/>
        <v>0</v>
      </c>
      <c r="AK22" s="341">
        <f t="shared" si="27"/>
        <v>0</v>
      </c>
      <c r="AM22" s="273">
        <v>0</v>
      </c>
      <c r="AN22" s="273">
        <f t="shared" si="28"/>
        <v>0</v>
      </c>
      <c r="AO22" s="273">
        <f t="shared" si="7"/>
        <v>0</v>
      </c>
    </row>
    <row r="23" spans="1:41" ht="16.149999999999999" customHeight="1">
      <c r="A23" s="198">
        <v>17</v>
      </c>
      <c r="B23" s="199" t="s">
        <v>89</v>
      </c>
      <c r="C23" s="995">
        <v>0</v>
      </c>
      <c r="D23" s="201">
        <f>+'Table 5C1A-Madison Prep'!D23</f>
        <v>3363.5980368254495</v>
      </c>
      <c r="E23" s="202">
        <f t="shared" si="8"/>
        <v>0</v>
      </c>
      <c r="F23" s="202">
        <f>+'Table 5C1A-Madison Prep'!F23</f>
        <v>801.47762416806802</v>
      </c>
      <c r="G23" s="202">
        <f t="shared" si="9"/>
        <v>0</v>
      </c>
      <c r="H23" s="345">
        <f t="shared" si="10"/>
        <v>0</v>
      </c>
      <c r="I23" s="203">
        <f>'[1]Oct midyear Willow'!K20</f>
        <v>4165.0756609935179</v>
      </c>
      <c r="J23" s="203">
        <f>'[1]Feb midyear Willow'!K20</f>
        <v>0</v>
      </c>
      <c r="K23" s="204">
        <f t="shared" si="11"/>
        <v>4165.0756609935179</v>
      </c>
      <c r="L23" s="345">
        <f t="shared" si="12"/>
        <v>4165.0756609935179</v>
      </c>
      <c r="M23" s="286">
        <f t="shared" si="4"/>
        <v>-10.412689152483795</v>
      </c>
      <c r="N23" s="345">
        <f t="shared" si="13"/>
        <v>4154.6629718410341</v>
      </c>
      <c r="O23" s="201">
        <v>0</v>
      </c>
      <c r="P23" s="351">
        <f t="shared" si="14"/>
        <v>4154.6629718410341</v>
      </c>
      <c r="Q23" s="203">
        <f>8*'[2]Table 5C1W-Willow'!S23</f>
        <v>0</v>
      </c>
      <c r="R23" s="203">
        <f t="shared" si="15"/>
        <v>4154.6629718410341</v>
      </c>
      <c r="S23" s="351">
        <f t="shared" si="5"/>
        <v>1039</v>
      </c>
      <c r="T23" s="351">
        <f t="shared" si="16"/>
        <v>4154.6629718410341</v>
      </c>
      <c r="U23" s="287">
        <f>'Table 5C1A-Madison Prep'!U23</f>
        <v>6954</v>
      </c>
      <c r="V23" s="328">
        <f t="shared" si="17"/>
        <v>0</v>
      </c>
      <c r="W23" s="289">
        <f>'[1]Oct midyear Willow'!E20</f>
        <v>1</v>
      </c>
      <c r="X23" s="290">
        <f t="shared" si="18"/>
        <v>6954</v>
      </c>
      <c r="Y23" s="289">
        <f>'[1]Feb midyear Willow'!E20</f>
        <v>0</v>
      </c>
      <c r="Z23" s="290">
        <f t="shared" si="19"/>
        <v>0</v>
      </c>
      <c r="AA23" s="288">
        <f t="shared" si="20"/>
        <v>6954</v>
      </c>
      <c r="AB23" s="324">
        <f t="shared" si="21"/>
        <v>6954</v>
      </c>
      <c r="AC23" s="292">
        <f t="shared" si="22"/>
        <v>-17.385000000000002</v>
      </c>
      <c r="AD23" s="324">
        <f t="shared" si="23"/>
        <v>6936.6149999999998</v>
      </c>
      <c r="AE23" s="293">
        <v>0</v>
      </c>
      <c r="AF23" s="324">
        <f t="shared" si="24"/>
        <v>6936.6149999999998</v>
      </c>
      <c r="AG23" s="293">
        <f>8*'[2]Table 5C1W-Willow'!AI23</f>
        <v>0</v>
      </c>
      <c r="AH23" s="293">
        <f t="shared" si="25"/>
        <v>6936.6149999999998</v>
      </c>
      <c r="AI23" s="324">
        <f t="shared" si="6"/>
        <v>1734</v>
      </c>
      <c r="AJ23" s="321">
        <f t="shared" si="26"/>
        <v>11091.277971841035</v>
      </c>
      <c r="AK23" s="342">
        <f t="shared" si="27"/>
        <v>2773</v>
      </c>
      <c r="AM23" s="286">
        <v>0</v>
      </c>
      <c r="AN23" s="286">
        <f t="shared" si="28"/>
        <v>-17.385000000000002</v>
      </c>
      <c r="AO23" s="286">
        <f t="shared" si="7"/>
        <v>-17.385000000000002</v>
      </c>
    </row>
    <row r="24" spans="1:41" ht="16.149999999999999" customHeight="1">
      <c r="A24" s="198">
        <v>18</v>
      </c>
      <c r="B24" s="199" t="s">
        <v>90</v>
      </c>
      <c r="C24" s="995">
        <v>0</v>
      </c>
      <c r="D24" s="201">
        <f>+'Table 5C1A-Madison Prep'!D24</f>
        <v>6354.5533500475731</v>
      </c>
      <c r="E24" s="202">
        <f t="shared" si="8"/>
        <v>0</v>
      </c>
      <c r="F24" s="202">
        <f>+'Table 5C1A-Madison Prep'!F24</f>
        <v>845.94999999999993</v>
      </c>
      <c r="G24" s="202">
        <f t="shared" si="9"/>
        <v>0</v>
      </c>
      <c r="H24" s="345">
        <f t="shared" si="10"/>
        <v>0</v>
      </c>
      <c r="I24" s="203">
        <f>'[1]Oct midyear Willow'!K21</f>
        <v>0</v>
      </c>
      <c r="J24" s="203">
        <f>'[1]Feb midyear Willow'!K21</f>
        <v>0</v>
      </c>
      <c r="K24" s="204">
        <f t="shared" si="11"/>
        <v>0</v>
      </c>
      <c r="L24" s="345">
        <f t="shared" si="12"/>
        <v>0</v>
      </c>
      <c r="M24" s="286">
        <f t="shared" si="4"/>
        <v>0</v>
      </c>
      <c r="N24" s="345">
        <f t="shared" si="13"/>
        <v>0</v>
      </c>
      <c r="O24" s="201">
        <v>0</v>
      </c>
      <c r="P24" s="351">
        <f t="shared" si="14"/>
        <v>0</v>
      </c>
      <c r="Q24" s="203">
        <f>8*'[2]Table 5C1W-Willow'!S24</f>
        <v>0</v>
      </c>
      <c r="R24" s="203">
        <f t="shared" si="15"/>
        <v>0</v>
      </c>
      <c r="S24" s="351">
        <f t="shared" si="5"/>
        <v>0</v>
      </c>
      <c r="T24" s="351">
        <f t="shared" si="16"/>
        <v>0</v>
      </c>
      <c r="U24" s="287">
        <f>'Table 5C1A-Madison Prep'!U24</f>
        <v>2442</v>
      </c>
      <c r="V24" s="328">
        <f t="shared" si="17"/>
        <v>0</v>
      </c>
      <c r="W24" s="289">
        <f>'[1]Oct midyear Willow'!E21</f>
        <v>0</v>
      </c>
      <c r="X24" s="290">
        <f t="shared" si="18"/>
        <v>0</v>
      </c>
      <c r="Y24" s="289">
        <f>'[1]Feb midyear Willow'!E21</f>
        <v>0</v>
      </c>
      <c r="Z24" s="290">
        <f t="shared" si="19"/>
        <v>0</v>
      </c>
      <c r="AA24" s="288">
        <f t="shared" si="20"/>
        <v>0</v>
      </c>
      <c r="AB24" s="324">
        <f t="shared" si="21"/>
        <v>0</v>
      </c>
      <c r="AC24" s="292">
        <f t="shared" si="22"/>
        <v>0</v>
      </c>
      <c r="AD24" s="324">
        <f t="shared" si="23"/>
        <v>0</v>
      </c>
      <c r="AE24" s="293">
        <v>0</v>
      </c>
      <c r="AF24" s="324">
        <f t="shared" si="24"/>
        <v>0</v>
      </c>
      <c r="AG24" s="293">
        <f>8*'[2]Table 5C1W-Willow'!AI24</f>
        <v>0</v>
      </c>
      <c r="AH24" s="293">
        <f t="shared" si="25"/>
        <v>0</v>
      </c>
      <c r="AI24" s="324">
        <f t="shared" si="6"/>
        <v>0</v>
      </c>
      <c r="AJ24" s="321">
        <f t="shared" si="26"/>
        <v>0</v>
      </c>
      <c r="AK24" s="342">
        <f t="shared" si="27"/>
        <v>0</v>
      </c>
      <c r="AM24" s="286">
        <v>0</v>
      </c>
      <c r="AN24" s="286">
        <f t="shared" si="28"/>
        <v>0</v>
      </c>
      <c r="AO24" s="286">
        <f t="shared" si="7"/>
        <v>0</v>
      </c>
    </row>
    <row r="25" spans="1:41" ht="16.149999999999999" customHeight="1">
      <c r="A25" s="198">
        <v>19</v>
      </c>
      <c r="B25" s="199" t="s">
        <v>91</v>
      </c>
      <c r="C25" s="995">
        <v>0</v>
      </c>
      <c r="D25" s="201">
        <f>+'Table 5C1A-Madison Prep'!D25</f>
        <v>5314.3921869460446</v>
      </c>
      <c r="E25" s="202">
        <f t="shared" si="8"/>
        <v>0</v>
      </c>
      <c r="F25" s="202">
        <f>+'Table 5C1A-Madison Prep'!F25</f>
        <v>905.43</v>
      </c>
      <c r="G25" s="202">
        <f t="shared" si="9"/>
        <v>0</v>
      </c>
      <c r="H25" s="345">
        <f t="shared" si="10"/>
        <v>0</v>
      </c>
      <c r="I25" s="203">
        <f>'[1]Oct midyear Willow'!K22</f>
        <v>0</v>
      </c>
      <c r="J25" s="203">
        <f>'[1]Feb midyear Willow'!K22</f>
        <v>0</v>
      </c>
      <c r="K25" s="204">
        <f t="shared" si="11"/>
        <v>0</v>
      </c>
      <c r="L25" s="345">
        <f t="shared" si="12"/>
        <v>0</v>
      </c>
      <c r="M25" s="286">
        <f t="shared" si="4"/>
        <v>0</v>
      </c>
      <c r="N25" s="345">
        <f t="shared" si="13"/>
        <v>0</v>
      </c>
      <c r="O25" s="201">
        <v>0</v>
      </c>
      <c r="P25" s="351">
        <f t="shared" si="14"/>
        <v>0</v>
      </c>
      <c r="Q25" s="203">
        <f>8*'[2]Table 5C1W-Willow'!S25</f>
        <v>0</v>
      </c>
      <c r="R25" s="203">
        <f t="shared" si="15"/>
        <v>0</v>
      </c>
      <c r="S25" s="351">
        <f t="shared" si="5"/>
        <v>0</v>
      </c>
      <c r="T25" s="351">
        <f t="shared" si="16"/>
        <v>0</v>
      </c>
      <c r="U25" s="287">
        <f>'Table 5C1A-Madison Prep'!U25</f>
        <v>3051</v>
      </c>
      <c r="V25" s="328">
        <f t="shared" si="17"/>
        <v>0</v>
      </c>
      <c r="W25" s="289">
        <f>'[1]Oct midyear Willow'!E22</f>
        <v>0</v>
      </c>
      <c r="X25" s="290">
        <f t="shared" si="18"/>
        <v>0</v>
      </c>
      <c r="Y25" s="289">
        <f>'[1]Feb midyear Willow'!E22</f>
        <v>0</v>
      </c>
      <c r="Z25" s="290">
        <f t="shared" si="19"/>
        <v>0</v>
      </c>
      <c r="AA25" s="288">
        <f t="shared" si="20"/>
        <v>0</v>
      </c>
      <c r="AB25" s="324">
        <f t="shared" si="21"/>
        <v>0</v>
      </c>
      <c r="AC25" s="292">
        <f t="shared" si="22"/>
        <v>0</v>
      </c>
      <c r="AD25" s="324">
        <f t="shared" si="23"/>
        <v>0</v>
      </c>
      <c r="AE25" s="293">
        <v>0</v>
      </c>
      <c r="AF25" s="324">
        <f t="shared" si="24"/>
        <v>0</v>
      </c>
      <c r="AG25" s="293">
        <f>8*'[2]Table 5C1W-Willow'!AI25</f>
        <v>0</v>
      </c>
      <c r="AH25" s="293">
        <f t="shared" si="25"/>
        <v>0</v>
      </c>
      <c r="AI25" s="324">
        <f t="shared" si="6"/>
        <v>0</v>
      </c>
      <c r="AJ25" s="321">
        <f t="shared" si="26"/>
        <v>0</v>
      </c>
      <c r="AK25" s="342">
        <f t="shared" si="27"/>
        <v>0</v>
      </c>
      <c r="AM25" s="286">
        <v>0</v>
      </c>
      <c r="AN25" s="286">
        <f t="shared" si="28"/>
        <v>0</v>
      </c>
      <c r="AO25" s="286">
        <f t="shared" si="7"/>
        <v>0</v>
      </c>
    </row>
    <row r="26" spans="1:41" ht="16.149999999999999" customHeight="1">
      <c r="A26" s="191">
        <v>20</v>
      </c>
      <c r="B26" s="192" t="s">
        <v>92</v>
      </c>
      <c r="C26" s="996">
        <v>0</v>
      </c>
      <c r="D26" s="194">
        <f>+'Table 5C1A-Madison Prep'!D26</f>
        <v>5278.5201565562011</v>
      </c>
      <c r="E26" s="195">
        <f t="shared" si="8"/>
        <v>0</v>
      </c>
      <c r="F26" s="195">
        <f>+'Table 5C1A-Madison Prep'!F26</f>
        <v>586.16999999999996</v>
      </c>
      <c r="G26" s="195">
        <f t="shared" si="9"/>
        <v>0</v>
      </c>
      <c r="H26" s="346">
        <f t="shared" si="10"/>
        <v>0</v>
      </c>
      <c r="I26" s="196">
        <f>'[1]Oct midyear Willow'!K23</f>
        <v>0</v>
      </c>
      <c r="J26" s="196">
        <f>'[1]Feb midyear Willow'!K23</f>
        <v>0</v>
      </c>
      <c r="K26" s="197">
        <f t="shared" si="11"/>
        <v>0</v>
      </c>
      <c r="L26" s="346">
        <f t="shared" si="12"/>
        <v>0</v>
      </c>
      <c r="M26" s="296">
        <f t="shared" si="4"/>
        <v>0</v>
      </c>
      <c r="N26" s="346">
        <f t="shared" si="13"/>
        <v>0</v>
      </c>
      <c r="O26" s="194">
        <v>0</v>
      </c>
      <c r="P26" s="352">
        <f t="shared" si="14"/>
        <v>0</v>
      </c>
      <c r="Q26" s="196">
        <f>8*'[2]Table 5C1W-Willow'!S26</f>
        <v>0</v>
      </c>
      <c r="R26" s="196">
        <f t="shared" si="15"/>
        <v>0</v>
      </c>
      <c r="S26" s="352">
        <f t="shared" si="5"/>
        <v>0</v>
      </c>
      <c r="T26" s="352">
        <f t="shared" si="16"/>
        <v>0</v>
      </c>
      <c r="U26" s="281">
        <f>'Table 5C1A-Madison Prep'!U26</f>
        <v>2484</v>
      </c>
      <c r="V26" s="329">
        <f t="shared" si="17"/>
        <v>0</v>
      </c>
      <c r="W26" s="884">
        <f>'[1]Oct midyear Willow'!E23</f>
        <v>0</v>
      </c>
      <c r="X26" s="282">
        <f t="shared" si="18"/>
        <v>0</v>
      </c>
      <c r="Y26" s="884">
        <f>'[1]Feb midyear Willow'!E23</f>
        <v>0</v>
      </c>
      <c r="Z26" s="282">
        <f t="shared" si="19"/>
        <v>0</v>
      </c>
      <c r="AA26" s="283">
        <f t="shared" si="20"/>
        <v>0</v>
      </c>
      <c r="AB26" s="325">
        <f t="shared" si="21"/>
        <v>0</v>
      </c>
      <c r="AC26" s="298">
        <f t="shared" si="22"/>
        <v>0</v>
      </c>
      <c r="AD26" s="325">
        <f t="shared" si="23"/>
        <v>0</v>
      </c>
      <c r="AE26" s="284">
        <v>0</v>
      </c>
      <c r="AF26" s="325">
        <f t="shared" si="24"/>
        <v>0</v>
      </c>
      <c r="AG26" s="284">
        <f>8*'[2]Table 5C1W-Willow'!AI26</f>
        <v>0</v>
      </c>
      <c r="AH26" s="284">
        <f t="shared" si="25"/>
        <v>0</v>
      </c>
      <c r="AI26" s="325">
        <f t="shared" si="6"/>
        <v>0</v>
      </c>
      <c r="AJ26" s="338">
        <f t="shared" si="26"/>
        <v>0</v>
      </c>
      <c r="AK26" s="343">
        <f t="shared" si="27"/>
        <v>0</v>
      </c>
      <c r="AM26" s="296">
        <v>0</v>
      </c>
      <c r="AN26" s="296">
        <f t="shared" si="28"/>
        <v>0</v>
      </c>
      <c r="AO26" s="296">
        <f t="shared" si="7"/>
        <v>0</v>
      </c>
    </row>
    <row r="27" spans="1:41" ht="16.149999999999999" customHeight="1">
      <c r="A27" s="205">
        <v>21</v>
      </c>
      <c r="B27" s="206" t="s">
        <v>93</v>
      </c>
      <c r="C27" s="994">
        <v>0</v>
      </c>
      <c r="D27" s="208">
        <f>+'Table 5C1A-Madison Prep'!D27</f>
        <v>6082.3042295867763</v>
      </c>
      <c r="E27" s="209">
        <f t="shared" si="8"/>
        <v>0</v>
      </c>
      <c r="F27" s="209">
        <f>+'Table 5C1A-Madison Prep'!F27</f>
        <v>610.35</v>
      </c>
      <c r="G27" s="209">
        <f t="shared" si="9"/>
        <v>0</v>
      </c>
      <c r="H27" s="344">
        <f t="shared" si="10"/>
        <v>0</v>
      </c>
      <c r="I27" s="210">
        <f>'[1]Oct midyear Willow'!K24</f>
        <v>0</v>
      </c>
      <c r="J27" s="210">
        <f>'[1]Feb midyear Willow'!K24</f>
        <v>0</v>
      </c>
      <c r="K27" s="211">
        <f t="shared" si="11"/>
        <v>0</v>
      </c>
      <c r="L27" s="344">
        <f t="shared" si="12"/>
        <v>0</v>
      </c>
      <c r="M27" s="273">
        <f t="shared" si="4"/>
        <v>0</v>
      </c>
      <c r="N27" s="344">
        <f t="shared" si="13"/>
        <v>0</v>
      </c>
      <c r="O27" s="208">
        <v>0</v>
      </c>
      <c r="P27" s="350">
        <f t="shared" si="14"/>
        <v>0</v>
      </c>
      <c r="Q27" s="210">
        <f>8*'[2]Table 5C1W-Willow'!S27</f>
        <v>0</v>
      </c>
      <c r="R27" s="210">
        <f t="shared" si="15"/>
        <v>0</v>
      </c>
      <c r="S27" s="350">
        <f t="shared" si="5"/>
        <v>0</v>
      </c>
      <c r="T27" s="350">
        <f t="shared" si="16"/>
        <v>0</v>
      </c>
      <c r="U27" s="274">
        <f>'Table 5C1A-Madison Prep'!U27</f>
        <v>2487</v>
      </c>
      <c r="V27" s="327">
        <f t="shared" si="17"/>
        <v>0</v>
      </c>
      <c r="W27" s="883">
        <f>'[1]Oct midyear Willow'!E24</f>
        <v>0</v>
      </c>
      <c r="X27" s="276">
        <f t="shared" si="18"/>
        <v>0</v>
      </c>
      <c r="Y27" s="883">
        <f>'[1]Feb midyear Willow'!E24</f>
        <v>0</v>
      </c>
      <c r="Z27" s="276">
        <f t="shared" si="19"/>
        <v>0</v>
      </c>
      <c r="AA27" s="275">
        <f t="shared" si="20"/>
        <v>0</v>
      </c>
      <c r="AB27" s="323">
        <f t="shared" si="21"/>
        <v>0</v>
      </c>
      <c r="AC27" s="278">
        <f t="shared" si="22"/>
        <v>0</v>
      </c>
      <c r="AD27" s="323">
        <f t="shared" si="23"/>
        <v>0</v>
      </c>
      <c r="AE27" s="279">
        <v>0</v>
      </c>
      <c r="AF27" s="323">
        <f t="shared" si="24"/>
        <v>0</v>
      </c>
      <c r="AG27" s="279">
        <f>8*'[2]Table 5C1W-Willow'!AI27</f>
        <v>0</v>
      </c>
      <c r="AH27" s="279">
        <f t="shared" si="25"/>
        <v>0</v>
      </c>
      <c r="AI27" s="323">
        <f t="shared" si="6"/>
        <v>0</v>
      </c>
      <c r="AJ27" s="337">
        <f t="shared" si="26"/>
        <v>0</v>
      </c>
      <c r="AK27" s="341">
        <f t="shared" si="27"/>
        <v>0</v>
      </c>
      <c r="AM27" s="273">
        <v>0</v>
      </c>
      <c r="AN27" s="273">
        <f t="shared" si="28"/>
        <v>0</v>
      </c>
      <c r="AO27" s="273">
        <f t="shared" si="7"/>
        <v>0</v>
      </c>
    </row>
    <row r="28" spans="1:41" ht="16.149999999999999" customHeight="1">
      <c r="A28" s="198">
        <v>22</v>
      </c>
      <c r="B28" s="199" t="s">
        <v>94</v>
      </c>
      <c r="C28" s="995">
        <v>0</v>
      </c>
      <c r="D28" s="201">
        <f>+'Table 5C1A-Madison Prep'!D28</f>
        <v>6416.1099808195995</v>
      </c>
      <c r="E28" s="202">
        <f t="shared" si="8"/>
        <v>0</v>
      </c>
      <c r="F28" s="202">
        <f>+'Table 5C1A-Madison Prep'!F28</f>
        <v>496.36</v>
      </c>
      <c r="G28" s="202">
        <f t="shared" si="9"/>
        <v>0</v>
      </c>
      <c r="H28" s="345">
        <f t="shared" si="10"/>
        <v>0</v>
      </c>
      <c r="I28" s="203">
        <f>'[1]Oct midyear Willow'!K25</f>
        <v>0</v>
      </c>
      <c r="J28" s="203">
        <f>'[1]Feb midyear Willow'!K25</f>
        <v>0</v>
      </c>
      <c r="K28" s="204">
        <f t="shared" si="11"/>
        <v>0</v>
      </c>
      <c r="L28" s="345">
        <f t="shared" si="12"/>
        <v>0</v>
      </c>
      <c r="M28" s="286">
        <f t="shared" si="4"/>
        <v>0</v>
      </c>
      <c r="N28" s="345">
        <f t="shared" si="13"/>
        <v>0</v>
      </c>
      <c r="O28" s="201">
        <v>0</v>
      </c>
      <c r="P28" s="351">
        <f t="shared" si="14"/>
        <v>0</v>
      </c>
      <c r="Q28" s="203">
        <f>8*'[2]Table 5C1W-Willow'!S28</f>
        <v>0</v>
      </c>
      <c r="R28" s="203">
        <f t="shared" si="15"/>
        <v>0</v>
      </c>
      <c r="S28" s="351">
        <f t="shared" si="5"/>
        <v>0</v>
      </c>
      <c r="T28" s="351">
        <f t="shared" si="16"/>
        <v>0</v>
      </c>
      <c r="U28" s="287">
        <f>'Table 5C1A-Madison Prep'!U28</f>
        <v>1584</v>
      </c>
      <c r="V28" s="328">
        <f t="shared" si="17"/>
        <v>0</v>
      </c>
      <c r="W28" s="289">
        <f>'[1]Oct midyear Willow'!E25</f>
        <v>0</v>
      </c>
      <c r="X28" s="290">
        <f t="shared" si="18"/>
        <v>0</v>
      </c>
      <c r="Y28" s="289">
        <f>'[1]Feb midyear Willow'!E25</f>
        <v>0</v>
      </c>
      <c r="Z28" s="290">
        <f t="shared" si="19"/>
        <v>0</v>
      </c>
      <c r="AA28" s="288">
        <f t="shared" si="20"/>
        <v>0</v>
      </c>
      <c r="AB28" s="324">
        <f t="shared" si="21"/>
        <v>0</v>
      </c>
      <c r="AC28" s="292">
        <f t="shared" si="22"/>
        <v>0</v>
      </c>
      <c r="AD28" s="324">
        <f t="shared" si="23"/>
        <v>0</v>
      </c>
      <c r="AE28" s="293">
        <v>0</v>
      </c>
      <c r="AF28" s="324">
        <f t="shared" si="24"/>
        <v>0</v>
      </c>
      <c r="AG28" s="293">
        <f>8*'[2]Table 5C1W-Willow'!AI28</f>
        <v>0</v>
      </c>
      <c r="AH28" s="293">
        <f t="shared" si="25"/>
        <v>0</v>
      </c>
      <c r="AI28" s="324">
        <f t="shared" si="6"/>
        <v>0</v>
      </c>
      <c r="AJ28" s="321">
        <f t="shared" si="26"/>
        <v>0</v>
      </c>
      <c r="AK28" s="342">
        <f t="shared" si="27"/>
        <v>0</v>
      </c>
      <c r="AM28" s="286">
        <v>0</v>
      </c>
      <c r="AN28" s="286">
        <f t="shared" si="28"/>
        <v>0</v>
      </c>
      <c r="AO28" s="286">
        <f t="shared" si="7"/>
        <v>0</v>
      </c>
    </row>
    <row r="29" spans="1:41" ht="16.149999999999999" customHeight="1">
      <c r="A29" s="198">
        <v>23</v>
      </c>
      <c r="B29" s="199" t="s">
        <v>95</v>
      </c>
      <c r="C29" s="995">
        <v>0</v>
      </c>
      <c r="D29" s="201">
        <f>+'Table 5C1A-Madison Prep'!D29</f>
        <v>5011.0215265979159</v>
      </c>
      <c r="E29" s="202">
        <f t="shared" si="8"/>
        <v>0</v>
      </c>
      <c r="F29" s="202">
        <f>+'Table 5C1A-Madison Prep'!F29</f>
        <v>688.58</v>
      </c>
      <c r="G29" s="202">
        <f t="shared" si="9"/>
        <v>0</v>
      </c>
      <c r="H29" s="345">
        <f t="shared" si="10"/>
        <v>0</v>
      </c>
      <c r="I29" s="203">
        <f>'[1]Oct midyear Willow'!K26</f>
        <v>22798.406106391663</v>
      </c>
      <c r="J29" s="203">
        <f>'[1]Feb midyear Willow'!K26</f>
        <v>0</v>
      </c>
      <c r="K29" s="204">
        <f t="shared" si="11"/>
        <v>22798.406106391663</v>
      </c>
      <c r="L29" s="345">
        <f t="shared" si="12"/>
        <v>22798.406106391663</v>
      </c>
      <c r="M29" s="286">
        <f t="shared" si="4"/>
        <v>-56.99601526597916</v>
      </c>
      <c r="N29" s="345">
        <f t="shared" si="13"/>
        <v>22741.410091125683</v>
      </c>
      <c r="O29" s="201">
        <v>0</v>
      </c>
      <c r="P29" s="351">
        <f t="shared" si="14"/>
        <v>22741.410091125683</v>
      </c>
      <c r="Q29" s="203">
        <f>8*'[2]Table 5C1W-Willow'!S29</f>
        <v>0</v>
      </c>
      <c r="R29" s="203">
        <f t="shared" si="15"/>
        <v>22741.410091125683</v>
      </c>
      <c r="S29" s="351">
        <f t="shared" si="5"/>
        <v>5685</v>
      </c>
      <c r="T29" s="351">
        <f t="shared" si="16"/>
        <v>22741.410091125683</v>
      </c>
      <c r="U29" s="287">
        <f>'Table 5C1A-Madison Prep'!U29</f>
        <v>3500</v>
      </c>
      <c r="V29" s="328">
        <f t="shared" si="17"/>
        <v>0</v>
      </c>
      <c r="W29" s="289">
        <f>'[1]Oct midyear Willow'!E26</f>
        <v>4</v>
      </c>
      <c r="X29" s="290">
        <f t="shared" si="18"/>
        <v>14000</v>
      </c>
      <c r="Y29" s="289">
        <f>'[1]Feb midyear Willow'!E26</f>
        <v>0</v>
      </c>
      <c r="Z29" s="290">
        <f t="shared" si="19"/>
        <v>0</v>
      </c>
      <c r="AA29" s="288">
        <f t="shared" si="20"/>
        <v>14000</v>
      </c>
      <c r="AB29" s="324">
        <f t="shared" si="21"/>
        <v>14000</v>
      </c>
      <c r="AC29" s="292">
        <f t="shared" si="22"/>
        <v>-35</v>
      </c>
      <c r="AD29" s="324">
        <f t="shared" si="23"/>
        <v>13965</v>
      </c>
      <c r="AE29" s="293">
        <v>0</v>
      </c>
      <c r="AF29" s="324">
        <f t="shared" si="24"/>
        <v>13965</v>
      </c>
      <c r="AG29" s="293">
        <f>8*'[2]Table 5C1W-Willow'!AI29</f>
        <v>0</v>
      </c>
      <c r="AH29" s="293">
        <f t="shared" si="25"/>
        <v>13965</v>
      </c>
      <c r="AI29" s="324">
        <f t="shared" si="6"/>
        <v>3491</v>
      </c>
      <c r="AJ29" s="321">
        <f t="shared" si="26"/>
        <v>36706.410091125683</v>
      </c>
      <c r="AK29" s="342">
        <f t="shared" si="27"/>
        <v>9176</v>
      </c>
      <c r="AM29" s="286">
        <v>0</v>
      </c>
      <c r="AN29" s="286">
        <f t="shared" si="28"/>
        <v>-35</v>
      </c>
      <c r="AO29" s="286">
        <f t="shared" si="7"/>
        <v>-35</v>
      </c>
    </row>
    <row r="30" spans="1:41" ht="16.149999999999999" customHeight="1">
      <c r="A30" s="198">
        <v>24</v>
      </c>
      <c r="B30" s="199" t="s">
        <v>96</v>
      </c>
      <c r="C30" s="995">
        <v>0</v>
      </c>
      <c r="D30" s="201">
        <f>+'Table 5C1A-Madison Prep'!D30</f>
        <v>2611.6740361576999</v>
      </c>
      <c r="E30" s="202">
        <f t="shared" si="8"/>
        <v>0</v>
      </c>
      <c r="F30" s="202">
        <f>+'Table 5C1A-Madison Prep'!F30</f>
        <v>854.24999999999989</v>
      </c>
      <c r="G30" s="202">
        <f t="shared" si="9"/>
        <v>0</v>
      </c>
      <c r="H30" s="345">
        <f t="shared" si="10"/>
        <v>0</v>
      </c>
      <c r="I30" s="203">
        <f>'[1]Oct midyear Willow'!K27</f>
        <v>0</v>
      </c>
      <c r="J30" s="203">
        <f>'[1]Feb midyear Willow'!K27</f>
        <v>0</v>
      </c>
      <c r="K30" s="204">
        <f t="shared" si="11"/>
        <v>0</v>
      </c>
      <c r="L30" s="345">
        <f t="shared" si="12"/>
        <v>0</v>
      </c>
      <c r="M30" s="286">
        <f t="shared" si="4"/>
        <v>0</v>
      </c>
      <c r="N30" s="345">
        <f t="shared" si="13"/>
        <v>0</v>
      </c>
      <c r="O30" s="201">
        <v>0</v>
      </c>
      <c r="P30" s="351">
        <f t="shared" si="14"/>
        <v>0</v>
      </c>
      <c r="Q30" s="203">
        <f>8*'[2]Table 5C1W-Willow'!S30</f>
        <v>0</v>
      </c>
      <c r="R30" s="203">
        <f t="shared" si="15"/>
        <v>0</v>
      </c>
      <c r="S30" s="351">
        <f t="shared" si="5"/>
        <v>0</v>
      </c>
      <c r="T30" s="351">
        <f t="shared" si="16"/>
        <v>0</v>
      </c>
      <c r="U30" s="287">
        <f>'Table 5C1A-Madison Prep'!U30</f>
        <v>11051</v>
      </c>
      <c r="V30" s="328">
        <f t="shared" si="17"/>
        <v>0</v>
      </c>
      <c r="W30" s="289">
        <f>'[1]Oct midyear Willow'!E27</f>
        <v>0</v>
      </c>
      <c r="X30" s="290">
        <f t="shared" si="18"/>
        <v>0</v>
      </c>
      <c r="Y30" s="289">
        <f>'[1]Feb midyear Willow'!E27</f>
        <v>0</v>
      </c>
      <c r="Z30" s="290">
        <f t="shared" si="19"/>
        <v>0</v>
      </c>
      <c r="AA30" s="288">
        <f t="shared" si="20"/>
        <v>0</v>
      </c>
      <c r="AB30" s="324">
        <f t="shared" si="21"/>
        <v>0</v>
      </c>
      <c r="AC30" s="292">
        <f t="shared" si="22"/>
        <v>0</v>
      </c>
      <c r="AD30" s="324">
        <f t="shared" si="23"/>
        <v>0</v>
      </c>
      <c r="AE30" s="293">
        <v>0</v>
      </c>
      <c r="AF30" s="324">
        <f t="shared" si="24"/>
        <v>0</v>
      </c>
      <c r="AG30" s="293">
        <f>8*'[2]Table 5C1W-Willow'!AI30</f>
        <v>0</v>
      </c>
      <c r="AH30" s="293">
        <f t="shared" si="25"/>
        <v>0</v>
      </c>
      <c r="AI30" s="324">
        <f t="shared" si="6"/>
        <v>0</v>
      </c>
      <c r="AJ30" s="321">
        <f t="shared" si="26"/>
        <v>0</v>
      </c>
      <c r="AK30" s="342">
        <f t="shared" si="27"/>
        <v>0</v>
      </c>
      <c r="AM30" s="286">
        <v>0</v>
      </c>
      <c r="AN30" s="286">
        <f t="shared" si="28"/>
        <v>0</v>
      </c>
      <c r="AO30" s="286">
        <f t="shared" si="7"/>
        <v>0</v>
      </c>
    </row>
    <row r="31" spans="1:41" ht="16.149999999999999" customHeight="1">
      <c r="A31" s="191">
        <v>25</v>
      </c>
      <c r="B31" s="192" t="s">
        <v>97</v>
      </c>
      <c r="C31" s="996">
        <v>0</v>
      </c>
      <c r="D31" s="194">
        <f>+'Table 5C1A-Madison Prep'!D31</f>
        <v>4173.0720274945697</v>
      </c>
      <c r="E31" s="195">
        <f t="shared" si="8"/>
        <v>0</v>
      </c>
      <c r="F31" s="195">
        <f>+'Table 5C1A-Madison Prep'!F31</f>
        <v>653.73</v>
      </c>
      <c r="G31" s="195">
        <f t="shared" si="9"/>
        <v>0</v>
      </c>
      <c r="H31" s="346">
        <f t="shared" si="10"/>
        <v>0</v>
      </c>
      <c r="I31" s="196">
        <f>'[1]Oct midyear Willow'!K28</f>
        <v>0</v>
      </c>
      <c r="J31" s="196">
        <f>'[1]Feb midyear Willow'!K28</f>
        <v>0</v>
      </c>
      <c r="K31" s="197">
        <f t="shared" si="11"/>
        <v>0</v>
      </c>
      <c r="L31" s="346">
        <f t="shared" si="12"/>
        <v>0</v>
      </c>
      <c r="M31" s="296">
        <f t="shared" si="4"/>
        <v>0</v>
      </c>
      <c r="N31" s="346">
        <f t="shared" si="13"/>
        <v>0</v>
      </c>
      <c r="O31" s="194">
        <v>0</v>
      </c>
      <c r="P31" s="352">
        <f t="shared" si="14"/>
        <v>0</v>
      </c>
      <c r="Q31" s="196">
        <f>8*'[2]Table 5C1W-Willow'!S31</f>
        <v>0</v>
      </c>
      <c r="R31" s="196">
        <f t="shared" si="15"/>
        <v>0</v>
      </c>
      <c r="S31" s="352">
        <f t="shared" si="5"/>
        <v>0</v>
      </c>
      <c r="T31" s="352">
        <f t="shared" si="16"/>
        <v>0</v>
      </c>
      <c r="U31" s="281">
        <f>'Table 5C1A-Madison Prep'!U31</f>
        <v>5156</v>
      </c>
      <c r="V31" s="329">
        <f t="shared" si="17"/>
        <v>0</v>
      </c>
      <c r="W31" s="884">
        <f>'[1]Oct midyear Willow'!E28</f>
        <v>0</v>
      </c>
      <c r="X31" s="282">
        <f t="shared" si="18"/>
        <v>0</v>
      </c>
      <c r="Y31" s="884">
        <f>'[1]Feb midyear Willow'!E28</f>
        <v>0</v>
      </c>
      <c r="Z31" s="282">
        <f t="shared" si="19"/>
        <v>0</v>
      </c>
      <c r="AA31" s="283">
        <f t="shared" si="20"/>
        <v>0</v>
      </c>
      <c r="AB31" s="325">
        <f t="shared" si="21"/>
        <v>0</v>
      </c>
      <c r="AC31" s="298">
        <f t="shared" si="22"/>
        <v>0</v>
      </c>
      <c r="AD31" s="325">
        <f t="shared" si="23"/>
        <v>0</v>
      </c>
      <c r="AE31" s="284">
        <v>0</v>
      </c>
      <c r="AF31" s="325">
        <f t="shared" si="24"/>
        <v>0</v>
      </c>
      <c r="AG31" s="284">
        <f>8*'[2]Table 5C1W-Willow'!AI31</f>
        <v>0</v>
      </c>
      <c r="AH31" s="284">
        <f t="shared" si="25"/>
        <v>0</v>
      </c>
      <c r="AI31" s="325">
        <f t="shared" si="6"/>
        <v>0</v>
      </c>
      <c r="AJ31" s="338">
        <f t="shared" si="26"/>
        <v>0</v>
      </c>
      <c r="AK31" s="343">
        <f t="shared" si="27"/>
        <v>0</v>
      </c>
      <c r="AM31" s="296">
        <v>0</v>
      </c>
      <c r="AN31" s="296">
        <f t="shared" si="28"/>
        <v>0</v>
      </c>
      <c r="AO31" s="296">
        <f t="shared" si="7"/>
        <v>0</v>
      </c>
    </row>
    <row r="32" spans="1:41" ht="16.149999999999999" customHeight="1">
      <c r="A32" s="205">
        <v>26</v>
      </c>
      <c r="B32" s="206" t="s">
        <v>98</v>
      </c>
      <c r="C32" s="994">
        <v>0</v>
      </c>
      <c r="D32" s="208">
        <f>+'Table 5C1A-Madison Prep'!D32</f>
        <v>3424.5649970570835</v>
      </c>
      <c r="E32" s="209">
        <f t="shared" si="8"/>
        <v>0</v>
      </c>
      <c r="F32" s="209">
        <f>+'Table 5C1A-Madison Prep'!F32</f>
        <v>836.83</v>
      </c>
      <c r="G32" s="209">
        <f t="shared" si="9"/>
        <v>0</v>
      </c>
      <c r="H32" s="344">
        <f t="shared" si="10"/>
        <v>0</v>
      </c>
      <c r="I32" s="210">
        <f>'[1]Oct midyear Willow'!K29</f>
        <v>0</v>
      </c>
      <c r="J32" s="210">
        <f>'[1]Feb midyear Willow'!K29</f>
        <v>0</v>
      </c>
      <c r="K32" s="211">
        <f t="shared" si="11"/>
        <v>0</v>
      </c>
      <c r="L32" s="344">
        <f t="shared" si="12"/>
        <v>0</v>
      </c>
      <c r="M32" s="273">
        <f t="shared" si="4"/>
        <v>0</v>
      </c>
      <c r="N32" s="344">
        <f t="shared" si="13"/>
        <v>0</v>
      </c>
      <c r="O32" s="208">
        <v>0</v>
      </c>
      <c r="P32" s="350">
        <f t="shared" si="14"/>
        <v>0</v>
      </c>
      <c r="Q32" s="210">
        <f>8*'[2]Table 5C1W-Willow'!S32</f>
        <v>0</v>
      </c>
      <c r="R32" s="210">
        <f t="shared" si="15"/>
        <v>0</v>
      </c>
      <c r="S32" s="350">
        <f t="shared" si="5"/>
        <v>0</v>
      </c>
      <c r="T32" s="350">
        <f t="shared" si="16"/>
        <v>0</v>
      </c>
      <c r="U32" s="274">
        <f>'Table 5C1A-Madison Prep'!U32</f>
        <v>5153</v>
      </c>
      <c r="V32" s="327">
        <f t="shared" si="17"/>
        <v>0</v>
      </c>
      <c r="W32" s="883">
        <f>'[1]Oct midyear Willow'!E29</f>
        <v>0</v>
      </c>
      <c r="X32" s="276">
        <f t="shared" si="18"/>
        <v>0</v>
      </c>
      <c r="Y32" s="883">
        <f>'[1]Feb midyear Willow'!E29</f>
        <v>0</v>
      </c>
      <c r="Z32" s="276">
        <f t="shared" si="19"/>
        <v>0</v>
      </c>
      <c r="AA32" s="275">
        <f t="shared" si="20"/>
        <v>0</v>
      </c>
      <c r="AB32" s="323">
        <f t="shared" si="21"/>
        <v>0</v>
      </c>
      <c r="AC32" s="278">
        <f t="shared" si="22"/>
        <v>0</v>
      </c>
      <c r="AD32" s="323">
        <f t="shared" si="23"/>
        <v>0</v>
      </c>
      <c r="AE32" s="279">
        <v>0</v>
      </c>
      <c r="AF32" s="323">
        <f t="shared" si="24"/>
        <v>0</v>
      </c>
      <c r="AG32" s="279">
        <f>8*'[2]Table 5C1W-Willow'!AI32</f>
        <v>0</v>
      </c>
      <c r="AH32" s="279">
        <f t="shared" si="25"/>
        <v>0</v>
      </c>
      <c r="AI32" s="323">
        <f t="shared" si="6"/>
        <v>0</v>
      </c>
      <c r="AJ32" s="337">
        <f t="shared" si="26"/>
        <v>0</v>
      </c>
      <c r="AK32" s="341">
        <f t="shared" si="27"/>
        <v>0</v>
      </c>
      <c r="AM32" s="273">
        <v>0</v>
      </c>
      <c r="AN32" s="273">
        <f t="shared" si="28"/>
        <v>0</v>
      </c>
      <c r="AO32" s="273">
        <f t="shared" si="7"/>
        <v>0</v>
      </c>
    </row>
    <row r="33" spans="1:41" ht="16.149999999999999" customHeight="1">
      <c r="A33" s="198">
        <v>27</v>
      </c>
      <c r="B33" s="199" t="s">
        <v>99</v>
      </c>
      <c r="C33" s="995">
        <v>0</v>
      </c>
      <c r="D33" s="201">
        <f>+'Table 5C1A-Madison Prep'!D33</f>
        <v>5804.9013839977006</v>
      </c>
      <c r="E33" s="202">
        <f t="shared" si="8"/>
        <v>0</v>
      </c>
      <c r="F33" s="202">
        <f>+'Table 5C1A-Madison Prep'!F33</f>
        <v>693.06</v>
      </c>
      <c r="G33" s="202">
        <f t="shared" si="9"/>
        <v>0</v>
      </c>
      <c r="H33" s="345">
        <f t="shared" si="10"/>
        <v>0</v>
      </c>
      <c r="I33" s="203">
        <f>'[1]Oct midyear Willow'!K30</f>
        <v>0</v>
      </c>
      <c r="J33" s="203">
        <f>'[1]Feb midyear Willow'!K30</f>
        <v>0</v>
      </c>
      <c r="K33" s="204">
        <f t="shared" si="11"/>
        <v>0</v>
      </c>
      <c r="L33" s="345">
        <f t="shared" si="12"/>
        <v>0</v>
      </c>
      <c r="M33" s="286">
        <f t="shared" si="4"/>
        <v>0</v>
      </c>
      <c r="N33" s="345">
        <f t="shared" si="13"/>
        <v>0</v>
      </c>
      <c r="O33" s="201">
        <v>0</v>
      </c>
      <c r="P33" s="351">
        <f t="shared" si="14"/>
        <v>0</v>
      </c>
      <c r="Q33" s="203">
        <f>8*'[2]Table 5C1W-Willow'!S33</f>
        <v>0</v>
      </c>
      <c r="R33" s="203">
        <f t="shared" si="15"/>
        <v>0</v>
      </c>
      <c r="S33" s="351">
        <f t="shared" si="5"/>
        <v>0</v>
      </c>
      <c r="T33" s="351">
        <f t="shared" si="16"/>
        <v>0</v>
      </c>
      <c r="U33" s="287">
        <f>'Table 5C1A-Madison Prep'!U33</f>
        <v>3225</v>
      </c>
      <c r="V33" s="328">
        <f t="shared" si="17"/>
        <v>0</v>
      </c>
      <c r="W33" s="289">
        <f>'[1]Oct midyear Willow'!E30</f>
        <v>0</v>
      </c>
      <c r="X33" s="290">
        <f t="shared" si="18"/>
        <v>0</v>
      </c>
      <c r="Y33" s="289">
        <f>'[1]Feb midyear Willow'!E30</f>
        <v>0</v>
      </c>
      <c r="Z33" s="290">
        <f t="shared" si="19"/>
        <v>0</v>
      </c>
      <c r="AA33" s="288">
        <f t="shared" si="20"/>
        <v>0</v>
      </c>
      <c r="AB33" s="324">
        <f t="shared" si="21"/>
        <v>0</v>
      </c>
      <c r="AC33" s="292">
        <f t="shared" si="22"/>
        <v>0</v>
      </c>
      <c r="AD33" s="324">
        <f t="shared" si="23"/>
        <v>0</v>
      </c>
      <c r="AE33" s="293">
        <v>0</v>
      </c>
      <c r="AF33" s="324">
        <f t="shared" si="24"/>
        <v>0</v>
      </c>
      <c r="AG33" s="293">
        <f>8*'[2]Table 5C1W-Willow'!AI33</f>
        <v>0</v>
      </c>
      <c r="AH33" s="293">
        <f t="shared" si="25"/>
        <v>0</v>
      </c>
      <c r="AI33" s="324">
        <f t="shared" si="6"/>
        <v>0</v>
      </c>
      <c r="AJ33" s="321">
        <f t="shared" si="26"/>
        <v>0</v>
      </c>
      <c r="AK33" s="342">
        <f t="shared" si="27"/>
        <v>0</v>
      </c>
      <c r="AM33" s="286">
        <v>0</v>
      </c>
      <c r="AN33" s="286">
        <f t="shared" si="28"/>
        <v>0</v>
      </c>
      <c r="AO33" s="286">
        <f t="shared" si="7"/>
        <v>0</v>
      </c>
    </row>
    <row r="34" spans="1:41" ht="16.149999999999999" customHeight="1">
      <c r="A34" s="198">
        <v>28</v>
      </c>
      <c r="B34" s="199" t="s">
        <v>100</v>
      </c>
      <c r="C34" s="995">
        <v>0</v>
      </c>
      <c r="D34" s="201">
        <f>+'Table 5C1A-Madison Prep'!D34</f>
        <v>3137.4158846568821</v>
      </c>
      <c r="E34" s="202">
        <f t="shared" si="8"/>
        <v>0</v>
      </c>
      <c r="F34" s="202">
        <f>+'Table 5C1A-Madison Prep'!F34</f>
        <v>694.4</v>
      </c>
      <c r="G34" s="202">
        <f t="shared" si="9"/>
        <v>0</v>
      </c>
      <c r="H34" s="345">
        <f t="shared" si="10"/>
        <v>0</v>
      </c>
      <c r="I34" s="203">
        <f>'[1]Oct midyear Willow'!K31</f>
        <v>1574876.3285939787</v>
      </c>
      <c r="J34" s="203">
        <f>'[1]Feb midyear Willow'!K31</f>
        <v>-40234.06678889726</v>
      </c>
      <c r="K34" s="204">
        <f t="shared" si="11"/>
        <v>1534642.2618050815</v>
      </c>
      <c r="L34" s="345">
        <f t="shared" si="12"/>
        <v>1534642.2618050815</v>
      </c>
      <c r="M34" s="286">
        <f t="shared" si="4"/>
        <v>-3836.6056545127039</v>
      </c>
      <c r="N34" s="345">
        <f t="shared" si="13"/>
        <v>1530805.6561505687</v>
      </c>
      <c r="O34" s="201">
        <v>0</v>
      </c>
      <c r="P34" s="351">
        <f t="shared" si="14"/>
        <v>1530805.6561505687</v>
      </c>
      <c r="Q34" s="203">
        <f>8*'[2]Table 5C1W-Willow'!S34</f>
        <v>1223112</v>
      </c>
      <c r="R34" s="203">
        <f t="shared" si="15"/>
        <v>307693.65615056874</v>
      </c>
      <c r="S34" s="351">
        <f t="shared" si="5"/>
        <v>76923</v>
      </c>
      <c r="T34" s="351">
        <f t="shared" si="16"/>
        <v>1530805.6561505687</v>
      </c>
      <c r="U34" s="287">
        <f>'Table 5C1A-Madison Prep'!U34</f>
        <v>5816</v>
      </c>
      <c r="V34" s="328">
        <f t="shared" si="17"/>
        <v>0</v>
      </c>
      <c r="W34" s="289">
        <f>'[1]Oct midyear Willow'!E31</f>
        <v>411</v>
      </c>
      <c r="X34" s="290">
        <f t="shared" si="18"/>
        <v>2390376</v>
      </c>
      <c r="Y34" s="289">
        <f>'[1]Feb midyear Willow'!E31</f>
        <v>-21</v>
      </c>
      <c r="Z34" s="290">
        <f t="shared" si="19"/>
        <v>-61068</v>
      </c>
      <c r="AA34" s="288">
        <f t="shared" si="20"/>
        <v>2329308</v>
      </c>
      <c r="AB34" s="324">
        <f t="shared" si="21"/>
        <v>2329308</v>
      </c>
      <c r="AC34" s="292">
        <f t="shared" si="22"/>
        <v>-5823.27</v>
      </c>
      <c r="AD34" s="324">
        <f t="shared" si="23"/>
        <v>2323484.73</v>
      </c>
      <c r="AE34" s="293">
        <v>0</v>
      </c>
      <c r="AF34" s="324">
        <f t="shared" si="24"/>
        <v>2323484.73</v>
      </c>
      <c r="AG34" s="293">
        <f>8*'[2]Table 5C1W-Willow'!AI34</f>
        <v>1848168</v>
      </c>
      <c r="AH34" s="293">
        <f t="shared" si="25"/>
        <v>475316.73</v>
      </c>
      <c r="AI34" s="324">
        <f t="shared" si="6"/>
        <v>118829</v>
      </c>
      <c r="AJ34" s="321">
        <f t="shared" si="26"/>
        <v>3854290.3861505687</v>
      </c>
      <c r="AK34" s="342">
        <f t="shared" si="27"/>
        <v>195752</v>
      </c>
      <c r="AM34" s="286">
        <v>-6948</v>
      </c>
      <c r="AN34" s="286">
        <f t="shared" si="28"/>
        <v>-5823.27</v>
      </c>
      <c r="AO34" s="286">
        <f>+AN34-AM34</f>
        <v>1124.7299999999996</v>
      </c>
    </row>
    <row r="35" spans="1:41" ht="16.149999999999999" customHeight="1">
      <c r="A35" s="198">
        <v>29</v>
      </c>
      <c r="B35" s="199" t="s">
        <v>101</v>
      </c>
      <c r="C35" s="995">
        <v>0</v>
      </c>
      <c r="D35" s="201">
        <f>+'Table 5C1A-Madison Prep'!D35</f>
        <v>3839.0123210173724</v>
      </c>
      <c r="E35" s="202">
        <f t="shared" si="8"/>
        <v>0</v>
      </c>
      <c r="F35" s="202">
        <f>+'Table 5C1A-Madison Prep'!F35</f>
        <v>754.94999999999993</v>
      </c>
      <c r="G35" s="202">
        <f t="shared" si="9"/>
        <v>0</v>
      </c>
      <c r="H35" s="345">
        <f t="shared" si="10"/>
        <v>0</v>
      </c>
      <c r="I35" s="203">
        <f>'[1]Oct midyear Willow'!K32</f>
        <v>0</v>
      </c>
      <c r="J35" s="203">
        <f>'[1]Feb midyear Willow'!K32</f>
        <v>0</v>
      </c>
      <c r="K35" s="204">
        <f t="shared" si="11"/>
        <v>0</v>
      </c>
      <c r="L35" s="345">
        <f t="shared" si="12"/>
        <v>0</v>
      </c>
      <c r="M35" s="286">
        <f t="shared" si="4"/>
        <v>0</v>
      </c>
      <c r="N35" s="345">
        <f t="shared" si="13"/>
        <v>0</v>
      </c>
      <c r="O35" s="201">
        <v>0</v>
      </c>
      <c r="P35" s="351">
        <f t="shared" si="14"/>
        <v>0</v>
      </c>
      <c r="Q35" s="203">
        <f>8*'[2]Table 5C1W-Willow'!S35</f>
        <v>0</v>
      </c>
      <c r="R35" s="203">
        <f t="shared" si="15"/>
        <v>0</v>
      </c>
      <c r="S35" s="351">
        <f t="shared" si="5"/>
        <v>0</v>
      </c>
      <c r="T35" s="351">
        <f t="shared" si="16"/>
        <v>0</v>
      </c>
      <c r="U35" s="287">
        <f>'Table 5C1A-Madison Prep'!U35</f>
        <v>5046</v>
      </c>
      <c r="V35" s="328">
        <f t="shared" si="17"/>
        <v>0</v>
      </c>
      <c r="W35" s="289">
        <f>'[1]Oct midyear Willow'!E32</f>
        <v>0</v>
      </c>
      <c r="X35" s="290">
        <f t="shared" si="18"/>
        <v>0</v>
      </c>
      <c r="Y35" s="289">
        <f>'[1]Feb midyear Willow'!E32</f>
        <v>0</v>
      </c>
      <c r="Z35" s="290">
        <f t="shared" si="19"/>
        <v>0</v>
      </c>
      <c r="AA35" s="288">
        <f t="shared" si="20"/>
        <v>0</v>
      </c>
      <c r="AB35" s="324">
        <f t="shared" si="21"/>
        <v>0</v>
      </c>
      <c r="AC35" s="292">
        <f t="shared" si="22"/>
        <v>0</v>
      </c>
      <c r="AD35" s="324">
        <f t="shared" si="23"/>
        <v>0</v>
      </c>
      <c r="AE35" s="293">
        <v>0</v>
      </c>
      <c r="AF35" s="324">
        <f t="shared" si="24"/>
        <v>0</v>
      </c>
      <c r="AG35" s="293">
        <f>8*'[2]Table 5C1W-Willow'!AI35</f>
        <v>0</v>
      </c>
      <c r="AH35" s="293">
        <f t="shared" si="25"/>
        <v>0</v>
      </c>
      <c r="AI35" s="324">
        <f t="shared" si="6"/>
        <v>0</v>
      </c>
      <c r="AJ35" s="321">
        <f t="shared" si="26"/>
        <v>0</v>
      </c>
      <c r="AK35" s="342">
        <f t="shared" si="27"/>
        <v>0</v>
      </c>
      <c r="AM35" s="286">
        <v>0</v>
      </c>
      <c r="AN35" s="286">
        <f t="shared" si="28"/>
        <v>0</v>
      </c>
      <c r="AO35" s="286">
        <f t="shared" ref="AO35:AO75" si="29">+AN35-AM35</f>
        <v>0</v>
      </c>
    </row>
    <row r="36" spans="1:41" ht="16.149999999999999" customHeight="1">
      <c r="A36" s="191">
        <v>30</v>
      </c>
      <c r="B36" s="192" t="s">
        <v>102</v>
      </c>
      <c r="C36" s="996">
        <v>0</v>
      </c>
      <c r="D36" s="194">
        <f>+'Table 5C1A-Madison Prep'!D36</f>
        <v>5804.5327273996763</v>
      </c>
      <c r="E36" s="195">
        <f t="shared" si="8"/>
        <v>0</v>
      </c>
      <c r="F36" s="195">
        <f>+'Table 5C1A-Madison Prep'!F36</f>
        <v>727.17</v>
      </c>
      <c r="G36" s="195">
        <f t="shared" si="9"/>
        <v>0</v>
      </c>
      <c r="H36" s="346">
        <f t="shared" si="10"/>
        <v>0</v>
      </c>
      <c r="I36" s="196">
        <f>'[1]Oct midyear Willow'!K33</f>
        <v>0</v>
      </c>
      <c r="J36" s="196">
        <f>'[1]Feb midyear Willow'!K33</f>
        <v>0</v>
      </c>
      <c r="K36" s="197">
        <f t="shared" si="11"/>
        <v>0</v>
      </c>
      <c r="L36" s="346">
        <f t="shared" si="12"/>
        <v>0</v>
      </c>
      <c r="M36" s="296">
        <f t="shared" si="4"/>
        <v>0</v>
      </c>
      <c r="N36" s="346">
        <f t="shared" si="13"/>
        <v>0</v>
      </c>
      <c r="O36" s="194">
        <v>0</v>
      </c>
      <c r="P36" s="352">
        <f t="shared" si="14"/>
        <v>0</v>
      </c>
      <c r="Q36" s="196">
        <f>8*'[2]Table 5C1W-Willow'!S36</f>
        <v>0</v>
      </c>
      <c r="R36" s="196">
        <f t="shared" si="15"/>
        <v>0</v>
      </c>
      <c r="S36" s="352">
        <f t="shared" si="5"/>
        <v>0</v>
      </c>
      <c r="T36" s="352">
        <f t="shared" si="16"/>
        <v>0</v>
      </c>
      <c r="U36" s="281">
        <f>'Table 5C1A-Madison Prep'!U36</f>
        <v>3999</v>
      </c>
      <c r="V36" s="329">
        <f t="shared" si="17"/>
        <v>0</v>
      </c>
      <c r="W36" s="884">
        <f>'[1]Oct midyear Willow'!E33</f>
        <v>0</v>
      </c>
      <c r="X36" s="282">
        <f t="shared" si="18"/>
        <v>0</v>
      </c>
      <c r="Y36" s="884">
        <f>'[1]Feb midyear Willow'!E33</f>
        <v>0</v>
      </c>
      <c r="Z36" s="282">
        <f t="shared" si="19"/>
        <v>0</v>
      </c>
      <c r="AA36" s="283">
        <f t="shared" si="20"/>
        <v>0</v>
      </c>
      <c r="AB36" s="325">
        <f t="shared" si="21"/>
        <v>0</v>
      </c>
      <c r="AC36" s="298">
        <f t="shared" si="22"/>
        <v>0</v>
      </c>
      <c r="AD36" s="325">
        <f t="shared" si="23"/>
        <v>0</v>
      </c>
      <c r="AE36" s="284">
        <v>0</v>
      </c>
      <c r="AF36" s="325">
        <f t="shared" si="24"/>
        <v>0</v>
      </c>
      <c r="AG36" s="284">
        <f>8*'[2]Table 5C1W-Willow'!AI36</f>
        <v>0</v>
      </c>
      <c r="AH36" s="284">
        <f t="shared" si="25"/>
        <v>0</v>
      </c>
      <c r="AI36" s="325">
        <f t="shared" si="6"/>
        <v>0</v>
      </c>
      <c r="AJ36" s="338">
        <f t="shared" si="26"/>
        <v>0</v>
      </c>
      <c r="AK36" s="343">
        <f t="shared" si="27"/>
        <v>0</v>
      </c>
      <c r="AM36" s="296">
        <v>0</v>
      </c>
      <c r="AN36" s="296">
        <f t="shared" si="28"/>
        <v>0</v>
      </c>
      <c r="AO36" s="296">
        <f t="shared" si="29"/>
        <v>0</v>
      </c>
    </row>
    <row r="37" spans="1:41" ht="16.149999999999999" customHeight="1">
      <c r="A37" s="205">
        <v>31</v>
      </c>
      <c r="B37" s="206" t="s">
        <v>103</v>
      </c>
      <c r="C37" s="994">
        <v>0</v>
      </c>
      <c r="D37" s="208">
        <f>+'Table 5C1A-Madison Prep'!D37</f>
        <v>4520.6176716868531</v>
      </c>
      <c r="E37" s="209">
        <f t="shared" si="8"/>
        <v>0</v>
      </c>
      <c r="F37" s="209">
        <f>+'Table 5C1A-Madison Prep'!F37</f>
        <v>620.83000000000004</v>
      </c>
      <c r="G37" s="209">
        <f t="shared" si="9"/>
        <v>0</v>
      </c>
      <c r="H37" s="344">
        <f t="shared" si="10"/>
        <v>0</v>
      </c>
      <c r="I37" s="210">
        <f>'[1]Oct midyear Willow'!K34</f>
        <v>0</v>
      </c>
      <c r="J37" s="210">
        <f>'[1]Feb midyear Willow'!K34</f>
        <v>0</v>
      </c>
      <c r="K37" s="211">
        <f t="shared" si="11"/>
        <v>0</v>
      </c>
      <c r="L37" s="344">
        <f t="shared" si="12"/>
        <v>0</v>
      </c>
      <c r="M37" s="273">
        <f t="shared" si="4"/>
        <v>0</v>
      </c>
      <c r="N37" s="344">
        <f t="shared" si="13"/>
        <v>0</v>
      </c>
      <c r="O37" s="208">
        <v>0</v>
      </c>
      <c r="P37" s="350">
        <f t="shared" si="14"/>
        <v>0</v>
      </c>
      <c r="Q37" s="210">
        <f>8*'[2]Table 5C1W-Willow'!S37</f>
        <v>0</v>
      </c>
      <c r="R37" s="210">
        <f t="shared" si="15"/>
        <v>0</v>
      </c>
      <c r="S37" s="350">
        <f t="shared" si="5"/>
        <v>0</v>
      </c>
      <c r="T37" s="350">
        <f t="shared" si="16"/>
        <v>0</v>
      </c>
      <c r="U37" s="274">
        <f>'Table 5C1A-Madison Prep'!U37</f>
        <v>5028</v>
      </c>
      <c r="V37" s="327">
        <f t="shared" si="17"/>
        <v>0</v>
      </c>
      <c r="W37" s="883">
        <f>'[1]Oct midyear Willow'!E34</f>
        <v>0</v>
      </c>
      <c r="X37" s="276">
        <f t="shared" si="18"/>
        <v>0</v>
      </c>
      <c r="Y37" s="883">
        <f>'[1]Feb midyear Willow'!E34</f>
        <v>0</v>
      </c>
      <c r="Z37" s="276">
        <f t="shared" si="19"/>
        <v>0</v>
      </c>
      <c r="AA37" s="275">
        <f t="shared" si="20"/>
        <v>0</v>
      </c>
      <c r="AB37" s="323">
        <f t="shared" si="21"/>
        <v>0</v>
      </c>
      <c r="AC37" s="278">
        <f t="shared" si="22"/>
        <v>0</v>
      </c>
      <c r="AD37" s="323">
        <f t="shared" si="23"/>
        <v>0</v>
      </c>
      <c r="AE37" s="279">
        <v>0</v>
      </c>
      <c r="AF37" s="323">
        <f t="shared" si="24"/>
        <v>0</v>
      </c>
      <c r="AG37" s="279">
        <f>8*'[2]Table 5C1W-Willow'!AI37</f>
        <v>0</v>
      </c>
      <c r="AH37" s="279">
        <f t="shared" si="25"/>
        <v>0</v>
      </c>
      <c r="AI37" s="323">
        <f t="shared" si="6"/>
        <v>0</v>
      </c>
      <c r="AJ37" s="337">
        <f t="shared" si="26"/>
        <v>0</v>
      </c>
      <c r="AK37" s="341">
        <f t="shared" si="27"/>
        <v>0</v>
      </c>
      <c r="AM37" s="273">
        <v>0</v>
      </c>
      <c r="AN37" s="273">
        <f t="shared" si="28"/>
        <v>0</v>
      </c>
      <c r="AO37" s="273">
        <f t="shared" si="29"/>
        <v>0</v>
      </c>
    </row>
    <row r="38" spans="1:41" ht="16.149999999999999" customHeight="1">
      <c r="A38" s="198">
        <v>32</v>
      </c>
      <c r="B38" s="199" t="s">
        <v>104</v>
      </c>
      <c r="C38" s="995">
        <v>0</v>
      </c>
      <c r="D38" s="201">
        <f>+'Table 5C1A-Madison Prep'!D38</f>
        <v>5652.819189061127</v>
      </c>
      <c r="E38" s="202">
        <f t="shared" si="8"/>
        <v>0</v>
      </c>
      <c r="F38" s="202">
        <f>+'Table 5C1A-Madison Prep'!F38</f>
        <v>559.77</v>
      </c>
      <c r="G38" s="202">
        <f t="shared" si="9"/>
        <v>0</v>
      </c>
      <c r="H38" s="345">
        <f t="shared" si="10"/>
        <v>0</v>
      </c>
      <c r="I38" s="203">
        <f>'[1]Oct midyear Willow'!K35</f>
        <v>0</v>
      </c>
      <c r="J38" s="203">
        <f>'[1]Feb midyear Willow'!K35</f>
        <v>0</v>
      </c>
      <c r="K38" s="204">
        <f t="shared" si="11"/>
        <v>0</v>
      </c>
      <c r="L38" s="345">
        <f t="shared" si="12"/>
        <v>0</v>
      </c>
      <c r="M38" s="286">
        <f t="shared" si="4"/>
        <v>0</v>
      </c>
      <c r="N38" s="345">
        <f t="shared" si="13"/>
        <v>0</v>
      </c>
      <c r="O38" s="201">
        <v>0</v>
      </c>
      <c r="P38" s="351">
        <f t="shared" si="14"/>
        <v>0</v>
      </c>
      <c r="Q38" s="203">
        <f>8*'[2]Table 5C1W-Willow'!S38</f>
        <v>0</v>
      </c>
      <c r="R38" s="203">
        <f t="shared" si="15"/>
        <v>0</v>
      </c>
      <c r="S38" s="351">
        <f t="shared" si="5"/>
        <v>0</v>
      </c>
      <c r="T38" s="351">
        <f t="shared" si="16"/>
        <v>0</v>
      </c>
      <c r="U38" s="287">
        <f>'Table 5C1A-Madison Prep'!U38</f>
        <v>2139</v>
      </c>
      <c r="V38" s="328">
        <f t="shared" si="17"/>
        <v>0</v>
      </c>
      <c r="W38" s="289">
        <f>'[1]Oct midyear Willow'!E35</f>
        <v>0</v>
      </c>
      <c r="X38" s="290">
        <f t="shared" si="18"/>
        <v>0</v>
      </c>
      <c r="Y38" s="289">
        <f>'[1]Feb midyear Willow'!E35</f>
        <v>0</v>
      </c>
      <c r="Z38" s="290">
        <f t="shared" si="19"/>
        <v>0</v>
      </c>
      <c r="AA38" s="288">
        <f t="shared" si="20"/>
        <v>0</v>
      </c>
      <c r="AB38" s="324">
        <f t="shared" si="21"/>
        <v>0</v>
      </c>
      <c r="AC38" s="292">
        <f t="shared" si="22"/>
        <v>0</v>
      </c>
      <c r="AD38" s="324">
        <f t="shared" si="23"/>
        <v>0</v>
      </c>
      <c r="AE38" s="293">
        <v>0</v>
      </c>
      <c r="AF38" s="324">
        <f t="shared" si="24"/>
        <v>0</v>
      </c>
      <c r="AG38" s="293">
        <f>8*'[2]Table 5C1W-Willow'!AI38</f>
        <v>0</v>
      </c>
      <c r="AH38" s="293">
        <f t="shared" si="25"/>
        <v>0</v>
      </c>
      <c r="AI38" s="324">
        <f t="shared" si="6"/>
        <v>0</v>
      </c>
      <c r="AJ38" s="321">
        <f t="shared" si="26"/>
        <v>0</v>
      </c>
      <c r="AK38" s="342">
        <f t="shared" si="27"/>
        <v>0</v>
      </c>
      <c r="AM38" s="286">
        <v>0</v>
      </c>
      <c r="AN38" s="286">
        <f t="shared" si="28"/>
        <v>0</v>
      </c>
      <c r="AO38" s="286">
        <f t="shared" si="29"/>
        <v>0</v>
      </c>
    </row>
    <row r="39" spans="1:41" ht="16.149999999999999" customHeight="1">
      <c r="A39" s="198">
        <v>33</v>
      </c>
      <c r="B39" s="199" t="s">
        <v>105</v>
      </c>
      <c r="C39" s="995">
        <v>0</v>
      </c>
      <c r="D39" s="201">
        <f>+'Table 5C1A-Madison Prep'!D39</f>
        <v>5456.2254558085233</v>
      </c>
      <c r="E39" s="202">
        <f t="shared" si="8"/>
        <v>0</v>
      </c>
      <c r="F39" s="202">
        <f>+'Table 5C1A-Madison Prep'!F39</f>
        <v>655.31000000000006</v>
      </c>
      <c r="G39" s="202">
        <f t="shared" si="9"/>
        <v>0</v>
      </c>
      <c r="H39" s="345">
        <f t="shared" si="10"/>
        <v>0</v>
      </c>
      <c r="I39" s="203">
        <f>'[1]Oct midyear Willow'!K36</f>
        <v>0</v>
      </c>
      <c r="J39" s="203">
        <f>'[1]Feb midyear Willow'!K36</f>
        <v>0</v>
      </c>
      <c r="K39" s="204">
        <f t="shared" si="11"/>
        <v>0</v>
      </c>
      <c r="L39" s="345">
        <f t="shared" si="12"/>
        <v>0</v>
      </c>
      <c r="M39" s="286">
        <f t="shared" si="4"/>
        <v>0</v>
      </c>
      <c r="N39" s="345">
        <f t="shared" si="13"/>
        <v>0</v>
      </c>
      <c r="O39" s="201">
        <v>0</v>
      </c>
      <c r="P39" s="351">
        <f t="shared" si="14"/>
        <v>0</v>
      </c>
      <c r="Q39" s="203">
        <f>8*'[2]Table 5C1W-Willow'!S39</f>
        <v>0</v>
      </c>
      <c r="R39" s="203">
        <f t="shared" si="15"/>
        <v>0</v>
      </c>
      <c r="S39" s="351">
        <f t="shared" ref="S39:S70" si="30">ROUND(R39/$S$88,0)</f>
        <v>0</v>
      </c>
      <c r="T39" s="351">
        <f t="shared" si="16"/>
        <v>0</v>
      </c>
      <c r="U39" s="287">
        <f>'Table 5C1A-Madison Prep'!U39</f>
        <v>3784</v>
      </c>
      <c r="V39" s="328">
        <f t="shared" si="17"/>
        <v>0</v>
      </c>
      <c r="W39" s="289">
        <f>'[1]Oct midyear Willow'!E36</f>
        <v>0</v>
      </c>
      <c r="X39" s="290">
        <f t="shared" si="18"/>
        <v>0</v>
      </c>
      <c r="Y39" s="289">
        <f>'[1]Feb midyear Willow'!E36</f>
        <v>0</v>
      </c>
      <c r="Z39" s="290">
        <f t="shared" si="19"/>
        <v>0</v>
      </c>
      <c r="AA39" s="288">
        <f t="shared" si="20"/>
        <v>0</v>
      </c>
      <c r="AB39" s="324">
        <f t="shared" si="21"/>
        <v>0</v>
      </c>
      <c r="AC39" s="292">
        <f t="shared" si="22"/>
        <v>0</v>
      </c>
      <c r="AD39" s="324">
        <f t="shared" si="23"/>
        <v>0</v>
      </c>
      <c r="AE39" s="293">
        <v>0</v>
      </c>
      <c r="AF39" s="324">
        <f t="shared" si="24"/>
        <v>0</v>
      </c>
      <c r="AG39" s="293">
        <f>8*'[2]Table 5C1W-Willow'!AI39</f>
        <v>0</v>
      </c>
      <c r="AH39" s="293">
        <f t="shared" si="25"/>
        <v>0</v>
      </c>
      <c r="AI39" s="324">
        <f t="shared" ref="AI39:AI70" si="31">ROUND(AH39/$AI$88,0)</f>
        <v>0</v>
      </c>
      <c r="AJ39" s="321">
        <f t="shared" si="26"/>
        <v>0</v>
      </c>
      <c r="AK39" s="342">
        <f t="shared" si="27"/>
        <v>0</v>
      </c>
      <c r="AM39" s="286">
        <v>0</v>
      </c>
      <c r="AN39" s="286">
        <f t="shared" si="28"/>
        <v>0</v>
      </c>
      <c r="AO39" s="286">
        <f t="shared" si="29"/>
        <v>0</v>
      </c>
    </row>
    <row r="40" spans="1:41" ht="16.149999999999999" customHeight="1">
      <c r="A40" s="198">
        <v>34</v>
      </c>
      <c r="B40" s="199" t="s">
        <v>106</v>
      </c>
      <c r="C40" s="995">
        <v>0</v>
      </c>
      <c r="D40" s="201">
        <f>+'Table 5C1A-Madison Prep'!D40</f>
        <v>6292.0976842789005</v>
      </c>
      <c r="E40" s="202">
        <f t="shared" si="8"/>
        <v>0</v>
      </c>
      <c r="F40" s="202">
        <f>+'Table 5C1A-Madison Prep'!F40</f>
        <v>644.11000000000013</v>
      </c>
      <c r="G40" s="202">
        <f t="shared" si="9"/>
        <v>0</v>
      </c>
      <c r="H40" s="345">
        <f t="shared" si="10"/>
        <v>0</v>
      </c>
      <c r="I40" s="203">
        <f>'[1]Oct midyear Willow'!K37</f>
        <v>0</v>
      </c>
      <c r="J40" s="203">
        <f>'[1]Feb midyear Willow'!K37</f>
        <v>0</v>
      </c>
      <c r="K40" s="204">
        <f t="shared" si="11"/>
        <v>0</v>
      </c>
      <c r="L40" s="345">
        <f t="shared" si="12"/>
        <v>0</v>
      </c>
      <c r="M40" s="286">
        <f t="shared" si="4"/>
        <v>0</v>
      </c>
      <c r="N40" s="345">
        <f t="shared" si="13"/>
        <v>0</v>
      </c>
      <c r="O40" s="201">
        <v>0</v>
      </c>
      <c r="P40" s="351">
        <f t="shared" si="14"/>
        <v>0</v>
      </c>
      <c r="Q40" s="203">
        <f>8*'[2]Table 5C1W-Willow'!S40</f>
        <v>0</v>
      </c>
      <c r="R40" s="203">
        <f t="shared" si="15"/>
        <v>0</v>
      </c>
      <c r="S40" s="351">
        <f t="shared" si="30"/>
        <v>0</v>
      </c>
      <c r="T40" s="351">
        <f t="shared" si="16"/>
        <v>0</v>
      </c>
      <c r="U40" s="287">
        <f>'Table 5C1A-Madison Prep'!U40</f>
        <v>2911</v>
      </c>
      <c r="V40" s="328">
        <f t="shared" si="17"/>
        <v>0</v>
      </c>
      <c r="W40" s="289">
        <f>'[1]Oct midyear Willow'!E37</f>
        <v>0</v>
      </c>
      <c r="X40" s="290">
        <f t="shared" si="18"/>
        <v>0</v>
      </c>
      <c r="Y40" s="289">
        <f>'[1]Feb midyear Willow'!E37</f>
        <v>0</v>
      </c>
      <c r="Z40" s="290">
        <f t="shared" si="19"/>
        <v>0</v>
      </c>
      <c r="AA40" s="288">
        <f t="shared" si="20"/>
        <v>0</v>
      </c>
      <c r="AB40" s="324">
        <f t="shared" si="21"/>
        <v>0</v>
      </c>
      <c r="AC40" s="292">
        <f t="shared" si="22"/>
        <v>0</v>
      </c>
      <c r="AD40" s="324">
        <f t="shared" si="23"/>
        <v>0</v>
      </c>
      <c r="AE40" s="293">
        <v>0</v>
      </c>
      <c r="AF40" s="324">
        <f t="shared" si="24"/>
        <v>0</v>
      </c>
      <c r="AG40" s="293">
        <f>8*'[2]Table 5C1W-Willow'!AI40</f>
        <v>0</v>
      </c>
      <c r="AH40" s="293">
        <f t="shared" si="25"/>
        <v>0</v>
      </c>
      <c r="AI40" s="324">
        <f t="shared" si="31"/>
        <v>0</v>
      </c>
      <c r="AJ40" s="321">
        <f t="shared" si="26"/>
        <v>0</v>
      </c>
      <c r="AK40" s="342">
        <f t="shared" si="27"/>
        <v>0</v>
      </c>
      <c r="AM40" s="286">
        <v>0</v>
      </c>
      <c r="AN40" s="286">
        <f t="shared" si="28"/>
        <v>0</v>
      </c>
      <c r="AO40" s="286">
        <f t="shared" si="29"/>
        <v>0</v>
      </c>
    </row>
    <row r="41" spans="1:41" ht="16.149999999999999" customHeight="1">
      <c r="A41" s="191">
        <v>35</v>
      </c>
      <c r="B41" s="192" t="s">
        <v>107</v>
      </c>
      <c r="C41" s="996">
        <v>0</v>
      </c>
      <c r="D41" s="194">
        <f>+'Table 5C1A-Madison Prep'!D41</f>
        <v>5166.2482060477605</v>
      </c>
      <c r="E41" s="195">
        <f t="shared" si="8"/>
        <v>0</v>
      </c>
      <c r="F41" s="195">
        <f>+'Table 5C1A-Madison Prep'!F41</f>
        <v>537.96</v>
      </c>
      <c r="G41" s="195">
        <f t="shared" si="9"/>
        <v>0</v>
      </c>
      <c r="H41" s="346">
        <f t="shared" si="10"/>
        <v>0</v>
      </c>
      <c r="I41" s="196">
        <f>'[1]Oct midyear Willow'!K38</f>
        <v>0</v>
      </c>
      <c r="J41" s="196">
        <f>'[1]Feb midyear Willow'!K38</f>
        <v>0</v>
      </c>
      <c r="K41" s="197">
        <f t="shared" si="11"/>
        <v>0</v>
      </c>
      <c r="L41" s="346">
        <f t="shared" si="12"/>
        <v>0</v>
      </c>
      <c r="M41" s="296">
        <f t="shared" si="4"/>
        <v>0</v>
      </c>
      <c r="N41" s="346">
        <f t="shared" si="13"/>
        <v>0</v>
      </c>
      <c r="O41" s="194">
        <v>0</v>
      </c>
      <c r="P41" s="352">
        <f t="shared" si="14"/>
        <v>0</v>
      </c>
      <c r="Q41" s="196">
        <f>8*'[2]Table 5C1W-Willow'!S41</f>
        <v>0</v>
      </c>
      <c r="R41" s="196">
        <f t="shared" si="15"/>
        <v>0</v>
      </c>
      <c r="S41" s="352">
        <f t="shared" si="30"/>
        <v>0</v>
      </c>
      <c r="T41" s="352">
        <f t="shared" si="16"/>
        <v>0</v>
      </c>
      <c r="U41" s="281">
        <f>'Table 5C1A-Madison Prep'!U41</f>
        <v>3337</v>
      </c>
      <c r="V41" s="329">
        <f t="shared" si="17"/>
        <v>0</v>
      </c>
      <c r="W41" s="884">
        <f>'[1]Oct midyear Willow'!E38</f>
        <v>0</v>
      </c>
      <c r="X41" s="282">
        <f t="shared" si="18"/>
        <v>0</v>
      </c>
      <c r="Y41" s="884">
        <f>'[1]Feb midyear Willow'!E38</f>
        <v>0</v>
      </c>
      <c r="Z41" s="282">
        <f t="shared" si="19"/>
        <v>0</v>
      </c>
      <c r="AA41" s="283">
        <f t="shared" si="20"/>
        <v>0</v>
      </c>
      <c r="AB41" s="325">
        <f t="shared" si="21"/>
        <v>0</v>
      </c>
      <c r="AC41" s="298">
        <f t="shared" si="22"/>
        <v>0</v>
      </c>
      <c r="AD41" s="325">
        <f t="shared" si="23"/>
        <v>0</v>
      </c>
      <c r="AE41" s="284">
        <v>0</v>
      </c>
      <c r="AF41" s="325">
        <f t="shared" si="24"/>
        <v>0</v>
      </c>
      <c r="AG41" s="284">
        <f>8*'[2]Table 5C1W-Willow'!AI41</f>
        <v>0</v>
      </c>
      <c r="AH41" s="284">
        <f t="shared" si="25"/>
        <v>0</v>
      </c>
      <c r="AI41" s="325">
        <f t="shared" si="31"/>
        <v>0</v>
      </c>
      <c r="AJ41" s="338">
        <f t="shared" si="26"/>
        <v>0</v>
      </c>
      <c r="AK41" s="343">
        <f t="shared" si="27"/>
        <v>0</v>
      </c>
      <c r="AM41" s="296">
        <v>0</v>
      </c>
      <c r="AN41" s="296">
        <f t="shared" si="28"/>
        <v>0</v>
      </c>
      <c r="AO41" s="296">
        <f t="shared" si="29"/>
        <v>0</v>
      </c>
    </row>
    <row r="42" spans="1:41" ht="16.149999999999999" customHeight="1">
      <c r="A42" s="205">
        <v>36</v>
      </c>
      <c r="B42" s="206" t="s">
        <v>108</v>
      </c>
      <c r="C42" s="994">
        <v>0</v>
      </c>
      <c r="D42" s="208">
        <f>+'Table 5C1A-Madison Prep'!D42</f>
        <v>3602.7009974327857</v>
      </c>
      <c r="E42" s="209">
        <f t="shared" si="8"/>
        <v>0</v>
      </c>
      <c r="F42" s="209">
        <f>+'Table 5C1A-Madison Prep'!F42</f>
        <v>746.0335616438357</v>
      </c>
      <c r="G42" s="209">
        <f t="shared" si="9"/>
        <v>0</v>
      </c>
      <c r="H42" s="344">
        <f t="shared" si="10"/>
        <v>0</v>
      </c>
      <c r="I42" s="210">
        <f>'[1]Oct midyear Willow'!K39</f>
        <v>0</v>
      </c>
      <c r="J42" s="210">
        <f>'[1]Feb midyear Willow'!K39</f>
        <v>0</v>
      </c>
      <c r="K42" s="211">
        <f t="shared" si="11"/>
        <v>0</v>
      </c>
      <c r="L42" s="344">
        <f t="shared" si="12"/>
        <v>0</v>
      </c>
      <c r="M42" s="273">
        <f t="shared" si="4"/>
        <v>0</v>
      </c>
      <c r="N42" s="344">
        <f t="shared" si="13"/>
        <v>0</v>
      </c>
      <c r="O42" s="208">
        <v>0</v>
      </c>
      <c r="P42" s="350">
        <f t="shared" si="14"/>
        <v>0</v>
      </c>
      <c r="Q42" s="210">
        <f>8*'[2]Table 5C1W-Willow'!S42</f>
        <v>0</v>
      </c>
      <c r="R42" s="210">
        <f t="shared" si="15"/>
        <v>0</v>
      </c>
      <c r="S42" s="350">
        <f t="shared" si="30"/>
        <v>0</v>
      </c>
      <c r="T42" s="350">
        <f t="shared" si="16"/>
        <v>0</v>
      </c>
      <c r="U42" s="274">
        <f>'Table 5C1A-Madison Prep'!U42</f>
        <v>5469</v>
      </c>
      <c r="V42" s="327">
        <f t="shared" si="17"/>
        <v>0</v>
      </c>
      <c r="W42" s="883">
        <f>'[1]Oct midyear Willow'!E39</f>
        <v>0</v>
      </c>
      <c r="X42" s="276">
        <f t="shared" si="18"/>
        <v>0</v>
      </c>
      <c r="Y42" s="883">
        <f>'[1]Feb midyear Willow'!E39</f>
        <v>0</v>
      </c>
      <c r="Z42" s="276">
        <f t="shared" si="19"/>
        <v>0</v>
      </c>
      <c r="AA42" s="275">
        <f t="shared" si="20"/>
        <v>0</v>
      </c>
      <c r="AB42" s="323">
        <f t="shared" si="21"/>
        <v>0</v>
      </c>
      <c r="AC42" s="278">
        <f t="shared" si="22"/>
        <v>0</v>
      </c>
      <c r="AD42" s="323">
        <f t="shared" si="23"/>
        <v>0</v>
      </c>
      <c r="AE42" s="279">
        <v>0</v>
      </c>
      <c r="AF42" s="323">
        <f t="shared" si="24"/>
        <v>0</v>
      </c>
      <c r="AG42" s="279">
        <f>8*'[2]Table 5C1W-Willow'!AI42</f>
        <v>0</v>
      </c>
      <c r="AH42" s="279">
        <f t="shared" si="25"/>
        <v>0</v>
      </c>
      <c r="AI42" s="323">
        <f t="shared" si="31"/>
        <v>0</v>
      </c>
      <c r="AJ42" s="337">
        <f t="shared" si="26"/>
        <v>0</v>
      </c>
      <c r="AK42" s="341">
        <f t="shared" si="27"/>
        <v>0</v>
      </c>
      <c r="AM42" s="273">
        <v>0</v>
      </c>
      <c r="AN42" s="273">
        <f t="shared" si="28"/>
        <v>0</v>
      </c>
      <c r="AO42" s="273">
        <f t="shared" si="29"/>
        <v>0</v>
      </c>
    </row>
    <row r="43" spans="1:41" ht="16.149999999999999" customHeight="1">
      <c r="A43" s="198">
        <v>37</v>
      </c>
      <c r="B43" s="199" t="s">
        <v>109</v>
      </c>
      <c r="C43" s="995">
        <v>0</v>
      </c>
      <c r="D43" s="201">
        <f>+'Table 5C1A-Madison Prep'!D43</f>
        <v>5665.3839260317691</v>
      </c>
      <c r="E43" s="202">
        <f t="shared" si="8"/>
        <v>0</v>
      </c>
      <c r="F43" s="202">
        <f>+'Table 5C1A-Madison Prep'!F43</f>
        <v>653.61</v>
      </c>
      <c r="G43" s="202">
        <f t="shared" si="9"/>
        <v>0</v>
      </c>
      <c r="H43" s="345">
        <f t="shared" si="10"/>
        <v>0</v>
      </c>
      <c r="I43" s="203">
        <f>'[1]Oct midyear Willow'!K40</f>
        <v>0</v>
      </c>
      <c r="J43" s="203">
        <f>'[1]Feb midyear Willow'!K40</f>
        <v>0</v>
      </c>
      <c r="K43" s="204">
        <f t="shared" si="11"/>
        <v>0</v>
      </c>
      <c r="L43" s="345">
        <f t="shared" si="12"/>
        <v>0</v>
      </c>
      <c r="M43" s="286">
        <f t="shared" si="4"/>
        <v>0</v>
      </c>
      <c r="N43" s="345">
        <f t="shared" si="13"/>
        <v>0</v>
      </c>
      <c r="O43" s="201">
        <v>0</v>
      </c>
      <c r="P43" s="351">
        <f t="shared" si="14"/>
        <v>0</v>
      </c>
      <c r="Q43" s="203">
        <f>8*'[2]Table 5C1W-Willow'!S43</f>
        <v>0</v>
      </c>
      <c r="R43" s="203">
        <f t="shared" si="15"/>
        <v>0</v>
      </c>
      <c r="S43" s="351">
        <f t="shared" si="30"/>
        <v>0</v>
      </c>
      <c r="T43" s="351">
        <f t="shared" si="16"/>
        <v>0</v>
      </c>
      <c r="U43" s="287">
        <f>'Table 5C1A-Madison Prep'!U43</f>
        <v>3424</v>
      </c>
      <c r="V43" s="328">
        <f t="shared" si="17"/>
        <v>0</v>
      </c>
      <c r="W43" s="289">
        <f>'[1]Oct midyear Willow'!E40</f>
        <v>0</v>
      </c>
      <c r="X43" s="290">
        <f t="shared" si="18"/>
        <v>0</v>
      </c>
      <c r="Y43" s="289">
        <f>'[1]Feb midyear Willow'!E40</f>
        <v>0</v>
      </c>
      <c r="Z43" s="290">
        <f t="shared" si="19"/>
        <v>0</v>
      </c>
      <c r="AA43" s="288">
        <f t="shared" si="20"/>
        <v>0</v>
      </c>
      <c r="AB43" s="324">
        <f t="shared" si="21"/>
        <v>0</v>
      </c>
      <c r="AC43" s="292">
        <f t="shared" si="22"/>
        <v>0</v>
      </c>
      <c r="AD43" s="324">
        <f t="shared" si="23"/>
        <v>0</v>
      </c>
      <c r="AE43" s="293">
        <v>0</v>
      </c>
      <c r="AF43" s="324">
        <f t="shared" si="24"/>
        <v>0</v>
      </c>
      <c r="AG43" s="293">
        <f>8*'[2]Table 5C1W-Willow'!AI43</f>
        <v>0</v>
      </c>
      <c r="AH43" s="293">
        <f t="shared" si="25"/>
        <v>0</v>
      </c>
      <c r="AI43" s="324">
        <f t="shared" si="31"/>
        <v>0</v>
      </c>
      <c r="AJ43" s="321">
        <f t="shared" si="26"/>
        <v>0</v>
      </c>
      <c r="AK43" s="342">
        <f t="shared" si="27"/>
        <v>0</v>
      </c>
      <c r="AM43" s="286">
        <v>0</v>
      </c>
      <c r="AN43" s="286">
        <f t="shared" si="28"/>
        <v>0</v>
      </c>
      <c r="AO43" s="286">
        <f t="shared" si="29"/>
        <v>0</v>
      </c>
    </row>
    <row r="44" spans="1:41" ht="16.149999999999999" customHeight="1">
      <c r="A44" s="198">
        <v>38</v>
      </c>
      <c r="B44" s="199" t="s">
        <v>110</v>
      </c>
      <c r="C44" s="995">
        <v>0</v>
      </c>
      <c r="D44" s="201">
        <f>+'Table 5C1A-Madison Prep'!D44</f>
        <v>2088.8017552916881</v>
      </c>
      <c r="E44" s="202">
        <f t="shared" si="8"/>
        <v>0</v>
      </c>
      <c r="F44" s="202">
        <f>+'Table 5C1A-Madison Prep'!F44</f>
        <v>829.92000000000007</v>
      </c>
      <c r="G44" s="202">
        <f t="shared" si="9"/>
        <v>0</v>
      </c>
      <c r="H44" s="345">
        <f t="shared" si="10"/>
        <v>0</v>
      </c>
      <c r="I44" s="203">
        <f>'[1]Oct midyear Willow'!K41</f>
        <v>0</v>
      </c>
      <c r="J44" s="203">
        <f>'[1]Feb midyear Willow'!K41</f>
        <v>0</v>
      </c>
      <c r="K44" s="204">
        <f t="shared" si="11"/>
        <v>0</v>
      </c>
      <c r="L44" s="345">
        <f t="shared" si="12"/>
        <v>0</v>
      </c>
      <c r="M44" s="286">
        <f t="shared" si="4"/>
        <v>0</v>
      </c>
      <c r="N44" s="345">
        <f t="shared" si="13"/>
        <v>0</v>
      </c>
      <c r="O44" s="201">
        <v>0</v>
      </c>
      <c r="P44" s="351">
        <f t="shared" si="14"/>
        <v>0</v>
      </c>
      <c r="Q44" s="203">
        <f>8*'[2]Table 5C1W-Willow'!S44</f>
        <v>0</v>
      </c>
      <c r="R44" s="203">
        <f t="shared" si="15"/>
        <v>0</v>
      </c>
      <c r="S44" s="351">
        <f t="shared" si="30"/>
        <v>0</v>
      </c>
      <c r="T44" s="351">
        <f t="shared" si="16"/>
        <v>0</v>
      </c>
      <c r="U44" s="287">
        <f>'Table 5C1A-Madison Prep'!U44</f>
        <v>11060</v>
      </c>
      <c r="V44" s="328">
        <f t="shared" si="17"/>
        <v>0</v>
      </c>
      <c r="W44" s="289">
        <f>'[1]Oct midyear Willow'!E41</f>
        <v>0</v>
      </c>
      <c r="X44" s="290">
        <f t="shared" si="18"/>
        <v>0</v>
      </c>
      <c r="Y44" s="289">
        <f>'[1]Feb midyear Willow'!E41</f>
        <v>0</v>
      </c>
      <c r="Z44" s="290">
        <f t="shared" si="19"/>
        <v>0</v>
      </c>
      <c r="AA44" s="288">
        <f t="shared" si="20"/>
        <v>0</v>
      </c>
      <c r="AB44" s="324">
        <f t="shared" si="21"/>
        <v>0</v>
      </c>
      <c r="AC44" s="292">
        <f t="shared" si="22"/>
        <v>0</v>
      </c>
      <c r="AD44" s="324">
        <f t="shared" si="23"/>
        <v>0</v>
      </c>
      <c r="AE44" s="293">
        <v>0</v>
      </c>
      <c r="AF44" s="324">
        <f t="shared" si="24"/>
        <v>0</v>
      </c>
      <c r="AG44" s="293">
        <f>8*'[2]Table 5C1W-Willow'!AI44</f>
        <v>0</v>
      </c>
      <c r="AH44" s="293">
        <f t="shared" si="25"/>
        <v>0</v>
      </c>
      <c r="AI44" s="324">
        <f t="shared" si="31"/>
        <v>0</v>
      </c>
      <c r="AJ44" s="321">
        <f t="shared" si="26"/>
        <v>0</v>
      </c>
      <c r="AK44" s="342">
        <f t="shared" si="27"/>
        <v>0</v>
      </c>
      <c r="AM44" s="286">
        <v>0</v>
      </c>
      <c r="AN44" s="286">
        <f t="shared" si="28"/>
        <v>0</v>
      </c>
      <c r="AO44" s="286">
        <f t="shared" si="29"/>
        <v>0</v>
      </c>
    </row>
    <row r="45" spans="1:41" ht="16.149999999999999" customHeight="1">
      <c r="A45" s="198">
        <v>39</v>
      </c>
      <c r="B45" s="199" t="s">
        <v>111</v>
      </c>
      <c r="C45" s="995">
        <v>0</v>
      </c>
      <c r="D45" s="201">
        <f>+'Table 5C1A-Madison Prep'!D45</f>
        <v>3656.9056809295676</v>
      </c>
      <c r="E45" s="202">
        <f t="shared" si="8"/>
        <v>0</v>
      </c>
      <c r="F45" s="202">
        <f>+'Table 5C1A-Madison Prep'!F45</f>
        <v>779.65573042776396</v>
      </c>
      <c r="G45" s="202">
        <f t="shared" si="9"/>
        <v>0</v>
      </c>
      <c r="H45" s="345">
        <f t="shared" si="10"/>
        <v>0</v>
      </c>
      <c r="I45" s="203">
        <f>'[1]Oct midyear Willow'!K42</f>
        <v>0</v>
      </c>
      <c r="J45" s="203">
        <f>'[1]Feb midyear Willow'!K42</f>
        <v>0</v>
      </c>
      <c r="K45" s="204">
        <f t="shared" si="11"/>
        <v>0</v>
      </c>
      <c r="L45" s="345">
        <f t="shared" si="12"/>
        <v>0</v>
      </c>
      <c r="M45" s="286">
        <f t="shared" si="4"/>
        <v>0</v>
      </c>
      <c r="N45" s="345">
        <f t="shared" si="13"/>
        <v>0</v>
      </c>
      <c r="O45" s="201">
        <v>0</v>
      </c>
      <c r="P45" s="351">
        <f t="shared" si="14"/>
        <v>0</v>
      </c>
      <c r="Q45" s="203">
        <f>8*'[2]Table 5C1W-Willow'!S45</f>
        <v>0</v>
      </c>
      <c r="R45" s="203">
        <f t="shared" si="15"/>
        <v>0</v>
      </c>
      <c r="S45" s="351">
        <f t="shared" si="30"/>
        <v>0</v>
      </c>
      <c r="T45" s="351">
        <f t="shared" si="16"/>
        <v>0</v>
      </c>
      <c r="U45" s="287">
        <f>'Table 5C1A-Madison Prep'!U45</f>
        <v>4922</v>
      </c>
      <c r="V45" s="328">
        <f t="shared" si="17"/>
        <v>0</v>
      </c>
      <c r="W45" s="289">
        <f>'[1]Oct midyear Willow'!E42</f>
        <v>0</v>
      </c>
      <c r="X45" s="290">
        <f t="shared" si="18"/>
        <v>0</v>
      </c>
      <c r="Y45" s="289">
        <f>'[1]Feb midyear Willow'!E42</f>
        <v>0</v>
      </c>
      <c r="Z45" s="290">
        <f t="shared" si="19"/>
        <v>0</v>
      </c>
      <c r="AA45" s="288">
        <f t="shared" si="20"/>
        <v>0</v>
      </c>
      <c r="AB45" s="324">
        <f t="shared" si="21"/>
        <v>0</v>
      </c>
      <c r="AC45" s="292">
        <f t="shared" si="22"/>
        <v>0</v>
      </c>
      <c r="AD45" s="324">
        <f t="shared" si="23"/>
        <v>0</v>
      </c>
      <c r="AE45" s="293">
        <v>0</v>
      </c>
      <c r="AF45" s="324">
        <f t="shared" si="24"/>
        <v>0</v>
      </c>
      <c r="AG45" s="293">
        <f>8*'[2]Table 5C1W-Willow'!AI45</f>
        <v>0</v>
      </c>
      <c r="AH45" s="293">
        <f t="shared" si="25"/>
        <v>0</v>
      </c>
      <c r="AI45" s="324">
        <f t="shared" si="31"/>
        <v>0</v>
      </c>
      <c r="AJ45" s="321">
        <f t="shared" si="26"/>
        <v>0</v>
      </c>
      <c r="AK45" s="342">
        <f t="shared" si="27"/>
        <v>0</v>
      </c>
      <c r="AM45" s="286">
        <v>0</v>
      </c>
      <c r="AN45" s="286">
        <f t="shared" si="28"/>
        <v>0</v>
      </c>
      <c r="AO45" s="286">
        <f t="shared" si="29"/>
        <v>0</v>
      </c>
    </row>
    <row r="46" spans="1:41" ht="16.149999999999999" customHeight="1">
      <c r="A46" s="191">
        <v>40</v>
      </c>
      <c r="B46" s="192" t="s">
        <v>112</v>
      </c>
      <c r="C46" s="996">
        <v>0</v>
      </c>
      <c r="D46" s="194">
        <f>+'Table 5C1A-Madison Prep'!D46</f>
        <v>5121.8110285698403</v>
      </c>
      <c r="E46" s="195">
        <f t="shared" si="8"/>
        <v>0</v>
      </c>
      <c r="F46" s="195">
        <f>+'Table 5C1A-Madison Prep'!F46</f>
        <v>700.2700000000001</v>
      </c>
      <c r="G46" s="195">
        <f t="shared" si="9"/>
        <v>0</v>
      </c>
      <c r="H46" s="346">
        <f t="shared" si="10"/>
        <v>0</v>
      </c>
      <c r="I46" s="196">
        <f>'[1]Oct midyear Willow'!K43</f>
        <v>0</v>
      </c>
      <c r="J46" s="196">
        <f>'[1]Feb midyear Willow'!K43</f>
        <v>0</v>
      </c>
      <c r="K46" s="197">
        <f t="shared" si="11"/>
        <v>0</v>
      </c>
      <c r="L46" s="346">
        <f t="shared" si="12"/>
        <v>0</v>
      </c>
      <c r="M46" s="296">
        <f t="shared" si="4"/>
        <v>0</v>
      </c>
      <c r="N46" s="346">
        <f t="shared" si="13"/>
        <v>0</v>
      </c>
      <c r="O46" s="194">
        <v>0</v>
      </c>
      <c r="P46" s="352">
        <f t="shared" si="14"/>
        <v>0</v>
      </c>
      <c r="Q46" s="196">
        <f>8*'[2]Table 5C1W-Willow'!S46</f>
        <v>0</v>
      </c>
      <c r="R46" s="196">
        <f t="shared" si="15"/>
        <v>0</v>
      </c>
      <c r="S46" s="352">
        <f t="shared" si="30"/>
        <v>0</v>
      </c>
      <c r="T46" s="352">
        <f t="shared" si="16"/>
        <v>0</v>
      </c>
      <c r="U46" s="281">
        <f>'Table 5C1A-Madison Prep'!U46</f>
        <v>3152</v>
      </c>
      <c r="V46" s="329">
        <f t="shared" si="17"/>
        <v>0</v>
      </c>
      <c r="W46" s="884">
        <f>'[1]Oct midyear Willow'!E43</f>
        <v>0</v>
      </c>
      <c r="X46" s="282">
        <f t="shared" si="18"/>
        <v>0</v>
      </c>
      <c r="Y46" s="884">
        <f>'[1]Feb midyear Willow'!E43</f>
        <v>0</v>
      </c>
      <c r="Z46" s="282">
        <f t="shared" si="19"/>
        <v>0</v>
      </c>
      <c r="AA46" s="283">
        <f t="shared" si="20"/>
        <v>0</v>
      </c>
      <c r="AB46" s="325">
        <f t="shared" si="21"/>
        <v>0</v>
      </c>
      <c r="AC46" s="298">
        <f t="shared" si="22"/>
        <v>0</v>
      </c>
      <c r="AD46" s="325">
        <f t="shared" si="23"/>
        <v>0</v>
      </c>
      <c r="AE46" s="284">
        <v>0</v>
      </c>
      <c r="AF46" s="325">
        <f t="shared" si="24"/>
        <v>0</v>
      </c>
      <c r="AG46" s="284">
        <f>8*'[2]Table 5C1W-Willow'!AI46</f>
        <v>0</v>
      </c>
      <c r="AH46" s="284">
        <f t="shared" si="25"/>
        <v>0</v>
      </c>
      <c r="AI46" s="325">
        <f t="shared" si="31"/>
        <v>0</v>
      </c>
      <c r="AJ46" s="338">
        <f t="shared" si="26"/>
        <v>0</v>
      </c>
      <c r="AK46" s="343">
        <f t="shared" si="27"/>
        <v>0</v>
      </c>
      <c r="AM46" s="296">
        <v>0</v>
      </c>
      <c r="AN46" s="296">
        <f t="shared" si="28"/>
        <v>0</v>
      </c>
      <c r="AO46" s="296">
        <f t="shared" si="29"/>
        <v>0</v>
      </c>
    </row>
    <row r="47" spans="1:41" ht="16.149999999999999" customHeight="1">
      <c r="A47" s="205">
        <v>41</v>
      </c>
      <c r="B47" s="206" t="s">
        <v>113</v>
      </c>
      <c r="C47" s="994">
        <v>0</v>
      </c>
      <c r="D47" s="208">
        <f>+'Table 5C1A-Madison Prep'!D47</f>
        <v>3291.1948574716475</v>
      </c>
      <c r="E47" s="209">
        <f t="shared" si="8"/>
        <v>0</v>
      </c>
      <c r="F47" s="209">
        <f>+'Table 5C1A-Madison Prep'!F47</f>
        <v>886.22</v>
      </c>
      <c r="G47" s="209">
        <f t="shared" si="9"/>
        <v>0</v>
      </c>
      <c r="H47" s="344">
        <f t="shared" si="10"/>
        <v>0</v>
      </c>
      <c r="I47" s="210">
        <f>'[1]Oct midyear Willow'!K44</f>
        <v>0</v>
      </c>
      <c r="J47" s="210">
        <f>'[1]Feb midyear Willow'!K44</f>
        <v>0</v>
      </c>
      <c r="K47" s="211">
        <f t="shared" si="11"/>
        <v>0</v>
      </c>
      <c r="L47" s="344">
        <f t="shared" si="12"/>
        <v>0</v>
      </c>
      <c r="M47" s="273">
        <f t="shared" si="4"/>
        <v>0</v>
      </c>
      <c r="N47" s="344">
        <f t="shared" si="13"/>
        <v>0</v>
      </c>
      <c r="O47" s="208">
        <v>0</v>
      </c>
      <c r="P47" s="350">
        <f t="shared" si="14"/>
        <v>0</v>
      </c>
      <c r="Q47" s="210">
        <f>8*'[2]Table 5C1W-Willow'!S47</f>
        <v>0</v>
      </c>
      <c r="R47" s="210">
        <f t="shared" si="15"/>
        <v>0</v>
      </c>
      <c r="S47" s="350">
        <f t="shared" si="30"/>
        <v>0</v>
      </c>
      <c r="T47" s="350">
        <f t="shared" si="16"/>
        <v>0</v>
      </c>
      <c r="U47" s="274">
        <f>'Table 5C1A-Madison Prep'!U47</f>
        <v>9422</v>
      </c>
      <c r="V47" s="327">
        <f t="shared" si="17"/>
        <v>0</v>
      </c>
      <c r="W47" s="883">
        <f>'[1]Oct midyear Willow'!E44</f>
        <v>0</v>
      </c>
      <c r="X47" s="276">
        <f t="shared" si="18"/>
        <v>0</v>
      </c>
      <c r="Y47" s="883">
        <f>'[1]Feb midyear Willow'!E44</f>
        <v>0</v>
      </c>
      <c r="Z47" s="276">
        <f t="shared" si="19"/>
        <v>0</v>
      </c>
      <c r="AA47" s="275">
        <f t="shared" si="20"/>
        <v>0</v>
      </c>
      <c r="AB47" s="323">
        <f t="shared" si="21"/>
        <v>0</v>
      </c>
      <c r="AC47" s="278">
        <f t="shared" si="22"/>
        <v>0</v>
      </c>
      <c r="AD47" s="323">
        <f t="shared" si="23"/>
        <v>0</v>
      </c>
      <c r="AE47" s="279">
        <v>0</v>
      </c>
      <c r="AF47" s="323">
        <f t="shared" si="24"/>
        <v>0</v>
      </c>
      <c r="AG47" s="279">
        <f>8*'[2]Table 5C1W-Willow'!AI47</f>
        <v>0</v>
      </c>
      <c r="AH47" s="279">
        <f t="shared" si="25"/>
        <v>0</v>
      </c>
      <c r="AI47" s="323">
        <f t="shared" si="31"/>
        <v>0</v>
      </c>
      <c r="AJ47" s="337">
        <f t="shared" si="26"/>
        <v>0</v>
      </c>
      <c r="AK47" s="341">
        <f t="shared" si="27"/>
        <v>0</v>
      </c>
      <c r="AM47" s="273">
        <v>0</v>
      </c>
      <c r="AN47" s="273">
        <f t="shared" si="28"/>
        <v>0</v>
      </c>
      <c r="AO47" s="273">
        <f t="shared" si="29"/>
        <v>0</v>
      </c>
    </row>
    <row r="48" spans="1:41" ht="16.149999999999999" customHeight="1">
      <c r="A48" s="198">
        <v>42</v>
      </c>
      <c r="B48" s="199" t="s">
        <v>114</v>
      </c>
      <c r="C48" s="995">
        <v>0</v>
      </c>
      <c r="D48" s="201">
        <f>+'Table 5C1A-Madison Prep'!D48</f>
        <v>5113.6077751368684</v>
      </c>
      <c r="E48" s="202">
        <f t="shared" si="8"/>
        <v>0</v>
      </c>
      <c r="F48" s="202">
        <f>+'Table 5C1A-Madison Prep'!F48</f>
        <v>534.28</v>
      </c>
      <c r="G48" s="202">
        <f t="shared" si="9"/>
        <v>0</v>
      </c>
      <c r="H48" s="345">
        <f t="shared" si="10"/>
        <v>0</v>
      </c>
      <c r="I48" s="203">
        <f>'[1]Oct midyear Willow'!K45</f>
        <v>0</v>
      </c>
      <c r="J48" s="203">
        <f>'[1]Feb midyear Willow'!K45</f>
        <v>0</v>
      </c>
      <c r="K48" s="204">
        <f t="shared" si="11"/>
        <v>0</v>
      </c>
      <c r="L48" s="345">
        <f t="shared" si="12"/>
        <v>0</v>
      </c>
      <c r="M48" s="286">
        <f t="shared" si="4"/>
        <v>0</v>
      </c>
      <c r="N48" s="345">
        <f t="shared" si="13"/>
        <v>0</v>
      </c>
      <c r="O48" s="201">
        <v>0</v>
      </c>
      <c r="P48" s="351">
        <f t="shared" si="14"/>
        <v>0</v>
      </c>
      <c r="Q48" s="203">
        <f>8*'[2]Table 5C1W-Willow'!S48</f>
        <v>0</v>
      </c>
      <c r="R48" s="203">
        <f t="shared" si="15"/>
        <v>0</v>
      </c>
      <c r="S48" s="351">
        <f t="shared" si="30"/>
        <v>0</v>
      </c>
      <c r="T48" s="351">
        <f t="shared" si="16"/>
        <v>0</v>
      </c>
      <c r="U48" s="287">
        <f>'Table 5C1A-Madison Prep'!U48</f>
        <v>3415</v>
      </c>
      <c r="V48" s="328">
        <f t="shared" si="17"/>
        <v>0</v>
      </c>
      <c r="W48" s="289">
        <f>'[1]Oct midyear Willow'!E45</f>
        <v>0</v>
      </c>
      <c r="X48" s="290">
        <f t="shared" si="18"/>
        <v>0</v>
      </c>
      <c r="Y48" s="289">
        <f>'[1]Feb midyear Willow'!E45</f>
        <v>0</v>
      </c>
      <c r="Z48" s="290">
        <f t="shared" si="19"/>
        <v>0</v>
      </c>
      <c r="AA48" s="288">
        <f t="shared" si="20"/>
        <v>0</v>
      </c>
      <c r="AB48" s="324">
        <f t="shared" si="21"/>
        <v>0</v>
      </c>
      <c r="AC48" s="292">
        <f t="shared" si="22"/>
        <v>0</v>
      </c>
      <c r="AD48" s="324">
        <f t="shared" si="23"/>
        <v>0</v>
      </c>
      <c r="AE48" s="293">
        <v>0</v>
      </c>
      <c r="AF48" s="324">
        <f t="shared" si="24"/>
        <v>0</v>
      </c>
      <c r="AG48" s="293">
        <f>8*'[2]Table 5C1W-Willow'!AI48</f>
        <v>0</v>
      </c>
      <c r="AH48" s="293">
        <f t="shared" si="25"/>
        <v>0</v>
      </c>
      <c r="AI48" s="324">
        <f t="shared" si="31"/>
        <v>0</v>
      </c>
      <c r="AJ48" s="321">
        <f t="shared" si="26"/>
        <v>0</v>
      </c>
      <c r="AK48" s="342">
        <f t="shared" si="27"/>
        <v>0</v>
      </c>
      <c r="AM48" s="286">
        <v>0</v>
      </c>
      <c r="AN48" s="286">
        <f t="shared" si="28"/>
        <v>0</v>
      </c>
      <c r="AO48" s="286">
        <f t="shared" si="29"/>
        <v>0</v>
      </c>
    </row>
    <row r="49" spans="1:41" ht="16.149999999999999" customHeight="1">
      <c r="A49" s="198">
        <v>43</v>
      </c>
      <c r="B49" s="199" t="s">
        <v>115</v>
      </c>
      <c r="C49" s="995">
        <v>0</v>
      </c>
      <c r="D49" s="201">
        <f>+'Table 5C1A-Madison Prep'!D49</f>
        <v>5788.74387205947</v>
      </c>
      <c r="E49" s="202">
        <f t="shared" si="8"/>
        <v>0</v>
      </c>
      <c r="F49" s="202">
        <f>+'Table 5C1A-Madison Prep'!F49</f>
        <v>574.6099999999999</v>
      </c>
      <c r="G49" s="202">
        <f t="shared" si="9"/>
        <v>0</v>
      </c>
      <c r="H49" s="345">
        <f t="shared" si="10"/>
        <v>0</v>
      </c>
      <c r="I49" s="203">
        <f>'[1]Oct midyear Willow'!K46</f>
        <v>0</v>
      </c>
      <c r="J49" s="203">
        <f>'[1]Feb midyear Willow'!K46</f>
        <v>0</v>
      </c>
      <c r="K49" s="204">
        <f t="shared" si="11"/>
        <v>0</v>
      </c>
      <c r="L49" s="345">
        <f t="shared" si="12"/>
        <v>0</v>
      </c>
      <c r="M49" s="286">
        <f t="shared" si="4"/>
        <v>0</v>
      </c>
      <c r="N49" s="345">
        <f t="shared" si="13"/>
        <v>0</v>
      </c>
      <c r="O49" s="201">
        <v>0</v>
      </c>
      <c r="P49" s="351">
        <f t="shared" si="14"/>
        <v>0</v>
      </c>
      <c r="Q49" s="203">
        <f>8*'[2]Table 5C1W-Willow'!S49</f>
        <v>0</v>
      </c>
      <c r="R49" s="203">
        <f t="shared" si="15"/>
        <v>0</v>
      </c>
      <c r="S49" s="351">
        <f t="shared" si="30"/>
        <v>0</v>
      </c>
      <c r="T49" s="351">
        <f t="shared" si="16"/>
        <v>0</v>
      </c>
      <c r="U49" s="287">
        <f>'Table 5C1A-Madison Prep'!U49</f>
        <v>3334</v>
      </c>
      <c r="V49" s="328">
        <f t="shared" si="17"/>
        <v>0</v>
      </c>
      <c r="W49" s="289">
        <f>'[1]Oct midyear Willow'!E46</f>
        <v>0</v>
      </c>
      <c r="X49" s="290">
        <f t="shared" si="18"/>
        <v>0</v>
      </c>
      <c r="Y49" s="289">
        <f>'[1]Feb midyear Willow'!E46</f>
        <v>0</v>
      </c>
      <c r="Z49" s="290">
        <f t="shared" si="19"/>
        <v>0</v>
      </c>
      <c r="AA49" s="288">
        <f t="shared" si="20"/>
        <v>0</v>
      </c>
      <c r="AB49" s="324">
        <f t="shared" si="21"/>
        <v>0</v>
      </c>
      <c r="AC49" s="292">
        <f t="shared" si="22"/>
        <v>0</v>
      </c>
      <c r="AD49" s="324">
        <f t="shared" si="23"/>
        <v>0</v>
      </c>
      <c r="AE49" s="293">
        <v>0</v>
      </c>
      <c r="AF49" s="324">
        <f t="shared" si="24"/>
        <v>0</v>
      </c>
      <c r="AG49" s="293">
        <f>8*'[2]Table 5C1W-Willow'!AI49</f>
        <v>0</v>
      </c>
      <c r="AH49" s="293">
        <f t="shared" si="25"/>
        <v>0</v>
      </c>
      <c r="AI49" s="324">
        <f t="shared" si="31"/>
        <v>0</v>
      </c>
      <c r="AJ49" s="321">
        <f t="shared" si="26"/>
        <v>0</v>
      </c>
      <c r="AK49" s="342">
        <f t="shared" si="27"/>
        <v>0</v>
      </c>
      <c r="AM49" s="286">
        <v>0</v>
      </c>
      <c r="AN49" s="286">
        <f t="shared" si="28"/>
        <v>0</v>
      </c>
      <c r="AO49" s="286">
        <f t="shared" si="29"/>
        <v>0</v>
      </c>
    </row>
    <row r="50" spans="1:41" ht="16.149999999999999" customHeight="1">
      <c r="A50" s="198">
        <v>44</v>
      </c>
      <c r="B50" s="199" t="s">
        <v>116</v>
      </c>
      <c r="C50" s="995">
        <v>0</v>
      </c>
      <c r="D50" s="201">
        <f>+'Table 5C1A-Madison Prep'!D50</f>
        <v>4897.5958151820359</v>
      </c>
      <c r="E50" s="202">
        <f t="shared" si="8"/>
        <v>0</v>
      </c>
      <c r="F50" s="202">
        <f>+'Table 5C1A-Madison Prep'!F50</f>
        <v>663.16000000000008</v>
      </c>
      <c r="G50" s="202">
        <f t="shared" si="9"/>
        <v>0</v>
      </c>
      <c r="H50" s="345">
        <f t="shared" si="10"/>
        <v>0</v>
      </c>
      <c r="I50" s="203">
        <f>'[1]Oct midyear Willow'!K47</f>
        <v>0</v>
      </c>
      <c r="J50" s="203">
        <f>'[1]Feb midyear Willow'!K47</f>
        <v>0</v>
      </c>
      <c r="K50" s="204">
        <f t="shared" si="11"/>
        <v>0</v>
      </c>
      <c r="L50" s="345">
        <f t="shared" si="12"/>
        <v>0</v>
      </c>
      <c r="M50" s="286">
        <f t="shared" si="4"/>
        <v>0</v>
      </c>
      <c r="N50" s="345">
        <f t="shared" si="13"/>
        <v>0</v>
      </c>
      <c r="O50" s="201">
        <v>0</v>
      </c>
      <c r="P50" s="351">
        <f t="shared" si="14"/>
        <v>0</v>
      </c>
      <c r="Q50" s="203">
        <f>8*'[2]Table 5C1W-Willow'!S50</f>
        <v>0</v>
      </c>
      <c r="R50" s="203">
        <f t="shared" si="15"/>
        <v>0</v>
      </c>
      <c r="S50" s="351">
        <f t="shared" si="30"/>
        <v>0</v>
      </c>
      <c r="T50" s="351">
        <f t="shared" si="16"/>
        <v>0</v>
      </c>
      <c r="U50" s="287">
        <f>'Table 5C1A-Madison Prep'!U50</f>
        <v>3587</v>
      </c>
      <c r="V50" s="328">
        <f t="shared" si="17"/>
        <v>0</v>
      </c>
      <c r="W50" s="289">
        <f>'[1]Oct midyear Willow'!E47</f>
        <v>0</v>
      </c>
      <c r="X50" s="290">
        <f t="shared" si="18"/>
        <v>0</v>
      </c>
      <c r="Y50" s="289">
        <f>'[1]Feb midyear Willow'!E47</f>
        <v>0</v>
      </c>
      <c r="Z50" s="290">
        <f t="shared" si="19"/>
        <v>0</v>
      </c>
      <c r="AA50" s="288">
        <f t="shared" si="20"/>
        <v>0</v>
      </c>
      <c r="AB50" s="324">
        <f t="shared" si="21"/>
        <v>0</v>
      </c>
      <c r="AC50" s="292">
        <f t="shared" si="22"/>
        <v>0</v>
      </c>
      <c r="AD50" s="324">
        <f t="shared" si="23"/>
        <v>0</v>
      </c>
      <c r="AE50" s="293">
        <v>0</v>
      </c>
      <c r="AF50" s="324">
        <f t="shared" si="24"/>
        <v>0</v>
      </c>
      <c r="AG50" s="293">
        <f>8*'[2]Table 5C1W-Willow'!AI50</f>
        <v>0</v>
      </c>
      <c r="AH50" s="293">
        <f t="shared" si="25"/>
        <v>0</v>
      </c>
      <c r="AI50" s="324">
        <f t="shared" si="31"/>
        <v>0</v>
      </c>
      <c r="AJ50" s="321">
        <f t="shared" si="26"/>
        <v>0</v>
      </c>
      <c r="AK50" s="342">
        <f t="shared" si="27"/>
        <v>0</v>
      </c>
      <c r="AM50" s="286">
        <v>0</v>
      </c>
      <c r="AN50" s="286">
        <f t="shared" si="28"/>
        <v>0</v>
      </c>
      <c r="AO50" s="286">
        <f t="shared" si="29"/>
        <v>0</v>
      </c>
    </row>
    <row r="51" spans="1:41" ht="16.149999999999999" customHeight="1">
      <c r="A51" s="191">
        <v>45</v>
      </c>
      <c r="B51" s="192" t="s">
        <v>117</v>
      </c>
      <c r="C51" s="996">
        <v>0</v>
      </c>
      <c r="D51" s="194">
        <f>+'Table 5C1A-Madison Prep'!D51</f>
        <v>2054.0472499469101</v>
      </c>
      <c r="E51" s="195">
        <f t="shared" si="8"/>
        <v>0</v>
      </c>
      <c r="F51" s="195">
        <f>+'Table 5C1A-Madison Prep'!F51</f>
        <v>753.96000000000015</v>
      </c>
      <c r="G51" s="195">
        <f t="shared" si="9"/>
        <v>0</v>
      </c>
      <c r="H51" s="346">
        <f t="shared" si="10"/>
        <v>0</v>
      </c>
      <c r="I51" s="196">
        <f>'[1]Oct midyear Willow'!K48</f>
        <v>0</v>
      </c>
      <c r="J51" s="196">
        <f>'[1]Feb midyear Willow'!K48</f>
        <v>0</v>
      </c>
      <c r="K51" s="197">
        <f t="shared" si="11"/>
        <v>0</v>
      </c>
      <c r="L51" s="346">
        <f t="shared" si="12"/>
        <v>0</v>
      </c>
      <c r="M51" s="296">
        <f t="shared" si="4"/>
        <v>0</v>
      </c>
      <c r="N51" s="346">
        <f t="shared" si="13"/>
        <v>0</v>
      </c>
      <c r="O51" s="194">
        <v>0</v>
      </c>
      <c r="P51" s="352">
        <f t="shared" si="14"/>
        <v>0</v>
      </c>
      <c r="Q51" s="196">
        <f>8*'[2]Table 5C1W-Willow'!S51</f>
        <v>0</v>
      </c>
      <c r="R51" s="196">
        <f t="shared" si="15"/>
        <v>0</v>
      </c>
      <c r="S51" s="352">
        <f t="shared" si="30"/>
        <v>0</v>
      </c>
      <c r="T51" s="352">
        <f t="shared" si="16"/>
        <v>0</v>
      </c>
      <c r="U51" s="281">
        <f>'Table 5C1A-Madison Prep'!U51</f>
        <v>12134</v>
      </c>
      <c r="V51" s="329">
        <f t="shared" si="17"/>
        <v>0</v>
      </c>
      <c r="W51" s="884">
        <f>'[1]Oct midyear Willow'!E48</f>
        <v>0</v>
      </c>
      <c r="X51" s="282">
        <f t="shared" si="18"/>
        <v>0</v>
      </c>
      <c r="Y51" s="884">
        <f>'[1]Feb midyear Willow'!E48</f>
        <v>0</v>
      </c>
      <c r="Z51" s="282">
        <f t="shared" si="19"/>
        <v>0</v>
      </c>
      <c r="AA51" s="283">
        <f t="shared" si="20"/>
        <v>0</v>
      </c>
      <c r="AB51" s="325">
        <f t="shared" si="21"/>
        <v>0</v>
      </c>
      <c r="AC51" s="298">
        <f t="shared" si="22"/>
        <v>0</v>
      </c>
      <c r="AD51" s="325">
        <f t="shared" si="23"/>
        <v>0</v>
      </c>
      <c r="AE51" s="284">
        <v>0</v>
      </c>
      <c r="AF51" s="325">
        <f t="shared" si="24"/>
        <v>0</v>
      </c>
      <c r="AG51" s="284">
        <f>8*'[2]Table 5C1W-Willow'!AI51</f>
        <v>0</v>
      </c>
      <c r="AH51" s="284">
        <f t="shared" si="25"/>
        <v>0</v>
      </c>
      <c r="AI51" s="325">
        <f t="shared" si="31"/>
        <v>0</v>
      </c>
      <c r="AJ51" s="338">
        <f t="shared" si="26"/>
        <v>0</v>
      </c>
      <c r="AK51" s="343">
        <f t="shared" si="27"/>
        <v>0</v>
      </c>
      <c r="AM51" s="296">
        <v>0</v>
      </c>
      <c r="AN51" s="296">
        <f t="shared" si="28"/>
        <v>0</v>
      </c>
      <c r="AO51" s="296">
        <f t="shared" si="29"/>
        <v>0</v>
      </c>
    </row>
    <row r="52" spans="1:41" ht="16.149999999999999" customHeight="1">
      <c r="A52" s="205">
        <v>46</v>
      </c>
      <c r="B52" s="206" t="s">
        <v>118</v>
      </c>
      <c r="C52" s="994">
        <v>0</v>
      </c>
      <c r="D52" s="208">
        <f>+'Table 5C1A-Madison Prep'!D52</f>
        <v>6051.2144468088381</v>
      </c>
      <c r="E52" s="209">
        <f t="shared" si="8"/>
        <v>0</v>
      </c>
      <c r="F52" s="209">
        <f>+'Table 5C1A-Madison Prep'!F52</f>
        <v>728.06</v>
      </c>
      <c r="G52" s="209">
        <f t="shared" si="9"/>
        <v>0</v>
      </c>
      <c r="H52" s="344">
        <f t="shared" si="10"/>
        <v>0</v>
      </c>
      <c r="I52" s="210">
        <f>'[1]Oct midyear Willow'!K49</f>
        <v>0</v>
      </c>
      <c r="J52" s="210">
        <f>'[1]Feb midyear Willow'!K49</f>
        <v>0</v>
      </c>
      <c r="K52" s="211">
        <f t="shared" si="11"/>
        <v>0</v>
      </c>
      <c r="L52" s="344">
        <f t="shared" si="12"/>
        <v>0</v>
      </c>
      <c r="M52" s="273">
        <f t="shared" si="4"/>
        <v>0</v>
      </c>
      <c r="N52" s="344">
        <f t="shared" si="13"/>
        <v>0</v>
      </c>
      <c r="O52" s="208">
        <v>0</v>
      </c>
      <c r="P52" s="350">
        <f t="shared" si="14"/>
        <v>0</v>
      </c>
      <c r="Q52" s="210">
        <f>8*'[2]Table 5C1W-Willow'!S52</f>
        <v>0</v>
      </c>
      <c r="R52" s="210">
        <f t="shared" si="15"/>
        <v>0</v>
      </c>
      <c r="S52" s="350">
        <f t="shared" si="30"/>
        <v>0</v>
      </c>
      <c r="T52" s="350">
        <f t="shared" si="16"/>
        <v>0</v>
      </c>
      <c r="U52" s="274">
        <f>'Table 5C1A-Madison Prep'!U52</f>
        <v>2554</v>
      </c>
      <c r="V52" s="327">
        <f t="shared" si="17"/>
        <v>0</v>
      </c>
      <c r="W52" s="883">
        <f>'[1]Oct midyear Willow'!E49</f>
        <v>0</v>
      </c>
      <c r="X52" s="276">
        <f t="shared" si="18"/>
        <v>0</v>
      </c>
      <c r="Y52" s="883">
        <f>'[1]Feb midyear Willow'!E49</f>
        <v>0</v>
      </c>
      <c r="Z52" s="276">
        <f t="shared" si="19"/>
        <v>0</v>
      </c>
      <c r="AA52" s="275">
        <f t="shared" si="20"/>
        <v>0</v>
      </c>
      <c r="AB52" s="323">
        <f t="shared" si="21"/>
        <v>0</v>
      </c>
      <c r="AC52" s="278">
        <f t="shared" si="22"/>
        <v>0</v>
      </c>
      <c r="AD52" s="323">
        <f t="shared" si="23"/>
        <v>0</v>
      </c>
      <c r="AE52" s="279">
        <v>0</v>
      </c>
      <c r="AF52" s="323">
        <f t="shared" si="24"/>
        <v>0</v>
      </c>
      <c r="AG52" s="279">
        <f>8*'[2]Table 5C1W-Willow'!AI52</f>
        <v>0</v>
      </c>
      <c r="AH52" s="279">
        <f t="shared" si="25"/>
        <v>0</v>
      </c>
      <c r="AI52" s="323">
        <f t="shared" si="31"/>
        <v>0</v>
      </c>
      <c r="AJ52" s="337">
        <f t="shared" si="26"/>
        <v>0</v>
      </c>
      <c r="AK52" s="341">
        <f t="shared" si="27"/>
        <v>0</v>
      </c>
      <c r="AM52" s="273">
        <v>0</v>
      </c>
      <c r="AN52" s="273">
        <f t="shared" si="28"/>
        <v>0</v>
      </c>
      <c r="AO52" s="273">
        <f t="shared" si="29"/>
        <v>0</v>
      </c>
    </row>
    <row r="53" spans="1:41" ht="16.149999999999999" customHeight="1">
      <c r="A53" s="198">
        <v>47</v>
      </c>
      <c r="B53" s="199" t="s">
        <v>119</v>
      </c>
      <c r="C53" s="995">
        <v>0</v>
      </c>
      <c r="D53" s="201">
        <f>+'Table 5C1A-Madison Prep'!D53</f>
        <v>2524.1485257646736</v>
      </c>
      <c r="E53" s="202">
        <f t="shared" si="8"/>
        <v>0</v>
      </c>
      <c r="F53" s="202">
        <f>+'Table 5C1A-Madison Prep'!F53</f>
        <v>910.76</v>
      </c>
      <c r="G53" s="202">
        <f t="shared" si="9"/>
        <v>0</v>
      </c>
      <c r="H53" s="345">
        <f t="shared" si="10"/>
        <v>0</v>
      </c>
      <c r="I53" s="203">
        <f>'[1]Oct midyear Willow'!K50</f>
        <v>0</v>
      </c>
      <c r="J53" s="203">
        <f>'[1]Feb midyear Willow'!K50</f>
        <v>0</v>
      </c>
      <c r="K53" s="204">
        <f t="shared" si="11"/>
        <v>0</v>
      </c>
      <c r="L53" s="345">
        <f t="shared" si="12"/>
        <v>0</v>
      </c>
      <c r="M53" s="286">
        <f t="shared" si="4"/>
        <v>0</v>
      </c>
      <c r="N53" s="345">
        <f t="shared" si="13"/>
        <v>0</v>
      </c>
      <c r="O53" s="201">
        <v>0</v>
      </c>
      <c r="P53" s="351">
        <f t="shared" si="14"/>
        <v>0</v>
      </c>
      <c r="Q53" s="203">
        <f>8*'[2]Table 5C1W-Willow'!S53</f>
        <v>0</v>
      </c>
      <c r="R53" s="203">
        <f t="shared" si="15"/>
        <v>0</v>
      </c>
      <c r="S53" s="351">
        <f t="shared" si="30"/>
        <v>0</v>
      </c>
      <c r="T53" s="351">
        <f t="shared" si="16"/>
        <v>0</v>
      </c>
      <c r="U53" s="287">
        <f>'Table 5C1A-Madison Prep'!U53</f>
        <v>11506</v>
      </c>
      <c r="V53" s="328">
        <f t="shared" si="17"/>
        <v>0</v>
      </c>
      <c r="W53" s="289">
        <f>'[1]Oct midyear Willow'!E50</f>
        <v>0</v>
      </c>
      <c r="X53" s="290">
        <f t="shared" si="18"/>
        <v>0</v>
      </c>
      <c r="Y53" s="289">
        <f>'[1]Feb midyear Willow'!E50</f>
        <v>0</v>
      </c>
      <c r="Z53" s="290">
        <f t="shared" si="19"/>
        <v>0</v>
      </c>
      <c r="AA53" s="288">
        <f t="shared" si="20"/>
        <v>0</v>
      </c>
      <c r="AB53" s="324">
        <f t="shared" si="21"/>
        <v>0</v>
      </c>
      <c r="AC53" s="292">
        <f t="shared" si="22"/>
        <v>0</v>
      </c>
      <c r="AD53" s="324">
        <f t="shared" si="23"/>
        <v>0</v>
      </c>
      <c r="AE53" s="293">
        <v>0</v>
      </c>
      <c r="AF53" s="324">
        <f t="shared" si="24"/>
        <v>0</v>
      </c>
      <c r="AG53" s="293">
        <f>8*'[2]Table 5C1W-Willow'!AI53</f>
        <v>0</v>
      </c>
      <c r="AH53" s="293">
        <f t="shared" si="25"/>
        <v>0</v>
      </c>
      <c r="AI53" s="324">
        <f t="shared" si="31"/>
        <v>0</v>
      </c>
      <c r="AJ53" s="321">
        <f t="shared" si="26"/>
        <v>0</v>
      </c>
      <c r="AK53" s="342">
        <f t="shared" si="27"/>
        <v>0</v>
      </c>
      <c r="AM53" s="286">
        <v>0</v>
      </c>
      <c r="AN53" s="286">
        <f t="shared" si="28"/>
        <v>0</v>
      </c>
      <c r="AO53" s="286">
        <f t="shared" si="29"/>
        <v>0</v>
      </c>
    </row>
    <row r="54" spans="1:41" ht="16.149999999999999" customHeight="1">
      <c r="A54" s="198">
        <v>48</v>
      </c>
      <c r="B54" s="199" t="s">
        <v>144</v>
      </c>
      <c r="C54" s="995">
        <v>0</v>
      </c>
      <c r="D54" s="201">
        <f>+'Table 5C1A-Madison Prep'!D54</f>
        <v>3983.3582529800719</v>
      </c>
      <c r="E54" s="202">
        <f t="shared" si="8"/>
        <v>0</v>
      </c>
      <c r="F54" s="202">
        <f>+'Table 5C1A-Madison Prep'!F54</f>
        <v>871.07</v>
      </c>
      <c r="G54" s="202">
        <f t="shared" si="9"/>
        <v>0</v>
      </c>
      <c r="H54" s="345">
        <f t="shared" si="10"/>
        <v>0</v>
      </c>
      <c r="I54" s="203">
        <f>'[1]Oct midyear Willow'!K51</f>
        <v>0</v>
      </c>
      <c r="J54" s="203">
        <f>'[1]Feb midyear Willow'!K51</f>
        <v>0</v>
      </c>
      <c r="K54" s="204">
        <f t="shared" si="11"/>
        <v>0</v>
      </c>
      <c r="L54" s="345">
        <f t="shared" si="12"/>
        <v>0</v>
      </c>
      <c r="M54" s="286">
        <f t="shared" si="4"/>
        <v>0</v>
      </c>
      <c r="N54" s="345">
        <f t="shared" si="13"/>
        <v>0</v>
      </c>
      <c r="O54" s="201">
        <v>0</v>
      </c>
      <c r="P54" s="351">
        <f t="shared" si="14"/>
        <v>0</v>
      </c>
      <c r="Q54" s="203">
        <f>8*'[2]Table 5C1W-Willow'!S54</f>
        <v>0</v>
      </c>
      <c r="R54" s="203">
        <f t="shared" si="15"/>
        <v>0</v>
      </c>
      <c r="S54" s="351">
        <f t="shared" si="30"/>
        <v>0</v>
      </c>
      <c r="T54" s="351">
        <f t="shared" si="16"/>
        <v>0</v>
      </c>
      <c r="U54" s="287">
        <f>'Table 5C1A-Madison Prep'!U54</f>
        <v>6827</v>
      </c>
      <c r="V54" s="328">
        <f t="shared" si="17"/>
        <v>0</v>
      </c>
      <c r="W54" s="289">
        <f>'[1]Oct midyear Willow'!E51</f>
        <v>0</v>
      </c>
      <c r="X54" s="290">
        <f t="shared" si="18"/>
        <v>0</v>
      </c>
      <c r="Y54" s="289">
        <f>'[1]Feb midyear Willow'!E51</f>
        <v>0</v>
      </c>
      <c r="Z54" s="290">
        <f t="shared" si="19"/>
        <v>0</v>
      </c>
      <c r="AA54" s="288">
        <f t="shared" si="20"/>
        <v>0</v>
      </c>
      <c r="AB54" s="324">
        <f t="shared" si="21"/>
        <v>0</v>
      </c>
      <c r="AC54" s="292">
        <f t="shared" si="22"/>
        <v>0</v>
      </c>
      <c r="AD54" s="324">
        <f t="shared" si="23"/>
        <v>0</v>
      </c>
      <c r="AE54" s="293">
        <v>0</v>
      </c>
      <c r="AF54" s="324">
        <f t="shared" si="24"/>
        <v>0</v>
      </c>
      <c r="AG54" s="293">
        <f>8*'[2]Table 5C1W-Willow'!AI54</f>
        <v>0</v>
      </c>
      <c r="AH54" s="293">
        <f t="shared" si="25"/>
        <v>0</v>
      </c>
      <c r="AI54" s="324">
        <f t="shared" si="31"/>
        <v>0</v>
      </c>
      <c r="AJ54" s="321">
        <f t="shared" si="26"/>
        <v>0</v>
      </c>
      <c r="AK54" s="342">
        <f t="shared" si="27"/>
        <v>0</v>
      </c>
      <c r="AM54" s="286">
        <v>0</v>
      </c>
      <c r="AN54" s="286">
        <f t="shared" si="28"/>
        <v>0</v>
      </c>
      <c r="AO54" s="286">
        <f t="shared" si="29"/>
        <v>0</v>
      </c>
    </row>
    <row r="55" spans="1:41" ht="16.149999999999999" customHeight="1">
      <c r="A55" s="198">
        <v>49</v>
      </c>
      <c r="B55" s="199" t="s">
        <v>120</v>
      </c>
      <c r="C55" s="995">
        <v>0</v>
      </c>
      <c r="D55" s="201">
        <f>+'Table 5C1A-Madison Prep'!D55</f>
        <v>4995.8755315659191</v>
      </c>
      <c r="E55" s="202">
        <f t="shared" si="8"/>
        <v>0</v>
      </c>
      <c r="F55" s="202">
        <f>+'Table 5C1A-Madison Prep'!F55</f>
        <v>574.43999999999994</v>
      </c>
      <c r="G55" s="202">
        <f t="shared" si="9"/>
        <v>0</v>
      </c>
      <c r="H55" s="345">
        <f t="shared" si="10"/>
        <v>0</v>
      </c>
      <c r="I55" s="203">
        <f>'[1]Oct midyear Willow'!K52</f>
        <v>139257.88828914796</v>
      </c>
      <c r="J55" s="203">
        <f>'[1]Feb midyear Willow'!K52</f>
        <v>-11140.631063131837</v>
      </c>
      <c r="K55" s="204">
        <f t="shared" si="11"/>
        <v>128117.25722601613</v>
      </c>
      <c r="L55" s="345">
        <f t="shared" si="12"/>
        <v>128117.25722601613</v>
      </c>
      <c r="M55" s="286">
        <f t="shared" si="4"/>
        <v>-320.29314306504034</v>
      </c>
      <c r="N55" s="345">
        <f t="shared" si="13"/>
        <v>127796.96408295109</v>
      </c>
      <c r="O55" s="201">
        <v>0</v>
      </c>
      <c r="P55" s="351">
        <f t="shared" si="14"/>
        <v>127796.96408295109</v>
      </c>
      <c r="Q55" s="203">
        <f>8*'[2]Table 5C1W-Willow'!S55</f>
        <v>0</v>
      </c>
      <c r="R55" s="203">
        <f t="shared" si="15"/>
        <v>127796.96408295109</v>
      </c>
      <c r="S55" s="351">
        <f t="shared" si="30"/>
        <v>31949</v>
      </c>
      <c r="T55" s="351">
        <f t="shared" si="16"/>
        <v>127796.96408295109</v>
      </c>
      <c r="U55" s="287">
        <f>'Table 5C1A-Madison Prep'!U55</f>
        <v>2399</v>
      </c>
      <c r="V55" s="328">
        <f t="shared" si="17"/>
        <v>0</v>
      </c>
      <c r="W55" s="289">
        <f>'[1]Oct midyear Willow'!E52</f>
        <v>25</v>
      </c>
      <c r="X55" s="290">
        <f t="shared" si="18"/>
        <v>59975</v>
      </c>
      <c r="Y55" s="289">
        <f>'[1]Feb midyear Willow'!E52</f>
        <v>-4</v>
      </c>
      <c r="Z55" s="290">
        <f t="shared" si="19"/>
        <v>-4798</v>
      </c>
      <c r="AA55" s="288">
        <f t="shared" si="20"/>
        <v>55177</v>
      </c>
      <c r="AB55" s="324">
        <f t="shared" si="21"/>
        <v>55177</v>
      </c>
      <c r="AC55" s="292">
        <f t="shared" si="22"/>
        <v>-137.9425</v>
      </c>
      <c r="AD55" s="324">
        <f t="shared" si="23"/>
        <v>55039.057500000003</v>
      </c>
      <c r="AE55" s="293">
        <v>0</v>
      </c>
      <c r="AF55" s="324">
        <f t="shared" si="24"/>
        <v>55039.057500000003</v>
      </c>
      <c r="AG55" s="293">
        <f>8*'[2]Table 5C1W-Willow'!AI55</f>
        <v>0</v>
      </c>
      <c r="AH55" s="293">
        <f t="shared" si="25"/>
        <v>55039.057500000003</v>
      </c>
      <c r="AI55" s="324">
        <f t="shared" si="31"/>
        <v>13760</v>
      </c>
      <c r="AJ55" s="321">
        <f t="shared" si="26"/>
        <v>182836.0215829511</v>
      </c>
      <c r="AK55" s="342">
        <f t="shared" si="27"/>
        <v>45709</v>
      </c>
      <c r="AM55" s="286">
        <v>0</v>
      </c>
      <c r="AN55" s="286">
        <f t="shared" si="28"/>
        <v>-137.9425</v>
      </c>
      <c r="AO55" s="286">
        <f t="shared" si="29"/>
        <v>-137.9425</v>
      </c>
    </row>
    <row r="56" spans="1:41" ht="16.149999999999999" customHeight="1">
      <c r="A56" s="191">
        <v>50</v>
      </c>
      <c r="B56" s="192" t="s">
        <v>121</v>
      </c>
      <c r="C56" s="996">
        <v>0</v>
      </c>
      <c r="D56" s="194">
        <f>+'Table 5C1A-Madison Prep'!D56</f>
        <v>5177.6892722701677</v>
      </c>
      <c r="E56" s="195">
        <f t="shared" si="8"/>
        <v>0</v>
      </c>
      <c r="F56" s="195">
        <f>+'Table 5C1A-Madison Prep'!F56</f>
        <v>634.46</v>
      </c>
      <c r="G56" s="195">
        <f t="shared" si="9"/>
        <v>0</v>
      </c>
      <c r="H56" s="346">
        <f t="shared" si="10"/>
        <v>0</v>
      </c>
      <c r="I56" s="196">
        <f>'[1]Oct midyear Willow'!K53</f>
        <v>162740.17962356471</v>
      </c>
      <c r="J56" s="196">
        <f>'[1]Feb midyear Willow'!K53</f>
        <v>-8718.2239084052526</v>
      </c>
      <c r="K56" s="197">
        <f t="shared" si="11"/>
        <v>154021.95571515945</v>
      </c>
      <c r="L56" s="346">
        <f t="shared" si="12"/>
        <v>154021.95571515945</v>
      </c>
      <c r="M56" s="296">
        <f t="shared" si="4"/>
        <v>-385.05488928789862</v>
      </c>
      <c r="N56" s="346">
        <f t="shared" si="13"/>
        <v>153636.90082587156</v>
      </c>
      <c r="O56" s="194">
        <v>0</v>
      </c>
      <c r="P56" s="352">
        <f t="shared" si="14"/>
        <v>153636.90082587156</v>
      </c>
      <c r="Q56" s="196">
        <f>8*'[2]Table 5C1W-Willow'!S56</f>
        <v>0</v>
      </c>
      <c r="R56" s="196">
        <f t="shared" si="15"/>
        <v>153636.90082587156</v>
      </c>
      <c r="S56" s="352">
        <f t="shared" si="30"/>
        <v>38409</v>
      </c>
      <c r="T56" s="352">
        <f t="shared" si="16"/>
        <v>153636.90082587156</v>
      </c>
      <c r="U56" s="281">
        <f>'Table 5C1A-Madison Prep'!U56</f>
        <v>3413</v>
      </c>
      <c r="V56" s="329">
        <f t="shared" si="17"/>
        <v>0</v>
      </c>
      <c r="W56" s="884">
        <f>'[1]Oct midyear Willow'!E53</f>
        <v>28</v>
      </c>
      <c r="X56" s="282">
        <f t="shared" si="18"/>
        <v>95564</v>
      </c>
      <c r="Y56" s="884">
        <f>'[1]Feb midyear Willow'!E53</f>
        <v>-3</v>
      </c>
      <c r="Z56" s="282">
        <f t="shared" si="19"/>
        <v>-5119.5</v>
      </c>
      <c r="AA56" s="283">
        <f t="shared" si="20"/>
        <v>90444.5</v>
      </c>
      <c r="AB56" s="325">
        <f t="shared" si="21"/>
        <v>90444.5</v>
      </c>
      <c r="AC56" s="298">
        <f t="shared" si="22"/>
        <v>-226.11125000000001</v>
      </c>
      <c r="AD56" s="325">
        <f t="shared" si="23"/>
        <v>90218.388749999998</v>
      </c>
      <c r="AE56" s="284">
        <v>0</v>
      </c>
      <c r="AF56" s="325">
        <f t="shared" si="24"/>
        <v>90218.388749999998</v>
      </c>
      <c r="AG56" s="284">
        <f>8*'[2]Table 5C1W-Willow'!AI56</f>
        <v>0</v>
      </c>
      <c r="AH56" s="284">
        <f t="shared" si="25"/>
        <v>90218.388749999998</v>
      </c>
      <c r="AI56" s="325">
        <f t="shared" si="31"/>
        <v>22555</v>
      </c>
      <c r="AJ56" s="338">
        <f t="shared" si="26"/>
        <v>243855.28957587155</v>
      </c>
      <c r="AK56" s="343">
        <f t="shared" si="27"/>
        <v>60964</v>
      </c>
      <c r="AM56" s="296">
        <v>0</v>
      </c>
      <c r="AN56" s="296">
        <f t="shared" si="28"/>
        <v>-226.11125000000001</v>
      </c>
      <c r="AO56" s="296">
        <f t="shared" si="29"/>
        <v>-226.11125000000001</v>
      </c>
    </row>
    <row r="57" spans="1:41" ht="16.149999999999999" customHeight="1">
      <c r="A57" s="205">
        <v>51</v>
      </c>
      <c r="B57" s="206" t="s">
        <v>122</v>
      </c>
      <c r="C57" s="994">
        <v>0</v>
      </c>
      <c r="D57" s="208">
        <f>+'Table 5C1A-Madison Prep'!D57</f>
        <v>4154.1928602178996</v>
      </c>
      <c r="E57" s="209">
        <f t="shared" si="8"/>
        <v>0</v>
      </c>
      <c r="F57" s="209">
        <f>+'Table 5C1A-Madison Prep'!F57</f>
        <v>706.66</v>
      </c>
      <c r="G57" s="209">
        <f t="shared" si="9"/>
        <v>0</v>
      </c>
      <c r="H57" s="344">
        <f t="shared" si="10"/>
        <v>0</v>
      </c>
      <c r="I57" s="210">
        <f>'[1]Oct midyear Willow'!K54</f>
        <v>4860.8528602178994</v>
      </c>
      <c r="J57" s="210">
        <f>'[1]Feb midyear Willow'!K54</f>
        <v>0</v>
      </c>
      <c r="K57" s="211">
        <f t="shared" si="11"/>
        <v>4860.8528602178994</v>
      </c>
      <c r="L57" s="344">
        <f t="shared" si="12"/>
        <v>4860.8528602178994</v>
      </c>
      <c r="M57" s="273">
        <f t="shared" si="4"/>
        <v>-12.152132150544748</v>
      </c>
      <c r="N57" s="344">
        <f t="shared" si="13"/>
        <v>4848.7007280673542</v>
      </c>
      <c r="O57" s="208">
        <v>0</v>
      </c>
      <c r="P57" s="350">
        <f t="shared" si="14"/>
        <v>4848.7007280673542</v>
      </c>
      <c r="Q57" s="210">
        <f>8*'[2]Table 5C1W-Willow'!S57</f>
        <v>0</v>
      </c>
      <c r="R57" s="210">
        <f t="shared" si="15"/>
        <v>4848.7007280673542</v>
      </c>
      <c r="S57" s="350">
        <f t="shared" si="30"/>
        <v>1212</v>
      </c>
      <c r="T57" s="350">
        <f t="shared" si="16"/>
        <v>4848.7007280673542</v>
      </c>
      <c r="U57" s="274">
        <f>'Table 5C1A-Madison Prep'!U57</f>
        <v>4512</v>
      </c>
      <c r="V57" s="327">
        <f t="shared" si="17"/>
        <v>0</v>
      </c>
      <c r="W57" s="883">
        <f>'[1]Oct midyear Willow'!E54</f>
        <v>1</v>
      </c>
      <c r="X57" s="276">
        <f t="shared" si="18"/>
        <v>4512</v>
      </c>
      <c r="Y57" s="883">
        <f>'[1]Feb midyear Willow'!E54</f>
        <v>0</v>
      </c>
      <c r="Z57" s="276">
        <f t="shared" si="19"/>
        <v>0</v>
      </c>
      <c r="AA57" s="275">
        <f t="shared" si="20"/>
        <v>4512</v>
      </c>
      <c r="AB57" s="323">
        <f t="shared" si="21"/>
        <v>4512</v>
      </c>
      <c r="AC57" s="278">
        <f t="shared" si="22"/>
        <v>-11.28</v>
      </c>
      <c r="AD57" s="323">
        <f t="shared" si="23"/>
        <v>4500.72</v>
      </c>
      <c r="AE57" s="279">
        <v>0</v>
      </c>
      <c r="AF57" s="323">
        <f t="shared" si="24"/>
        <v>4500.72</v>
      </c>
      <c r="AG57" s="279">
        <f>8*'[2]Table 5C1W-Willow'!AI57</f>
        <v>0</v>
      </c>
      <c r="AH57" s="279">
        <f t="shared" si="25"/>
        <v>4500.72</v>
      </c>
      <c r="AI57" s="323">
        <f t="shared" si="31"/>
        <v>1125</v>
      </c>
      <c r="AJ57" s="337">
        <f t="shared" si="26"/>
        <v>9349.4207280673545</v>
      </c>
      <c r="AK57" s="341">
        <f t="shared" si="27"/>
        <v>2337</v>
      </c>
      <c r="AM57" s="273">
        <v>0</v>
      </c>
      <c r="AN57" s="273">
        <f t="shared" si="28"/>
        <v>-11.28</v>
      </c>
      <c r="AO57" s="273">
        <f t="shared" si="29"/>
        <v>-11.28</v>
      </c>
    </row>
    <row r="58" spans="1:41" ht="16.149999999999999" customHeight="1">
      <c r="A58" s="198">
        <v>52</v>
      </c>
      <c r="B58" s="199" t="s">
        <v>123</v>
      </c>
      <c r="C58" s="995">
        <v>0</v>
      </c>
      <c r="D58" s="201">
        <f>+'Table 5C1A-Madison Prep'!D58</f>
        <v>5062.2745845228173</v>
      </c>
      <c r="E58" s="202">
        <f t="shared" si="8"/>
        <v>0</v>
      </c>
      <c r="F58" s="202">
        <f>+'Table 5C1A-Madison Prep'!F58</f>
        <v>658.37</v>
      </c>
      <c r="G58" s="202">
        <f t="shared" si="9"/>
        <v>0</v>
      </c>
      <c r="H58" s="345">
        <f t="shared" si="10"/>
        <v>0</v>
      </c>
      <c r="I58" s="203">
        <f>'[1]Oct midyear Willow'!K55</f>
        <v>0</v>
      </c>
      <c r="J58" s="203">
        <f>'[1]Feb midyear Willow'!K55</f>
        <v>0</v>
      </c>
      <c r="K58" s="204">
        <f t="shared" si="11"/>
        <v>0</v>
      </c>
      <c r="L58" s="345">
        <f t="shared" si="12"/>
        <v>0</v>
      </c>
      <c r="M58" s="286">
        <f t="shared" si="4"/>
        <v>0</v>
      </c>
      <c r="N58" s="345">
        <f t="shared" si="13"/>
        <v>0</v>
      </c>
      <c r="O58" s="201">
        <v>0</v>
      </c>
      <c r="P58" s="351">
        <f t="shared" si="14"/>
        <v>0</v>
      </c>
      <c r="Q58" s="203">
        <f>8*'[2]Table 5C1W-Willow'!S58</f>
        <v>0</v>
      </c>
      <c r="R58" s="203">
        <f t="shared" si="15"/>
        <v>0</v>
      </c>
      <c r="S58" s="351">
        <f t="shared" si="30"/>
        <v>0</v>
      </c>
      <c r="T58" s="351">
        <f t="shared" si="16"/>
        <v>0</v>
      </c>
      <c r="U58" s="287">
        <f>'Table 5C1A-Madison Prep'!U58</f>
        <v>5289</v>
      </c>
      <c r="V58" s="328">
        <f t="shared" si="17"/>
        <v>0</v>
      </c>
      <c r="W58" s="289">
        <f>'[1]Oct midyear Willow'!E55</f>
        <v>0</v>
      </c>
      <c r="X58" s="290">
        <f t="shared" si="18"/>
        <v>0</v>
      </c>
      <c r="Y58" s="289">
        <f>'[1]Feb midyear Willow'!E55</f>
        <v>0</v>
      </c>
      <c r="Z58" s="290">
        <f t="shared" si="19"/>
        <v>0</v>
      </c>
      <c r="AA58" s="288">
        <f t="shared" si="20"/>
        <v>0</v>
      </c>
      <c r="AB58" s="324">
        <f t="shared" si="21"/>
        <v>0</v>
      </c>
      <c r="AC58" s="292">
        <f t="shared" si="22"/>
        <v>0</v>
      </c>
      <c r="AD58" s="324">
        <f t="shared" si="23"/>
        <v>0</v>
      </c>
      <c r="AE58" s="293">
        <v>0</v>
      </c>
      <c r="AF58" s="324">
        <f t="shared" si="24"/>
        <v>0</v>
      </c>
      <c r="AG58" s="293">
        <f>8*'[2]Table 5C1W-Willow'!AI58</f>
        <v>0</v>
      </c>
      <c r="AH58" s="293">
        <f t="shared" si="25"/>
        <v>0</v>
      </c>
      <c r="AI58" s="324">
        <f t="shared" si="31"/>
        <v>0</v>
      </c>
      <c r="AJ58" s="321">
        <f t="shared" si="26"/>
        <v>0</v>
      </c>
      <c r="AK58" s="342">
        <f t="shared" si="27"/>
        <v>0</v>
      </c>
      <c r="AM58" s="286">
        <v>0</v>
      </c>
      <c r="AN58" s="286">
        <f t="shared" si="28"/>
        <v>0</v>
      </c>
      <c r="AO58" s="286">
        <f t="shared" si="29"/>
        <v>0</v>
      </c>
    </row>
    <row r="59" spans="1:41" ht="16.149999999999999" customHeight="1">
      <c r="A59" s="198">
        <v>53</v>
      </c>
      <c r="B59" s="199" t="s">
        <v>124</v>
      </c>
      <c r="C59" s="995">
        <v>0</v>
      </c>
      <c r="D59" s="201">
        <f>+'Table 5C1A-Madison Prep'!D59</f>
        <v>5060.1508194045482</v>
      </c>
      <c r="E59" s="202">
        <f t="shared" si="8"/>
        <v>0</v>
      </c>
      <c r="F59" s="202">
        <f>+'Table 5C1A-Madison Prep'!F59</f>
        <v>689.74</v>
      </c>
      <c r="G59" s="202">
        <f t="shared" si="9"/>
        <v>0</v>
      </c>
      <c r="H59" s="345">
        <f t="shared" si="10"/>
        <v>0</v>
      </c>
      <c r="I59" s="203">
        <f>'[1]Oct midyear Willow'!K56</f>
        <v>0</v>
      </c>
      <c r="J59" s="203">
        <f>'[1]Feb midyear Willow'!K56</f>
        <v>0</v>
      </c>
      <c r="K59" s="204">
        <f t="shared" si="11"/>
        <v>0</v>
      </c>
      <c r="L59" s="345">
        <f t="shared" si="12"/>
        <v>0</v>
      </c>
      <c r="M59" s="286">
        <f t="shared" si="4"/>
        <v>0</v>
      </c>
      <c r="N59" s="345">
        <f t="shared" si="13"/>
        <v>0</v>
      </c>
      <c r="O59" s="201">
        <v>0</v>
      </c>
      <c r="P59" s="351">
        <f t="shared" si="14"/>
        <v>0</v>
      </c>
      <c r="Q59" s="203">
        <f>8*'[2]Table 5C1W-Willow'!S59</f>
        <v>0</v>
      </c>
      <c r="R59" s="203">
        <f t="shared" si="15"/>
        <v>0</v>
      </c>
      <c r="S59" s="351">
        <f t="shared" si="30"/>
        <v>0</v>
      </c>
      <c r="T59" s="351">
        <f t="shared" si="16"/>
        <v>0</v>
      </c>
      <c r="U59" s="287">
        <f>'Table 5C1A-Madison Prep'!U59</f>
        <v>2101</v>
      </c>
      <c r="V59" s="328">
        <f t="shared" si="17"/>
        <v>0</v>
      </c>
      <c r="W59" s="289">
        <f>'[1]Oct midyear Willow'!E56</f>
        <v>0</v>
      </c>
      <c r="X59" s="290">
        <f t="shared" si="18"/>
        <v>0</v>
      </c>
      <c r="Y59" s="289">
        <f>'[1]Feb midyear Willow'!E56</f>
        <v>0</v>
      </c>
      <c r="Z59" s="290">
        <f t="shared" si="19"/>
        <v>0</v>
      </c>
      <c r="AA59" s="288">
        <f t="shared" si="20"/>
        <v>0</v>
      </c>
      <c r="AB59" s="324">
        <f t="shared" si="21"/>
        <v>0</v>
      </c>
      <c r="AC59" s="292">
        <f t="shared" si="22"/>
        <v>0</v>
      </c>
      <c r="AD59" s="324">
        <f t="shared" si="23"/>
        <v>0</v>
      </c>
      <c r="AE59" s="293">
        <v>0</v>
      </c>
      <c r="AF59" s="324">
        <f t="shared" si="24"/>
        <v>0</v>
      </c>
      <c r="AG59" s="293">
        <f>8*'[2]Table 5C1W-Willow'!AI59</f>
        <v>0</v>
      </c>
      <c r="AH59" s="293">
        <f t="shared" si="25"/>
        <v>0</v>
      </c>
      <c r="AI59" s="324">
        <f t="shared" si="31"/>
        <v>0</v>
      </c>
      <c r="AJ59" s="321">
        <f t="shared" si="26"/>
        <v>0</v>
      </c>
      <c r="AK59" s="342">
        <f t="shared" si="27"/>
        <v>0</v>
      </c>
      <c r="AM59" s="286">
        <v>0</v>
      </c>
      <c r="AN59" s="286">
        <f t="shared" si="28"/>
        <v>0</v>
      </c>
      <c r="AO59" s="286">
        <f t="shared" si="29"/>
        <v>0</v>
      </c>
    </row>
    <row r="60" spans="1:41" ht="16.149999999999999" customHeight="1">
      <c r="A60" s="198">
        <v>54</v>
      </c>
      <c r="B60" s="199" t="s">
        <v>125</v>
      </c>
      <c r="C60" s="995">
        <v>0</v>
      </c>
      <c r="D60" s="201">
        <f>+'Table 5C1A-Madison Prep'!D60</f>
        <v>5867.0798370516713</v>
      </c>
      <c r="E60" s="202">
        <f t="shared" si="8"/>
        <v>0</v>
      </c>
      <c r="F60" s="202">
        <f>+'Table 5C1A-Madison Prep'!F60</f>
        <v>951.45</v>
      </c>
      <c r="G60" s="202">
        <f t="shared" si="9"/>
        <v>0</v>
      </c>
      <c r="H60" s="345">
        <f t="shared" si="10"/>
        <v>0</v>
      </c>
      <c r="I60" s="203">
        <f>'[1]Oct midyear Willow'!K57</f>
        <v>0</v>
      </c>
      <c r="J60" s="203">
        <f>'[1]Feb midyear Willow'!K57</f>
        <v>0</v>
      </c>
      <c r="K60" s="204">
        <f t="shared" si="11"/>
        <v>0</v>
      </c>
      <c r="L60" s="345">
        <f t="shared" si="12"/>
        <v>0</v>
      </c>
      <c r="M60" s="286">
        <f t="shared" si="4"/>
        <v>0</v>
      </c>
      <c r="N60" s="345">
        <f t="shared" si="13"/>
        <v>0</v>
      </c>
      <c r="O60" s="201">
        <v>0</v>
      </c>
      <c r="P60" s="351">
        <f t="shared" si="14"/>
        <v>0</v>
      </c>
      <c r="Q60" s="203">
        <f>8*'[2]Table 5C1W-Willow'!S60</f>
        <v>0</v>
      </c>
      <c r="R60" s="203">
        <f t="shared" si="15"/>
        <v>0</v>
      </c>
      <c r="S60" s="351">
        <f t="shared" si="30"/>
        <v>0</v>
      </c>
      <c r="T60" s="351">
        <f t="shared" si="16"/>
        <v>0</v>
      </c>
      <c r="U60" s="287">
        <f>'Table 5C1A-Madison Prep'!U60</f>
        <v>4150</v>
      </c>
      <c r="V60" s="328">
        <f t="shared" si="17"/>
        <v>0</v>
      </c>
      <c r="W60" s="289">
        <f>'[1]Oct midyear Willow'!E57</f>
        <v>0</v>
      </c>
      <c r="X60" s="290">
        <f t="shared" si="18"/>
        <v>0</v>
      </c>
      <c r="Y60" s="289">
        <f>'[1]Feb midyear Willow'!E57</f>
        <v>0</v>
      </c>
      <c r="Z60" s="290">
        <f t="shared" si="19"/>
        <v>0</v>
      </c>
      <c r="AA60" s="288">
        <f t="shared" si="20"/>
        <v>0</v>
      </c>
      <c r="AB60" s="324">
        <f t="shared" si="21"/>
        <v>0</v>
      </c>
      <c r="AC60" s="292">
        <f t="shared" si="22"/>
        <v>0</v>
      </c>
      <c r="AD60" s="324">
        <f t="shared" si="23"/>
        <v>0</v>
      </c>
      <c r="AE60" s="293">
        <v>0</v>
      </c>
      <c r="AF60" s="324">
        <f t="shared" si="24"/>
        <v>0</v>
      </c>
      <c r="AG60" s="293">
        <f>8*'[2]Table 5C1W-Willow'!AI60</f>
        <v>0</v>
      </c>
      <c r="AH60" s="293">
        <f t="shared" si="25"/>
        <v>0</v>
      </c>
      <c r="AI60" s="324">
        <f t="shared" si="31"/>
        <v>0</v>
      </c>
      <c r="AJ60" s="321">
        <f t="shared" si="26"/>
        <v>0</v>
      </c>
      <c r="AK60" s="342">
        <f t="shared" si="27"/>
        <v>0</v>
      </c>
      <c r="AM60" s="286">
        <v>0</v>
      </c>
      <c r="AN60" s="286">
        <f t="shared" si="28"/>
        <v>0</v>
      </c>
      <c r="AO60" s="286">
        <f t="shared" si="29"/>
        <v>0</v>
      </c>
    </row>
    <row r="61" spans="1:41" ht="16.149999999999999" customHeight="1">
      <c r="A61" s="191">
        <v>55</v>
      </c>
      <c r="B61" s="192" t="s">
        <v>126</v>
      </c>
      <c r="C61" s="996">
        <v>0</v>
      </c>
      <c r="D61" s="194">
        <f>+'Table 5C1A-Madison Prep'!D61</f>
        <v>4266.8225491298481</v>
      </c>
      <c r="E61" s="195">
        <f t="shared" si="8"/>
        <v>0</v>
      </c>
      <c r="F61" s="195">
        <f>+'Table 5C1A-Madison Prep'!F61</f>
        <v>795.14</v>
      </c>
      <c r="G61" s="195">
        <f t="shared" si="9"/>
        <v>0</v>
      </c>
      <c r="H61" s="346">
        <f t="shared" si="10"/>
        <v>0</v>
      </c>
      <c r="I61" s="196">
        <f>'[1]Oct midyear Willow'!K58</f>
        <v>0</v>
      </c>
      <c r="J61" s="196">
        <f>'[1]Feb midyear Willow'!K58</f>
        <v>0</v>
      </c>
      <c r="K61" s="197">
        <f t="shared" si="11"/>
        <v>0</v>
      </c>
      <c r="L61" s="346">
        <f t="shared" si="12"/>
        <v>0</v>
      </c>
      <c r="M61" s="296">
        <f t="shared" si="4"/>
        <v>0</v>
      </c>
      <c r="N61" s="346">
        <f t="shared" si="13"/>
        <v>0</v>
      </c>
      <c r="O61" s="194">
        <v>0</v>
      </c>
      <c r="P61" s="352">
        <f t="shared" si="14"/>
        <v>0</v>
      </c>
      <c r="Q61" s="196">
        <f>8*'[2]Table 5C1W-Willow'!S61</f>
        <v>0</v>
      </c>
      <c r="R61" s="196">
        <f t="shared" si="15"/>
        <v>0</v>
      </c>
      <c r="S61" s="352">
        <f t="shared" si="30"/>
        <v>0</v>
      </c>
      <c r="T61" s="352">
        <f t="shared" si="16"/>
        <v>0</v>
      </c>
      <c r="U61" s="281">
        <f>'Table 5C1A-Madison Prep'!U61</f>
        <v>3637</v>
      </c>
      <c r="V61" s="329">
        <f t="shared" si="17"/>
        <v>0</v>
      </c>
      <c r="W61" s="884">
        <f>'[1]Oct midyear Willow'!E58</f>
        <v>0</v>
      </c>
      <c r="X61" s="282">
        <f t="shared" si="18"/>
        <v>0</v>
      </c>
      <c r="Y61" s="884">
        <f>'[1]Feb midyear Willow'!E58</f>
        <v>0</v>
      </c>
      <c r="Z61" s="282">
        <f t="shared" si="19"/>
        <v>0</v>
      </c>
      <c r="AA61" s="283">
        <f t="shared" si="20"/>
        <v>0</v>
      </c>
      <c r="AB61" s="325">
        <f t="shared" si="21"/>
        <v>0</v>
      </c>
      <c r="AC61" s="298">
        <f t="shared" si="22"/>
        <v>0</v>
      </c>
      <c r="AD61" s="325">
        <f t="shared" si="23"/>
        <v>0</v>
      </c>
      <c r="AE61" s="284">
        <v>0</v>
      </c>
      <c r="AF61" s="325">
        <f t="shared" si="24"/>
        <v>0</v>
      </c>
      <c r="AG61" s="284">
        <f>8*'[2]Table 5C1W-Willow'!AI61</f>
        <v>0</v>
      </c>
      <c r="AH61" s="284">
        <f t="shared" si="25"/>
        <v>0</v>
      </c>
      <c r="AI61" s="325">
        <f t="shared" si="31"/>
        <v>0</v>
      </c>
      <c r="AJ61" s="338">
        <f t="shared" si="26"/>
        <v>0</v>
      </c>
      <c r="AK61" s="343">
        <f t="shared" si="27"/>
        <v>0</v>
      </c>
      <c r="AM61" s="296">
        <v>0</v>
      </c>
      <c r="AN61" s="296">
        <f t="shared" si="28"/>
        <v>0</v>
      </c>
      <c r="AO61" s="296">
        <f t="shared" si="29"/>
        <v>0</v>
      </c>
    </row>
    <row r="62" spans="1:41" ht="16.149999999999999" customHeight="1">
      <c r="A62" s="205">
        <v>56</v>
      </c>
      <c r="B62" s="206" t="s">
        <v>127</v>
      </c>
      <c r="C62" s="994">
        <v>0</v>
      </c>
      <c r="D62" s="208">
        <f>+'Table 5C1A-Madison Prep'!D62</f>
        <v>5028.4909408288286</v>
      </c>
      <c r="E62" s="209">
        <f t="shared" si="8"/>
        <v>0</v>
      </c>
      <c r="F62" s="209">
        <f>+'Table 5C1A-Madison Prep'!F62</f>
        <v>614.66000000000008</v>
      </c>
      <c r="G62" s="209">
        <f t="shared" si="9"/>
        <v>0</v>
      </c>
      <c r="H62" s="344">
        <f t="shared" si="10"/>
        <v>0</v>
      </c>
      <c r="I62" s="210">
        <f>'[1]Oct midyear Willow'!K59</f>
        <v>0</v>
      </c>
      <c r="J62" s="210">
        <f>'[1]Feb midyear Willow'!K59</f>
        <v>0</v>
      </c>
      <c r="K62" s="211">
        <f t="shared" si="11"/>
        <v>0</v>
      </c>
      <c r="L62" s="344">
        <f t="shared" si="12"/>
        <v>0</v>
      </c>
      <c r="M62" s="273">
        <f t="shared" si="4"/>
        <v>0</v>
      </c>
      <c r="N62" s="344">
        <f t="shared" si="13"/>
        <v>0</v>
      </c>
      <c r="O62" s="208">
        <v>0</v>
      </c>
      <c r="P62" s="350">
        <f t="shared" si="14"/>
        <v>0</v>
      </c>
      <c r="Q62" s="210">
        <f>8*'[2]Table 5C1W-Willow'!S62</f>
        <v>0</v>
      </c>
      <c r="R62" s="210">
        <f t="shared" si="15"/>
        <v>0</v>
      </c>
      <c r="S62" s="350">
        <f t="shared" si="30"/>
        <v>0</v>
      </c>
      <c r="T62" s="350">
        <f t="shared" si="16"/>
        <v>0</v>
      </c>
      <c r="U62" s="274">
        <f>'Table 5C1A-Madison Prep'!U62</f>
        <v>2857</v>
      </c>
      <c r="V62" s="327">
        <f t="shared" si="17"/>
        <v>0</v>
      </c>
      <c r="W62" s="883">
        <f>'[1]Oct midyear Willow'!E59</f>
        <v>0</v>
      </c>
      <c r="X62" s="276">
        <f t="shared" si="18"/>
        <v>0</v>
      </c>
      <c r="Y62" s="883">
        <f>'[1]Feb midyear Willow'!E59</f>
        <v>0</v>
      </c>
      <c r="Z62" s="276">
        <f t="shared" si="19"/>
        <v>0</v>
      </c>
      <c r="AA62" s="275">
        <f t="shared" si="20"/>
        <v>0</v>
      </c>
      <c r="AB62" s="323">
        <f t="shared" si="21"/>
        <v>0</v>
      </c>
      <c r="AC62" s="278">
        <f t="shared" si="22"/>
        <v>0</v>
      </c>
      <c r="AD62" s="323">
        <f t="shared" si="23"/>
        <v>0</v>
      </c>
      <c r="AE62" s="279">
        <v>0</v>
      </c>
      <c r="AF62" s="323">
        <f t="shared" si="24"/>
        <v>0</v>
      </c>
      <c r="AG62" s="279">
        <f>8*'[2]Table 5C1W-Willow'!AI62</f>
        <v>0</v>
      </c>
      <c r="AH62" s="279">
        <f t="shared" si="25"/>
        <v>0</v>
      </c>
      <c r="AI62" s="323">
        <f t="shared" si="31"/>
        <v>0</v>
      </c>
      <c r="AJ62" s="337">
        <f t="shared" si="26"/>
        <v>0</v>
      </c>
      <c r="AK62" s="341">
        <f t="shared" si="27"/>
        <v>0</v>
      </c>
      <c r="AM62" s="273">
        <v>0</v>
      </c>
      <c r="AN62" s="273">
        <f t="shared" si="28"/>
        <v>0</v>
      </c>
      <c r="AO62" s="273">
        <f t="shared" si="29"/>
        <v>0</v>
      </c>
    </row>
    <row r="63" spans="1:41" ht="16.149999999999999" customHeight="1">
      <c r="A63" s="198">
        <v>57</v>
      </c>
      <c r="B63" s="199" t="s">
        <v>128</v>
      </c>
      <c r="C63" s="995">
        <v>0</v>
      </c>
      <c r="D63" s="201">
        <f>+'Table 5C1A-Madison Prep'!D63</f>
        <v>4625.9922979230687</v>
      </c>
      <c r="E63" s="202">
        <f t="shared" si="8"/>
        <v>0</v>
      </c>
      <c r="F63" s="202">
        <f>+'Table 5C1A-Madison Prep'!F63</f>
        <v>764.51</v>
      </c>
      <c r="G63" s="202">
        <f t="shared" si="9"/>
        <v>0</v>
      </c>
      <c r="H63" s="345">
        <f t="shared" si="10"/>
        <v>0</v>
      </c>
      <c r="I63" s="203">
        <f>'[1]Oct midyear Willow'!K60</f>
        <v>37733.516085461481</v>
      </c>
      <c r="J63" s="203">
        <f>'[1]Feb midyear Willow'!K60</f>
        <v>-10781.004595846138</v>
      </c>
      <c r="K63" s="204">
        <f t="shared" si="11"/>
        <v>26952.511489615343</v>
      </c>
      <c r="L63" s="345">
        <f t="shared" si="12"/>
        <v>26952.511489615343</v>
      </c>
      <c r="M63" s="286">
        <f t="shared" si="4"/>
        <v>-67.381278724038353</v>
      </c>
      <c r="N63" s="345">
        <f t="shared" si="13"/>
        <v>26885.130210891304</v>
      </c>
      <c r="O63" s="201">
        <v>0</v>
      </c>
      <c r="P63" s="351">
        <f t="shared" si="14"/>
        <v>26885.130210891304</v>
      </c>
      <c r="Q63" s="203">
        <f>8*'[2]Table 5C1W-Willow'!S63</f>
        <v>0</v>
      </c>
      <c r="R63" s="203">
        <f t="shared" si="15"/>
        <v>26885.130210891304</v>
      </c>
      <c r="S63" s="351">
        <f t="shared" si="30"/>
        <v>6721</v>
      </c>
      <c r="T63" s="351">
        <f t="shared" si="16"/>
        <v>26885.130210891304</v>
      </c>
      <c r="U63" s="287">
        <f>'Table 5C1A-Madison Prep'!U63</f>
        <v>3465</v>
      </c>
      <c r="V63" s="328">
        <f t="shared" si="17"/>
        <v>0</v>
      </c>
      <c r="W63" s="289">
        <f>'[1]Oct midyear Willow'!E60</f>
        <v>7</v>
      </c>
      <c r="X63" s="290">
        <f t="shared" si="18"/>
        <v>24255</v>
      </c>
      <c r="Y63" s="289">
        <f>'[1]Feb midyear Willow'!E60</f>
        <v>-4</v>
      </c>
      <c r="Z63" s="290">
        <f t="shared" si="19"/>
        <v>-6930</v>
      </c>
      <c r="AA63" s="288">
        <f t="shared" si="20"/>
        <v>17325</v>
      </c>
      <c r="AB63" s="324">
        <f t="shared" si="21"/>
        <v>17325</v>
      </c>
      <c r="AC63" s="292">
        <f t="shared" si="22"/>
        <v>-43.3125</v>
      </c>
      <c r="AD63" s="324">
        <f t="shared" si="23"/>
        <v>17281.6875</v>
      </c>
      <c r="AE63" s="293">
        <v>0</v>
      </c>
      <c r="AF63" s="324">
        <f t="shared" si="24"/>
        <v>17281.6875</v>
      </c>
      <c r="AG63" s="293">
        <f>8*'[2]Table 5C1W-Willow'!AI63</f>
        <v>0</v>
      </c>
      <c r="AH63" s="293">
        <f t="shared" si="25"/>
        <v>17281.6875</v>
      </c>
      <c r="AI63" s="324">
        <f t="shared" si="31"/>
        <v>4320</v>
      </c>
      <c r="AJ63" s="321">
        <f t="shared" si="26"/>
        <v>44166.817710891308</v>
      </c>
      <c r="AK63" s="342">
        <f t="shared" si="27"/>
        <v>11041</v>
      </c>
      <c r="AM63" s="286">
        <v>0</v>
      </c>
      <c r="AN63" s="286">
        <f t="shared" si="28"/>
        <v>-43.3125</v>
      </c>
      <c r="AO63" s="286">
        <f t="shared" si="29"/>
        <v>-43.3125</v>
      </c>
    </row>
    <row r="64" spans="1:41" ht="16.149999999999999" customHeight="1">
      <c r="A64" s="198">
        <v>58</v>
      </c>
      <c r="B64" s="199" t="s">
        <v>129</v>
      </c>
      <c r="C64" s="995">
        <v>0</v>
      </c>
      <c r="D64" s="201">
        <f>+'Table 5C1A-Madison Prep'!D64</f>
        <v>5673.1129637882123</v>
      </c>
      <c r="E64" s="202">
        <f t="shared" si="8"/>
        <v>0</v>
      </c>
      <c r="F64" s="202">
        <f>+'Table 5C1A-Madison Prep'!F64</f>
        <v>697.04</v>
      </c>
      <c r="G64" s="202">
        <f t="shared" si="9"/>
        <v>0</v>
      </c>
      <c r="H64" s="345">
        <f t="shared" si="10"/>
        <v>0</v>
      </c>
      <c r="I64" s="203">
        <f>'[1]Oct midyear Willow'!K61</f>
        <v>0</v>
      </c>
      <c r="J64" s="203">
        <f>'[1]Feb midyear Willow'!K61</f>
        <v>0</v>
      </c>
      <c r="K64" s="204">
        <f t="shared" si="11"/>
        <v>0</v>
      </c>
      <c r="L64" s="345">
        <f t="shared" si="12"/>
        <v>0</v>
      </c>
      <c r="M64" s="286">
        <f t="shared" si="4"/>
        <v>0</v>
      </c>
      <c r="N64" s="345">
        <f t="shared" si="13"/>
        <v>0</v>
      </c>
      <c r="O64" s="201">
        <v>0</v>
      </c>
      <c r="P64" s="351">
        <f t="shared" si="14"/>
        <v>0</v>
      </c>
      <c r="Q64" s="203">
        <f>8*'[2]Table 5C1W-Willow'!S64</f>
        <v>0</v>
      </c>
      <c r="R64" s="203">
        <f t="shared" si="15"/>
        <v>0</v>
      </c>
      <c r="S64" s="351">
        <f t="shared" si="30"/>
        <v>0</v>
      </c>
      <c r="T64" s="351">
        <f t="shared" si="16"/>
        <v>0</v>
      </c>
      <c r="U64" s="287">
        <f>'Table 5C1A-Madison Prep'!U64</f>
        <v>2167</v>
      </c>
      <c r="V64" s="328">
        <f t="shared" si="17"/>
        <v>0</v>
      </c>
      <c r="W64" s="289">
        <f>'[1]Oct midyear Willow'!E61</f>
        <v>0</v>
      </c>
      <c r="X64" s="290">
        <f t="shared" si="18"/>
        <v>0</v>
      </c>
      <c r="Y64" s="289">
        <f>'[1]Feb midyear Willow'!E61</f>
        <v>0</v>
      </c>
      <c r="Z64" s="290">
        <f t="shared" si="19"/>
        <v>0</v>
      </c>
      <c r="AA64" s="288">
        <f t="shared" si="20"/>
        <v>0</v>
      </c>
      <c r="AB64" s="324">
        <f t="shared" si="21"/>
        <v>0</v>
      </c>
      <c r="AC64" s="292">
        <f t="shared" si="22"/>
        <v>0</v>
      </c>
      <c r="AD64" s="324">
        <f t="shared" si="23"/>
        <v>0</v>
      </c>
      <c r="AE64" s="293">
        <v>0</v>
      </c>
      <c r="AF64" s="324">
        <f t="shared" si="24"/>
        <v>0</v>
      </c>
      <c r="AG64" s="293">
        <f>8*'[2]Table 5C1W-Willow'!AI64</f>
        <v>0</v>
      </c>
      <c r="AH64" s="293">
        <f t="shared" si="25"/>
        <v>0</v>
      </c>
      <c r="AI64" s="324">
        <f t="shared" si="31"/>
        <v>0</v>
      </c>
      <c r="AJ64" s="321">
        <f t="shared" si="26"/>
        <v>0</v>
      </c>
      <c r="AK64" s="342">
        <f t="shared" si="27"/>
        <v>0</v>
      </c>
      <c r="AM64" s="286">
        <v>0</v>
      </c>
      <c r="AN64" s="286">
        <f t="shared" si="28"/>
        <v>0</v>
      </c>
      <c r="AO64" s="286">
        <f t="shared" si="29"/>
        <v>0</v>
      </c>
    </row>
    <row r="65" spans="1:41" ht="16.149999999999999" customHeight="1">
      <c r="A65" s="198">
        <v>59</v>
      </c>
      <c r="B65" s="199" t="s">
        <v>130</v>
      </c>
      <c r="C65" s="995">
        <v>0</v>
      </c>
      <c r="D65" s="201">
        <f>+'Table 5C1A-Madison Prep'!D65</f>
        <v>6621.946293521848</v>
      </c>
      <c r="E65" s="202">
        <f t="shared" si="8"/>
        <v>0</v>
      </c>
      <c r="F65" s="202">
        <f>+'Table 5C1A-Madison Prep'!F65</f>
        <v>689.52</v>
      </c>
      <c r="G65" s="202">
        <f t="shared" si="9"/>
        <v>0</v>
      </c>
      <c r="H65" s="345">
        <f t="shared" si="10"/>
        <v>0</v>
      </c>
      <c r="I65" s="203">
        <f>'[1]Oct midyear Willow'!K62</f>
        <v>0</v>
      </c>
      <c r="J65" s="203">
        <f>'[1]Feb midyear Willow'!K62</f>
        <v>0</v>
      </c>
      <c r="K65" s="204">
        <f t="shared" si="11"/>
        <v>0</v>
      </c>
      <c r="L65" s="345">
        <f t="shared" si="12"/>
        <v>0</v>
      </c>
      <c r="M65" s="286">
        <f t="shared" si="4"/>
        <v>0</v>
      </c>
      <c r="N65" s="345">
        <f t="shared" si="13"/>
        <v>0</v>
      </c>
      <c r="O65" s="201">
        <v>0</v>
      </c>
      <c r="P65" s="351">
        <f t="shared" si="14"/>
        <v>0</v>
      </c>
      <c r="Q65" s="203">
        <f>8*'[2]Table 5C1W-Willow'!S65</f>
        <v>0</v>
      </c>
      <c r="R65" s="203">
        <f t="shared" si="15"/>
        <v>0</v>
      </c>
      <c r="S65" s="351">
        <f t="shared" si="30"/>
        <v>0</v>
      </c>
      <c r="T65" s="351">
        <f t="shared" si="16"/>
        <v>0</v>
      </c>
      <c r="U65" s="287">
        <f>'Table 5C1A-Madison Prep'!U65</f>
        <v>1521</v>
      </c>
      <c r="V65" s="328">
        <f t="shared" si="17"/>
        <v>0</v>
      </c>
      <c r="W65" s="289">
        <f>'[1]Oct midyear Willow'!E62</f>
        <v>0</v>
      </c>
      <c r="X65" s="290">
        <f t="shared" si="18"/>
        <v>0</v>
      </c>
      <c r="Y65" s="289">
        <f>'[1]Feb midyear Willow'!E62</f>
        <v>0</v>
      </c>
      <c r="Z65" s="290">
        <f t="shared" si="19"/>
        <v>0</v>
      </c>
      <c r="AA65" s="288">
        <f t="shared" si="20"/>
        <v>0</v>
      </c>
      <c r="AB65" s="324">
        <f t="shared" si="21"/>
        <v>0</v>
      </c>
      <c r="AC65" s="292">
        <f t="shared" si="22"/>
        <v>0</v>
      </c>
      <c r="AD65" s="324">
        <f t="shared" si="23"/>
        <v>0</v>
      </c>
      <c r="AE65" s="293">
        <v>0</v>
      </c>
      <c r="AF65" s="324">
        <f t="shared" si="24"/>
        <v>0</v>
      </c>
      <c r="AG65" s="293">
        <f>8*'[2]Table 5C1W-Willow'!AI65</f>
        <v>0</v>
      </c>
      <c r="AH65" s="293">
        <f t="shared" si="25"/>
        <v>0</v>
      </c>
      <c r="AI65" s="324">
        <f t="shared" si="31"/>
        <v>0</v>
      </c>
      <c r="AJ65" s="321">
        <f t="shared" si="26"/>
        <v>0</v>
      </c>
      <c r="AK65" s="342">
        <f t="shared" si="27"/>
        <v>0</v>
      </c>
      <c r="AM65" s="286">
        <v>0</v>
      </c>
      <c r="AN65" s="286">
        <f t="shared" si="28"/>
        <v>0</v>
      </c>
      <c r="AO65" s="286">
        <f t="shared" si="29"/>
        <v>0</v>
      </c>
    </row>
    <row r="66" spans="1:41" ht="16.149999999999999" customHeight="1">
      <c r="A66" s="191">
        <v>60</v>
      </c>
      <c r="B66" s="192" t="s">
        <v>131</v>
      </c>
      <c r="C66" s="996">
        <v>0</v>
      </c>
      <c r="D66" s="194">
        <f>+'Table 5C1A-Madison Prep'!D66</f>
        <v>5301.224090063828</v>
      </c>
      <c r="E66" s="195">
        <f t="shared" si="8"/>
        <v>0</v>
      </c>
      <c r="F66" s="195">
        <f>+'Table 5C1A-Madison Prep'!F66</f>
        <v>594.04</v>
      </c>
      <c r="G66" s="195">
        <f t="shared" si="9"/>
        <v>0</v>
      </c>
      <c r="H66" s="346">
        <f t="shared" si="10"/>
        <v>0</v>
      </c>
      <c r="I66" s="196">
        <f>'[1]Oct midyear Willow'!K63</f>
        <v>0</v>
      </c>
      <c r="J66" s="196">
        <f>'[1]Feb midyear Willow'!K63</f>
        <v>0</v>
      </c>
      <c r="K66" s="197">
        <f t="shared" si="11"/>
        <v>0</v>
      </c>
      <c r="L66" s="346">
        <f t="shared" si="12"/>
        <v>0</v>
      </c>
      <c r="M66" s="296">
        <f t="shared" si="4"/>
        <v>0</v>
      </c>
      <c r="N66" s="346">
        <f t="shared" si="13"/>
        <v>0</v>
      </c>
      <c r="O66" s="194">
        <v>0</v>
      </c>
      <c r="P66" s="352">
        <f t="shared" si="14"/>
        <v>0</v>
      </c>
      <c r="Q66" s="196">
        <f>8*'[2]Table 5C1W-Willow'!S66</f>
        <v>0</v>
      </c>
      <c r="R66" s="196">
        <f t="shared" si="15"/>
        <v>0</v>
      </c>
      <c r="S66" s="352">
        <f t="shared" si="30"/>
        <v>0</v>
      </c>
      <c r="T66" s="352">
        <f t="shared" si="16"/>
        <v>0</v>
      </c>
      <c r="U66" s="281">
        <f>'Table 5C1A-Madison Prep'!U66</f>
        <v>4024</v>
      </c>
      <c r="V66" s="329">
        <f t="shared" si="17"/>
        <v>0</v>
      </c>
      <c r="W66" s="884">
        <f>'[1]Oct midyear Willow'!E63</f>
        <v>0</v>
      </c>
      <c r="X66" s="282">
        <f t="shared" si="18"/>
        <v>0</v>
      </c>
      <c r="Y66" s="884">
        <f>'[1]Feb midyear Willow'!E63</f>
        <v>0</v>
      </c>
      <c r="Z66" s="282">
        <f t="shared" si="19"/>
        <v>0</v>
      </c>
      <c r="AA66" s="283">
        <f t="shared" si="20"/>
        <v>0</v>
      </c>
      <c r="AB66" s="325">
        <f t="shared" si="21"/>
        <v>0</v>
      </c>
      <c r="AC66" s="298">
        <f t="shared" si="22"/>
        <v>0</v>
      </c>
      <c r="AD66" s="325">
        <f t="shared" si="23"/>
        <v>0</v>
      </c>
      <c r="AE66" s="284">
        <v>0</v>
      </c>
      <c r="AF66" s="325">
        <f t="shared" si="24"/>
        <v>0</v>
      </c>
      <c r="AG66" s="284">
        <f>8*'[2]Table 5C1W-Willow'!AI66</f>
        <v>0</v>
      </c>
      <c r="AH66" s="284">
        <f t="shared" si="25"/>
        <v>0</v>
      </c>
      <c r="AI66" s="325">
        <f t="shared" si="31"/>
        <v>0</v>
      </c>
      <c r="AJ66" s="338">
        <f t="shared" si="26"/>
        <v>0</v>
      </c>
      <c r="AK66" s="343">
        <f t="shared" si="27"/>
        <v>0</v>
      </c>
      <c r="AM66" s="296">
        <v>0</v>
      </c>
      <c r="AN66" s="296">
        <f t="shared" si="28"/>
        <v>0</v>
      </c>
      <c r="AO66" s="296">
        <f t="shared" si="29"/>
        <v>0</v>
      </c>
    </row>
    <row r="67" spans="1:41" ht="16.149999999999999" customHeight="1">
      <c r="A67" s="205">
        <v>61</v>
      </c>
      <c r="B67" s="206" t="s">
        <v>132</v>
      </c>
      <c r="C67" s="994">
        <v>0</v>
      </c>
      <c r="D67" s="208">
        <f>+'Table 5C1A-Madison Prep'!D67</f>
        <v>2854.1575356369185</v>
      </c>
      <c r="E67" s="209">
        <f t="shared" si="8"/>
        <v>0</v>
      </c>
      <c r="F67" s="209">
        <f>+'Table 5C1A-Madison Prep'!F67</f>
        <v>833.70999999999992</v>
      </c>
      <c r="G67" s="209">
        <f t="shared" si="9"/>
        <v>0</v>
      </c>
      <c r="H67" s="344">
        <f t="shared" si="10"/>
        <v>0</v>
      </c>
      <c r="I67" s="210">
        <f>'[1]Oct midyear Willow'!K64</f>
        <v>0</v>
      </c>
      <c r="J67" s="210">
        <f>'[1]Feb midyear Willow'!K64</f>
        <v>0</v>
      </c>
      <c r="K67" s="211">
        <f t="shared" si="11"/>
        <v>0</v>
      </c>
      <c r="L67" s="344">
        <f t="shared" si="12"/>
        <v>0</v>
      </c>
      <c r="M67" s="273">
        <f t="shared" si="4"/>
        <v>0</v>
      </c>
      <c r="N67" s="344">
        <f t="shared" si="13"/>
        <v>0</v>
      </c>
      <c r="O67" s="208">
        <v>0</v>
      </c>
      <c r="P67" s="350">
        <f t="shared" si="14"/>
        <v>0</v>
      </c>
      <c r="Q67" s="210">
        <f>8*'[2]Table 5C1W-Willow'!S67</f>
        <v>0</v>
      </c>
      <c r="R67" s="210">
        <f t="shared" si="15"/>
        <v>0</v>
      </c>
      <c r="S67" s="350">
        <f t="shared" si="30"/>
        <v>0</v>
      </c>
      <c r="T67" s="350">
        <f t="shared" si="16"/>
        <v>0</v>
      </c>
      <c r="U67" s="274">
        <f>'Table 5C1A-Madison Prep'!U67</f>
        <v>6739</v>
      </c>
      <c r="V67" s="327">
        <f t="shared" si="17"/>
        <v>0</v>
      </c>
      <c r="W67" s="883">
        <f>'[1]Oct midyear Willow'!E64</f>
        <v>0</v>
      </c>
      <c r="X67" s="276">
        <f t="shared" si="18"/>
        <v>0</v>
      </c>
      <c r="Y67" s="883">
        <f>'[1]Feb midyear Willow'!E64</f>
        <v>0</v>
      </c>
      <c r="Z67" s="276">
        <f t="shared" si="19"/>
        <v>0</v>
      </c>
      <c r="AA67" s="275">
        <f t="shared" si="20"/>
        <v>0</v>
      </c>
      <c r="AB67" s="323">
        <f t="shared" si="21"/>
        <v>0</v>
      </c>
      <c r="AC67" s="278">
        <f t="shared" si="22"/>
        <v>0</v>
      </c>
      <c r="AD67" s="323">
        <f t="shared" si="23"/>
        <v>0</v>
      </c>
      <c r="AE67" s="279">
        <v>0</v>
      </c>
      <c r="AF67" s="323">
        <f t="shared" si="24"/>
        <v>0</v>
      </c>
      <c r="AG67" s="279">
        <f>8*'[2]Table 5C1W-Willow'!AI67</f>
        <v>0</v>
      </c>
      <c r="AH67" s="279">
        <f t="shared" si="25"/>
        <v>0</v>
      </c>
      <c r="AI67" s="323">
        <f t="shared" si="31"/>
        <v>0</v>
      </c>
      <c r="AJ67" s="337">
        <f t="shared" si="26"/>
        <v>0</v>
      </c>
      <c r="AK67" s="341">
        <f t="shared" si="27"/>
        <v>0</v>
      </c>
      <c r="AM67" s="273">
        <v>0</v>
      </c>
      <c r="AN67" s="273">
        <f t="shared" si="28"/>
        <v>0</v>
      </c>
      <c r="AO67" s="273">
        <f t="shared" si="29"/>
        <v>0</v>
      </c>
    </row>
    <row r="68" spans="1:41" ht="16.149999999999999" customHeight="1">
      <c r="A68" s="198">
        <v>62</v>
      </c>
      <c r="B68" s="199" t="s">
        <v>133</v>
      </c>
      <c r="C68" s="995">
        <v>0</v>
      </c>
      <c r="D68" s="201">
        <f>+'Table 5C1A-Madison Prep'!D68</f>
        <v>5901.074538516008</v>
      </c>
      <c r="E68" s="202">
        <f t="shared" si="8"/>
        <v>0</v>
      </c>
      <c r="F68" s="202">
        <f>+'Table 5C1A-Madison Prep'!F68</f>
        <v>516.08000000000004</v>
      </c>
      <c r="G68" s="202">
        <f t="shared" si="9"/>
        <v>0</v>
      </c>
      <c r="H68" s="345">
        <f t="shared" si="10"/>
        <v>0</v>
      </c>
      <c r="I68" s="203">
        <f>'[1]Oct midyear Willow'!K65</f>
        <v>0</v>
      </c>
      <c r="J68" s="203">
        <f>'[1]Feb midyear Willow'!K65</f>
        <v>0</v>
      </c>
      <c r="K68" s="204">
        <f t="shared" si="11"/>
        <v>0</v>
      </c>
      <c r="L68" s="345">
        <f t="shared" si="12"/>
        <v>0</v>
      </c>
      <c r="M68" s="286">
        <f t="shared" si="4"/>
        <v>0</v>
      </c>
      <c r="N68" s="345">
        <f t="shared" si="13"/>
        <v>0</v>
      </c>
      <c r="O68" s="201">
        <v>0</v>
      </c>
      <c r="P68" s="351">
        <f t="shared" si="14"/>
        <v>0</v>
      </c>
      <c r="Q68" s="203">
        <f>8*'[2]Table 5C1W-Willow'!S68</f>
        <v>0</v>
      </c>
      <c r="R68" s="203">
        <f t="shared" si="15"/>
        <v>0</v>
      </c>
      <c r="S68" s="351">
        <f t="shared" si="30"/>
        <v>0</v>
      </c>
      <c r="T68" s="351">
        <f t="shared" si="16"/>
        <v>0</v>
      </c>
      <c r="U68" s="287">
        <f>'Table 5C1A-Madison Prep'!U68</f>
        <v>2089</v>
      </c>
      <c r="V68" s="328">
        <f t="shared" si="17"/>
        <v>0</v>
      </c>
      <c r="W68" s="289">
        <f>'[1]Oct midyear Willow'!E65</f>
        <v>0</v>
      </c>
      <c r="X68" s="290">
        <f t="shared" si="18"/>
        <v>0</v>
      </c>
      <c r="Y68" s="289">
        <f>'[1]Feb midyear Willow'!E65</f>
        <v>0</v>
      </c>
      <c r="Z68" s="290">
        <f t="shared" si="19"/>
        <v>0</v>
      </c>
      <c r="AA68" s="288">
        <f t="shared" si="20"/>
        <v>0</v>
      </c>
      <c r="AB68" s="324">
        <f t="shared" si="21"/>
        <v>0</v>
      </c>
      <c r="AC68" s="292">
        <f t="shared" si="22"/>
        <v>0</v>
      </c>
      <c r="AD68" s="324">
        <f t="shared" si="23"/>
        <v>0</v>
      </c>
      <c r="AE68" s="293">
        <v>0</v>
      </c>
      <c r="AF68" s="324">
        <f t="shared" si="24"/>
        <v>0</v>
      </c>
      <c r="AG68" s="293">
        <f>8*'[2]Table 5C1W-Willow'!AI68</f>
        <v>0</v>
      </c>
      <c r="AH68" s="293">
        <f t="shared" si="25"/>
        <v>0</v>
      </c>
      <c r="AI68" s="324">
        <f t="shared" si="31"/>
        <v>0</v>
      </c>
      <c r="AJ68" s="321">
        <f t="shared" si="26"/>
        <v>0</v>
      </c>
      <c r="AK68" s="342">
        <f t="shared" si="27"/>
        <v>0</v>
      </c>
      <c r="AM68" s="286">
        <v>0</v>
      </c>
      <c r="AN68" s="286">
        <f t="shared" si="28"/>
        <v>0</v>
      </c>
      <c r="AO68" s="286">
        <f t="shared" si="29"/>
        <v>0</v>
      </c>
    </row>
    <row r="69" spans="1:41" ht="16.149999999999999" customHeight="1">
      <c r="A69" s="198">
        <v>63</v>
      </c>
      <c r="B69" s="199" t="s">
        <v>134</v>
      </c>
      <c r="C69" s="995">
        <v>0</v>
      </c>
      <c r="D69" s="201">
        <f>+'Table 5C1A-Madison Prep'!D69</f>
        <v>4124.3813481848092</v>
      </c>
      <c r="E69" s="202">
        <f t="shared" si="8"/>
        <v>0</v>
      </c>
      <c r="F69" s="202">
        <f>+'Table 5C1A-Madison Prep'!F69</f>
        <v>756.79</v>
      </c>
      <c r="G69" s="202">
        <f t="shared" si="9"/>
        <v>0</v>
      </c>
      <c r="H69" s="345">
        <f t="shared" si="10"/>
        <v>0</v>
      </c>
      <c r="I69" s="203">
        <f>'[1]Oct midyear Willow'!K66</f>
        <v>0</v>
      </c>
      <c r="J69" s="203">
        <f>'[1]Feb midyear Willow'!K66</f>
        <v>0</v>
      </c>
      <c r="K69" s="204">
        <f t="shared" si="11"/>
        <v>0</v>
      </c>
      <c r="L69" s="345">
        <f t="shared" si="12"/>
        <v>0</v>
      </c>
      <c r="M69" s="286">
        <f t="shared" si="4"/>
        <v>0</v>
      </c>
      <c r="N69" s="345">
        <f t="shared" si="13"/>
        <v>0</v>
      </c>
      <c r="O69" s="201">
        <v>0</v>
      </c>
      <c r="P69" s="351">
        <f t="shared" si="14"/>
        <v>0</v>
      </c>
      <c r="Q69" s="203">
        <f>8*'[2]Table 5C1W-Willow'!S69</f>
        <v>0</v>
      </c>
      <c r="R69" s="203">
        <f t="shared" si="15"/>
        <v>0</v>
      </c>
      <c r="S69" s="351">
        <f t="shared" si="30"/>
        <v>0</v>
      </c>
      <c r="T69" s="351">
        <f t="shared" si="16"/>
        <v>0</v>
      </c>
      <c r="U69" s="287">
        <f>'Table 5C1A-Madison Prep'!U69</f>
        <v>7403</v>
      </c>
      <c r="V69" s="328">
        <f t="shared" si="17"/>
        <v>0</v>
      </c>
      <c r="W69" s="289">
        <f>'[1]Oct midyear Willow'!E66</f>
        <v>0</v>
      </c>
      <c r="X69" s="290">
        <f t="shared" si="18"/>
        <v>0</v>
      </c>
      <c r="Y69" s="289">
        <f>'[1]Feb midyear Willow'!E66</f>
        <v>0</v>
      </c>
      <c r="Z69" s="290">
        <f t="shared" si="19"/>
        <v>0</v>
      </c>
      <c r="AA69" s="288">
        <f t="shared" si="20"/>
        <v>0</v>
      </c>
      <c r="AB69" s="324">
        <f t="shared" si="21"/>
        <v>0</v>
      </c>
      <c r="AC69" s="292">
        <f t="shared" si="22"/>
        <v>0</v>
      </c>
      <c r="AD69" s="324">
        <f t="shared" si="23"/>
        <v>0</v>
      </c>
      <c r="AE69" s="293">
        <v>0</v>
      </c>
      <c r="AF69" s="324">
        <f t="shared" si="24"/>
        <v>0</v>
      </c>
      <c r="AG69" s="293">
        <f>8*'[2]Table 5C1W-Willow'!AI69</f>
        <v>0</v>
      </c>
      <c r="AH69" s="293">
        <f t="shared" si="25"/>
        <v>0</v>
      </c>
      <c r="AI69" s="324">
        <f t="shared" si="31"/>
        <v>0</v>
      </c>
      <c r="AJ69" s="321">
        <f t="shared" si="26"/>
        <v>0</v>
      </c>
      <c r="AK69" s="342">
        <f t="shared" si="27"/>
        <v>0</v>
      </c>
      <c r="AM69" s="286">
        <v>0</v>
      </c>
      <c r="AN69" s="286">
        <f t="shared" si="28"/>
        <v>0</v>
      </c>
      <c r="AO69" s="286">
        <f t="shared" si="29"/>
        <v>0</v>
      </c>
    </row>
    <row r="70" spans="1:41" ht="16.149999999999999" customHeight="1">
      <c r="A70" s="198">
        <v>64</v>
      </c>
      <c r="B70" s="199" t="s">
        <v>135</v>
      </c>
      <c r="C70" s="995">
        <v>0</v>
      </c>
      <c r="D70" s="201">
        <f>+'Table 5C1A-Madison Prep'!D70</f>
        <v>6277.8307532778254</v>
      </c>
      <c r="E70" s="202">
        <f t="shared" si="8"/>
        <v>0</v>
      </c>
      <c r="F70" s="202">
        <f>+'Table 5C1A-Madison Prep'!F70</f>
        <v>592.66</v>
      </c>
      <c r="G70" s="202">
        <f t="shared" si="9"/>
        <v>0</v>
      </c>
      <c r="H70" s="345">
        <f t="shared" si="10"/>
        <v>0</v>
      </c>
      <c r="I70" s="203">
        <f>'[1]Oct midyear Willow'!K67</f>
        <v>0</v>
      </c>
      <c r="J70" s="203">
        <f>'[1]Feb midyear Willow'!K67</f>
        <v>0</v>
      </c>
      <c r="K70" s="204">
        <f t="shared" si="11"/>
        <v>0</v>
      </c>
      <c r="L70" s="345">
        <f t="shared" si="12"/>
        <v>0</v>
      </c>
      <c r="M70" s="286">
        <f t="shared" si="4"/>
        <v>0</v>
      </c>
      <c r="N70" s="345">
        <f t="shared" si="13"/>
        <v>0</v>
      </c>
      <c r="O70" s="201">
        <v>0</v>
      </c>
      <c r="P70" s="351">
        <f t="shared" si="14"/>
        <v>0</v>
      </c>
      <c r="Q70" s="203">
        <f>8*'[2]Table 5C1W-Willow'!S70</f>
        <v>0</v>
      </c>
      <c r="R70" s="203">
        <f t="shared" si="15"/>
        <v>0</v>
      </c>
      <c r="S70" s="351">
        <f t="shared" si="30"/>
        <v>0</v>
      </c>
      <c r="T70" s="351">
        <f t="shared" si="16"/>
        <v>0</v>
      </c>
      <c r="U70" s="287">
        <f>'Table 5C1A-Madison Prep'!U70</f>
        <v>2802</v>
      </c>
      <c r="V70" s="328">
        <f t="shared" si="17"/>
        <v>0</v>
      </c>
      <c r="W70" s="289">
        <f>'[1]Oct midyear Willow'!E67</f>
        <v>0</v>
      </c>
      <c r="X70" s="290">
        <f t="shared" si="18"/>
        <v>0</v>
      </c>
      <c r="Y70" s="289">
        <f>'[1]Feb midyear Willow'!E67</f>
        <v>0</v>
      </c>
      <c r="Z70" s="290">
        <f t="shared" si="19"/>
        <v>0</v>
      </c>
      <c r="AA70" s="288">
        <f t="shared" si="20"/>
        <v>0</v>
      </c>
      <c r="AB70" s="324">
        <f t="shared" si="21"/>
        <v>0</v>
      </c>
      <c r="AC70" s="292">
        <f t="shared" si="22"/>
        <v>0</v>
      </c>
      <c r="AD70" s="324">
        <f t="shared" si="23"/>
        <v>0</v>
      </c>
      <c r="AE70" s="293">
        <v>0</v>
      </c>
      <c r="AF70" s="324">
        <f t="shared" si="24"/>
        <v>0</v>
      </c>
      <c r="AG70" s="293">
        <f>8*'[2]Table 5C1W-Willow'!AI70</f>
        <v>0</v>
      </c>
      <c r="AH70" s="293">
        <f t="shared" si="25"/>
        <v>0</v>
      </c>
      <c r="AI70" s="324">
        <f t="shared" si="31"/>
        <v>0</v>
      </c>
      <c r="AJ70" s="321">
        <f t="shared" si="26"/>
        <v>0</v>
      </c>
      <c r="AK70" s="342">
        <f t="shared" si="27"/>
        <v>0</v>
      </c>
      <c r="AM70" s="286">
        <v>0</v>
      </c>
      <c r="AN70" s="286">
        <f t="shared" si="28"/>
        <v>0</v>
      </c>
      <c r="AO70" s="286">
        <f t="shared" si="29"/>
        <v>0</v>
      </c>
    </row>
    <row r="71" spans="1:41" ht="16.149999999999999" customHeight="1">
      <c r="A71" s="191">
        <v>65</v>
      </c>
      <c r="B71" s="192" t="s">
        <v>136</v>
      </c>
      <c r="C71" s="996">
        <v>0</v>
      </c>
      <c r="D71" s="194">
        <f>+'Table 5C1A-Madison Prep'!D71</f>
        <v>4775.1605543943642</v>
      </c>
      <c r="E71" s="195">
        <f t="shared" si="8"/>
        <v>0</v>
      </c>
      <c r="F71" s="195">
        <f>+'Table 5C1A-Madison Prep'!F71</f>
        <v>829.12</v>
      </c>
      <c r="G71" s="195">
        <f t="shared" si="9"/>
        <v>0</v>
      </c>
      <c r="H71" s="346">
        <f t="shared" si="10"/>
        <v>0</v>
      </c>
      <c r="I71" s="196">
        <f>'[1]Oct midyear Willow'!K68</f>
        <v>0</v>
      </c>
      <c r="J71" s="196">
        <f>'[1]Feb midyear Willow'!K68</f>
        <v>0</v>
      </c>
      <c r="K71" s="197">
        <f t="shared" si="11"/>
        <v>0</v>
      </c>
      <c r="L71" s="346">
        <f t="shared" si="12"/>
        <v>0</v>
      </c>
      <c r="M71" s="296">
        <f t="shared" ref="M71:M74" si="32">-(0.25%*L71)</f>
        <v>0</v>
      </c>
      <c r="N71" s="346">
        <f t="shared" si="13"/>
        <v>0</v>
      </c>
      <c r="O71" s="194">
        <v>0</v>
      </c>
      <c r="P71" s="352">
        <f t="shared" si="14"/>
        <v>0</v>
      </c>
      <c r="Q71" s="196">
        <f>8*'[2]Table 5C1W-Willow'!S71</f>
        <v>0</v>
      </c>
      <c r="R71" s="196">
        <f t="shared" si="15"/>
        <v>0</v>
      </c>
      <c r="S71" s="352">
        <f t="shared" ref="S71:S75" si="33">ROUND(R71/$S$88,0)</f>
        <v>0</v>
      </c>
      <c r="T71" s="352">
        <f t="shared" si="16"/>
        <v>0</v>
      </c>
      <c r="U71" s="281">
        <f>'Table 5C1A-Madison Prep'!U71</f>
        <v>5215</v>
      </c>
      <c r="V71" s="329">
        <f t="shared" si="17"/>
        <v>0</v>
      </c>
      <c r="W71" s="884">
        <f>'[1]Oct midyear Willow'!E68</f>
        <v>0</v>
      </c>
      <c r="X71" s="282">
        <f t="shared" si="18"/>
        <v>0</v>
      </c>
      <c r="Y71" s="884">
        <f>'[1]Feb midyear Willow'!E68</f>
        <v>0</v>
      </c>
      <c r="Z71" s="282">
        <f t="shared" si="19"/>
        <v>0</v>
      </c>
      <c r="AA71" s="283">
        <f t="shared" si="20"/>
        <v>0</v>
      </c>
      <c r="AB71" s="325">
        <f t="shared" si="21"/>
        <v>0</v>
      </c>
      <c r="AC71" s="298">
        <f t="shared" si="22"/>
        <v>0</v>
      </c>
      <c r="AD71" s="325">
        <f t="shared" si="23"/>
        <v>0</v>
      </c>
      <c r="AE71" s="284">
        <v>0</v>
      </c>
      <c r="AF71" s="325">
        <f t="shared" si="24"/>
        <v>0</v>
      </c>
      <c r="AG71" s="284">
        <f>8*'[2]Table 5C1W-Willow'!AI71</f>
        <v>0</v>
      </c>
      <c r="AH71" s="284">
        <f t="shared" si="25"/>
        <v>0</v>
      </c>
      <c r="AI71" s="325">
        <f t="shared" ref="AI71:AI75" si="34">ROUND(AH71/$AI$88,0)</f>
        <v>0</v>
      </c>
      <c r="AJ71" s="338">
        <f t="shared" si="26"/>
        <v>0</v>
      </c>
      <c r="AK71" s="343">
        <f t="shared" si="27"/>
        <v>0</v>
      </c>
      <c r="AM71" s="296">
        <v>0</v>
      </c>
      <c r="AN71" s="296">
        <f t="shared" si="28"/>
        <v>0</v>
      </c>
      <c r="AO71" s="296">
        <f t="shared" si="29"/>
        <v>0</v>
      </c>
    </row>
    <row r="72" spans="1:41" ht="16.149999999999999" customHeight="1">
      <c r="A72" s="205">
        <v>66</v>
      </c>
      <c r="B72" s="206" t="s">
        <v>137</v>
      </c>
      <c r="C72" s="994">
        <v>0</v>
      </c>
      <c r="D72" s="208">
        <f>+'Table 5C1A-Madison Prep'!D72</f>
        <v>6564.0085433910035</v>
      </c>
      <c r="E72" s="209">
        <f t="shared" ref="E72:E75" si="35">C72*D72</f>
        <v>0</v>
      </c>
      <c r="F72" s="209">
        <f>+'Table 5C1A-Madison Prep'!F72</f>
        <v>730.06</v>
      </c>
      <c r="G72" s="209">
        <f t="shared" ref="G72:G75" si="36">C72*F72</f>
        <v>0</v>
      </c>
      <c r="H72" s="344">
        <f t="shared" ref="H72:H75" si="37">E72+G72</f>
        <v>0</v>
      </c>
      <c r="I72" s="210">
        <f>'[1]Oct midyear Willow'!K69</f>
        <v>0</v>
      </c>
      <c r="J72" s="210">
        <f>'[1]Feb midyear Willow'!K69</f>
        <v>0</v>
      </c>
      <c r="K72" s="211">
        <f t="shared" ref="K72:K75" si="38">I72+J72</f>
        <v>0</v>
      </c>
      <c r="L72" s="344">
        <f t="shared" ref="L72:L75" si="39">+H72+K72</f>
        <v>0</v>
      </c>
      <c r="M72" s="273">
        <f t="shared" si="32"/>
        <v>0</v>
      </c>
      <c r="N72" s="344">
        <f t="shared" ref="N72:N75" si="40">SUM(L72:M72)</f>
        <v>0</v>
      </c>
      <c r="O72" s="208">
        <v>0</v>
      </c>
      <c r="P72" s="350">
        <f t="shared" ref="P72:P75" si="41">SUM(N72:O72)</f>
        <v>0</v>
      </c>
      <c r="Q72" s="210">
        <f>8*'[2]Table 5C1W-Willow'!S72</f>
        <v>0</v>
      </c>
      <c r="R72" s="210">
        <f t="shared" ref="R72:R75" si="42">+P72-Q72</f>
        <v>0</v>
      </c>
      <c r="S72" s="350">
        <f t="shared" si="33"/>
        <v>0</v>
      </c>
      <c r="T72" s="350">
        <f t="shared" ref="T72:T75" si="43">+P72</f>
        <v>0</v>
      </c>
      <c r="U72" s="274">
        <f>'Table 5C1A-Madison Prep'!U72</f>
        <v>3609</v>
      </c>
      <c r="V72" s="327">
        <f t="shared" ref="V72:V75" si="44">C72*U72</f>
        <v>0</v>
      </c>
      <c r="W72" s="883">
        <f>'[1]Oct midyear Willow'!E69</f>
        <v>0</v>
      </c>
      <c r="X72" s="276">
        <f t="shared" ref="X72:X75" si="45">+U72*W72</f>
        <v>0</v>
      </c>
      <c r="Y72" s="883">
        <f>'[1]Feb midyear Willow'!E69</f>
        <v>0</v>
      </c>
      <c r="Z72" s="276">
        <f t="shared" ref="Z72:Z75" si="46">+U72*Y72*0.5</f>
        <v>0</v>
      </c>
      <c r="AA72" s="275">
        <f t="shared" ref="AA72:AA75" si="47">+X72+Z72</f>
        <v>0</v>
      </c>
      <c r="AB72" s="323">
        <f t="shared" ref="AB72:AB75" si="48">+V72+AA72</f>
        <v>0</v>
      </c>
      <c r="AC72" s="278">
        <f t="shared" ref="AC72:AC75" si="49">-(0.25%*AB72)</f>
        <v>0</v>
      </c>
      <c r="AD72" s="323">
        <f t="shared" ref="AD72:AD75" si="50">SUM(AB72:AC72)</f>
        <v>0</v>
      </c>
      <c r="AE72" s="279">
        <v>0</v>
      </c>
      <c r="AF72" s="323">
        <f t="shared" ref="AF72:AF75" si="51">SUM(AD72:AE72)</f>
        <v>0</v>
      </c>
      <c r="AG72" s="279">
        <f>8*'[2]Table 5C1W-Willow'!AI72</f>
        <v>0</v>
      </c>
      <c r="AH72" s="279">
        <f t="shared" ref="AH72:AH75" si="52">+AF72-AG72</f>
        <v>0</v>
      </c>
      <c r="AI72" s="323">
        <f t="shared" si="34"/>
        <v>0</v>
      </c>
      <c r="AJ72" s="337">
        <f t="shared" ref="AJ72:AJ75" si="53">T72+AF72</f>
        <v>0</v>
      </c>
      <c r="AK72" s="341">
        <f t="shared" ref="AK72:AK75" si="54">S72+AI72</f>
        <v>0</v>
      </c>
      <c r="AM72" s="310">
        <v>0</v>
      </c>
      <c r="AN72" s="310">
        <f t="shared" ref="AN72:AN75" si="55">+AC72</f>
        <v>0</v>
      </c>
      <c r="AO72" s="310">
        <f t="shared" si="29"/>
        <v>0</v>
      </c>
    </row>
    <row r="73" spans="1:41" ht="16.149999999999999" customHeight="1">
      <c r="A73" s="198">
        <v>67</v>
      </c>
      <c r="B73" s="199" t="s">
        <v>28</v>
      </c>
      <c r="C73" s="995">
        <v>0</v>
      </c>
      <c r="D73" s="201">
        <f>+'Table 5C1A-Madison Prep'!D73</f>
        <v>5029.1467736134118</v>
      </c>
      <c r="E73" s="202">
        <f t="shared" si="35"/>
        <v>0</v>
      </c>
      <c r="F73" s="202">
        <f>+'Table 5C1A-Madison Prep'!F73</f>
        <v>715.61</v>
      </c>
      <c r="G73" s="202">
        <f t="shared" si="36"/>
        <v>0</v>
      </c>
      <c r="H73" s="345">
        <f t="shared" si="37"/>
        <v>0</v>
      </c>
      <c r="I73" s="203">
        <f>'[1]Oct midyear Willow'!K70</f>
        <v>0</v>
      </c>
      <c r="J73" s="203">
        <f>'[1]Feb midyear Willow'!K70</f>
        <v>0</v>
      </c>
      <c r="K73" s="204">
        <f t="shared" si="38"/>
        <v>0</v>
      </c>
      <c r="L73" s="345">
        <f t="shared" si="39"/>
        <v>0</v>
      </c>
      <c r="M73" s="286">
        <f t="shared" si="32"/>
        <v>0</v>
      </c>
      <c r="N73" s="345">
        <f t="shared" si="40"/>
        <v>0</v>
      </c>
      <c r="O73" s="201">
        <v>0</v>
      </c>
      <c r="P73" s="351">
        <f t="shared" si="41"/>
        <v>0</v>
      </c>
      <c r="Q73" s="203">
        <f>8*'[2]Table 5C1W-Willow'!S73</f>
        <v>0</v>
      </c>
      <c r="R73" s="203">
        <f t="shared" si="42"/>
        <v>0</v>
      </c>
      <c r="S73" s="351">
        <f t="shared" si="33"/>
        <v>0</v>
      </c>
      <c r="T73" s="351">
        <f t="shared" si="43"/>
        <v>0</v>
      </c>
      <c r="U73" s="287">
        <f>'Table 5C1A-Madison Prep'!U73</f>
        <v>5069</v>
      </c>
      <c r="V73" s="328">
        <f t="shared" si="44"/>
        <v>0</v>
      </c>
      <c r="W73" s="289">
        <f>'[1]Oct midyear Willow'!E70</f>
        <v>0</v>
      </c>
      <c r="X73" s="290">
        <f t="shared" si="45"/>
        <v>0</v>
      </c>
      <c r="Y73" s="289">
        <f>'[1]Feb midyear Willow'!E70</f>
        <v>0</v>
      </c>
      <c r="Z73" s="290">
        <f t="shared" si="46"/>
        <v>0</v>
      </c>
      <c r="AA73" s="288">
        <f t="shared" si="47"/>
        <v>0</v>
      </c>
      <c r="AB73" s="324">
        <f t="shared" si="48"/>
        <v>0</v>
      </c>
      <c r="AC73" s="292">
        <f t="shared" si="49"/>
        <v>0</v>
      </c>
      <c r="AD73" s="324">
        <f t="shared" si="50"/>
        <v>0</v>
      </c>
      <c r="AE73" s="293">
        <v>0</v>
      </c>
      <c r="AF73" s="324">
        <f t="shared" si="51"/>
        <v>0</v>
      </c>
      <c r="AG73" s="293">
        <f>8*'[2]Table 5C1W-Willow'!AI73</f>
        <v>0</v>
      </c>
      <c r="AH73" s="293">
        <f t="shared" si="52"/>
        <v>0</v>
      </c>
      <c r="AI73" s="324">
        <f t="shared" si="34"/>
        <v>0</v>
      </c>
      <c r="AJ73" s="321">
        <f t="shared" si="53"/>
        <v>0</v>
      </c>
      <c r="AK73" s="342">
        <f t="shared" si="54"/>
        <v>0</v>
      </c>
      <c r="AM73" s="310">
        <v>0</v>
      </c>
      <c r="AN73" s="310">
        <f t="shared" si="55"/>
        <v>0</v>
      </c>
      <c r="AO73" s="310">
        <f t="shared" si="29"/>
        <v>0</v>
      </c>
    </row>
    <row r="74" spans="1:41" ht="16.149999999999999" customHeight="1">
      <c r="A74" s="198">
        <v>68</v>
      </c>
      <c r="B74" s="199" t="s">
        <v>27</v>
      </c>
      <c r="C74" s="995">
        <v>0</v>
      </c>
      <c r="D74" s="201">
        <f>+'Table 5C1A-Madison Prep'!D74</f>
        <v>6390.1644202560601</v>
      </c>
      <c r="E74" s="202">
        <f t="shared" si="35"/>
        <v>0</v>
      </c>
      <c r="F74" s="202">
        <f>+'Table 5C1A-Madison Prep'!F74</f>
        <v>798.7</v>
      </c>
      <c r="G74" s="202">
        <f t="shared" si="36"/>
        <v>0</v>
      </c>
      <c r="H74" s="345">
        <f t="shared" si="37"/>
        <v>0</v>
      </c>
      <c r="I74" s="203">
        <f>'[1]Oct midyear Willow'!K71</f>
        <v>0</v>
      </c>
      <c r="J74" s="203">
        <f>'[1]Feb midyear Willow'!K71</f>
        <v>0</v>
      </c>
      <c r="K74" s="204">
        <f t="shared" si="38"/>
        <v>0</v>
      </c>
      <c r="L74" s="345">
        <f t="shared" si="39"/>
        <v>0</v>
      </c>
      <c r="M74" s="286">
        <f t="shared" si="32"/>
        <v>0</v>
      </c>
      <c r="N74" s="345">
        <f t="shared" si="40"/>
        <v>0</v>
      </c>
      <c r="O74" s="201">
        <v>0</v>
      </c>
      <c r="P74" s="351">
        <f t="shared" si="41"/>
        <v>0</v>
      </c>
      <c r="Q74" s="203">
        <f>8*'[2]Table 5C1W-Willow'!S74</f>
        <v>0</v>
      </c>
      <c r="R74" s="203">
        <f t="shared" si="42"/>
        <v>0</v>
      </c>
      <c r="S74" s="351">
        <f t="shared" si="33"/>
        <v>0</v>
      </c>
      <c r="T74" s="351">
        <f t="shared" si="43"/>
        <v>0</v>
      </c>
      <c r="U74" s="287">
        <f>'Table 5C1A-Madison Prep'!U74</f>
        <v>2880</v>
      </c>
      <c r="V74" s="328">
        <f t="shared" si="44"/>
        <v>0</v>
      </c>
      <c r="W74" s="289">
        <f>'[1]Oct midyear Willow'!E71</f>
        <v>0</v>
      </c>
      <c r="X74" s="290">
        <f t="shared" si="45"/>
        <v>0</v>
      </c>
      <c r="Y74" s="289">
        <f>'[1]Feb midyear Willow'!E71</f>
        <v>0</v>
      </c>
      <c r="Z74" s="290">
        <f t="shared" si="46"/>
        <v>0</v>
      </c>
      <c r="AA74" s="288">
        <f t="shared" si="47"/>
        <v>0</v>
      </c>
      <c r="AB74" s="324">
        <f t="shared" si="48"/>
        <v>0</v>
      </c>
      <c r="AC74" s="292">
        <f t="shared" si="49"/>
        <v>0</v>
      </c>
      <c r="AD74" s="324">
        <f t="shared" si="50"/>
        <v>0</v>
      </c>
      <c r="AE74" s="293">
        <v>0</v>
      </c>
      <c r="AF74" s="324">
        <f t="shared" si="51"/>
        <v>0</v>
      </c>
      <c r="AG74" s="293">
        <f>8*'[2]Table 5C1W-Willow'!AI74</f>
        <v>0</v>
      </c>
      <c r="AH74" s="293">
        <f t="shared" si="52"/>
        <v>0</v>
      </c>
      <c r="AI74" s="324">
        <f t="shared" si="34"/>
        <v>0</v>
      </c>
      <c r="AJ74" s="321">
        <f t="shared" si="53"/>
        <v>0</v>
      </c>
      <c r="AK74" s="342">
        <f t="shared" si="54"/>
        <v>0</v>
      </c>
      <c r="AM74" s="310">
        <v>0</v>
      </c>
      <c r="AN74" s="310">
        <f t="shared" si="55"/>
        <v>0</v>
      </c>
      <c r="AO74" s="310">
        <f t="shared" si="29"/>
        <v>0</v>
      </c>
    </row>
    <row r="75" spans="1:41" ht="16.149999999999999" customHeight="1">
      <c r="A75" s="198">
        <v>69</v>
      </c>
      <c r="B75" s="199" t="s">
        <v>147</v>
      </c>
      <c r="C75" s="995">
        <v>0</v>
      </c>
      <c r="D75" s="201">
        <f>+'Table 5C1A-Madison Prep'!D75</f>
        <v>5722.4947921281337</v>
      </c>
      <c r="E75" s="202">
        <f t="shared" si="35"/>
        <v>0</v>
      </c>
      <c r="F75" s="202">
        <f>+'Table 5C1A-Madison Prep'!F75</f>
        <v>705.67</v>
      </c>
      <c r="G75" s="202">
        <f t="shared" si="36"/>
        <v>0</v>
      </c>
      <c r="H75" s="345">
        <f t="shared" si="37"/>
        <v>0</v>
      </c>
      <c r="I75" s="203">
        <f>'[1]Oct midyear Willow'!K72</f>
        <v>0</v>
      </c>
      <c r="J75" s="203">
        <f>'[1]Feb midyear Willow'!K72</f>
        <v>0</v>
      </c>
      <c r="K75" s="204">
        <f t="shared" si="38"/>
        <v>0</v>
      </c>
      <c r="L75" s="345">
        <f t="shared" si="39"/>
        <v>0</v>
      </c>
      <c r="M75" s="286">
        <f>-(0.25%*L75)</f>
        <v>0</v>
      </c>
      <c r="N75" s="345">
        <f t="shared" si="40"/>
        <v>0</v>
      </c>
      <c r="O75" s="201">
        <v>0</v>
      </c>
      <c r="P75" s="351">
        <f t="shared" si="41"/>
        <v>0</v>
      </c>
      <c r="Q75" s="203">
        <f>8*'[2]Table 5C1W-Willow'!S75</f>
        <v>0</v>
      </c>
      <c r="R75" s="203">
        <f t="shared" si="42"/>
        <v>0</v>
      </c>
      <c r="S75" s="351">
        <f t="shared" si="33"/>
        <v>0</v>
      </c>
      <c r="T75" s="351">
        <f t="shared" si="43"/>
        <v>0</v>
      </c>
      <c r="U75" s="287">
        <f>'Table 5C1A-Madison Prep'!U75</f>
        <v>3330</v>
      </c>
      <c r="V75" s="328">
        <f t="shared" si="44"/>
        <v>0</v>
      </c>
      <c r="W75" s="289">
        <f>'[1]Oct midyear Willow'!E72</f>
        <v>0</v>
      </c>
      <c r="X75" s="290">
        <f t="shared" si="45"/>
        <v>0</v>
      </c>
      <c r="Y75" s="289">
        <f>'[1]Feb midyear Willow'!E72</f>
        <v>0</v>
      </c>
      <c r="Z75" s="290">
        <f t="shared" si="46"/>
        <v>0</v>
      </c>
      <c r="AA75" s="288">
        <f t="shared" si="47"/>
        <v>0</v>
      </c>
      <c r="AB75" s="324">
        <f t="shared" si="48"/>
        <v>0</v>
      </c>
      <c r="AC75" s="292">
        <f t="shared" si="49"/>
        <v>0</v>
      </c>
      <c r="AD75" s="324">
        <f t="shared" si="50"/>
        <v>0</v>
      </c>
      <c r="AE75" s="293">
        <v>0</v>
      </c>
      <c r="AF75" s="324">
        <f t="shared" si="51"/>
        <v>0</v>
      </c>
      <c r="AG75" s="293">
        <f>8*'[2]Table 5C1W-Willow'!AI75</f>
        <v>0</v>
      </c>
      <c r="AH75" s="293">
        <f t="shared" si="52"/>
        <v>0</v>
      </c>
      <c r="AI75" s="324">
        <f t="shared" si="34"/>
        <v>0</v>
      </c>
      <c r="AJ75" s="321">
        <f t="shared" si="53"/>
        <v>0</v>
      </c>
      <c r="AK75" s="342">
        <f t="shared" si="54"/>
        <v>0</v>
      </c>
      <c r="AM75" s="300">
        <v>0</v>
      </c>
      <c r="AN75" s="300">
        <f t="shared" si="55"/>
        <v>0</v>
      </c>
      <c r="AO75" s="300">
        <f t="shared" si="29"/>
        <v>0</v>
      </c>
    </row>
    <row r="76" spans="1:41" ht="16.149999999999999" customHeight="1" thickBot="1">
      <c r="A76" s="1442" t="s">
        <v>711</v>
      </c>
      <c r="B76" s="1415"/>
      <c r="C76" s="1001">
        <f>SUM(C7:C75)</f>
        <v>0</v>
      </c>
      <c r="D76" s="28">
        <f>+'Table 5C1A-Madison Prep'!D76</f>
        <v>4479.9292126977662</v>
      </c>
      <c r="E76" s="35">
        <f>SUM(E7:E75)</f>
        <v>0</v>
      </c>
      <c r="F76" s="35">
        <f>+'Table 5C1A-Madison Prep'!F76</f>
        <v>704.64781030742063</v>
      </c>
      <c r="G76" s="35">
        <f t="shared" ref="G76:T76" si="56">SUM(G7:G75)</f>
        <v>0</v>
      </c>
      <c r="H76" s="348">
        <f t="shared" si="56"/>
        <v>0</v>
      </c>
      <c r="I76" s="70">
        <f t="shared" si="56"/>
        <v>1979692.2778677659</v>
      </c>
      <c r="J76" s="70">
        <f t="shared" si="56"/>
        <v>-56874.824190605577</v>
      </c>
      <c r="K76" s="56">
        <f t="shared" si="56"/>
        <v>1922817.4536771602</v>
      </c>
      <c r="L76" s="364">
        <f t="shared" si="56"/>
        <v>1922817.4536771602</v>
      </c>
      <c r="M76" s="36">
        <f t="shared" si="56"/>
        <v>-4807.0436341929017</v>
      </c>
      <c r="N76" s="348">
        <f t="shared" si="56"/>
        <v>1918010.4100429676</v>
      </c>
      <c r="O76" s="28">
        <f t="shared" si="56"/>
        <v>0</v>
      </c>
      <c r="P76" s="354">
        <f t="shared" si="56"/>
        <v>1918010.4100429676</v>
      </c>
      <c r="Q76" s="70">
        <f t="shared" si="56"/>
        <v>1223112</v>
      </c>
      <c r="R76" s="70">
        <f t="shared" si="56"/>
        <v>694898.41004296718</v>
      </c>
      <c r="S76" s="354">
        <f t="shared" si="56"/>
        <v>173723</v>
      </c>
      <c r="T76" s="354">
        <f t="shared" si="56"/>
        <v>1918010.4100429676</v>
      </c>
      <c r="U76" s="83">
        <f>'Table 5C1A-Madison Prep'!U76</f>
        <v>4703</v>
      </c>
      <c r="V76" s="330">
        <f t="shared" ref="V76:AK76" si="57">SUM(V7:V75)</f>
        <v>0</v>
      </c>
      <c r="W76" s="74">
        <f t="shared" si="57"/>
        <v>483</v>
      </c>
      <c r="X76" s="75">
        <f t="shared" si="57"/>
        <v>2610180</v>
      </c>
      <c r="Y76" s="74">
        <f t="shared" si="57"/>
        <v>-27</v>
      </c>
      <c r="Z76" s="75">
        <f t="shared" si="57"/>
        <v>-72106</v>
      </c>
      <c r="AA76" s="63">
        <f t="shared" si="57"/>
        <v>2538074</v>
      </c>
      <c r="AB76" s="332">
        <f t="shared" si="57"/>
        <v>2538074</v>
      </c>
      <c r="AC76" s="37">
        <f t="shared" si="57"/>
        <v>-6345.1850000000004</v>
      </c>
      <c r="AD76" s="330">
        <f t="shared" si="57"/>
        <v>2531728.8150000004</v>
      </c>
      <c r="AE76" s="85">
        <f t="shared" si="57"/>
        <v>0</v>
      </c>
      <c r="AF76" s="330">
        <f t="shared" si="57"/>
        <v>2531728.8150000004</v>
      </c>
      <c r="AG76" s="75">
        <f t="shared" si="57"/>
        <v>1848168</v>
      </c>
      <c r="AH76" s="75">
        <f t="shared" si="57"/>
        <v>683560.81500000006</v>
      </c>
      <c r="AI76" s="330">
        <f t="shared" si="57"/>
        <v>170890</v>
      </c>
      <c r="AJ76" s="339">
        <f t="shared" si="57"/>
        <v>4449739.2250429671</v>
      </c>
      <c r="AK76" s="339">
        <f t="shared" si="57"/>
        <v>344613</v>
      </c>
      <c r="AM76" s="36">
        <f>SUM(AM7:AM75)</f>
        <v>-6948</v>
      </c>
      <c r="AN76" s="36">
        <f>SUM(AN7:AN75)</f>
        <v>-6345.1850000000004</v>
      </c>
      <c r="AO76" s="36">
        <f>SUM(AO7:AO75)</f>
        <v>602.8149999999996</v>
      </c>
    </row>
    <row r="77" spans="1:41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0"/>
      <c r="O77" s="220"/>
      <c r="P77" s="295">
        <f>'Table 4 Level 4'!$E115</f>
        <v>0</v>
      </c>
      <c r="Q77" s="222">
        <f>8*'[2]Table 5C1W-Willow'!S77</f>
        <v>0</v>
      </c>
      <c r="R77" s="222">
        <f t="shared" ref="R77" si="58">+P77-Q77</f>
        <v>0</v>
      </c>
      <c r="S77" s="295">
        <f t="shared" ref="S77:S81" si="59">ROUND(R77/$S$88,0)</f>
        <v>0</v>
      </c>
      <c r="T77" s="295">
        <f>'Table 4 Level 4'!$E115</f>
        <v>0</v>
      </c>
      <c r="U77" s="287"/>
      <c r="V77" s="290"/>
      <c r="W77" s="289"/>
      <c r="X77" s="290"/>
      <c r="Y77" s="289"/>
      <c r="Z77" s="290"/>
      <c r="AA77" s="290"/>
      <c r="AB77" s="293"/>
      <c r="AC77" s="290"/>
      <c r="AD77" s="293"/>
      <c r="AE77" s="293"/>
      <c r="AF77" s="293"/>
      <c r="AG77" s="293"/>
      <c r="AH77" s="293"/>
      <c r="AI77" s="293"/>
      <c r="AJ77" s="321">
        <f t="shared" ref="AJ77:AJ81" si="60">T77+AF77</f>
        <v>0</v>
      </c>
      <c r="AK77" s="321">
        <f t="shared" ref="AK77:AK81" si="61">S77+AI77</f>
        <v>0</v>
      </c>
    </row>
    <row r="78" spans="1:41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0"/>
      <c r="O78" s="220"/>
      <c r="P78" s="222"/>
      <c r="Q78" s="222"/>
      <c r="R78" s="222"/>
      <c r="S78" s="222"/>
      <c r="T78" s="295">
        <f>'Table 4 Level 4'!$J115</f>
        <v>0</v>
      </c>
      <c r="U78" s="287"/>
      <c r="V78" s="290"/>
      <c r="W78" s="289"/>
      <c r="X78" s="290"/>
      <c r="Y78" s="289"/>
      <c r="Z78" s="290"/>
      <c r="AA78" s="290"/>
      <c r="AB78" s="293"/>
      <c r="AC78" s="290"/>
      <c r="AD78" s="293"/>
      <c r="AE78" s="293"/>
      <c r="AF78" s="293"/>
      <c r="AG78" s="293"/>
      <c r="AH78" s="293"/>
      <c r="AI78" s="293"/>
      <c r="AJ78" s="321">
        <f t="shared" si="60"/>
        <v>0</v>
      </c>
      <c r="AK78" s="293"/>
    </row>
    <row r="79" spans="1:41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0"/>
      <c r="O79" s="220"/>
      <c r="P79" s="222"/>
      <c r="Q79" s="222"/>
      <c r="R79" s="222"/>
      <c r="S79" s="222"/>
      <c r="T79" s="295">
        <f>'Table 4 Level 4'!$L115</f>
        <v>0</v>
      </c>
      <c r="U79" s="287"/>
      <c r="V79" s="290"/>
      <c r="W79" s="289"/>
      <c r="X79" s="290"/>
      <c r="Y79" s="289"/>
      <c r="Z79" s="290"/>
      <c r="AA79" s="290"/>
      <c r="AB79" s="293"/>
      <c r="AC79" s="290"/>
      <c r="AD79" s="293"/>
      <c r="AE79" s="293"/>
      <c r="AF79" s="293"/>
      <c r="AG79" s="293"/>
      <c r="AH79" s="293"/>
      <c r="AI79" s="293"/>
      <c r="AJ79" s="321">
        <f t="shared" si="60"/>
        <v>0</v>
      </c>
      <c r="AK79" s="293"/>
    </row>
    <row r="80" spans="1:41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0"/>
      <c r="O80" s="220"/>
      <c r="P80" s="222"/>
      <c r="Q80" s="222"/>
      <c r="R80" s="222"/>
      <c r="S80" s="222"/>
      <c r="T80" s="295">
        <f>'Table 4 Level 4'!$M115</f>
        <v>0</v>
      </c>
      <c r="U80" s="287"/>
      <c r="V80" s="290"/>
      <c r="W80" s="289"/>
      <c r="X80" s="290"/>
      <c r="Y80" s="289"/>
      <c r="Z80" s="290"/>
      <c r="AA80" s="290"/>
      <c r="AB80" s="293"/>
      <c r="AC80" s="290"/>
      <c r="AD80" s="293"/>
      <c r="AE80" s="293"/>
      <c r="AF80" s="293"/>
      <c r="AG80" s="293"/>
      <c r="AH80" s="293"/>
      <c r="AI80" s="293"/>
      <c r="AJ80" s="321">
        <f t="shared" si="60"/>
        <v>0</v>
      </c>
      <c r="AK80" s="293"/>
    </row>
    <row r="81" spans="1:37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5"/>
      <c r="O81" s="215"/>
      <c r="P81" s="353">
        <f>'Table 4 Level 4'!O115</f>
        <v>0</v>
      </c>
      <c r="Q81" s="217">
        <f>8*'[2]Table 5C1W-Willow'!S81</f>
        <v>0</v>
      </c>
      <c r="R81" s="217">
        <f t="shared" ref="R81" si="62">+P81-Q81</f>
        <v>0</v>
      </c>
      <c r="S81" s="353">
        <f t="shared" si="59"/>
        <v>0</v>
      </c>
      <c r="T81" s="353">
        <f>P81</f>
        <v>0</v>
      </c>
      <c r="U81" s="308"/>
      <c r="V81" s="302"/>
      <c r="W81" s="301"/>
      <c r="X81" s="302"/>
      <c r="Y81" s="301"/>
      <c r="Z81" s="302"/>
      <c r="AA81" s="302"/>
      <c r="AB81" s="307"/>
      <c r="AC81" s="302"/>
      <c r="AD81" s="307"/>
      <c r="AE81" s="307"/>
      <c r="AF81" s="307"/>
      <c r="AG81" s="307"/>
      <c r="AH81" s="307"/>
      <c r="AI81" s="307"/>
      <c r="AJ81" s="322">
        <f t="shared" si="60"/>
        <v>0</v>
      </c>
      <c r="AK81" s="322">
        <f t="shared" si="61"/>
        <v>0</v>
      </c>
    </row>
    <row r="82" spans="1:37" ht="16.149999999999999" customHeight="1" thickBot="1">
      <c r="A82" s="1442" t="s">
        <v>710</v>
      </c>
      <c r="B82" s="1415"/>
      <c r="C82" s="136">
        <f>SUM(C76:C81)</f>
        <v>0</v>
      </c>
      <c r="D82" s="128">
        <f t="shared" ref="D82:AK82" si="63">SUM(D76:D81)</f>
        <v>4479.9292126977662</v>
      </c>
      <c r="E82" s="128">
        <f t="shared" si="63"/>
        <v>0</v>
      </c>
      <c r="F82" s="128">
        <f t="shared" si="63"/>
        <v>704.64781030742063</v>
      </c>
      <c r="G82" s="128">
        <f t="shared" si="63"/>
        <v>0</v>
      </c>
      <c r="H82" s="128">
        <f t="shared" si="63"/>
        <v>0</v>
      </c>
      <c r="I82" s="133">
        <f t="shared" si="63"/>
        <v>1979692.2778677659</v>
      </c>
      <c r="J82" s="133">
        <f t="shared" si="63"/>
        <v>-56874.824190605577</v>
      </c>
      <c r="K82" s="133">
        <f t="shared" si="63"/>
        <v>1922817.4536771602</v>
      </c>
      <c r="L82" s="128">
        <f t="shared" si="63"/>
        <v>1922817.4536771602</v>
      </c>
      <c r="M82" s="133">
        <f t="shared" si="63"/>
        <v>-4807.0436341929017</v>
      </c>
      <c r="N82" s="128">
        <f t="shared" si="63"/>
        <v>1918010.4100429676</v>
      </c>
      <c r="O82" s="128">
        <f t="shared" si="63"/>
        <v>0</v>
      </c>
      <c r="P82" s="355">
        <f t="shared" si="63"/>
        <v>1918010.4100429676</v>
      </c>
      <c r="Q82" s="133">
        <f t="shared" si="63"/>
        <v>1223112</v>
      </c>
      <c r="R82" s="133">
        <f t="shared" si="63"/>
        <v>694898.41004296718</v>
      </c>
      <c r="S82" s="355">
        <f t="shared" si="63"/>
        <v>173723</v>
      </c>
      <c r="T82" s="355">
        <f t="shared" si="63"/>
        <v>1918010.4100429676</v>
      </c>
      <c r="U82" s="137">
        <f t="shared" si="63"/>
        <v>4703</v>
      </c>
      <c r="V82" s="134">
        <f t="shared" si="63"/>
        <v>0</v>
      </c>
      <c r="W82" s="136">
        <f t="shared" si="63"/>
        <v>483</v>
      </c>
      <c r="X82" s="134">
        <f t="shared" si="63"/>
        <v>2610180</v>
      </c>
      <c r="Y82" s="136">
        <f t="shared" si="63"/>
        <v>-27</v>
      </c>
      <c r="Z82" s="134">
        <f t="shared" si="63"/>
        <v>-72106</v>
      </c>
      <c r="AA82" s="134">
        <f t="shared" si="63"/>
        <v>2538074</v>
      </c>
      <c r="AB82" s="134">
        <f t="shared" si="63"/>
        <v>2538074</v>
      </c>
      <c r="AC82" s="134">
        <f t="shared" si="63"/>
        <v>-6345.1850000000004</v>
      </c>
      <c r="AD82" s="134">
        <f t="shared" si="63"/>
        <v>2531728.8150000004</v>
      </c>
      <c r="AE82" s="134">
        <f t="shared" si="63"/>
        <v>0</v>
      </c>
      <c r="AF82" s="134">
        <f t="shared" si="63"/>
        <v>2531728.8150000004</v>
      </c>
      <c r="AG82" s="134">
        <f t="shared" si="63"/>
        <v>1848168</v>
      </c>
      <c r="AH82" s="134">
        <f t="shared" si="63"/>
        <v>683560.81500000006</v>
      </c>
      <c r="AI82" s="134">
        <f t="shared" si="63"/>
        <v>170890</v>
      </c>
      <c r="AJ82" s="320">
        <f t="shared" si="63"/>
        <v>4449739.2250429671</v>
      </c>
      <c r="AK82" s="320">
        <f t="shared" si="63"/>
        <v>344613</v>
      </c>
    </row>
    <row r="83" spans="1:37" ht="16.149999999999999" hidden="1" customHeight="1" thickTop="1">
      <c r="C83" s="1004"/>
      <c r="I83" s="989"/>
      <c r="J83" s="989"/>
      <c r="K83" s="989"/>
      <c r="W83" s="1004"/>
      <c r="Y83" s="1004"/>
    </row>
    <row r="84" spans="1:37" ht="16.149999999999999" hidden="1" customHeight="1">
      <c r="C84" s="1004"/>
      <c r="I84" s="989"/>
      <c r="J84" s="989"/>
      <c r="K84" s="989"/>
      <c r="M84" s="989">
        <v>-4598.1790615882583</v>
      </c>
      <c r="N84" s="784" t="s">
        <v>1044</v>
      </c>
      <c r="W84" s="1004"/>
      <c r="Y84" s="1004"/>
    </row>
    <row r="85" spans="1:37" ht="16.149999999999999" hidden="1" customHeight="1">
      <c r="C85" s="1004"/>
      <c r="I85" s="989"/>
      <c r="J85" s="989"/>
      <c r="K85" s="989"/>
      <c r="M85" s="989">
        <f>M82-M84</f>
        <v>-208.8645726046434</v>
      </c>
      <c r="N85" s="784" t="s">
        <v>1045</v>
      </c>
      <c r="W85" s="1004"/>
      <c r="Y85" s="1004"/>
    </row>
    <row r="86" spans="1:37" ht="16.149999999999999" hidden="1" customHeight="1">
      <c r="C86" s="1004"/>
      <c r="I86" s="989"/>
      <c r="J86" s="989"/>
      <c r="K86" s="989"/>
      <c r="M86" s="989"/>
      <c r="W86" s="1004"/>
      <c r="Y86" s="1004"/>
    </row>
    <row r="87" spans="1:37" ht="16.149999999999999" hidden="1" customHeight="1">
      <c r="C87" s="1004"/>
      <c r="I87" s="989"/>
      <c r="J87" s="989"/>
      <c r="K87" s="989"/>
      <c r="M87" s="989"/>
      <c r="W87" s="1004"/>
      <c r="Y87" s="1004"/>
    </row>
    <row r="88" spans="1:37" ht="16.149999999999999" hidden="1" customHeight="1">
      <c r="C88" s="1004"/>
      <c r="M88" s="989"/>
      <c r="R88" s="784" t="str">
        <f>'Table 2_State Distrib and Adjs'!$AK$77</f>
        <v>Monthly Pmts Remaining</v>
      </c>
      <c r="S88" s="784">
        <f>'Table 2_State Distrib and Adjs'!$AL$77</f>
        <v>4</v>
      </c>
      <c r="AH88" s="784" t="str">
        <f>'Table 2_State Distrib and Adjs'!$AK$77</f>
        <v>Monthly Pmts Remaining</v>
      </c>
      <c r="AI88" s="784">
        <f>'Table 2_State Distrib and Adjs'!$AL$77</f>
        <v>4</v>
      </c>
    </row>
    <row r="89" spans="1:37" ht="16.149999999999999" customHeight="1" thickTop="1"/>
    <row r="90" spans="1:37" ht="16.149999999999999" customHeight="1"/>
  </sheetData>
  <mergeCells count="43">
    <mergeCell ref="A1:B4"/>
    <mergeCell ref="O3:O4"/>
    <mergeCell ref="P3:P4"/>
    <mergeCell ref="S3:S4"/>
    <mergeCell ref="AE3:AE4"/>
    <mergeCell ref="W3:W4"/>
    <mergeCell ref="X3:X4"/>
    <mergeCell ref="Y3:Y4"/>
    <mergeCell ref="Z3:Z4"/>
    <mergeCell ref="AB3:AB4"/>
    <mergeCell ref="AD3:AD4"/>
    <mergeCell ref="T3:T4"/>
    <mergeCell ref="C1:L1"/>
    <mergeCell ref="U1:AB1"/>
    <mergeCell ref="AJ1:AJ4"/>
    <mergeCell ref="AG3:AG4"/>
    <mergeCell ref="AH3:AH4"/>
    <mergeCell ref="AI3:AI4"/>
    <mergeCell ref="AF3:AF4"/>
    <mergeCell ref="AC1:AI1"/>
    <mergeCell ref="AK1:AK4"/>
    <mergeCell ref="I2:K2"/>
    <mergeCell ref="W2:AA2"/>
    <mergeCell ref="C3:C4"/>
    <mergeCell ref="D3:D4"/>
    <mergeCell ref="E3:E4"/>
    <mergeCell ref="U3:U4"/>
    <mergeCell ref="F3:F4"/>
    <mergeCell ref="G3:G4"/>
    <mergeCell ref="H3:H4"/>
    <mergeCell ref="I3:I4"/>
    <mergeCell ref="J3:J4"/>
    <mergeCell ref="K3:K4"/>
    <mergeCell ref="L3:L4"/>
    <mergeCell ref="N3:N4"/>
    <mergeCell ref="M1:T1"/>
    <mergeCell ref="A82:B82"/>
    <mergeCell ref="A76:B76"/>
    <mergeCell ref="A77:B77"/>
    <mergeCell ref="A78:B78"/>
    <mergeCell ref="A79:B79"/>
    <mergeCell ref="A80:B80"/>
    <mergeCell ref="A81:B81"/>
  </mergeCells>
  <printOptions horizontalCentered="1"/>
  <pageMargins left="0.32" right="0.32" top="0.75" bottom="0.75" header="0.3" footer="0.3"/>
  <pageSetup paperSize="5" scale="60" firstPageNumber="56" orientation="portrait" r:id="rId1"/>
  <headerFooter>
    <oddHeader>&amp;L&amp;"Arial,Bold"&amp;20&amp;K000000Table 5C1-W: FY2014-15 MFP Budget Letter (March 2015)
Willow Charter Academy</oddHeader>
    <oddFooter>&amp;R&amp;P</oddFooter>
  </headerFooter>
  <colBreaks count="4" manualBreakCount="4">
    <brk id="12" max="1048575" man="1"/>
    <brk id="20" max="1048575" man="1"/>
    <brk id="28" max="85" man="1"/>
    <brk id="38" max="8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7" tint="0.79998168889431442"/>
  </sheetPr>
  <dimension ref="A1:AP91"/>
  <sheetViews>
    <sheetView view="pageBreakPreview" zoomScale="80" zoomScaleNormal="85" zoomScaleSheetLayoutView="80" workbookViewId="0">
      <pane xSplit="2" ySplit="5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9.140625" defaultRowHeight="18" customHeight="1"/>
  <cols>
    <col min="1" max="1" width="5" style="889" customWidth="1"/>
    <col min="2" max="2" width="37.85546875" style="889" customWidth="1"/>
    <col min="3" max="3" width="12.140625" style="889" bestFit="1" customWidth="1"/>
    <col min="4" max="4" width="14.28515625" style="889" bestFit="1" customWidth="1"/>
    <col min="5" max="5" width="10.85546875" style="949" bestFit="1" customWidth="1"/>
    <col min="6" max="7" width="12.28515625" style="949" customWidth="1"/>
    <col min="8" max="8" width="11.5703125" style="889" customWidth="1"/>
    <col min="9" max="9" width="11.28515625" style="889" bestFit="1" customWidth="1"/>
    <col min="10" max="13" width="11.85546875" style="889" customWidth="1"/>
    <col min="14" max="14" width="10.5703125" style="889" bestFit="1" customWidth="1"/>
    <col min="15" max="16" width="11.85546875" style="889" bestFit="1" customWidth="1"/>
    <col min="17" max="17" width="15.5703125" style="889" bestFit="1" customWidth="1"/>
    <col min="18" max="18" width="11.28515625" style="889" customWidth="1"/>
    <col min="19" max="19" width="10.7109375" style="889" bestFit="1" customWidth="1"/>
    <col min="20" max="20" width="9.85546875" style="889" bestFit="1" customWidth="1"/>
    <col min="21" max="21" width="11.85546875" style="889" bestFit="1" customWidth="1"/>
    <col min="22" max="23" width="15.42578125" style="889" customWidth="1"/>
    <col min="24" max="24" width="12.140625" style="889" bestFit="1" customWidth="1"/>
    <col min="25" max="25" width="13" style="889" bestFit="1" customWidth="1"/>
    <col min="26" max="27" width="12.140625" style="889" bestFit="1" customWidth="1"/>
    <col min="28" max="28" width="10.85546875" style="889" bestFit="1" customWidth="1"/>
    <col min="29" max="29" width="14.42578125" style="889" bestFit="1" customWidth="1"/>
    <col min="30" max="30" width="12.7109375" style="889" bestFit="1" customWidth="1"/>
    <col min="31" max="31" width="14.42578125" style="889" bestFit="1" customWidth="1"/>
    <col min="32" max="32" width="15.42578125" style="889" bestFit="1" customWidth="1"/>
    <col min="33" max="33" width="16.28515625" style="889" bestFit="1" customWidth="1"/>
    <col min="34" max="34" width="11.140625" style="889" customWidth="1"/>
    <col min="35" max="35" width="10.7109375" style="889" bestFit="1" customWidth="1"/>
    <col min="36" max="36" width="14" style="889" customWidth="1"/>
    <col min="37" max="37" width="16.42578125" style="889" customWidth="1"/>
    <col min="38" max="38" width="14.140625" style="889" customWidth="1"/>
    <col min="39" max="39" width="0" style="889" hidden="1" customWidth="1"/>
    <col min="40" max="42" width="11.7109375" style="889" hidden="1" customWidth="1"/>
    <col min="43" max="16384" width="9.140625" style="889"/>
  </cols>
  <sheetData>
    <row r="1" spans="1:42" ht="23.45" customHeight="1">
      <c r="A1" s="1447" t="s">
        <v>431</v>
      </c>
      <c r="B1" s="1447"/>
      <c r="C1" s="1599" t="s">
        <v>742</v>
      </c>
      <c r="D1" s="1600"/>
      <c r="E1" s="1600"/>
      <c r="F1" s="1600"/>
      <c r="G1" s="1600"/>
      <c r="H1" s="1600"/>
      <c r="I1" s="1600"/>
      <c r="J1" s="1600"/>
      <c r="K1" s="1600"/>
      <c r="L1" s="1601"/>
      <c r="M1" s="1599" t="s">
        <v>742</v>
      </c>
      <c r="N1" s="1600"/>
      <c r="O1" s="1600"/>
      <c r="P1" s="1600"/>
      <c r="Q1" s="1600"/>
      <c r="R1" s="1600"/>
      <c r="S1" s="1600"/>
      <c r="T1" s="1600"/>
      <c r="U1" s="1601"/>
      <c r="V1" s="1489" t="s">
        <v>856</v>
      </c>
      <c r="W1" s="1487"/>
      <c r="X1" s="1487"/>
      <c r="Y1" s="1487"/>
      <c r="Z1" s="1487"/>
      <c r="AA1" s="1487"/>
      <c r="AB1" s="1487"/>
      <c r="AC1" s="1488"/>
      <c r="AD1" s="1489" t="s">
        <v>856</v>
      </c>
      <c r="AE1" s="1487"/>
      <c r="AF1" s="1487"/>
      <c r="AG1" s="1487"/>
      <c r="AH1" s="1487"/>
      <c r="AI1" s="1487"/>
      <c r="AJ1" s="1488"/>
    </row>
    <row r="2" spans="1:42" ht="22.15" customHeight="1">
      <c r="A2" s="1447"/>
      <c r="B2" s="1447"/>
      <c r="C2" s="890"/>
      <c r="D2" s="891"/>
      <c r="E2" s="892"/>
      <c r="F2" s="892"/>
      <c r="G2" s="892"/>
      <c r="H2" s="891"/>
      <c r="I2" s="891"/>
      <c r="J2" s="1448" t="s">
        <v>411</v>
      </c>
      <c r="K2" s="1449"/>
      <c r="L2" s="1450"/>
      <c r="M2" s="890"/>
      <c r="N2" s="891"/>
      <c r="O2" s="891"/>
      <c r="P2" s="891"/>
      <c r="Q2" s="891"/>
      <c r="R2" s="891"/>
      <c r="S2" s="891"/>
      <c r="T2" s="891"/>
      <c r="U2" s="893"/>
      <c r="V2" s="894"/>
      <c r="W2" s="895"/>
      <c r="X2" s="1596" t="s">
        <v>411</v>
      </c>
      <c r="Y2" s="1597"/>
      <c r="Z2" s="1597"/>
      <c r="AA2" s="1597"/>
      <c r="AB2" s="1598"/>
      <c r="AC2" s="896"/>
      <c r="AD2" s="894"/>
      <c r="AE2" s="895"/>
      <c r="AF2" s="895"/>
      <c r="AG2" s="895"/>
      <c r="AH2" s="895"/>
      <c r="AI2" s="895"/>
      <c r="AJ2" s="896"/>
    </row>
    <row r="3" spans="1:42" ht="168.6" customHeight="1">
      <c r="A3" s="1447"/>
      <c r="B3" s="1447"/>
      <c r="C3" s="1602" t="s">
        <v>622</v>
      </c>
      <c r="D3" s="1462" t="s">
        <v>783</v>
      </c>
      <c r="E3" s="1604" t="s">
        <v>781</v>
      </c>
      <c r="F3" s="1462" t="s">
        <v>784</v>
      </c>
      <c r="G3" s="1462" t="s">
        <v>782</v>
      </c>
      <c r="H3" s="1606" t="s">
        <v>428</v>
      </c>
      <c r="I3" s="1475" t="s">
        <v>785</v>
      </c>
      <c r="J3" s="1507" t="s">
        <v>555</v>
      </c>
      <c r="K3" s="1507" t="s">
        <v>554</v>
      </c>
      <c r="L3" s="1507" t="s">
        <v>430</v>
      </c>
      <c r="M3" s="1607" t="s">
        <v>741</v>
      </c>
      <c r="N3" s="757" t="s">
        <v>747</v>
      </c>
      <c r="O3" s="1606" t="s">
        <v>690</v>
      </c>
      <c r="P3" s="1480" t="s">
        <v>702</v>
      </c>
      <c r="Q3" s="1606" t="s">
        <v>722</v>
      </c>
      <c r="R3" s="1590" t="s">
        <v>546</v>
      </c>
      <c r="S3" s="1590" t="s">
        <v>547</v>
      </c>
      <c r="T3" s="1475" t="s">
        <v>429</v>
      </c>
      <c r="U3" s="1462" t="s">
        <v>734</v>
      </c>
      <c r="V3" s="1510" t="s">
        <v>923</v>
      </c>
      <c r="W3" s="1510" t="s">
        <v>877</v>
      </c>
      <c r="X3" s="1593" t="s">
        <v>860</v>
      </c>
      <c r="Y3" s="1593" t="s">
        <v>858</v>
      </c>
      <c r="Z3" s="1593" t="s">
        <v>861</v>
      </c>
      <c r="AA3" s="1593" t="s">
        <v>866</v>
      </c>
      <c r="AB3" s="897" t="s">
        <v>430</v>
      </c>
      <c r="AC3" s="1592" t="s">
        <v>862</v>
      </c>
      <c r="AD3" s="863" t="s">
        <v>746</v>
      </c>
      <c r="AE3" s="1589" t="s">
        <v>863</v>
      </c>
      <c r="AF3" s="1512" t="s">
        <v>702</v>
      </c>
      <c r="AG3" s="1589" t="s">
        <v>874</v>
      </c>
      <c r="AH3" s="1594" t="s">
        <v>653</v>
      </c>
      <c r="AI3" s="1594" t="s">
        <v>547</v>
      </c>
      <c r="AJ3" s="1594" t="s">
        <v>851</v>
      </c>
      <c r="AK3" s="1351" t="s">
        <v>870</v>
      </c>
      <c r="AL3" s="1351" t="s">
        <v>869</v>
      </c>
      <c r="AN3" s="757" t="s">
        <v>1041</v>
      </c>
      <c r="AO3" s="757" t="s">
        <v>1042</v>
      </c>
      <c r="AP3" s="757" t="s">
        <v>253</v>
      </c>
    </row>
    <row r="4" spans="1:42" ht="22.9" customHeight="1">
      <c r="A4" s="1447"/>
      <c r="B4" s="1447"/>
      <c r="C4" s="1603"/>
      <c r="D4" s="1463"/>
      <c r="E4" s="1605"/>
      <c r="F4" s="1463"/>
      <c r="G4" s="1463"/>
      <c r="H4" s="1606"/>
      <c r="I4" s="1591"/>
      <c r="J4" s="1470"/>
      <c r="K4" s="1470"/>
      <c r="L4" s="1470"/>
      <c r="M4" s="1520"/>
      <c r="N4" s="898">
        <v>2.5000000000000001E-3</v>
      </c>
      <c r="O4" s="1606"/>
      <c r="P4" s="1481"/>
      <c r="Q4" s="1606"/>
      <c r="R4" s="1591"/>
      <c r="S4" s="1591"/>
      <c r="T4" s="1591"/>
      <c r="U4" s="1463"/>
      <c r="V4" s="1486"/>
      <c r="W4" s="1486"/>
      <c r="X4" s="1470"/>
      <c r="Y4" s="1470"/>
      <c r="Z4" s="1470"/>
      <c r="AA4" s="1470"/>
      <c r="AB4" s="887"/>
      <c r="AC4" s="1499"/>
      <c r="AD4" s="867">
        <v>2.5000000000000001E-3</v>
      </c>
      <c r="AE4" s="1472"/>
      <c r="AF4" s="1481"/>
      <c r="AG4" s="1472"/>
      <c r="AH4" s="1595"/>
      <c r="AI4" s="1595"/>
      <c r="AJ4" s="1595"/>
      <c r="AK4" s="1352"/>
      <c r="AL4" s="1352"/>
      <c r="AN4" s="898">
        <v>2.5000000000000001E-3</v>
      </c>
      <c r="AO4" s="898">
        <v>2.5000000000000001E-3</v>
      </c>
      <c r="AP4" s="898"/>
    </row>
    <row r="5" spans="1:42" s="901" customFormat="1" ht="13.15" customHeight="1">
      <c r="A5" s="899"/>
      <c r="B5" s="899"/>
      <c r="C5" s="899">
        <v>1</v>
      </c>
      <c r="D5" s="900">
        <f t="shared" ref="D5:AL5" si="0">C5+1</f>
        <v>2</v>
      </c>
      <c r="E5" s="900">
        <f t="shared" si="0"/>
        <v>3</v>
      </c>
      <c r="F5" s="900">
        <f t="shared" si="0"/>
        <v>4</v>
      </c>
      <c r="G5" s="900">
        <f t="shared" si="0"/>
        <v>5</v>
      </c>
      <c r="H5" s="900">
        <f t="shared" si="0"/>
        <v>6</v>
      </c>
      <c r="I5" s="900">
        <f t="shared" si="0"/>
        <v>7</v>
      </c>
      <c r="J5" s="900">
        <f t="shared" si="0"/>
        <v>8</v>
      </c>
      <c r="K5" s="900">
        <f t="shared" si="0"/>
        <v>9</v>
      </c>
      <c r="L5" s="900">
        <f t="shared" si="0"/>
        <v>10</v>
      </c>
      <c r="M5" s="900">
        <f t="shared" si="0"/>
        <v>11</v>
      </c>
      <c r="N5" s="900">
        <f t="shared" si="0"/>
        <v>12</v>
      </c>
      <c r="O5" s="900">
        <f t="shared" si="0"/>
        <v>13</v>
      </c>
      <c r="P5" s="900">
        <f t="shared" si="0"/>
        <v>14</v>
      </c>
      <c r="Q5" s="900">
        <f t="shared" si="0"/>
        <v>15</v>
      </c>
      <c r="R5" s="900">
        <f t="shared" si="0"/>
        <v>16</v>
      </c>
      <c r="S5" s="900">
        <f t="shared" si="0"/>
        <v>17</v>
      </c>
      <c r="T5" s="900">
        <f t="shared" si="0"/>
        <v>18</v>
      </c>
      <c r="U5" s="900">
        <f t="shared" si="0"/>
        <v>19</v>
      </c>
      <c r="V5" s="900">
        <f t="shared" si="0"/>
        <v>20</v>
      </c>
      <c r="W5" s="900">
        <f t="shared" si="0"/>
        <v>21</v>
      </c>
      <c r="X5" s="900">
        <f t="shared" si="0"/>
        <v>22</v>
      </c>
      <c r="Y5" s="900">
        <f t="shared" si="0"/>
        <v>23</v>
      </c>
      <c r="Z5" s="900">
        <f t="shared" si="0"/>
        <v>24</v>
      </c>
      <c r="AA5" s="900">
        <f t="shared" si="0"/>
        <v>25</v>
      </c>
      <c r="AB5" s="900">
        <f t="shared" si="0"/>
        <v>26</v>
      </c>
      <c r="AC5" s="900">
        <f t="shared" si="0"/>
        <v>27</v>
      </c>
      <c r="AD5" s="900">
        <f t="shared" si="0"/>
        <v>28</v>
      </c>
      <c r="AE5" s="900">
        <f t="shared" si="0"/>
        <v>29</v>
      </c>
      <c r="AF5" s="900">
        <f t="shared" si="0"/>
        <v>30</v>
      </c>
      <c r="AG5" s="900">
        <f t="shared" si="0"/>
        <v>31</v>
      </c>
      <c r="AH5" s="900">
        <f t="shared" si="0"/>
        <v>32</v>
      </c>
      <c r="AI5" s="900">
        <f t="shared" si="0"/>
        <v>33</v>
      </c>
      <c r="AJ5" s="900">
        <f t="shared" si="0"/>
        <v>34</v>
      </c>
      <c r="AK5" s="900">
        <f t="shared" si="0"/>
        <v>35</v>
      </c>
      <c r="AL5" s="900">
        <f t="shared" si="0"/>
        <v>36</v>
      </c>
      <c r="AN5" s="900"/>
      <c r="AO5" s="900"/>
      <c r="AP5" s="900"/>
    </row>
    <row r="6" spans="1:42" s="901" customFormat="1" ht="13.15" hidden="1" customHeight="1">
      <c r="A6" s="902"/>
      <c r="B6" s="902"/>
      <c r="C6" s="902"/>
      <c r="D6" s="903"/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  <c r="Y6" s="903"/>
      <c r="Z6" s="903"/>
      <c r="AA6" s="903"/>
      <c r="AB6" s="903"/>
      <c r="AC6" s="903"/>
      <c r="AD6" s="903"/>
      <c r="AE6" s="903"/>
      <c r="AF6" s="903"/>
      <c r="AG6" s="903"/>
      <c r="AH6" s="903"/>
      <c r="AI6" s="903"/>
      <c r="AJ6" s="903"/>
      <c r="AK6" s="903"/>
      <c r="AL6" s="903"/>
      <c r="AN6" s="903"/>
      <c r="AO6" s="903"/>
      <c r="AP6" s="903"/>
    </row>
    <row r="7" spans="1:42" s="917" customFormat="1" ht="16.149999999999999" customHeight="1">
      <c r="A7" s="904">
        <v>1</v>
      </c>
      <c r="B7" s="905" t="s">
        <v>73</v>
      </c>
      <c r="C7" s="906">
        <f>+'Table 8 Membership 2.1.14'!J3</f>
        <v>18</v>
      </c>
      <c r="D7" s="907">
        <f>'Table 3 Levels 1&amp;2'!AL4*90%</f>
        <v>4289.272597201485</v>
      </c>
      <c r="E7" s="907">
        <f t="shared" ref="E7:E38" si="1">C7*D7</f>
        <v>77206.906749626738</v>
      </c>
      <c r="F7" s="908">
        <f>'Table 3A Level 3'!C6*90%</f>
        <v>699.73200000000008</v>
      </c>
      <c r="G7" s="908">
        <f t="shared" ref="G7:G38" si="2">F7*C7</f>
        <v>12595.176000000001</v>
      </c>
      <c r="H7" s="909">
        <f t="shared" ref="H7:H38" si="3">E7+G7</f>
        <v>89802.082749626745</v>
      </c>
      <c r="I7" s="908">
        <f>(('Table 3 Levels 1&amp;2'!AL4-D7)+('Table 3A Level 3'!C6-F7))*C7</f>
        <v>9978.0091944029718</v>
      </c>
      <c r="J7" s="908">
        <f>'[1]Oct midyear LAVCA'!K4</f>
        <v>39912.03677761188</v>
      </c>
      <c r="K7" s="908">
        <f>'[1]Feb midyear LAVCA'!K4</f>
        <v>19956.01838880594</v>
      </c>
      <c r="L7" s="910">
        <f t="shared" ref="L7:L38" si="4">+J7+K7</f>
        <v>59868.05516641782</v>
      </c>
      <c r="M7" s="909">
        <f t="shared" ref="M7:M38" si="5">H7+L7</f>
        <v>149670.13791604456</v>
      </c>
      <c r="N7" s="908">
        <f t="shared" ref="N7:N38" si="6">-0.25%*M7</f>
        <v>-374.17534479011141</v>
      </c>
      <c r="O7" s="909">
        <f t="shared" ref="O7:O38" si="7">M7+N7</f>
        <v>149295.96257125447</v>
      </c>
      <c r="P7" s="911">
        <v>-9085.9715701690438</v>
      </c>
      <c r="Q7" s="909">
        <f t="shared" ref="Q7:Q38" si="8">SUM(O7:P7)</f>
        <v>140209.99100108544</v>
      </c>
      <c r="R7" s="908">
        <f>8*'[2]Table 5C2 - LA Virtual Admy'!T6</f>
        <v>53664</v>
      </c>
      <c r="S7" s="908">
        <f t="shared" ref="S7:S38" si="9">Q7-R7</f>
        <v>86545.991001085436</v>
      </c>
      <c r="T7" s="909">
        <f t="shared" ref="T7:T38" si="10">ROUND(S7/$T$88,0)</f>
        <v>21636</v>
      </c>
      <c r="U7" s="909">
        <f>+Q7</f>
        <v>140209.99100108544</v>
      </c>
      <c r="V7" s="912">
        <f>'Table 5C1A-Madison Prep'!U7*90%</f>
        <v>2181.6</v>
      </c>
      <c r="W7" s="913">
        <f t="shared" ref="W7:W38" si="11">V7*C7</f>
        <v>39268.799999999996</v>
      </c>
      <c r="X7" s="906">
        <f>'[1]Oct midyear LAVCA'!E4</f>
        <v>8</v>
      </c>
      <c r="Y7" s="914">
        <f t="shared" ref="Y7:Y38" si="12">X7*V7</f>
        <v>17452.8</v>
      </c>
      <c r="Z7" s="1005">
        <f>'[1]Feb midyear LAVCA'!E4</f>
        <v>8</v>
      </c>
      <c r="AA7" s="914">
        <f t="shared" ref="AA7:AA38" si="13">+V7*Z7*0.5</f>
        <v>8726.4</v>
      </c>
      <c r="AB7" s="915">
        <f t="shared" ref="AB7:AB38" si="14">+Y7+AA7</f>
        <v>26179.199999999997</v>
      </c>
      <c r="AC7" s="913">
        <f t="shared" ref="AC7:AC38" si="15">AB7+W7</f>
        <v>65447.999999999993</v>
      </c>
      <c r="AD7" s="914">
        <f t="shared" ref="AD7:AD38" si="16">AC7*-0.25%</f>
        <v>-163.61999999999998</v>
      </c>
      <c r="AE7" s="913">
        <f t="shared" ref="AE7:AE38" si="17">SUM(AC7:AD7)</f>
        <v>65284.37999999999</v>
      </c>
      <c r="AF7" s="912">
        <v>0</v>
      </c>
      <c r="AG7" s="913">
        <f t="shared" ref="AG7:AG38" si="18">SUM(AE7:AF7)</f>
        <v>65284.37999999999</v>
      </c>
      <c r="AH7" s="914">
        <f>8*'[2]Table 5C2 - LA Virtual Admy'!AJ6</f>
        <v>25952</v>
      </c>
      <c r="AI7" s="914">
        <f t="shared" ref="AI7:AI38" si="19">AG7-AH7</f>
        <v>39332.37999999999</v>
      </c>
      <c r="AJ7" s="913">
        <f t="shared" ref="AJ7:AJ38" si="20">ROUND(AI7/$AJ$88,0)</f>
        <v>9833</v>
      </c>
      <c r="AK7" s="916">
        <f t="shared" ref="AK7:AK70" si="21">AG7+U7</f>
        <v>205494.37100108544</v>
      </c>
      <c r="AL7" s="916">
        <f t="shared" ref="AL7:AL38" si="22">T7+AJ7</f>
        <v>31469</v>
      </c>
      <c r="AN7" s="908">
        <v>-97.564499999999995</v>
      </c>
      <c r="AO7" s="908">
        <f>AD7</f>
        <v>-163.61999999999998</v>
      </c>
      <c r="AP7" s="908">
        <f>+AO7-AN7</f>
        <v>-66.055499999999981</v>
      </c>
    </row>
    <row r="8" spans="1:42" s="917" customFormat="1" ht="16.149999999999999" customHeight="1">
      <c r="A8" s="918">
        <v>2</v>
      </c>
      <c r="B8" s="919" t="s">
        <v>74</v>
      </c>
      <c r="C8" s="920">
        <f>+'Table 8 Membership 2.1.14'!J4</f>
        <v>8</v>
      </c>
      <c r="D8" s="921">
        <f>'Table 3 Levels 1&amp;2'!AL5*90%</f>
        <v>5684.9639775647975</v>
      </c>
      <c r="E8" s="921">
        <f t="shared" si="1"/>
        <v>45479.71182051838</v>
      </c>
      <c r="F8" s="922">
        <f>'Table 3A Level 3'!C7*90%</f>
        <v>758.08800000000008</v>
      </c>
      <c r="G8" s="922">
        <f t="shared" si="2"/>
        <v>6064.7040000000006</v>
      </c>
      <c r="H8" s="923">
        <f t="shared" si="3"/>
        <v>51544.415820518378</v>
      </c>
      <c r="I8" s="922">
        <f>(('Table 3 Levels 1&amp;2'!AL5-D8)+('Table 3A Level 3'!C7-F8))*C8</f>
        <v>5727.1573133909333</v>
      </c>
      <c r="J8" s="922">
        <f>'[1]Oct midyear LAVCA'!K5</f>
        <v>51544.415820518378</v>
      </c>
      <c r="K8" s="922">
        <f>'[1]Feb midyear LAVCA'!K5</f>
        <v>3221.5259887823986</v>
      </c>
      <c r="L8" s="924">
        <f t="shared" si="4"/>
        <v>54765.941809300777</v>
      </c>
      <c r="M8" s="923">
        <f t="shared" si="5"/>
        <v>106310.35762981916</v>
      </c>
      <c r="N8" s="922">
        <f t="shared" si="6"/>
        <v>-265.77589407454792</v>
      </c>
      <c r="O8" s="923">
        <f t="shared" si="7"/>
        <v>106044.58173574462</v>
      </c>
      <c r="P8" s="925">
        <v>0</v>
      </c>
      <c r="Q8" s="923">
        <f t="shared" si="8"/>
        <v>106044.58173574462</v>
      </c>
      <c r="R8" s="922">
        <f>8*'[2]Table 5C2 - LA Virtual Admy'!T7</f>
        <v>34280</v>
      </c>
      <c r="S8" s="922">
        <f t="shared" si="9"/>
        <v>71764.581735744621</v>
      </c>
      <c r="T8" s="923">
        <f t="shared" si="10"/>
        <v>17941</v>
      </c>
      <c r="U8" s="923">
        <f t="shared" ref="U8:U71" si="23">+Q8</f>
        <v>106044.58173574462</v>
      </c>
      <c r="V8" s="926">
        <f>'Table 5C1A-Madison Prep'!U8*90%</f>
        <v>2507.4</v>
      </c>
      <c r="W8" s="927">
        <f t="shared" si="11"/>
        <v>20059.2</v>
      </c>
      <c r="X8" s="920">
        <f>'[1]Oct midyear LAVCA'!E5</f>
        <v>8</v>
      </c>
      <c r="Y8" s="928">
        <f t="shared" si="12"/>
        <v>20059.2</v>
      </c>
      <c r="Z8" s="1006">
        <f>'[1]Feb midyear LAVCA'!E5</f>
        <v>1</v>
      </c>
      <c r="AA8" s="928">
        <f t="shared" si="13"/>
        <v>1253.7</v>
      </c>
      <c r="AB8" s="929">
        <f t="shared" si="14"/>
        <v>21312.9</v>
      </c>
      <c r="AC8" s="927">
        <f t="shared" si="15"/>
        <v>41372.100000000006</v>
      </c>
      <c r="AD8" s="928">
        <f t="shared" si="16"/>
        <v>-103.43025000000002</v>
      </c>
      <c r="AE8" s="927">
        <f t="shared" si="17"/>
        <v>41268.669750000008</v>
      </c>
      <c r="AF8" s="926">
        <v>0</v>
      </c>
      <c r="AG8" s="927">
        <f t="shared" si="18"/>
        <v>41268.669750000008</v>
      </c>
      <c r="AH8" s="928">
        <f>8*'[2]Table 5C2 - LA Virtual Admy'!AJ7</f>
        <v>13544</v>
      </c>
      <c r="AI8" s="928">
        <f t="shared" si="19"/>
        <v>27724.669750000008</v>
      </c>
      <c r="AJ8" s="927">
        <f t="shared" si="20"/>
        <v>6931</v>
      </c>
      <c r="AK8" s="930">
        <f t="shared" si="21"/>
        <v>147313.25148574464</v>
      </c>
      <c r="AL8" s="930">
        <f t="shared" si="22"/>
        <v>24872</v>
      </c>
      <c r="AN8" s="922">
        <v>-50.921999999999997</v>
      </c>
      <c r="AO8" s="922">
        <f t="shared" ref="AO8:AO71" si="24">AD8</f>
        <v>-103.43025000000002</v>
      </c>
      <c r="AP8" s="922">
        <f t="shared" ref="AP8:AP71" si="25">+AO8-AN8</f>
        <v>-52.508250000000018</v>
      </c>
    </row>
    <row r="9" spans="1:42" s="917" customFormat="1" ht="16.149999999999999" customHeight="1">
      <c r="A9" s="918">
        <v>3</v>
      </c>
      <c r="B9" s="919" t="s">
        <v>75</v>
      </c>
      <c r="C9" s="920">
        <f>+'Table 8 Membership 2.1.14'!J5</f>
        <v>53</v>
      </c>
      <c r="D9" s="921">
        <f>'Table 3 Levels 1&amp;2'!AL6*90%</f>
        <v>3739.6675824657136</v>
      </c>
      <c r="E9" s="921">
        <f t="shared" si="1"/>
        <v>198202.38187068282</v>
      </c>
      <c r="F9" s="922">
        <f>'Table 3A Level 3'!C8*90%</f>
        <v>537.15600000000006</v>
      </c>
      <c r="G9" s="922">
        <f t="shared" si="2"/>
        <v>28469.268000000004</v>
      </c>
      <c r="H9" s="923">
        <f t="shared" si="3"/>
        <v>226671.64987068283</v>
      </c>
      <c r="I9" s="922">
        <f>(('Table 3 Levels 1&amp;2'!AL6-D9)+('Table 3A Level 3'!C8-F9))*C9</f>
        <v>25185.738874520317</v>
      </c>
      <c r="J9" s="922">
        <f>'[1]Oct midyear LAVCA'!K6</f>
        <v>-68429.177319451424</v>
      </c>
      <c r="K9" s="922">
        <f>'[1]Feb midyear LAVCA'!K6</f>
        <v>10692.058956164285</v>
      </c>
      <c r="L9" s="924">
        <f t="shared" si="4"/>
        <v>-57737.11836328714</v>
      </c>
      <c r="M9" s="923">
        <f t="shared" si="5"/>
        <v>168934.53150739567</v>
      </c>
      <c r="N9" s="922">
        <f t="shared" si="6"/>
        <v>-422.33632876848918</v>
      </c>
      <c r="O9" s="923">
        <f t="shared" si="7"/>
        <v>168512.19517862718</v>
      </c>
      <c r="P9" s="925">
        <v>-8370.6848293898893</v>
      </c>
      <c r="Q9" s="923">
        <f t="shared" si="8"/>
        <v>160141.5103492373</v>
      </c>
      <c r="R9" s="922">
        <f>8*'[2]Table 5C2 - LA Virtual Admy'!T8</f>
        <v>145160</v>
      </c>
      <c r="S9" s="922">
        <f t="shared" si="9"/>
        <v>14981.510349237302</v>
      </c>
      <c r="T9" s="923">
        <f t="shared" si="10"/>
        <v>3745</v>
      </c>
      <c r="U9" s="923">
        <f t="shared" si="23"/>
        <v>160141.5103492373</v>
      </c>
      <c r="V9" s="926">
        <f>'Table 5C1A-Madison Prep'!U9*90%</f>
        <v>5334.3</v>
      </c>
      <c r="W9" s="927">
        <f t="shared" si="11"/>
        <v>282717.90000000002</v>
      </c>
      <c r="X9" s="920">
        <f>'[1]Oct midyear LAVCA'!E6</f>
        <v>-16</v>
      </c>
      <c r="Y9" s="928">
        <f t="shared" si="12"/>
        <v>-85348.800000000003</v>
      </c>
      <c r="Z9" s="1006">
        <f>'[1]Feb midyear LAVCA'!E6</f>
        <v>5</v>
      </c>
      <c r="AA9" s="928">
        <f t="shared" si="13"/>
        <v>13335.75</v>
      </c>
      <c r="AB9" s="929">
        <f t="shared" si="14"/>
        <v>-72013.05</v>
      </c>
      <c r="AC9" s="927">
        <f t="shared" si="15"/>
        <v>210704.85000000003</v>
      </c>
      <c r="AD9" s="928">
        <f t="shared" si="16"/>
        <v>-526.76212500000008</v>
      </c>
      <c r="AE9" s="927">
        <f t="shared" si="17"/>
        <v>210178.08787500003</v>
      </c>
      <c r="AF9" s="926">
        <v>0</v>
      </c>
      <c r="AG9" s="927">
        <f t="shared" si="18"/>
        <v>210178.08787500003</v>
      </c>
      <c r="AH9" s="928">
        <f>8*'[2]Table 5C2 - LA Virtual Admy'!AJ8</f>
        <v>183024</v>
      </c>
      <c r="AI9" s="928">
        <f t="shared" si="19"/>
        <v>27154.087875000027</v>
      </c>
      <c r="AJ9" s="927">
        <f t="shared" si="20"/>
        <v>6789</v>
      </c>
      <c r="AK9" s="930">
        <f t="shared" si="21"/>
        <v>370319.59822423733</v>
      </c>
      <c r="AL9" s="930">
        <f t="shared" si="22"/>
        <v>10534</v>
      </c>
      <c r="AN9" s="922">
        <v>-688.07249999999999</v>
      </c>
      <c r="AO9" s="922">
        <f t="shared" si="24"/>
        <v>-526.76212500000008</v>
      </c>
      <c r="AP9" s="922">
        <f t="shared" si="25"/>
        <v>161.31037499999991</v>
      </c>
    </row>
    <row r="10" spans="1:42" s="917" customFormat="1" ht="16.149999999999999" customHeight="1">
      <c r="A10" s="918">
        <v>4</v>
      </c>
      <c r="B10" s="919" t="s">
        <v>76</v>
      </c>
      <c r="C10" s="920">
        <f>+'Table 8 Membership 2.1.14'!J6</f>
        <v>1</v>
      </c>
      <c r="D10" s="921">
        <f>'Table 3 Levels 1&amp;2'!AL7*90%</f>
        <v>5507.1523302190717</v>
      </c>
      <c r="E10" s="921">
        <f t="shared" si="1"/>
        <v>5507.1523302190717</v>
      </c>
      <c r="F10" s="922">
        <f>'Table 3A Level 3'!C9*90%</f>
        <v>527.18399999999997</v>
      </c>
      <c r="G10" s="922">
        <f t="shared" si="2"/>
        <v>527.18399999999997</v>
      </c>
      <c r="H10" s="923">
        <f t="shared" si="3"/>
        <v>6034.3363302190719</v>
      </c>
      <c r="I10" s="922">
        <f>(('Table 3 Levels 1&amp;2'!AL7-D10)+('Table 3A Level 3'!C9-F10))*C10</f>
        <v>670.48181446878516</v>
      </c>
      <c r="J10" s="922">
        <f>'[1]Oct midyear LAVCA'!K7</f>
        <v>48274.690641752575</v>
      </c>
      <c r="K10" s="922">
        <f>'[1]Feb midyear LAVCA'!K7</f>
        <v>-9051.5044953286088</v>
      </c>
      <c r="L10" s="924">
        <f t="shared" si="4"/>
        <v>39223.186146423963</v>
      </c>
      <c r="M10" s="923">
        <f t="shared" si="5"/>
        <v>45257.522476643033</v>
      </c>
      <c r="N10" s="922">
        <f t="shared" si="6"/>
        <v>-113.14380619160758</v>
      </c>
      <c r="O10" s="923">
        <f t="shared" si="7"/>
        <v>45144.378670451428</v>
      </c>
      <c r="P10" s="925">
        <v>0</v>
      </c>
      <c r="Q10" s="923">
        <f t="shared" si="8"/>
        <v>45144.378670451428</v>
      </c>
      <c r="R10" s="922">
        <f>8*'[2]Table 5C2 - LA Virtual Admy'!T9</f>
        <v>4016</v>
      </c>
      <c r="S10" s="922">
        <f t="shared" si="9"/>
        <v>41128.378670451428</v>
      </c>
      <c r="T10" s="923">
        <f t="shared" si="10"/>
        <v>10282</v>
      </c>
      <c r="U10" s="923">
        <f t="shared" si="23"/>
        <v>45144.378670451428</v>
      </c>
      <c r="V10" s="926">
        <f>'Table 5C1A-Madison Prep'!U10*90%</f>
        <v>3782.7000000000003</v>
      </c>
      <c r="W10" s="927">
        <f t="shared" si="11"/>
        <v>3782.7000000000003</v>
      </c>
      <c r="X10" s="920">
        <f>'[1]Oct midyear LAVCA'!E7</f>
        <v>8</v>
      </c>
      <c r="Y10" s="928">
        <f t="shared" si="12"/>
        <v>30261.600000000002</v>
      </c>
      <c r="Z10" s="1006">
        <f>'[1]Feb midyear LAVCA'!E7</f>
        <v>-3</v>
      </c>
      <c r="AA10" s="928">
        <f t="shared" si="13"/>
        <v>-5674.05</v>
      </c>
      <c r="AB10" s="929">
        <f t="shared" si="14"/>
        <v>24587.550000000003</v>
      </c>
      <c r="AC10" s="927">
        <f t="shared" si="15"/>
        <v>28370.250000000004</v>
      </c>
      <c r="AD10" s="928">
        <f t="shared" si="16"/>
        <v>-70.925625000000011</v>
      </c>
      <c r="AE10" s="927">
        <f t="shared" si="17"/>
        <v>28299.324375000004</v>
      </c>
      <c r="AF10" s="926">
        <v>0</v>
      </c>
      <c r="AG10" s="927">
        <f t="shared" si="18"/>
        <v>28299.324375000004</v>
      </c>
      <c r="AH10" s="928">
        <f>8*'[2]Table 5C2 - LA Virtual Admy'!AJ9</f>
        <v>1968</v>
      </c>
      <c r="AI10" s="928">
        <f t="shared" si="19"/>
        <v>26331.324375000004</v>
      </c>
      <c r="AJ10" s="927">
        <f t="shared" si="20"/>
        <v>6583</v>
      </c>
      <c r="AK10" s="930">
        <f t="shared" si="21"/>
        <v>73443.703045451432</v>
      </c>
      <c r="AL10" s="930">
        <f t="shared" si="22"/>
        <v>16865</v>
      </c>
      <c r="AN10" s="922">
        <v>-7.3957500000000005</v>
      </c>
      <c r="AO10" s="922">
        <f t="shared" si="24"/>
        <v>-70.925625000000011</v>
      </c>
      <c r="AP10" s="922">
        <f t="shared" si="25"/>
        <v>-63.529875000000011</v>
      </c>
    </row>
    <row r="11" spans="1:42" s="917" customFormat="1" ht="16.149999999999999" customHeight="1">
      <c r="A11" s="931">
        <v>5</v>
      </c>
      <c r="B11" s="932" t="s">
        <v>77</v>
      </c>
      <c r="C11" s="933">
        <f>+'Table 8 Membership 2.1.14'!J7</f>
        <v>28</v>
      </c>
      <c r="D11" s="934">
        <f>'Table 3 Levels 1&amp;2'!AL8*90%</f>
        <v>4742.0465094089204</v>
      </c>
      <c r="E11" s="934">
        <f t="shared" si="1"/>
        <v>132777.30226344976</v>
      </c>
      <c r="F11" s="935">
        <f>'Table 3A Level 3'!C10*90%</f>
        <v>500.31899999999996</v>
      </c>
      <c r="G11" s="935">
        <f t="shared" si="2"/>
        <v>14008.931999999999</v>
      </c>
      <c r="H11" s="936">
        <f t="shared" si="3"/>
        <v>146786.23426344976</v>
      </c>
      <c r="I11" s="935">
        <f>(('Table 3 Levels 1&amp;2'!AL8-D11)+('Table 3A Level 3'!C10-F11))*C11</f>
        <v>16309.581584827736</v>
      </c>
      <c r="J11" s="935">
        <f>'[1]Oct midyear LAVCA'!K8</f>
        <v>-41938.924075271367</v>
      </c>
      <c r="K11" s="935">
        <f>'[1]Feb midyear LAVCA'!K8</f>
        <v>0</v>
      </c>
      <c r="L11" s="937">
        <f t="shared" si="4"/>
        <v>-41938.924075271367</v>
      </c>
      <c r="M11" s="936">
        <f t="shared" si="5"/>
        <v>104847.3101881784</v>
      </c>
      <c r="N11" s="935">
        <f t="shared" si="6"/>
        <v>-262.11827547044601</v>
      </c>
      <c r="O11" s="936">
        <f t="shared" si="7"/>
        <v>104585.19191270795</v>
      </c>
      <c r="P11" s="938">
        <v>0</v>
      </c>
      <c r="Q11" s="936">
        <f t="shared" si="8"/>
        <v>104585.19191270795</v>
      </c>
      <c r="R11" s="935">
        <f>8*'[2]Table 5C2 - LA Virtual Admy'!T10</f>
        <v>97616</v>
      </c>
      <c r="S11" s="935">
        <f t="shared" si="9"/>
        <v>6969.1919127079454</v>
      </c>
      <c r="T11" s="936">
        <f t="shared" si="10"/>
        <v>1742</v>
      </c>
      <c r="U11" s="936">
        <f t="shared" si="23"/>
        <v>104585.19191270795</v>
      </c>
      <c r="V11" s="939">
        <f>'Table 5C1A-Madison Prep'!U11*90%</f>
        <v>1730.7</v>
      </c>
      <c r="W11" s="940">
        <f t="shared" si="11"/>
        <v>48459.6</v>
      </c>
      <c r="X11" s="933">
        <f>'[1]Oct midyear LAVCA'!E8</f>
        <v>-8</v>
      </c>
      <c r="Y11" s="941">
        <f t="shared" si="12"/>
        <v>-13845.6</v>
      </c>
      <c r="Z11" s="1007">
        <f>'[1]Feb midyear LAVCA'!E8</f>
        <v>0</v>
      </c>
      <c r="AA11" s="941">
        <f t="shared" si="13"/>
        <v>0</v>
      </c>
      <c r="AB11" s="942">
        <f t="shared" si="14"/>
        <v>-13845.6</v>
      </c>
      <c r="AC11" s="940">
        <f t="shared" si="15"/>
        <v>34614</v>
      </c>
      <c r="AD11" s="941">
        <f t="shared" si="16"/>
        <v>-86.534999999999997</v>
      </c>
      <c r="AE11" s="940">
        <f t="shared" si="17"/>
        <v>34527.464999999997</v>
      </c>
      <c r="AF11" s="939">
        <v>0</v>
      </c>
      <c r="AG11" s="940">
        <f t="shared" si="18"/>
        <v>34527.464999999997</v>
      </c>
      <c r="AH11" s="941">
        <f>8*'[2]Table 5C2 - LA Virtual Admy'!AJ10</f>
        <v>32192</v>
      </c>
      <c r="AI11" s="941">
        <f t="shared" si="19"/>
        <v>2335.4649999999965</v>
      </c>
      <c r="AJ11" s="940">
        <f t="shared" si="20"/>
        <v>584</v>
      </c>
      <c r="AK11" s="943">
        <f t="shared" si="21"/>
        <v>139112.65691270796</v>
      </c>
      <c r="AL11" s="943">
        <f t="shared" si="22"/>
        <v>2326</v>
      </c>
      <c r="AN11" s="935">
        <v>-121.02300000000001</v>
      </c>
      <c r="AO11" s="935">
        <f t="shared" si="24"/>
        <v>-86.534999999999997</v>
      </c>
      <c r="AP11" s="935">
        <f t="shared" si="25"/>
        <v>34.488000000000014</v>
      </c>
    </row>
    <row r="12" spans="1:42" s="917" customFormat="1" ht="16.149999999999999" customHeight="1">
      <c r="A12" s="904">
        <v>6</v>
      </c>
      <c r="B12" s="905" t="s">
        <v>78</v>
      </c>
      <c r="C12" s="906">
        <f>+'Table 8 Membership 2.1.14'!J8</f>
        <v>21</v>
      </c>
      <c r="D12" s="907">
        <f>'Table 3 Levels 1&amp;2'!AL9*90%</f>
        <v>4840.6577512460281</v>
      </c>
      <c r="E12" s="907">
        <f t="shared" si="1"/>
        <v>101653.8127761666</v>
      </c>
      <c r="F12" s="908">
        <f>'Table 3A Level 3'!C11*90%</f>
        <v>490.9319999999999</v>
      </c>
      <c r="G12" s="908">
        <f t="shared" si="2"/>
        <v>10309.571999999998</v>
      </c>
      <c r="H12" s="909">
        <f t="shared" si="3"/>
        <v>111963.3847761666</v>
      </c>
      <c r="I12" s="908">
        <f>(('Table 3 Levels 1&amp;2'!AL9-D12)+('Table 3A Level 3'!C11-F12))*C12</f>
        <v>12440.376086240736</v>
      </c>
      <c r="J12" s="908">
        <f>'[1]Oct midyear LAVCA'!K9</f>
        <v>10663.179502492056</v>
      </c>
      <c r="K12" s="908">
        <f>'[1]Feb midyear LAVCA'!K9</f>
        <v>7997.3846268690413</v>
      </c>
      <c r="L12" s="910">
        <f t="shared" si="4"/>
        <v>18660.564129361097</v>
      </c>
      <c r="M12" s="909">
        <f t="shared" si="5"/>
        <v>130623.94890552769</v>
      </c>
      <c r="N12" s="908">
        <f t="shared" si="6"/>
        <v>-326.55987226381922</v>
      </c>
      <c r="O12" s="909">
        <f t="shared" si="7"/>
        <v>130297.38903326387</v>
      </c>
      <c r="P12" s="911">
        <v>0</v>
      </c>
      <c r="Q12" s="909">
        <f t="shared" si="8"/>
        <v>130297.38903326387</v>
      </c>
      <c r="R12" s="908">
        <f>8*'[2]Table 5C2 - LA Virtual Admy'!T11</f>
        <v>74456</v>
      </c>
      <c r="S12" s="908">
        <f t="shared" si="9"/>
        <v>55841.389033263869</v>
      </c>
      <c r="T12" s="909">
        <f t="shared" si="10"/>
        <v>13960</v>
      </c>
      <c r="U12" s="909">
        <f t="shared" si="23"/>
        <v>130297.38903326387</v>
      </c>
      <c r="V12" s="912">
        <f>'Table 5C1A-Madison Prep'!U12*90%</f>
        <v>3651.3</v>
      </c>
      <c r="W12" s="913">
        <f t="shared" si="11"/>
        <v>76677.3</v>
      </c>
      <c r="X12" s="906">
        <f>'[1]Oct midyear LAVCA'!E9</f>
        <v>2</v>
      </c>
      <c r="Y12" s="914">
        <f t="shared" si="12"/>
        <v>7302.6</v>
      </c>
      <c r="Z12" s="1005">
        <f>'[1]Feb midyear LAVCA'!E9</f>
        <v>3</v>
      </c>
      <c r="AA12" s="914">
        <f t="shared" si="13"/>
        <v>5476.9500000000007</v>
      </c>
      <c r="AB12" s="915">
        <f t="shared" si="14"/>
        <v>12779.550000000001</v>
      </c>
      <c r="AC12" s="913">
        <f t="shared" si="15"/>
        <v>89456.85</v>
      </c>
      <c r="AD12" s="914">
        <f t="shared" si="16"/>
        <v>-223.64212500000002</v>
      </c>
      <c r="AE12" s="913">
        <f t="shared" si="17"/>
        <v>89233.207875000007</v>
      </c>
      <c r="AF12" s="912">
        <v>0</v>
      </c>
      <c r="AG12" s="913">
        <f t="shared" si="18"/>
        <v>89233.207875000007</v>
      </c>
      <c r="AH12" s="914">
        <f>8*'[2]Table 5C2 - LA Virtual Admy'!AJ11</f>
        <v>47848</v>
      </c>
      <c r="AI12" s="914">
        <f t="shared" si="19"/>
        <v>41385.207875000007</v>
      </c>
      <c r="AJ12" s="913">
        <f t="shared" si="20"/>
        <v>10346</v>
      </c>
      <c r="AK12" s="916">
        <f t="shared" si="21"/>
        <v>219530.59690826386</v>
      </c>
      <c r="AL12" s="916">
        <f t="shared" si="22"/>
        <v>24306</v>
      </c>
      <c r="AN12" s="908">
        <v>-179.88075000000001</v>
      </c>
      <c r="AO12" s="908">
        <f t="shared" si="24"/>
        <v>-223.64212500000002</v>
      </c>
      <c r="AP12" s="908">
        <f t="shared" si="25"/>
        <v>-43.761375000000015</v>
      </c>
    </row>
    <row r="13" spans="1:42" s="917" customFormat="1" ht="16.149999999999999" customHeight="1">
      <c r="A13" s="918">
        <v>7</v>
      </c>
      <c r="B13" s="919" t="s">
        <v>79</v>
      </c>
      <c r="C13" s="920">
        <f>+'Table 8 Membership 2.1.14'!J9</f>
        <v>6</v>
      </c>
      <c r="D13" s="921">
        <f>'Table 3 Levels 1&amp;2'!AL10*90%</f>
        <v>2018.7028767123288</v>
      </c>
      <c r="E13" s="921">
        <f t="shared" si="1"/>
        <v>12112.217260273974</v>
      </c>
      <c r="F13" s="922">
        <f>'Table 3A Level 3'!C12*90%</f>
        <v>681.22799999999984</v>
      </c>
      <c r="G13" s="922">
        <f t="shared" si="2"/>
        <v>4087.367999999999</v>
      </c>
      <c r="H13" s="923">
        <f t="shared" si="3"/>
        <v>16199.585260273972</v>
      </c>
      <c r="I13" s="922">
        <f>(('Table 3 Levels 1&amp;2'!AL10-D13)+('Table 3A Level 3'!C12-F13))*C13</f>
        <v>1799.9539178082186</v>
      </c>
      <c r="J13" s="922">
        <f>'[1]Oct midyear LAVCA'!K10</f>
        <v>13499.654383561643</v>
      </c>
      <c r="K13" s="922">
        <f>'[1]Feb midyear LAVCA'!K10</f>
        <v>-1349.9654383561642</v>
      </c>
      <c r="L13" s="924">
        <f t="shared" si="4"/>
        <v>12149.688945205478</v>
      </c>
      <c r="M13" s="923">
        <f t="shared" si="5"/>
        <v>28349.274205479451</v>
      </c>
      <c r="N13" s="922">
        <f t="shared" si="6"/>
        <v>-70.87318551369863</v>
      </c>
      <c r="O13" s="923">
        <f t="shared" si="7"/>
        <v>28278.401019965753</v>
      </c>
      <c r="P13" s="925">
        <v>0</v>
      </c>
      <c r="Q13" s="923">
        <f t="shared" si="8"/>
        <v>28278.401019965753</v>
      </c>
      <c r="R13" s="922">
        <f>8*'[2]Table 5C2 - LA Virtual Admy'!T12</f>
        <v>10776</v>
      </c>
      <c r="S13" s="922">
        <f t="shared" si="9"/>
        <v>17502.401019965753</v>
      </c>
      <c r="T13" s="923">
        <f t="shared" si="10"/>
        <v>4376</v>
      </c>
      <c r="U13" s="923">
        <f t="shared" si="23"/>
        <v>28278.401019965753</v>
      </c>
      <c r="V13" s="926">
        <f>'Table 5C1A-Madison Prep'!U13*90%</f>
        <v>10900.800000000001</v>
      </c>
      <c r="W13" s="927">
        <f t="shared" si="11"/>
        <v>65404.800000000003</v>
      </c>
      <c r="X13" s="920">
        <f>'[1]Oct midyear LAVCA'!E10</f>
        <v>5</v>
      </c>
      <c r="Y13" s="928">
        <f t="shared" si="12"/>
        <v>54504.000000000007</v>
      </c>
      <c r="Z13" s="1006">
        <f>'[1]Feb midyear LAVCA'!E10</f>
        <v>-1</v>
      </c>
      <c r="AA13" s="928">
        <f t="shared" si="13"/>
        <v>-5450.4000000000005</v>
      </c>
      <c r="AB13" s="929">
        <f t="shared" si="14"/>
        <v>49053.600000000006</v>
      </c>
      <c r="AC13" s="927">
        <f t="shared" si="15"/>
        <v>114458.40000000001</v>
      </c>
      <c r="AD13" s="928">
        <f t="shared" si="16"/>
        <v>-286.14600000000002</v>
      </c>
      <c r="AE13" s="927">
        <f t="shared" si="17"/>
        <v>114172.25400000002</v>
      </c>
      <c r="AF13" s="926">
        <v>0</v>
      </c>
      <c r="AG13" s="927">
        <f t="shared" si="18"/>
        <v>114172.25400000002</v>
      </c>
      <c r="AH13" s="928">
        <f>8*'[2]Table 5C2 - LA Virtual Admy'!AJ12</f>
        <v>42688</v>
      </c>
      <c r="AI13" s="928">
        <f t="shared" si="19"/>
        <v>71484.254000000015</v>
      </c>
      <c r="AJ13" s="927">
        <f t="shared" si="20"/>
        <v>17871</v>
      </c>
      <c r="AK13" s="930">
        <f t="shared" si="21"/>
        <v>142450.65501996578</v>
      </c>
      <c r="AL13" s="930">
        <f t="shared" si="22"/>
        <v>22247</v>
      </c>
      <c r="AN13" s="922">
        <v>-160.48800000000003</v>
      </c>
      <c r="AO13" s="922">
        <f t="shared" si="24"/>
        <v>-286.14600000000002</v>
      </c>
      <c r="AP13" s="922">
        <f t="shared" si="25"/>
        <v>-125.65799999999999</v>
      </c>
    </row>
    <row r="14" spans="1:42" s="917" customFormat="1" ht="16.149999999999999" customHeight="1">
      <c r="A14" s="918">
        <v>8</v>
      </c>
      <c r="B14" s="919" t="s">
        <v>80</v>
      </c>
      <c r="C14" s="920">
        <f>+'Table 8 Membership 2.1.14'!J10</f>
        <v>68</v>
      </c>
      <c r="D14" s="921">
        <f>'Table 3 Levels 1&amp;2'!AL11*90%</f>
        <v>4202.822213602969</v>
      </c>
      <c r="E14" s="921">
        <f t="shared" si="1"/>
        <v>285791.91052500188</v>
      </c>
      <c r="F14" s="922">
        <f>'Table 3A Level 3'!C13*90%</f>
        <v>653.18399999999997</v>
      </c>
      <c r="G14" s="922">
        <f t="shared" si="2"/>
        <v>44416.511999999995</v>
      </c>
      <c r="H14" s="923">
        <f t="shared" si="3"/>
        <v>330208.42252500186</v>
      </c>
      <c r="I14" s="922">
        <f>(('Table 3 Levels 1&amp;2'!AL11-D14)+('Table 3A Level 3'!C13-F14))*C14</f>
        <v>36689.824725000188</v>
      </c>
      <c r="J14" s="922">
        <f>'[1]Oct midyear LAVCA'!K11</f>
        <v>38848.049708823753</v>
      </c>
      <c r="K14" s="922">
        <f>'[1]Feb midyear LAVCA'!K11</f>
        <v>12140.015534007423</v>
      </c>
      <c r="L14" s="924">
        <f t="shared" si="4"/>
        <v>50988.065242831173</v>
      </c>
      <c r="M14" s="923">
        <f t="shared" si="5"/>
        <v>381196.48776783305</v>
      </c>
      <c r="N14" s="922">
        <f t="shared" si="6"/>
        <v>-952.99121941958265</v>
      </c>
      <c r="O14" s="923">
        <f t="shared" si="7"/>
        <v>380243.49654841347</v>
      </c>
      <c r="P14" s="925">
        <v>0</v>
      </c>
      <c r="Q14" s="923">
        <f t="shared" si="8"/>
        <v>380243.49654841347</v>
      </c>
      <c r="R14" s="922">
        <f>8*'[2]Table 5C2 - LA Virtual Admy'!T13</f>
        <v>219592</v>
      </c>
      <c r="S14" s="922">
        <f t="shared" si="9"/>
        <v>160651.49654841347</v>
      </c>
      <c r="T14" s="923">
        <f t="shared" si="10"/>
        <v>40163</v>
      </c>
      <c r="U14" s="923">
        <f t="shared" si="23"/>
        <v>380243.49654841347</v>
      </c>
      <c r="V14" s="926">
        <f>'Table 5C1A-Madison Prep'!U14*90%</f>
        <v>3711.6</v>
      </c>
      <c r="W14" s="927">
        <f t="shared" si="11"/>
        <v>252388.8</v>
      </c>
      <c r="X14" s="920">
        <f>'[1]Oct midyear LAVCA'!E11</f>
        <v>8</v>
      </c>
      <c r="Y14" s="928">
        <f t="shared" si="12"/>
        <v>29692.799999999999</v>
      </c>
      <c r="Z14" s="1006">
        <f>'[1]Feb midyear LAVCA'!E11</f>
        <v>5</v>
      </c>
      <c r="AA14" s="928">
        <f t="shared" si="13"/>
        <v>9279</v>
      </c>
      <c r="AB14" s="929">
        <f t="shared" si="14"/>
        <v>38971.800000000003</v>
      </c>
      <c r="AC14" s="927">
        <f t="shared" si="15"/>
        <v>291360.59999999998</v>
      </c>
      <c r="AD14" s="928">
        <f t="shared" si="16"/>
        <v>-728.40149999999994</v>
      </c>
      <c r="AE14" s="927">
        <f t="shared" si="17"/>
        <v>290632.1985</v>
      </c>
      <c r="AF14" s="926">
        <v>0</v>
      </c>
      <c r="AG14" s="927">
        <f t="shared" si="18"/>
        <v>290632.1985</v>
      </c>
      <c r="AH14" s="928">
        <f>8*'[2]Table 5C2 - LA Virtual Admy'!AJ13</f>
        <v>163768</v>
      </c>
      <c r="AI14" s="928">
        <f t="shared" si="19"/>
        <v>126864.1985</v>
      </c>
      <c r="AJ14" s="927">
        <f t="shared" si="20"/>
        <v>31716</v>
      </c>
      <c r="AK14" s="930">
        <f t="shared" si="21"/>
        <v>670875.69504841347</v>
      </c>
      <c r="AL14" s="930">
        <f t="shared" si="22"/>
        <v>71879</v>
      </c>
      <c r="AN14" s="922">
        <v>-615.67200000000003</v>
      </c>
      <c r="AO14" s="922">
        <f t="shared" si="24"/>
        <v>-728.40149999999994</v>
      </c>
      <c r="AP14" s="922">
        <f t="shared" si="25"/>
        <v>-112.72949999999992</v>
      </c>
    </row>
    <row r="15" spans="1:42" s="917" customFormat="1" ht="16.149999999999999" customHeight="1">
      <c r="A15" s="918">
        <v>9</v>
      </c>
      <c r="B15" s="919" t="s">
        <v>81</v>
      </c>
      <c r="C15" s="920">
        <f>+'Table 8 Membership 2.1.14'!J11</f>
        <v>101</v>
      </c>
      <c r="D15" s="921">
        <f>'Table 3 Levels 1&amp;2'!AL12*90%</f>
        <v>4169.215356484051</v>
      </c>
      <c r="E15" s="921">
        <f t="shared" si="1"/>
        <v>421090.75100488914</v>
      </c>
      <c r="F15" s="922">
        <f>'Table 3A Level 3'!C14*90%</f>
        <v>670.28399999999999</v>
      </c>
      <c r="G15" s="922">
        <f t="shared" si="2"/>
        <v>67698.683999999994</v>
      </c>
      <c r="H15" s="923">
        <f t="shared" si="3"/>
        <v>488789.43500488915</v>
      </c>
      <c r="I15" s="922">
        <f>(('Table 3 Levels 1&amp;2'!AL12-D15)+('Table 3A Level 3'!C14-F15))*C15</f>
        <v>54309.937222765431</v>
      </c>
      <c r="J15" s="922">
        <f>'[1]Oct midyear LAVCA'!K12</f>
        <v>-72592.490347260755</v>
      </c>
      <c r="K15" s="922">
        <f>'[1]Feb midyear LAVCA'!K12</f>
        <v>9678.9987129681012</v>
      </c>
      <c r="L15" s="924">
        <f t="shared" si="4"/>
        <v>-62913.491634292652</v>
      </c>
      <c r="M15" s="923">
        <f t="shared" si="5"/>
        <v>425875.94337059651</v>
      </c>
      <c r="N15" s="922">
        <f t="shared" si="6"/>
        <v>-1064.6898584264914</v>
      </c>
      <c r="O15" s="923">
        <f t="shared" si="7"/>
        <v>424811.25351216999</v>
      </c>
      <c r="P15" s="925">
        <v>0</v>
      </c>
      <c r="Q15" s="923">
        <f t="shared" si="8"/>
        <v>424811.25351216999</v>
      </c>
      <c r="R15" s="922">
        <f>8*'[2]Table 5C2 - LA Virtual Admy'!T14</f>
        <v>325048</v>
      </c>
      <c r="S15" s="922">
        <f t="shared" si="9"/>
        <v>99763.253512169991</v>
      </c>
      <c r="T15" s="923">
        <f t="shared" si="10"/>
        <v>24941</v>
      </c>
      <c r="U15" s="923">
        <f t="shared" si="23"/>
        <v>424811.25351216999</v>
      </c>
      <c r="V15" s="926">
        <f>'Table 5C1A-Madison Prep'!U15*90%</f>
        <v>4410.9000000000005</v>
      </c>
      <c r="W15" s="927">
        <f t="shared" si="11"/>
        <v>445500.90000000008</v>
      </c>
      <c r="X15" s="920">
        <f>'[1]Oct midyear LAVCA'!E12</f>
        <v>-15</v>
      </c>
      <c r="Y15" s="928">
        <f t="shared" si="12"/>
        <v>-66163.500000000015</v>
      </c>
      <c r="Z15" s="1006">
        <f>'[1]Feb midyear LAVCA'!E12</f>
        <v>4</v>
      </c>
      <c r="AA15" s="928">
        <f t="shared" si="13"/>
        <v>8821.8000000000011</v>
      </c>
      <c r="AB15" s="929">
        <f t="shared" si="14"/>
        <v>-57341.700000000012</v>
      </c>
      <c r="AC15" s="927">
        <f t="shared" si="15"/>
        <v>388159.20000000007</v>
      </c>
      <c r="AD15" s="928">
        <f t="shared" si="16"/>
        <v>-970.39800000000014</v>
      </c>
      <c r="AE15" s="927">
        <f t="shared" si="17"/>
        <v>387188.80200000008</v>
      </c>
      <c r="AF15" s="926">
        <v>0</v>
      </c>
      <c r="AG15" s="927">
        <f t="shared" si="18"/>
        <v>387188.80200000008</v>
      </c>
      <c r="AH15" s="928">
        <f>8*'[2]Table 5C2 - LA Virtual Admy'!AJ14</f>
        <v>291848</v>
      </c>
      <c r="AI15" s="928">
        <f t="shared" si="19"/>
        <v>95340.802000000083</v>
      </c>
      <c r="AJ15" s="927">
        <f t="shared" si="20"/>
        <v>23835</v>
      </c>
      <c r="AK15" s="930">
        <f t="shared" si="21"/>
        <v>812000.05551217007</v>
      </c>
      <c r="AL15" s="930">
        <f t="shared" si="22"/>
        <v>48776</v>
      </c>
      <c r="AN15" s="922">
        <v>-1097.163</v>
      </c>
      <c r="AO15" s="922">
        <f t="shared" si="24"/>
        <v>-970.39800000000014</v>
      </c>
      <c r="AP15" s="922">
        <f t="shared" si="25"/>
        <v>126.76499999999987</v>
      </c>
    </row>
    <row r="16" spans="1:42" s="917" customFormat="1" ht="16.149999999999999" customHeight="1">
      <c r="A16" s="931">
        <v>10</v>
      </c>
      <c r="B16" s="932" t="s">
        <v>82</v>
      </c>
      <c r="C16" s="933">
        <f>+'Table 8 Membership 2.1.14'!J12</f>
        <v>78</v>
      </c>
      <c r="D16" s="934">
        <f>'Table 3 Levels 1&amp;2'!AL13*90%</f>
        <v>3945.9372605266249</v>
      </c>
      <c r="E16" s="934">
        <f t="shared" si="1"/>
        <v>307783.10632107675</v>
      </c>
      <c r="F16" s="935">
        <f>'Table 3A Level 3'!C15*90%</f>
        <v>547.2360000000001</v>
      </c>
      <c r="G16" s="935">
        <f t="shared" si="2"/>
        <v>42684.40800000001</v>
      </c>
      <c r="H16" s="936">
        <f t="shared" si="3"/>
        <v>350467.51432107674</v>
      </c>
      <c r="I16" s="935">
        <f>(('Table 3 Levels 1&amp;2'!AL13-D16)+('Table 3A Level 3'!C15-F16))*C16</f>
        <v>38940.834924564071</v>
      </c>
      <c r="J16" s="935">
        <f>'[1]Oct midyear LAVCA'!K13</f>
        <v>-67397.598907899373</v>
      </c>
      <c r="K16" s="935">
        <f>'[1]Feb midyear LAVCA'!K13</f>
        <v>-2246.5866302633126</v>
      </c>
      <c r="L16" s="937">
        <f t="shared" si="4"/>
        <v>-69644.185538162681</v>
      </c>
      <c r="M16" s="936">
        <f t="shared" si="5"/>
        <v>280823.32878291409</v>
      </c>
      <c r="N16" s="935">
        <f t="shared" si="6"/>
        <v>-702.05832195728522</v>
      </c>
      <c r="O16" s="936">
        <f t="shared" si="7"/>
        <v>280121.27046095679</v>
      </c>
      <c r="P16" s="938">
        <v>0</v>
      </c>
      <c r="Q16" s="936">
        <f t="shared" si="8"/>
        <v>280121.27046095679</v>
      </c>
      <c r="R16" s="935">
        <f>8*'[2]Table 5C2 - LA Virtual Admy'!T15</f>
        <v>233064</v>
      </c>
      <c r="S16" s="935">
        <f t="shared" si="9"/>
        <v>47057.270460956788</v>
      </c>
      <c r="T16" s="936">
        <f t="shared" si="10"/>
        <v>11764</v>
      </c>
      <c r="U16" s="936">
        <f t="shared" si="23"/>
        <v>280121.27046095679</v>
      </c>
      <c r="V16" s="939">
        <f>'Table 5C1A-Madison Prep'!U16*90%</f>
        <v>4157.1000000000004</v>
      </c>
      <c r="W16" s="940">
        <f t="shared" si="11"/>
        <v>324253.80000000005</v>
      </c>
      <c r="X16" s="933">
        <f>'[1]Oct midyear LAVCA'!E13</f>
        <v>-15</v>
      </c>
      <c r="Y16" s="941">
        <f t="shared" si="12"/>
        <v>-62356.500000000007</v>
      </c>
      <c r="Z16" s="1007">
        <f>'[1]Feb midyear LAVCA'!E13</f>
        <v>-1</v>
      </c>
      <c r="AA16" s="941">
        <f t="shared" si="13"/>
        <v>-2078.5500000000002</v>
      </c>
      <c r="AB16" s="942">
        <f t="shared" si="14"/>
        <v>-64435.05000000001</v>
      </c>
      <c r="AC16" s="940">
        <f t="shared" si="15"/>
        <v>259818.75000000003</v>
      </c>
      <c r="AD16" s="941">
        <f t="shared" si="16"/>
        <v>-649.54687500000011</v>
      </c>
      <c r="AE16" s="940">
        <f t="shared" si="17"/>
        <v>259169.20312500003</v>
      </c>
      <c r="AF16" s="939">
        <v>0</v>
      </c>
      <c r="AG16" s="940">
        <f t="shared" si="18"/>
        <v>259169.20312500003</v>
      </c>
      <c r="AH16" s="941">
        <f>8*'[2]Table 5C2 - LA Virtual Admy'!AJ15</f>
        <v>213104</v>
      </c>
      <c r="AI16" s="941">
        <f t="shared" si="19"/>
        <v>46065.203125000029</v>
      </c>
      <c r="AJ16" s="940">
        <f t="shared" si="20"/>
        <v>11516</v>
      </c>
      <c r="AK16" s="943">
        <f t="shared" si="21"/>
        <v>539290.47358595685</v>
      </c>
      <c r="AL16" s="943">
        <f t="shared" si="22"/>
        <v>23280</v>
      </c>
      <c r="AN16" s="935">
        <v>-801.15750000000003</v>
      </c>
      <c r="AO16" s="935">
        <f t="shared" si="24"/>
        <v>-649.54687500000011</v>
      </c>
      <c r="AP16" s="935">
        <f t="shared" si="25"/>
        <v>151.61062499999991</v>
      </c>
    </row>
    <row r="17" spans="1:42" s="917" customFormat="1" ht="16.149999999999999" customHeight="1">
      <c r="A17" s="904">
        <v>11</v>
      </c>
      <c r="B17" s="905" t="s">
        <v>83</v>
      </c>
      <c r="C17" s="906">
        <f>+'Table 8 Membership 2.1.14'!J13</f>
        <v>4</v>
      </c>
      <c r="D17" s="907">
        <f>'Table 3 Levels 1&amp;2'!AL14*90%</f>
        <v>6388.683501271802</v>
      </c>
      <c r="E17" s="907">
        <f t="shared" si="1"/>
        <v>25554.734005087208</v>
      </c>
      <c r="F17" s="908">
        <f>'Table 3A Level 3'!C16*90%</f>
        <v>635.89499999999998</v>
      </c>
      <c r="G17" s="908">
        <f t="shared" si="2"/>
        <v>2543.58</v>
      </c>
      <c r="H17" s="909">
        <f t="shared" si="3"/>
        <v>28098.31400508721</v>
      </c>
      <c r="I17" s="908">
        <f>(('Table 3 Levels 1&amp;2'!AL14-D17)+('Table 3A Level 3'!C16-F17))*C17</f>
        <v>3122.0348894541321</v>
      </c>
      <c r="J17" s="908">
        <f>'[1]Oct midyear LAVCA'!K14</f>
        <v>-7024.5785012718025</v>
      </c>
      <c r="K17" s="908">
        <f>'[1]Feb midyear LAVCA'!K14</f>
        <v>-3512.2892506359012</v>
      </c>
      <c r="L17" s="910">
        <f t="shared" si="4"/>
        <v>-10536.867751907703</v>
      </c>
      <c r="M17" s="909">
        <f t="shared" si="5"/>
        <v>17561.446253179507</v>
      </c>
      <c r="N17" s="908">
        <f t="shared" si="6"/>
        <v>-43.903615632948771</v>
      </c>
      <c r="O17" s="909">
        <f t="shared" si="7"/>
        <v>17517.542637546558</v>
      </c>
      <c r="P17" s="911">
        <v>0</v>
      </c>
      <c r="Q17" s="909">
        <f t="shared" si="8"/>
        <v>17517.542637546558</v>
      </c>
      <c r="R17" s="908">
        <f>8*'[2]Table 5C2 - LA Virtual Admy'!T16</f>
        <v>18688</v>
      </c>
      <c r="S17" s="908">
        <f t="shared" si="9"/>
        <v>-1170.4573624534423</v>
      </c>
      <c r="T17" s="909">
        <f t="shared" si="10"/>
        <v>-293</v>
      </c>
      <c r="U17" s="909">
        <f t="shared" si="23"/>
        <v>17517.542637546558</v>
      </c>
      <c r="V17" s="912">
        <f>'Table 5C1A-Madison Prep'!U17*90%</f>
        <v>3222</v>
      </c>
      <c r="W17" s="913">
        <f t="shared" si="11"/>
        <v>12888</v>
      </c>
      <c r="X17" s="906">
        <f>'[1]Oct midyear LAVCA'!E14</f>
        <v>-1</v>
      </c>
      <c r="Y17" s="914">
        <f t="shared" si="12"/>
        <v>-3222</v>
      </c>
      <c r="Z17" s="1005">
        <f>'[1]Feb midyear LAVCA'!E14</f>
        <v>-1</v>
      </c>
      <c r="AA17" s="914">
        <f t="shared" si="13"/>
        <v>-1611</v>
      </c>
      <c r="AB17" s="915">
        <f t="shared" si="14"/>
        <v>-4833</v>
      </c>
      <c r="AC17" s="913">
        <f t="shared" si="15"/>
        <v>8055</v>
      </c>
      <c r="AD17" s="914">
        <f t="shared" si="16"/>
        <v>-20.137499999999999</v>
      </c>
      <c r="AE17" s="913">
        <f t="shared" si="17"/>
        <v>8034.8625000000002</v>
      </c>
      <c r="AF17" s="912">
        <v>0</v>
      </c>
      <c r="AG17" s="913">
        <f t="shared" si="18"/>
        <v>8034.8625000000002</v>
      </c>
      <c r="AH17" s="914">
        <f>8*'[2]Table 5C2 - LA Virtual Admy'!AJ16</f>
        <v>8584</v>
      </c>
      <c r="AI17" s="914">
        <f t="shared" si="19"/>
        <v>-549.13749999999982</v>
      </c>
      <c r="AJ17" s="913">
        <f t="shared" si="20"/>
        <v>-137</v>
      </c>
      <c r="AK17" s="916">
        <f t="shared" si="21"/>
        <v>25552.405137546557</v>
      </c>
      <c r="AL17" s="916">
        <f t="shared" si="22"/>
        <v>-430</v>
      </c>
      <c r="AN17" s="908">
        <v>-32.283000000000001</v>
      </c>
      <c r="AO17" s="908">
        <f t="shared" si="24"/>
        <v>-20.137499999999999</v>
      </c>
      <c r="AP17" s="908">
        <f t="shared" si="25"/>
        <v>12.145500000000002</v>
      </c>
    </row>
    <row r="18" spans="1:42" s="917" customFormat="1" ht="16.149999999999999" customHeight="1">
      <c r="A18" s="918">
        <v>12</v>
      </c>
      <c r="B18" s="919" t="s">
        <v>84</v>
      </c>
      <c r="C18" s="920">
        <f>+'Table 8 Membership 2.1.14'!J14</f>
        <v>2</v>
      </c>
      <c r="D18" s="921">
        <f>'Table 3 Levels 1&amp;2'!AL15*90%</f>
        <v>1499.9436885245902</v>
      </c>
      <c r="E18" s="921">
        <f t="shared" si="1"/>
        <v>2999.8873770491805</v>
      </c>
      <c r="F18" s="922">
        <f>'Table 3A Level 3'!C17*90%</f>
        <v>956.97899999999993</v>
      </c>
      <c r="G18" s="922">
        <f t="shared" si="2"/>
        <v>1913.9579999999999</v>
      </c>
      <c r="H18" s="923">
        <f t="shared" si="3"/>
        <v>4913.8453770491806</v>
      </c>
      <c r="I18" s="922">
        <f>(('Table 3 Levels 1&amp;2'!AL15-D18)+('Table 3A Level 3'!C17-F18))*C18</f>
        <v>545.9828196721312</v>
      </c>
      <c r="J18" s="922">
        <f>'[1]Oct midyear LAVCA'!K15</f>
        <v>0</v>
      </c>
      <c r="K18" s="922">
        <f>'[1]Feb midyear LAVCA'!K15</f>
        <v>-1228.4613442622951</v>
      </c>
      <c r="L18" s="924">
        <f t="shared" si="4"/>
        <v>-1228.4613442622951</v>
      </c>
      <c r="M18" s="923">
        <f t="shared" si="5"/>
        <v>3685.3840327868857</v>
      </c>
      <c r="N18" s="922">
        <f t="shared" si="6"/>
        <v>-9.2134600819672148</v>
      </c>
      <c r="O18" s="923">
        <f t="shared" si="7"/>
        <v>3676.1705727049184</v>
      </c>
      <c r="P18" s="925">
        <v>0</v>
      </c>
      <c r="Q18" s="923">
        <f t="shared" si="8"/>
        <v>3676.1705727049184</v>
      </c>
      <c r="R18" s="922">
        <f>8*'[2]Table 5C2 - LA Virtual Admy'!T17</f>
        <v>3264</v>
      </c>
      <c r="S18" s="922">
        <f t="shared" si="9"/>
        <v>412.17057270491841</v>
      </c>
      <c r="T18" s="923">
        <f t="shared" si="10"/>
        <v>103</v>
      </c>
      <c r="U18" s="923">
        <f t="shared" si="23"/>
        <v>3676.1705727049184</v>
      </c>
      <c r="V18" s="926">
        <f>'Table 5C1A-Madison Prep'!U18*90%</f>
        <v>7284.6</v>
      </c>
      <c r="W18" s="927">
        <f t="shared" si="11"/>
        <v>14569.2</v>
      </c>
      <c r="X18" s="920">
        <f>'[1]Oct midyear LAVCA'!E15</f>
        <v>0</v>
      </c>
      <c r="Y18" s="928">
        <f t="shared" si="12"/>
        <v>0</v>
      </c>
      <c r="Z18" s="1006">
        <f>'[1]Feb midyear LAVCA'!E15</f>
        <v>-1</v>
      </c>
      <c r="AA18" s="928">
        <f t="shared" si="13"/>
        <v>-3642.3</v>
      </c>
      <c r="AB18" s="929">
        <f t="shared" si="14"/>
        <v>-3642.3</v>
      </c>
      <c r="AC18" s="927">
        <f t="shared" si="15"/>
        <v>10926.900000000001</v>
      </c>
      <c r="AD18" s="928">
        <f t="shared" si="16"/>
        <v>-27.317250000000005</v>
      </c>
      <c r="AE18" s="927">
        <f t="shared" si="17"/>
        <v>10899.582750000001</v>
      </c>
      <c r="AF18" s="926">
        <v>0</v>
      </c>
      <c r="AG18" s="927">
        <f t="shared" si="18"/>
        <v>10899.582750000001</v>
      </c>
      <c r="AH18" s="928">
        <f>8*'[2]Table 5C2 - LA Virtual Admy'!AJ17</f>
        <v>9688</v>
      </c>
      <c r="AI18" s="928">
        <f t="shared" si="19"/>
        <v>1211.5827500000014</v>
      </c>
      <c r="AJ18" s="927">
        <f t="shared" si="20"/>
        <v>303</v>
      </c>
      <c r="AK18" s="930">
        <f t="shared" si="21"/>
        <v>14575.753322704921</v>
      </c>
      <c r="AL18" s="930">
        <f t="shared" si="22"/>
        <v>406</v>
      </c>
      <c r="AN18" s="922">
        <v>-36.423000000000002</v>
      </c>
      <c r="AO18" s="922">
        <f t="shared" si="24"/>
        <v>-27.317250000000005</v>
      </c>
      <c r="AP18" s="922">
        <f t="shared" si="25"/>
        <v>9.1057499999999969</v>
      </c>
    </row>
    <row r="19" spans="1:42" s="917" customFormat="1" ht="16.149999999999999" customHeight="1">
      <c r="A19" s="918">
        <v>13</v>
      </c>
      <c r="B19" s="919" t="s">
        <v>85</v>
      </c>
      <c r="C19" s="920">
        <f>+'Table 8 Membership 2.1.14'!J15</f>
        <v>7</v>
      </c>
      <c r="D19" s="921">
        <f>'Table 3 Levels 1&amp;2'!AL16*90%</f>
        <v>5790.2667982498988</v>
      </c>
      <c r="E19" s="921">
        <f t="shared" si="1"/>
        <v>40531.867587749293</v>
      </c>
      <c r="F19" s="922">
        <f>'Table 3A Level 3'!C18*90%</f>
        <v>674.48700000000008</v>
      </c>
      <c r="G19" s="922">
        <f t="shared" si="2"/>
        <v>4721.4090000000006</v>
      </c>
      <c r="H19" s="923">
        <f t="shared" si="3"/>
        <v>45253.276587749293</v>
      </c>
      <c r="I19" s="922">
        <f>(('Table 3 Levels 1&amp;2'!AL16-D19)+('Table 3A Level 3'!C18-F19))*C19</f>
        <v>5028.1418430832564</v>
      </c>
      <c r="J19" s="922">
        <f>'[1]Oct midyear LAVCA'!K16</f>
        <v>-19394.261394749698</v>
      </c>
      <c r="K19" s="922">
        <f>'[1]Feb midyear LAVCA'!K16</f>
        <v>3232.3768991249494</v>
      </c>
      <c r="L19" s="924">
        <f t="shared" si="4"/>
        <v>-16161.884495624749</v>
      </c>
      <c r="M19" s="923">
        <f t="shared" si="5"/>
        <v>29091.392092124544</v>
      </c>
      <c r="N19" s="922">
        <f t="shared" si="6"/>
        <v>-72.728480230311362</v>
      </c>
      <c r="O19" s="923">
        <f t="shared" si="7"/>
        <v>29018.663611894233</v>
      </c>
      <c r="P19" s="925">
        <v>0</v>
      </c>
      <c r="Q19" s="923">
        <f t="shared" si="8"/>
        <v>29018.663611894233</v>
      </c>
      <c r="R19" s="922">
        <f>8*'[2]Table 5C2 - LA Virtual Admy'!T18</f>
        <v>30096</v>
      </c>
      <c r="S19" s="922">
        <f t="shared" si="9"/>
        <v>-1077.3363881057667</v>
      </c>
      <c r="T19" s="923">
        <f t="shared" si="10"/>
        <v>-269</v>
      </c>
      <c r="U19" s="923">
        <f t="shared" si="23"/>
        <v>29018.663611894233</v>
      </c>
      <c r="V19" s="926">
        <f>'Table 5C1A-Madison Prep'!U19*90%</f>
        <v>2485.8000000000002</v>
      </c>
      <c r="W19" s="927">
        <f t="shared" si="11"/>
        <v>17400.600000000002</v>
      </c>
      <c r="X19" s="920">
        <f>'[1]Oct midyear LAVCA'!E16</f>
        <v>-3</v>
      </c>
      <c r="Y19" s="928">
        <f t="shared" si="12"/>
        <v>-7457.4000000000005</v>
      </c>
      <c r="Z19" s="1006">
        <f>'[1]Feb midyear LAVCA'!E16</f>
        <v>1</v>
      </c>
      <c r="AA19" s="928">
        <f t="shared" si="13"/>
        <v>1242.9000000000001</v>
      </c>
      <c r="AB19" s="929">
        <f t="shared" si="14"/>
        <v>-6214.5</v>
      </c>
      <c r="AC19" s="927">
        <f t="shared" si="15"/>
        <v>11186.100000000002</v>
      </c>
      <c r="AD19" s="928">
        <f t="shared" si="16"/>
        <v>-27.965250000000005</v>
      </c>
      <c r="AE19" s="927">
        <f t="shared" si="17"/>
        <v>11158.134750000003</v>
      </c>
      <c r="AF19" s="926">
        <v>0</v>
      </c>
      <c r="AG19" s="927">
        <f t="shared" si="18"/>
        <v>11158.134750000003</v>
      </c>
      <c r="AH19" s="928">
        <f>8*'[2]Table 5C2 - LA Virtual Admy'!AJ18</f>
        <v>11904</v>
      </c>
      <c r="AI19" s="928">
        <f t="shared" si="19"/>
        <v>-745.8652499999971</v>
      </c>
      <c r="AJ19" s="927">
        <f t="shared" si="20"/>
        <v>-186</v>
      </c>
      <c r="AK19" s="930">
        <f t="shared" si="21"/>
        <v>40176.798361894238</v>
      </c>
      <c r="AL19" s="930">
        <f t="shared" si="22"/>
        <v>-455</v>
      </c>
      <c r="AN19" s="922">
        <v>-44.761500000000005</v>
      </c>
      <c r="AO19" s="922">
        <f t="shared" si="24"/>
        <v>-27.965250000000005</v>
      </c>
      <c r="AP19" s="922">
        <f t="shared" si="25"/>
        <v>16.796250000000001</v>
      </c>
    </row>
    <row r="20" spans="1:42" s="917" customFormat="1" ht="16.149999999999999" customHeight="1">
      <c r="A20" s="918">
        <v>14</v>
      </c>
      <c r="B20" s="919" t="s">
        <v>86</v>
      </c>
      <c r="C20" s="920">
        <f>+'Table 8 Membership 2.1.14'!J16</f>
        <v>0</v>
      </c>
      <c r="D20" s="921">
        <f>'Table 3 Levels 1&amp;2'!AL17*90%</f>
        <v>4801.4558471250002</v>
      </c>
      <c r="E20" s="921">
        <f t="shared" si="1"/>
        <v>0</v>
      </c>
      <c r="F20" s="922">
        <f>'Table 3A Level 3'!C19*90%</f>
        <v>728.98199999999997</v>
      </c>
      <c r="G20" s="922">
        <f t="shared" si="2"/>
        <v>0</v>
      </c>
      <c r="H20" s="923">
        <f t="shared" si="3"/>
        <v>0</v>
      </c>
      <c r="I20" s="922">
        <f>(('Table 3 Levels 1&amp;2'!AL17-D20)+('Table 3A Level 3'!C19-F20))*C20</f>
        <v>0</v>
      </c>
      <c r="J20" s="922">
        <f>'[1]Oct midyear LAVCA'!K17</f>
        <v>5530.4378471250002</v>
      </c>
      <c r="K20" s="922">
        <f>'[1]Feb midyear LAVCA'!K17</f>
        <v>2765.2189235625001</v>
      </c>
      <c r="L20" s="924">
        <f t="shared" si="4"/>
        <v>8295.6567706874994</v>
      </c>
      <c r="M20" s="923">
        <f t="shared" si="5"/>
        <v>8295.6567706874994</v>
      </c>
      <c r="N20" s="922">
        <f t="shared" si="6"/>
        <v>-20.739141926718748</v>
      </c>
      <c r="O20" s="923">
        <f t="shared" si="7"/>
        <v>8274.9176287607806</v>
      </c>
      <c r="P20" s="925">
        <v>0</v>
      </c>
      <c r="Q20" s="923">
        <f t="shared" si="8"/>
        <v>8274.9176287607806</v>
      </c>
      <c r="R20" s="922">
        <f>8*'[2]Table 5C2 - LA Virtual Admy'!T19</f>
        <v>0</v>
      </c>
      <c r="S20" s="922">
        <f t="shared" si="9"/>
        <v>8274.9176287607806</v>
      </c>
      <c r="T20" s="923">
        <f t="shared" si="10"/>
        <v>2069</v>
      </c>
      <c r="U20" s="923">
        <f t="shared" si="23"/>
        <v>8274.9176287607806</v>
      </c>
      <c r="V20" s="926">
        <f>'Table 5C1A-Madison Prep'!U20*90%</f>
        <v>3753.9</v>
      </c>
      <c r="W20" s="927">
        <f t="shared" si="11"/>
        <v>0</v>
      </c>
      <c r="X20" s="920">
        <f>'[1]Oct midyear LAVCA'!E17</f>
        <v>1</v>
      </c>
      <c r="Y20" s="928">
        <f t="shared" si="12"/>
        <v>3753.9</v>
      </c>
      <c r="Z20" s="1006">
        <f>'[1]Feb midyear LAVCA'!E17</f>
        <v>1</v>
      </c>
      <c r="AA20" s="928">
        <f t="shared" si="13"/>
        <v>1876.95</v>
      </c>
      <c r="AB20" s="929">
        <f t="shared" si="14"/>
        <v>5630.85</v>
      </c>
      <c r="AC20" s="927">
        <f t="shared" si="15"/>
        <v>5630.85</v>
      </c>
      <c r="AD20" s="928">
        <f t="shared" si="16"/>
        <v>-14.077125000000001</v>
      </c>
      <c r="AE20" s="927">
        <f t="shared" si="17"/>
        <v>5616.7728750000006</v>
      </c>
      <c r="AF20" s="926">
        <v>0</v>
      </c>
      <c r="AG20" s="927">
        <f t="shared" si="18"/>
        <v>5616.7728750000006</v>
      </c>
      <c r="AH20" s="928">
        <f>8*'[2]Table 5C2 - LA Virtual Admy'!AJ19</f>
        <v>0</v>
      </c>
      <c r="AI20" s="928">
        <f t="shared" si="19"/>
        <v>5616.7728750000006</v>
      </c>
      <c r="AJ20" s="927">
        <f t="shared" si="20"/>
        <v>1404</v>
      </c>
      <c r="AK20" s="930">
        <f t="shared" si="21"/>
        <v>13891.690503760781</v>
      </c>
      <c r="AL20" s="930">
        <f t="shared" si="22"/>
        <v>3473</v>
      </c>
      <c r="AN20" s="922">
        <v>0</v>
      </c>
      <c r="AO20" s="922">
        <f t="shared" si="24"/>
        <v>-14.077125000000001</v>
      </c>
      <c r="AP20" s="922">
        <f t="shared" si="25"/>
        <v>-14.077125000000001</v>
      </c>
    </row>
    <row r="21" spans="1:42" s="917" customFormat="1" ht="16.149999999999999" customHeight="1">
      <c r="A21" s="931">
        <v>15</v>
      </c>
      <c r="B21" s="932" t="s">
        <v>87</v>
      </c>
      <c r="C21" s="933">
        <f>+'Table 8 Membership 2.1.14'!J17</f>
        <v>22</v>
      </c>
      <c r="D21" s="934">
        <f>'Table 3 Levels 1&amp;2'!AL18*90%</f>
        <v>5174.8456692653954</v>
      </c>
      <c r="E21" s="934">
        <f t="shared" si="1"/>
        <v>113846.6047238387</v>
      </c>
      <c r="F21" s="935">
        <f>'Table 3A Level 3'!C20*90%</f>
        <v>498.41999999999996</v>
      </c>
      <c r="G21" s="935">
        <f t="shared" si="2"/>
        <v>10965.24</v>
      </c>
      <c r="H21" s="936">
        <f t="shared" si="3"/>
        <v>124811.8447238387</v>
      </c>
      <c r="I21" s="935">
        <f>(('Table 3 Levels 1&amp;2'!AL18-D21)+('Table 3A Level 3'!C20-F21))*C21</f>
        <v>13867.982747093196</v>
      </c>
      <c r="J21" s="935">
        <f>'[1]Oct midyear LAVCA'!K18</f>
        <v>-17019.797007796187</v>
      </c>
      <c r="K21" s="935">
        <f>'[1]Feb midyear LAVCA'!K18</f>
        <v>11346.531338530791</v>
      </c>
      <c r="L21" s="937">
        <f t="shared" si="4"/>
        <v>-5673.2656692653964</v>
      </c>
      <c r="M21" s="936">
        <f t="shared" si="5"/>
        <v>119138.5790545733</v>
      </c>
      <c r="N21" s="935">
        <f t="shared" si="6"/>
        <v>-297.84644763643325</v>
      </c>
      <c r="O21" s="936">
        <f t="shared" si="7"/>
        <v>118840.73260693687</v>
      </c>
      <c r="P21" s="938">
        <v>0</v>
      </c>
      <c r="Q21" s="936">
        <f t="shared" si="8"/>
        <v>118840.73260693687</v>
      </c>
      <c r="R21" s="935">
        <f>8*'[2]Table 5C2 - LA Virtual Admy'!T20</f>
        <v>83000</v>
      </c>
      <c r="S21" s="935">
        <f t="shared" si="9"/>
        <v>35840.732606936872</v>
      </c>
      <c r="T21" s="936">
        <f t="shared" si="10"/>
        <v>8960</v>
      </c>
      <c r="U21" s="936">
        <f t="shared" si="23"/>
        <v>118840.73260693687</v>
      </c>
      <c r="V21" s="939">
        <f>'Table 5C1A-Madison Prep'!U21*90%</f>
        <v>2592</v>
      </c>
      <c r="W21" s="940">
        <f t="shared" si="11"/>
        <v>57024</v>
      </c>
      <c r="X21" s="933">
        <f>'[1]Oct midyear LAVCA'!E18</f>
        <v>-3</v>
      </c>
      <c r="Y21" s="941">
        <f t="shared" si="12"/>
        <v>-7776</v>
      </c>
      <c r="Z21" s="1007">
        <f>'[1]Feb midyear LAVCA'!E18</f>
        <v>4</v>
      </c>
      <c r="AA21" s="941">
        <f t="shared" si="13"/>
        <v>5184</v>
      </c>
      <c r="AB21" s="942">
        <f t="shared" si="14"/>
        <v>-2592</v>
      </c>
      <c r="AC21" s="940">
        <f t="shared" si="15"/>
        <v>54432</v>
      </c>
      <c r="AD21" s="941">
        <f t="shared" si="16"/>
        <v>-136.08000000000001</v>
      </c>
      <c r="AE21" s="940">
        <f t="shared" si="17"/>
        <v>54295.92</v>
      </c>
      <c r="AF21" s="939">
        <v>0</v>
      </c>
      <c r="AG21" s="940">
        <f t="shared" si="18"/>
        <v>54295.92</v>
      </c>
      <c r="AH21" s="941">
        <f>8*'[2]Table 5C2 - LA Virtual Admy'!AJ20</f>
        <v>33376</v>
      </c>
      <c r="AI21" s="941">
        <f t="shared" si="19"/>
        <v>20919.919999999998</v>
      </c>
      <c r="AJ21" s="940">
        <f t="shared" si="20"/>
        <v>5230</v>
      </c>
      <c r="AK21" s="943">
        <f t="shared" si="21"/>
        <v>173136.65260693687</v>
      </c>
      <c r="AL21" s="943">
        <f t="shared" si="22"/>
        <v>14190</v>
      </c>
      <c r="AN21" s="935">
        <v>-125.4825</v>
      </c>
      <c r="AO21" s="935">
        <f t="shared" si="24"/>
        <v>-136.08000000000001</v>
      </c>
      <c r="AP21" s="935">
        <f t="shared" si="25"/>
        <v>-10.597500000000011</v>
      </c>
    </row>
    <row r="22" spans="1:42" s="917" customFormat="1" ht="16.149999999999999" customHeight="1">
      <c r="A22" s="904">
        <v>16</v>
      </c>
      <c r="B22" s="905" t="s">
        <v>88</v>
      </c>
      <c r="C22" s="906">
        <f>+'Table 8 Membership 2.1.14'!J18</f>
        <v>19</v>
      </c>
      <c r="D22" s="907">
        <f>'Table 3 Levels 1&amp;2'!AL19*90%</f>
        <v>1782.2244918907822</v>
      </c>
      <c r="E22" s="907">
        <f t="shared" si="1"/>
        <v>33862.265345924861</v>
      </c>
      <c r="F22" s="908">
        <f>'Table 3A Level 3'!C21*90%</f>
        <v>618.05700000000002</v>
      </c>
      <c r="G22" s="908">
        <f t="shared" si="2"/>
        <v>11743.083000000001</v>
      </c>
      <c r="H22" s="909">
        <f t="shared" si="3"/>
        <v>45605.34834592486</v>
      </c>
      <c r="I22" s="908">
        <f>(('Table 3 Levels 1&amp;2'!AL19-D22)+('Table 3A Level 3'!C21-F22))*C22</f>
        <v>5067.2609273249846</v>
      </c>
      <c r="J22" s="908">
        <f>'[1]Oct midyear LAVCA'!K19</f>
        <v>-7200.8444756723475</v>
      </c>
      <c r="K22" s="908">
        <f>'[1]Feb midyear LAVCA'!K19</f>
        <v>-2400.2814918907825</v>
      </c>
      <c r="L22" s="910">
        <f t="shared" si="4"/>
        <v>-9601.12596756313</v>
      </c>
      <c r="M22" s="909">
        <f t="shared" si="5"/>
        <v>36004.22237836173</v>
      </c>
      <c r="N22" s="908">
        <f t="shared" si="6"/>
        <v>-90.010555945904329</v>
      </c>
      <c r="O22" s="909">
        <f t="shared" si="7"/>
        <v>35914.211822415826</v>
      </c>
      <c r="P22" s="911">
        <v>0</v>
      </c>
      <c r="Q22" s="909">
        <f t="shared" si="8"/>
        <v>35914.211822415826</v>
      </c>
      <c r="R22" s="908">
        <f>8*'[2]Table 5C2 - LA Virtual Admy'!T21</f>
        <v>30328</v>
      </c>
      <c r="S22" s="908">
        <f t="shared" si="9"/>
        <v>5586.2118224158257</v>
      </c>
      <c r="T22" s="909">
        <f t="shared" si="10"/>
        <v>1397</v>
      </c>
      <c r="U22" s="909">
        <f t="shared" si="23"/>
        <v>35914.211822415826</v>
      </c>
      <c r="V22" s="912">
        <f>'Table 5C1A-Madison Prep'!U22*90%</f>
        <v>11718.9</v>
      </c>
      <c r="W22" s="913">
        <f t="shared" si="11"/>
        <v>222659.1</v>
      </c>
      <c r="X22" s="906">
        <f>'[1]Oct midyear LAVCA'!E19</f>
        <v>-3</v>
      </c>
      <c r="Y22" s="914">
        <f t="shared" si="12"/>
        <v>-35156.699999999997</v>
      </c>
      <c r="Z22" s="1005">
        <f>'[1]Feb midyear LAVCA'!E19</f>
        <v>-2</v>
      </c>
      <c r="AA22" s="914">
        <f t="shared" si="13"/>
        <v>-11718.9</v>
      </c>
      <c r="AB22" s="915">
        <f t="shared" si="14"/>
        <v>-46875.6</v>
      </c>
      <c r="AC22" s="913">
        <f t="shared" si="15"/>
        <v>175783.5</v>
      </c>
      <c r="AD22" s="914">
        <f t="shared" si="16"/>
        <v>-439.45875000000001</v>
      </c>
      <c r="AE22" s="913">
        <f t="shared" si="17"/>
        <v>175344.04125000001</v>
      </c>
      <c r="AF22" s="912">
        <v>0</v>
      </c>
      <c r="AG22" s="913">
        <f t="shared" si="18"/>
        <v>175344.04125000001</v>
      </c>
      <c r="AH22" s="914">
        <f>8*'[2]Table 5C2 - LA Virtual Admy'!AJ21</f>
        <v>145192</v>
      </c>
      <c r="AI22" s="914">
        <f t="shared" si="19"/>
        <v>30152.041250000009</v>
      </c>
      <c r="AJ22" s="913">
        <f t="shared" si="20"/>
        <v>7538</v>
      </c>
      <c r="AK22" s="916">
        <f t="shared" si="21"/>
        <v>211258.25307241583</v>
      </c>
      <c r="AL22" s="916">
        <f t="shared" si="22"/>
        <v>8935</v>
      </c>
      <c r="AN22" s="908">
        <v>-545.83200000000011</v>
      </c>
      <c r="AO22" s="908">
        <f t="shared" si="24"/>
        <v>-439.45875000000001</v>
      </c>
      <c r="AP22" s="908">
        <f t="shared" si="25"/>
        <v>106.3732500000001</v>
      </c>
    </row>
    <row r="23" spans="1:42" s="917" customFormat="1" ht="16.149999999999999" customHeight="1">
      <c r="A23" s="918">
        <v>17</v>
      </c>
      <c r="B23" s="919" t="s">
        <v>89</v>
      </c>
      <c r="C23" s="920">
        <f>+'Table 8 Membership 2.1.14'!J19</f>
        <v>104</v>
      </c>
      <c r="D23" s="921">
        <f>'Table 3 Levels 1&amp;2'!AL20*90%</f>
        <v>3027.2382331429048</v>
      </c>
      <c r="E23" s="921">
        <f t="shared" si="1"/>
        <v>314832.77624686208</v>
      </c>
      <c r="F23" s="922">
        <f>'Table 3A Level 3'!C22*90%</f>
        <v>721.32986175126121</v>
      </c>
      <c r="G23" s="922">
        <f t="shared" si="2"/>
        <v>75018.305622131171</v>
      </c>
      <c r="H23" s="923">
        <f t="shared" si="3"/>
        <v>389851.08186899323</v>
      </c>
      <c r="I23" s="922">
        <f>(('Table 3 Levels 1&amp;2'!AL20-D23)+('Table 3A Level 3'!C22-F23))*C23</f>
        <v>43316.786874332553</v>
      </c>
      <c r="J23" s="922">
        <f>'[1]Oct midyear LAVCA'!K20</f>
        <v>-18742.840474470831</v>
      </c>
      <c r="K23" s="922">
        <f>'[1]Feb midyear LAVCA'!K20</f>
        <v>5622.8521423412494</v>
      </c>
      <c r="L23" s="924">
        <f t="shared" si="4"/>
        <v>-13119.988332129582</v>
      </c>
      <c r="M23" s="923">
        <f t="shared" si="5"/>
        <v>376731.09353686363</v>
      </c>
      <c r="N23" s="922">
        <f t="shared" si="6"/>
        <v>-941.82773384215909</v>
      </c>
      <c r="O23" s="923">
        <f t="shared" si="7"/>
        <v>375789.2658030215</v>
      </c>
      <c r="P23" s="925">
        <v>0</v>
      </c>
      <c r="Q23" s="923">
        <f t="shared" si="8"/>
        <v>375789.2658030215</v>
      </c>
      <c r="R23" s="922">
        <f>8*'[2]Table 5C2 - LA Virtual Admy'!T22</f>
        <v>259248</v>
      </c>
      <c r="S23" s="922">
        <f t="shared" si="9"/>
        <v>116541.2658030215</v>
      </c>
      <c r="T23" s="923">
        <f t="shared" si="10"/>
        <v>29135</v>
      </c>
      <c r="U23" s="923">
        <f t="shared" si="23"/>
        <v>375789.2658030215</v>
      </c>
      <c r="V23" s="926">
        <f>'Table 5C1A-Madison Prep'!U23*90%</f>
        <v>6258.6</v>
      </c>
      <c r="W23" s="927">
        <f t="shared" si="11"/>
        <v>650894.4</v>
      </c>
      <c r="X23" s="920">
        <f>'[1]Oct midyear LAVCA'!E20</f>
        <v>-5</v>
      </c>
      <c r="Y23" s="928">
        <f t="shared" si="12"/>
        <v>-31293</v>
      </c>
      <c r="Z23" s="1006">
        <f>'[1]Feb midyear LAVCA'!E20</f>
        <v>3</v>
      </c>
      <c r="AA23" s="928">
        <f t="shared" si="13"/>
        <v>9387.9000000000015</v>
      </c>
      <c r="AB23" s="929">
        <f t="shared" si="14"/>
        <v>-21905.1</v>
      </c>
      <c r="AC23" s="927">
        <f t="shared" si="15"/>
        <v>628989.30000000005</v>
      </c>
      <c r="AD23" s="928">
        <f t="shared" si="16"/>
        <v>-1572.4732500000002</v>
      </c>
      <c r="AE23" s="927">
        <f t="shared" si="17"/>
        <v>627416.82675000001</v>
      </c>
      <c r="AF23" s="926">
        <v>0</v>
      </c>
      <c r="AG23" s="927">
        <f t="shared" si="18"/>
        <v>627416.82675000001</v>
      </c>
      <c r="AH23" s="928">
        <f>8*'[2]Table 5C2 - LA Virtual Admy'!AJ22</f>
        <v>438824</v>
      </c>
      <c r="AI23" s="928">
        <f t="shared" si="19"/>
        <v>188592.82675000001</v>
      </c>
      <c r="AJ23" s="927">
        <f t="shared" si="20"/>
        <v>47148</v>
      </c>
      <c r="AK23" s="930">
        <f t="shared" si="21"/>
        <v>1003206.0925530215</v>
      </c>
      <c r="AL23" s="930">
        <f t="shared" si="22"/>
        <v>76283</v>
      </c>
      <c r="AN23" s="922">
        <v>-1649.7</v>
      </c>
      <c r="AO23" s="922">
        <f t="shared" si="24"/>
        <v>-1572.4732500000002</v>
      </c>
      <c r="AP23" s="922">
        <f t="shared" si="25"/>
        <v>77.226749999999811</v>
      </c>
    </row>
    <row r="24" spans="1:42" s="917" customFormat="1" ht="16.149999999999999" customHeight="1">
      <c r="A24" s="918">
        <v>18</v>
      </c>
      <c r="B24" s="919" t="s">
        <v>90</v>
      </c>
      <c r="C24" s="920">
        <f>+'Table 8 Membership 2.1.14'!J20</f>
        <v>3</v>
      </c>
      <c r="D24" s="921">
        <f>'Table 3 Levels 1&amp;2'!AL21*90%</f>
        <v>5719.0980150428159</v>
      </c>
      <c r="E24" s="921">
        <f t="shared" si="1"/>
        <v>17157.294045128448</v>
      </c>
      <c r="F24" s="922">
        <f>'Table 3A Level 3'!C23*90%</f>
        <v>761.3549999999999</v>
      </c>
      <c r="G24" s="922">
        <f t="shared" si="2"/>
        <v>2284.0649999999996</v>
      </c>
      <c r="H24" s="923">
        <f t="shared" si="3"/>
        <v>19441.359045128447</v>
      </c>
      <c r="I24" s="922">
        <f>(('Table 3 Levels 1&amp;2'!AL21-D24)+('Table 3A Level 3'!C23-F24))*C24</f>
        <v>2160.1510050142715</v>
      </c>
      <c r="J24" s="922">
        <f>'[1]Oct midyear LAVCA'!K21</f>
        <v>6480.4530150428154</v>
      </c>
      <c r="K24" s="922">
        <f>'[1]Feb midyear LAVCA'!K21</f>
        <v>6480.4530150428154</v>
      </c>
      <c r="L24" s="924">
        <f t="shared" si="4"/>
        <v>12960.906030085631</v>
      </c>
      <c r="M24" s="923">
        <f t="shared" si="5"/>
        <v>32402.265075214076</v>
      </c>
      <c r="N24" s="922">
        <f t="shared" si="6"/>
        <v>-81.005662688035187</v>
      </c>
      <c r="O24" s="923">
        <f t="shared" si="7"/>
        <v>32321.25941252604</v>
      </c>
      <c r="P24" s="925">
        <v>0</v>
      </c>
      <c r="Q24" s="923">
        <f t="shared" si="8"/>
        <v>32321.25941252604</v>
      </c>
      <c r="R24" s="922">
        <f>8*'[2]Table 5C2 - LA Virtual Admy'!T23</f>
        <v>12928</v>
      </c>
      <c r="S24" s="922">
        <f t="shared" si="9"/>
        <v>19393.25941252604</v>
      </c>
      <c r="T24" s="923">
        <f t="shared" si="10"/>
        <v>4848</v>
      </c>
      <c r="U24" s="923">
        <f t="shared" si="23"/>
        <v>32321.25941252604</v>
      </c>
      <c r="V24" s="926">
        <f>'Table 5C1A-Madison Prep'!U24*90%</f>
        <v>2197.8000000000002</v>
      </c>
      <c r="W24" s="927">
        <f t="shared" si="11"/>
        <v>6593.4000000000005</v>
      </c>
      <c r="X24" s="920">
        <f>'[1]Oct midyear LAVCA'!E21</f>
        <v>1</v>
      </c>
      <c r="Y24" s="928">
        <f t="shared" si="12"/>
        <v>2197.8000000000002</v>
      </c>
      <c r="Z24" s="1006">
        <f>'[1]Feb midyear LAVCA'!E21</f>
        <v>2</v>
      </c>
      <c r="AA24" s="928">
        <f t="shared" si="13"/>
        <v>2197.8000000000002</v>
      </c>
      <c r="AB24" s="929">
        <f t="shared" si="14"/>
        <v>4395.6000000000004</v>
      </c>
      <c r="AC24" s="927">
        <f t="shared" si="15"/>
        <v>10989</v>
      </c>
      <c r="AD24" s="928">
        <f t="shared" si="16"/>
        <v>-27.4725</v>
      </c>
      <c r="AE24" s="927">
        <f t="shared" si="17"/>
        <v>10961.5275</v>
      </c>
      <c r="AF24" s="926">
        <v>0</v>
      </c>
      <c r="AG24" s="927">
        <f t="shared" si="18"/>
        <v>10961.5275</v>
      </c>
      <c r="AH24" s="928">
        <f>8*'[2]Table 5C2 - LA Virtual Admy'!AJ23</f>
        <v>4536</v>
      </c>
      <c r="AI24" s="928">
        <f t="shared" si="19"/>
        <v>6425.5275000000001</v>
      </c>
      <c r="AJ24" s="927">
        <f t="shared" si="20"/>
        <v>1606</v>
      </c>
      <c r="AK24" s="930">
        <f t="shared" si="21"/>
        <v>43282.78691252604</v>
      </c>
      <c r="AL24" s="930">
        <f t="shared" si="22"/>
        <v>6454</v>
      </c>
      <c r="AN24" s="922">
        <v>-17.050500000000003</v>
      </c>
      <c r="AO24" s="922">
        <f t="shared" si="24"/>
        <v>-27.4725</v>
      </c>
      <c r="AP24" s="922">
        <f t="shared" si="25"/>
        <v>-10.421999999999997</v>
      </c>
    </row>
    <row r="25" spans="1:42" s="917" customFormat="1" ht="16.149999999999999" customHeight="1">
      <c r="A25" s="918">
        <v>19</v>
      </c>
      <c r="B25" s="919" t="s">
        <v>91</v>
      </c>
      <c r="C25" s="920">
        <f>+'Table 8 Membership 2.1.14'!J21</f>
        <v>14</v>
      </c>
      <c r="D25" s="921">
        <f>'Table 3 Levels 1&amp;2'!AL22*90%</f>
        <v>4782.9529682514403</v>
      </c>
      <c r="E25" s="921">
        <f t="shared" si="1"/>
        <v>66961.341555520165</v>
      </c>
      <c r="F25" s="922">
        <f>'Table 3A Level 3'!C24*90%</f>
        <v>814.88699999999994</v>
      </c>
      <c r="G25" s="922">
        <f t="shared" si="2"/>
        <v>11408.418</v>
      </c>
      <c r="H25" s="923">
        <f t="shared" si="3"/>
        <v>78369.75955552017</v>
      </c>
      <c r="I25" s="922">
        <f>(('Table 3 Levels 1&amp;2'!AL22-D25)+('Table 3A Level 3'!C24-F25))*C25</f>
        <v>8707.7510617244607</v>
      </c>
      <c r="J25" s="922">
        <f>'[1]Oct midyear LAVCA'!K22</f>
        <v>0</v>
      </c>
      <c r="K25" s="922">
        <f>'[1]Feb midyear LAVCA'!K22</f>
        <v>0</v>
      </c>
      <c r="L25" s="924">
        <f t="shared" si="4"/>
        <v>0</v>
      </c>
      <c r="M25" s="923">
        <f t="shared" si="5"/>
        <v>78369.75955552017</v>
      </c>
      <c r="N25" s="922">
        <f t="shared" si="6"/>
        <v>-195.92439888880043</v>
      </c>
      <c r="O25" s="923">
        <f t="shared" si="7"/>
        <v>78173.835156631365</v>
      </c>
      <c r="P25" s="925">
        <v>0</v>
      </c>
      <c r="Q25" s="923">
        <f t="shared" si="8"/>
        <v>78173.835156631365</v>
      </c>
      <c r="R25" s="922">
        <f>8*'[2]Table 5C2 - LA Virtual Admy'!T24</f>
        <v>52112</v>
      </c>
      <c r="S25" s="922">
        <f t="shared" si="9"/>
        <v>26061.835156631365</v>
      </c>
      <c r="T25" s="923">
        <f t="shared" si="10"/>
        <v>6515</v>
      </c>
      <c r="U25" s="923">
        <f t="shared" si="23"/>
        <v>78173.835156631365</v>
      </c>
      <c r="V25" s="926">
        <f>'Table 5C1A-Madison Prep'!U25*90%</f>
        <v>2745.9</v>
      </c>
      <c r="W25" s="927">
        <f t="shared" si="11"/>
        <v>38442.6</v>
      </c>
      <c r="X25" s="920">
        <f>'[1]Oct midyear LAVCA'!E22</f>
        <v>0</v>
      </c>
      <c r="Y25" s="928">
        <f t="shared" si="12"/>
        <v>0</v>
      </c>
      <c r="Z25" s="1006">
        <f>'[1]Feb midyear LAVCA'!E22</f>
        <v>0</v>
      </c>
      <c r="AA25" s="928">
        <f t="shared" si="13"/>
        <v>0</v>
      </c>
      <c r="AB25" s="929">
        <f t="shared" si="14"/>
        <v>0</v>
      </c>
      <c r="AC25" s="927">
        <f t="shared" si="15"/>
        <v>38442.6</v>
      </c>
      <c r="AD25" s="928">
        <f t="shared" si="16"/>
        <v>-96.106499999999997</v>
      </c>
      <c r="AE25" s="927">
        <f t="shared" si="17"/>
        <v>38346.493499999997</v>
      </c>
      <c r="AF25" s="926">
        <v>0</v>
      </c>
      <c r="AG25" s="927">
        <f t="shared" si="18"/>
        <v>38346.493499999997</v>
      </c>
      <c r="AH25" s="928">
        <f>8*'[2]Table 5C2 - LA Virtual Admy'!AJ24</f>
        <v>24368</v>
      </c>
      <c r="AI25" s="928">
        <f t="shared" si="19"/>
        <v>13978.493499999997</v>
      </c>
      <c r="AJ25" s="927">
        <f t="shared" si="20"/>
        <v>3495</v>
      </c>
      <c r="AK25" s="930">
        <f t="shared" si="21"/>
        <v>116520.32865663136</v>
      </c>
      <c r="AL25" s="930">
        <f t="shared" si="22"/>
        <v>10010</v>
      </c>
      <c r="AN25" s="922">
        <v>-91.602000000000004</v>
      </c>
      <c r="AO25" s="922">
        <f t="shared" si="24"/>
        <v>-96.106499999999997</v>
      </c>
      <c r="AP25" s="922">
        <f t="shared" si="25"/>
        <v>-4.5044999999999931</v>
      </c>
    </row>
    <row r="26" spans="1:42" s="917" customFormat="1" ht="16.149999999999999" customHeight="1">
      <c r="A26" s="931">
        <v>20</v>
      </c>
      <c r="B26" s="932" t="s">
        <v>92</v>
      </c>
      <c r="C26" s="933">
        <f>+'Table 8 Membership 2.1.14'!J22</f>
        <v>8</v>
      </c>
      <c r="D26" s="934">
        <f>'Table 3 Levels 1&amp;2'!AL23*90%</f>
        <v>4750.6681409005814</v>
      </c>
      <c r="E26" s="934">
        <f t="shared" si="1"/>
        <v>38005.345127204651</v>
      </c>
      <c r="F26" s="935">
        <f>'Table 3A Level 3'!C25*90%</f>
        <v>527.553</v>
      </c>
      <c r="G26" s="935">
        <f t="shared" si="2"/>
        <v>4220.424</v>
      </c>
      <c r="H26" s="936">
        <f t="shared" si="3"/>
        <v>42225.76912720465</v>
      </c>
      <c r="I26" s="935">
        <f>(('Table 3 Levels 1&amp;2'!AL23-D26)+('Table 3A Level 3'!C25-F26))*C26</f>
        <v>4691.7521252449569</v>
      </c>
      <c r="J26" s="935">
        <f>'[1]Oct midyear LAVCA'!K23</f>
        <v>0</v>
      </c>
      <c r="K26" s="935">
        <f>'[1]Feb midyear LAVCA'!K23</f>
        <v>2639.1105704502907</v>
      </c>
      <c r="L26" s="937">
        <f t="shared" si="4"/>
        <v>2639.1105704502907</v>
      </c>
      <c r="M26" s="936">
        <f t="shared" si="5"/>
        <v>44864.879697654942</v>
      </c>
      <c r="N26" s="935">
        <f t="shared" si="6"/>
        <v>-112.16219924413735</v>
      </c>
      <c r="O26" s="936">
        <f t="shared" si="7"/>
        <v>44752.717498410806</v>
      </c>
      <c r="P26" s="938">
        <v>0</v>
      </c>
      <c r="Q26" s="936">
        <f t="shared" si="8"/>
        <v>44752.717498410806</v>
      </c>
      <c r="R26" s="935">
        <f>8*'[2]Table 5C2 - LA Virtual Admy'!T25</f>
        <v>28080</v>
      </c>
      <c r="S26" s="935">
        <f t="shared" si="9"/>
        <v>16672.717498410806</v>
      </c>
      <c r="T26" s="936">
        <f t="shared" si="10"/>
        <v>4168</v>
      </c>
      <c r="U26" s="936">
        <f t="shared" si="23"/>
        <v>44752.717498410806</v>
      </c>
      <c r="V26" s="939">
        <f>'Table 5C1A-Madison Prep'!U26*90%</f>
        <v>2235.6</v>
      </c>
      <c r="W26" s="940">
        <f t="shared" si="11"/>
        <v>17884.8</v>
      </c>
      <c r="X26" s="933">
        <f>'[1]Oct midyear LAVCA'!E23</f>
        <v>0</v>
      </c>
      <c r="Y26" s="941">
        <f t="shared" si="12"/>
        <v>0</v>
      </c>
      <c r="Z26" s="1007">
        <f>'[1]Feb midyear LAVCA'!E23</f>
        <v>1</v>
      </c>
      <c r="AA26" s="941">
        <f t="shared" si="13"/>
        <v>1117.8</v>
      </c>
      <c r="AB26" s="942">
        <f t="shared" si="14"/>
        <v>1117.8</v>
      </c>
      <c r="AC26" s="940">
        <f t="shared" si="15"/>
        <v>19002.599999999999</v>
      </c>
      <c r="AD26" s="941">
        <f t="shared" si="16"/>
        <v>-47.506499999999996</v>
      </c>
      <c r="AE26" s="940">
        <f t="shared" si="17"/>
        <v>18955.093499999999</v>
      </c>
      <c r="AF26" s="939">
        <v>0</v>
      </c>
      <c r="AG26" s="940">
        <f t="shared" si="18"/>
        <v>18955.093499999999</v>
      </c>
      <c r="AH26" s="941">
        <f>8*'[2]Table 5C2 - LA Virtual Admy'!AJ25</f>
        <v>11648</v>
      </c>
      <c r="AI26" s="941">
        <f t="shared" si="19"/>
        <v>7307.093499999999</v>
      </c>
      <c r="AJ26" s="940">
        <f t="shared" si="20"/>
        <v>1827</v>
      </c>
      <c r="AK26" s="943">
        <f t="shared" si="21"/>
        <v>63707.810998410801</v>
      </c>
      <c r="AL26" s="943">
        <f t="shared" si="22"/>
        <v>5995</v>
      </c>
      <c r="AN26" s="935">
        <v>-43.776000000000003</v>
      </c>
      <c r="AO26" s="935">
        <f t="shared" si="24"/>
        <v>-47.506499999999996</v>
      </c>
      <c r="AP26" s="935">
        <f t="shared" si="25"/>
        <v>-3.7304999999999922</v>
      </c>
    </row>
    <row r="27" spans="1:42" s="917" customFormat="1" ht="16.149999999999999" customHeight="1">
      <c r="A27" s="904">
        <v>21</v>
      </c>
      <c r="B27" s="905" t="s">
        <v>93</v>
      </c>
      <c r="C27" s="906">
        <f>+'Table 8 Membership 2.1.14'!J23</f>
        <v>6</v>
      </c>
      <c r="D27" s="907">
        <f>'Table 3 Levels 1&amp;2'!AL24*90%</f>
        <v>5474.0738066280992</v>
      </c>
      <c r="E27" s="907">
        <f t="shared" si="1"/>
        <v>32844.442839768599</v>
      </c>
      <c r="F27" s="908">
        <f>'Table 3A Level 3'!C26*90%</f>
        <v>549.31500000000005</v>
      </c>
      <c r="G27" s="908">
        <f t="shared" si="2"/>
        <v>3295.8900000000003</v>
      </c>
      <c r="H27" s="909">
        <f t="shared" si="3"/>
        <v>36140.332839768598</v>
      </c>
      <c r="I27" s="908">
        <f>(('Table 3 Levels 1&amp;2'!AL24-D27)+('Table 3A Level 3'!C26-F27))*C27</f>
        <v>4015.5925377520625</v>
      </c>
      <c r="J27" s="908">
        <f>'[1]Oct midyear LAVCA'!K24</f>
        <v>30116.944033140499</v>
      </c>
      <c r="K27" s="908">
        <f>'[1]Feb midyear LAVCA'!K24</f>
        <v>6023.3888066280997</v>
      </c>
      <c r="L27" s="910">
        <f t="shared" si="4"/>
        <v>36140.332839768598</v>
      </c>
      <c r="M27" s="909">
        <f t="shared" si="5"/>
        <v>72280.665679537196</v>
      </c>
      <c r="N27" s="908">
        <f t="shared" si="6"/>
        <v>-180.70166419884299</v>
      </c>
      <c r="O27" s="909">
        <f t="shared" si="7"/>
        <v>72099.964015338352</v>
      </c>
      <c r="P27" s="911">
        <v>0</v>
      </c>
      <c r="Q27" s="909">
        <f t="shared" si="8"/>
        <v>72099.964015338352</v>
      </c>
      <c r="R27" s="908">
        <f>8*'[2]Table 5C2 - LA Virtual Admy'!T26</f>
        <v>24032</v>
      </c>
      <c r="S27" s="908">
        <f t="shared" si="9"/>
        <v>48067.964015338352</v>
      </c>
      <c r="T27" s="909">
        <f t="shared" si="10"/>
        <v>12017</v>
      </c>
      <c r="U27" s="909">
        <f t="shared" si="23"/>
        <v>72099.964015338352</v>
      </c>
      <c r="V27" s="912">
        <f>'Table 5C1A-Madison Prep'!U27*90%</f>
        <v>2238.3000000000002</v>
      </c>
      <c r="W27" s="913">
        <f t="shared" si="11"/>
        <v>13429.800000000001</v>
      </c>
      <c r="X27" s="906">
        <f>'[1]Oct midyear LAVCA'!E24</f>
        <v>5</v>
      </c>
      <c r="Y27" s="914">
        <f t="shared" si="12"/>
        <v>11191.5</v>
      </c>
      <c r="Z27" s="1005">
        <f>'[1]Feb midyear LAVCA'!E24</f>
        <v>2</v>
      </c>
      <c r="AA27" s="914">
        <f t="shared" si="13"/>
        <v>2238.3000000000002</v>
      </c>
      <c r="AB27" s="915">
        <f t="shared" si="14"/>
        <v>13429.8</v>
      </c>
      <c r="AC27" s="913">
        <f t="shared" si="15"/>
        <v>26859.599999999999</v>
      </c>
      <c r="AD27" s="914">
        <f t="shared" si="16"/>
        <v>-67.149000000000001</v>
      </c>
      <c r="AE27" s="913">
        <f t="shared" si="17"/>
        <v>26792.450999999997</v>
      </c>
      <c r="AF27" s="912">
        <v>0</v>
      </c>
      <c r="AG27" s="913">
        <f t="shared" si="18"/>
        <v>26792.450999999997</v>
      </c>
      <c r="AH27" s="914">
        <f>8*'[2]Table 5C2 - LA Virtual Admy'!AJ26</f>
        <v>8832</v>
      </c>
      <c r="AI27" s="914">
        <f t="shared" si="19"/>
        <v>17960.450999999997</v>
      </c>
      <c r="AJ27" s="913">
        <f t="shared" si="20"/>
        <v>4490</v>
      </c>
      <c r="AK27" s="916">
        <f t="shared" si="21"/>
        <v>98892.415015338353</v>
      </c>
      <c r="AL27" s="916">
        <f t="shared" si="22"/>
        <v>16507</v>
      </c>
      <c r="AN27" s="908">
        <v>-33.21</v>
      </c>
      <c r="AO27" s="908">
        <f t="shared" si="24"/>
        <v>-67.149000000000001</v>
      </c>
      <c r="AP27" s="908">
        <f t="shared" si="25"/>
        <v>-33.939</v>
      </c>
    </row>
    <row r="28" spans="1:42" s="917" customFormat="1" ht="16.149999999999999" customHeight="1">
      <c r="A28" s="918">
        <v>22</v>
      </c>
      <c r="B28" s="919" t="s">
        <v>94</v>
      </c>
      <c r="C28" s="920">
        <f>+'Table 8 Membership 2.1.14'!J24</f>
        <v>8</v>
      </c>
      <c r="D28" s="921">
        <f>'Table 3 Levels 1&amp;2'!AL25*90%</f>
        <v>5774.4989827376394</v>
      </c>
      <c r="E28" s="921">
        <f t="shared" si="1"/>
        <v>46195.991861901115</v>
      </c>
      <c r="F28" s="922">
        <f>'Table 3A Level 3'!C27*90%</f>
        <v>446.72400000000005</v>
      </c>
      <c r="G28" s="922">
        <f t="shared" si="2"/>
        <v>3573.7920000000004</v>
      </c>
      <c r="H28" s="923">
        <f t="shared" si="3"/>
        <v>49769.783861901116</v>
      </c>
      <c r="I28" s="922">
        <f>(('Table 3 Levels 1&amp;2'!AL25-D28)+('Table 3A Level 3'!C27-F28))*C28</f>
        <v>5529.9759846556808</v>
      </c>
      <c r="J28" s="922">
        <f>'[1]Oct midyear LAVCA'!K25</f>
        <v>6221.2229827376395</v>
      </c>
      <c r="K28" s="922">
        <f>'[1]Feb midyear LAVCA'!K25</f>
        <v>12442.445965475279</v>
      </c>
      <c r="L28" s="924">
        <f t="shared" si="4"/>
        <v>18663.668948212919</v>
      </c>
      <c r="M28" s="923">
        <f t="shared" si="5"/>
        <v>68433.452810114031</v>
      </c>
      <c r="N28" s="922">
        <f t="shared" si="6"/>
        <v>-171.08363202528508</v>
      </c>
      <c r="O28" s="923">
        <f t="shared" si="7"/>
        <v>68262.369178088746</v>
      </c>
      <c r="P28" s="925">
        <v>0</v>
      </c>
      <c r="Q28" s="923">
        <f t="shared" si="8"/>
        <v>68262.369178088746</v>
      </c>
      <c r="R28" s="922">
        <f>8*'[2]Table 5C2 - LA Virtual Admy'!T27</f>
        <v>33096</v>
      </c>
      <c r="S28" s="922">
        <f t="shared" si="9"/>
        <v>35166.369178088746</v>
      </c>
      <c r="T28" s="923">
        <f t="shared" si="10"/>
        <v>8792</v>
      </c>
      <c r="U28" s="923">
        <f t="shared" si="23"/>
        <v>68262.369178088746</v>
      </c>
      <c r="V28" s="926">
        <f>'Table 5C1A-Madison Prep'!U28*90%</f>
        <v>1425.6000000000001</v>
      </c>
      <c r="W28" s="927">
        <f t="shared" si="11"/>
        <v>11404.800000000001</v>
      </c>
      <c r="X28" s="920">
        <f>'[1]Oct midyear LAVCA'!E25</f>
        <v>1</v>
      </c>
      <c r="Y28" s="928">
        <f t="shared" si="12"/>
        <v>1425.6000000000001</v>
      </c>
      <c r="Z28" s="1006">
        <f>'[1]Feb midyear LAVCA'!E25</f>
        <v>4</v>
      </c>
      <c r="AA28" s="928">
        <f t="shared" si="13"/>
        <v>2851.2000000000003</v>
      </c>
      <c r="AB28" s="929">
        <f t="shared" si="14"/>
        <v>4276.8</v>
      </c>
      <c r="AC28" s="927">
        <f t="shared" si="15"/>
        <v>15681.600000000002</v>
      </c>
      <c r="AD28" s="928">
        <f t="shared" si="16"/>
        <v>-39.204000000000008</v>
      </c>
      <c r="AE28" s="927">
        <f t="shared" si="17"/>
        <v>15642.396000000002</v>
      </c>
      <c r="AF28" s="926">
        <v>0</v>
      </c>
      <c r="AG28" s="927">
        <f t="shared" si="18"/>
        <v>15642.396000000002</v>
      </c>
      <c r="AH28" s="928">
        <f>8*'[2]Table 5C2 - LA Virtual Admy'!AJ27</f>
        <v>7720</v>
      </c>
      <c r="AI28" s="928">
        <f t="shared" si="19"/>
        <v>7922.3960000000025</v>
      </c>
      <c r="AJ28" s="927">
        <f t="shared" si="20"/>
        <v>1981</v>
      </c>
      <c r="AK28" s="930">
        <f t="shared" si="21"/>
        <v>83904.765178088754</v>
      </c>
      <c r="AL28" s="930">
        <f t="shared" si="22"/>
        <v>10773</v>
      </c>
      <c r="AN28" s="922">
        <v>-29.034000000000002</v>
      </c>
      <c r="AO28" s="922">
        <f t="shared" si="24"/>
        <v>-39.204000000000008</v>
      </c>
      <c r="AP28" s="922">
        <f t="shared" si="25"/>
        <v>-10.170000000000005</v>
      </c>
    </row>
    <row r="29" spans="1:42" s="917" customFormat="1" ht="16.149999999999999" customHeight="1">
      <c r="A29" s="918">
        <v>23</v>
      </c>
      <c r="B29" s="919" t="s">
        <v>95</v>
      </c>
      <c r="C29" s="920">
        <f>+'Table 8 Membership 2.1.14'!J25</f>
        <v>19</v>
      </c>
      <c r="D29" s="921">
        <f>'Table 3 Levels 1&amp;2'!AL26*90%</f>
        <v>4509.9193739381244</v>
      </c>
      <c r="E29" s="921">
        <f t="shared" si="1"/>
        <v>85688.468104824366</v>
      </c>
      <c r="F29" s="922">
        <f>'Table 3A Level 3'!C28*90%</f>
        <v>619.72200000000009</v>
      </c>
      <c r="G29" s="922">
        <f t="shared" si="2"/>
        <v>11774.718000000003</v>
      </c>
      <c r="H29" s="923">
        <f t="shared" si="3"/>
        <v>97463.186104824374</v>
      </c>
      <c r="I29" s="922">
        <f>(('Table 3 Levels 1&amp;2'!AL26-D29)+('Table 3A Level 3'!C28-F29))*C29</f>
        <v>10829.242900536037</v>
      </c>
      <c r="J29" s="922">
        <f>'[1]Oct midyear LAVCA'!K26</f>
        <v>-15388.924121814372</v>
      </c>
      <c r="K29" s="922">
        <f>'[1]Feb midyear LAVCA'!K26</f>
        <v>7694.4620609071862</v>
      </c>
      <c r="L29" s="924">
        <f t="shared" si="4"/>
        <v>-7694.4620609071862</v>
      </c>
      <c r="M29" s="923">
        <f t="shared" si="5"/>
        <v>89768.724043917187</v>
      </c>
      <c r="N29" s="922">
        <f t="shared" si="6"/>
        <v>-224.42181010979297</v>
      </c>
      <c r="O29" s="923">
        <f t="shared" si="7"/>
        <v>89544.302233807393</v>
      </c>
      <c r="P29" s="925">
        <v>0</v>
      </c>
      <c r="Q29" s="923">
        <f t="shared" si="8"/>
        <v>89544.302233807393</v>
      </c>
      <c r="R29" s="922">
        <f>8*'[2]Table 5C2 - LA Virtual Admy'!T28</f>
        <v>64816</v>
      </c>
      <c r="S29" s="922">
        <f t="shared" si="9"/>
        <v>24728.302233807393</v>
      </c>
      <c r="T29" s="923">
        <f t="shared" si="10"/>
        <v>6182</v>
      </c>
      <c r="U29" s="923">
        <f t="shared" si="23"/>
        <v>89544.302233807393</v>
      </c>
      <c r="V29" s="926">
        <f>'Table 5C1A-Madison Prep'!U29*90%</f>
        <v>3150</v>
      </c>
      <c r="W29" s="927">
        <f t="shared" si="11"/>
        <v>59850</v>
      </c>
      <c r="X29" s="920">
        <f>'[1]Oct midyear LAVCA'!E26</f>
        <v>-3</v>
      </c>
      <c r="Y29" s="928">
        <f t="shared" si="12"/>
        <v>-9450</v>
      </c>
      <c r="Z29" s="1006">
        <f>'[1]Feb midyear LAVCA'!E26</f>
        <v>3</v>
      </c>
      <c r="AA29" s="928">
        <f t="shared" si="13"/>
        <v>4725</v>
      </c>
      <c r="AB29" s="929">
        <f t="shared" si="14"/>
        <v>-4725</v>
      </c>
      <c r="AC29" s="927">
        <f t="shared" si="15"/>
        <v>55125</v>
      </c>
      <c r="AD29" s="928">
        <f t="shared" si="16"/>
        <v>-137.8125</v>
      </c>
      <c r="AE29" s="927">
        <f t="shared" si="17"/>
        <v>54987.1875</v>
      </c>
      <c r="AF29" s="926">
        <v>0</v>
      </c>
      <c r="AG29" s="927">
        <f t="shared" si="18"/>
        <v>54987.1875</v>
      </c>
      <c r="AH29" s="928">
        <f>8*'[2]Table 5C2 - LA Virtual Admy'!AJ28</f>
        <v>39496</v>
      </c>
      <c r="AI29" s="928">
        <f t="shared" si="19"/>
        <v>15491.1875</v>
      </c>
      <c r="AJ29" s="927">
        <f t="shared" si="20"/>
        <v>3873</v>
      </c>
      <c r="AK29" s="930">
        <f t="shared" si="21"/>
        <v>144531.48973380739</v>
      </c>
      <c r="AL29" s="930">
        <f t="shared" si="22"/>
        <v>10055</v>
      </c>
      <c r="AN29" s="922">
        <v>-148.47075000000001</v>
      </c>
      <c r="AO29" s="922">
        <f t="shared" si="24"/>
        <v>-137.8125</v>
      </c>
      <c r="AP29" s="922">
        <f t="shared" si="25"/>
        <v>10.65825000000001</v>
      </c>
    </row>
    <row r="30" spans="1:42" s="917" customFormat="1" ht="16.149999999999999" customHeight="1">
      <c r="A30" s="918">
        <v>24</v>
      </c>
      <c r="B30" s="919" t="s">
        <v>96</v>
      </c>
      <c r="C30" s="920">
        <f>+'Table 8 Membership 2.1.14'!J26</f>
        <v>14</v>
      </c>
      <c r="D30" s="921">
        <f>'Table 3 Levels 1&amp;2'!AL27*90%</f>
        <v>2350.5066325419298</v>
      </c>
      <c r="E30" s="921">
        <f t="shared" si="1"/>
        <v>32907.09285558702</v>
      </c>
      <c r="F30" s="922">
        <f>'Table 3A Level 3'!C29*90%</f>
        <v>768.82499999999993</v>
      </c>
      <c r="G30" s="922">
        <f t="shared" si="2"/>
        <v>10763.55</v>
      </c>
      <c r="H30" s="923">
        <f t="shared" si="3"/>
        <v>43670.642855587022</v>
      </c>
      <c r="I30" s="922">
        <f>(('Table 3 Levels 1&amp;2'!AL27-D30)+('Table 3A Level 3'!C29-F30))*C30</f>
        <v>4852.2936506207807</v>
      </c>
      <c r="J30" s="922">
        <f>'[1]Oct midyear LAVCA'!K27</f>
        <v>-9357.9948976257892</v>
      </c>
      <c r="K30" s="922">
        <f>'[1]Feb midyear LAVCA'!K27</f>
        <v>-6238.6632650838592</v>
      </c>
      <c r="L30" s="924">
        <f t="shared" si="4"/>
        <v>-15596.658162709649</v>
      </c>
      <c r="M30" s="923">
        <f t="shared" si="5"/>
        <v>28073.984692877373</v>
      </c>
      <c r="N30" s="922">
        <f t="shared" si="6"/>
        <v>-70.184961732193429</v>
      </c>
      <c r="O30" s="923">
        <f t="shared" si="7"/>
        <v>28003.79973114518</v>
      </c>
      <c r="P30" s="925">
        <v>-2112.6964302257361</v>
      </c>
      <c r="Q30" s="923">
        <f t="shared" si="8"/>
        <v>25891.103300919443</v>
      </c>
      <c r="R30" s="922">
        <f>8*'[2]Table 5C2 - LA Virtual Admy'!T29</f>
        <v>27632</v>
      </c>
      <c r="S30" s="922">
        <f t="shared" si="9"/>
        <v>-1740.8966990805566</v>
      </c>
      <c r="T30" s="923">
        <f t="shared" si="10"/>
        <v>-435</v>
      </c>
      <c r="U30" s="923">
        <f t="shared" si="23"/>
        <v>25891.103300919443</v>
      </c>
      <c r="V30" s="926">
        <f>'Table 5C1A-Madison Prep'!U30*90%</f>
        <v>9945.9</v>
      </c>
      <c r="W30" s="927">
        <f t="shared" si="11"/>
        <v>139242.6</v>
      </c>
      <c r="X30" s="920">
        <f>'[1]Oct midyear LAVCA'!E27</f>
        <v>-3</v>
      </c>
      <c r="Y30" s="928">
        <f t="shared" si="12"/>
        <v>-29837.699999999997</v>
      </c>
      <c r="Z30" s="1006">
        <f>'[1]Feb midyear LAVCA'!E27</f>
        <v>-4</v>
      </c>
      <c r="AA30" s="928">
        <f t="shared" si="13"/>
        <v>-19891.8</v>
      </c>
      <c r="AB30" s="929">
        <f t="shared" si="14"/>
        <v>-49729.5</v>
      </c>
      <c r="AC30" s="927">
        <f t="shared" si="15"/>
        <v>89513.1</v>
      </c>
      <c r="AD30" s="928">
        <f t="shared" si="16"/>
        <v>-223.78275000000002</v>
      </c>
      <c r="AE30" s="927">
        <f t="shared" si="17"/>
        <v>89289.317250000007</v>
      </c>
      <c r="AF30" s="926">
        <v>0</v>
      </c>
      <c r="AG30" s="927">
        <f t="shared" si="18"/>
        <v>89289.317250000007</v>
      </c>
      <c r="AH30" s="928">
        <f>8*'[2]Table 5C2 - LA Virtual Admy'!AJ29</f>
        <v>84232</v>
      </c>
      <c r="AI30" s="928">
        <f t="shared" si="19"/>
        <v>5057.3172500000073</v>
      </c>
      <c r="AJ30" s="927">
        <f t="shared" si="20"/>
        <v>1264</v>
      </c>
      <c r="AK30" s="930">
        <f t="shared" si="21"/>
        <v>115180.42055091946</v>
      </c>
      <c r="AL30" s="930">
        <f t="shared" si="22"/>
        <v>829</v>
      </c>
      <c r="AN30" s="922">
        <v>-316.66950000000003</v>
      </c>
      <c r="AO30" s="922">
        <f t="shared" si="24"/>
        <v>-223.78275000000002</v>
      </c>
      <c r="AP30" s="922">
        <f t="shared" si="25"/>
        <v>92.886750000000006</v>
      </c>
    </row>
    <row r="31" spans="1:42" s="917" customFormat="1" ht="16.149999999999999" customHeight="1">
      <c r="A31" s="931">
        <v>25</v>
      </c>
      <c r="B31" s="932" t="s">
        <v>97</v>
      </c>
      <c r="C31" s="933">
        <f>+'Table 8 Membership 2.1.14'!J27</f>
        <v>1</v>
      </c>
      <c r="D31" s="934">
        <f>'Table 3 Levels 1&amp;2'!AL28*90%</f>
        <v>3755.7648247451129</v>
      </c>
      <c r="E31" s="934">
        <f t="shared" si="1"/>
        <v>3755.7648247451129</v>
      </c>
      <c r="F31" s="935">
        <f>'Table 3A Level 3'!C30*90%</f>
        <v>588.35700000000008</v>
      </c>
      <c r="G31" s="935">
        <f t="shared" si="2"/>
        <v>588.35700000000008</v>
      </c>
      <c r="H31" s="936">
        <f t="shared" si="3"/>
        <v>4344.1218247451134</v>
      </c>
      <c r="I31" s="935">
        <f>(('Table 3 Levels 1&amp;2'!AL28-D31)+('Table 3A Level 3'!C30-F31))*C31</f>
        <v>482.68020274945673</v>
      </c>
      <c r="J31" s="935">
        <f>'[1]Oct midyear LAVCA'!K28</f>
        <v>0</v>
      </c>
      <c r="K31" s="935">
        <f>'[1]Feb midyear LAVCA'!K28</f>
        <v>6516.1827371176696</v>
      </c>
      <c r="L31" s="937">
        <f t="shared" si="4"/>
        <v>6516.1827371176696</v>
      </c>
      <c r="M31" s="936">
        <f t="shared" si="5"/>
        <v>10860.304561862784</v>
      </c>
      <c r="N31" s="935">
        <f t="shared" si="6"/>
        <v>-27.150761404656961</v>
      </c>
      <c r="O31" s="936">
        <f t="shared" si="7"/>
        <v>10833.153800458127</v>
      </c>
      <c r="P31" s="938">
        <v>0</v>
      </c>
      <c r="Q31" s="936">
        <f t="shared" si="8"/>
        <v>10833.153800458127</v>
      </c>
      <c r="R31" s="935">
        <f>8*'[2]Table 5C2 - LA Virtual Admy'!T30</f>
        <v>2888</v>
      </c>
      <c r="S31" s="935">
        <f t="shared" si="9"/>
        <v>7945.1538004581271</v>
      </c>
      <c r="T31" s="936">
        <f t="shared" si="10"/>
        <v>1986</v>
      </c>
      <c r="U31" s="936">
        <f t="shared" si="23"/>
        <v>10833.153800458127</v>
      </c>
      <c r="V31" s="939">
        <f>'Table 5C1A-Madison Prep'!U31*90%</f>
        <v>4640.4000000000005</v>
      </c>
      <c r="W31" s="940">
        <f t="shared" si="11"/>
        <v>4640.4000000000005</v>
      </c>
      <c r="X31" s="933">
        <f>'[1]Oct midyear LAVCA'!E28</f>
        <v>0</v>
      </c>
      <c r="Y31" s="941">
        <f t="shared" si="12"/>
        <v>0</v>
      </c>
      <c r="Z31" s="1007">
        <f>'[1]Feb midyear LAVCA'!E28</f>
        <v>3</v>
      </c>
      <c r="AA31" s="941">
        <f t="shared" si="13"/>
        <v>6960.6</v>
      </c>
      <c r="AB31" s="942">
        <f t="shared" si="14"/>
        <v>6960.6</v>
      </c>
      <c r="AC31" s="940">
        <f t="shared" si="15"/>
        <v>11601</v>
      </c>
      <c r="AD31" s="941">
        <f t="shared" si="16"/>
        <v>-29.002500000000001</v>
      </c>
      <c r="AE31" s="940">
        <f t="shared" si="17"/>
        <v>11571.997499999999</v>
      </c>
      <c r="AF31" s="939">
        <v>0</v>
      </c>
      <c r="AG31" s="940">
        <f t="shared" si="18"/>
        <v>11571.997499999999</v>
      </c>
      <c r="AH31" s="941">
        <f>8*'[2]Table 5C2 - LA Virtual Admy'!AJ30</f>
        <v>3040</v>
      </c>
      <c r="AI31" s="941">
        <f t="shared" si="19"/>
        <v>8531.9974999999995</v>
      </c>
      <c r="AJ31" s="940">
        <f t="shared" si="20"/>
        <v>2133</v>
      </c>
      <c r="AK31" s="943">
        <f t="shared" si="21"/>
        <v>22405.151300458128</v>
      </c>
      <c r="AL31" s="943">
        <f t="shared" si="22"/>
        <v>4119</v>
      </c>
      <c r="AN31" s="935">
        <v>-11.414249999999999</v>
      </c>
      <c r="AO31" s="935">
        <f t="shared" si="24"/>
        <v>-29.002500000000001</v>
      </c>
      <c r="AP31" s="935">
        <f t="shared" si="25"/>
        <v>-17.588250000000002</v>
      </c>
    </row>
    <row r="32" spans="1:42" s="917" customFormat="1" ht="16.149999999999999" customHeight="1">
      <c r="A32" s="904">
        <v>26</v>
      </c>
      <c r="B32" s="905" t="s">
        <v>98</v>
      </c>
      <c r="C32" s="906">
        <f>+'Table 8 Membership 2.1.14'!J28</f>
        <v>167</v>
      </c>
      <c r="D32" s="907">
        <f>'Table 3 Levels 1&amp;2'!AL29*90%</f>
        <v>3082.1084973513753</v>
      </c>
      <c r="E32" s="907">
        <f t="shared" si="1"/>
        <v>514712.11905767967</v>
      </c>
      <c r="F32" s="908">
        <f>'Table 3A Level 3'!C31*90%</f>
        <v>753.14700000000005</v>
      </c>
      <c r="G32" s="908">
        <f t="shared" si="2"/>
        <v>125775.54900000001</v>
      </c>
      <c r="H32" s="909">
        <f t="shared" si="3"/>
        <v>640487.66805767966</v>
      </c>
      <c r="I32" s="908">
        <f>(('Table 3 Levels 1&amp;2'!AL29-D32)+('Table 3A Level 3'!C31-F32))*C32</f>
        <v>71165.296450853275</v>
      </c>
      <c r="J32" s="908">
        <f>'[1]Oct midyear LAVCA'!K29</f>
        <v>3835.2554973513752</v>
      </c>
      <c r="K32" s="908">
        <f>'[1]Feb midyear LAVCA'!K29</f>
        <v>3835.2554973513752</v>
      </c>
      <c r="L32" s="910">
        <f t="shared" si="4"/>
        <v>7670.5109947027504</v>
      </c>
      <c r="M32" s="909">
        <f t="shared" si="5"/>
        <v>648158.17905238236</v>
      </c>
      <c r="N32" s="908">
        <f t="shared" si="6"/>
        <v>-1620.3954476309559</v>
      </c>
      <c r="O32" s="909">
        <f t="shared" si="7"/>
        <v>646537.78360475146</v>
      </c>
      <c r="P32" s="911">
        <v>-2125.533771711006</v>
      </c>
      <c r="Q32" s="909">
        <f t="shared" si="8"/>
        <v>644412.24983304041</v>
      </c>
      <c r="R32" s="908">
        <f>8*'[2]Table 5C2 - LA Virtual Admy'!T31</f>
        <v>424504</v>
      </c>
      <c r="S32" s="908">
        <f t="shared" si="9"/>
        <v>219908.24983304041</v>
      </c>
      <c r="T32" s="909">
        <f t="shared" si="10"/>
        <v>54977</v>
      </c>
      <c r="U32" s="909">
        <f t="shared" si="23"/>
        <v>644412.24983304041</v>
      </c>
      <c r="V32" s="912">
        <f>'Table 5C1A-Madison Prep'!U32*90%</f>
        <v>4637.7</v>
      </c>
      <c r="W32" s="913">
        <f t="shared" si="11"/>
        <v>774495.9</v>
      </c>
      <c r="X32" s="906">
        <f>'[1]Oct midyear LAVCA'!E29</f>
        <v>1</v>
      </c>
      <c r="Y32" s="914">
        <f t="shared" si="12"/>
        <v>4637.7</v>
      </c>
      <c r="Z32" s="1005">
        <f>'[1]Feb midyear LAVCA'!E29</f>
        <v>2</v>
      </c>
      <c r="AA32" s="914">
        <f t="shared" si="13"/>
        <v>4637.7</v>
      </c>
      <c r="AB32" s="915">
        <f t="shared" si="14"/>
        <v>9275.4</v>
      </c>
      <c r="AC32" s="913">
        <f t="shared" si="15"/>
        <v>783771.3</v>
      </c>
      <c r="AD32" s="914">
        <f t="shared" si="16"/>
        <v>-1959.4282500000002</v>
      </c>
      <c r="AE32" s="913">
        <f t="shared" si="17"/>
        <v>781811.87175000005</v>
      </c>
      <c r="AF32" s="912">
        <v>0</v>
      </c>
      <c r="AG32" s="913">
        <f t="shared" si="18"/>
        <v>781811.87175000005</v>
      </c>
      <c r="AH32" s="914">
        <f>8*'[2]Table 5C2 - LA Virtual Admy'!AJ31</f>
        <v>525736</v>
      </c>
      <c r="AI32" s="914">
        <f t="shared" si="19"/>
        <v>256075.87175000005</v>
      </c>
      <c r="AJ32" s="913">
        <f t="shared" si="20"/>
        <v>64019</v>
      </c>
      <c r="AK32" s="916">
        <f t="shared" si="21"/>
        <v>1426224.1215830403</v>
      </c>
      <c r="AL32" s="916">
        <f t="shared" si="22"/>
        <v>118996</v>
      </c>
      <c r="AN32" s="908">
        <v>-1976.4449999999999</v>
      </c>
      <c r="AO32" s="908">
        <f t="shared" si="24"/>
        <v>-1959.4282500000002</v>
      </c>
      <c r="AP32" s="908">
        <f t="shared" si="25"/>
        <v>17.016749999999774</v>
      </c>
    </row>
    <row r="33" spans="1:42" s="917" customFormat="1" ht="16.149999999999999" customHeight="1">
      <c r="A33" s="918">
        <v>27</v>
      </c>
      <c r="B33" s="919" t="s">
        <v>99</v>
      </c>
      <c r="C33" s="920">
        <f>+'Table 8 Membership 2.1.14'!J29</f>
        <v>12</v>
      </c>
      <c r="D33" s="921">
        <f>'Table 3 Levels 1&amp;2'!AL30*90%</f>
        <v>5224.4112455979302</v>
      </c>
      <c r="E33" s="921">
        <f t="shared" si="1"/>
        <v>62692.934947175163</v>
      </c>
      <c r="F33" s="922">
        <f>'Table 3A Level 3'!C32*90%</f>
        <v>623.75400000000002</v>
      </c>
      <c r="G33" s="922">
        <f t="shared" si="2"/>
        <v>7485.0480000000007</v>
      </c>
      <c r="H33" s="923">
        <f t="shared" si="3"/>
        <v>70177.982947175158</v>
      </c>
      <c r="I33" s="922">
        <f>(('Table 3 Levels 1&amp;2'!AL30-D33)+('Table 3A Level 3'!C32-F33))*C33</f>
        <v>7797.5536607972426</v>
      </c>
      <c r="J33" s="922">
        <f>'[1]Oct midyear LAVCA'!K30</f>
        <v>0</v>
      </c>
      <c r="K33" s="922">
        <f>'[1]Feb midyear LAVCA'!K30</f>
        <v>0</v>
      </c>
      <c r="L33" s="924">
        <f t="shared" si="4"/>
        <v>0</v>
      </c>
      <c r="M33" s="923">
        <f t="shared" si="5"/>
        <v>70177.982947175158</v>
      </c>
      <c r="N33" s="922">
        <f t="shared" si="6"/>
        <v>-175.44495736793789</v>
      </c>
      <c r="O33" s="923">
        <f t="shared" si="7"/>
        <v>70002.537989807213</v>
      </c>
      <c r="P33" s="925">
        <v>0</v>
      </c>
      <c r="Q33" s="923">
        <f t="shared" si="8"/>
        <v>70002.537989807213</v>
      </c>
      <c r="R33" s="922">
        <f>8*'[2]Table 5C2 - LA Virtual Admy'!T32</f>
        <v>46672</v>
      </c>
      <c r="S33" s="922">
        <f t="shared" si="9"/>
        <v>23330.537989807213</v>
      </c>
      <c r="T33" s="923">
        <f t="shared" si="10"/>
        <v>5833</v>
      </c>
      <c r="U33" s="923">
        <f t="shared" si="23"/>
        <v>70002.537989807213</v>
      </c>
      <c r="V33" s="926">
        <f>'Table 5C1A-Madison Prep'!U33*90%</f>
        <v>2902.5</v>
      </c>
      <c r="W33" s="927">
        <f t="shared" si="11"/>
        <v>34830</v>
      </c>
      <c r="X33" s="920">
        <f>'[1]Oct midyear LAVCA'!E30</f>
        <v>0</v>
      </c>
      <c r="Y33" s="928">
        <f t="shared" si="12"/>
        <v>0</v>
      </c>
      <c r="Z33" s="1006">
        <f>'[1]Feb midyear LAVCA'!E30</f>
        <v>0</v>
      </c>
      <c r="AA33" s="928">
        <f t="shared" si="13"/>
        <v>0</v>
      </c>
      <c r="AB33" s="929">
        <f t="shared" si="14"/>
        <v>0</v>
      </c>
      <c r="AC33" s="927">
        <f t="shared" si="15"/>
        <v>34830</v>
      </c>
      <c r="AD33" s="928">
        <f t="shared" si="16"/>
        <v>-87.075000000000003</v>
      </c>
      <c r="AE33" s="927">
        <f t="shared" si="17"/>
        <v>34742.925000000003</v>
      </c>
      <c r="AF33" s="926">
        <v>0</v>
      </c>
      <c r="AG33" s="927">
        <f t="shared" si="18"/>
        <v>34742.925000000003</v>
      </c>
      <c r="AH33" s="928">
        <f>8*'[2]Table 5C2 - LA Virtual Admy'!AJ32</f>
        <v>22760</v>
      </c>
      <c r="AI33" s="928">
        <f t="shared" si="19"/>
        <v>11982.925000000003</v>
      </c>
      <c r="AJ33" s="927">
        <f t="shared" si="20"/>
        <v>2996</v>
      </c>
      <c r="AK33" s="930">
        <f t="shared" si="21"/>
        <v>104745.46298980722</v>
      </c>
      <c r="AL33" s="930">
        <f t="shared" si="22"/>
        <v>8829</v>
      </c>
      <c r="AN33" s="922">
        <v>-85.562999999999988</v>
      </c>
      <c r="AO33" s="922">
        <f t="shared" si="24"/>
        <v>-87.075000000000003</v>
      </c>
      <c r="AP33" s="922">
        <f t="shared" si="25"/>
        <v>-1.5120000000000147</v>
      </c>
    </row>
    <row r="34" spans="1:42" s="917" customFormat="1" ht="16.149999999999999" customHeight="1">
      <c r="A34" s="918">
        <v>28</v>
      </c>
      <c r="B34" s="919" t="s">
        <v>100</v>
      </c>
      <c r="C34" s="920">
        <f>+'Table 8 Membership 2.1.14'!J30</f>
        <v>87</v>
      </c>
      <c r="D34" s="921">
        <f>'Table 3 Levels 1&amp;2'!AL31*90%</f>
        <v>2823.6742961911941</v>
      </c>
      <c r="E34" s="921">
        <f t="shared" si="1"/>
        <v>245659.66376863388</v>
      </c>
      <c r="F34" s="922">
        <f>'Table 3A Level 3'!C33*90%</f>
        <v>624.96</v>
      </c>
      <c r="G34" s="922">
        <f t="shared" si="2"/>
        <v>54371.520000000004</v>
      </c>
      <c r="H34" s="923">
        <f t="shared" si="3"/>
        <v>300031.18376863387</v>
      </c>
      <c r="I34" s="922">
        <f>(('Table 3 Levels 1&amp;2'!AL31-D34)+('Table 3A Level 3'!C33-F34))*C34</f>
        <v>33336.79819651485</v>
      </c>
      <c r="J34" s="922">
        <f>'[1]Oct midyear LAVCA'!K31</f>
        <v>-58626.783035250301</v>
      </c>
      <c r="K34" s="922">
        <f>'[1]Feb midyear LAVCA'!K31</f>
        <v>25864.757221433956</v>
      </c>
      <c r="L34" s="924">
        <f t="shared" si="4"/>
        <v>-32762.025813816344</v>
      </c>
      <c r="M34" s="923">
        <f t="shared" si="5"/>
        <v>267269.15795481752</v>
      </c>
      <c r="N34" s="922">
        <f t="shared" si="6"/>
        <v>-668.17289488704387</v>
      </c>
      <c r="O34" s="923">
        <f t="shared" si="7"/>
        <v>266600.98505993048</v>
      </c>
      <c r="P34" s="925">
        <v>-3003.4643194548398</v>
      </c>
      <c r="Q34" s="923">
        <f t="shared" si="8"/>
        <v>263597.52074047562</v>
      </c>
      <c r="R34" s="922">
        <f>8*'[2]Table 5C2 - LA Virtual Admy'!T33</f>
        <v>197520</v>
      </c>
      <c r="S34" s="922">
        <f t="shared" si="9"/>
        <v>66077.520740475622</v>
      </c>
      <c r="T34" s="923">
        <f t="shared" si="10"/>
        <v>16519</v>
      </c>
      <c r="U34" s="923">
        <f t="shared" si="23"/>
        <v>263597.52074047562</v>
      </c>
      <c r="V34" s="926">
        <f>'Table 5C1A-Madison Prep'!U34*90%</f>
        <v>5234.4000000000005</v>
      </c>
      <c r="W34" s="927">
        <f t="shared" si="11"/>
        <v>455392.80000000005</v>
      </c>
      <c r="X34" s="920">
        <f>'[1]Oct midyear LAVCA'!E31</f>
        <v>-17</v>
      </c>
      <c r="Y34" s="928">
        <f t="shared" si="12"/>
        <v>-88984.8</v>
      </c>
      <c r="Z34" s="1006">
        <f>'[1]Feb midyear LAVCA'!E31</f>
        <v>15</v>
      </c>
      <c r="AA34" s="928">
        <f t="shared" si="13"/>
        <v>39258.000000000007</v>
      </c>
      <c r="AB34" s="929">
        <f t="shared" si="14"/>
        <v>-49726.799999999996</v>
      </c>
      <c r="AC34" s="927">
        <f t="shared" si="15"/>
        <v>405666.00000000006</v>
      </c>
      <c r="AD34" s="928">
        <f t="shared" si="16"/>
        <v>-1014.1650000000002</v>
      </c>
      <c r="AE34" s="927">
        <f t="shared" si="17"/>
        <v>404651.83500000008</v>
      </c>
      <c r="AF34" s="926">
        <v>0</v>
      </c>
      <c r="AG34" s="927">
        <f t="shared" si="18"/>
        <v>404651.83500000008</v>
      </c>
      <c r="AH34" s="928">
        <f>8*'[2]Table 5C2 - LA Virtual Admy'!AJ33</f>
        <v>301480</v>
      </c>
      <c r="AI34" s="928">
        <f t="shared" si="19"/>
        <v>103171.83500000008</v>
      </c>
      <c r="AJ34" s="927">
        <f t="shared" si="20"/>
        <v>25793</v>
      </c>
      <c r="AK34" s="930">
        <f t="shared" si="21"/>
        <v>668249.3557404757</v>
      </c>
      <c r="AL34" s="930">
        <f t="shared" si="22"/>
        <v>42312</v>
      </c>
      <c r="AN34" s="922">
        <v>-1133.3924999999999</v>
      </c>
      <c r="AO34" s="922">
        <f t="shared" si="24"/>
        <v>-1014.1650000000002</v>
      </c>
      <c r="AP34" s="922">
        <f t="shared" si="25"/>
        <v>119.22749999999974</v>
      </c>
    </row>
    <row r="35" spans="1:42" s="917" customFormat="1" ht="16.149999999999999" customHeight="1">
      <c r="A35" s="918">
        <v>29</v>
      </c>
      <c r="B35" s="919" t="s">
        <v>101</v>
      </c>
      <c r="C35" s="920">
        <f>+'Table 8 Membership 2.1.14'!J31</f>
        <v>24</v>
      </c>
      <c r="D35" s="921">
        <f>'Table 3 Levels 1&amp;2'!AL32*90%</f>
        <v>3455.1110889156353</v>
      </c>
      <c r="E35" s="921">
        <f t="shared" si="1"/>
        <v>82922.666133975246</v>
      </c>
      <c r="F35" s="922">
        <f>'Table 3A Level 3'!C34*90%</f>
        <v>679.45499999999993</v>
      </c>
      <c r="G35" s="922">
        <f t="shared" si="2"/>
        <v>16306.919999999998</v>
      </c>
      <c r="H35" s="923">
        <f t="shared" si="3"/>
        <v>99229.586133975245</v>
      </c>
      <c r="I35" s="922">
        <f>(('Table 3 Levels 1&amp;2'!AL32-D35)+('Table 3A Level 3'!C34-F35))*C35</f>
        <v>11025.509570441693</v>
      </c>
      <c r="J35" s="922">
        <f>'[1]Oct midyear LAVCA'!K32</f>
        <v>49614.793066987622</v>
      </c>
      <c r="K35" s="922">
        <f>'[1]Feb midyear LAVCA'!K32</f>
        <v>2067.2830444578176</v>
      </c>
      <c r="L35" s="924">
        <f t="shared" si="4"/>
        <v>51682.076111445436</v>
      </c>
      <c r="M35" s="923">
        <f t="shared" si="5"/>
        <v>150911.66224542068</v>
      </c>
      <c r="N35" s="922">
        <f t="shared" si="6"/>
        <v>-377.27915561355172</v>
      </c>
      <c r="O35" s="923">
        <f t="shared" si="7"/>
        <v>150534.38308980712</v>
      </c>
      <c r="P35" s="925">
        <v>0</v>
      </c>
      <c r="Q35" s="923">
        <f t="shared" si="8"/>
        <v>150534.38308980712</v>
      </c>
      <c r="R35" s="922">
        <f>8*'[2]Table 5C2 - LA Virtual Admy'!T34</f>
        <v>65984</v>
      </c>
      <c r="S35" s="922">
        <f t="shared" si="9"/>
        <v>84550.383089807117</v>
      </c>
      <c r="T35" s="923">
        <f t="shared" si="10"/>
        <v>21138</v>
      </c>
      <c r="U35" s="923">
        <f t="shared" si="23"/>
        <v>150534.38308980712</v>
      </c>
      <c r="V35" s="926">
        <f>'Table 5C1A-Madison Prep'!U35*90%</f>
        <v>4541.4000000000005</v>
      </c>
      <c r="W35" s="927">
        <f t="shared" si="11"/>
        <v>108993.60000000001</v>
      </c>
      <c r="X35" s="920">
        <f>'[1]Oct midyear LAVCA'!E32</f>
        <v>12</v>
      </c>
      <c r="Y35" s="928">
        <f t="shared" si="12"/>
        <v>54496.800000000003</v>
      </c>
      <c r="Z35" s="1006">
        <f>'[1]Feb midyear LAVCA'!E32</f>
        <v>1</v>
      </c>
      <c r="AA35" s="928">
        <f t="shared" si="13"/>
        <v>2270.7000000000003</v>
      </c>
      <c r="AB35" s="929">
        <f t="shared" si="14"/>
        <v>56767.5</v>
      </c>
      <c r="AC35" s="927">
        <f t="shared" si="15"/>
        <v>165761.1</v>
      </c>
      <c r="AD35" s="928">
        <f t="shared" si="16"/>
        <v>-414.40275000000003</v>
      </c>
      <c r="AE35" s="927">
        <f t="shared" si="17"/>
        <v>165346.69725</v>
      </c>
      <c r="AF35" s="926">
        <v>0</v>
      </c>
      <c r="AG35" s="927">
        <f t="shared" si="18"/>
        <v>165346.69725</v>
      </c>
      <c r="AH35" s="928">
        <f>8*'[2]Table 5C2 - LA Virtual Admy'!AJ34</f>
        <v>72808</v>
      </c>
      <c r="AI35" s="928">
        <f t="shared" si="19"/>
        <v>92538.697249999997</v>
      </c>
      <c r="AJ35" s="927">
        <f t="shared" si="20"/>
        <v>23135</v>
      </c>
      <c r="AK35" s="930">
        <f t="shared" si="21"/>
        <v>315881.08033980709</v>
      </c>
      <c r="AL35" s="930">
        <f t="shared" si="22"/>
        <v>44273</v>
      </c>
      <c r="AN35" s="922">
        <v>-273.726</v>
      </c>
      <c r="AO35" s="922">
        <f t="shared" si="24"/>
        <v>-414.40275000000003</v>
      </c>
      <c r="AP35" s="922">
        <f t="shared" si="25"/>
        <v>-140.67675000000003</v>
      </c>
    </row>
    <row r="36" spans="1:42" s="917" customFormat="1" ht="16.149999999999999" customHeight="1">
      <c r="A36" s="931">
        <v>30</v>
      </c>
      <c r="B36" s="932" t="s">
        <v>102</v>
      </c>
      <c r="C36" s="933">
        <f>+'Table 8 Membership 2.1.14'!J32</f>
        <v>5</v>
      </c>
      <c r="D36" s="934">
        <f>'Table 3 Levels 1&amp;2'!AL33*90%</f>
        <v>5224.079454659709</v>
      </c>
      <c r="E36" s="934">
        <f t="shared" si="1"/>
        <v>26120.397273298546</v>
      </c>
      <c r="F36" s="935">
        <f>'Table 3A Level 3'!C35*90%</f>
        <v>654.45299999999997</v>
      </c>
      <c r="G36" s="935">
        <f t="shared" si="2"/>
        <v>3272.2649999999999</v>
      </c>
      <c r="H36" s="936">
        <f t="shared" si="3"/>
        <v>29392.662273298545</v>
      </c>
      <c r="I36" s="935">
        <f>(('Table 3 Levels 1&amp;2'!AL33-D36)+('Table 3A Level 3'!C35-F36))*C36</f>
        <v>3265.8513636998368</v>
      </c>
      <c r="J36" s="935">
        <f>'[1]Oct midyear LAVCA'!K33</f>
        <v>0</v>
      </c>
      <c r="K36" s="935">
        <f>'[1]Feb midyear LAVCA'!K33</f>
        <v>-8817.7986819895632</v>
      </c>
      <c r="L36" s="937">
        <f t="shared" si="4"/>
        <v>-8817.7986819895632</v>
      </c>
      <c r="M36" s="936">
        <f t="shared" si="5"/>
        <v>20574.863591308982</v>
      </c>
      <c r="N36" s="935">
        <f t="shared" si="6"/>
        <v>-51.437158978272457</v>
      </c>
      <c r="O36" s="936">
        <f t="shared" si="7"/>
        <v>20523.426432330711</v>
      </c>
      <c r="P36" s="938">
        <v>0</v>
      </c>
      <c r="Q36" s="936">
        <f t="shared" si="8"/>
        <v>20523.426432330711</v>
      </c>
      <c r="R36" s="935">
        <f>8*'[2]Table 5C2 - LA Virtual Admy'!T35</f>
        <v>19544</v>
      </c>
      <c r="S36" s="935">
        <f t="shared" si="9"/>
        <v>979.42643233071067</v>
      </c>
      <c r="T36" s="936">
        <f t="shared" si="10"/>
        <v>245</v>
      </c>
      <c r="U36" s="936">
        <f t="shared" si="23"/>
        <v>20523.426432330711</v>
      </c>
      <c r="V36" s="939">
        <f>'Table 5C1A-Madison Prep'!U36*90%</f>
        <v>3599.1</v>
      </c>
      <c r="W36" s="940">
        <f t="shared" si="11"/>
        <v>17995.5</v>
      </c>
      <c r="X36" s="933">
        <f>'[1]Oct midyear LAVCA'!E33</f>
        <v>0</v>
      </c>
      <c r="Y36" s="941">
        <f t="shared" si="12"/>
        <v>0</v>
      </c>
      <c r="Z36" s="1007">
        <f>'[1]Feb midyear LAVCA'!E33</f>
        <v>-3</v>
      </c>
      <c r="AA36" s="941">
        <f t="shared" si="13"/>
        <v>-5398.65</v>
      </c>
      <c r="AB36" s="942">
        <f t="shared" si="14"/>
        <v>-5398.65</v>
      </c>
      <c r="AC36" s="940">
        <f t="shared" si="15"/>
        <v>12596.85</v>
      </c>
      <c r="AD36" s="941">
        <f t="shared" si="16"/>
        <v>-31.492125000000001</v>
      </c>
      <c r="AE36" s="940">
        <f t="shared" si="17"/>
        <v>12565.357875</v>
      </c>
      <c r="AF36" s="939">
        <v>0</v>
      </c>
      <c r="AG36" s="940">
        <f t="shared" si="18"/>
        <v>12565.357875</v>
      </c>
      <c r="AH36" s="941">
        <f>8*'[2]Table 5C2 - LA Virtual Admy'!AJ35</f>
        <v>10800</v>
      </c>
      <c r="AI36" s="941">
        <f t="shared" si="19"/>
        <v>1765.3578749999997</v>
      </c>
      <c r="AJ36" s="940">
        <f t="shared" si="20"/>
        <v>441</v>
      </c>
      <c r="AK36" s="943">
        <f t="shared" si="21"/>
        <v>33088.784307330709</v>
      </c>
      <c r="AL36" s="943">
        <f t="shared" si="22"/>
        <v>686</v>
      </c>
      <c r="AN36" s="935">
        <v>-40.60125</v>
      </c>
      <c r="AO36" s="935">
        <f t="shared" si="24"/>
        <v>-31.492125000000001</v>
      </c>
      <c r="AP36" s="935">
        <f t="shared" si="25"/>
        <v>9.1091249999999988</v>
      </c>
    </row>
    <row r="37" spans="1:42" s="917" customFormat="1" ht="16.149999999999999" customHeight="1">
      <c r="A37" s="904">
        <v>31</v>
      </c>
      <c r="B37" s="905" t="s">
        <v>103</v>
      </c>
      <c r="C37" s="906">
        <f>+'Table 8 Membership 2.1.14'!J33</f>
        <v>5</v>
      </c>
      <c r="D37" s="907">
        <f>'Table 3 Levels 1&amp;2'!AL34*90%</f>
        <v>4068.5559045181681</v>
      </c>
      <c r="E37" s="907">
        <f t="shared" si="1"/>
        <v>20342.779522590841</v>
      </c>
      <c r="F37" s="908">
        <f>'Table 3A Level 3'!C36*90%</f>
        <v>558.74700000000007</v>
      </c>
      <c r="G37" s="908">
        <f t="shared" si="2"/>
        <v>2793.7350000000006</v>
      </c>
      <c r="H37" s="909">
        <f t="shared" si="3"/>
        <v>23136.514522590842</v>
      </c>
      <c r="I37" s="908">
        <f>(('Table 3 Levels 1&amp;2'!AL34-D37)+('Table 3A Level 3'!C36-F37))*C37</f>
        <v>2570.7238358434251</v>
      </c>
      <c r="J37" s="908">
        <f>'[1]Oct midyear LAVCA'!K34</f>
        <v>-18509.211618072673</v>
      </c>
      <c r="K37" s="908">
        <f>'[1]Feb midyear LAVCA'!K34</f>
        <v>4627.3029045181684</v>
      </c>
      <c r="L37" s="910">
        <f t="shared" si="4"/>
        <v>-13881.908713554505</v>
      </c>
      <c r="M37" s="909">
        <f t="shared" si="5"/>
        <v>9254.6058090363367</v>
      </c>
      <c r="N37" s="908">
        <f t="shared" si="6"/>
        <v>-23.136514522590844</v>
      </c>
      <c r="O37" s="909">
        <f t="shared" si="7"/>
        <v>9231.4692945137467</v>
      </c>
      <c r="P37" s="911">
        <v>0</v>
      </c>
      <c r="Q37" s="909">
        <f t="shared" si="8"/>
        <v>9231.4692945137467</v>
      </c>
      <c r="R37" s="908">
        <f>8*'[2]Table 5C2 - LA Virtual Admy'!T36</f>
        <v>15384</v>
      </c>
      <c r="S37" s="908">
        <f t="shared" si="9"/>
        <v>-6152.5307054862533</v>
      </c>
      <c r="T37" s="909">
        <f t="shared" si="10"/>
        <v>-1538</v>
      </c>
      <c r="U37" s="909">
        <f t="shared" si="23"/>
        <v>9231.4692945137467</v>
      </c>
      <c r="V37" s="912">
        <f>'Table 5C1A-Madison Prep'!U37*90%</f>
        <v>4525.2</v>
      </c>
      <c r="W37" s="913">
        <f t="shared" si="11"/>
        <v>22626</v>
      </c>
      <c r="X37" s="906">
        <f>'[1]Oct midyear LAVCA'!E34</f>
        <v>-4</v>
      </c>
      <c r="Y37" s="914">
        <f t="shared" si="12"/>
        <v>-18100.8</v>
      </c>
      <c r="Z37" s="1005">
        <f>'[1]Feb midyear LAVCA'!E34</f>
        <v>2</v>
      </c>
      <c r="AA37" s="914">
        <f t="shared" si="13"/>
        <v>4525.2</v>
      </c>
      <c r="AB37" s="915">
        <f t="shared" si="14"/>
        <v>-13575.599999999999</v>
      </c>
      <c r="AC37" s="913">
        <f t="shared" si="15"/>
        <v>9050.4000000000015</v>
      </c>
      <c r="AD37" s="914">
        <f t="shared" si="16"/>
        <v>-22.626000000000005</v>
      </c>
      <c r="AE37" s="913">
        <f t="shared" si="17"/>
        <v>9027.7740000000013</v>
      </c>
      <c r="AF37" s="912">
        <v>0</v>
      </c>
      <c r="AG37" s="913">
        <f t="shared" si="18"/>
        <v>9027.7740000000013</v>
      </c>
      <c r="AH37" s="914">
        <f>8*'[2]Table 5C2 - LA Virtual Admy'!AJ36</f>
        <v>15088</v>
      </c>
      <c r="AI37" s="914">
        <f t="shared" si="19"/>
        <v>-6060.2259999999987</v>
      </c>
      <c r="AJ37" s="913">
        <f t="shared" si="20"/>
        <v>-1515</v>
      </c>
      <c r="AK37" s="916">
        <f t="shared" si="21"/>
        <v>18259.243294513748</v>
      </c>
      <c r="AL37" s="916">
        <f t="shared" si="22"/>
        <v>-3053</v>
      </c>
      <c r="AN37" s="908">
        <v>-56.733750000000001</v>
      </c>
      <c r="AO37" s="908">
        <f t="shared" si="24"/>
        <v>-22.626000000000005</v>
      </c>
      <c r="AP37" s="908">
        <f t="shared" si="25"/>
        <v>34.107749999999996</v>
      </c>
    </row>
    <row r="38" spans="1:42" s="917" customFormat="1" ht="16.149999999999999" customHeight="1">
      <c r="A38" s="918">
        <v>32</v>
      </c>
      <c r="B38" s="919" t="s">
        <v>104</v>
      </c>
      <c r="C38" s="920">
        <f>+'Table 8 Membership 2.1.14'!J34</f>
        <v>79</v>
      </c>
      <c r="D38" s="921">
        <f>'Table 3 Levels 1&amp;2'!AL35*90%</f>
        <v>5087.5372701550141</v>
      </c>
      <c r="E38" s="921">
        <f t="shared" si="1"/>
        <v>401915.4443422461</v>
      </c>
      <c r="F38" s="922">
        <f>'Table 3A Level 3'!C37*90%</f>
        <v>503.79300000000001</v>
      </c>
      <c r="G38" s="922">
        <f t="shared" si="2"/>
        <v>39799.646999999997</v>
      </c>
      <c r="H38" s="923">
        <f t="shared" si="3"/>
        <v>441715.0913422461</v>
      </c>
      <c r="I38" s="922">
        <f>(('Table 3 Levels 1&amp;2'!AL35-D38)+('Table 3A Level 3'!C37-F38))*C38</f>
        <v>49079.454593582916</v>
      </c>
      <c r="J38" s="922">
        <f>'[1]Oct midyear LAVCA'!K35</f>
        <v>167739.90810465041</v>
      </c>
      <c r="K38" s="922">
        <f>'[1]Feb midyear LAVCA'!K35</f>
        <v>-39139.311891085097</v>
      </c>
      <c r="L38" s="924">
        <f t="shared" si="4"/>
        <v>128600.59621356532</v>
      </c>
      <c r="M38" s="923">
        <f t="shared" si="5"/>
        <v>570315.68755581137</v>
      </c>
      <c r="N38" s="922">
        <f t="shared" si="6"/>
        <v>-1425.7892188895285</v>
      </c>
      <c r="O38" s="923">
        <f t="shared" si="7"/>
        <v>568889.89833692182</v>
      </c>
      <c r="P38" s="925">
        <v>0</v>
      </c>
      <c r="Q38" s="923">
        <f t="shared" si="8"/>
        <v>568889.89833692182</v>
      </c>
      <c r="R38" s="922">
        <f>8*'[2]Table 5C2 - LA Virtual Admy'!T37</f>
        <v>293744</v>
      </c>
      <c r="S38" s="922">
        <f t="shared" si="9"/>
        <v>275145.89833692182</v>
      </c>
      <c r="T38" s="923">
        <f t="shared" si="10"/>
        <v>68786</v>
      </c>
      <c r="U38" s="923">
        <f t="shared" si="23"/>
        <v>568889.89833692182</v>
      </c>
      <c r="V38" s="926">
        <f>'Table 5C1A-Madison Prep'!U38*90%</f>
        <v>1925.1000000000001</v>
      </c>
      <c r="W38" s="927">
        <f t="shared" si="11"/>
        <v>152082.90000000002</v>
      </c>
      <c r="X38" s="920">
        <f>'[1]Oct midyear LAVCA'!E35</f>
        <v>30</v>
      </c>
      <c r="Y38" s="928">
        <f t="shared" si="12"/>
        <v>57753.000000000007</v>
      </c>
      <c r="Z38" s="1006">
        <f>'[1]Feb midyear LAVCA'!E35</f>
        <v>-14</v>
      </c>
      <c r="AA38" s="928">
        <f t="shared" si="13"/>
        <v>-13475.7</v>
      </c>
      <c r="AB38" s="929">
        <f t="shared" si="14"/>
        <v>44277.3</v>
      </c>
      <c r="AC38" s="927">
        <f t="shared" si="15"/>
        <v>196360.2</v>
      </c>
      <c r="AD38" s="928">
        <f t="shared" si="16"/>
        <v>-490.90050000000002</v>
      </c>
      <c r="AE38" s="927">
        <f t="shared" si="17"/>
        <v>195869.29950000002</v>
      </c>
      <c r="AF38" s="926">
        <v>0</v>
      </c>
      <c r="AG38" s="927">
        <f t="shared" si="18"/>
        <v>195869.29950000002</v>
      </c>
      <c r="AH38" s="928">
        <f>8*'[2]Table 5C2 - LA Virtual Admy'!AJ37</f>
        <v>100288</v>
      </c>
      <c r="AI38" s="928">
        <f t="shared" si="19"/>
        <v>95581.299500000023</v>
      </c>
      <c r="AJ38" s="927">
        <f t="shared" si="20"/>
        <v>23895</v>
      </c>
      <c r="AK38" s="930">
        <f t="shared" si="21"/>
        <v>764759.19783692178</v>
      </c>
      <c r="AL38" s="930">
        <f t="shared" si="22"/>
        <v>92681</v>
      </c>
      <c r="AN38" s="922">
        <v>-377.00775000000004</v>
      </c>
      <c r="AO38" s="922">
        <f t="shared" si="24"/>
        <v>-490.90050000000002</v>
      </c>
      <c r="AP38" s="922">
        <f t="shared" si="25"/>
        <v>-113.89274999999998</v>
      </c>
    </row>
    <row r="39" spans="1:42" s="917" customFormat="1" ht="16.149999999999999" customHeight="1">
      <c r="A39" s="918">
        <v>33</v>
      </c>
      <c r="B39" s="919" t="s">
        <v>105</v>
      </c>
      <c r="C39" s="920">
        <f>+'Table 8 Membership 2.1.14'!J35</f>
        <v>2</v>
      </c>
      <c r="D39" s="921">
        <f>'Table 3 Levels 1&amp;2'!AL36*90%</f>
        <v>4910.6029102276707</v>
      </c>
      <c r="E39" s="921">
        <f t="shared" ref="E39:E70" si="26">C39*D39</f>
        <v>9821.2058204553414</v>
      </c>
      <c r="F39" s="922">
        <f>'Table 3A Level 3'!C38*90%</f>
        <v>589.77900000000011</v>
      </c>
      <c r="G39" s="922">
        <f t="shared" ref="G39:G70" si="27">F39*C39</f>
        <v>1179.5580000000002</v>
      </c>
      <c r="H39" s="923">
        <f t="shared" ref="H39:H70" si="28">E39+G39</f>
        <v>11000.763820455342</v>
      </c>
      <c r="I39" s="922">
        <f>(('Table 3 Levels 1&amp;2'!AL36-D39)+('Table 3A Level 3'!C38-F39))*C39</f>
        <v>1222.3070911617051</v>
      </c>
      <c r="J39" s="922">
        <f>'[1]Oct midyear LAVCA'!K36</f>
        <v>0</v>
      </c>
      <c r="K39" s="922">
        <f>'[1]Feb midyear LAVCA'!K36</f>
        <v>-2750.1909551138356</v>
      </c>
      <c r="L39" s="924">
        <f t="shared" ref="L39:L70" si="29">+J39+K39</f>
        <v>-2750.1909551138356</v>
      </c>
      <c r="M39" s="923">
        <f t="shared" ref="M39:M70" si="30">H39+L39</f>
        <v>8250.5728653415063</v>
      </c>
      <c r="N39" s="922">
        <f t="shared" ref="N39:N70" si="31">-0.25%*M39</f>
        <v>-20.626432163353766</v>
      </c>
      <c r="O39" s="923">
        <f t="shared" ref="O39:O70" si="32">M39+N39</f>
        <v>8229.9464331781528</v>
      </c>
      <c r="P39" s="925">
        <v>0</v>
      </c>
      <c r="Q39" s="923">
        <f t="shared" ref="Q39:Q70" si="33">SUM(O39:P39)</f>
        <v>8229.9464331781528</v>
      </c>
      <c r="R39" s="922">
        <f>8*'[2]Table 5C2 - LA Virtual Admy'!T38</f>
        <v>7312</v>
      </c>
      <c r="S39" s="922">
        <f t="shared" ref="S39:S70" si="34">Q39-R39</f>
        <v>917.9464331781528</v>
      </c>
      <c r="T39" s="923">
        <f t="shared" ref="T39:T70" si="35">ROUND(S39/$T$88,0)</f>
        <v>229</v>
      </c>
      <c r="U39" s="923">
        <f t="shared" si="23"/>
        <v>8229.9464331781528</v>
      </c>
      <c r="V39" s="926">
        <f>'Table 5C1A-Madison Prep'!U39*90%</f>
        <v>3405.6</v>
      </c>
      <c r="W39" s="927">
        <f t="shared" ref="W39:W70" si="36">V39*C39</f>
        <v>6811.2</v>
      </c>
      <c r="X39" s="920">
        <f>'[1]Oct midyear LAVCA'!E36</f>
        <v>0</v>
      </c>
      <c r="Y39" s="928">
        <f t="shared" ref="Y39:Y70" si="37">X39*V39</f>
        <v>0</v>
      </c>
      <c r="Z39" s="1006">
        <f>'[1]Feb midyear LAVCA'!E36</f>
        <v>-1</v>
      </c>
      <c r="AA39" s="928">
        <f t="shared" ref="AA39:AA70" si="38">+V39*Z39*0.5</f>
        <v>-1702.8</v>
      </c>
      <c r="AB39" s="929">
        <f t="shared" ref="AB39:AB70" si="39">+Y39+AA39</f>
        <v>-1702.8</v>
      </c>
      <c r="AC39" s="927">
        <f t="shared" ref="AC39:AC70" si="40">AB39+W39</f>
        <v>5108.3999999999996</v>
      </c>
      <c r="AD39" s="928">
        <f t="shared" ref="AD39:AD70" si="41">AC39*-0.25%</f>
        <v>-12.770999999999999</v>
      </c>
      <c r="AE39" s="927">
        <f t="shared" ref="AE39:AE70" si="42">SUM(AC39:AD39)</f>
        <v>5095.6289999999999</v>
      </c>
      <c r="AF39" s="926">
        <v>0</v>
      </c>
      <c r="AG39" s="927">
        <f t="shared" ref="AG39:AG70" si="43">SUM(AE39:AF39)</f>
        <v>5095.6289999999999</v>
      </c>
      <c r="AH39" s="928">
        <f>8*'[2]Table 5C2 - LA Virtual Admy'!AJ38</f>
        <v>4328</v>
      </c>
      <c r="AI39" s="928">
        <f t="shared" ref="AI39:AI70" si="44">AG39-AH39</f>
        <v>767.62899999999991</v>
      </c>
      <c r="AJ39" s="927">
        <f t="shared" ref="AJ39:AJ70" si="45">ROUND(AI39/$AJ$88,0)</f>
        <v>192</v>
      </c>
      <c r="AK39" s="930">
        <f t="shared" si="21"/>
        <v>13325.575433178154</v>
      </c>
      <c r="AL39" s="930">
        <f t="shared" ref="AL39:AL75" si="46">T39+AJ39</f>
        <v>421</v>
      </c>
      <c r="AN39" s="922">
        <v>-16.272000000000002</v>
      </c>
      <c r="AO39" s="922">
        <f t="shared" si="24"/>
        <v>-12.770999999999999</v>
      </c>
      <c r="AP39" s="922">
        <f t="shared" si="25"/>
        <v>3.501000000000003</v>
      </c>
    </row>
    <row r="40" spans="1:42" s="917" customFormat="1" ht="16.149999999999999" customHeight="1">
      <c r="A40" s="918">
        <v>34</v>
      </c>
      <c r="B40" s="919" t="s">
        <v>106</v>
      </c>
      <c r="C40" s="920">
        <f>+'Table 8 Membership 2.1.14'!J36</f>
        <v>24</v>
      </c>
      <c r="D40" s="921">
        <f>'Table 3 Levels 1&amp;2'!AL37*90%</f>
        <v>5662.8879158510108</v>
      </c>
      <c r="E40" s="921">
        <f t="shared" si="26"/>
        <v>135909.30998042427</v>
      </c>
      <c r="F40" s="922">
        <f>'Table 3A Level 3'!C39*90%</f>
        <v>579.69900000000018</v>
      </c>
      <c r="G40" s="922">
        <f t="shared" si="27"/>
        <v>13912.776000000005</v>
      </c>
      <c r="H40" s="923">
        <f t="shared" si="28"/>
        <v>149822.08598042428</v>
      </c>
      <c r="I40" s="922">
        <f>(('Table 3 Levels 1&amp;2'!AL37-D40)+('Table 3A Level 3'!C39-F40))*C40</f>
        <v>16646.89844226935</v>
      </c>
      <c r="J40" s="922">
        <f>'[1]Oct midyear LAVCA'!K37</f>
        <v>37455.52149510607</v>
      </c>
      <c r="K40" s="922">
        <f>'[1]Feb midyear LAVCA'!K37</f>
        <v>6242.5869158510113</v>
      </c>
      <c r="L40" s="924">
        <f t="shared" si="29"/>
        <v>43698.10841095708</v>
      </c>
      <c r="M40" s="923">
        <f t="shared" si="30"/>
        <v>193520.19439138134</v>
      </c>
      <c r="N40" s="922">
        <f t="shared" si="31"/>
        <v>-483.80048597845337</v>
      </c>
      <c r="O40" s="923">
        <f t="shared" si="32"/>
        <v>193036.39390540289</v>
      </c>
      <c r="P40" s="925">
        <v>0</v>
      </c>
      <c r="Q40" s="923">
        <f t="shared" si="33"/>
        <v>193036.39390540289</v>
      </c>
      <c r="R40" s="922">
        <f>8*'[2]Table 5C2 - LA Virtual Admy'!T39</f>
        <v>99632</v>
      </c>
      <c r="S40" s="922">
        <f t="shared" si="34"/>
        <v>93404.393905402889</v>
      </c>
      <c r="T40" s="923">
        <f t="shared" si="35"/>
        <v>23351</v>
      </c>
      <c r="U40" s="923">
        <f t="shared" si="23"/>
        <v>193036.39390540289</v>
      </c>
      <c r="V40" s="926">
        <f>'Table 5C1A-Madison Prep'!U40*90%</f>
        <v>2619.9</v>
      </c>
      <c r="W40" s="927">
        <f t="shared" si="36"/>
        <v>62877.600000000006</v>
      </c>
      <c r="X40" s="920">
        <f>'[1]Oct midyear LAVCA'!E37</f>
        <v>6</v>
      </c>
      <c r="Y40" s="928">
        <f t="shared" si="37"/>
        <v>15719.400000000001</v>
      </c>
      <c r="Z40" s="1006">
        <f>'[1]Feb midyear LAVCA'!E37</f>
        <v>2</v>
      </c>
      <c r="AA40" s="928">
        <f t="shared" si="38"/>
        <v>2619.9</v>
      </c>
      <c r="AB40" s="929">
        <f t="shared" si="39"/>
        <v>18339.300000000003</v>
      </c>
      <c r="AC40" s="927">
        <f t="shared" si="40"/>
        <v>81216.900000000009</v>
      </c>
      <c r="AD40" s="928">
        <f t="shared" si="41"/>
        <v>-203.04225000000002</v>
      </c>
      <c r="AE40" s="927">
        <f t="shared" si="42"/>
        <v>81013.85775000001</v>
      </c>
      <c r="AF40" s="926">
        <v>0</v>
      </c>
      <c r="AG40" s="927">
        <f t="shared" si="43"/>
        <v>81013.85775000001</v>
      </c>
      <c r="AH40" s="928">
        <f>8*'[2]Table 5C2 - LA Virtual Admy'!AJ39</f>
        <v>39088</v>
      </c>
      <c r="AI40" s="928">
        <f t="shared" si="44"/>
        <v>41925.85775000001</v>
      </c>
      <c r="AJ40" s="927">
        <f t="shared" si="45"/>
        <v>10481</v>
      </c>
      <c r="AK40" s="930">
        <f t="shared" si="21"/>
        <v>274050.25165540288</v>
      </c>
      <c r="AL40" s="930">
        <f t="shared" si="46"/>
        <v>33832</v>
      </c>
      <c r="AN40" s="922">
        <v>-146.93400000000003</v>
      </c>
      <c r="AO40" s="922">
        <f t="shared" si="24"/>
        <v>-203.04225000000002</v>
      </c>
      <c r="AP40" s="922">
        <f t="shared" si="25"/>
        <v>-56.108249999999998</v>
      </c>
    </row>
    <row r="41" spans="1:42" s="917" customFormat="1" ht="16.149999999999999" customHeight="1">
      <c r="A41" s="931">
        <v>35</v>
      </c>
      <c r="B41" s="932" t="s">
        <v>107</v>
      </c>
      <c r="C41" s="933">
        <f>+'Table 8 Membership 2.1.14'!J37</f>
        <v>17</v>
      </c>
      <c r="D41" s="934">
        <f>'Table 3 Levels 1&amp;2'!AL38*90%</f>
        <v>4649.6233854429847</v>
      </c>
      <c r="E41" s="934">
        <f t="shared" si="26"/>
        <v>79043.597552530744</v>
      </c>
      <c r="F41" s="935">
        <f>'Table 3A Level 3'!C40*90%</f>
        <v>484.16400000000004</v>
      </c>
      <c r="G41" s="935">
        <f t="shared" si="27"/>
        <v>8230.7880000000005</v>
      </c>
      <c r="H41" s="936">
        <f t="shared" si="28"/>
        <v>87274.385552530744</v>
      </c>
      <c r="I41" s="935">
        <f>(('Table 3 Levels 1&amp;2'!AL38-D41)+('Table 3A Level 3'!C40-F41))*C41</f>
        <v>9697.1539502811884</v>
      </c>
      <c r="J41" s="935">
        <f>'[1]Oct midyear LAVCA'!K38</f>
        <v>20535.149541771938</v>
      </c>
      <c r="K41" s="935">
        <f>'[1]Feb midyear LAVCA'!K38</f>
        <v>5133.7873854429845</v>
      </c>
      <c r="L41" s="937">
        <f t="shared" si="29"/>
        <v>25668.936927214923</v>
      </c>
      <c r="M41" s="936">
        <f t="shared" si="30"/>
        <v>112943.32247974566</v>
      </c>
      <c r="N41" s="935">
        <f t="shared" si="31"/>
        <v>-282.35830619936416</v>
      </c>
      <c r="O41" s="936">
        <f t="shared" si="32"/>
        <v>112660.96417354629</v>
      </c>
      <c r="P41" s="938">
        <v>0</v>
      </c>
      <c r="Q41" s="936">
        <f t="shared" si="33"/>
        <v>112660.96417354629</v>
      </c>
      <c r="R41" s="935">
        <f>8*'[2]Table 5C2 - LA Virtual Admy'!T40</f>
        <v>58040</v>
      </c>
      <c r="S41" s="935">
        <f t="shared" si="34"/>
        <v>54620.964173546294</v>
      </c>
      <c r="T41" s="936">
        <f t="shared" si="35"/>
        <v>13655</v>
      </c>
      <c r="U41" s="936">
        <f t="shared" si="23"/>
        <v>112660.96417354629</v>
      </c>
      <c r="V41" s="939">
        <f>'Table 5C1A-Madison Prep'!U41*90%</f>
        <v>3003.3</v>
      </c>
      <c r="W41" s="940">
        <f t="shared" si="36"/>
        <v>51056.100000000006</v>
      </c>
      <c r="X41" s="933">
        <f>'[1]Oct midyear LAVCA'!E38</f>
        <v>4</v>
      </c>
      <c r="Y41" s="941">
        <f t="shared" si="37"/>
        <v>12013.2</v>
      </c>
      <c r="Z41" s="1007">
        <f>'[1]Feb midyear LAVCA'!E38</f>
        <v>2</v>
      </c>
      <c r="AA41" s="941">
        <f t="shared" si="38"/>
        <v>3003.3</v>
      </c>
      <c r="AB41" s="942">
        <f t="shared" si="39"/>
        <v>15016.5</v>
      </c>
      <c r="AC41" s="940">
        <f t="shared" si="40"/>
        <v>66072.600000000006</v>
      </c>
      <c r="AD41" s="941">
        <f t="shared" si="41"/>
        <v>-165.18150000000003</v>
      </c>
      <c r="AE41" s="940">
        <f t="shared" si="42"/>
        <v>65907.4185</v>
      </c>
      <c r="AF41" s="939">
        <v>0</v>
      </c>
      <c r="AG41" s="940">
        <f t="shared" si="43"/>
        <v>65907.4185</v>
      </c>
      <c r="AH41" s="941">
        <f>8*'[2]Table 5C2 - LA Virtual Admy'!AJ40</f>
        <v>33120</v>
      </c>
      <c r="AI41" s="941">
        <f t="shared" si="44"/>
        <v>32787.4185</v>
      </c>
      <c r="AJ41" s="940">
        <f t="shared" si="45"/>
        <v>8197</v>
      </c>
      <c r="AK41" s="943">
        <f t="shared" si="21"/>
        <v>178568.38267354629</v>
      </c>
      <c r="AL41" s="943">
        <f t="shared" si="46"/>
        <v>21852</v>
      </c>
      <c r="AN41" s="935">
        <v>-124.50375</v>
      </c>
      <c r="AO41" s="935">
        <f t="shared" si="24"/>
        <v>-165.18150000000003</v>
      </c>
      <c r="AP41" s="935">
        <f t="shared" si="25"/>
        <v>-40.677750000000032</v>
      </c>
    </row>
    <row r="42" spans="1:42" s="917" customFormat="1" ht="16.149999999999999" customHeight="1">
      <c r="A42" s="904">
        <v>36</v>
      </c>
      <c r="B42" s="905" t="s">
        <v>108</v>
      </c>
      <c r="C42" s="906">
        <f>+'Table 8 Membership 2.1.14'!J38</f>
        <v>65</v>
      </c>
      <c r="D42" s="907">
        <f>'Table 3 Levels 1&amp;2'!AL39*90%</f>
        <v>3242.4308976895072</v>
      </c>
      <c r="E42" s="907">
        <f t="shared" si="26"/>
        <v>210758.00834981797</v>
      </c>
      <c r="F42" s="908">
        <f>'Table 5B1_RSD_Orleans'!F82*90%</f>
        <v>671.43020547945218</v>
      </c>
      <c r="G42" s="908">
        <f t="shared" si="27"/>
        <v>43642.963356164393</v>
      </c>
      <c r="H42" s="909">
        <f t="shared" si="28"/>
        <v>254400.97170598237</v>
      </c>
      <c r="I42" s="908">
        <f>(('Table 3 Levels 1&amp;2'!AL39-D42)+('Table 5B1_RSD_Orleans'!F82-F42))*C42</f>
        <v>28266.774633998029</v>
      </c>
      <c r="J42" s="908">
        <f>'[1]Oct midyear LAVCA'!K39</f>
        <v>35224.749928520636</v>
      </c>
      <c r="K42" s="908">
        <f>'[1]Feb midyear LAVCA'!K39</f>
        <v>25440.097170598234</v>
      </c>
      <c r="L42" s="910">
        <f t="shared" si="29"/>
        <v>60664.847099118866</v>
      </c>
      <c r="M42" s="909">
        <f t="shared" si="30"/>
        <v>315065.81880510121</v>
      </c>
      <c r="N42" s="908">
        <f t="shared" si="31"/>
        <v>-787.66454701275302</v>
      </c>
      <c r="O42" s="909">
        <f t="shared" si="32"/>
        <v>314278.15425808844</v>
      </c>
      <c r="P42" s="911">
        <v>0</v>
      </c>
      <c r="Q42" s="909">
        <f t="shared" si="33"/>
        <v>314278.15425808844</v>
      </c>
      <c r="R42" s="908">
        <f>8*'[2]Table 5C2 - LA Virtual Admy'!T41</f>
        <v>169176</v>
      </c>
      <c r="S42" s="908">
        <f t="shared" si="34"/>
        <v>145102.15425808844</v>
      </c>
      <c r="T42" s="909">
        <f t="shared" si="35"/>
        <v>36276</v>
      </c>
      <c r="U42" s="909">
        <f t="shared" si="23"/>
        <v>314278.15425808844</v>
      </c>
      <c r="V42" s="912">
        <f>'Table 5C1A-Madison Prep'!U42*90%</f>
        <v>4922.1000000000004</v>
      </c>
      <c r="W42" s="913">
        <f t="shared" si="36"/>
        <v>319936.5</v>
      </c>
      <c r="X42" s="906">
        <f>'[1]Oct midyear LAVCA'!E39</f>
        <v>9</v>
      </c>
      <c r="Y42" s="914">
        <f t="shared" si="37"/>
        <v>44298.9</v>
      </c>
      <c r="Z42" s="1005">
        <f>'[1]Feb midyear LAVCA'!E39</f>
        <v>13</v>
      </c>
      <c r="AA42" s="914">
        <f t="shared" si="38"/>
        <v>31993.65</v>
      </c>
      <c r="AB42" s="915">
        <f t="shared" si="39"/>
        <v>76292.55</v>
      </c>
      <c r="AC42" s="913">
        <f t="shared" si="40"/>
        <v>396229.05</v>
      </c>
      <c r="AD42" s="914">
        <f t="shared" si="41"/>
        <v>-990.57262500000002</v>
      </c>
      <c r="AE42" s="913">
        <f t="shared" si="42"/>
        <v>395238.47737500002</v>
      </c>
      <c r="AF42" s="912">
        <v>0</v>
      </c>
      <c r="AG42" s="913">
        <f t="shared" si="43"/>
        <v>395238.47737500002</v>
      </c>
      <c r="AH42" s="914">
        <f>8*'[2]Table 5C2 - LA Virtual Admy'!AJ41</f>
        <v>211432</v>
      </c>
      <c r="AI42" s="914">
        <f t="shared" si="44"/>
        <v>183806.47737500002</v>
      </c>
      <c r="AJ42" s="913">
        <f t="shared" si="45"/>
        <v>45952</v>
      </c>
      <c r="AK42" s="916">
        <f t="shared" si="21"/>
        <v>709516.63163308846</v>
      </c>
      <c r="AL42" s="916">
        <f t="shared" si="46"/>
        <v>82228</v>
      </c>
      <c r="AN42" s="908">
        <v>-794.86874999999998</v>
      </c>
      <c r="AO42" s="908">
        <f t="shared" si="24"/>
        <v>-990.57262500000002</v>
      </c>
      <c r="AP42" s="908">
        <f t="shared" si="25"/>
        <v>-195.70387500000004</v>
      </c>
    </row>
    <row r="43" spans="1:42" s="917" customFormat="1" ht="16.149999999999999" customHeight="1">
      <c r="A43" s="918">
        <v>37</v>
      </c>
      <c r="B43" s="919" t="s">
        <v>109</v>
      </c>
      <c r="C43" s="920">
        <f>+'Table 8 Membership 2.1.14'!J39</f>
        <v>54</v>
      </c>
      <c r="D43" s="921">
        <f>'Table 3 Levels 1&amp;2'!AL40*90%</f>
        <v>5098.8455334285927</v>
      </c>
      <c r="E43" s="921">
        <f t="shared" si="26"/>
        <v>275337.65880514402</v>
      </c>
      <c r="F43" s="922">
        <f>'Table 3A Level 3'!C42*90%</f>
        <v>588.24900000000002</v>
      </c>
      <c r="G43" s="922">
        <f t="shared" si="27"/>
        <v>31765.446</v>
      </c>
      <c r="H43" s="923">
        <f t="shared" si="28"/>
        <v>307103.10480514402</v>
      </c>
      <c r="I43" s="922">
        <f>(('Table 3 Levels 1&amp;2'!AL40-D43)+('Table 3A Level 3'!C42-F43))*C43</f>
        <v>34122.567200571524</v>
      </c>
      <c r="J43" s="922">
        <f>'[1]Oct midyear LAVCA'!K40</f>
        <v>-28435.472667142963</v>
      </c>
      <c r="K43" s="922">
        <f>'[1]Feb midyear LAVCA'!K40</f>
        <v>19904.830867000073</v>
      </c>
      <c r="L43" s="924">
        <f t="shared" si="29"/>
        <v>-8530.6418001428901</v>
      </c>
      <c r="M43" s="923">
        <f t="shared" si="30"/>
        <v>298572.46300500113</v>
      </c>
      <c r="N43" s="922">
        <f t="shared" si="31"/>
        <v>-746.43115751250286</v>
      </c>
      <c r="O43" s="923">
        <f t="shared" si="32"/>
        <v>297826.03184748866</v>
      </c>
      <c r="P43" s="925">
        <v>0</v>
      </c>
      <c r="Q43" s="923">
        <f t="shared" si="33"/>
        <v>297826.03184748866</v>
      </c>
      <c r="R43" s="922">
        <f>8*'[2]Table 5C2 - LA Virtual Admy'!T42</f>
        <v>204224</v>
      </c>
      <c r="S43" s="922">
        <f t="shared" si="34"/>
        <v>93602.031847488659</v>
      </c>
      <c r="T43" s="923">
        <f t="shared" si="35"/>
        <v>23401</v>
      </c>
      <c r="U43" s="923">
        <f t="shared" si="23"/>
        <v>297826.03184748866</v>
      </c>
      <c r="V43" s="926">
        <f>'Table 5C1A-Madison Prep'!U43*90%</f>
        <v>3081.6</v>
      </c>
      <c r="W43" s="927">
        <f t="shared" si="36"/>
        <v>166406.39999999999</v>
      </c>
      <c r="X43" s="920">
        <f>'[1]Oct midyear LAVCA'!E40</f>
        <v>-5</v>
      </c>
      <c r="Y43" s="928">
        <f t="shared" si="37"/>
        <v>-15408</v>
      </c>
      <c r="Z43" s="1006">
        <f>'[1]Feb midyear LAVCA'!E40</f>
        <v>7</v>
      </c>
      <c r="AA43" s="928">
        <f t="shared" si="38"/>
        <v>10785.6</v>
      </c>
      <c r="AB43" s="929">
        <f t="shared" si="39"/>
        <v>-4622.3999999999996</v>
      </c>
      <c r="AC43" s="927">
        <f t="shared" si="40"/>
        <v>161784</v>
      </c>
      <c r="AD43" s="928">
        <f t="shared" si="41"/>
        <v>-404.46000000000004</v>
      </c>
      <c r="AE43" s="927">
        <f t="shared" si="42"/>
        <v>161379.54</v>
      </c>
      <c r="AF43" s="926">
        <v>0</v>
      </c>
      <c r="AG43" s="927">
        <f t="shared" si="43"/>
        <v>161379.54</v>
      </c>
      <c r="AH43" s="928">
        <f>8*'[2]Table 5C2 - LA Virtual Admy'!AJ42</f>
        <v>113760</v>
      </c>
      <c r="AI43" s="928">
        <f t="shared" si="44"/>
        <v>47619.540000000008</v>
      </c>
      <c r="AJ43" s="927">
        <f t="shared" si="45"/>
        <v>11905</v>
      </c>
      <c r="AK43" s="930">
        <f t="shared" si="21"/>
        <v>459205.57184748864</v>
      </c>
      <c r="AL43" s="930">
        <f t="shared" si="46"/>
        <v>35306</v>
      </c>
      <c r="AN43" s="922">
        <v>-427.68</v>
      </c>
      <c r="AO43" s="922">
        <f t="shared" si="24"/>
        <v>-404.46000000000004</v>
      </c>
      <c r="AP43" s="922">
        <f t="shared" si="25"/>
        <v>23.21999999999997</v>
      </c>
    </row>
    <row r="44" spans="1:42" s="917" customFormat="1" ht="16.149999999999999" customHeight="1">
      <c r="A44" s="918">
        <v>38</v>
      </c>
      <c r="B44" s="919" t="s">
        <v>110</v>
      </c>
      <c r="C44" s="920">
        <f>+'Table 8 Membership 2.1.14'!J40</f>
        <v>6</v>
      </c>
      <c r="D44" s="921">
        <f>'Table 3 Levels 1&amp;2'!AL41*90%</f>
        <v>1879.9215797625193</v>
      </c>
      <c r="E44" s="921">
        <f t="shared" si="26"/>
        <v>11279.529478575116</v>
      </c>
      <c r="F44" s="922">
        <f>'Table 3A Level 3'!C43*90%</f>
        <v>746.92800000000011</v>
      </c>
      <c r="G44" s="922">
        <f t="shared" si="27"/>
        <v>4481.5680000000011</v>
      </c>
      <c r="H44" s="923">
        <f t="shared" si="28"/>
        <v>15761.097478575117</v>
      </c>
      <c r="I44" s="922">
        <f>(('Table 3 Levels 1&amp;2'!AL41-D44)+('Table 3A Level 3'!C43-F44))*C44</f>
        <v>1751.2330531750126</v>
      </c>
      <c r="J44" s="922">
        <f>'[1]Oct midyear LAVCA'!K41</f>
        <v>2626.8495797625192</v>
      </c>
      <c r="K44" s="922">
        <f>'[1]Feb midyear LAVCA'!K41</f>
        <v>-2626.8495797625192</v>
      </c>
      <c r="L44" s="924">
        <f t="shared" si="29"/>
        <v>0</v>
      </c>
      <c r="M44" s="923">
        <f t="shared" si="30"/>
        <v>15761.097478575117</v>
      </c>
      <c r="N44" s="922">
        <f t="shared" si="31"/>
        <v>-39.402743696437796</v>
      </c>
      <c r="O44" s="923">
        <f t="shared" si="32"/>
        <v>15721.69473487868</v>
      </c>
      <c r="P44" s="925">
        <v>0</v>
      </c>
      <c r="Q44" s="923">
        <f t="shared" si="33"/>
        <v>15721.69473487868</v>
      </c>
      <c r="R44" s="922">
        <f>8*'[2]Table 5C2 - LA Virtual Admy'!T43</f>
        <v>10480</v>
      </c>
      <c r="S44" s="922">
        <f t="shared" si="34"/>
        <v>5241.6947348786798</v>
      </c>
      <c r="T44" s="923">
        <f t="shared" si="35"/>
        <v>1310</v>
      </c>
      <c r="U44" s="923">
        <f t="shared" si="23"/>
        <v>15721.69473487868</v>
      </c>
      <c r="V44" s="926">
        <f>'Table 5C1A-Madison Prep'!U44*90%</f>
        <v>9954</v>
      </c>
      <c r="W44" s="927">
        <f t="shared" si="36"/>
        <v>59724</v>
      </c>
      <c r="X44" s="920">
        <f>'[1]Oct midyear LAVCA'!E41</f>
        <v>1</v>
      </c>
      <c r="Y44" s="928">
        <f t="shared" si="37"/>
        <v>9954</v>
      </c>
      <c r="Z44" s="1006">
        <f>'[1]Feb midyear LAVCA'!E41</f>
        <v>-2</v>
      </c>
      <c r="AA44" s="928">
        <f t="shared" si="38"/>
        <v>-9954</v>
      </c>
      <c r="AB44" s="929">
        <f t="shared" si="39"/>
        <v>0</v>
      </c>
      <c r="AC44" s="927">
        <f t="shared" si="40"/>
        <v>59724</v>
      </c>
      <c r="AD44" s="928">
        <f t="shared" si="41"/>
        <v>-149.31</v>
      </c>
      <c r="AE44" s="927">
        <f t="shared" si="42"/>
        <v>59574.69</v>
      </c>
      <c r="AF44" s="926">
        <v>0</v>
      </c>
      <c r="AG44" s="927">
        <f t="shared" si="43"/>
        <v>59574.69</v>
      </c>
      <c r="AH44" s="928">
        <f>8*'[2]Table 5C2 - LA Virtual Admy'!AJ43</f>
        <v>40864</v>
      </c>
      <c r="AI44" s="928">
        <f t="shared" si="44"/>
        <v>18710.690000000002</v>
      </c>
      <c r="AJ44" s="927">
        <f t="shared" si="45"/>
        <v>4678</v>
      </c>
      <c r="AK44" s="930">
        <f t="shared" si="21"/>
        <v>75296.38473487868</v>
      </c>
      <c r="AL44" s="930">
        <f t="shared" si="46"/>
        <v>5988</v>
      </c>
      <c r="AN44" s="922">
        <v>-153.61650000000003</v>
      </c>
      <c r="AO44" s="922">
        <f t="shared" si="24"/>
        <v>-149.31</v>
      </c>
      <c r="AP44" s="922">
        <f t="shared" si="25"/>
        <v>4.3065000000000282</v>
      </c>
    </row>
    <row r="45" spans="1:42" s="917" customFormat="1" ht="16.149999999999999" customHeight="1">
      <c r="A45" s="918">
        <v>39</v>
      </c>
      <c r="B45" s="919" t="s">
        <v>111</v>
      </c>
      <c r="C45" s="920">
        <f>+'Table 8 Membership 2.1.14'!J41</f>
        <v>5</v>
      </c>
      <c r="D45" s="921">
        <f>'Table 3 Levels 1&amp;2'!AL42*90%</f>
        <v>3291.2151128366108</v>
      </c>
      <c r="E45" s="921">
        <f t="shared" si="26"/>
        <v>16456.075564183055</v>
      </c>
      <c r="F45" s="922">
        <f>'Table 3A Level 3'!C44*90%</f>
        <v>701.69015738498763</v>
      </c>
      <c r="G45" s="922">
        <f t="shared" si="27"/>
        <v>3508.4507869249383</v>
      </c>
      <c r="H45" s="923">
        <f t="shared" si="28"/>
        <v>19964.526351107994</v>
      </c>
      <c r="I45" s="922">
        <f>(('Table 3 Levels 1&amp;2'!AL42-D45)+('Table 3A Level 3'!C44-F45))*C45</f>
        <v>2218.2807056786651</v>
      </c>
      <c r="J45" s="922">
        <f>'[1]Oct midyear LAVCA'!K42</f>
        <v>-7985.8105404431972</v>
      </c>
      <c r="K45" s="922">
        <f>'[1]Feb midyear LAVCA'!K42</f>
        <v>3992.9052702215986</v>
      </c>
      <c r="L45" s="924">
        <f t="shared" si="29"/>
        <v>-3992.9052702215986</v>
      </c>
      <c r="M45" s="923">
        <f t="shared" si="30"/>
        <v>15971.621080886394</v>
      </c>
      <c r="N45" s="922">
        <f t="shared" si="31"/>
        <v>-39.929052702215984</v>
      </c>
      <c r="O45" s="923">
        <f t="shared" si="32"/>
        <v>15931.692028184178</v>
      </c>
      <c r="P45" s="925">
        <v>-2876.4013667720719</v>
      </c>
      <c r="Q45" s="923">
        <f t="shared" si="33"/>
        <v>13055.290661412106</v>
      </c>
      <c r="R45" s="922">
        <f>8*'[2]Table 5C2 - LA Virtual Admy'!T44</f>
        <v>11360</v>
      </c>
      <c r="S45" s="922">
        <f t="shared" si="34"/>
        <v>1695.2906614121057</v>
      </c>
      <c r="T45" s="923">
        <f t="shared" si="35"/>
        <v>424</v>
      </c>
      <c r="U45" s="923">
        <f t="shared" si="23"/>
        <v>13055.290661412106</v>
      </c>
      <c r="V45" s="926">
        <f>'Table 5C1A-Madison Prep'!U45*90%</f>
        <v>4429.8</v>
      </c>
      <c r="W45" s="927">
        <f t="shared" si="36"/>
        <v>22149</v>
      </c>
      <c r="X45" s="920">
        <f>'[1]Oct midyear LAVCA'!E42</f>
        <v>-2</v>
      </c>
      <c r="Y45" s="928">
        <f t="shared" si="37"/>
        <v>-8859.6</v>
      </c>
      <c r="Z45" s="1006">
        <f>'[1]Feb midyear LAVCA'!E42</f>
        <v>2</v>
      </c>
      <c r="AA45" s="928">
        <f t="shared" si="38"/>
        <v>4429.8</v>
      </c>
      <c r="AB45" s="929">
        <f t="shared" si="39"/>
        <v>-4429.8</v>
      </c>
      <c r="AC45" s="927">
        <f t="shared" si="40"/>
        <v>17719.2</v>
      </c>
      <c r="AD45" s="928">
        <f t="shared" si="41"/>
        <v>-44.298000000000002</v>
      </c>
      <c r="AE45" s="927">
        <f t="shared" si="42"/>
        <v>17674.902000000002</v>
      </c>
      <c r="AF45" s="926">
        <v>0</v>
      </c>
      <c r="AG45" s="927">
        <f t="shared" si="43"/>
        <v>17674.902000000002</v>
      </c>
      <c r="AH45" s="928">
        <f>8*'[2]Table 5C2 - LA Virtual Admy'!AJ44</f>
        <v>14824</v>
      </c>
      <c r="AI45" s="928">
        <f t="shared" si="44"/>
        <v>2850.9020000000019</v>
      </c>
      <c r="AJ45" s="927">
        <f t="shared" si="45"/>
        <v>713</v>
      </c>
      <c r="AK45" s="930">
        <f t="shared" si="21"/>
        <v>30730.192661412108</v>
      </c>
      <c r="AL45" s="930">
        <f t="shared" si="46"/>
        <v>1137</v>
      </c>
      <c r="AN45" s="922">
        <v>-55.743749999999999</v>
      </c>
      <c r="AO45" s="922">
        <f t="shared" si="24"/>
        <v>-44.298000000000002</v>
      </c>
      <c r="AP45" s="922">
        <f t="shared" si="25"/>
        <v>11.445749999999997</v>
      </c>
    </row>
    <row r="46" spans="1:42" s="917" customFormat="1" ht="16.149999999999999" customHeight="1">
      <c r="A46" s="931">
        <v>40</v>
      </c>
      <c r="B46" s="932" t="s">
        <v>112</v>
      </c>
      <c r="C46" s="933">
        <f>+'Table 8 Membership 2.1.14'!J42</f>
        <v>59</v>
      </c>
      <c r="D46" s="934">
        <f>'Table 3 Levels 1&amp;2'!AL43*90%</f>
        <v>4609.6299257128567</v>
      </c>
      <c r="E46" s="934">
        <f t="shared" si="26"/>
        <v>271968.16561705852</v>
      </c>
      <c r="F46" s="935">
        <f>'Table 3A Level 3'!C45*90%</f>
        <v>630.24300000000005</v>
      </c>
      <c r="G46" s="935">
        <f t="shared" si="27"/>
        <v>37184.337</v>
      </c>
      <c r="H46" s="936">
        <f t="shared" si="28"/>
        <v>309152.50261705852</v>
      </c>
      <c r="I46" s="935">
        <f>(('Table 3 Levels 1&amp;2'!AL43-D46)+('Table 3A Level 3'!C45-F46))*C46</f>
        <v>34350.278068562038</v>
      </c>
      <c r="J46" s="935">
        <f>'[1]Oct midyear LAVCA'!K43</f>
        <v>-10479.745851425714</v>
      </c>
      <c r="K46" s="935">
        <f>'[1]Feb midyear LAVCA'!K43</f>
        <v>-13099.682314282143</v>
      </c>
      <c r="L46" s="937">
        <f t="shared" si="29"/>
        <v>-23579.428165707857</v>
      </c>
      <c r="M46" s="936">
        <f t="shared" si="30"/>
        <v>285573.07445135067</v>
      </c>
      <c r="N46" s="935">
        <f t="shared" si="31"/>
        <v>-713.93268612837664</v>
      </c>
      <c r="O46" s="936">
        <f t="shared" si="32"/>
        <v>284859.1417652223</v>
      </c>
      <c r="P46" s="938">
        <v>0</v>
      </c>
      <c r="Q46" s="936">
        <f t="shared" si="33"/>
        <v>284859.1417652223</v>
      </c>
      <c r="R46" s="935">
        <f>8*'[2]Table 5C2 - LA Virtual Admy'!T45</f>
        <v>205584</v>
      </c>
      <c r="S46" s="935">
        <f t="shared" si="34"/>
        <v>79275.141765222303</v>
      </c>
      <c r="T46" s="936">
        <f t="shared" si="35"/>
        <v>19819</v>
      </c>
      <c r="U46" s="936">
        <f t="shared" si="23"/>
        <v>284859.1417652223</v>
      </c>
      <c r="V46" s="939">
        <f>'Table 5C1A-Madison Prep'!U46*90%</f>
        <v>2836.8</v>
      </c>
      <c r="W46" s="940">
        <f t="shared" si="36"/>
        <v>167371.20000000001</v>
      </c>
      <c r="X46" s="933">
        <f>'[1]Oct midyear LAVCA'!E43</f>
        <v>-2</v>
      </c>
      <c r="Y46" s="941">
        <f t="shared" si="37"/>
        <v>-5673.6</v>
      </c>
      <c r="Z46" s="1007">
        <f>'[1]Feb midyear LAVCA'!E43</f>
        <v>-5</v>
      </c>
      <c r="AA46" s="941">
        <f t="shared" si="38"/>
        <v>-7092</v>
      </c>
      <c r="AB46" s="942">
        <f t="shared" si="39"/>
        <v>-12765.6</v>
      </c>
      <c r="AC46" s="940">
        <f t="shared" si="40"/>
        <v>154605.6</v>
      </c>
      <c r="AD46" s="941">
        <f t="shared" si="41"/>
        <v>-386.51400000000001</v>
      </c>
      <c r="AE46" s="940">
        <f t="shared" si="42"/>
        <v>154219.08600000001</v>
      </c>
      <c r="AF46" s="939">
        <v>0</v>
      </c>
      <c r="AG46" s="940">
        <f t="shared" si="43"/>
        <v>154219.08600000001</v>
      </c>
      <c r="AH46" s="941">
        <f>8*'[2]Table 5C2 - LA Virtual Admy'!AJ45</f>
        <v>108368</v>
      </c>
      <c r="AI46" s="941">
        <f t="shared" si="44"/>
        <v>45851.08600000001</v>
      </c>
      <c r="AJ46" s="940">
        <f t="shared" si="45"/>
        <v>11463</v>
      </c>
      <c r="AK46" s="943">
        <f t="shared" si="21"/>
        <v>439078.22776522231</v>
      </c>
      <c r="AL46" s="943">
        <f t="shared" si="46"/>
        <v>31282</v>
      </c>
      <c r="AN46" s="935">
        <v>-407.40974999999997</v>
      </c>
      <c r="AO46" s="935">
        <f t="shared" si="24"/>
        <v>-386.51400000000001</v>
      </c>
      <c r="AP46" s="935">
        <f t="shared" si="25"/>
        <v>20.895749999999964</v>
      </c>
    </row>
    <row r="47" spans="1:42" s="917" customFormat="1" ht="16.149999999999999" customHeight="1">
      <c r="A47" s="904">
        <v>41</v>
      </c>
      <c r="B47" s="905" t="s">
        <v>113</v>
      </c>
      <c r="C47" s="906">
        <f>+'Table 8 Membership 2.1.14'!J43</f>
        <v>0</v>
      </c>
      <c r="D47" s="907">
        <f>'Table 3 Levels 1&amp;2'!AL44*90%</f>
        <v>2962.0753717244829</v>
      </c>
      <c r="E47" s="907">
        <f t="shared" si="26"/>
        <v>0</v>
      </c>
      <c r="F47" s="908">
        <f>'Table 3A Level 3'!C46*90%</f>
        <v>797.59800000000007</v>
      </c>
      <c r="G47" s="908">
        <f t="shared" si="27"/>
        <v>0</v>
      </c>
      <c r="H47" s="909">
        <f t="shared" si="28"/>
        <v>0</v>
      </c>
      <c r="I47" s="908">
        <f>(('Table 3 Levels 1&amp;2'!AL44-D47)+('Table 3A Level 3'!C46-F47))*C47</f>
        <v>0</v>
      </c>
      <c r="J47" s="908">
        <f>'[1]Oct midyear LAVCA'!K44</f>
        <v>30077.386973795863</v>
      </c>
      <c r="K47" s="908">
        <f>'[1]Feb midyear LAVCA'!K44</f>
        <v>0</v>
      </c>
      <c r="L47" s="910">
        <f t="shared" si="29"/>
        <v>30077.386973795863</v>
      </c>
      <c r="M47" s="909">
        <f t="shared" si="30"/>
        <v>30077.386973795863</v>
      </c>
      <c r="N47" s="908">
        <f t="shared" si="31"/>
        <v>-75.193467434489662</v>
      </c>
      <c r="O47" s="909">
        <f t="shared" si="32"/>
        <v>30002.193506361375</v>
      </c>
      <c r="P47" s="911">
        <v>0</v>
      </c>
      <c r="Q47" s="909">
        <f t="shared" si="33"/>
        <v>30002.193506361375</v>
      </c>
      <c r="R47" s="908">
        <f>8*'[2]Table 5C2 - LA Virtual Admy'!T46</f>
        <v>0</v>
      </c>
      <c r="S47" s="908">
        <f t="shared" si="34"/>
        <v>30002.193506361375</v>
      </c>
      <c r="T47" s="909">
        <f t="shared" si="35"/>
        <v>7501</v>
      </c>
      <c r="U47" s="909">
        <f t="shared" si="23"/>
        <v>30002.193506361375</v>
      </c>
      <c r="V47" s="912">
        <f>'Table 5C1A-Madison Prep'!U47*90%</f>
        <v>8479.8000000000011</v>
      </c>
      <c r="W47" s="913">
        <f t="shared" si="36"/>
        <v>0</v>
      </c>
      <c r="X47" s="906">
        <f>'[1]Oct midyear LAVCA'!E44</f>
        <v>8</v>
      </c>
      <c r="Y47" s="914">
        <f t="shared" si="37"/>
        <v>67838.400000000009</v>
      </c>
      <c r="Z47" s="1005">
        <f>'[1]Feb midyear LAVCA'!E44</f>
        <v>0</v>
      </c>
      <c r="AA47" s="914">
        <f t="shared" si="38"/>
        <v>0</v>
      </c>
      <c r="AB47" s="915">
        <f t="shared" si="39"/>
        <v>67838.400000000009</v>
      </c>
      <c r="AC47" s="913">
        <f t="shared" si="40"/>
        <v>67838.400000000009</v>
      </c>
      <c r="AD47" s="914">
        <f t="shared" si="41"/>
        <v>-169.59600000000003</v>
      </c>
      <c r="AE47" s="913">
        <f t="shared" si="42"/>
        <v>67668.804000000004</v>
      </c>
      <c r="AF47" s="912">
        <v>0</v>
      </c>
      <c r="AG47" s="913">
        <f t="shared" si="43"/>
        <v>67668.804000000004</v>
      </c>
      <c r="AH47" s="914">
        <f>8*'[2]Table 5C2 - LA Virtual Admy'!AJ46</f>
        <v>0</v>
      </c>
      <c r="AI47" s="914">
        <f t="shared" si="44"/>
        <v>67668.804000000004</v>
      </c>
      <c r="AJ47" s="913">
        <f t="shared" si="45"/>
        <v>16917</v>
      </c>
      <c r="AK47" s="916">
        <f t="shared" si="21"/>
        <v>97670.997506361382</v>
      </c>
      <c r="AL47" s="916">
        <f t="shared" si="46"/>
        <v>24418</v>
      </c>
      <c r="AN47" s="908">
        <v>0</v>
      </c>
      <c r="AO47" s="908">
        <f t="shared" si="24"/>
        <v>-169.59600000000003</v>
      </c>
      <c r="AP47" s="908">
        <f t="shared" si="25"/>
        <v>-169.59600000000003</v>
      </c>
    </row>
    <row r="48" spans="1:42" s="917" customFormat="1" ht="16.149999999999999" customHeight="1">
      <c r="A48" s="918">
        <v>42</v>
      </c>
      <c r="B48" s="919" t="s">
        <v>114</v>
      </c>
      <c r="C48" s="920">
        <f>+'Table 8 Membership 2.1.14'!J44</f>
        <v>5</v>
      </c>
      <c r="D48" s="921">
        <f>'Table 3 Levels 1&amp;2'!AL45*90%</f>
        <v>4602.2469976231814</v>
      </c>
      <c r="E48" s="921">
        <f t="shared" si="26"/>
        <v>23011.234988115906</v>
      </c>
      <c r="F48" s="922">
        <f>'Table 3A Level 3'!C47*90%</f>
        <v>480.85199999999998</v>
      </c>
      <c r="G48" s="922">
        <f t="shared" si="27"/>
        <v>2404.2599999999998</v>
      </c>
      <c r="H48" s="923">
        <f t="shared" si="28"/>
        <v>25415.494988115905</v>
      </c>
      <c r="I48" s="922">
        <f>(('Table 3 Levels 1&amp;2'!AL45-D48)+('Table 3A Level 3'!C47-F48))*C48</f>
        <v>2823.943887568435</v>
      </c>
      <c r="J48" s="922">
        <f>'[1]Oct midyear LAVCA'!K45</f>
        <v>-5083.0989976231813</v>
      </c>
      <c r="K48" s="922">
        <f>'[1]Feb midyear LAVCA'!K45</f>
        <v>-2541.5494988115906</v>
      </c>
      <c r="L48" s="924">
        <f t="shared" si="29"/>
        <v>-7624.6484964347719</v>
      </c>
      <c r="M48" s="923">
        <f t="shared" si="30"/>
        <v>17790.846491681132</v>
      </c>
      <c r="N48" s="922">
        <f t="shared" si="31"/>
        <v>-44.477116229202828</v>
      </c>
      <c r="O48" s="923">
        <f t="shared" si="32"/>
        <v>17746.36937545193</v>
      </c>
      <c r="P48" s="925">
        <v>0</v>
      </c>
      <c r="Q48" s="923">
        <f t="shared" si="33"/>
        <v>17746.36937545193</v>
      </c>
      <c r="R48" s="922">
        <f>8*'[2]Table 5C2 - LA Virtual Admy'!T47</f>
        <v>16904</v>
      </c>
      <c r="S48" s="922">
        <f t="shared" si="34"/>
        <v>842.36937545192995</v>
      </c>
      <c r="T48" s="923">
        <f t="shared" si="35"/>
        <v>211</v>
      </c>
      <c r="U48" s="923">
        <f t="shared" si="23"/>
        <v>17746.36937545193</v>
      </c>
      <c r="V48" s="926">
        <f>'Table 5C1A-Madison Prep'!U48*90%</f>
        <v>3073.5</v>
      </c>
      <c r="W48" s="927">
        <f t="shared" si="36"/>
        <v>15367.5</v>
      </c>
      <c r="X48" s="920">
        <f>'[1]Oct midyear LAVCA'!E45</f>
        <v>-1</v>
      </c>
      <c r="Y48" s="928">
        <f t="shared" si="37"/>
        <v>-3073.5</v>
      </c>
      <c r="Z48" s="1006">
        <f>'[1]Feb midyear LAVCA'!E45</f>
        <v>-1</v>
      </c>
      <c r="AA48" s="928">
        <f t="shared" si="38"/>
        <v>-1536.75</v>
      </c>
      <c r="AB48" s="929">
        <f t="shared" si="39"/>
        <v>-4610.25</v>
      </c>
      <c r="AC48" s="927">
        <f t="shared" si="40"/>
        <v>10757.25</v>
      </c>
      <c r="AD48" s="928">
        <f t="shared" si="41"/>
        <v>-26.893125000000001</v>
      </c>
      <c r="AE48" s="927">
        <f t="shared" si="42"/>
        <v>10730.356874999999</v>
      </c>
      <c r="AF48" s="926">
        <v>0</v>
      </c>
      <c r="AG48" s="927">
        <f t="shared" si="43"/>
        <v>10730.356874999999</v>
      </c>
      <c r="AH48" s="928">
        <f>8*'[2]Table 5C2 - LA Virtual Admy'!AJ47</f>
        <v>10704</v>
      </c>
      <c r="AI48" s="928">
        <f t="shared" si="44"/>
        <v>26.356874999999491</v>
      </c>
      <c r="AJ48" s="927">
        <f t="shared" si="45"/>
        <v>7</v>
      </c>
      <c r="AK48" s="930">
        <f t="shared" si="21"/>
        <v>28476.726250451931</v>
      </c>
      <c r="AL48" s="930">
        <f t="shared" si="46"/>
        <v>218</v>
      </c>
      <c r="AN48" s="922">
        <v>-40.252500000000005</v>
      </c>
      <c r="AO48" s="922">
        <f t="shared" si="24"/>
        <v>-26.893125000000001</v>
      </c>
      <c r="AP48" s="922">
        <f t="shared" si="25"/>
        <v>13.359375000000004</v>
      </c>
    </row>
    <row r="49" spans="1:42" s="917" customFormat="1" ht="16.149999999999999" customHeight="1">
      <c r="A49" s="918">
        <v>43</v>
      </c>
      <c r="B49" s="919" t="s">
        <v>115</v>
      </c>
      <c r="C49" s="920">
        <f>+'Table 8 Membership 2.1.14'!J45</f>
        <v>10</v>
      </c>
      <c r="D49" s="921">
        <f>'Table 3 Levels 1&amp;2'!AL46*90%</f>
        <v>5209.8694848535233</v>
      </c>
      <c r="E49" s="921">
        <f t="shared" si="26"/>
        <v>52098.694848535233</v>
      </c>
      <c r="F49" s="922">
        <f>'Table 3A Level 3'!C48*90%</f>
        <v>517.14899999999989</v>
      </c>
      <c r="G49" s="922">
        <f t="shared" si="27"/>
        <v>5171.4899999999989</v>
      </c>
      <c r="H49" s="923">
        <f t="shared" si="28"/>
        <v>57270.184848535231</v>
      </c>
      <c r="I49" s="922">
        <f>(('Table 3 Levels 1&amp;2'!AL46-D49)+('Table 3A Level 3'!C48-F49))*C49</f>
        <v>6363.3538720594679</v>
      </c>
      <c r="J49" s="922">
        <f>'[1]Oct midyear LAVCA'!K46</f>
        <v>0</v>
      </c>
      <c r="K49" s="922">
        <f>'[1]Feb midyear LAVCA'!K46</f>
        <v>14317.546212133806</v>
      </c>
      <c r="L49" s="924">
        <f t="shared" si="29"/>
        <v>14317.546212133806</v>
      </c>
      <c r="M49" s="923">
        <f t="shared" si="30"/>
        <v>71587.73106066903</v>
      </c>
      <c r="N49" s="922">
        <f t="shared" si="31"/>
        <v>-178.96932765167259</v>
      </c>
      <c r="O49" s="923">
        <f t="shared" si="32"/>
        <v>71408.761733017353</v>
      </c>
      <c r="P49" s="925">
        <v>0</v>
      </c>
      <c r="Q49" s="923">
        <f t="shared" si="33"/>
        <v>71408.761733017353</v>
      </c>
      <c r="R49" s="922">
        <f>8*'[2]Table 5C2 - LA Virtual Admy'!T48</f>
        <v>38088</v>
      </c>
      <c r="S49" s="922">
        <f t="shared" si="34"/>
        <v>33320.761733017353</v>
      </c>
      <c r="T49" s="923">
        <f t="shared" si="35"/>
        <v>8330</v>
      </c>
      <c r="U49" s="923">
        <f t="shared" si="23"/>
        <v>71408.761733017353</v>
      </c>
      <c r="V49" s="926">
        <f>'Table 5C1A-Madison Prep'!U49*90%</f>
        <v>3000.6</v>
      </c>
      <c r="W49" s="927">
        <f t="shared" si="36"/>
        <v>30006</v>
      </c>
      <c r="X49" s="920">
        <f>'[1]Oct midyear LAVCA'!E46</f>
        <v>0</v>
      </c>
      <c r="Y49" s="928">
        <f t="shared" si="37"/>
        <v>0</v>
      </c>
      <c r="Z49" s="1006">
        <f>'[1]Feb midyear LAVCA'!E46</f>
        <v>5</v>
      </c>
      <c r="AA49" s="928">
        <f t="shared" si="38"/>
        <v>7501.5</v>
      </c>
      <c r="AB49" s="929">
        <f t="shared" si="39"/>
        <v>7501.5</v>
      </c>
      <c r="AC49" s="927">
        <f t="shared" si="40"/>
        <v>37507.5</v>
      </c>
      <c r="AD49" s="928">
        <f t="shared" si="41"/>
        <v>-93.768749999999997</v>
      </c>
      <c r="AE49" s="927">
        <f t="shared" si="42"/>
        <v>37413.731249999997</v>
      </c>
      <c r="AF49" s="926">
        <v>0</v>
      </c>
      <c r="AG49" s="927">
        <f t="shared" si="43"/>
        <v>37413.731249999997</v>
      </c>
      <c r="AH49" s="928">
        <f>8*'[2]Table 5C2 - LA Virtual Admy'!AJ48</f>
        <v>19184</v>
      </c>
      <c r="AI49" s="928">
        <f t="shared" si="44"/>
        <v>18229.731249999997</v>
      </c>
      <c r="AJ49" s="927">
        <f t="shared" si="45"/>
        <v>4557</v>
      </c>
      <c r="AK49" s="930">
        <f t="shared" si="21"/>
        <v>108822.49298301735</v>
      </c>
      <c r="AL49" s="930">
        <f t="shared" si="46"/>
        <v>12887</v>
      </c>
      <c r="AN49" s="922">
        <v>-72.112499999999997</v>
      </c>
      <c r="AO49" s="922">
        <f t="shared" si="24"/>
        <v>-93.768749999999997</v>
      </c>
      <c r="AP49" s="922">
        <f t="shared" si="25"/>
        <v>-21.65625</v>
      </c>
    </row>
    <row r="50" spans="1:42" s="917" customFormat="1" ht="16.149999999999999" customHeight="1">
      <c r="A50" s="918">
        <v>44</v>
      </c>
      <c r="B50" s="919" t="s">
        <v>116</v>
      </c>
      <c r="C50" s="920">
        <f>+'Table 8 Membership 2.1.14'!J46</f>
        <v>16</v>
      </c>
      <c r="D50" s="921">
        <f>'Table 3 Levels 1&amp;2'!AL47*90%</f>
        <v>4407.8362336638329</v>
      </c>
      <c r="E50" s="921">
        <f t="shared" si="26"/>
        <v>70525.379738621326</v>
      </c>
      <c r="F50" s="922">
        <f>'Table 3A Level 3'!C49*90%</f>
        <v>596.84400000000005</v>
      </c>
      <c r="G50" s="922">
        <f t="shared" si="27"/>
        <v>9549.5040000000008</v>
      </c>
      <c r="H50" s="923">
        <f t="shared" si="28"/>
        <v>80074.883738621327</v>
      </c>
      <c r="I50" s="922">
        <f>(('Table 3 Levels 1&amp;2'!AL47-D50)+('Table 3A Level 3'!C49-F50))*C50</f>
        <v>8897.2093042912493</v>
      </c>
      <c r="J50" s="922">
        <f>'[1]Oct midyear LAVCA'!K47</f>
        <v>35032.761635646828</v>
      </c>
      <c r="K50" s="922">
        <f>'[1]Feb midyear LAVCA'!K47</f>
        <v>-10009.360467327666</v>
      </c>
      <c r="L50" s="924">
        <f t="shared" si="29"/>
        <v>25023.401168319164</v>
      </c>
      <c r="M50" s="923">
        <f t="shared" si="30"/>
        <v>105098.28490694049</v>
      </c>
      <c r="N50" s="922">
        <f t="shared" si="31"/>
        <v>-262.74571226735122</v>
      </c>
      <c r="O50" s="923">
        <f t="shared" si="32"/>
        <v>104835.53919467314</v>
      </c>
      <c r="P50" s="925">
        <v>0</v>
      </c>
      <c r="Q50" s="923">
        <f t="shared" si="33"/>
        <v>104835.53919467314</v>
      </c>
      <c r="R50" s="922">
        <f>8*'[2]Table 5C2 - LA Virtual Admy'!T49</f>
        <v>53248</v>
      </c>
      <c r="S50" s="922">
        <f t="shared" si="34"/>
        <v>51587.53919467314</v>
      </c>
      <c r="T50" s="923">
        <f t="shared" si="35"/>
        <v>12897</v>
      </c>
      <c r="U50" s="923">
        <f t="shared" si="23"/>
        <v>104835.53919467314</v>
      </c>
      <c r="V50" s="926">
        <f>'Table 5C1A-Madison Prep'!U50*90%</f>
        <v>3228.3</v>
      </c>
      <c r="W50" s="927">
        <f t="shared" si="36"/>
        <v>51652.800000000003</v>
      </c>
      <c r="X50" s="920">
        <f>'[1]Oct midyear LAVCA'!E47</f>
        <v>7</v>
      </c>
      <c r="Y50" s="928">
        <f t="shared" si="37"/>
        <v>22598.100000000002</v>
      </c>
      <c r="Z50" s="1006">
        <f>'[1]Feb midyear LAVCA'!E47</f>
        <v>-4</v>
      </c>
      <c r="AA50" s="928">
        <f t="shared" si="38"/>
        <v>-6456.6</v>
      </c>
      <c r="AB50" s="929">
        <f t="shared" si="39"/>
        <v>16141.500000000002</v>
      </c>
      <c r="AC50" s="927">
        <f t="shared" si="40"/>
        <v>67794.3</v>
      </c>
      <c r="AD50" s="928">
        <f t="shared" si="41"/>
        <v>-169.48575000000002</v>
      </c>
      <c r="AE50" s="927">
        <f t="shared" si="42"/>
        <v>67624.814249999996</v>
      </c>
      <c r="AF50" s="926">
        <v>0</v>
      </c>
      <c r="AG50" s="927">
        <f t="shared" si="43"/>
        <v>67624.814249999996</v>
      </c>
      <c r="AH50" s="928">
        <f>8*'[2]Table 5C2 - LA Virtual Admy'!AJ49</f>
        <v>35616</v>
      </c>
      <c r="AI50" s="928">
        <f t="shared" si="44"/>
        <v>32008.814249999996</v>
      </c>
      <c r="AJ50" s="927">
        <f t="shared" si="45"/>
        <v>8002</v>
      </c>
      <c r="AK50" s="930">
        <f t="shared" si="21"/>
        <v>172460.35344467312</v>
      </c>
      <c r="AL50" s="930">
        <f t="shared" si="46"/>
        <v>20899</v>
      </c>
      <c r="AN50" s="922">
        <v>-133.88399999999999</v>
      </c>
      <c r="AO50" s="922">
        <f t="shared" si="24"/>
        <v>-169.48575000000002</v>
      </c>
      <c r="AP50" s="922">
        <f t="shared" si="25"/>
        <v>-35.601750000000038</v>
      </c>
    </row>
    <row r="51" spans="1:42" s="917" customFormat="1" ht="16.149999999999999" customHeight="1">
      <c r="A51" s="931">
        <v>45</v>
      </c>
      <c r="B51" s="932" t="s">
        <v>117</v>
      </c>
      <c r="C51" s="933">
        <f>+'Table 8 Membership 2.1.14'!J47</f>
        <v>11</v>
      </c>
      <c r="D51" s="934">
        <f>'Table 3 Levels 1&amp;2'!AL48*90%</f>
        <v>1848.6425249522192</v>
      </c>
      <c r="E51" s="934">
        <f t="shared" si="26"/>
        <v>20335.06777447441</v>
      </c>
      <c r="F51" s="935">
        <f>'Table 3A Level 3'!C50*90%</f>
        <v>678.56400000000019</v>
      </c>
      <c r="G51" s="935">
        <f t="shared" si="27"/>
        <v>7464.2040000000025</v>
      </c>
      <c r="H51" s="936">
        <f t="shared" si="28"/>
        <v>27799.271774474411</v>
      </c>
      <c r="I51" s="935">
        <f>(('Table 3 Levels 1&amp;2'!AL48-D51)+('Table 3A Level 3'!C50-F51))*C51</f>
        <v>3088.8079749415997</v>
      </c>
      <c r="J51" s="935">
        <f>'[1]Oct midyear LAVCA'!K48</f>
        <v>-5054.4130499044386</v>
      </c>
      <c r="K51" s="935">
        <f>'[1]Feb midyear LAVCA'!K48</f>
        <v>3790.8097874283289</v>
      </c>
      <c r="L51" s="937">
        <f t="shared" si="29"/>
        <v>-1263.6032624761096</v>
      </c>
      <c r="M51" s="936">
        <f t="shared" si="30"/>
        <v>26535.668511998301</v>
      </c>
      <c r="N51" s="935">
        <f t="shared" si="31"/>
        <v>-66.339171279995753</v>
      </c>
      <c r="O51" s="936">
        <f t="shared" si="32"/>
        <v>26469.329340718305</v>
      </c>
      <c r="P51" s="938">
        <v>0</v>
      </c>
      <c r="Q51" s="936">
        <f t="shared" si="33"/>
        <v>26469.329340718305</v>
      </c>
      <c r="R51" s="935">
        <f>8*'[2]Table 5C2 - LA Virtual Admy'!T50</f>
        <v>18488</v>
      </c>
      <c r="S51" s="935">
        <f t="shared" si="34"/>
        <v>7981.3293407183046</v>
      </c>
      <c r="T51" s="936">
        <f t="shared" si="35"/>
        <v>1995</v>
      </c>
      <c r="U51" s="936">
        <f t="shared" si="23"/>
        <v>26469.329340718305</v>
      </c>
      <c r="V51" s="939">
        <f>'Table 5C1A-Madison Prep'!U51*90%</f>
        <v>10920.6</v>
      </c>
      <c r="W51" s="940">
        <f t="shared" si="36"/>
        <v>120126.6</v>
      </c>
      <c r="X51" s="933">
        <f>'[1]Oct midyear LAVCA'!E48</f>
        <v>-2</v>
      </c>
      <c r="Y51" s="941">
        <f t="shared" si="37"/>
        <v>-21841.200000000001</v>
      </c>
      <c r="Z51" s="1007">
        <f>'[1]Feb midyear LAVCA'!E48</f>
        <v>3</v>
      </c>
      <c r="AA51" s="941">
        <f t="shared" si="38"/>
        <v>16380.900000000001</v>
      </c>
      <c r="AB51" s="942">
        <f t="shared" si="39"/>
        <v>-5460.2999999999993</v>
      </c>
      <c r="AC51" s="940">
        <f t="shared" si="40"/>
        <v>114666.3</v>
      </c>
      <c r="AD51" s="941">
        <f t="shared" si="41"/>
        <v>-286.66575</v>
      </c>
      <c r="AE51" s="940">
        <f t="shared" si="42"/>
        <v>114379.63425</v>
      </c>
      <c r="AF51" s="939">
        <v>0</v>
      </c>
      <c r="AG51" s="940">
        <f t="shared" si="43"/>
        <v>114379.63425</v>
      </c>
      <c r="AH51" s="941">
        <f>8*'[2]Table 5C2 - LA Virtual Admy'!AJ50</f>
        <v>80112</v>
      </c>
      <c r="AI51" s="941">
        <f t="shared" si="44"/>
        <v>34267.634250000003</v>
      </c>
      <c r="AJ51" s="940">
        <f t="shared" si="45"/>
        <v>8567</v>
      </c>
      <c r="AK51" s="943">
        <f t="shared" si="21"/>
        <v>140848.96359071831</v>
      </c>
      <c r="AL51" s="943">
        <f t="shared" si="46"/>
        <v>10562</v>
      </c>
      <c r="AN51" s="935">
        <v>-301.18275</v>
      </c>
      <c r="AO51" s="935">
        <f t="shared" si="24"/>
        <v>-286.66575</v>
      </c>
      <c r="AP51" s="935">
        <f t="shared" si="25"/>
        <v>14.516999999999996</v>
      </c>
    </row>
    <row r="52" spans="1:42" s="917" customFormat="1" ht="16.149999999999999" customHeight="1">
      <c r="A52" s="904">
        <v>46</v>
      </c>
      <c r="B52" s="905" t="s">
        <v>118</v>
      </c>
      <c r="C52" s="906">
        <f>+'Table 8 Membership 2.1.14'!J48</f>
        <v>8</v>
      </c>
      <c r="D52" s="907">
        <f>'Table 3 Levels 1&amp;2'!AL49*90%</f>
        <v>5446.0930021279546</v>
      </c>
      <c r="E52" s="907">
        <f t="shared" si="26"/>
        <v>43568.744017023637</v>
      </c>
      <c r="F52" s="908">
        <f>'Table 3A Level 3'!C51*90%</f>
        <v>655.25400000000002</v>
      </c>
      <c r="G52" s="908">
        <f t="shared" si="27"/>
        <v>5242.0320000000002</v>
      </c>
      <c r="H52" s="909">
        <f t="shared" si="28"/>
        <v>48810.776017023636</v>
      </c>
      <c r="I52" s="908">
        <f>(('Table 3 Levels 1&amp;2'!AL49-D52)+('Table 3A Level 3'!C51-F52))*C52</f>
        <v>5423.4195574470677</v>
      </c>
      <c r="J52" s="908">
        <f>'[1]Oct midyear LAVCA'!K49</f>
        <v>0</v>
      </c>
      <c r="K52" s="908">
        <f>'[1]Feb midyear LAVCA'!K49</f>
        <v>-3050.6735010639773</v>
      </c>
      <c r="L52" s="910">
        <f t="shared" si="29"/>
        <v>-3050.6735010639773</v>
      </c>
      <c r="M52" s="909">
        <f t="shared" si="30"/>
        <v>45760.102515959661</v>
      </c>
      <c r="N52" s="908">
        <f t="shared" si="31"/>
        <v>-114.40025628989916</v>
      </c>
      <c r="O52" s="909">
        <f t="shared" si="32"/>
        <v>45645.702259669764</v>
      </c>
      <c r="P52" s="911">
        <v>0</v>
      </c>
      <c r="Q52" s="909">
        <f t="shared" si="33"/>
        <v>45645.702259669764</v>
      </c>
      <c r="R52" s="908">
        <f>8*'[2]Table 5C2 - LA Virtual Admy'!T51</f>
        <v>32456</v>
      </c>
      <c r="S52" s="908">
        <f t="shared" si="34"/>
        <v>13189.702259669764</v>
      </c>
      <c r="T52" s="909">
        <f t="shared" si="35"/>
        <v>3297</v>
      </c>
      <c r="U52" s="909">
        <f t="shared" si="23"/>
        <v>45645.702259669764</v>
      </c>
      <c r="V52" s="912">
        <f>'Table 5C1A-Madison Prep'!U52*90%</f>
        <v>2298.6</v>
      </c>
      <c r="W52" s="913">
        <f t="shared" si="36"/>
        <v>18388.8</v>
      </c>
      <c r="X52" s="906">
        <f>'[1]Oct midyear LAVCA'!E49</f>
        <v>0</v>
      </c>
      <c r="Y52" s="914">
        <f t="shared" si="37"/>
        <v>0</v>
      </c>
      <c r="Z52" s="1005">
        <f>'[1]Feb midyear LAVCA'!E49</f>
        <v>-1</v>
      </c>
      <c r="AA52" s="914">
        <f t="shared" si="38"/>
        <v>-1149.3</v>
      </c>
      <c r="AB52" s="915">
        <f t="shared" si="39"/>
        <v>-1149.3</v>
      </c>
      <c r="AC52" s="913">
        <f t="shared" si="40"/>
        <v>17239.5</v>
      </c>
      <c r="AD52" s="914">
        <f t="shared" si="41"/>
        <v>-43.098750000000003</v>
      </c>
      <c r="AE52" s="913">
        <f t="shared" si="42"/>
        <v>17196.401249999999</v>
      </c>
      <c r="AF52" s="912">
        <v>0</v>
      </c>
      <c r="AG52" s="913">
        <f t="shared" si="43"/>
        <v>17196.401249999999</v>
      </c>
      <c r="AH52" s="914">
        <f>8*'[2]Table 5C2 - LA Virtual Admy'!AJ51</f>
        <v>12992</v>
      </c>
      <c r="AI52" s="914">
        <f t="shared" si="44"/>
        <v>4204.401249999999</v>
      </c>
      <c r="AJ52" s="913">
        <f t="shared" si="45"/>
        <v>1051</v>
      </c>
      <c r="AK52" s="916">
        <f t="shared" si="21"/>
        <v>62842.10350966976</v>
      </c>
      <c r="AL52" s="916">
        <f t="shared" si="46"/>
        <v>4348</v>
      </c>
      <c r="AN52" s="908">
        <v>-48.834000000000003</v>
      </c>
      <c r="AO52" s="908">
        <f t="shared" si="24"/>
        <v>-43.098750000000003</v>
      </c>
      <c r="AP52" s="908">
        <f t="shared" si="25"/>
        <v>5.7352500000000006</v>
      </c>
    </row>
    <row r="53" spans="1:42" s="917" customFormat="1" ht="16.149999999999999" customHeight="1">
      <c r="A53" s="918">
        <v>47</v>
      </c>
      <c r="B53" s="919" t="s">
        <v>119</v>
      </c>
      <c r="C53" s="920">
        <f>+'Table 8 Membership 2.1.14'!J49</f>
        <v>2</v>
      </c>
      <c r="D53" s="921">
        <f>'Table 3 Levels 1&amp;2'!AL50*90%</f>
        <v>2271.7336731882065</v>
      </c>
      <c r="E53" s="921">
        <f t="shared" si="26"/>
        <v>4543.4673463764129</v>
      </c>
      <c r="F53" s="922">
        <f>'Table 3A Level 3'!C52*90%</f>
        <v>819.68399999999997</v>
      </c>
      <c r="G53" s="922">
        <f t="shared" si="27"/>
        <v>1639.3679999999999</v>
      </c>
      <c r="H53" s="923">
        <f t="shared" si="28"/>
        <v>6182.8353463764124</v>
      </c>
      <c r="I53" s="922">
        <f>(('Table 3 Levels 1&amp;2'!AL50-D53)+('Table 3A Level 3'!C52-F53))*C53</f>
        <v>686.98170515293441</v>
      </c>
      <c r="J53" s="922">
        <f>'[1]Oct midyear LAVCA'!K50</f>
        <v>-3091.4176731882062</v>
      </c>
      <c r="K53" s="922">
        <f>'[1]Feb midyear LAVCA'!K50</f>
        <v>3091.4176731882062</v>
      </c>
      <c r="L53" s="924">
        <f t="shared" si="29"/>
        <v>0</v>
      </c>
      <c r="M53" s="923">
        <f t="shared" si="30"/>
        <v>6182.8353463764124</v>
      </c>
      <c r="N53" s="922">
        <f t="shared" si="31"/>
        <v>-15.457088365941031</v>
      </c>
      <c r="O53" s="923">
        <f t="shared" si="32"/>
        <v>6167.3782580104717</v>
      </c>
      <c r="P53" s="925">
        <v>0</v>
      </c>
      <c r="Q53" s="923">
        <f t="shared" si="33"/>
        <v>6167.3782580104717</v>
      </c>
      <c r="R53" s="922">
        <f>8*'[2]Table 5C2 - LA Virtual Admy'!T52</f>
        <v>4112</v>
      </c>
      <c r="S53" s="922">
        <f t="shared" si="34"/>
        <v>2055.3782580104717</v>
      </c>
      <c r="T53" s="923">
        <f t="shared" si="35"/>
        <v>514</v>
      </c>
      <c r="U53" s="923">
        <f t="shared" si="23"/>
        <v>6167.3782580104717</v>
      </c>
      <c r="V53" s="926">
        <f>'Table 5C1A-Madison Prep'!U53*90%</f>
        <v>10355.4</v>
      </c>
      <c r="W53" s="927">
        <f t="shared" si="36"/>
        <v>20710.8</v>
      </c>
      <c r="X53" s="920">
        <f>'[1]Oct midyear LAVCA'!E50</f>
        <v>-1</v>
      </c>
      <c r="Y53" s="928">
        <f t="shared" si="37"/>
        <v>-10355.4</v>
      </c>
      <c r="Z53" s="1006">
        <f>'[1]Feb midyear LAVCA'!E50</f>
        <v>2</v>
      </c>
      <c r="AA53" s="928">
        <f t="shared" si="38"/>
        <v>10355.4</v>
      </c>
      <c r="AB53" s="929">
        <f t="shared" si="39"/>
        <v>0</v>
      </c>
      <c r="AC53" s="927">
        <f t="shared" si="40"/>
        <v>20710.8</v>
      </c>
      <c r="AD53" s="928">
        <f t="shared" si="41"/>
        <v>-51.777000000000001</v>
      </c>
      <c r="AE53" s="927">
        <f t="shared" si="42"/>
        <v>20659.023000000001</v>
      </c>
      <c r="AF53" s="926">
        <v>0</v>
      </c>
      <c r="AG53" s="927">
        <f t="shared" si="43"/>
        <v>20659.023000000001</v>
      </c>
      <c r="AH53" s="928">
        <f>8*'[2]Table 5C2 - LA Virtual Admy'!AJ52</f>
        <v>14008</v>
      </c>
      <c r="AI53" s="928">
        <f t="shared" si="44"/>
        <v>6651.023000000001</v>
      </c>
      <c r="AJ53" s="927">
        <f t="shared" si="45"/>
        <v>1663</v>
      </c>
      <c r="AK53" s="930">
        <f t="shared" si="21"/>
        <v>26826.401258010472</v>
      </c>
      <c r="AL53" s="930">
        <f t="shared" si="46"/>
        <v>2177</v>
      </c>
      <c r="AN53" s="922">
        <v>-52.654499999999999</v>
      </c>
      <c r="AO53" s="922">
        <f t="shared" si="24"/>
        <v>-51.777000000000001</v>
      </c>
      <c r="AP53" s="922">
        <f t="shared" si="25"/>
        <v>0.87749999999999773</v>
      </c>
    </row>
    <row r="54" spans="1:42" s="917" customFormat="1" ht="16.149999999999999" customHeight="1">
      <c r="A54" s="918">
        <v>48</v>
      </c>
      <c r="B54" s="919" t="s">
        <v>144</v>
      </c>
      <c r="C54" s="920">
        <f>+'Table 8 Membership 2.1.14'!J50</f>
        <v>25</v>
      </c>
      <c r="D54" s="921">
        <f>'Table 3 Levels 1&amp;2'!AL51*90%</f>
        <v>3585.022427682065</v>
      </c>
      <c r="E54" s="921">
        <f t="shared" si="26"/>
        <v>89625.560692051629</v>
      </c>
      <c r="F54" s="922">
        <f>'Table 3A Level 3'!C53*90%</f>
        <v>783.96300000000008</v>
      </c>
      <c r="G54" s="922">
        <f t="shared" si="27"/>
        <v>19599.075000000001</v>
      </c>
      <c r="H54" s="923">
        <f t="shared" si="28"/>
        <v>109224.63569205163</v>
      </c>
      <c r="I54" s="922">
        <f>(('Table 3 Levels 1&amp;2'!AL51-D54)+('Table 3A Level 3'!C53-F54))*C54</f>
        <v>12136.070632450173</v>
      </c>
      <c r="J54" s="922">
        <f>'[1]Oct midyear LAVCA'!K51</f>
        <v>4368.9854276820652</v>
      </c>
      <c r="K54" s="922">
        <f>'[1]Feb midyear LAVCA'!K51</f>
        <v>-10922.463569205163</v>
      </c>
      <c r="L54" s="924">
        <f t="shared" si="29"/>
        <v>-6553.4781415230982</v>
      </c>
      <c r="M54" s="923">
        <f t="shared" si="30"/>
        <v>102671.15755052853</v>
      </c>
      <c r="N54" s="922">
        <f t="shared" si="31"/>
        <v>-256.67789387632132</v>
      </c>
      <c r="O54" s="923">
        <f t="shared" si="32"/>
        <v>102414.47965665221</v>
      </c>
      <c r="P54" s="925">
        <v>0</v>
      </c>
      <c r="Q54" s="923">
        <f t="shared" si="33"/>
        <v>102414.47965665221</v>
      </c>
      <c r="R54" s="922">
        <f>8*'[2]Table 5C2 - LA Virtual Admy'!T53</f>
        <v>72632</v>
      </c>
      <c r="S54" s="922">
        <f t="shared" si="34"/>
        <v>29782.479656652213</v>
      </c>
      <c r="T54" s="923">
        <f t="shared" si="35"/>
        <v>7446</v>
      </c>
      <c r="U54" s="923">
        <f t="shared" si="23"/>
        <v>102414.47965665221</v>
      </c>
      <c r="V54" s="926">
        <f>'Table 5C1A-Madison Prep'!U54*90%</f>
        <v>6144.3</v>
      </c>
      <c r="W54" s="927">
        <f t="shared" si="36"/>
        <v>153607.5</v>
      </c>
      <c r="X54" s="920">
        <f>'[1]Oct midyear LAVCA'!E51</f>
        <v>1</v>
      </c>
      <c r="Y54" s="928">
        <f t="shared" si="37"/>
        <v>6144.3</v>
      </c>
      <c r="Z54" s="1006">
        <f>'[1]Feb midyear LAVCA'!E51</f>
        <v>-5</v>
      </c>
      <c r="AA54" s="928">
        <f t="shared" si="38"/>
        <v>-15360.75</v>
      </c>
      <c r="AB54" s="929">
        <f t="shared" si="39"/>
        <v>-9216.4500000000007</v>
      </c>
      <c r="AC54" s="927">
        <f t="shared" si="40"/>
        <v>144391.04999999999</v>
      </c>
      <c r="AD54" s="928">
        <f t="shared" si="41"/>
        <v>-360.97762499999999</v>
      </c>
      <c r="AE54" s="927">
        <f t="shared" si="42"/>
        <v>144030.07237499999</v>
      </c>
      <c r="AF54" s="926">
        <v>0</v>
      </c>
      <c r="AG54" s="927">
        <f t="shared" si="43"/>
        <v>144030.07237499999</v>
      </c>
      <c r="AH54" s="928">
        <f>8*'[2]Table 5C2 - LA Virtual Admy'!AJ53</f>
        <v>109792</v>
      </c>
      <c r="AI54" s="928">
        <f t="shared" si="44"/>
        <v>34238.072374999989</v>
      </c>
      <c r="AJ54" s="927">
        <f t="shared" si="45"/>
        <v>8560</v>
      </c>
      <c r="AK54" s="930">
        <f t="shared" si="21"/>
        <v>246444.55203165219</v>
      </c>
      <c r="AL54" s="930">
        <f t="shared" si="46"/>
        <v>16006</v>
      </c>
      <c r="AN54" s="922">
        <v>-412.76249999999999</v>
      </c>
      <c r="AO54" s="922">
        <f t="shared" si="24"/>
        <v>-360.97762499999999</v>
      </c>
      <c r="AP54" s="922">
        <f t="shared" si="25"/>
        <v>51.784875</v>
      </c>
    </row>
    <row r="55" spans="1:42" s="917" customFormat="1" ht="16.149999999999999" customHeight="1">
      <c r="A55" s="918">
        <v>49</v>
      </c>
      <c r="B55" s="919" t="s">
        <v>120</v>
      </c>
      <c r="C55" s="920">
        <f>+'Table 8 Membership 2.1.14'!J51</f>
        <v>67</v>
      </c>
      <c r="D55" s="921">
        <f>'Table 3 Levels 1&amp;2'!AL52*90%</f>
        <v>4496.2879784093275</v>
      </c>
      <c r="E55" s="921">
        <f t="shared" si="26"/>
        <v>301251.29455342493</v>
      </c>
      <c r="F55" s="922">
        <f>'Table 3A Level 3'!C54*90%</f>
        <v>516.99599999999998</v>
      </c>
      <c r="G55" s="922">
        <f t="shared" si="27"/>
        <v>34638.731999999996</v>
      </c>
      <c r="H55" s="923">
        <f t="shared" si="28"/>
        <v>335890.02655342495</v>
      </c>
      <c r="I55" s="922">
        <f>(('Table 3 Levels 1&amp;2'!AL52-D55)+('Table 3A Level 3'!C54-F55))*C55</f>
        <v>37321.114061491637</v>
      </c>
      <c r="J55" s="922">
        <f>'[1]Oct midyear LAVCA'!K52</f>
        <v>160425.08730909848</v>
      </c>
      <c r="K55" s="922">
        <f>'[1]Feb midyear LAVCA'!K52</f>
        <v>-40106.271827274621</v>
      </c>
      <c r="L55" s="924">
        <f t="shared" si="29"/>
        <v>120318.81548182387</v>
      </c>
      <c r="M55" s="923">
        <f t="shared" si="30"/>
        <v>456208.84203524882</v>
      </c>
      <c r="N55" s="922">
        <f t="shared" si="31"/>
        <v>-1140.5221050881221</v>
      </c>
      <c r="O55" s="923">
        <f t="shared" si="32"/>
        <v>455068.31993016071</v>
      </c>
      <c r="P55" s="925">
        <v>-4529.1390381840029</v>
      </c>
      <c r="Q55" s="923">
        <f t="shared" si="33"/>
        <v>450539.18089197669</v>
      </c>
      <c r="R55" s="922">
        <f>8*'[2]Table 5C2 - LA Virtual Admy'!T54</f>
        <v>220344</v>
      </c>
      <c r="S55" s="922">
        <f t="shared" si="34"/>
        <v>230195.18089197669</v>
      </c>
      <c r="T55" s="923">
        <f t="shared" si="35"/>
        <v>57549</v>
      </c>
      <c r="U55" s="923">
        <f t="shared" si="23"/>
        <v>450539.18089197669</v>
      </c>
      <c r="V55" s="926">
        <f>'Table 5C1A-Madison Prep'!U55*90%</f>
        <v>2159.1</v>
      </c>
      <c r="W55" s="927">
        <f t="shared" si="36"/>
        <v>144659.69999999998</v>
      </c>
      <c r="X55" s="920">
        <f>'[1]Oct midyear LAVCA'!E52</f>
        <v>32</v>
      </c>
      <c r="Y55" s="928">
        <f t="shared" si="37"/>
        <v>69091.199999999997</v>
      </c>
      <c r="Z55" s="1006">
        <f>'[1]Feb midyear LAVCA'!E52</f>
        <v>-16</v>
      </c>
      <c r="AA55" s="928">
        <f t="shared" si="38"/>
        <v>-17272.8</v>
      </c>
      <c r="AB55" s="929">
        <f t="shared" si="39"/>
        <v>51818.399999999994</v>
      </c>
      <c r="AC55" s="927">
        <f t="shared" si="40"/>
        <v>196478.09999999998</v>
      </c>
      <c r="AD55" s="928">
        <f t="shared" si="41"/>
        <v>-491.19524999999993</v>
      </c>
      <c r="AE55" s="927">
        <f t="shared" si="42"/>
        <v>195986.90474999999</v>
      </c>
      <c r="AF55" s="926">
        <v>0</v>
      </c>
      <c r="AG55" s="927">
        <f t="shared" si="43"/>
        <v>195986.90474999999</v>
      </c>
      <c r="AH55" s="928">
        <f>8*'[2]Table 5C2 - LA Virtual Admy'!AJ54</f>
        <v>94352</v>
      </c>
      <c r="AI55" s="928">
        <f t="shared" si="44"/>
        <v>101634.90474999999</v>
      </c>
      <c r="AJ55" s="927">
        <f t="shared" si="45"/>
        <v>25409</v>
      </c>
      <c r="AK55" s="930">
        <f t="shared" si="21"/>
        <v>646526.08564197668</v>
      </c>
      <c r="AL55" s="930">
        <f t="shared" si="46"/>
        <v>82958</v>
      </c>
      <c r="AN55" s="922">
        <v>-354.71475000000004</v>
      </c>
      <c r="AO55" s="922">
        <f t="shared" si="24"/>
        <v>-491.19524999999993</v>
      </c>
      <c r="AP55" s="922">
        <f t="shared" si="25"/>
        <v>-136.48049999999989</v>
      </c>
    </row>
    <row r="56" spans="1:42" s="917" customFormat="1" ht="16.149999999999999" customHeight="1">
      <c r="A56" s="931">
        <v>50</v>
      </c>
      <c r="B56" s="932" t="s">
        <v>121</v>
      </c>
      <c r="C56" s="933">
        <f>+'Table 8 Membership 2.1.14'!J52</f>
        <v>24</v>
      </c>
      <c r="D56" s="934">
        <f>'Table 3 Levels 1&amp;2'!AL53*90%</f>
        <v>4659.9203450431514</v>
      </c>
      <c r="E56" s="934">
        <f t="shared" si="26"/>
        <v>111838.08828103563</v>
      </c>
      <c r="F56" s="935">
        <f>'Table 3A Level 3'!C55*90%</f>
        <v>571.01400000000001</v>
      </c>
      <c r="G56" s="935">
        <f t="shared" si="27"/>
        <v>13704.335999999999</v>
      </c>
      <c r="H56" s="936">
        <f t="shared" si="28"/>
        <v>125542.42428103562</v>
      </c>
      <c r="I56" s="935">
        <f>(('Table 3 Levels 1&amp;2'!AL53-D56)+('Table 3A Level 3'!C55-F56))*C56</f>
        <v>13949.158253448393</v>
      </c>
      <c r="J56" s="935">
        <f>'[1]Oct midyear LAVCA'!K53</f>
        <v>-26154.671725215758</v>
      </c>
      <c r="K56" s="935">
        <f>'[1]Feb midyear LAVCA'!K53</f>
        <v>0</v>
      </c>
      <c r="L56" s="937">
        <f t="shared" si="29"/>
        <v>-26154.671725215758</v>
      </c>
      <c r="M56" s="936">
        <f t="shared" si="30"/>
        <v>99387.752555819869</v>
      </c>
      <c r="N56" s="935">
        <f t="shared" si="31"/>
        <v>-248.46938138954968</v>
      </c>
      <c r="O56" s="936">
        <f t="shared" si="32"/>
        <v>99139.283174430326</v>
      </c>
      <c r="P56" s="938">
        <v>0</v>
      </c>
      <c r="Q56" s="936">
        <f t="shared" si="33"/>
        <v>99139.283174430326</v>
      </c>
      <c r="R56" s="935">
        <f>8*'[2]Table 5C2 - LA Virtual Admy'!T55</f>
        <v>83488</v>
      </c>
      <c r="S56" s="935">
        <f t="shared" si="34"/>
        <v>15651.283174430326</v>
      </c>
      <c r="T56" s="936">
        <f t="shared" si="35"/>
        <v>3913</v>
      </c>
      <c r="U56" s="936">
        <f t="shared" si="23"/>
        <v>99139.283174430326</v>
      </c>
      <c r="V56" s="939">
        <f>'Table 5C1A-Madison Prep'!U56*90%</f>
        <v>3071.7000000000003</v>
      </c>
      <c r="W56" s="940">
        <f t="shared" si="36"/>
        <v>73720.800000000003</v>
      </c>
      <c r="X56" s="933">
        <f>'[1]Oct midyear LAVCA'!E53</f>
        <v>-5</v>
      </c>
      <c r="Y56" s="941">
        <f t="shared" si="37"/>
        <v>-15358.500000000002</v>
      </c>
      <c r="Z56" s="1007">
        <f>'[1]Feb midyear LAVCA'!E53</f>
        <v>0</v>
      </c>
      <c r="AA56" s="941">
        <f t="shared" si="38"/>
        <v>0</v>
      </c>
      <c r="AB56" s="942">
        <f t="shared" si="39"/>
        <v>-15358.500000000002</v>
      </c>
      <c r="AC56" s="940">
        <f t="shared" si="40"/>
        <v>58362.3</v>
      </c>
      <c r="AD56" s="941">
        <f t="shared" si="41"/>
        <v>-145.90575000000001</v>
      </c>
      <c r="AE56" s="940">
        <f t="shared" si="42"/>
        <v>58216.394250000005</v>
      </c>
      <c r="AF56" s="939">
        <v>0</v>
      </c>
      <c r="AG56" s="940">
        <f t="shared" si="43"/>
        <v>58216.394250000005</v>
      </c>
      <c r="AH56" s="941">
        <f>8*'[2]Table 5C2 - LA Virtual Admy'!AJ55</f>
        <v>50416</v>
      </c>
      <c r="AI56" s="941">
        <f t="shared" si="44"/>
        <v>7800.3942500000048</v>
      </c>
      <c r="AJ56" s="940">
        <f t="shared" si="45"/>
        <v>1950</v>
      </c>
      <c r="AK56" s="943">
        <f t="shared" si="21"/>
        <v>157355.67742443032</v>
      </c>
      <c r="AL56" s="943">
        <f t="shared" si="46"/>
        <v>5863</v>
      </c>
      <c r="AN56" s="935">
        <v>-189.54</v>
      </c>
      <c r="AO56" s="935">
        <f t="shared" si="24"/>
        <v>-145.90575000000001</v>
      </c>
      <c r="AP56" s="935">
        <f t="shared" si="25"/>
        <v>43.63424999999998</v>
      </c>
    </row>
    <row r="57" spans="1:42" s="917" customFormat="1" ht="16.149999999999999" customHeight="1">
      <c r="A57" s="904">
        <v>51</v>
      </c>
      <c r="B57" s="905" t="s">
        <v>122</v>
      </c>
      <c r="C57" s="906">
        <f>+'Table 8 Membership 2.1.14'!J53</f>
        <v>18</v>
      </c>
      <c r="D57" s="907">
        <f>'Table 3 Levels 1&amp;2'!AL54*90%</f>
        <v>3738.7735741961096</v>
      </c>
      <c r="E57" s="907">
        <f t="shared" si="26"/>
        <v>67297.92433552997</v>
      </c>
      <c r="F57" s="908">
        <f>'Table 3A Level 3'!C56*90%</f>
        <v>635.99400000000003</v>
      </c>
      <c r="G57" s="908">
        <f t="shared" si="27"/>
        <v>11447.892</v>
      </c>
      <c r="H57" s="909">
        <f t="shared" si="28"/>
        <v>78745.816335529962</v>
      </c>
      <c r="I57" s="908">
        <f>(('Table 3 Levels 1&amp;2'!AL54-D57)+('Table 3A Level 3'!C56-F57))*C57</f>
        <v>8749.5351483922186</v>
      </c>
      <c r="J57" s="908">
        <f>'[1]Oct midyear LAVCA'!K54</f>
        <v>-4374.7675741961093</v>
      </c>
      <c r="K57" s="908">
        <f>'[1]Feb midyear LAVCA'!K54</f>
        <v>-10936.918935490274</v>
      </c>
      <c r="L57" s="910">
        <f t="shared" si="29"/>
        <v>-15311.686509686384</v>
      </c>
      <c r="M57" s="909">
        <f t="shared" si="30"/>
        <v>63434.129825843578</v>
      </c>
      <c r="N57" s="908">
        <f t="shared" si="31"/>
        <v>-158.58532456460895</v>
      </c>
      <c r="O57" s="909">
        <f t="shared" si="32"/>
        <v>63275.544501278971</v>
      </c>
      <c r="P57" s="911">
        <v>0</v>
      </c>
      <c r="Q57" s="909">
        <f t="shared" si="33"/>
        <v>63275.544501278971</v>
      </c>
      <c r="R57" s="908">
        <f>8*'[2]Table 5C2 - LA Virtual Admy'!T56</f>
        <v>52368</v>
      </c>
      <c r="S57" s="908">
        <f t="shared" si="34"/>
        <v>10907.544501278971</v>
      </c>
      <c r="T57" s="909">
        <f t="shared" si="35"/>
        <v>2727</v>
      </c>
      <c r="U57" s="909">
        <f t="shared" si="23"/>
        <v>63275.544501278971</v>
      </c>
      <c r="V57" s="912">
        <f>'Table 5C1A-Madison Prep'!U57*90%</f>
        <v>4060.8</v>
      </c>
      <c r="W57" s="913">
        <f t="shared" si="36"/>
        <v>73094.400000000009</v>
      </c>
      <c r="X57" s="906">
        <f>'[1]Oct midyear LAVCA'!E54</f>
        <v>-1</v>
      </c>
      <c r="Y57" s="914">
        <f t="shared" si="37"/>
        <v>-4060.8</v>
      </c>
      <c r="Z57" s="1005">
        <f>'[1]Feb midyear LAVCA'!E54</f>
        <v>-5</v>
      </c>
      <c r="AA57" s="914">
        <f t="shared" si="38"/>
        <v>-10152</v>
      </c>
      <c r="AB57" s="915">
        <f t="shared" si="39"/>
        <v>-14212.8</v>
      </c>
      <c r="AC57" s="913">
        <f t="shared" si="40"/>
        <v>58881.600000000006</v>
      </c>
      <c r="AD57" s="914">
        <f t="shared" si="41"/>
        <v>-147.20400000000001</v>
      </c>
      <c r="AE57" s="913">
        <f t="shared" si="42"/>
        <v>58734.396000000008</v>
      </c>
      <c r="AF57" s="912">
        <v>0</v>
      </c>
      <c r="AG57" s="913">
        <f t="shared" si="43"/>
        <v>58734.396000000008</v>
      </c>
      <c r="AH57" s="914">
        <f>8*'[2]Table 5C2 - LA Virtual Admy'!AJ56</f>
        <v>49520</v>
      </c>
      <c r="AI57" s="914">
        <f t="shared" si="44"/>
        <v>9214.3960000000079</v>
      </c>
      <c r="AJ57" s="913">
        <f t="shared" si="45"/>
        <v>2304</v>
      </c>
      <c r="AK57" s="916">
        <f t="shared" si="21"/>
        <v>122009.94050127898</v>
      </c>
      <c r="AL57" s="916">
        <f t="shared" si="46"/>
        <v>5031</v>
      </c>
      <c r="AN57" s="908">
        <v>-186.17850000000001</v>
      </c>
      <c r="AO57" s="908">
        <f t="shared" si="24"/>
        <v>-147.20400000000001</v>
      </c>
      <c r="AP57" s="908">
        <f t="shared" si="25"/>
        <v>38.974500000000006</v>
      </c>
    </row>
    <row r="58" spans="1:42" s="917" customFormat="1" ht="16.149999999999999" customHeight="1">
      <c r="A58" s="918">
        <v>52</v>
      </c>
      <c r="B58" s="919" t="s">
        <v>123</v>
      </c>
      <c r="C58" s="920">
        <f>+'Table 8 Membership 2.1.14'!J54</f>
        <v>97</v>
      </c>
      <c r="D58" s="921">
        <f>'Table 3 Levels 1&amp;2'!AL55*90%</f>
        <v>4556.0471260705353</v>
      </c>
      <c r="E58" s="921">
        <f t="shared" si="26"/>
        <v>441936.5712288419</v>
      </c>
      <c r="F58" s="922">
        <f>'Table 3A Level 3'!C57*90%</f>
        <v>592.53300000000002</v>
      </c>
      <c r="G58" s="922">
        <f t="shared" si="27"/>
        <v>57475.701000000001</v>
      </c>
      <c r="H58" s="923">
        <f t="shared" si="28"/>
        <v>499412.2722288419</v>
      </c>
      <c r="I58" s="922">
        <f>(('Table 3 Levels 1&amp;2'!AL55-D58)+('Table 3A Level 3'!C57-F58))*C58</f>
        <v>55490.252469871353</v>
      </c>
      <c r="J58" s="922">
        <f>'[1]Oct midyear LAVCA'!K55</f>
        <v>139011.66340390447</v>
      </c>
      <c r="K58" s="922">
        <f>'[1]Feb midyear LAVCA'!K55</f>
        <v>-28317.190693387947</v>
      </c>
      <c r="L58" s="924">
        <f t="shared" si="29"/>
        <v>110694.47271051652</v>
      </c>
      <c r="M58" s="923">
        <f t="shared" si="30"/>
        <v>610106.74493935844</v>
      </c>
      <c r="N58" s="922">
        <f t="shared" si="31"/>
        <v>-1525.2668623483962</v>
      </c>
      <c r="O58" s="923">
        <f t="shared" si="32"/>
        <v>608581.47807701002</v>
      </c>
      <c r="P58" s="925">
        <v>-1825.915311891375</v>
      </c>
      <c r="Q58" s="923">
        <f t="shared" si="33"/>
        <v>606755.56276511867</v>
      </c>
      <c r="R58" s="922">
        <f>8*'[2]Table 5C2 - LA Virtual Admy'!T57</f>
        <v>330888</v>
      </c>
      <c r="S58" s="922">
        <f t="shared" si="34"/>
        <v>275867.56276511867</v>
      </c>
      <c r="T58" s="923">
        <f t="shared" si="35"/>
        <v>68967</v>
      </c>
      <c r="U58" s="923">
        <f t="shared" si="23"/>
        <v>606755.56276511867</v>
      </c>
      <c r="V58" s="926">
        <f>'Table 5C1A-Madison Prep'!U58*90%</f>
        <v>4760.1000000000004</v>
      </c>
      <c r="W58" s="927">
        <f t="shared" si="36"/>
        <v>461729.7</v>
      </c>
      <c r="X58" s="920">
        <f>'[1]Oct midyear LAVCA'!E55</f>
        <v>27</v>
      </c>
      <c r="Y58" s="928">
        <f t="shared" si="37"/>
        <v>128522.70000000001</v>
      </c>
      <c r="Z58" s="1006">
        <f>'[1]Feb midyear LAVCA'!E55</f>
        <v>-11</v>
      </c>
      <c r="AA58" s="928">
        <f t="shared" si="38"/>
        <v>-26180.550000000003</v>
      </c>
      <c r="AB58" s="929">
        <f t="shared" si="39"/>
        <v>102342.15000000001</v>
      </c>
      <c r="AC58" s="927">
        <f t="shared" si="40"/>
        <v>564071.85</v>
      </c>
      <c r="AD58" s="928">
        <f t="shared" si="41"/>
        <v>-1410.179625</v>
      </c>
      <c r="AE58" s="927">
        <f t="shared" si="42"/>
        <v>562661.67037499999</v>
      </c>
      <c r="AF58" s="926">
        <v>0</v>
      </c>
      <c r="AG58" s="927">
        <f t="shared" si="43"/>
        <v>562661.67037499999</v>
      </c>
      <c r="AH58" s="928">
        <f>8*'[2]Table 5C2 - LA Virtual Admy'!AJ57</f>
        <v>302584</v>
      </c>
      <c r="AI58" s="928">
        <f t="shared" si="44"/>
        <v>260077.67037499999</v>
      </c>
      <c r="AJ58" s="927">
        <f t="shared" si="45"/>
        <v>65019</v>
      </c>
      <c r="AK58" s="930">
        <f t="shared" si="21"/>
        <v>1169417.2331401187</v>
      </c>
      <c r="AL58" s="930">
        <f t="shared" si="46"/>
        <v>133986</v>
      </c>
      <c r="AN58" s="922">
        <v>-1137.519</v>
      </c>
      <c r="AO58" s="922">
        <f t="shared" si="24"/>
        <v>-1410.179625</v>
      </c>
      <c r="AP58" s="922">
        <f t="shared" si="25"/>
        <v>-272.66062499999998</v>
      </c>
    </row>
    <row r="59" spans="1:42" s="917" customFormat="1" ht="16.149999999999999" customHeight="1">
      <c r="A59" s="918">
        <v>53</v>
      </c>
      <c r="B59" s="919" t="s">
        <v>124</v>
      </c>
      <c r="C59" s="920">
        <f>+'Table 8 Membership 2.1.14'!J55</f>
        <v>103</v>
      </c>
      <c r="D59" s="921">
        <f>'Table 3 Levels 1&amp;2'!AL56*90%</f>
        <v>4554.1357374640938</v>
      </c>
      <c r="E59" s="921">
        <f t="shared" si="26"/>
        <v>469075.98095880169</v>
      </c>
      <c r="F59" s="922">
        <f>'Table 3A Level 3'!C58*90%</f>
        <v>620.76600000000008</v>
      </c>
      <c r="G59" s="922">
        <f t="shared" si="27"/>
        <v>63938.898000000008</v>
      </c>
      <c r="H59" s="923">
        <f t="shared" si="28"/>
        <v>533014.87895880174</v>
      </c>
      <c r="I59" s="922">
        <f>(('Table 3 Levels 1&amp;2'!AL56-D59)+('Table 3A Level 3'!C58-F59))*C59</f>
        <v>59223.875439866795</v>
      </c>
      <c r="J59" s="922">
        <f>'[1]Oct midyear LAVCA'!K56</f>
        <v>-10349.803474928187</v>
      </c>
      <c r="K59" s="922">
        <f>'[1]Feb midyear LAVCA'!K56</f>
        <v>-12937.254343660234</v>
      </c>
      <c r="L59" s="924">
        <f t="shared" si="29"/>
        <v>-23287.057818588422</v>
      </c>
      <c r="M59" s="923">
        <f t="shared" si="30"/>
        <v>509727.82114021329</v>
      </c>
      <c r="N59" s="922">
        <f t="shared" si="31"/>
        <v>-1274.3195528505332</v>
      </c>
      <c r="O59" s="923">
        <f t="shared" si="32"/>
        <v>508453.50158736273</v>
      </c>
      <c r="P59" s="925">
        <v>0</v>
      </c>
      <c r="Q59" s="923">
        <f t="shared" si="33"/>
        <v>508453.50158736273</v>
      </c>
      <c r="R59" s="922">
        <f>8*'[2]Table 5C2 - LA Virtual Admy'!T58</f>
        <v>354456</v>
      </c>
      <c r="S59" s="922">
        <f t="shared" si="34"/>
        <v>153997.50158736273</v>
      </c>
      <c r="T59" s="923">
        <f t="shared" si="35"/>
        <v>38499</v>
      </c>
      <c r="U59" s="923">
        <f t="shared" si="23"/>
        <v>508453.50158736273</v>
      </c>
      <c r="V59" s="926">
        <f>'Table 5C1A-Madison Prep'!U59*90%</f>
        <v>1890.9</v>
      </c>
      <c r="W59" s="927">
        <f t="shared" si="36"/>
        <v>194762.7</v>
      </c>
      <c r="X59" s="920">
        <f>'[1]Oct midyear LAVCA'!E56</f>
        <v>-2</v>
      </c>
      <c r="Y59" s="928">
        <f t="shared" si="37"/>
        <v>-3781.8</v>
      </c>
      <c r="Z59" s="1006">
        <f>'[1]Feb midyear LAVCA'!E56</f>
        <v>-5</v>
      </c>
      <c r="AA59" s="928">
        <f t="shared" si="38"/>
        <v>-4727.25</v>
      </c>
      <c r="AB59" s="929">
        <f t="shared" si="39"/>
        <v>-8509.0499999999993</v>
      </c>
      <c r="AC59" s="927">
        <f t="shared" si="40"/>
        <v>186253.65000000002</v>
      </c>
      <c r="AD59" s="928">
        <f t="shared" si="41"/>
        <v>-465.63412500000004</v>
      </c>
      <c r="AE59" s="927">
        <f t="shared" si="42"/>
        <v>185788.01587500001</v>
      </c>
      <c r="AF59" s="926">
        <v>0</v>
      </c>
      <c r="AG59" s="927">
        <f t="shared" si="43"/>
        <v>185788.01587500001</v>
      </c>
      <c r="AH59" s="928">
        <f>8*'[2]Table 5C2 - LA Virtual Admy'!AJ58</f>
        <v>126616</v>
      </c>
      <c r="AI59" s="928">
        <f t="shared" si="44"/>
        <v>59172.015875000012</v>
      </c>
      <c r="AJ59" s="927">
        <f t="shared" si="45"/>
        <v>14793</v>
      </c>
      <c r="AK59" s="930">
        <f t="shared" si="21"/>
        <v>694241.51746236277</v>
      </c>
      <c r="AL59" s="930">
        <f t="shared" si="46"/>
        <v>53292</v>
      </c>
      <c r="AN59" s="922">
        <v>-476.01450000000006</v>
      </c>
      <c r="AO59" s="922">
        <f t="shared" si="24"/>
        <v>-465.63412500000004</v>
      </c>
      <c r="AP59" s="922">
        <f t="shared" si="25"/>
        <v>10.380375000000015</v>
      </c>
    </row>
    <row r="60" spans="1:42" s="917" customFormat="1" ht="16.149999999999999" customHeight="1">
      <c r="A60" s="918">
        <v>54</v>
      </c>
      <c r="B60" s="919" t="s">
        <v>125</v>
      </c>
      <c r="C60" s="920">
        <f>+'Table 8 Membership 2.1.14'!J56</f>
        <v>0</v>
      </c>
      <c r="D60" s="921">
        <f>'Table 3 Levels 1&amp;2'!AL57*90%</f>
        <v>5280.3718533465044</v>
      </c>
      <c r="E60" s="921">
        <f t="shared" si="26"/>
        <v>0</v>
      </c>
      <c r="F60" s="922">
        <f>'Table 3A Level 3'!C59*90%</f>
        <v>856.30500000000006</v>
      </c>
      <c r="G60" s="922">
        <f t="shared" si="27"/>
        <v>0</v>
      </c>
      <c r="H60" s="923">
        <f t="shared" si="28"/>
        <v>0</v>
      </c>
      <c r="I60" s="922">
        <f>(('Table 3 Levels 1&amp;2'!AL57-D60)+('Table 3A Level 3'!C59-F60))*C60</f>
        <v>0</v>
      </c>
      <c r="J60" s="922">
        <f>'[1]Oct midyear LAVCA'!K57</f>
        <v>6136.6768533465047</v>
      </c>
      <c r="K60" s="922">
        <f>'[1]Feb midyear LAVCA'!K57</f>
        <v>-3068.3384266732523</v>
      </c>
      <c r="L60" s="924">
        <f t="shared" si="29"/>
        <v>3068.3384266732523</v>
      </c>
      <c r="M60" s="923">
        <f t="shared" si="30"/>
        <v>3068.3384266732523</v>
      </c>
      <c r="N60" s="922">
        <f t="shared" si="31"/>
        <v>-7.6708460666831311</v>
      </c>
      <c r="O60" s="923">
        <f t="shared" si="32"/>
        <v>3060.6675806065691</v>
      </c>
      <c r="P60" s="925">
        <v>0</v>
      </c>
      <c r="Q60" s="923">
        <f t="shared" si="33"/>
        <v>3060.6675806065691</v>
      </c>
      <c r="R60" s="922">
        <f>8*'[2]Table 5C2 - LA Virtual Admy'!T59</f>
        <v>0</v>
      </c>
      <c r="S60" s="922">
        <f t="shared" si="34"/>
        <v>3060.6675806065691</v>
      </c>
      <c r="T60" s="923">
        <f t="shared" si="35"/>
        <v>765</v>
      </c>
      <c r="U60" s="923">
        <f t="shared" si="23"/>
        <v>3060.6675806065691</v>
      </c>
      <c r="V60" s="926">
        <f>'Table 5C1A-Madison Prep'!U60*90%</f>
        <v>3735</v>
      </c>
      <c r="W60" s="927">
        <f t="shared" si="36"/>
        <v>0</v>
      </c>
      <c r="X60" s="920">
        <f>'[1]Oct midyear LAVCA'!E57</f>
        <v>1</v>
      </c>
      <c r="Y60" s="928">
        <f t="shared" si="37"/>
        <v>3735</v>
      </c>
      <c r="Z60" s="1006">
        <f>'[1]Feb midyear LAVCA'!E57</f>
        <v>-1</v>
      </c>
      <c r="AA60" s="928">
        <f t="shared" si="38"/>
        <v>-1867.5</v>
      </c>
      <c r="AB60" s="929">
        <f t="shared" si="39"/>
        <v>1867.5</v>
      </c>
      <c r="AC60" s="927">
        <f t="shared" si="40"/>
        <v>1867.5</v>
      </c>
      <c r="AD60" s="928">
        <f t="shared" si="41"/>
        <v>-4.6687500000000002</v>
      </c>
      <c r="AE60" s="927">
        <f t="shared" si="42"/>
        <v>1862.83125</v>
      </c>
      <c r="AF60" s="926">
        <v>0</v>
      </c>
      <c r="AG60" s="927">
        <f t="shared" si="43"/>
        <v>1862.83125</v>
      </c>
      <c r="AH60" s="928">
        <f>8*'[2]Table 5C2 - LA Virtual Admy'!AJ59</f>
        <v>0</v>
      </c>
      <c r="AI60" s="928">
        <f t="shared" si="44"/>
        <v>1862.83125</v>
      </c>
      <c r="AJ60" s="927">
        <f t="shared" si="45"/>
        <v>466</v>
      </c>
      <c r="AK60" s="930">
        <f t="shared" si="21"/>
        <v>4923.4988306065688</v>
      </c>
      <c r="AL60" s="930">
        <f t="shared" si="46"/>
        <v>1231</v>
      </c>
      <c r="AN60" s="922">
        <v>0</v>
      </c>
      <c r="AO60" s="922">
        <f t="shared" si="24"/>
        <v>-4.6687500000000002</v>
      </c>
      <c r="AP60" s="922">
        <f t="shared" si="25"/>
        <v>-4.6687500000000002</v>
      </c>
    </row>
    <row r="61" spans="1:42" s="917" customFormat="1" ht="16.149999999999999" customHeight="1">
      <c r="A61" s="931">
        <v>55</v>
      </c>
      <c r="B61" s="932" t="s">
        <v>126</v>
      </c>
      <c r="C61" s="933">
        <f>+'Table 8 Membership 2.1.14'!J57</f>
        <v>37</v>
      </c>
      <c r="D61" s="934">
        <f>'Table 3 Levels 1&amp;2'!AL58*90%</f>
        <v>3840.1402942168634</v>
      </c>
      <c r="E61" s="934">
        <f t="shared" si="26"/>
        <v>142085.19088602395</v>
      </c>
      <c r="F61" s="935">
        <f>'Table 3A Level 3'!C60*90%</f>
        <v>715.62599999999998</v>
      </c>
      <c r="G61" s="935">
        <f t="shared" si="27"/>
        <v>26478.162</v>
      </c>
      <c r="H61" s="936">
        <f t="shared" si="28"/>
        <v>168563.35288602396</v>
      </c>
      <c r="I61" s="935">
        <f>(('Table 3 Levels 1&amp;2'!AL58-D61)+('Table 3A Level 3'!C60-F61))*C61</f>
        <v>18729.261431780436</v>
      </c>
      <c r="J61" s="935">
        <f>'[1]Oct midyear LAVCA'!K58</f>
        <v>31890.364059518044</v>
      </c>
      <c r="K61" s="935">
        <f>'[1]Feb midyear LAVCA'!K58</f>
        <v>-6833.6494413252949</v>
      </c>
      <c r="L61" s="937">
        <f t="shared" si="29"/>
        <v>25056.714618192749</v>
      </c>
      <c r="M61" s="936">
        <f t="shared" si="30"/>
        <v>193620.06750421671</v>
      </c>
      <c r="N61" s="935">
        <f t="shared" si="31"/>
        <v>-484.05016876054179</v>
      </c>
      <c r="O61" s="936">
        <f t="shared" si="32"/>
        <v>193136.01733545618</v>
      </c>
      <c r="P61" s="938">
        <v>0</v>
      </c>
      <c r="Q61" s="936">
        <f t="shared" si="33"/>
        <v>193136.01733545618</v>
      </c>
      <c r="R61" s="935">
        <f>8*'[2]Table 5C2 - LA Virtual Admy'!T60</f>
        <v>112096</v>
      </c>
      <c r="S61" s="935">
        <f t="shared" si="34"/>
        <v>81040.017335456185</v>
      </c>
      <c r="T61" s="936">
        <f t="shared" si="35"/>
        <v>20260</v>
      </c>
      <c r="U61" s="936">
        <f t="shared" si="23"/>
        <v>193136.01733545618</v>
      </c>
      <c r="V61" s="939">
        <f>'Table 5C1A-Madison Prep'!U61*90%</f>
        <v>3273.3</v>
      </c>
      <c r="W61" s="940">
        <f t="shared" si="36"/>
        <v>121112.1</v>
      </c>
      <c r="X61" s="933">
        <f>'[1]Oct midyear LAVCA'!E58</f>
        <v>7</v>
      </c>
      <c r="Y61" s="941">
        <f t="shared" si="37"/>
        <v>22913.100000000002</v>
      </c>
      <c r="Z61" s="1007">
        <f>'[1]Feb midyear LAVCA'!E58</f>
        <v>-3</v>
      </c>
      <c r="AA61" s="941">
        <f t="shared" si="38"/>
        <v>-4909.9500000000007</v>
      </c>
      <c r="AB61" s="942">
        <f t="shared" si="39"/>
        <v>18003.150000000001</v>
      </c>
      <c r="AC61" s="940">
        <f t="shared" si="40"/>
        <v>139115.25</v>
      </c>
      <c r="AD61" s="941">
        <f t="shared" si="41"/>
        <v>-347.78812499999998</v>
      </c>
      <c r="AE61" s="940">
        <f t="shared" si="42"/>
        <v>138767.46187500001</v>
      </c>
      <c r="AF61" s="939">
        <v>0</v>
      </c>
      <c r="AG61" s="940">
        <f t="shared" si="43"/>
        <v>138767.46187500001</v>
      </c>
      <c r="AH61" s="941">
        <f>8*'[2]Table 5C2 - LA Virtual Admy'!AJ60</f>
        <v>78216</v>
      </c>
      <c r="AI61" s="941">
        <f t="shared" si="44"/>
        <v>60551.461875000008</v>
      </c>
      <c r="AJ61" s="940">
        <f t="shared" si="45"/>
        <v>15138</v>
      </c>
      <c r="AK61" s="943">
        <f t="shared" si="21"/>
        <v>331903.47921045619</v>
      </c>
      <c r="AL61" s="943">
        <f t="shared" si="46"/>
        <v>35398</v>
      </c>
      <c r="AN61" s="935">
        <v>-294.03900000000004</v>
      </c>
      <c r="AO61" s="935">
        <f t="shared" si="24"/>
        <v>-347.78812499999998</v>
      </c>
      <c r="AP61" s="935">
        <f t="shared" si="25"/>
        <v>-53.749124999999935</v>
      </c>
    </row>
    <row r="62" spans="1:42" s="917" customFormat="1" ht="16.149999999999999" customHeight="1">
      <c r="A62" s="904">
        <v>56</v>
      </c>
      <c r="B62" s="905" t="s">
        <v>127</v>
      </c>
      <c r="C62" s="906">
        <f>+'Table 8 Membership 2.1.14'!J58</f>
        <v>6</v>
      </c>
      <c r="D62" s="907">
        <f>'Table 3 Levels 1&amp;2'!AL59*90%</f>
        <v>4525.6418467459462</v>
      </c>
      <c r="E62" s="907">
        <f t="shared" si="26"/>
        <v>27153.851080475677</v>
      </c>
      <c r="F62" s="908">
        <f>'Table 3A Level 3'!C61*90%</f>
        <v>553.19400000000007</v>
      </c>
      <c r="G62" s="908">
        <f t="shared" si="27"/>
        <v>3319.1640000000007</v>
      </c>
      <c r="H62" s="909">
        <f t="shared" si="28"/>
        <v>30473.015080475678</v>
      </c>
      <c r="I62" s="908">
        <f>(('Table 3 Levels 1&amp;2'!AL59-D62)+('Table 3A Level 3'!C61-F62))*C62</f>
        <v>3385.8905644972947</v>
      </c>
      <c r="J62" s="908">
        <f>'[1]Oct midyear LAVCA'!K59</f>
        <v>25394.179233729734</v>
      </c>
      <c r="K62" s="908">
        <f>'[1]Feb midyear LAVCA'!K59</f>
        <v>0</v>
      </c>
      <c r="L62" s="910">
        <f t="shared" si="29"/>
        <v>25394.179233729734</v>
      </c>
      <c r="M62" s="909">
        <f t="shared" si="30"/>
        <v>55867.194314205408</v>
      </c>
      <c r="N62" s="908">
        <f t="shared" si="31"/>
        <v>-139.66798578551354</v>
      </c>
      <c r="O62" s="909">
        <f t="shared" si="32"/>
        <v>55727.526328419895</v>
      </c>
      <c r="P62" s="911">
        <v>0</v>
      </c>
      <c r="Q62" s="909">
        <f t="shared" si="33"/>
        <v>55727.526328419895</v>
      </c>
      <c r="R62" s="908">
        <f>8*'[2]Table 5C2 - LA Virtual Admy'!T61</f>
        <v>20264</v>
      </c>
      <c r="S62" s="908">
        <f t="shared" si="34"/>
        <v>35463.526328419895</v>
      </c>
      <c r="T62" s="909">
        <f t="shared" si="35"/>
        <v>8866</v>
      </c>
      <c r="U62" s="909">
        <f t="shared" si="23"/>
        <v>55727.526328419895</v>
      </c>
      <c r="V62" s="912">
        <f>'Table 5C1A-Madison Prep'!U62*90%</f>
        <v>2571.3000000000002</v>
      </c>
      <c r="W62" s="913">
        <f t="shared" si="36"/>
        <v>15427.800000000001</v>
      </c>
      <c r="X62" s="906">
        <f>'[1]Oct midyear LAVCA'!E59</f>
        <v>5</v>
      </c>
      <c r="Y62" s="914">
        <f t="shared" si="37"/>
        <v>12856.5</v>
      </c>
      <c r="Z62" s="1005">
        <f>'[1]Feb midyear LAVCA'!E59</f>
        <v>0</v>
      </c>
      <c r="AA62" s="914">
        <f t="shared" si="38"/>
        <v>0</v>
      </c>
      <c r="AB62" s="915">
        <f t="shared" si="39"/>
        <v>12856.5</v>
      </c>
      <c r="AC62" s="913">
        <f t="shared" si="40"/>
        <v>28284.300000000003</v>
      </c>
      <c r="AD62" s="914">
        <f t="shared" si="41"/>
        <v>-70.710750000000004</v>
      </c>
      <c r="AE62" s="913">
        <f t="shared" si="42"/>
        <v>28213.589250000005</v>
      </c>
      <c r="AF62" s="912">
        <v>0</v>
      </c>
      <c r="AG62" s="913">
        <f t="shared" si="43"/>
        <v>28213.589250000005</v>
      </c>
      <c r="AH62" s="914">
        <f>8*'[2]Table 5C2 - LA Virtual Admy'!AJ61</f>
        <v>10288</v>
      </c>
      <c r="AI62" s="914">
        <f t="shared" si="44"/>
        <v>17925.589250000005</v>
      </c>
      <c r="AJ62" s="913">
        <f t="shared" si="45"/>
        <v>4481</v>
      </c>
      <c r="AK62" s="916">
        <f t="shared" si="21"/>
        <v>83941.115578419907</v>
      </c>
      <c r="AL62" s="916">
        <f t="shared" si="46"/>
        <v>13347</v>
      </c>
      <c r="AN62" s="908">
        <v>-38.677500000000002</v>
      </c>
      <c r="AO62" s="908">
        <f t="shared" si="24"/>
        <v>-70.710750000000004</v>
      </c>
      <c r="AP62" s="908">
        <f t="shared" si="25"/>
        <v>-32.033250000000002</v>
      </c>
    </row>
    <row r="63" spans="1:42" s="917" customFormat="1" ht="16.149999999999999" customHeight="1">
      <c r="A63" s="918">
        <v>57</v>
      </c>
      <c r="B63" s="919" t="s">
        <v>128</v>
      </c>
      <c r="C63" s="920">
        <f>+'Table 8 Membership 2.1.14'!J59</f>
        <v>23</v>
      </c>
      <c r="D63" s="921">
        <f>'Table 3 Levels 1&amp;2'!AL60*90%</f>
        <v>4163.393068130762</v>
      </c>
      <c r="E63" s="921">
        <f t="shared" si="26"/>
        <v>95758.040567007527</v>
      </c>
      <c r="F63" s="922">
        <f>'Table 3A Level 3'!C62*90%</f>
        <v>688.05899999999997</v>
      </c>
      <c r="G63" s="922">
        <f t="shared" si="27"/>
        <v>15825.357</v>
      </c>
      <c r="H63" s="923">
        <f t="shared" si="28"/>
        <v>111583.39756700753</v>
      </c>
      <c r="I63" s="922">
        <f>(('Table 3 Levels 1&amp;2'!AL60-D63)+('Table 3A Level 3'!C62-F63))*C63</f>
        <v>12398.155285223054</v>
      </c>
      <c r="J63" s="922">
        <f>'[1]Oct midyear LAVCA'!K60</f>
        <v>33960.164476915335</v>
      </c>
      <c r="K63" s="922">
        <f>'[1]Feb midyear LAVCA'!K60</f>
        <v>-7277.1781021961433</v>
      </c>
      <c r="L63" s="924">
        <f t="shared" si="29"/>
        <v>26682.986374719192</v>
      </c>
      <c r="M63" s="923">
        <f t="shared" si="30"/>
        <v>138266.38394172673</v>
      </c>
      <c r="N63" s="922">
        <f t="shared" si="31"/>
        <v>-345.66595985431684</v>
      </c>
      <c r="O63" s="923">
        <f t="shared" si="32"/>
        <v>137920.71798187241</v>
      </c>
      <c r="P63" s="925">
        <v>0</v>
      </c>
      <c r="Q63" s="923">
        <f t="shared" si="33"/>
        <v>137920.71798187241</v>
      </c>
      <c r="R63" s="922">
        <f>8*'[2]Table 5C2 - LA Virtual Admy'!T62</f>
        <v>74200</v>
      </c>
      <c r="S63" s="922">
        <f t="shared" si="34"/>
        <v>63720.717981872411</v>
      </c>
      <c r="T63" s="923">
        <f t="shared" si="35"/>
        <v>15930</v>
      </c>
      <c r="U63" s="923">
        <f t="shared" si="23"/>
        <v>137920.71798187241</v>
      </c>
      <c r="V63" s="926">
        <f>'Table 5C1A-Madison Prep'!U63*90%</f>
        <v>3118.5</v>
      </c>
      <c r="W63" s="927">
        <f t="shared" si="36"/>
        <v>71725.5</v>
      </c>
      <c r="X63" s="920">
        <f>'[1]Oct midyear LAVCA'!E60</f>
        <v>7</v>
      </c>
      <c r="Y63" s="928">
        <f t="shared" si="37"/>
        <v>21829.5</v>
      </c>
      <c r="Z63" s="1006">
        <f>'[1]Feb midyear LAVCA'!E60</f>
        <v>-3</v>
      </c>
      <c r="AA63" s="928">
        <f t="shared" si="38"/>
        <v>-4677.75</v>
      </c>
      <c r="AB63" s="929">
        <f t="shared" si="39"/>
        <v>17151.75</v>
      </c>
      <c r="AC63" s="927">
        <f t="shared" si="40"/>
        <v>88877.25</v>
      </c>
      <c r="AD63" s="928">
        <f t="shared" si="41"/>
        <v>-222.19312500000001</v>
      </c>
      <c r="AE63" s="927">
        <f t="shared" si="42"/>
        <v>88655.056874999995</v>
      </c>
      <c r="AF63" s="926">
        <v>0</v>
      </c>
      <c r="AG63" s="927">
        <f t="shared" si="43"/>
        <v>88655.056874999995</v>
      </c>
      <c r="AH63" s="928">
        <f>8*'[2]Table 5C2 - LA Virtual Admy'!AJ62</f>
        <v>46736</v>
      </c>
      <c r="AI63" s="928">
        <f t="shared" si="44"/>
        <v>41919.056874999995</v>
      </c>
      <c r="AJ63" s="927">
        <f t="shared" si="45"/>
        <v>10480</v>
      </c>
      <c r="AK63" s="930">
        <f t="shared" si="21"/>
        <v>226575.77485687239</v>
      </c>
      <c r="AL63" s="930">
        <f t="shared" si="46"/>
        <v>26410</v>
      </c>
      <c r="AN63" s="922">
        <v>-175.69125</v>
      </c>
      <c r="AO63" s="922">
        <f t="shared" si="24"/>
        <v>-222.19312500000001</v>
      </c>
      <c r="AP63" s="922">
        <f t="shared" si="25"/>
        <v>-46.501875000000013</v>
      </c>
    </row>
    <row r="64" spans="1:42" s="917" customFormat="1" ht="16.149999999999999" customHeight="1">
      <c r="A64" s="918">
        <v>58</v>
      </c>
      <c r="B64" s="919" t="s">
        <v>129</v>
      </c>
      <c r="C64" s="920">
        <f>+'Table 8 Membership 2.1.14'!J60</f>
        <v>52</v>
      </c>
      <c r="D64" s="921">
        <f>'Table 3 Levels 1&amp;2'!AL61*90%</f>
        <v>5105.8016674093915</v>
      </c>
      <c r="E64" s="921">
        <f t="shared" si="26"/>
        <v>265501.68670528836</v>
      </c>
      <c r="F64" s="922">
        <f>'Table 3A Level 3'!C63*90%</f>
        <v>627.33600000000001</v>
      </c>
      <c r="G64" s="922">
        <f t="shared" si="27"/>
        <v>32621.472000000002</v>
      </c>
      <c r="H64" s="923">
        <f t="shared" si="28"/>
        <v>298123.15870528837</v>
      </c>
      <c r="I64" s="922">
        <f>(('Table 3 Levels 1&amp;2'!AL61-D64)+('Table 3A Level 3'!C63-F64))*C64</f>
        <v>33124.79541169868</v>
      </c>
      <c r="J64" s="922">
        <f>'[1]Oct midyear LAVCA'!K61</f>
        <v>-57331.376674093917</v>
      </c>
      <c r="K64" s="922">
        <f>'[1]Feb midyear LAVCA'!K61</f>
        <v>22932.550669637567</v>
      </c>
      <c r="L64" s="924">
        <f t="shared" si="29"/>
        <v>-34398.82600445635</v>
      </c>
      <c r="M64" s="923">
        <f t="shared" si="30"/>
        <v>263724.33270083205</v>
      </c>
      <c r="N64" s="922">
        <f t="shared" si="31"/>
        <v>-659.31083175208016</v>
      </c>
      <c r="O64" s="923">
        <f t="shared" si="32"/>
        <v>263065.02186907997</v>
      </c>
      <c r="P64" s="925">
        <v>0</v>
      </c>
      <c r="Q64" s="923">
        <f t="shared" si="33"/>
        <v>263065.02186907997</v>
      </c>
      <c r="R64" s="922">
        <f>8*'[2]Table 5C2 - LA Virtual Admy'!T63</f>
        <v>198248</v>
      </c>
      <c r="S64" s="922">
        <f t="shared" si="34"/>
        <v>64817.021869079967</v>
      </c>
      <c r="T64" s="923">
        <f t="shared" si="35"/>
        <v>16204</v>
      </c>
      <c r="U64" s="923">
        <f t="shared" si="23"/>
        <v>263065.02186907997</v>
      </c>
      <c r="V64" s="926">
        <f>'Table 5C1A-Madison Prep'!U64*90%</f>
        <v>1950.3</v>
      </c>
      <c r="W64" s="927">
        <f t="shared" si="36"/>
        <v>101415.59999999999</v>
      </c>
      <c r="X64" s="920">
        <f>'[1]Oct midyear LAVCA'!E61</f>
        <v>-10</v>
      </c>
      <c r="Y64" s="928">
        <f t="shared" si="37"/>
        <v>-19503</v>
      </c>
      <c r="Z64" s="1006">
        <f>'[1]Feb midyear LAVCA'!E61</f>
        <v>8</v>
      </c>
      <c r="AA64" s="928">
        <f t="shared" si="38"/>
        <v>7801.2</v>
      </c>
      <c r="AB64" s="929">
        <f t="shared" si="39"/>
        <v>-11701.8</v>
      </c>
      <c r="AC64" s="927">
        <f t="shared" si="40"/>
        <v>89713.799999999988</v>
      </c>
      <c r="AD64" s="928">
        <f t="shared" si="41"/>
        <v>-224.28449999999998</v>
      </c>
      <c r="AE64" s="927">
        <f t="shared" si="42"/>
        <v>89489.515499999994</v>
      </c>
      <c r="AF64" s="926">
        <v>0</v>
      </c>
      <c r="AG64" s="927">
        <f t="shared" si="43"/>
        <v>89489.515499999994</v>
      </c>
      <c r="AH64" s="928">
        <f>8*'[2]Table 5C2 - LA Virtual Admy'!AJ63</f>
        <v>64856</v>
      </c>
      <c r="AI64" s="928">
        <f t="shared" si="44"/>
        <v>24633.515499999994</v>
      </c>
      <c r="AJ64" s="927">
        <f t="shared" si="45"/>
        <v>6158</v>
      </c>
      <c r="AK64" s="930">
        <f t="shared" si="21"/>
        <v>352554.53736907995</v>
      </c>
      <c r="AL64" s="930">
        <f t="shared" si="46"/>
        <v>22362</v>
      </c>
      <c r="AN64" s="922">
        <v>-243.82800000000003</v>
      </c>
      <c r="AO64" s="922">
        <f t="shared" si="24"/>
        <v>-224.28449999999998</v>
      </c>
      <c r="AP64" s="922">
        <f t="shared" si="25"/>
        <v>19.543500000000051</v>
      </c>
    </row>
    <row r="65" spans="1:42" s="917" customFormat="1" ht="16.149999999999999" customHeight="1">
      <c r="A65" s="918">
        <v>59</v>
      </c>
      <c r="B65" s="919" t="s">
        <v>130</v>
      </c>
      <c r="C65" s="920">
        <f>+'Table 8 Membership 2.1.14'!J61</f>
        <v>24</v>
      </c>
      <c r="D65" s="921">
        <f>'Table 3 Levels 1&amp;2'!AL62*90%</f>
        <v>5959.7516641696629</v>
      </c>
      <c r="E65" s="921">
        <f t="shared" si="26"/>
        <v>143034.0399400719</v>
      </c>
      <c r="F65" s="922">
        <f>'Table 3A Level 3'!C64*90%</f>
        <v>620.56799999999998</v>
      </c>
      <c r="G65" s="922">
        <f t="shared" si="27"/>
        <v>14893.632</v>
      </c>
      <c r="H65" s="923">
        <f t="shared" si="28"/>
        <v>157927.67194007192</v>
      </c>
      <c r="I65" s="922">
        <f>(('Table 3 Levels 1&amp;2'!AL62-D65)+('Table 3A Level 3'!C64-F65))*C65</f>
        <v>17547.51910445244</v>
      </c>
      <c r="J65" s="922">
        <f>'[1]Oct midyear LAVCA'!K62</f>
        <v>-13160.639328339326</v>
      </c>
      <c r="K65" s="922">
        <f>'[1]Feb midyear LAVCA'!K62</f>
        <v>-6580.3196641696632</v>
      </c>
      <c r="L65" s="924">
        <f t="shared" si="29"/>
        <v>-19740.958992508989</v>
      </c>
      <c r="M65" s="923">
        <f t="shared" si="30"/>
        <v>138186.71294756292</v>
      </c>
      <c r="N65" s="922">
        <f t="shared" si="31"/>
        <v>-345.46678236890733</v>
      </c>
      <c r="O65" s="923">
        <f t="shared" si="32"/>
        <v>137841.24616519402</v>
      </c>
      <c r="P65" s="925">
        <v>0</v>
      </c>
      <c r="Q65" s="923">
        <f t="shared" si="33"/>
        <v>137841.24616519402</v>
      </c>
      <c r="R65" s="922">
        <f>8*'[2]Table 5C2 - LA Virtual Admy'!T64</f>
        <v>105024</v>
      </c>
      <c r="S65" s="922">
        <f t="shared" si="34"/>
        <v>32817.246165194025</v>
      </c>
      <c r="T65" s="923">
        <f t="shared" si="35"/>
        <v>8204</v>
      </c>
      <c r="U65" s="923">
        <f t="shared" si="23"/>
        <v>137841.24616519402</v>
      </c>
      <c r="V65" s="926">
        <f>'Table 5C1A-Madison Prep'!U65*90%</f>
        <v>1368.9</v>
      </c>
      <c r="W65" s="927">
        <f t="shared" si="36"/>
        <v>32853.600000000006</v>
      </c>
      <c r="X65" s="920">
        <f>'[1]Oct midyear LAVCA'!E62</f>
        <v>-2</v>
      </c>
      <c r="Y65" s="928">
        <f t="shared" si="37"/>
        <v>-2737.8</v>
      </c>
      <c r="Z65" s="1006">
        <f>'[1]Feb midyear LAVCA'!E62</f>
        <v>-2</v>
      </c>
      <c r="AA65" s="928">
        <f t="shared" si="38"/>
        <v>-1368.9</v>
      </c>
      <c r="AB65" s="929">
        <f t="shared" si="39"/>
        <v>-4106.7000000000007</v>
      </c>
      <c r="AC65" s="927">
        <f t="shared" si="40"/>
        <v>28746.900000000005</v>
      </c>
      <c r="AD65" s="928">
        <f t="shared" si="41"/>
        <v>-71.867250000000013</v>
      </c>
      <c r="AE65" s="927">
        <f t="shared" si="42"/>
        <v>28675.032750000006</v>
      </c>
      <c r="AF65" s="926">
        <v>0</v>
      </c>
      <c r="AG65" s="927">
        <f t="shared" si="43"/>
        <v>28675.032750000006</v>
      </c>
      <c r="AH65" s="928">
        <f>8*'[2]Table 5C2 - LA Virtual Admy'!AJ64</f>
        <v>22656</v>
      </c>
      <c r="AI65" s="928">
        <f t="shared" si="44"/>
        <v>6019.0327500000058</v>
      </c>
      <c r="AJ65" s="927">
        <f t="shared" si="45"/>
        <v>1505</v>
      </c>
      <c r="AK65" s="930">
        <f t="shared" si="21"/>
        <v>166516.27891519404</v>
      </c>
      <c r="AL65" s="930">
        <f t="shared" si="46"/>
        <v>9709</v>
      </c>
      <c r="AN65" s="922">
        <v>-85.158000000000001</v>
      </c>
      <c r="AO65" s="922">
        <f t="shared" si="24"/>
        <v>-71.867250000000013</v>
      </c>
      <c r="AP65" s="922">
        <f t="shared" si="25"/>
        <v>13.290749999999989</v>
      </c>
    </row>
    <row r="66" spans="1:42" s="917" customFormat="1" ht="16.149999999999999" customHeight="1">
      <c r="A66" s="931">
        <v>60</v>
      </c>
      <c r="B66" s="932" t="s">
        <v>131</v>
      </c>
      <c r="C66" s="933">
        <f>+'Table 8 Membership 2.1.14'!J62</f>
        <v>14</v>
      </c>
      <c r="D66" s="934">
        <f>'Table 3 Levels 1&amp;2'!AL63*90%</f>
        <v>4771.1016810574456</v>
      </c>
      <c r="E66" s="934">
        <f t="shared" si="26"/>
        <v>66795.423534804242</v>
      </c>
      <c r="F66" s="935">
        <f>'Table 3A Level 3'!C65*90%</f>
        <v>534.63599999999997</v>
      </c>
      <c r="G66" s="935">
        <f t="shared" si="27"/>
        <v>7484.9039999999995</v>
      </c>
      <c r="H66" s="936">
        <f t="shared" si="28"/>
        <v>74280.327534804237</v>
      </c>
      <c r="I66" s="935">
        <f>(('Table 3 Levels 1&amp;2'!AL63-D66)+('Table 3A Level 3'!C65-F66))*C66</f>
        <v>8253.3697260893532</v>
      </c>
      <c r="J66" s="935">
        <f>'[1]Oct midyear LAVCA'!K63</f>
        <v>-21222.950724229784</v>
      </c>
      <c r="K66" s="935">
        <f>'[1]Feb midyear LAVCA'!K63</f>
        <v>0</v>
      </c>
      <c r="L66" s="937">
        <f t="shared" si="29"/>
        <v>-21222.950724229784</v>
      </c>
      <c r="M66" s="936">
        <f t="shared" si="30"/>
        <v>53057.376810574453</v>
      </c>
      <c r="N66" s="935">
        <f t="shared" si="31"/>
        <v>-132.64344202643613</v>
      </c>
      <c r="O66" s="936">
        <f t="shared" si="32"/>
        <v>52924.733368548019</v>
      </c>
      <c r="P66" s="938">
        <v>0</v>
      </c>
      <c r="Q66" s="936">
        <f t="shared" si="33"/>
        <v>52924.733368548019</v>
      </c>
      <c r="R66" s="935">
        <f>8*'[2]Table 5C2 - LA Virtual Admy'!T65</f>
        <v>49400</v>
      </c>
      <c r="S66" s="935">
        <f t="shared" si="34"/>
        <v>3524.7333685480189</v>
      </c>
      <c r="T66" s="936">
        <f t="shared" si="35"/>
        <v>881</v>
      </c>
      <c r="U66" s="936">
        <f t="shared" si="23"/>
        <v>52924.733368548019</v>
      </c>
      <c r="V66" s="939">
        <f>'Table 5C1A-Madison Prep'!U66*90%</f>
        <v>3621.6</v>
      </c>
      <c r="W66" s="940">
        <f t="shared" si="36"/>
        <v>50702.400000000001</v>
      </c>
      <c r="X66" s="933">
        <f>'[1]Oct midyear LAVCA'!E63</f>
        <v>-4</v>
      </c>
      <c r="Y66" s="941">
        <f t="shared" si="37"/>
        <v>-14486.4</v>
      </c>
      <c r="Z66" s="1007">
        <f>'[1]Feb midyear LAVCA'!E63</f>
        <v>0</v>
      </c>
      <c r="AA66" s="941">
        <f t="shared" si="38"/>
        <v>0</v>
      </c>
      <c r="AB66" s="942">
        <f t="shared" si="39"/>
        <v>-14486.4</v>
      </c>
      <c r="AC66" s="940">
        <f t="shared" si="40"/>
        <v>36216</v>
      </c>
      <c r="AD66" s="941">
        <f t="shared" si="41"/>
        <v>-90.54</v>
      </c>
      <c r="AE66" s="940">
        <f t="shared" si="42"/>
        <v>36125.46</v>
      </c>
      <c r="AF66" s="939">
        <v>0</v>
      </c>
      <c r="AG66" s="940">
        <f t="shared" si="43"/>
        <v>36125.46</v>
      </c>
      <c r="AH66" s="941">
        <f>8*'[2]Table 5C2 - LA Virtual Admy'!AJ65</f>
        <v>32864</v>
      </c>
      <c r="AI66" s="941">
        <f t="shared" si="44"/>
        <v>3261.4599999999991</v>
      </c>
      <c r="AJ66" s="940">
        <f t="shared" si="45"/>
        <v>815</v>
      </c>
      <c r="AK66" s="943">
        <f t="shared" si="21"/>
        <v>89050.193368548018</v>
      </c>
      <c r="AL66" s="943">
        <f t="shared" si="46"/>
        <v>1696</v>
      </c>
      <c r="AN66" s="935">
        <v>-123.54300000000002</v>
      </c>
      <c r="AO66" s="935">
        <f t="shared" si="24"/>
        <v>-90.54</v>
      </c>
      <c r="AP66" s="935">
        <f t="shared" si="25"/>
        <v>33.003000000000014</v>
      </c>
    </row>
    <row r="67" spans="1:42" s="917" customFormat="1" ht="16.149999999999999" customHeight="1">
      <c r="A67" s="904">
        <v>61</v>
      </c>
      <c r="B67" s="905" t="s">
        <v>132</v>
      </c>
      <c r="C67" s="906">
        <f>+'Table 8 Membership 2.1.14'!J63</f>
        <v>6</v>
      </c>
      <c r="D67" s="907">
        <f>'Table 3 Levels 1&amp;2'!AL64*90%</f>
        <v>2568.7417820732267</v>
      </c>
      <c r="E67" s="907">
        <f t="shared" si="26"/>
        <v>15412.450692439361</v>
      </c>
      <c r="F67" s="908">
        <f>'Table 3A Level 3'!C66*90%</f>
        <v>750.33899999999994</v>
      </c>
      <c r="G67" s="908">
        <f t="shared" si="27"/>
        <v>4502.0339999999997</v>
      </c>
      <c r="H67" s="909">
        <f t="shared" si="28"/>
        <v>19914.484692439361</v>
      </c>
      <c r="I67" s="908">
        <f>(('Table 3 Levels 1&amp;2'!AL64-D67)+('Table 3A Level 3'!C66-F67))*C67</f>
        <v>2212.7205213821508</v>
      </c>
      <c r="J67" s="908">
        <f>'[1]Oct midyear LAVCA'!K64</f>
        <v>3319.0807820732266</v>
      </c>
      <c r="K67" s="908">
        <f>'[1]Feb midyear LAVCA'!K64</f>
        <v>3319.0807820732266</v>
      </c>
      <c r="L67" s="910">
        <f t="shared" si="29"/>
        <v>6638.1615641464532</v>
      </c>
      <c r="M67" s="909">
        <f t="shared" si="30"/>
        <v>26552.646256585813</v>
      </c>
      <c r="N67" s="908">
        <f t="shared" si="31"/>
        <v>-66.381615641464535</v>
      </c>
      <c r="O67" s="909">
        <f t="shared" si="32"/>
        <v>26486.264640944348</v>
      </c>
      <c r="P67" s="911">
        <v>0</v>
      </c>
      <c r="Q67" s="909">
        <f t="shared" si="33"/>
        <v>26486.264640944348</v>
      </c>
      <c r="R67" s="908">
        <f>8*'[2]Table 5C2 - LA Virtual Admy'!T66</f>
        <v>13240</v>
      </c>
      <c r="S67" s="908">
        <f t="shared" si="34"/>
        <v>13246.264640944348</v>
      </c>
      <c r="T67" s="909">
        <f t="shared" si="35"/>
        <v>3312</v>
      </c>
      <c r="U67" s="909">
        <f t="shared" si="23"/>
        <v>26486.264640944348</v>
      </c>
      <c r="V67" s="912">
        <f>'Table 5C1A-Madison Prep'!U67*90%</f>
        <v>6065.1</v>
      </c>
      <c r="W67" s="913">
        <f t="shared" si="36"/>
        <v>36390.600000000006</v>
      </c>
      <c r="X67" s="906">
        <f>'[1]Oct midyear LAVCA'!E64</f>
        <v>1</v>
      </c>
      <c r="Y67" s="914">
        <f t="shared" si="37"/>
        <v>6065.1</v>
      </c>
      <c r="Z67" s="1005">
        <f>'[1]Feb midyear LAVCA'!E64</f>
        <v>2</v>
      </c>
      <c r="AA67" s="914">
        <f t="shared" si="38"/>
        <v>6065.1</v>
      </c>
      <c r="AB67" s="915">
        <f t="shared" si="39"/>
        <v>12130.2</v>
      </c>
      <c r="AC67" s="913">
        <f t="shared" si="40"/>
        <v>48520.800000000003</v>
      </c>
      <c r="AD67" s="914">
        <f t="shared" si="41"/>
        <v>-121.30200000000001</v>
      </c>
      <c r="AE67" s="913">
        <f t="shared" si="42"/>
        <v>48399.498</v>
      </c>
      <c r="AF67" s="912">
        <v>0</v>
      </c>
      <c r="AG67" s="913">
        <f t="shared" si="43"/>
        <v>48399.498</v>
      </c>
      <c r="AH67" s="914">
        <f>8*'[2]Table 5C2 - LA Virtual Admy'!AJ66</f>
        <v>24224</v>
      </c>
      <c r="AI67" s="914">
        <f t="shared" si="44"/>
        <v>24175.498</v>
      </c>
      <c r="AJ67" s="913">
        <f t="shared" si="45"/>
        <v>6044</v>
      </c>
      <c r="AK67" s="916">
        <f t="shared" si="21"/>
        <v>74885.762640944347</v>
      </c>
      <c r="AL67" s="916">
        <f t="shared" si="46"/>
        <v>9356</v>
      </c>
      <c r="AN67" s="908">
        <v>-91.057500000000005</v>
      </c>
      <c r="AO67" s="908">
        <f t="shared" si="24"/>
        <v>-121.30200000000001</v>
      </c>
      <c r="AP67" s="908">
        <f t="shared" si="25"/>
        <v>-30.244500000000002</v>
      </c>
    </row>
    <row r="68" spans="1:42" s="917" customFormat="1" ht="16.149999999999999" customHeight="1">
      <c r="A68" s="918">
        <v>62</v>
      </c>
      <c r="B68" s="919" t="s">
        <v>133</v>
      </c>
      <c r="C68" s="920">
        <f>+'Table 8 Membership 2.1.14'!J64</f>
        <v>10</v>
      </c>
      <c r="D68" s="921">
        <f>'Table 3 Levels 1&amp;2'!AL65*90%</f>
        <v>5310.9670846644076</v>
      </c>
      <c r="E68" s="921">
        <f t="shared" si="26"/>
        <v>53109.670846644076</v>
      </c>
      <c r="F68" s="922">
        <f>'Table 3A Level 3'!C67*90%</f>
        <v>464.47200000000004</v>
      </c>
      <c r="G68" s="922">
        <f t="shared" si="27"/>
        <v>4644.72</v>
      </c>
      <c r="H68" s="923">
        <f t="shared" si="28"/>
        <v>57754.390846644077</v>
      </c>
      <c r="I68" s="922">
        <f>(('Table 3 Levels 1&amp;2'!AL65-D68)+('Table 3A Level 3'!C67-F68))*C68</f>
        <v>6417.1545385160043</v>
      </c>
      <c r="J68" s="922">
        <f>'[1]Oct midyear LAVCA'!K65</f>
        <v>-28877.195423322039</v>
      </c>
      <c r="K68" s="922">
        <f>'[1]Feb midyear LAVCA'!K65</f>
        <v>-8663.1586269966101</v>
      </c>
      <c r="L68" s="924">
        <f t="shared" si="29"/>
        <v>-37540.354050318652</v>
      </c>
      <c r="M68" s="923">
        <f t="shared" si="30"/>
        <v>20214.036796325425</v>
      </c>
      <c r="N68" s="922">
        <f t="shared" si="31"/>
        <v>-50.535091990813562</v>
      </c>
      <c r="O68" s="923">
        <f t="shared" si="32"/>
        <v>20163.501704334612</v>
      </c>
      <c r="P68" s="925">
        <v>0</v>
      </c>
      <c r="Q68" s="923">
        <f t="shared" si="33"/>
        <v>20163.501704334612</v>
      </c>
      <c r="R68" s="922">
        <f>8*'[2]Table 5C2 - LA Virtual Admy'!T67</f>
        <v>38408</v>
      </c>
      <c r="S68" s="922">
        <f t="shared" si="34"/>
        <v>-18244.498295665388</v>
      </c>
      <c r="T68" s="923">
        <f t="shared" si="35"/>
        <v>-4561</v>
      </c>
      <c r="U68" s="923">
        <f t="shared" si="23"/>
        <v>20163.501704334612</v>
      </c>
      <c r="V68" s="926">
        <f>'Table 5C1A-Madison Prep'!U68*90%</f>
        <v>1880.1000000000001</v>
      </c>
      <c r="W68" s="927">
        <f t="shared" si="36"/>
        <v>18801</v>
      </c>
      <c r="X68" s="920">
        <f>'[1]Oct midyear LAVCA'!E65</f>
        <v>-5</v>
      </c>
      <c r="Y68" s="928">
        <f t="shared" si="37"/>
        <v>-9400.5</v>
      </c>
      <c r="Z68" s="1006">
        <f>'[1]Feb midyear LAVCA'!E65</f>
        <v>-3</v>
      </c>
      <c r="AA68" s="928">
        <f t="shared" si="38"/>
        <v>-2820.15</v>
      </c>
      <c r="AB68" s="929">
        <f t="shared" si="39"/>
        <v>-12220.65</v>
      </c>
      <c r="AC68" s="927">
        <f t="shared" si="40"/>
        <v>6580.35</v>
      </c>
      <c r="AD68" s="928">
        <f t="shared" si="41"/>
        <v>-16.450875</v>
      </c>
      <c r="AE68" s="927">
        <f t="shared" si="42"/>
        <v>6563.8991249999999</v>
      </c>
      <c r="AF68" s="926">
        <v>0</v>
      </c>
      <c r="AG68" s="927">
        <f t="shared" si="43"/>
        <v>6563.8991249999999</v>
      </c>
      <c r="AH68" s="928">
        <f>8*'[2]Table 5C2 - LA Virtual Admy'!AJ67</f>
        <v>11416</v>
      </c>
      <c r="AI68" s="928">
        <f t="shared" si="44"/>
        <v>-4852.1008750000001</v>
      </c>
      <c r="AJ68" s="927">
        <f t="shared" si="45"/>
        <v>-1213</v>
      </c>
      <c r="AK68" s="930">
        <f t="shared" si="21"/>
        <v>26727.400829334612</v>
      </c>
      <c r="AL68" s="930">
        <f t="shared" si="46"/>
        <v>-5774</v>
      </c>
      <c r="AN68" s="922">
        <v>-42.93</v>
      </c>
      <c r="AO68" s="922">
        <f t="shared" si="24"/>
        <v>-16.450875</v>
      </c>
      <c r="AP68" s="922">
        <f t="shared" si="25"/>
        <v>26.479125</v>
      </c>
    </row>
    <row r="69" spans="1:42" s="917" customFormat="1" ht="16.149999999999999" customHeight="1">
      <c r="A69" s="918">
        <v>63</v>
      </c>
      <c r="B69" s="919" t="s">
        <v>134</v>
      </c>
      <c r="C69" s="920">
        <f>+'Table 8 Membership 2.1.14'!J65</f>
        <v>3</v>
      </c>
      <c r="D69" s="921">
        <f>'Table 3 Levels 1&amp;2'!AL66*90%</f>
        <v>3711.9432133663286</v>
      </c>
      <c r="E69" s="921">
        <f t="shared" si="26"/>
        <v>11135.829640098986</v>
      </c>
      <c r="F69" s="922">
        <f>'Table 3A Level 3'!C68*90%</f>
        <v>681.11099999999999</v>
      </c>
      <c r="G69" s="922">
        <f t="shared" si="27"/>
        <v>2043.3330000000001</v>
      </c>
      <c r="H69" s="923">
        <f t="shared" si="28"/>
        <v>13179.162640098986</v>
      </c>
      <c r="I69" s="922">
        <f>(('Table 3 Levels 1&amp;2'!AL66-D69)+('Table 3A Level 3'!C68-F69))*C69</f>
        <v>1464.3514044554418</v>
      </c>
      <c r="J69" s="922">
        <f>'[1]Oct midyear LAVCA'!K66</f>
        <v>17572.216853465314</v>
      </c>
      <c r="K69" s="922">
        <f>'[1]Feb midyear LAVCA'!K66</f>
        <v>4393.0542133663284</v>
      </c>
      <c r="L69" s="924">
        <f t="shared" si="29"/>
        <v>21965.271066831643</v>
      </c>
      <c r="M69" s="923">
        <f t="shared" si="30"/>
        <v>35144.433706930628</v>
      </c>
      <c r="N69" s="922">
        <f t="shared" si="31"/>
        <v>-87.861084267326575</v>
      </c>
      <c r="O69" s="923">
        <f t="shared" si="32"/>
        <v>35056.572622663298</v>
      </c>
      <c r="P69" s="925">
        <v>0</v>
      </c>
      <c r="Q69" s="923">
        <f t="shared" si="33"/>
        <v>35056.572622663298</v>
      </c>
      <c r="R69" s="922">
        <f>8*'[2]Table 5C2 - LA Virtual Admy'!T68</f>
        <v>8768</v>
      </c>
      <c r="S69" s="922">
        <f t="shared" si="34"/>
        <v>26288.572622663298</v>
      </c>
      <c r="T69" s="923">
        <f t="shared" si="35"/>
        <v>6572</v>
      </c>
      <c r="U69" s="923">
        <f t="shared" si="23"/>
        <v>35056.572622663298</v>
      </c>
      <c r="V69" s="926">
        <f>'Table 5C1A-Madison Prep'!U69*90%</f>
        <v>6662.7</v>
      </c>
      <c r="W69" s="927">
        <f t="shared" si="36"/>
        <v>19988.099999999999</v>
      </c>
      <c r="X69" s="920">
        <f>'[1]Oct midyear LAVCA'!E66</f>
        <v>4</v>
      </c>
      <c r="Y69" s="928">
        <f t="shared" si="37"/>
        <v>26650.799999999999</v>
      </c>
      <c r="Z69" s="1006">
        <f>'[1]Feb midyear LAVCA'!E66</f>
        <v>2</v>
      </c>
      <c r="AA69" s="928">
        <f t="shared" si="38"/>
        <v>6662.7</v>
      </c>
      <c r="AB69" s="929">
        <f t="shared" si="39"/>
        <v>33313.5</v>
      </c>
      <c r="AC69" s="927">
        <f t="shared" si="40"/>
        <v>53301.599999999999</v>
      </c>
      <c r="AD69" s="928">
        <f t="shared" si="41"/>
        <v>-133.25399999999999</v>
      </c>
      <c r="AE69" s="927">
        <f t="shared" si="42"/>
        <v>53168.345999999998</v>
      </c>
      <c r="AF69" s="926">
        <v>0</v>
      </c>
      <c r="AG69" s="927">
        <f t="shared" si="43"/>
        <v>53168.345999999998</v>
      </c>
      <c r="AH69" s="928">
        <f>8*'[2]Table 5C2 - LA Virtual Admy'!AJ68</f>
        <v>13088</v>
      </c>
      <c r="AI69" s="928">
        <f t="shared" si="44"/>
        <v>40080.345999999998</v>
      </c>
      <c r="AJ69" s="927">
        <f t="shared" si="45"/>
        <v>10020</v>
      </c>
      <c r="AK69" s="930">
        <f t="shared" si="21"/>
        <v>88224.918622663303</v>
      </c>
      <c r="AL69" s="930">
        <f t="shared" si="46"/>
        <v>16592</v>
      </c>
      <c r="AN69" s="922">
        <v>-49.207500000000003</v>
      </c>
      <c r="AO69" s="922">
        <f t="shared" si="24"/>
        <v>-133.25399999999999</v>
      </c>
      <c r="AP69" s="922">
        <f t="shared" si="25"/>
        <v>-84.04649999999998</v>
      </c>
    </row>
    <row r="70" spans="1:42" s="917" customFormat="1" ht="16.149999999999999" customHeight="1">
      <c r="A70" s="918">
        <v>64</v>
      </c>
      <c r="B70" s="919" t="s">
        <v>135</v>
      </c>
      <c r="C70" s="920">
        <f>+'Table 8 Membership 2.1.14'!J66</f>
        <v>5</v>
      </c>
      <c r="D70" s="921">
        <f>'Table 3 Levels 1&amp;2'!AL67*90%</f>
        <v>5650.0476779500432</v>
      </c>
      <c r="E70" s="921">
        <f t="shared" si="26"/>
        <v>28250.238389750215</v>
      </c>
      <c r="F70" s="922">
        <f>'Table 3A Level 3'!C69*90%</f>
        <v>533.39400000000001</v>
      </c>
      <c r="G70" s="922">
        <f t="shared" si="27"/>
        <v>2666.9700000000003</v>
      </c>
      <c r="H70" s="923">
        <f t="shared" si="28"/>
        <v>30917.208389750216</v>
      </c>
      <c r="I70" s="922">
        <f>(('Table 3 Levels 1&amp;2'!AL67-D70)+('Table 3A Level 3'!C69-F70))*C70</f>
        <v>3435.2453766389108</v>
      </c>
      <c r="J70" s="922">
        <f>'[1]Oct midyear LAVCA'!K67</f>
        <v>12366.883355900087</v>
      </c>
      <c r="K70" s="922">
        <f>'[1]Feb midyear LAVCA'!K67</f>
        <v>0</v>
      </c>
      <c r="L70" s="924">
        <f t="shared" si="29"/>
        <v>12366.883355900087</v>
      </c>
      <c r="M70" s="923">
        <f t="shared" si="30"/>
        <v>43284.091745650301</v>
      </c>
      <c r="N70" s="922">
        <f t="shared" si="31"/>
        <v>-108.21022936412575</v>
      </c>
      <c r="O70" s="923">
        <f t="shared" si="32"/>
        <v>43175.881516286172</v>
      </c>
      <c r="P70" s="925">
        <v>0</v>
      </c>
      <c r="Q70" s="923">
        <f t="shared" si="33"/>
        <v>43175.881516286172</v>
      </c>
      <c r="R70" s="922">
        <f>8*'[2]Table 5C2 - LA Virtual Admy'!T69</f>
        <v>20560</v>
      </c>
      <c r="S70" s="922">
        <f t="shared" si="34"/>
        <v>22615.881516286172</v>
      </c>
      <c r="T70" s="923">
        <f t="shared" si="35"/>
        <v>5654</v>
      </c>
      <c r="U70" s="923">
        <f t="shared" si="23"/>
        <v>43175.881516286172</v>
      </c>
      <c r="V70" s="926">
        <f>'Table 5C1A-Madison Prep'!U70*90%</f>
        <v>2521.8000000000002</v>
      </c>
      <c r="W70" s="927">
        <f t="shared" si="36"/>
        <v>12609</v>
      </c>
      <c r="X70" s="920">
        <f>'[1]Oct midyear LAVCA'!E67</f>
        <v>2</v>
      </c>
      <c r="Y70" s="928">
        <f t="shared" si="37"/>
        <v>5043.6000000000004</v>
      </c>
      <c r="Z70" s="1006">
        <f>'[1]Feb midyear LAVCA'!E67</f>
        <v>0</v>
      </c>
      <c r="AA70" s="928">
        <f t="shared" si="38"/>
        <v>0</v>
      </c>
      <c r="AB70" s="929">
        <f t="shared" si="39"/>
        <v>5043.6000000000004</v>
      </c>
      <c r="AC70" s="927">
        <f t="shared" si="40"/>
        <v>17652.599999999999</v>
      </c>
      <c r="AD70" s="928">
        <f t="shared" si="41"/>
        <v>-44.131499999999996</v>
      </c>
      <c r="AE70" s="927">
        <f t="shared" si="42"/>
        <v>17608.468499999999</v>
      </c>
      <c r="AF70" s="926">
        <v>0</v>
      </c>
      <c r="AG70" s="927">
        <f t="shared" si="43"/>
        <v>17608.468499999999</v>
      </c>
      <c r="AH70" s="928">
        <f>8*'[2]Table 5C2 - LA Virtual Admy'!AJ69</f>
        <v>8144</v>
      </c>
      <c r="AI70" s="928">
        <f t="shared" si="44"/>
        <v>9464.468499999999</v>
      </c>
      <c r="AJ70" s="927">
        <f t="shared" si="45"/>
        <v>2366</v>
      </c>
      <c r="AK70" s="930">
        <f t="shared" si="21"/>
        <v>60784.350016286175</v>
      </c>
      <c r="AL70" s="930">
        <f t="shared" si="46"/>
        <v>8020</v>
      </c>
      <c r="AN70" s="922">
        <v>-30.611250000000002</v>
      </c>
      <c r="AO70" s="922">
        <f t="shared" si="24"/>
        <v>-44.131499999999996</v>
      </c>
      <c r="AP70" s="922">
        <f t="shared" si="25"/>
        <v>-13.520249999999994</v>
      </c>
    </row>
    <row r="71" spans="1:42" s="917" customFormat="1" ht="16.149999999999999" customHeight="1">
      <c r="A71" s="931">
        <v>65</v>
      </c>
      <c r="B71" s="932" t="s">
        <v>136</v>
      </c>
      <c r="C71" s="933">
        <f>+'Table 8 Membership 2.1.14'!J67</f>
        <v>0</v>
      </c>
      <c r="D71" s="934">
        <f>'Table 3 Levels 1&amp;2'!AL68*90%</f>
        <v>4297.6444989549282</v>
      </c>
      <c r="E71" s="934">
        <f t="shared" ref="E71:E75" si="47">C71*D71</f>
        <v>0</v>
      </c>
      <c r="F71" s="935">
        <f>'Table 3A Level 3'!C70*90%</f>
        <v>746.20799999999997</v>
      </c>
      <c r="G71" s="935">
        <f t="shared" ref="G71:G75" si="48">F71*C71</f>
        <v>0</v>
      </c>
      <c r="H71" s="936">
        <f t="shared" ref="H71:H75" si="49">E71+G71</f>
        <v>0</v>
      </c>
      <c r="I71" s="935">
        <f>(('Table 3 Levels 1&amp;2'!AL68-D71)+('Table 3A Level 3'!C70-F71))*C71</f>
        <v>0</v>
      </c>
      <c r="J71" s="935">
        <f>'[1]Oct midyear LAVCA'!K68</f>
        <v>40350.819991639422</v>
      </c>
      <c r="K71" s="935">
        <f>'[1]Feb midyear LAVCA'!K68</f>
        <v>0</v>
      </c>
      <c r="L71" s="937">
        <f t="shared" ref="L71:L75" si="50">+J71+K71</f>
        <v>40350.819991639422</v>
      </c>
      <c r="M71" s="936">
        <f t="shared" ref="M71:M75" si="51">H71+L71</f>
        <v>40350.819991639422</v>
      </c>
      <c r="N71" s="935">
        <f t="shared" ref="N71:N75" si="52">-0.25%*M71</f>
        <v>-100.87704997909856</v>
      </c>
      <c r="O71" s="936">
        <f t="shared" ref="O71:O75" si="53">M71+N71</f>
        <v>40249.942941660323</v>
      </c>
      <c r="P71" s="938">
        <v>0</v>
      </c>
      <c r="Q71" s="936">
        <f t="shared" ref="Q71:Q75" si="54">SUM(O71:P71)</f>
        <v>40249.942941660323</v>
      </c>
      <c r="R71" s="935">
        <f>8*'[2]Table 5C2 - LA Virtual Admy'!T70</f>
        <v>0</v>
      </c>
      <c r="S71" s="935">
        <f t="shared" ref="S71:S75" si="55">Q71-R71</f>
        <v>40249.942941660323</v>
      </c>
      <c r="T71" s="936">
        <f t="shared" ref="T71:T75" si="56">ROUND(S71/$T$88,0)</f>
        <v>10062</v>
      </c>
      <c r="U71" s="936">
        <f t="shared" si="23"/>
        <v>40249.942941660323</v>
      </c>
      <c r="V71" s="939">
        <f>'Table 5C1A-Madison Prep'!U71*90%</f>
        <v>4693.5</v>
      </c>
      <c r="W71" s="940">
        <f t="shared" ref="W71:W75" si="57">V71*C71</f>
        <v>0</v>
      </c>
      <c r="X71" s="933">
        <f>'[1]Oct midyear LAVCA'!E68</f>
        <v>8</v>
      </c>
      <c r="Y71" s="941">
        <f t="shared" ref="Y71:Y75" si="58">X71*V71</f>
        <v>37548</v>
      </c>
      <c r="Z71" s="1007">
        <f>'[1]Feb midyear LAVCA'!E68</f>
        <v>0</v>
      </c>
      <c r="AA71" s="941">
        <f t="shared" ref="AA71:AA75" si="59">+V71*Z71*0.5</f>
        <v>0</v>
      </c>
      <c r="AB71" s="942">
        <f t="shared" ref="AB71:AB75" si="60">+Y71+AA71</f>
        <v>37548</v>
      </c>
      <c r="AC71" s="940">
        <f t="shared" ref="AC71:AC75" si="61">AB71+W71</f>
        <v>37548</v>
      </c>
      <c r="AD71" s="941">
        <f t="shared" ref="AD71:AD75" si="62">AC71*-0.25%</f>
        <v>-93.87</v>
      </c>
      <c r="AE71" s="940">
        <f t="shared" ref="AE71:AE75" si="63">SUM(AC71:AD71)</f>
        <v>37454.129999999997</v>
      </c>
      <c r="AF71" s="939">
        <v>0</v>
      </c>
      <c r="AG71" s="940">
        <f t="shared" ref="AG71:AG75" si="64">SUM(AE71:AF71)</f>
        <v>37454.129999999997</v>
      </c>
      <c r="AH71" s="941">
        <f>8*'[2]Table 5C2 - LA Virtual Admy'!AJ70</f>
        <v>0</v>
      </c>
      <c r="AI71" s="941">
        <f t="shared" ref="AI71:AI75" si="65">AG71-AH71</f>
        <v>37454.129999999997</v>
      </c>
      <c r="AJ71" s="940">
        <f t="shared" ref="AJ71:AJ75" si="66">ROUND(AI71/$AJ$88,0)</f>
        <v>9364</v>
      </c>
      <c r="AK71" s="943">
        <f t="shared" ref="AK71:AK75" si="67">AG71+U71</f>
        <v>77704.072941660328</v>
      </c>
      <c r="AL71" s="943">
        <f t="shared" si="46"/>
        <v>19426</v>
      </c>
      <c r="AN71" s="935">
        <v>0</v>
      </c>
      <c r="AO71" s="935">
        <f t="shared" si="24"/>
        <v>-93.87</v>
      </c>
      <c r="AP71" s="935">
        <f t="shared" si="25"/>
        <v>-93.87</v>
      </c>
    </row>
    <row r="72" spans="1:42" s="917" customFormat="1" ht="16.149999999999999" customHeight="1">
      <c r="A72" s="904">
        <v>66</v>
      </c>
      <c r="B72" s="905" t="s">
        <v>137</v>
      </c>
      <c r="C72" s="906">
        <f>+'Table 8 Membership 2.1.14'!J68</f>
        <v>15</v>
      </c>
      <c r="D72" s="907">
        <f>'Table 3 Levels 1&amp;2'!AL69*90%</f>
        <v>5907.6076890519034</v>
      </c>
      <c r="E72" s="907">
        <f t="shared" si="47"/>
        <v>88614.115335778552</v>
      </c>
      <c r="F72" s="908">
        <f>'Table 3A Level 3'!C71*90%</f>
        <v>657.05399999999997</v>
      </c>
      <c r="G72" s="908">
        <f t="shared" si="48"/>
        <v>9855.81</v>
      </c>
      <c r="H72" s="909">
        <f t="shared" si="49"/>
        <v>98469.925335778549</v>
      </c>
      <c r="I72" s="908">
        <f>(('Table 3 Levels 1&amp;2'!AL69-D72)+('Table 3A Level 3'!C71-F72))*C72</f>
        <v>10941.1028150865</v>
      </c>
      <c r="J72" s="908">
        <f>'[1]Oct midyear LAVCA'!K69</f>
        <v>-65646.616890519042</v>
      </c>
      <c r="K72" s="908">
        <f>'[1]Feb midyear LAVCA'!K69</f>
        <v>-6564.6616890519035</v>
      </c>
      <c r="L72" s="910">
        <f t="shared" si="50"/>
        <v>-72211.27857957095</v>
      </c>
      <c r="M72" s="909">
        <f t="shared" si="51"/>
        <v>26258.6467562076</v>
      </c>
      <c r="N72" s="908">
        <f t="shared" si="52"/>
        <v>-65.646616890518999</v>
      </c>
      <c r="O72" s="909">
        <f t="shared" si="53"/>
        <v>26193.000139317082</v>
      </c>
      <c r="P72" s="911">
        <v>-4753.7892498192186</v>
      </c>
      <c r="Q72" s="909">
        <f t="shared" si="54"/>
        <v>21439.210889497863</v>
      </c>
      <c r="R72" s="908">
        <f>8*'[2]Table 5C2 - LA Virtual Admy'!T71</f>
        <v>62312</v>
      </c>
      <c r="S72" s="908">
        <f t="shared" si="55"/>
        <v>-40872.789110502141</v>
      </c>
      <c r="T72" s="909">
        <f t="shared" si="56"/>
        <v>-10218</v>
      </c>
      <c r="U72" s="909">
        <f t="shared" ref="U72:U75" si="68">+Q72</f>
        <v>21439.210889497863</v>
      </c>
      <c r="V72" s="912">
        <f>'Table 5C1A-Madison Prep'!U72*90%</f>
        <v>3248.1</v>
      </c>
      <c r="W72" s="913">
        <f t="shared" si="57"/>
        <v>48721.5</v>
      </c>
      <c r="X72" s="906">
        <f>'[1]Oct midyear LAVCA'!E69</f>
        <v>-10</v>
      </c>
      <c r="Y72" s="914">
        <f t="shared" si="58"/>
        <v>-32481</v>
      </c>
      <c r="Z72" s="1005">
        <f>'[1]Feb midyear LAVCA'!E69</f>
        <v>-2</v>
      </c>
      <c r="AA72" s="914">
        <f t="shared" si="59"/>
        <v>-3248.1</v>
      </c>
      <c r="AB72" s="915">
        <f t="shared" si="60"/>
        <v>-35729.1</v>
      </c>
      <c r="AC72" s="913">
        <f t="shared" si="61"/>
        <v>12992.400000000001</v>
      </c>
      <c r="AD72" s="914">
        <f t="shared" si="62"/>
        <v>-32.481000000000002</v>
      </c>
      <c r="AE72" s="913">
        <f t="shared" si="63"/>
        <v>12959.919000000002</v>
      </c>
      <c r="AF72" s="912">
        <v>0</v>
      </c>
      <c r="AG72" s="913">
        <f t="shared" si="64"/>
        <v>12959.919000000002</v>
      </c>
      <c r="AH72" s="914">
        <f>8*'[2]Table 5C2 - LA Virtual Admy'!AJ71</f>
        <v>30248</v>
      </c>
      <c r="AI72" s="914">
        <f t="shared" si="65"/>
        <v>-17288.080999999998</v>
      </c>
      <c r="AJ72" s="913">
        <f t="shared" si="66"/>
        <v>-4322</v>
      </c>
      <c r="AK72" s="916">
        <f t="shared" si="67"/>
        <v>34399.129889497868</v>
      </c>
      <c r="AL72" s="916">
        <f t="shared" si="46"/>
        <v>-14540</v>
      </c>
      <c r="AN72" s="908">
        <v>-113.70375</v>
      </c>
      <c r="AO72" s="908">
        <f t="shared" ref="AO72:AO75" si="69">AD72</f>
        <v>-32.481000000000002</v>
      </c>
      <c r="AP72" s="908">
        <f t="shared" ref="AP72:AP75" si="70">+AO72-AN72</f>
        <v>81.222749999999991</v>
      </c>
    </row>
    <row r="73" spans="1:42" s="917" customFormat="1" ht="16.149999999999999" customHeight="1">
      <c r="A73" s="918">
        <v>67</v>
      </c>
      <c r="B73" s="919" t="s">
        <v>28</v>
      </c>
      <c r="C73" s="920">
        <f>+'Table 8 Membership 2.1.14'!J69</f>
        <v>4</v>
      </c>
      <c r="D73" s="921">
        <f>'Table 3 Levels 1&amp;2'!AL70*90%</f>
        <v>4526.2320962520707</v>
      </c>
      <c r="E73" s="921">
        <f t="shared" si="47"/>
        <v>18104.928385008283</v>
      </c>
      <c r="F73" s="922">
        <f>'Table 3A Level 3'!C72*90%</f>
        <v>644.04899999999998</v>
      </c>
      <c r="G73" s="922">
        <f t="shared" si="48"/>
        <v>2576.1959999999999</v>
      </c>
      <c r="H73" s="923">
        <f t="shared" si="49"/>
        <v>20681.124385008283</v>
      </c>
      <c r="I73" s="922">
        <f>(('Table 3 Levels 1&amp;2'!AL70-D73)+('Table 3A Level 3'!C72-F73))*C73</f>
        <v>2297.9027094453645</v>
      </c>
      <c r="J73" s="922">
        <f>'[1]Oct midyear LAVCA'!K70</f>
        <v>10340.562192504141</v>
      </c>
      <c r="K73" s="922">
        <f>'[1]Feb midyear LAVCA'!K70</f>
        <v>5170.2810962520707</v>
      </c>
      <c r="L73" s="924">
        <f t="shared" si="50"/>
        <v>15510.843288756212</v>
      </c>
      <c r="M73" s="923">
        <f t="shared" si="51"/>
        <v>36191.967673764491</v>
      </c>
      <c r="N73" s="922">
        <f t="shared" si="52"/>
        <v>-90.47991918441123</v>
      </c>
      <c r="O73" s="923">
        <f t="shared" si="53"/>
        <v>36101.487754580077</v>
      </c>
      <c r="P73" s="925">
        <v>0</v>
      </c>
      <c r="Q73" s="923">
        <f t="shared" si="54"/>
        <v>36101.487754580077</v>
      </c>
      <c r="R73" s="922">
        <f>8*'[2]Table 5C2 - LA Virtual Admy'!T72</f>
        <v>13752</v>
      </c>
      <c r="S73" s="922">
        <f t="shared" si="55"/>
        <v>22349.487754580077</v>
      </c>
      <c r="T73" s="923">
        <f t="shared" si="56"/>
        <v>5587</v>
      </c>
      <c r="U73" s="923">
        <f t="shared" si="68"/>
        <v>36101.487754580077</v>
      </c>
      <c r="V73" s="926">
        <f>'Table 5C1A-Madison Prep'!U73*90%</f>
        <v>4562.1000000000004</v>
      </c>
      <c r="W73" s="927">
        <f t="shared" si="57"/>
        <v>18248.400000000001</v>
      </c>
      <c r="X73" s="920">
        <f>'[1]Oct midyear LAVCA'!E70</f>
        <v>2</v>
      </c>
      <c r="Y73" s="928">
        <f t="shared" si="58"/>
        <v>9124.2000000000007</v>
      </c>
      <c r="Z73" s="1006">
        <f>'[1]Feb midyear LAVCA'!E70</f>
        <v>2</v>
      </c>
      <c r="AA73" s="928">
        <f t="shared" si="59"/>
        <v>4562.1000000000004</v>
      </c>
      <c r="AB73" s="929">
        <f t="shared" si="60"/>
        <v>13686.300000000001</v>
      </c>
      <c r="AC73" s="927">
        <f t="shared" si="61"/>
        <v>31934.700000000004</v>
      </c>
      <c r="AD73" s="928">
        <f t="shared" si="62"/>
        <v>-79.836750000000009</v>
      </c>
      <c r="AE73" s="927">
        <f t="shared" si="63"/>
        <v>31854.863250000006</v>
      </c>
      <c r="AF73" s="926">
        <v>0</v>
      </c>
      <c r="AG73" s="927">
        <f t="shared" si="64"/>
        <v>31854.863250000006</v>
      </c>
      <c r="AH73" s="928">
        <f>8*'[2]Table 5C2 - LA Virtual Admy'!AJ72</f>
        <v>12008</v>
      </c>
      <c r="AI73" s="928">
        <f t="shared" si="65"/>
        <v>19846.863250000006</v>
      </c>
      <c r="AJ73" s="927">
        <f t="shared" si="66"/>
        <v>4962</v>
      </c>
      <c r="AK73" s="930">
        <f t="shared" si="67"/>
        <v>67956.351004580079</v>
      </c>
      <c r="AL73" s="930">
        <f t="shared" si="46"/>
        <v>10549</v>
      </c>
      <c r="AN73" s="922">
        <v>-45.134999999999998</v>
      </c>
      <c r="AO73" s="922">
        <f t="shared" si="69"/>
        <v>-79.836750000000009</v>
      </c>
      <c r="AP73" s="922">
        <f t="shared" si="70"/>
        <v>-34.701750000000011</v>
      </c>
    </row>
    <row r="74" spans="1:42" s="917" customFormat="1" ht="16.149999999999999" customHeight="1">
      <c r="A74" s="918">
        <v>68</v>
      </c>
      <c r="B74" s="919" t="s">
        <v>27</v>
      </c>
      <c r="C74" s="920">
        <f>+'Table 8 Membership 2.1.14'!J70</f>
        <v>5</v>
      </c>
      <c r="D74" s="921">
        <f>'Table 3 Levels 1&amp;2'!AL71*90%</f>
        <v>5751.1479782304541</v>
      </c>
      <c r="E74" s="921">
        <f t="shared" si="47"/>
        <v>28755.739891152269</v>
      </c>
      <c r="F74" s="922">
        <f>'Table 3A Level 3'!C73*90%</f>
        <v>718.83</v>
      </c>
      <c r="G74" s="922">
        <f t="shared" si="48"/>
        <v>3594.15</v>
      </c>
      <c r="H74" s="923">
        <f t="shared" si="49"/>
        <v>32349.88989115227</v>
      </c>
      <c r="I74" s="922">
        <f>(('Table 3 Levels 1&amp;2'!AL71-D74)+('Table 3A Level 3'!C73-F74))*C74</f>
        <v>3594.43221012803</v>
      </c>
      <c r="J74" s="922">
        <f>'[1]Oct midyear LAVCA'!K71</f>
        <v>0</v>
      </c>
      <c r="K74" s="922">
        <f>'[1]Feb midyear LAVCA'!K71</f>
        <v>-3234.988989115227</v>
      </c>
      <c r="L74" s="924">
        <f t="shared" si="50"/>
        <v>-3234.988989115227</v>
      </c>
      <c r="M74" s="923">
        <f t="shared" si="51"/>
        <v>29114.900902037043</v>
      </c>
      <c r="N74" s="922">
        <f t="shared" si="52"/>
        <v>-72.787252255092611</v>
      </c>
      <c r="O74" s="923">
        <f t="shared" si="53"/>
        <v>29042.11364978195</v>
      </c>
      <c r="P74" s="925">
        <v>0</v>
      </c>
      <c r="Q74" s="923">
        <f t="shared" si="54"/>
        <v>29042.11364978195</v>
      </c>
      <c r="R74" s="922">
        <f>8*'[2]Table 5C2 - LA Virtual Admy'!T73</f>
        <v>21512</v>
      </c>
      <c r="S74" s="922">
        <f t="shared" si="55"/>
        <v>7530.1136497819498</v>
      </c>
      <c r="T74" s="923">
        <f t="shared" si="56"/>
        <v>1883</v>
      </c>
      <c r="U74" s="923">
        <f t="shared" si="68"/>
        <v>29042.11364978195</v>
      </c>
      <c r="V74" s="926">
        <f>'Table 5C1A-Madison Prep'!U74*90%</f>
        <v>2592</v>
      </c>
      <c r="W74" s="927">
        <f t="shared" si="57"/>
        <v>12960</v>
      </c>
      <c r="X74" s="920">
        <f>'[1]Oct midyear LAVCA'!E71</f>
        <v>0</v>
      </c>
      <c r="Y74" s="928">
        <f t="shared" si="58"/>
        <v>0</v>
      </c>
      <c r="Z74" s="1006">
        <f>'[1]Feb midyear LAVCA'!E71</f>
        <v>-1</v>
      </c>
      <c r="AA74" s="928">
        <f t="shared" si="59"/>
        <v>-1296</v>
      </c>
      <c r="AB74" s="929">
        <f t="shared" si="60"/>
        <v>-1296</v>
      </c>
      <c r="AC74" s="927">
        <f t="shared" si="61"/>
        <v>11664</v>
      </c>
      <c r="AD74" s="928">
        <f t="shared" si="62"/>
        <v>-29.16</v>
      </c>
      <c r="AE74" s="927">
        <f t="shared" si="63"/>
        <v>11634.84</v>
      </c>
      <c r="AF74" s="926">
        <v>0</v>
      </c>
      <c r="AG74" s="927">
        <f t="shared" si="64"/>
        <v>11634.84</v>
      </c>
      <c r="AH74" s="928">
        <f>8*'[2]Table 5C2 - LA Virtual Admy'!AJ73</f>
        <v>7984</v>
      </c>
      <c r="AI74" s="928">
        <f t="shared" si="65"/>
        <v>3650.84</v>
      </c>
      <c r="AJ74" s="927">
        <f t="shared" si="66"/>
        <v>913</v>
      </c>
      <c r="AK74" s="930">
        <f t="shared" si="67"/>
        <v>40676.95364978195</v>
      </c>
      <c r="AL74" s="930">
        <f t="shared" si="46"/>
        <v>2796</v>
      </c>
      <c r="AN74" s="922">
        <v>-30.026250000000001</v>
      </c>
      <c r="AO74" s="922">
        <f t="shared" si="69"/>
        <v>-29.16</v>
      </c>
      <c r="AP74" s="922">
        <f t="shared" si="70"/>
        <v>0.86625000000000085</v>
      </c>
    </row>
    <row r="75" spans="1:42" s="917" customFormat="1" ht="16.149999999999999" customHeight="1">
      <c r="A75" s="918">
        <v>69</v>
      </c>
      <c r="B75" s="919" t="s">
        <v>147</v>
      </c>
      <c r="C75" s="920">
        <f>+'Table 8 Membership 2.1.14'!J71</f>
        <v>12</v>
      </c>
      <c r="D75" s="921">
        <f>'Table 3 Levels 1&amp;2'!AL72*90%</f>
        <v>5150.24531291532</v>
      </c>
      <c r="E75" s="921">
        <f t="shared" si="47"/>
        <v>61802.94375498384</v>
      </c>
      <c r="F75" s="922">
        <f>'Table 3A Level 3'!C74*90%</f>
        <v>635.10299999999995</v>
      </c>
      <c r="G75" s="922">
        <f t="shared" si="48"/>
        <v>7621.235999999999</v>
      </c>
      <c r="H75" s="923">
        <f t="shared" si="49"/>
        <v>69424.179754983837</v>
      </c>
      <c r="I75" s="922">
        <f>(('Table 3 Levels 1&amp;2'!AL72-D75)+('Table 3A Level 3'!C74-F75))*C75</f>
        <v>7713.7977505537638</v>
      </c>
      <c r="J75" s="922">
        <f>'[1]Oct midyear LAVCA'!K72</f>
        <v>0</v>
      </c>
      <c r="K75" s="922">
        <f>'[1]Feb midyear LAVCA'!K72</f>
        <v>-11570.69662583064</v>
      </c>
      <c r="L75" s="924">
        <f t="shared" si="50"/>
        <v>-11570.69662583064</v>
      </c>
      <c r="M75" s="923">
        <f t="shared" si="51"/>
        <v>57853.483129153195</v>
      </c>
      <c r="N75" s="922">
        <f t="shared" si="52"/>
        <v>-144.633707822883</v>
      </c>
      <c r="O75" s="923">
        <f t="shared" si="53"/>
        <v>57708.849421330313</v>
      </c>
      <c r="P75" s="925">
        <v>0</v>
      </c>
      <c r="Q75" s="923">
        <f t="shared" si="54"/>
        <v>57708.849421330313</v>
      </c>
      <c r="R75" s="922">
        <f>8*'[2]Table 5C2 - LA Virtual Admy'!T74</f>
        <v>46168</v>
      </c>
      <c r="S75" s="922">
        <f t="shared" si="55"/>
        <v>11540.849421330313</v>
      </c>
      <c r="T75" s="923">
        <f t="shared" si="56"/>
        <v>2885</v>
      </c>
      <c r="U75" s="923">
        <f t="shared" si="68"/>
        <v>57708.849421330313</v>
      </c>
      <c r="V75" s="926">
        <f>'Table 5C1A-Madison Prep'!U75*90%</f>
        <v>2997</v>
      </c>
      <c r="W75" s="927">
        <f t="shared" si="57"/>
        <v>35964</v>
      </c>
      <c r="X75" s="920">
        <f>'[1]Oct midyear LAVCA'!E72</f>
        <v>0</v>
      </c>
      <c r="Y75" s="928">
        <f t="shared" si="58"/>
        <v>0</v>
      </c>
      <c r="Z75" s="1006">
        <f>'[1]Feb midyear LAVCA'!E72</f>
        <v>-4</v>
      </c>
      <c r="AA75" s="928">
        <f t="shared" si="59"/>
        <v>-5994</v>
      </c>
      <c r="AB75" s="929">
        <f t="shared" si="60"/>
        <v>-5994</v>
      </c>
      <c r="AC75" s="927">
        <f t="shared" si="61"/>
        <v>29970</v>
      </c>
      <c r="AD75" s="928">
        <f t="shared" si="62"/>
        <v>-74.924999999999997</v>
      </c>
      <c r="AE75" s="927">
        <f t="shared" si="63"/>
        <v>29895.075000000001</v>
      </c>
      <c r="AF75" s="926">
        <v>0</v>
      </c>
      <c r="AG75" s="927">
        <f t="shared" si="64"/>
        <v>29895.075000000001</v>
      </c>
      <c r="AH75" s="928">
        <f>8*'[2]Table 5C2 - LA Virtual Admy'!AJ74</f>
        <v>24376</v>
      </c>
      <c r="AI75" s="928">
        <f t="shared" si="65"/>
        <v>5519.0750000000007</v>
      </c>
      <c r="AJ75" s="927">
        <f t="shared" si="66"/>
        <v>1380</v>
      </c>
      <c r="AK75" s="930">
        <f t="shared" si="67"/>
        <v>87603.924421330317</v>
      </c>
      <c r="AL75" s="930">
        <f t="shared" si="46"/>
        <v>4265</v>
      </c>
      <c r="AN75" s="944">
        <v>-91.637999999999991</v>
      </c>
      <c r="AO75" s="944">
        <f t="shared" si="69"/>
        <v>-74.924999999999997</v>
      </c>
      <c r="AP75" s="944">
        <f t="shared" si="70"/>
        <v>16.712999999999994</v>
      </c>
    </row>
    <row r="76" spans="1:42" s="945" customFormat="1" ht="16.149999999999999" customHeight="1" thickBot="1">
      <c r="A76" s="1442" t="s">
        <v>711</v>
      </c>
      <c r="B76" s="1415" t="s">
        <v>260</v>
      </c>
      <c r="C76" s="1001">
        <f>SUM(C7:C75)</f>
        <v>1826</v>
      </c>
      <c r="D76" s="28"/>
      <c r="E76" s="35">
        <f>SUM(E7:E75)</f>
        <v>7548310.8440492442</v>
      </c>
      <c r="F76" s="35"/>
      <c r="G76" s="35">
        <f t="shared" ref="G76:U76" si="71">SUM(G7:G75)</f>
        <v>1149789.8007652205</v>
      </c>
      <c r="H76" s="348">
        <f t="shared" si="71"/>
        <v>8698100.6448144615</v>
      </c>
      <c r="I76" s="70">
        <f t="shared" si="71"/>
        <v>966455.62720160687</v>
      </c>
      <c r="J76" s="70">
        <f t="shared" si="71"/>
        <v>409498.73770499747</v>
      </c>
      <c r="K76" s="70">
        <f t="shared" si="71"/>
        <v>17496.311638098436</v>
      </c>
      <c r="L76" s="370">
        <f t="shared" si="71"/>
        <v>426995.04934309615</v>
      </c>
      <c r="M76" s="354">
        <f t="shared" si="71"/>
        <v>9125095.6941575594</v>
      </c>
      <c r="N76" s="66">
        <f t="shared" si="71"/>
        <v>-22812.739235393907</v>
      </c>
      <c r="O76" s="348">
        <f t="shared" si="71"/>
        <v>9102282.954922162</v>
      </c>
      <c r="P76" s="66">
        <f t="shared" si="71"/>
        <v>-38683.595887617179</v>
      </c>
      <c r="Q76" s="365">
        <f t="shared" si="71"/>
        <v>9063599.3590345457</v>
      </c>
      <c r="R76" s="70">
        <f t="shared" si="71"/>
        <v>5758464</v>
      </c>
      <c r="S76" s="66">
        <f t="shared" si="71"/>
        <v>3305135.3590345504</v>
      </c>
      <c r="T76" s="354">
        <f t="shared" si="71"/>
        <v>826282</v>
      </c>
      <c r="U76" s="374">
        <f t="shared" si="71"/>
        <v>9063599.3590345457</v>
      </c>
      <c r="V76" s="85"/>
      <c r="W76" s="375">
        <f t="shared" ref="W76:AL76" si="72">SUM(W7:W75)</f>
        <v>7202933.0999999987</v>
      </c>
      <c r="X76" s="74">
        <f t="shared" si="72"/>
        <v>74</v>
      </c>
      <c r="Y76" s="74">
        <f t="shared" si="72"/>
        <v>190661.40000000002</v>
      </c>
      <c r="Z76" s="74">
        <f t="shared" si="72"/>
        <v>15</v>
      </c>
      <c r="AA76" s="75">
        <f t="shared" si="72"/>
        <v>50820.299999999996</v>
      </c>
      <c r="AB76" s="63">
        <f t="shared" si="72"/>
        <v>241481.70000000004</v>
      </c>
      <c r="AC76" s="330">
        <f t="shared" si="72"/>
        <v>7444414.7999999989</v>
      </c>
      <c r="AD76" s="85">
        <f t="shared" si="72"/>
        <v>-18611.037</v>
      </c>
      <c r="AE76" s="330">
        <f t="shared" si="72"/>
        <v>7425803.7629999993</v>
      </c>
      <c r="AF76" s="85">
        <f t="shared" si="72"/>
        <v>0</v>
      </c>
      <c r="AG76" s="332">
        <f t="shared" si="72"/>
        <v>7425803.7629999993</v>
      </c>
      <c r="AH76" s="75">
        <f t="shared" si="72"/>
        <v>4755120</v>
      </c>
      <c r="AI76" s="85">
        <f t="shared" si="72"/>
        <v>2670683.7630000003</v>
      </c>
      <c r="AJ76" s="326">
        <f t="shared" si="72"/>
        <v>667674</v>
      </c>
      <c r="AK76" s="339">
        <f t="shared" si="72"/>
        <v>16489403.122034553</v>
      </c>
      <c r="AL76" s="339">
        <f t="shared" si="72"/>
        <v>1493956</v>
      </c>
      <c r="AN76" s="354">
        <f>SUM(AN7:AN75)</f>
        <v>-17876.441250000007</v>
      </c>
      <c r="AO76" s="354">
        <f>SUM(AO7:AO75)</f>
        <v>-18611.037</v>
      </c>
      <c r="AP76" s="354">
        <f>SUM(AP7:AP75)</f>
        <v>-734.59575000000098</v>
      </c>
    </row>
    <row r="77" spans="1:42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2"/>
      <c r="O77" s="220"/>
      <c r="P77" s="222"/>
      <c r="Q77" s="295">
        <f>+'Table 4 Level 4'!$E$98</f>
        <v>0</v>
      </c>
      <c r="R77" s="222">
        <f>8*'[2]Table 5C2 - LA Virtual Admy'!T76</f>
        <v>0</v>
      </c>
      <c r="S77" s="222">
        <f t="shared" ref="S77:S81" si="73">Q77-R77</f>
        <v>0</v>
      </c>
      <c r="T77" s="295">
        <f t="shared" ref="T77:T81" si="74">ROUND(S77/$T$88,0)</f>
        <v>0</v>
      </c>
      <c r="U77" s="371">
        <f>+'Table 4 Level 4'!$E$98</f>
        <v>0</v>
      </c>
      <c r="V77" s="290"/>
      <c r="W77" s="289"/>
      <c r="X77" s="289"/>
      <c r="Y77" s="289"/>
      <c r="Z77" s="289"/>
      <c r="AA77" s="290"/>
      <c r="AB77" s="293"/>
      <c r="AC77" s="290"/>
      <c r="AD77" s="293"/>
      <c r="AE77" s="293"/>
      <c r="AF77" s="293"/>
      <c r="AG77" s="293"/>
      <c r="AH77" s="293"/>
      <c r="AI77" s="293"/>
      <c r="AJ77" s="293"/>
      <c r="AK77" s="321">
        <f>AG77+U77</f>
        <v>0</v>
      </c>
      <c r="AL77" s="930">
        <f t="shared" ref="AL77:AL81" si="75">T77+AJ77</f>
        <v>0</v>
      </c>
    </row>
    <row r="78" spans="1:42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2"/>
      <c r="O78" s="220"/>
      <c r="P78" s="222"/>
      <c r="Q78" s="222"/>
      <c r="R78" s="222"/>
      <c r="S78" s="222"/>
      <c r="T78" s="222"/>
      <c r="U78" s="371">
        <f>+'Table 4 Level 4'!$J$98</f>
        <v>0</v>
      </c>
      <c r="V78" s="290"/>
      <c r="W78" s="289"/>
      <c r="X78" s="289"/>
      <c r="Y78" s="289"/>
      <c r="Z78" s="289"/>
      <c r="AA78" s="290"/>
      <c r="AB78" s="293"/>
      <c r="AC78" s="290"/>
      <c r="AD78" s="293"/>
      <c r="AE78" s="293"/>
      <c r="AF78" s="293"/>
      <c r="AG78" s="293"/>
      <c r="AH78" s="293"/>
      <c r="AI78" s="293"/>
      <c r="AJ78" s="293"/>
      <c r="AK78" s="293">
        <f t="shared" ref="AK78:AK81" si="76">AG78+U78</f>
        <v>0</v>
      </c>
      <c r="AL78" s="930">
        <f t="shared" si="75"/>
        <v>0</v>
      </c>
    </row>
    <row r="79" spans="1:42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2"/>
      <c r="O79" s="220"/>
      <c r="P79" s="222"/>
      <c r="Q79" s="222"/>
      <c r="R79" s="222"/>
      <c r="S79" s="222"/>
      <c r="T79" s="222"/>
      <c r="U79" s="371">
        <f>+'Table 4 Level 4'!$L$98</f>
        <v>10000</v>
      </c>
      <c r="V79" s="290"/>
      <c r="W79" s="289"/>
      <c r="X79" s="289"/>
      <c r="Y79" s="289"/>
      <c r="Z79" s="289"/>
      <c r="AA79" s="290"/>
      <c r="AB79" s="293"/>
      <c r="AC79" s="290"/>
      <c r="AD79" s="293"/>
      <c r="AE79" s="293"/>
      <c r="AF79" s="293"/>
      <c r="AG79" s="293"/>
      <c r="AH79" s="293"/>
      <c r="AI79" s="293"/>
      <c r="AJ79" s="293"/>
      <c r="AK79" s="293">
        <f t="shared" si="76"/>
        <v>10000</v>
      </c>
      <c r="AL79" s="930">
        <f t="shared" si="75"/>
        <v>0</v>
      </c>
    </row>
    <row r="80" spans="1:42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2"/>
      <c r="O80" s="220"/>
      <c r="P80" s="222"/>
      <c r="Q80" s="222"/>
      <c r="R80" s="222"/>
      <c r="S80" s="222"/>
      <c r="T80" s="222"/>
      <c r="U80" s="371">
        <f>+'Table 4 Level 4'!$M$98</f>
        <v>0</v>
      </c>
      <c r="V80" s="290"/>
      <c r="W80" s="289"/>
      <c r="X80" s="289"/>
      <c r="Y80" s="289"/>
      <c r="Z80" s="289"/>
      <c r="AA80" s="290"/>
      <c r="AB80" s="293"/>
      <c r="AC80" s="290"/>
      <c r="AD80" s="293"/>
      <c r="AE80" s="293"/>
      <c r="AF80" s="293"/>
      <c r="AG80" s="293"/>
      <c r="AH80" s="293"/>
      <c r="AI80" s="293"/>
      <c r="AJ80" s="293"/>
      <c r="AK80" s="293">
        <f t="shared" si="76"/>
        <v>0</v>
      </c>
      <c r="AL80" s="930">
        <f t="shared" si="75"/>
        <v>0</v>
      </c>
    </row>
    <row r="81" spans="1:38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7"/>
      <c r="O81" s="215"/>
      <c r="P81" s="217"/>
      <c r="Q81" s="353">
        <f>+'Table 4 Level 4'!$O$98</f>
        <v>23686</v>
      </c>
      <c r="R81" s="217">
        <f>8*'[2]Table 5C2 - LA Virtual Admy'!T80</f>
        <v>15792</v>
      </c>
      <c r="S81" s="217">
        <f t="shared" si="73"/>
        <v>7894</v>
      </c>
      <c r="T81" s="353">
        <f t="shared" si="74"/>
        <v>1974</v>
      </c>
      <c r="U81" s="372">
        <f>Q81</f>
        <v>23686</v>
      </c>
      <c r="V81" s="302"/>
      <c r="W81" s="301"/>
      <c r="X81" s="301"/>
      <c r="Y81" s="301"/>
      <c r="Z81" s="301"/>
      <c r="AA81" s="302"/>
      <c r="AB81" s="307"/>
      <c r="AC81" s="302"/>
      <c r="AD81" s="307"/>
      <c r="AE81" s="307"/>
      <c r="AF81" s="307"/>
      <c r="AG81" s="307"/>
      <c r="AH81" s="307"/>
      <c r="AI81" s="307"/>
      <c r="AJ81" s="307"/>
      <c r="AK81" s="322">
        <f t="shared" si="76"/>
        <v>23686</v>
      </c>
      <c r="AL81" s="943">
        <f t="shared" si="75"/>
        <v>1974</v>
      </c>
    </row>
    <row r="82" spans="1:38" ht="16.149999999999999" customHeight="1" thickBot="1">
      <c r="A82" s="1442" t="s">
        <v>710</v>
      </c>
      <c r="B82" s="1415"/>
      <c r="C82" s="136">
        <f>SUM(C76:C81)</f>
        <v>1826</v>
      </c>
      <c r="D82" s="128">
        <f t="shared" ref="D82:AL82" si="77">SUM(D76:D81)</f>
        <v>0</v>
      </c>
      <c r="E82" s="128">
        <f t="shared" si="77"/>
        <v>7548310.8440492442</v>
      </c>
      <c r="F82" s="128">
        <f t="shared" si="77"/>
        <v>0</v>
      </c>
      <c r="G82" s="128">
        <f t="shared" si="77"/>
        <v>1149789.8007652205</v>
      </c>
      <c r="H82" s="128">
        <f t="shared" si="77"/>
        <v>8698100.6448144615</v>
      </c>
      <c r="I82" s="133">
        <f t="shared" si="77"/>
        <v>966455.62720160687</v>
      </c>
      <c r="J82" s="133">
        <f t="shared" si="77"/>
        <v>409498.73770499747</v>
      </c>
      <c r="K82" s="133">
        <f t="shared" si="77"/>
        <v>17496.311638098436</v>
      </c>
      <c r="L82" s="128">
        <f t="shared" si="77"/>
        <v>426995.04934309615</v>
      </c>
      <c r="M82" s="133">
        <f t="shared" si="77"/>
        <v>9125095.6941575594</v>
      </c>
      <c r="N82" s="133">
        <f t="shared" si="77"/>
        <v>-22812.739235393907</v>
      </c>
      <c r="O82" s="128">
        <f t="shared" si="77"/>
        <v>9102282.954922162</v>
      </c>
      <c r="P82" s="133">
        <f t="shared" si="77"/>
        <v>-38683.595887617179</v>
      </c>
      <c r="Q82" s="355">
        <f t="shared" si="77"/>
        <v>9087285.3590345457</v>
      </c>
      <c r="R82" s="133">
        <f t="shared" si="77"/>
        <v>5774256</v>
      </c>
      <c r="S82" s="133">
        <f t="shared" si="77"/>
        <v>3313029.3590345504</v>
      </c>
      <c r="T82" s="355">
        <f t="shared" si="77"/>
        <v>828256</v>
      </c>
      <c r="U82" s="373">
        <f t="shared" si="77"/>
        <v>9097285.3590345457</v>
      </c>
      <c r="V82" s="134">
        <f t="shared" si="77"/>
        <v>0</v>
      </c>
      <c r="W82" s="136">
        <f t="shared" si="77"/>
        <v>7202933.0999999987</v>
      </c>
      <c r="X82" s="136">
        <f t="shared" si="77"/>
        <v>74</v>
      </c>
      <c r="Y82" s="136">
        <f t="shared" si="77"/>
        <v>190661.40000000002</v>
      </c>
      <c r="Z82" s="136">
        <f t="shared" si="77"/>
        <v>15</v>
      </c>
      <c r="AA82" s="134">
        <f t="shared" si="77"/>
        <v>50820.299999999996</v>
      </c>
      <c r="AB82" s="134">
        <f t="shared" si="77"/>
        <v>241481.70000000004</v>
      </c>
      <c r="AC82" s="134">
        <f t="shared" si="77"/>
        <v>7444414.7999999989</v>
      </c>
      <c r="AD82" s="134">
        <f t="shared" si="77"/>
        <v>-18611.037</v>
      </c>
      <c r="AE82" s="134">
        <f t="shared" si="77"/>
        <v>7425803.7629999993</v>
      </c>
      <c r="AF82" s="134">
        <f t="shared" si="77"/>
        <v>0</v>
      </c>
      <c r="AG82" s="134">
        <f t="shared" si="77"/>
        <v>7425803.7629999993</v>
      </c>
      <c r="AH82" s="134">
        <f t="shared" si="77"/>
        <v>4755120</v>
      </c>
      <c r="AI82" s="134">
        <f t="shared" si="77"/>
        <v>2670683.7630000003</v>
      </c>
      <c r="AJ82" s="135">
        <f t="shared" si="77"/>
        <v>667674</v>
      </c>
      <c r="AK82" s="320">
        <f t="shared" si="77"/>
        <v>16523089.122034553</v>
      </c>
      <c r="AL82" s="320">
        <f t="shared" si="77"/>
        <v>1495930</v>
      </c>
    </row>
    <row r="83" spans="1:38" ht="16.149999999999999" hidden="1" customHeight="1" thickTop="1">
      <c r="B83" s="946"/>
      <c r="C83" s="947"/>
      <c r="D83" s="948"/>
      <c r="E83" s="947"/>
      <c r="F83" s="947"/>
      <c r="G83" s="947"/>
      <c r="H83" s="949"/>
      <c r="I83" s="949"/>
      <c r="J83" s="949"/>
      <c r="K83" s="949"/>
      <c r="L83" s="949"/>
      <c r="M83" s="949"/>
      <c r="N83" s="949"/>
      <c r="O83" s="949"/>
      <c r="P83" s="949"/>
      <c r="Q83" s="949"/>
      <c r="R83" s="949"/>
      <c r="S83" s="949"/>
      <c r="T83" s="949"/>
      <c r="U83" s="949"/>
    </row>
    <row r="84" spans="1:38" ht="16.149999999999999" hidden="1" customHeight="1">
      <c r="B84" s="946"/>
      <c r="C84" s="947"/>
      <c r="D84" s="948"/>
      <c r="E84" s="947"/>
      <c r="F84" s="947"/>
      <c r="G84" s="947"/>
      <c r="H84" s="949"/>
      <c r="I84" s="949"/>
      <c r="J84" s="949"/>
      <c r="K84" s="949"/>
      <c r="L84" s="949"/>
      <c r="M84" s="949"/>
      <c r="N84" s="949">
        <v>-21745.251612036154</v>
      </c>
      <c r="O84" s="949" t="s">
        <v>1044</v>
      </c>
      <c r="P84" s="949"/>
      <c r="Q84" s="949"/>
      <c r="R84" s="949"/>
      <c r="S84" s="949"/>
      <c r="T84" s="949"/>
      <c r="U84" s="949"/>
    </row>
    <row r="85" spans="1:38" ht="16.149999999999999" hidden="1" customHeight="1">
      <c r="B85" s="946"/>
      <c r="C85" s="947"/>
      <c r="D85" s="948"/>
      <c r="E85" s="947"/>
      <c r="F85" s="947"/>
      <c r="G85" s="947"/>
      <c r="H85" s="949"/>
      <c r="I85" s="949"/>
      <c r="J85" s="949"/>
      <c r="K85" s="949"/>
      <c r="L85" s="949"/>
      <c r="M85" s="949"/>
      <c r="N85" s="949">
        <f>N82-N84</f>
        <v>-1067.4876233577525</v>
      </c>
      <c r="O85" s="949" t="s">
        <v>1045</v>
      </c>
      <c r="P85" s="949"/>
      <c r="Q85" s="949"/>
      <c r="R85" s="949"/>
      <c r="S85" s="949"/>
      <c r="T85" s="949"/>
      <c r="U85" s="949"/>
    </row>
    <row r="86" spans="1:38" ht="16.149999999999999" hidden="1" customHeight="1">
      <c r="B86" s="946"/>
      <c r="C86" s="947"/>
      <c r="D86" s="948"/>
      <c r="E86" s="947"/>
      <c r="F86" s="947"/>
      <c r="G86" s="947"/>
      <c r="H86" s="949"/>
      <c r="I86" s="949"/>
      <c r="J86" s="949"/>
      <c r="K86" s="949"/>
      <c r="L86" s="949"/>
      <c r="M86" s="949"/>
      <c r="N86" s="949"/>
      <c r="O86" s="949"/>
      <c r="P86" s="949"/>
      <c r="Q86" s="949"/>
      <c r="R86" s="949"/>
      <c r="S86" s="949"/>
      <c r="T86" s="949"/>
      <c r="U86" s="949"/>
    </row>
    <row r="87" spans="1:38" ht="16.149999999999999" hidden="1" customHeight="1">
      <c r="B87" s="946"/>
      <c r="C87" s="947"/>
      <c r="D87" s="948"/>
      <c r="E87" s="947"/>
      <c r="F87" s="947"/>
      <c r="G87" s="947"/>
      <c r="H87" s="949"/>
      <c r="I87" s="949"/>
      <c r="J87" s="949"/>
      <c r="K87" s="949"/>
      <c r="L87" s="949"/>
      <c r="M87" s="949"/>
      <c r="N87" s="949"/>
      <c r="O87" s="949"/>
      <c r="P87" s="949"/>
      <c r="Q87" s="949"/>
      <c r="R87" s="949"/>
      <c r="S87" s="949"/>
      <c r="T87" s="949"/>
      <c r="U87" s="949"/>
    </row>
    <row r="88" spans="1:38" ht="16.149999999999999" hidden="1" customHeight="1">
      <c r="B88" s="946"/>
      <c r="C88" s="947"/>
      <c r="D88" s="948"/>
      <c r="E88" s="947"/>
      <c r="F88" s="947"/>
      <c r="G88" s="947"/>
      <c r="H88" s="949"/>
      <c r="I88" s="949"/>
      <c r="J88" s="949"/>
      <c r="K88" s="949"/>
      <c r="L88" s="949"/>
      <c r="M88" s="949"/>
      <c r="N88" s="949"/>
      <c r="O88" s="949"/>
      <c r="P88" s="949"/>
      <c r="Q88" s="949"/>
      <c r="R88" s="949"/>
      <c r="S88" s="949" t="str">
        <f>'Table 2_State Distrib and Adjs'!$AK$77</f>
        <v>Monthly Pmts Remaining</v>
      </c>
      <c r="T88" s="949">
        <f>'Table 2_State Distrib and Adjs'!$AL$77</f>
        <v>4</v>
      </c>
      <c r="U88" s="949"/>
      <c r="AI88" s="889" t="str">
        <f>'Table 2_State Distrib and Adjs'!$AK$77</f>
        <v>Monthly Pmts Remaining</v>
      </c>
      <c r="AJ88" s="889">
        <f>'Table 2_State Distrib and Adjs'!$AL$77</f>
        <v>4</v>
      </c>
    </row>
    <row r="89" spans="1:38" s="950" customFormat="1" ht="16.149999999999999" customHeight="1" thickTop="1">
      <c r="C89" s="951"/>
      <c r="D89" s="952"/>
      <c r="E89" s="952"/>
      <c r="F89" s="952"/>
      <c r="G89" s="952"/>
      <c r="H89" s="952"/>
      <c r="I89" s="952"/>
      <c r="J89" s="952"/>
      <c r="K89" s="952"/>
      <c r="L89" s="952"/>
      <c r="M89" s="952"/>
      <c r="N89" s="952"/>
    </row>
    <row r="90" spans="1:38" ht="16.149999999999999" customHeight="1"/>
    <row r="91" spans="1:38" ht="16.149999999999999" customHeight="1"/>
  </sheetData>
  <mergeCells count="47">
    <mergeCell ref="P3:P4"/>
    <mergeCell ref="Q3:Q4"/>
    <mergeCell ref="T3:T4"/>
    <mergeCell ref="I3:I4"/>
    <mergeCell ref="J3:J4"/>
    <mergeCell ref="K3:K4"/>
    <mergeCell ref="L3:L4"/>
    <mergeCell ref="M3:M4"/>
    <mergeCell ref="S3:S4"/>
    <mergeCell ref="AD1:AJ1"/>
    <mergeCell ref="V1:AC1"/>
    <mergeCell ref="A1:B4"/>
    <mergeCell ref="J2:L2"/>
    <mergeCell ref="X2:AB2"/>
    <mergeCell ref="U3:U4"/>
    <mergeCell ref="C1:L1"/>
    <mergeCell ref="M1:U1"/>
    <mergeCell ref="D3:D4"/>
    <mergeCell ref="C3:C4"/>
    <mergeCell ref="E3:E4"/>
    <mergeCell ref="F3:F4"/>
    <mergeCell ref="G3:G4"/>
    <mergeCell ref="H3:H4"/>
    <mergeCell ref="O3:O4"/>
    <mergeCell ref="Y3:Y4"/>
    <mergeCell ref="AK3:AK4"/>
    <mergeCell ref="AL3:AL4"/>
    <mergeCell ref="AF3:AF4"/>
    <mergeCell ref="AG3:AG4"/>
    <mergeCell ref="AJ3:AJ4"/>
    <mergeCell ref="AI3:AI4"/>
    <mergeCell ref="AH3:AH4"/>
    <mergeCell ref="V3:V4"/>
    <mergeCell ref="W3:W4"/>
    <mergeCell ref="AE3:AE4"/>
    <mergeCell ref="R3:R4"/>
    <mergeCell ref="AC3:AC4"/>
    <mergeCell ref="AA3:AA4"/>
    <mergeCell ref="X3:X4"/>
    <mergeCell ref="Z3:Z4"/>
    <mergeCell ref="A76:B76"/>
    <mergeCell ref="A81:B81"/>
    <mergeCell ref="A82:B82"/>
    <mergeCell ref="A77:B77"/>
    <mergeCell ref="A78:B78"/>
    <mergeCell ref="A79:B79"/>
    <mergeCell ref="A80:B80"/>
  </mergeCells>
  <printOptions horizontalCentered="1"/>
  <pageMargins left="0.32" right="0.32" top="0.75" bottom="0.75" header="0.3" footer="0.3"/>
  <pageSetup paperSize="5" scale="56" firstPageNumber="66" orientation="portrait" r:id="rId1"/>
  <headerFooter alignWithMargins="0">
    <oddHeader>&amp;L&amp;"Arial,Bold"&amp;20&amp;K000000Table 5C2: FY2014-15 Budget Letter (March 2015)
Louisiana Virtual Charter Academy</oddHeader>
    <oddFooter>&amp;R&amp;P</oddFooter>
  </headerFooter>
  <colBreaks count="3" manualBreakCount="3">
    <brk id="21" max="1048575" man="1"/>
    <brk id="29" max="85" man="1"/>
    <brk id="39" max="86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7" tint="0.79998168889431442"/>
  </sheetPr>
  <dimension ref="A1:AP91"/>
  <sheetViews>
    <sheetView view="pageBreakPreview" zoomScale="80" zoomScaleNormal="85" zoomScaleSheetLayoutView="80" workbookViewId="0">
      <pane xSplit="2" ySplit="5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9.140625" defaultRowHeight="18" customHeight="1"/>
  <cols>
    <col min="1" max="1" width="5.140625" style="889" customWidth="1"/>
    <col min="2" max="2" width="37.7109375" style="889" customWidth="1"/>
    <col min="3" max="3" width="12.140625" style="889" bestFit="1" customWidth="1"/>
    <col min="4" max="4" width="14.28515625" style="889" bestFit="1" customWidth="1"/>
    <col min="5" max="5" width="9.85546875" style="949" customWidth="1"/>
    <col min="6" max="7" width="12.28515625" style="949" customWidth="1"/>
    <col min="8" max="8" width="11.5703125" style="889" customWidth="1"/>
    <col min="9" max="9" width="11.28515625" style="889" bestFit="1" customWidth="1"/>
    <col min="10" max="13" width="11.85546875" style="889" customWidth="1"/>
    <col min="14" max="14" width="10.5703125" style="889" bestFit="1" customWidth="1"/>
    <col min="15" max="17" width="11.85546875" style="889" bestFit="1" customWidth="1"/>
    <col min="18" max="18" width="10.7109375" style="889" customWidth="1"/>
    <col min="19" max="19" width="10.7109375" style="889" bestFit="1" customWidth="1"/>
    <col min="20" max="20" width="9.85546875" style="889" bestFit="1" customWidth="1"/>
    <col min="21" max="21" width="11.85546875" style="889" bestFit="1" customWidth="1"/>
    <col min="22" max="23" width="15.42578125" style="889" customWidth="1"/>
    <col min="24" max="24" width="12.140625" style="889" bestFit="1" customWidth="1"/>
    <col min="25" max="25" width="10.85546875" style="889" bestFit="1" customWidth="1"/>
    <col min="26" max="27" width="12.140625" style="889" bestFit="1" customWidth="1"/>
    <col min="28" max="28" width="10.85546875" style="889" bestFit="1" customWidth="1"/>
    <col min="29" max="29" width="14.42578125" style="889" bestFit="1" customWidth="1"/>
    <col min="30" max="30" width="10.5703125" style="889" bestFit="1" customWidth="1"/>
    <col min="31" max="31" width="11.85546875" style="889" bestFit="1" customWidth="1"/>
    <col min="32" max="32" width="15.42578125" style="889" bestFit="1" customWidth="1"/>
    <col min="33" max="33" width="16.28515625" style="889" bestFit="1" customWidth="1"/>
    <col min="34" max="34" width="11" style="889" customWidth="1"/>
    <col min="35" max="35" width="10.7109375" style="889" bestFit="1" customWidth="1"/>
    <col min="36" max="36" width="14" style="889" customWidth="1"/>
    <col min="37" max="37" width="14.42578125" style="889" bestFit="1" customWidth="1"/>
    <col min="38" max="38" width="14.140625" style="889" customWidth="1"/>
    <col min="39" max="39" width="0" style="889" hidden="1" customWidth="1"/>
    <col min="40" max="42" width="11.7109375" style="889" hidden="1" customWidth="1"/>
    <col min="43" max="16384" width="9.140625" style="889"/>
  </cols>
  <sheetData>
    <row r="1" spans="1:42" ht="23.45" customHeight="1">
      <c r="A1" s="1447" t="s">
        <v>265</v>
      </c>
      <c r="B1" s="1447"/>
      <c r="C1" s="1599" t="s">
        <v>742</v>
      </c>
      <c r="D1" s="1600"/>
      <c r="E1" s="1600"/>
      <c r="F1" s="1600"/>
      <c r="G1" s="1600"/>
      <c r="H1" s="1600"/>
      <c r="I1" s="1600"/>
      <c r="J1" s="1600"/>
      <c r="K1" s="1600"/>
      <c r="L1" s="1601"/>
      <c r="M1" s="1599" t="s">
        <v>742</v>
      </c>
      <c r="N1" s="1600"/>
      <c r="O1" s="1600"/>
      <c r="P1" s="1600"/>
      <c r="Q1" s="1600"/>
      <c r="R1" s="1600"/>
      <c r="S1" s="1600"/>
      <c r="T1" s="1600"/>
      <c r="U1" s="1601"/>
      <c r="V1" s="1489" t="s">
        <v>856</v>
      </c>
      <c r="W1" s="1487"/>
      <c r="X1" s="1487"/>
      <c r="Y1" s="1487"/>
      <c r="Z1" s="1487"/>
      <c r="AA1" s="1487"/>
      <c r="AB1" s="1487"/>
      <c r="AC1" s="1488"/>
      <c r="AD1" s="1489" t="s">
        <v>856</v>
      </c>
      <c r="AE1" s="1487"/>
      <c r="AF1" s="1487"/>
      <c r="AG1" s="1487"/>
      <c r="AH1" s="1487"/>
      <c r="AI1" s="1487"/>
      <c r="AJ1" s="1488"/>
    </row>
    <row r="2" spans="1:42" ht="22.15" customHeight="1">
      <c r="A2" s="1447"/>
      <c r="B2" s="1447"/>
      <c r="C2" s="890"/>
      <c r="D2" s="891"/>
      <c r="E2" s="892"/>
      <c r="F2" s="892"/>
      <c r="G2" s="892"/>
      <c r="H2" s="891"/>
      <c r="I2" s="891"/>
      <c r="J2" s="1448" t="s">
        <v>411</v>
      </c>
      <c r="K2" s="1449"/>
      <c r="L2" s="1450"/>
      <c r="M2" s="890"/>
      <c r="N2" s="891"/>
      <c r="O2" s="891"/>
      <c r="P2" s="891"/>
      <c r="Q2" s="891"/>
      <c r="R2" s="891"/>
      <c r="S2" s="891"/>
      <c r="T2" s="891"/>
      <c r="U2" s="893"/>
      <c r="V2" s="894"/>
      <c r="W2" s="895"/>
      <c r="X2" s="1448" t="s">
        <v>411</v>
      </c>
      <c r="Y2" s="1449"/>
      <c r="Z2" s="1449"/>
      <c r="AA2" s="1449"/>
      <c r="AB2" s="1450"/>
      <c r="AC2" s="896"/>
      <c r="AD2" s="894"/>
      <c r="AE2" s="895"/>
      <c r="AF2" s="895"/>
      <c r="AG2" s="895"/>
      <c r="AH2" s="895"/>
      <c r="AI2" s="895"/>
      <c r="AJ2" s="896"/>
    </row>
    <row r="3" spans="1:42" ht="168.6" customHeight="1">
      <c r="A3" s="1447"/>
      <c r="B3" s="1447"/>
      <c r="C3" s="1609" t="s">
        <v>622</v>
      </c>
      <c r="D3" s="1611" t="s">
        <v>783</v>
      </c>
      <c r="E3" s="1610" t="s">
        <v>781</v>
      </c>
      <c r="F3" s="1611" t="s">
        <v>784</v>
      </c>
      <c r="G3" s="1611" t="s">
        <v>782</v>
      </c>
      <c r="H3" s="1610" t="s">
        <v>428</v>
      </c>
      <c r="I3" s="1611" t="s">
        <v>785</v>
      </c>
      <c r="J3" s="1507" t="s">
        <v>555</v>
      </c>
      <c r="K3" s="1507" t="s">
        <v>554</v>
      </c>
      <c r="L3" s="1507" t="s">
        <v>430</v>
      </c>
      <c r="M3" s="1607" t="s">
        <v>741</v>
      </c>
      <c r="N3" s="757" t="s">
        <v>747</v>
      </c>
      <c r="O3" s="1606" t="s">
        <v>690</v>
      </c>
      <c r="P3" s="1480" t="s">
        <v>702</v>
      </c>
      <c r="Q3" s="1606" t="s">
        <v>722</v>
      </c>
      <c r="R3" s="1590" t="s">
        <v>546</v>
      </c>
      <c r="S3" s="1590" t="s">
        <v>547</v>
      </c>
      <c r="T3" s="1475" t="s">
        <v>429</v>
      </c>
      <c r="U3" s="1462" t="s">
        <v>734</v>
      </c>
      <c r="V3" s="1510" t="s">
        <v>923</v>
      </c>
      <c r="W3" s="1510" t="s">
        <v>877</v>
      </c>
      <c r="X3" s="1507" t="s">
        <v>860</v>
      </c>
      <c r="Y3" s="1507" t="s">
        <v>858</v>
      </c>
      <c r="Z3" s="1507" t="s">
        <v>861</v>
      </c>
      <c r="AA3" s="1507" t="s">
        <v>859</v>
      </c>
      <c r="AB3" s="988" t="s">
        <v>430</v>
      </c>
      <c r="AC3" s="1592" t="s">
        <v>862</v>
      </c>
      <c r="AD3" s="863" t="s">
        <v>746</v>
      </c>
      <c r="AE3" s="1589" t="s">
        <v>863</v>
      </c>
      <c r="AF3" s="1608" t="s">
        <v>702</v>
      </c>
      <c r="AG3" s="1589" t="s">
        <v>874</v>
      </c>
      <c r="AH3" s="1594" t="s">
        <v>653</v>
      </c>
      <c r="AI3" s="1594" t="s">
        <v>547</v>
      </c>
      <c r="AJ3" s="1594" t="s">
        <v>851</v>
      </c>
      <c r="AK3" s="1351" t="s">
        <v>870</v>
      </c>
      <c r="AL3" s="1351" t="s">
        <v>869</v>
      </c>
      <c r="AN3" s="757" t="s">
        <v>1041</v>
      </c>
      <c r="AO3" s="757" t="s">
        <v>1042</v>
      </c>
      <c r="AP3" s="757" t="s">
        <v>253</v>
      </c>
    </row>
    <row r="4" spans="1:42" ht="21.6" customHeight="1">
      <c r="A4" s="1447"/>
      <c r="B4" s="1447"/>
      <c r="C4" s="1603"/>
      <c r="D4" s="1476"/>
      <c r="E4" s="1591"/>
      <c r="F4" s="1476"/>
      <c r="G4" s="1476"/>
      <c r="H4" s="1591"/>
      <c r="I4" s="1476"/>
      <c r="J4" s="1470"/>
      <c r="K4" s="1470"/>
      <c r="L4" s="1470"/>
      <c r="M4" s="1520"/>
      <c r="N4" s="898">
        <v>2.5000000000000001E-3</v>
      </c>
      <c r="O4" s="1606"/>
      <c r="P4" s="1481"/>
      <c r="Q4" s="1606"/>
      <c r="R4" s="1591"/>
      <c r="S4" s="1591"/>
      <c r="T4" s="1591"/>
      <c r="U4" s="1463"/>
      <c r="V4" s="1486"/>
      <c r="W4" s="1486"/>
      <c r="X4" s="1470"/>
      <c r="Y4" s="1470"/>
      <c r="Z4" s="1470"/>
      <c r="AA4" s="1470"/>
      <c r="AB4" s="987"/>
      <c r="AC4" s="1499"/>
      <c r="AD4" s="867">
        <v>2.5000000000000001E-3</v>
      </c>
      <c r="AE4" s="1472"/>
      <c r="AF4" s="1481"/>
      <c r="AG4" s="1472"/>
      <c r="AH4" s="1595"/>
      <c r="AI4" s="1595"/>
      <c r="AJ4" s="1595"/>
      <c r="AK4" s="1352"/>
      <c r="AL4" s="1352"/>
      <c r="AN4" s="898">
        <v>2.5000000000000001E-3</v>
      </c>
      <c r="AO4" s="898">
        <v>2.5000000000000001E-3</v>
      </c>
      <c r="AP4" s="898"/>
    </row>
    <row r="5" spans="1:42" s="901" customFormat="1" ht="16.5" customHeight="1">
      <c r="A5" s="953"/>
      <c r="B5" s="953"/>
      <c r="C5" s="954">
        <v>1</v>
      </c>
      <c r="D5" s="955">
        <f>C5+1</f>
        <v>2</v>
      </c>
      <c r="E5" s="955">
        <f>D5+1</f>
        <v>3</v>
      </c>
      <c r="F5" s="955">
        <f>E5+1</f>
        <v>4</v>
      </c>
      <c r="G5" s="955">
        <f>F5+1</f>
        <v>5</v>
      </c>
      <c r="H5" s="955">
        <f t="shared" ref="H5" si="0">G5+1</f>
        <v>6</v>
      </c>
      <c r="I5" s="955">
        <f t="shared" ref="I5" si="1">H5+1</f>
        <v>7</v>
      </c>
      <c r="J5" s="955">
        <f t="shared" ref="J5" si="2">I5+1</f>
        <v>8</v>
      </c>
      <c r="K5" s="955">
        <f t="shared" ref="K5" si="3">J5+1</f>
        <v>9</v>
      </c>
      <c r="L5" s="955">
        <f t="shared" ref="L5" si="4">K5+1</f>
        <v>10</v>
      </c>
      <c r="M5" s="955">
        <f t="shared" ref="M5:N5" si="5">L5+1</f>
        <v>11</v>
      </c>
      <c r="N5" s="955">
        <f t="shared" si="5"/>
        <v>12</v>
      </c>
      <c r="O5" s="955">
        <f t="shared" ref="O5" si="6">N5+1</f>
        <v>13</v>
      </c>
      <c r="P5" s="955">
        <f t="shared" ref="P5" si="7">O5+1</f>
        <v>14</v>
      </c>
      <c r="Q5" s="955">
        <f t="shared" ref="Q5" si="8">P5+1</f>
        <v>15</v>
      </c>
      <c r="R5" s="955">
        <f t="shared" ref="R5" si="9">Q5+1</f>
        <v>16</v>
      </c>
      <c r="S5" s="955">
        <f t="shared" ref="S5" si="10">R5+1</f>
        <v>17</v>
      </c>
      <c r="T5" s="955">
        <f t="shared" ref="T5" si="11">S5+1</f>
        <v>18</v>
      </c>
      <c r="U5" s="955">
        <f t="shared" ref="U5" si="12">T5+1</f>
        <v>19</v>
      </c>
      <c r="V5" s="955">
        <f t="shared" ref="V5" si="13">U5+1</f>
        <v>20</v>
      </c>
      <c r="W5" s="955">
        <f t="shared" ref="W5" si="14">V5+1</f>
        <v>21</v>
      </c>
      <c r="X5" s="955">
        <f t="shared" ref="X5" si="15">W5+1</f>
        <v>22</v>
      </c>
      <c r="Y5" s="955">
        <f t="shared" ref="Y5" si="16">X5+1</f>
        <v>23</v>
      </c>
      <c r="Z5" s="955">
        <f t="shared" ref="Z5" si="17">Y5+1</f>
        <v>24</v>
      </c>
      <c r="AA5" s="955">
        <f t="shared" ref="AA5" si="18">Z5+1</f>
        <v>25</v>
      </c>
      <c r="AB5" s="955">
        <f t="shared" ref="AB5" si="19">AA5+1</f>
        <v>26</v>
      </c>
      <c r="AC5" s="955">
        <f t="shared" ref="AC5" si="20">AB5+1</f>
        <v>27</v>
      </c>
      <c r="AD5" s="955">
        <f t="shared" ref="AD5" si="21">AC5+1</f>
        <v>28</v>
      </c>
      <c r="AE5" s="955">
        <f t="shared" ref="AE5" si="22">AD5+1</f>
        <v>29</v>
      </c>
      <c r="AF5" s="955">
        <f t="shared" ref="AF5" si="23">AE5+1</f>
        <v>30</v>
      </c>
      <c r="AG5" s="955">
        <f t="shared" ref="AG5" si="24">AF5+1</f>
        <v>31</v>
      </c>
      <c r="AH5" s="955">
        <f t="shared" ref="AH5" si="25">AG5+1</f>
        <v>32</v>
      </c>
      <c r="AI5" s="955">
        <f t="shared" ref="AI5" si="26">AH5+1</f>
        <v>33</v>
      </c>
      <c r="AJ5" s="955">
        <f t="shared" ref="AJ5" si="27">AI5+1</f>
        <v>34</v>
      </c>
      <c r="AK5" s="955">
        <f t="shared" ref="AK5" si="28">AJ5+1</f>
        <v>35</v>
      </c>
      <c r="AL5" s="955">
        <f t="shared" ref="AL5" si="29">AK5+1</f>
        <v>36</v>
      </c>
      <c r="AN5" s="955"/>
      <c r="AO5" s="955"/>
      <c r="AP5" s="955"/>
    </row>
    <row r="6" spans="1:42" s="901" customFormat="1" ht="16.5" hidden="1" customHeight="1">
      <c r="A6" s="956"/>
      <c r="B6" s="956"/>
      <c r="C6" s="902"/>
      <c r="D6" s="903"/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  <c r="Y6" s="903"/>
      <c r="Z6" s="903"/>
      <c r="AA6" s="903"/>
      <c r="AB6" s="903"/>
      <c r="AC6" s="903"/>
      <c r="AD6" s="903"/>
      <c r="AE6" s="903"/>
      <c r="AF6" s="903"/>
      <c r="AG6" s="903"/>
      <c r="AH6" s="903"/>
      <c r="AI6" s="903"/>
      <c r="AJ6" s="903"/>
      <c r="AK6" s="903"/>
      <c r="AL6" s="903"/>
      <c r="AN6" s="903"/>
      <c r="AO6" s="903"/>
      <c r="AP6" s="903"/>
    </row>
    <row r="7" spans="1:42" s="917" customFormat="1" ht="16.5" customHeight="1">
      <c r="A7" s="904">
        <v>1</v>
      </c>
      <c r="B7" s="905" t="s">
        <v>73</v>
      </c>
      <c r="C7" s="906">
        <f>+'Table 8 Membership 2.1.14'!L3</f>
        <v>14</v>
      </c>
      <c r="D7" s="907">
        <f>'Table 3 Levels 1&amp;2'!AL4*90%</f>
        <v>4289.272597201485</v>
      </c>
      <c r="E7" s="907">
        <f>C7*D7</f>
        <v>60049.816360820791</v>
      </c>
      <c r="F7" s="908">
        <f>'Table 3A Level 3'!C6*90%</f>
        <v>699.73200000000008</v>
      </c>
      <c r="G7" s="908">
        <f>F7*C7</f>
        <v>9796.2480000000014</v>
      </c>
      <c r="H7" s="909">
        <f>E7+G7</f>
        <v>69846.06436082079</v>
      </c>
      <c r="I7" s="908">
        <f>(('Table 3 Levels 1&amp;2'!AL4-D7)+('Table 3A Level 3'!C6-F7))*C7</f>
        <v>7760.6738178689784</v>
      </c>
      <c r="J7" s="908">
        <f>'[1]Oct midyear LA Conn'!K4</f>
        <v>74835.068958022282</v>
      </c>
      <c r="K7" s="908">
        <f>'[1]Feb midyear LA Conn'!K4</f>
        <v>-2494.5022986007425</v>
      </c>
      <c r="L7" s="910">
        <f>J7+K7</f>
        <v>72340.566659421544</v>
      </c>
      <c r="M7" s="909">
        <f>+H7+L7</f>
        <v>142186.63102024235</v>
      </c>
      <c r="N7" s="908">
        <f>-0.25%*M7</f>
        <v>-355.4665775506059</v>
      </c>
      <c r="O7" s="909">
        <f t="shared" ref="O7:O38" si="30">M7+N7</f>
        <v>141831.16444269175</v>
      </c>
      <c r="P7" s="911">
        <v>0</v>
      </c>
      <c r="Q7" s="909">
        <f>SUM(O7:P7)</f>
        <v>141831.16444269175</v>
      </c>
      <c r="R7" s="908">
        <f>'[2]Table 5C3 - LA Connections EBR'!T6+'[14]Table 5C3 - LA Connections EBR'!T6+(6*'[20]Table 5C3 - LA Connections EBR'!T6)</f>
        <v>103091</v>
      </c>
      <c r="S7" s="908">
        <f>+Q7-R7</f>
        <v>38740.164442691748</v>
      </c>
      <c r="T7" s="909">
        <f t="shared" ref="T7:T38" si="31">ROUND(S7/$T$88,0)</f>
        <v>9685</v>
      </c>
      <c r="U7" s="909">
        <f t="shared" ref="U7:U70" si="32">+Q7</f>
        <v>141831.16444269175</v>
      </c>
      <c r="V7" s="912">
        <f>'Table 5C1A-Madison Prep'!U7*90%</f>
        <v>2181.6</v>
      </c>
      <c r="W7" s="913">
        <f t="shared" ref="W7:W38" si="33">V7*C7</f>
        <v>30542.399999999998</v>
      </c>
      <c r="X7" s="906">
        <f>'[1]Oct midyear LA Conn'!E4</f>
        <v>15</v>
      </c>
      <c r="Y7" s="914">
        <f>+V7*X7</f>
        <v>32724</v>
      </c>
      <c r="Z7" s="1005">
        <f>'[1]Feb midyear LA Conn'!E4</f>
        <v>-1</v>
      </c>
      <c r="AA7" s="914">
        <f t="shared" ref="AA7:AA70" si="34">+V7*Z7*0.5</f>
        <v>-1090.8</v>
      </c>
      <c r="AB7" s="915">
        <f t="shared" ref="AB7:AB70" si="35">+Y7+AA7</f>
        <v>31633.200000000001</v>
      </c>
      <c r="AC7" s="913">
        <f t="shared" ref="AC7:AC70" si="36">+W7+AB7</f>
        <v>62175.6</v>
      </c>
      <c r="AD7" s="914">
        <f t="shared" ref="AD7:AD70" si="37">AC7*-0.25%</f>
        <v>-155.43899999999999</v>
      </c>
      <c r="AE7" s="913">
        <f>SUM(AC7:AD7)</f>
        <v>62020.161</v>
      </c>
      <c r="AF7" s="912">
        <v>0</v>
      </c>
      <c r="AG7" s="913">
        <f>SUM(AE7:AF7)</f>
        <v>62020.161</v>
      </c>
      <c r="AH7" s="914">
        <f>'[2]Table 5C3 - LA Connections EBR'!AJ6+'[14]Table 5C3 - LA Connections EBR'!AJ6+(6*'[20]Table 5C3 - LA Connections EBR'!AJ6)</f>
        <v>44798</v>
      </c>
      <c r="AI7" s="914">
        <f>+AG7-AH7</f>
        <v>17222.161</v>
      </c>
      <c r="AJ7" s="913">
        <f t="shared" ref="AJ7:AJ38" si="38">ROUND(AI7/$AJ$88,0)</f>
        <v>4306</v>
      </c>
      <c r="AK7" s="916">
        <f t="shared" ref="AK7:AK70" si="39">AG7+U7</f>
        <v>203851.32544269174</v>
      </c>
      <c r="AL7" s="916">
        <f>T7+AJ7</f>
        <v>13991</v>
      </c>
      <c r="AN7" s="908">
        <v>-75.883499999999998</v>
      </c>
      <c r="AO7" s="908">
        <f>AD7</f>
        <v>-155.43899999999999</v>
      </c>
      <c r="AP7" s="908">
        <f>+AO7-AN7</f>
        <v>-79.555499999999995</v>
      </c>
    </row>
    <row r="8" spans="1:42" s="917" customFormat="1" ht="16.149999999999999" customHeight="1">
      <c r="A8" s="918">
        <v>2</v>
      </c>
      <c r="B8" s="919" t="s">
        <v>74</v>
      </c>
      <c r="C8" s="920">
        <f>+'Table 8 Membership 2.1.14'!L4</f>
        <v>9</v>
      </c>
      <c r="D8" s="921">
        <f>'Table 3 Levels 1&amp;2'!AL5*90%</f>
        <v>5684.9639775647975</v>
      </c>
      <c r="E8" s="921">
        <f t="shared" ref="E8:E71" si="40">C8*D8</f>
        <v>51164.675798083175</v>
      </c>
      <c r="F8" s="922">
        <f>'Table 3A Level 3'!C7*90%</f>
        <v>758.08800000000008</v>
      </c>
      <c r="G8" s="922">
        <f t="shared" ref="G8:G71" si="41">F8*C8</f>
        <v>6822.7920000000004</v>
      </c>
      <c r="H8" s="923">
        <f t="shared" ref="H8:H71" si="42">E8+G8</f>
        <v>57987.467798083177</v>
      </c>
      <c r="I8" s="922">
        <f>(('Table 3 Levels 1&amp;2'!AL5-D8)+('Table 3A Level 3'!C7-F8))*C8</f>
        <v>6443.0519775647999</v>
      </c>
      <c r="J8" s="922">
        <f>'[1]Oct midyear LA Conn'!K5</f>
        <v>12886.103955129594</v>
      </c>
      <c r="K8" s="922">
        <f>'[1]Feb midyear LA Conn'!K5</f>
        <v>-12886.103955129594</v>
      </c>
      <c r="L8" s="924">
        <f t="shared" ref="L8:L71" si="43">J8+K8</f>
        <v>0</v>
      </c>
      <c r="M8" s="923">
        <f t="shared" ref="M8:M71" si="44">+H8+L8</f>
        <v>57987.467798083177</v>
      </c>
      <c r="N8" s="922">
        <f t="shared" ref="N8:N71" si="45">-0.25%*M8</f>
        <v>-144.96866949520793</v>
      </c>
      <c r="O8" s="923">
        <f t="shared" si="30"/>
        <v>57842.499128587966</v>
      </c>
      <c r="P8" s="925">
        <v>0</v>
      </c>
      <c r="Q8" s="923">
        <f t="shared" ref="Q8:Q71" si="46">SUM(O8:P8)</f>
        <v>57842.499128587966</v>
      </c>
      <c r="R8" s="922">
        <f>'[2]Table 5C3 - LA Connections EBR'!T7+'[14]Table 5C3 - LA Connections EBR'!T7+(6*'[20]Table 5C3 - LA Connections EBR'!T7)</f>
        <v>50595</v>
      </c>
      <c r="S8" s="922">
        <f t="shared" ref="S8:S71" si="47">+Q8-R8</f>
        <v>7247.499128587966</v>
      </c>
      <c r="T8" s="923">
        <f t="shared" si="31"/>
        <v>1812</v>
      </c>
      <c r="U8" s="923">
        <f t="shared" si="32"/>
        <v>57842.499128587966</v>
      </c>
      <c r="V8" s="926">
        <f>'Table 5C1A-Madison Prep'!U8*90%</f>
        <v>2507.4</v>
      </c>
      <c r="W8" s="927">
        <f t="shared" si="33"/>
        <v>22566.600000000002</v>
      </c>
      <c r="X8" s="920">
        <f>'[1]Oct midyear LA Conn'!E5</f>
        <v>2</v>
      </c>
      <c r="Y8" s="928">
        <f t="shared" ref="Y8:Y71" si="48">+V8*X8</f>
        <v>5014.8</v>
      </c>
      <c r="Z8" s="1006">
        <f>'[1]Feb midyear LA Conn'!E5</f>
        <v>-4</v>
      </c>
      <c r="AA8" s="928">
        <f t="shared" si="34"/>
        <v>-5014.8</v>
      </c>
      <c r="AB8" s="929">
        <f t="shared" si="35"/>
        <v>0</v>
      </c>
      <c r="AC8" s="927">
        <f t="shared" si="36"/>
        <v>22566.600000000002</v>
      </c>
      <c r="AD8" s="928">
        <f t="shared" si="37"/>
        <v>-56.416500000000006</v>
      </c>
      <c r="AE8" s="927">
        <f t="shared" ref="AE8:AE71" si="49">SUM(AC8:AD8)</f>
        <v>22510.183500000003</v>
      </c>
      <c r="AF8" s="926">
        <v>0</v>
      </c>
      <c r="AG8" s="927">
        <f t="shared" ref="AG8:AG71" si="50">SUM(AE8:AF8)</f>
        <v>22510.183500000003</v>
      </c>
      <c r="AH8" s="928">
        <f>'[2]Table 5C3 - LA Connections EBR'!AJ7+'[14]Table 5C3 - LA Connections EBR'!AJ7+(6*'[20]Table 5C3 - LA Connections EBR'!AJ7)</f>
        <v>19992</v>
      </c>
      <c r="AI8" s="928">
        <f t="shared" ref="AI8:AI71" si="51">+AG8-AH8</f>
        <v>2518.1835000000028</v>
      </c>
      <c r="AJ8" s="927">
        <f t="shared" si="38"/>
        <v>630</v>
      </c>
      <c r="AK8" s="930">
        <f t="shared" si="39"/>
        <v>80352.682628587965</v>
      </c>
      <c r="AL8" s="930">
        <f t="shared" ref="AL8:AL71" si="52">T8+AJ8</f>
        <v>2442</v>
      </c>
      <c r="AN8" s="922">
        <v>-57.287249999999993</v>
      </c>
      <c r="AO8" s="922">
        <f t="shared" ref="AO8:AO71" si="53">AD8</f>
        <v>-56.416500000000006</v>
      </c>
      <c r="AP8" s="922">
        <f t="shared" ref="AP8:AP71" si="54">+AO8-AN8</f>
        <v>0.87074999999998681</v>
      </c>
    </row>
    <row r="9" spans="1:42" s="917" customFormat="1" ht="16.149999999999999" customHeight="1">
      <c r="A9" s="918">
        <v>3</v>
      </c>
      <c r="B9" s="919" t="s">
        <v>75</v>
      </c>
      <c r="C9" s="920">
        <f>+'Table 8 Membership 2.1.14'!L5</f>
        <v>43</v>
      </c>
      <c r="D9" s="921">
        <f>'Table 3 Levels 1&amp;2'!AL6*90%</f>
        <v>3739.6675824657136</v>
      </c>
      <c r="E9" s="921">
        <f t="shared" si="40"/>
        <v>160805.70604602568</v>
      </c>
      <c r="F9" s="922">
        <f>'Table 3A Level 3'!C8*90%</f>
        <v>537.15600000000006</v>
      </c>
      <c r="G9" s="922">
        <f t="shared" si="41"/>
        <v>23097.708000000002</v>
      </c>
      <c r="H9" s="923">
        <f t="shared" si="42"/>
        <v>183903.41404602569</v>
      </c>
      <c r="I9" s="922">
        <f>(('Table 3 Levels 1&amp;2'!AL6-D9)+('Table 3A Level 3'!C8-F9))*C9</f>
        <v>20433.712671780635</v>
      </c>
      <c r="J9" s="922">
        <f>'[1]Oct midyear LA Conn'!K6</f>
        <v>47045.059407122855</v>
      </c>
      <c r="K9" s="922">
        <f>'[1]Feb midyear LA Conn'!K6</f>
        <v>-8553.6471649314281</v>
      </c>
      <c r="L9" s="924">
        <f t="shared" si="43"/>
        <v>38491.412242191429</v>
      </c>
      <c r="M9" s="923">
        <f t="shared" si="44"/>
        <v>222394.82628821713</v>
      </c>
      <c r="N9" s="922">
        <f t="shared" si="45"/>
        <v>-555.98706572054277</v>
      </c>
      <c r="O9" s="923">
        <f t="shared" si="30"/>
        <v>221838.83922249658</v>
      </c>
      <c r="P9" s="925">
        <v>0</v>
      </c>
      <c r="Q9" s="923">
        <f t="shared" si="46"/>
        <v>221838.83922249658</v>
      </c>
      <c r="R9" s="922">
        <f>'[2]Table 5C3 - LA Connections EBR'!T8+'[14]Table 5C3 - LA Connections EBR'!T8+(6*'[20]Table 5C3 - LA Connections EBR'!T8)</f>
        <v>142076</v>
      </c>
      <c r="S9" s="922">
        <f t="shared" si="47"/>
        <v>79762.839222496579</v>
      </c>
      <c r="T9" s="923">
        <f t="shared" si="31"/>
        <v>19941</v>
      </c>
      <c r="U9" s="923">
        <f t="shared" si="32"/>
        <v>221838.83922249658</v>
      </c>
      <c r="V9" s="926">
        <f>'Table 5C1A-Madison Prep'!U9*90%</f>
        <v>5334.3</v>
      </c>
      <c r="W9" s="927">
        <f t="shared" si="33"/>
        <v>229374.9</v>
      </c>
      <c r="X9" s="920">
        <f>'[1]Oct midyear LA Conn'!E6</f>
        <v>11</v>
      </c>
      <c r="Y9" s="928">
        <f t="shared" si="48"/>
        <v>58677.3</v>
      </c>
      <c r="Z9" s="1006">
        <f>'[1]Feb midyear LA Conn'!E6</f>
        <v>-4</v>
      </c>
      <c r="AA9" s="928">
        <f t="shared" si="34"/>
        <v>-10668.6</v>
      </c>
      <c r="AB9" s="929">
        <f t="shared" si="35"/>
        <v>48008.700000000004</v>
      </c>
      <c r="AC9" s="927">
        <f t="shared" si="36"/>
        <v>277383.59999999998</v>
      </c>
      <c r="AD9" s="928">
        <f t="shared" si="37"/>
        <v>-693.45899999999995</v>
      </c>
      <c r="AE9" s="927">
        <f t="shared" si="49"/>
        <v>276690.141</v>
      </c>
      <c r="AF9" s="926">
        <v>0</v>
      </c>
      <c r="AG9" s="927">
        <f t="shared" si="50"/>
        <v>276690.141</v>
      </c>
      <c r="AH9" s="928">
        <f>'[2]Table 5C3 - LA Connections EBR'!AJ8+'[14]Table 5C3 - LA Connections EBR'!AJ8+(6*'[20]Table 5C3 - LA Connections EBR'!AJ8)</f>
        <v>172513</v>
      </c>
      <c r="AI9" s="928">
        <f t="shared" si="51"/>
        <v>104177.141</v>
      </c>
      <c r="AJ9" s="927">
        <f t="shared" si="38"/>
        <v>26044</v>
      </c>
      <c r="AK9" s="930">
        <f t="shared" si="39"/>
        <v>498528.98022249655</v>
      </c>
      <c r="AL9" s="930">
        <f t="shared" si="52"/>
        <v>45985</v>
      </c>
      <c r="AN9" s="922">
        <v>-558.24750000000006</v>
      </c>
      <c r="AO9" s="922">
        <f t="shared" si="53"/>
        <v>-693.45899999999995</v>
      </c>
      <c r="AP9" s="922">
        <f t="shared" si="54"/>
        <v>-135.21149999999989</v>
      </c>
    </row>
    <row r="10" spans="1:42" s="917" customFormat="1" ht="16.149999999999999" customHeight="1">
      <c r="A10" s="918">
        <v>4</v>
      </c>
      <c r="B10" s="919" t="s">
        <v>76</v>
      </c>
      <c r="C10" s="920">
        <f>+'Table 8 Membership 2.1.14'!L6</f>
        <v>3</v>
      </c>
      <c r="D10" s="921">
        <f>'Table 3 Levels 1&amp;2'!AL7*90%</f>
        <v>5507.1523302190717</v>
      </c>
      <c r="E10" s="921">
        <f t="shared" si="40"/>
        <v>16521.456990657214</v>
      </c>
      <c r="F10" s="922">
        <f>'Table 3A Level 3'!C9*90%</f>
        <v>527.18399999999997</v>
      </c>
      <c r="G10" s="922">
        <f t="shared" si="41"/>
        <v>1581.5519999999999</v>
      </c>
      <c r="H10" s="923">
        <f t="shared" si="42"/>
        <v>18103.008990657214</v>
      </c>
      <c r="I10" s="922">
        <f>(('Table 3 Levels 1&amp;2'!AL7-D10)+('Table 3A Level 3'!C9-F10))*C10</f>
        <v>2011.4454434063555</v>
      </c>
      <c r="J10" s="922">
        <f>'[1]Oct midyear LA Conn'!K7</f>
        <v>0</v>
      </c>
      <c r="K10" s="922">
        <f>'[1]Feb midyear LA Conn'!K7</f>
        <v>-3017.1681651095359</v>
      </c>
      <c r="L10" s="924">
        <f t="shared" si="43"/>
        <v>-3017.1681651095359</v>
      </c>
      <c r="M10" s="923">
        <f t="shared" si="44"/>
        <v>15085.840825547679</v>
      </c>
      <c r="N10" s="922">
        <f t="shared" si="45"/>
        <v>-37.714602063869201</v>
      </c>
      <c r="O10" s="923">
        <f t="shared" si="30"/>
        <v>15048.12622348381</v>
      </c>
      <c r="P10" s="925">
        <v>0</v>
      </c>
      <c r="Q10" s="923">
        <f t="shared" si="46"/>
        <v>15048.12622348381</v>
      </c>
      <c r="R10" s="922">
        <f>'[2]Table 5C3 - LA Connections EBR'!T9+'[14]Table 5C3 - LA Connections EBR'!T9+(6*'[20]Table 5C3 - LA Connections EBR'!T9)</f>
        <v>12697</v>
      </c>
      <c r="S10" s="922">
        <f t="shared" si="47"/>
        <v>2351.1262234838105</v>
      </c>
      <c r="T10" s="923">
        <f t="shared" si="31"/>
        <v>588</v>
      </c>
      <c r="U10" s="923">
        <f t="shared" si="32"/>
        <v>15048.12622348381</v>
      </c>
      <c r="V10" s="926">
        <f>'Table 5C1A-Madison Prep'!U10*90%</f>
        <v>3782.7000000000003</v>
      </c>
      <c r="W10" s="927">
        <f t="shared" si="33"/>
        <v>11348.1</v>
      </c>
      <c r="X10" s="920">
        <f>'[1]Oct midyear LA Conn'!E7</f>
        <v>0</v>
      </c>
      <c r="Y10" s="928">
        <f t="shared" si="48"/>
        <v>0</v>
      </c>
      <c r="Z10" s="1006">
        <f>'[1]Feb midyear LA Conn'!E7</f>
        <v>-1</v>
      </c>
      <c r="AA10" s="928">
        <f t="shared" si="34"/>
        <v>-1891.3500000000001</v>
      </c>
      <c r="AB10" s="929">
        <f t="shared" si="35"/>
        <v>-1891.3500000000001</v>
      </c>
      <c r="AC10" s="927">
        <f t="shared" si="36"/>
        <v>9456.75</v>
      </c>
      <c r="AD10" s="928">
        <f t="shared" si="37"/>
        <v>-23.641874999999999</v>
      </c>
      <c r="AE10" s="927">
        <f t="shared" si="49"/>
        <v>9433.1081250000007</v>
      </c>
      <c r="AF10" s="926">
        <v>0</v>
      </c>
      <c r="AG10" s="927">
        <f t="shared" si="50"/>
        <v>9433.1081250000007</v>
      </c>
      <c r="AH10" s="928">
        <f>'[2]Table 5C3 - LA Connections EBR'!AJ9+'[14]Table 5C3 - LA Connections EBR'!AJ9+(6*'[20]Table 5C3 - LA Connections EBR'!AJ9)</f>
        <v>6222</v>
      </c>
      <c r="AI10" s="928">
        <f t="shared" si="51"/>
        <v>3211.1081250000007</v>
      </c>
      <c r="AJ10" s="927">
        <f t="shared" si="38"/>
        <v>803</v>
      </c>
      <c r="AK10" s="930">
        <f t="shared" si="39"/>
        <v>24481.234348483813</v>
      </c>
      <c r="AL10" s="930">
        <f t="shared" si="52"/>
        <v>1391</v>
      </c>
      <c r="AN10" s="922">
        <v>-22.187250000000002</v>
      </c>
      <c r="AO10" s="922">
        <f t="shared" si="53"/>
        <v>-23.641874999999999</v>
      </c>
      <c r="AP10" s="922">
        <f t="shared" si="54"/>
        <v>-1.4546249999999965</v>
      </c>
    </row>
    <row r="11" spans="1:42" s="917" customFormat="1" ht="16.149999999999999" customHeight="1">
      <c r="A11" s="931">
        <v>5</v>
      </c>
      <c r="B11" s="932" t="s">
        <v>77</v>
      </c>
      <c r="C11" s="933">
        <f>+'Table 8 Membership 2.1.14'!L7</f>
        <v>12</v>
      </c>
      <c r="D11" s="934">
        <f>'Table 3 Levels 1&amp;2'!AL8*90%</f>
        <v>4742.0465094089204</v>
      </c>
      <c r="E11" s="934">
        <f t="shared" si="40"/>
        <v>56904.558112907049</v>
      </c>
      <c r="F11" s="935">
        <f>'Table 3A Level 3'!C10*90%</f>
        <v>500.31899999999996</v>
      </c>
      <c r="G11" s="935">
        <f t="shared" si="41"/>
        <v>6003.8279999999995</v>
      </c>
      <c r="H11" s="936">
        <f t="shared" si="42"/>
        <v>62908.38611290705</v>
      </c>
      <c r="I11" s="935">
        <f>(('Table 3 Levels 1&amp;2'!AL8-D11)+('Table 3A Level 3'!C10-F11))*C11</f>
        <v>6989.8206792118872</v>
      </c>
      <c r="J11" s="935">
        <f>'[1]Oct midyear LA Conn'!K8</f>
        <v>57666.020603498131</v>
      </c>
      <c r="K11" s="935">
        <f>'[1]Feb midyear LA Conn'!K8</f>
        <v>2621.1827547044604</v>
      </c>
      <c r="L11" s="937">
        <f t="shared" si="43"/>
        <v>60287.203358202591</v>
      </c>
      <c r="M11" s="936">
        <f t="shared" si="44"/>
        <v>123195.58947110965</v>
      </c>
      <c r="N11" s="935">
        <f t="shared" si="45"/>
        <v>-307.98897367777414</v>
      </c>
      <c r="O11" s="936">
        <f t="shared" si="30"/>
        <v>122887.60049743188</v>
      </c>
      <c r="P11" s="938">
        <v>0</v>
      </c>
      <c r="Q11" s="936">
        <f t="shared" si="46"/>
        <v>122887.60049743188</v>
      </c>
      <c r="R11" s="935">
        <f>'[2]Table 5C3 - LA Connections EBR'!T10+'[14]Table 5C3 - LA Connections EBR'!T10+(6*'[20]Table 5C3 - LA Connections EBR'!T10)</f>
        <v>68453</v>
      </c>
      <c r="S11" s="935">
        <f t="shared" si="47"/>
        <v>54434.600497431878</v>
      </c>
      <c r="T11" s="936">
        <f t="shared" si="31"/>
        <v>13609</v>
      </c>
      <c r="U11" s="936">
        <f t="shared" si="32"/>
        <v>122887.60049743188</v>
      </c>
      <c r="V11" s="939">
        <f>'Table 5C1A-Madison Prep'!U11*90%</f>
        <v>1730.7</v>
      </c>
      <c r="W11" s="940">
        <f t="shared" si="33"/>
        <v>20768.400000000001</v>
      </c>
      <c r="X11" s="933">
        <f>'[1]Oct midyear LA Conn'!E8</f>
        <v>11</v>
      </c>
      <c r="Y11" s="941">
        <f t="shared" si="48"/>
        <v>19037.7</v>
      </c>
      <c r="Z11" s="1007">
        <f>'[1]Feb midyear LA Conn'!E8</f>
        <v>1</v>
      </c>
      <c r="AA11" s="941">
        <f t="shared" si="34"/>
        <v>865.35</v>
      </c>
      <c r="AB11" s="942">
        <f t="shared" si="35"/>
        <v>19903.05</v>
      </c>
      <c r="AC11" s="940">
        <f t="shared" si="36"/>
        <v>40671.449999999997</v>
      </c>
      <c r="AD11" s="941">
        <f t="shared" si="37"/>
        <v>-101.678625</v>
      </c>
      <c r="AE11" s="940">
        <f t="shared" si="49"/>
        <v>40569.771374999997</v>
      </c>
      <c r="AF11" s="939">
        <v>0</v>
      </c>
      <c r="AG11" s="940">
        <f t="shared" si="50"/>
        <v>40569.771374999997</v>
      </c>
      <c r="AH11" s="941">
        <f>'[2]Table 5C3 - LA Connections EBR'!AJ10+'[14]Table 5C3 - LA Connections EBR'!AJ10+(6*'[20]Table 5C3 - LA Connections EBR'!AJ10)</f>
        <v>22578</v>
      </c>
      <c r="AI11" s="941">
        <f t="shared" si="51"/>
        <v>17991.771374999997</v>
      </c>
      <c r="AJ11" s="940">
        <f t="shared" si="38"/>
        <v>4498</v>
      </c>
      <c r="AK11" s="943">
        <f t="shared" si="39"/>
        <v>163457.37187243189</v>
      </c>
      <c r="AL11" s="943">
        <f t="shared" si="52"/>
        <v>18107</v>
      </c>
      <c r="AN11" s="935">
        <v>-51.867000000000012</v>
      </c>
      <c r="AO11" s="935">
        <f t="shared" si="53"/>
        <v>-101.678625</v>
      </c>
      <c r="AP11" s="935">
        <f t="shared" si="54"/>
        <v>-49.811624999999985</v>
      </c>
    </row>
    <row r="12" spans="1:42" s="917" customFormat="1" ht="16.149999999999999" customHeight="1">
      <c r="A12" s="904">
        <v>6</v>
      </c>
      <c r="B12" s="905" t="s">
        <v>78</v>
      </c>
      <c r="C12" s="906">
        <f>+'Table 8 Membership 2.1.14'!L8</f>
        <v>10</v>
      </c>
      <c r="D12" s="907">
        <f>'Table 3 Levels 1&amp;2'!AL9*90%</f>
        <v>4840.6577512460281</v>
      </c>
      <c r="E12" s="907">
        <f t="shared" si="40"/>
        <v>48406.577512460281</v>
      </c>
      <c r="F12" s="908">
        <f>'Table 3A Level 3'!C11*90%</f>
        <v>490.9319999999999</v>
      </c>
      <c r="G12" s="908">
        <f t="shared" si="41"/>
        <v>4909.3199999999988</v>
      </c>
      <c r="H12" s="909">
        <f t="shared" si="42"/>
        <v>53315.89751246028</v>
      </c>
      <c r="I12" s="908">
        <f>(('Table 3 Levels 1&amp;2'!AL9-D12)+('Table 3A Level 3'!C11-F12))*C12</f>
        <v>5923.9886124955883</v>
      </c>
      <c r="J12" s="908">
        <f>'[1]Oct midyear LA Conn'!K9</f>
        <v>15994.769253738083</v>
      </c>
      <c r="K12" s="908">
        <f>'[1]Feb midyear LA Conn'!K9</f>
        <v>5331.5897512460278</v>
      </c>
      <c r="L12" s="910">
        <f t="shared" si="43"/>
        <v>21326.359004984111</v>
      </c>
      <c r="M12" s="909">
        <f t="shared" si="44"/>
        <v>74642.256517444388</v>
      </c>
      <c r="N12" s="908">
        <f t="shared" si="45"/>
        <v>-186.60564129361097</v>
      </c>
      <c r="O12" s="909">
        <f t="shared" si="30"/>
        <v>74455.650876150772</v>
      </c>
      <c r="P12" s="911">
        <v>0</v>
      </c>
      <c r="Q12" s="909">
        <f t="shared" si="46"/>
        <v>74455.650876150772</v>
      </c>
      <c r="R12" s="908">
        <f>'[2]Table 5C3 - LA Connections EBR'!T11+'[14]Table 5C3 - LA Connections EBR'!T11+(6*'[20]Table 5C3 - LA Connections EBR'!T11)</f>
        <v>46187</v>
      </c>
      <c r="S12" s="908">
        <f t="shared" si="47"/>
        <v>28268.650876150772</v>
      </c>
      <c r="T12" s="909">
        <f t="shared" si="31"/>
        <v>7067</v>
      </c>
      <c r="U12" s="909">
        <f t="shared" si="32"/>
        <v>74455.650876150772</v>
      </c>
      <c r="V12" s="912">
        <f>'Table 5C1A-Madison Prep'!U12*90%</f>
        <v>3651.3</v>
      </c>
      <c r="W12" s="913">
        <f t="shared" si="33"/>
        <v>36513</v>
      </c>
      <c r="X12" s="906">
        <f>'[1]Oct midyear LA Conn'!E9</f>
        <v>3</v>
      </c>
      <c r="Y12" s="914">
        <f t="shared" si="48"/>
        <v>10953.900000000001</v>
      </c>
      <c r="Z12" s="1005">
        <f>'[1]Feb midyear LA Conn'!E9</f>
        <v>2</v>
      </c>
      <c r="AA12" s="914">
        <f t="shared" si="34"/>
        <v>3651.3</v>
      </c>
      <c r="AB12" s="915">
        <f t="shared" si="35"/>
        <v>14605.2</v>
      </c>
      <c r="AC12" s="913">
        <f t="shared" si="36"/>
        <v>51118.2</v>
      </c>
      <c r="AD12" s="914">
        <f t="shared" si="37"/>
        <v>-127.79549999999999</v>
      </c>
      <c r="AE12" s="913">
        <f t="shared" si="49"/>
        <v>50990.404499999997</v>
      </c>
      <c r="AF12" s="912">
        <v>0</v>
      </c>
      <c r="AG12" s="913">
        <f t="shared" si="50"/>
        <v>50990.404499999997</v>
      </c>
      <c r="AH12" s="914">
        <f>'[2]Table 5C3 - LA Connections EBR'!AJ11+'[14]Table 5C3 - LA Connections EBR'!AJ11+(6*'[20]Table 5C3 - LA Connections EBR'!AJ11)</f>
        <v>29682</v>
      </c>
      <c r="AI12" s="914">
        <f t="shared" si="51"/>
        <v>21308.404499999997</v>
      </c>
      <c r="AJ12" s="913">
        <f t="shared" si="38"/>
        <v>5327</v>
      </c>
      <c r="AK12" s="916">
        <f t="shared" si="39"/>
        <v>125446.05537615076</v>
      </c>
      <c r="AL12" s="916">
        <f t="shared" si="52"/>
        <v>12394</v>
      </c>
      <c r="AN12" s="908">
        <v>-85.657499999999999</v>
      </c>
      <c r="AO12" s="908">
        <f t="shared" si="53"/>
        <v>-127.79549999999999</v>
      </c>
      <c r="AP12" s="908">
        <f t="shared" si="54"/>
        <v>-42.137999999999991</v>
      </c>
    </row>
    <row r="13" spans="1:42" s="917" customFormat="1" ht="16.149999999999999" customHeight="1">
      <c r="A13" s="918">
        <v>7</v>
      </c>
      <c r="B13" s="919" t="s">
        <v>79</v>
      </c>
      <c r="C13" s="920">
        <f>+'Table 8 Membership 2.1.14'!L9</f>
        <v>6</v>
      </c>
      <c r="D13" s="921">
        <f>'Table 3 Levels 1&amp;2'!AL10*90%</f>
        <v>2018.7028767123288</v>
      </c>
      <c r="E13" s="921">
        <f t="shared" si="40"/>
        <v>12112.217260273974</v>
      </c>
      <c r="F13" s="922">
        <f>'Table 3A Level 3'!C12*90%</f>
        <v>681.22799999999984</v>
      </c>
      <c r="G13" s="922">
        <f t="shared" si="41"/>
        <v>4087.367999999999</v>
      </c>
      <c r="H13" s="923">
        <f t="shared" si="42"/>
        <v>16199.585260273972</v>
      </c>
      <c r="I13" s="922">
        <f>(('Table 3 Levels 1&amp;2'!AL10-D13)+('Table 3A Level 3'!C12-F13))*C13</f>
        <v>1799.9539178082186</v>
      </c>
      <c r="J13" s="922">
        <f>'[1]Oct midyear LA Conn'!K10</f>
        <v>-2699.9308767123284</v>
      </c>
      <c r="K13" s="922">
        <f>'[1]Feb midyear LA Conn'!K10</f>
        <v>1349.9654383561642</v>
      </c>
      <c r="L13" s="924">
        <f t="shared" si="43"/>
        <v>-1349.9654383561642</v>
      </c>
      <c r="M13" s="923">
        <f t="shared" si="44"/>
        <v>14849.619821917808</v>
      </c>
      <c r="N13" s="922">
        <f t="shared" si="45"/>
        <v>-37.124049554794517</v>
      </c>
      <c r="O13" s="923">
        <f t="shared" si="30"/>
        <v>14812.495772363012</v>
      </c>
      <c r="P13" s="925">
        <v>0</v>
      </c>
      <c r="Q13" s="923">
        <f t="shared" si="46"/>
        <v>14812.495772363012</v>
      </c>
      <c r="R13" s="922">
        <f>'[2]Table 5C3 - LA Connections EBR'!T12+'[14]Table 5C3 - LA Connections EBR'!T12+(6*'[20]Table 5C3 - LA Connections EBR'!T12)</f>
        <v>7542</v>
      </c>
      <c r="S13" s="922">
        <f t="shared" si="47"/>
        <v>7270.4957723630123</v>
      </c>
      <c r="T13" s="923">
        <f t="shared" si="31"/>
        <v>1818</v>
      </c>
      <c r="U13" s="923">
        <f t="shared" si="32"/>
        <v>14812.495772363012</v>
      </c>
      <c r="V13" s="926">
        <f>'Table 5C1A-Madison Prep'!U13*90%</f>
        <v>10900.800000000001</v>
      </c>
      <c r="W13" s="927">
        <f t="shared" si="33"/>
        <v>65404.800000000003</v>
      </c>
      <c r="X13" s="920">
        <f>'[1]Oct midyear LA Conn'!E10</f>
        <v>-1</v>
      </c>
      <c r="Y13" s="928">
        <f t="shared" si="48"/>
        <v>-10900.800000000001</v>
      </c>
      <c r="Z13" s="1006">
        <f>'[1]Feb midyear LA Conn'!E10</f>
        <v>1</v>
      </c>
      <c r="AA13" s="928">
        <f t="shared" si="34"/>
        <v>5450.4000000000005</v>
      </c>
      <c r="AB13" s="929">
        <f t="shared" si="35"/>
        <v>-5450.4000000000005</v>
      </c>
      <c r="AC13" s="927">
        <f t="shared" si="36"/>
        <v>59954.400000000001</v>
      </c>
      <c r="AD13" s="928">
        <f t="shared" si="37"/>
        <v>-149.886</v>
      </c>
      <c r="AE13" s="927">
        <f t="shared" si="49"/>
        <v>59804.514000000003</v>
      </c>
      <c r="AF13" s="926">
        <v>0</v>
      </c>
      <c r="AG13" s="927">
        <f t="shared" si="50"/>
        <v>59804.514000000003</v>
      </c>
      <c r="AH13" s="928">
        <f>'[2]Table 5C3 - LA Connections EBR'!AJ12+'[14]Table 5C3 - LA Connections EBR'!AJ12+(6*'[20]Table 5C3 - LA Connections EBR'!AJ12)</f>
        <v>29884</v>
      </c>
      <c r="AI13" s="928">
        <f t="shared" si="51"/>
        <v>29920.514000000003</v>
      </c>
      <c r="AJ13" s="927">
        <f t="shared" si="38"/>
        <v>7480</v>
      </c>
      <c r="AK13" s="930">
        <f t="shared" si="39"/>
        <v>74617.009772363017</v>
      </c>
      <c r="AL13" s="930">
        <f t="shared" si="52"/>
        <v>9298</v>
      </c>
      <c r="AN13" s="922">
        <v>-160.48800000000003</v>
      </c>
      <c r="AO13" s="922">
        <f t="shared" si="53"/>
        <v>-149.886</v>
      </c>
      <c r="AP13" s="922">
        <f t="shared" si="54"/>
        <v>10.602000000000032</v>
      </c>
    </row>
    <row r="14" spans="1:42" s="917" customFormat="1" ht="16.149999999999999" customHeight="1">
      <c r="A14" s="918">
        <v>8</v>
      </c>
      <c r="B14" s="919" t="s">
        <v>80</v>
      </c>
      <c r="C14" s="920">
        <f>+'Table 8 Membership 2.1.14'!L10</f>
        <v>39</v>
      </c>
      <c r="D14" s="921">
        <f>'Table 3 Levels 1&amp;2'!AL11*90%</f>
        <v>4202.822213602969</v>
      </c>
      <c r="E14" s="921">
        <f t="shared" si="40"/>
        <v>163910.06633051578</v>
      </c>
      <c r="F14" s="922">
        <f>'Table 3A Level 3'!C13*90%</f>
        <v>653.18399999999997</v>
      </c>
      <c r="G14" s="922">
        <f t="shared" si="41"/>
        <v>25474.175999999999</v>
      </c>
      <c r="H14" s="923">
        <f t="shared" si="42"/>
        <v>189384.24233051579</v>
      </c>
      <c r="I14" s="922">
        <f>(('Table 3 Levels 1&amp;2'!AL11-D14)+('Table 3A Level 3'!C13-F14))*C14</f>
        <v>21042.693592279516</v>
      </c>
      <c r="J14" s="922">
        <f>'[1]Oct midyear LA Conn'!K11</f>
        <v>63128.0807768386</v>
      </c>
      <c r="K14" s="922">
        <f>'[1]Feb midyear LA Conn'!K11</f>
        <v>-7284.0093204044533</v>
      </c>
      <c r="L14" s="924">
        <f t="shared" si="43"/>
        <v>55844.071456434147</v>
      </c>
      <c r="M14" s="923">
        <f t="shared" si="44"/>
        <v>245228.31378694993</v>
      </c>
      <c r="N14" s="922">
        <f t="shared" si="45"/>
        <v>-613.07078446737489</v>
      </c>
      <c r="O14" s="923">
        <f t="shared" si="30"/>
        <v>244615.24300248254</v>
      </c>
      <c r="P14" s="925">
        <v>0</v>
      </c>
      <c r="Q14" s="923">
        <f t="shared" si="46"/>
        <v>244615.24300248254</v>
      </c>
      <c r="R14" s="922">
        <f>'[2]Table 5C3 - LA Connections EBR'!T13+'[14]Table 5C3 - LA Connections EBR'!T13+(6*'[20]Table 5C3 - LA Connections EBR'!T13)</f>
        <v>158352</v>
      </c>
      <c r="S14" s="922">
        <f t="shared" si="47"/>
        <v>86263.243002482544</v>
      </c>
      <c r="T14" s="923">
        <f t="shared" si="31"/>
        <v>21566</v>
      </c>
      <c r="U14" s="923">
        <f t="shared" si="32"/>
        <v>244615.24300248254</v>
      </c>
      <c r="V14" s="926">
        <f>'Table 5C1A-Madison Prep'!U14*90%</f>
        <v>3711.6</v>
      </c>
      <c r="W14" s="927">
        <f t="shared" si="33"/>
        <v>144752.4</v>
      </c>
      <c r="X14" s="920">
        <f>'[1]Oct midyear LA Conn'!E11</f>
        <v>13</v>
      </c>
      <c r="Y14" s="928">
        <f t="shared" si="48"/>
        <v>48250.799999999996</v>
      </c>
      <c r="Z14" s="1006">
        <f>'[1]Feb midyear LA Conn'!E11</f>
        <v>-3</v>
      </c>
      <c r="AA14" s="928">
        <f t="shared" si="34"/>
        <v>-5567.4</v>
      </c>
      <c r="AB14" s="929">
        <f t="shared" si="35"/>
        <v>42683.399999999994</v>
      </c>
      <c r="AC14" s="927">
        <f t="shared" si="36"/>
        <v>187435.8</v>
      </c>
      <c r="AD14" s="928">
        <f t="shared" si="37"/>
        <v>-468.58949999999999</v>
      </c>
      <c r="AE14" s="927">
        <f t="shared" si="49"/>
        <v>186967.21049999999</v>
      </c>
      <c r="AF14" s="926">
        <v>0</v>
      </c>
      <c r="AG14" s="927">
        <f t="shared" si="50"/>
        <v>186967.21049999999</v>
      </c>
      <c r="AH14" s="928">
        <f>'[2]Table 5C3 - LA Connections EBR'!AJ13+'[14]Table 5C3 - LA Connections EBR'!AJ13+(6*'[20]Table 5C3 - LA Connections EBR'!AJ13)</f>
        <v>118096</v>
      </c>
      <c r="AI14" s="928">
        <f t="shared" si="51"/>
        <v>68871.210499999986</v>
      </c>
      <c r="AJ14" s="927">
        <f t="shared" si="38"/>
        <v>17218</v>
      </c>
      <c r="AK14" s="930">
        <f t="shared" si="39"/>
        <v>431582.4535024825</v>
      </c>
      <c r="AL14" s="930">
        <f t="shared" si="52"/>
        <v>38784</v>
      </c>
      <c r="AN14" s="922">
        <v>-353.10599999999999</v>
      </c>
      <c r="AO14" s="922">
        <f t="shared" si="53"/>
        <v>-468.58949999999999</v>
      </c>
      <c r="AP14" s="922">
        <f t="shared" si="54"/>
        <v>-115.48349999999999</v>
      </c>
    </row>
    <row r="15" spans="1:42" s="917" customFormat="1" ht="16.149999999999999" customHeight="1">
      <c r="A15" s="918">
        <v>9</v>
      </c>
      <c r="B15" s="919" t="s">
        <v>81</v>
      </c>
      <c r="C15" s="920">
        <f>+'Table 8 Membership 2.1.14'!L11</f>
        <v>65</v>
      </c>
      <c r="D15" s="921">
        <f>'Table 3 Levels 1&amp;2'!AL12*90%</f>
        <v>4169.215356484051</v>
      </c>
      <c r="E15" s="921">
        <f t="shared" si="40"/>
        <v>270998.99817146332</v>
      </c>
      <c r="F15" s="922">
        <f>'Table 3A Level 3'!C14*90%</f>
        <v>670.28399999999999</v>
      </c>
      <c r="G15" s="922">
        <f t="shared" si="41"/>
        <v>43568.46</v>
      </c>
      <c r="H15" s="923">
        <f t="shared" si="42"/>
        <v>314567.45817146334</v>
      </c>
      <c r="I15" s="922">
        <f>(('Table 3 Levels 1&amp;2'!AL12-D15)+('Table 3A Level 3'!C14-F15))*C15</f>
        <v>34951.93979682924</v>
      </c>
      <c r="J15" s="922">
        <f>'[1]Oct midyear LA Conn'!K12</f>
        <v>212937.97168529822</v>
      </c>
      <c r="K15" s="922">
        <f>'[1]Feb midyear LA Conn'!K12</f>
        <v>-2419.7496782420253</v>
      </c>
      <c r="L15" s="924">
        <f t="shared" si="43"/>
        <v>210518.2220070562</v>
      </c>
      <c r="M15" s="923">
        <f t="shared" si="44"/>
        <v>525085.68017851957</v>
      </c>
      <c r="N15" s="922">
        <f t="shared" si="45"/>
        <v>-1312.7142004462989</v>
      </c>
      <c r="O15" s="923">
        <f t="shared" si="30"/>
        <v>523772.96597807325</v>
      </c>
      <c r="P15" s="925">
        <v>0</v>
      </c>
      <c r="Q15" s="923">
        <f t="shared" si="46"/>
        <v>523772.96597807325</v>
      </c>
      <c r="R15" s="922">
        <f>'[2]Table 5C3 - LA Connections EBR'!T14+'[14]Table 5C3 - LA Connections EBR'!T14+(6*'[20]Table 5C3 - LA Connections EBR'!T14)</f>
        <v>330575</v>
      </c>
      <c r="S15" s="922">
        <f t="shared" si="47"/>
        <v>193197.96597807325</v>
      </c>
      <c r="T15" s="923">
        <f t="shared" si="31"/>
        <v>48299</v>
      </c>
      <c r="U15" s="923">
        <f t="shared" si="32"/>
        <v>523772.96597807325</v>
      </c>
      <c r="V15" s="926">
        <f>'Table 5C1A-Madison Prep'!U15*90%</f>
        <v>4410.9000000000005</v>
      </c>
      <c r="W15" s="927">
        <f t="shared" si="33"/>
        <v>286708.50000000006</v>
      </c>
      <c r="X15" s="920">
        <f>'[1]Oct midyear LA Conn'!E12</f>
        <v>44</v>
      </c>
      <c r="Y15" s="928">
        <f t="shared" si="48"/>
        <v>194079.60000000003</v>
      </c>
      <c r="Z15" s="1006">
        <f>'[1]Feb midyear LA Conn'!E12</f>
        <v>-1</v>
      </c>
      <c r="AA15" s="928">
        <f t="shared" si="34"/>
        <v>-2205.4500000000003</v>
      </c>
      <c r="AB15" s="929">
        <f t="shared" si="35"/>
        <v>191874.15000000002</v>
      </c>
      <c r="AC15" s="927">
        <f t="shared" si="36"/>
        <v>478582.65000000008</v>
      </c>
      <c r="AD15" s="928">
        <f t="shared" si="37"/>
        <v>-1196.4566250000003</v>
      </c>
      <c r="AE15" s="927">
        <f t="shared" si="49"/>
        <v>477386.19337500009</v>
      </c>
      <c r="AF15" s="926">
        <v>0</v>
      </c>
      <c r="AG15" s="927">
        <f t="shared" si="50"/>
        <v>477386.19337500009</v>
      </c>
      <c r="AH15" s="928">
        <f>'[2]Table 5C3 - LA Connections EBR'!AJ14+'[14]Table 5C3 - LA Connections EBR'!AJ14+(6*'[20]Table 5C3 - LA Connections EBR'!AJ14)</f>
        <v>296809</v>
      </c>
      <c r="AI15" s="928">
        <f t="shared" si="51"/>
        <v>180577.19337500009</v>
      </c>
      <c r="AJ15" s="927">
        <f t="shared" si="38"/>
        <v>45144</v>
      </c>
      <c r="AK15" s="930">
        <f t="shared" si="39"/>
        <v>1001159.1593530733</v>
      </c>
      <c r="AL15" s="930">
        <f t="shared" si="52"/>
        <v>93443</v>
      </c>
      <c r="AN15" s="922">
        <v>-706.09500000000003</v>
      </c>
      <c r="AO15" s="922">
        <f t="shared" si="53"/>
        <v>-1196.4566250000003</v>
      </c>
      <c r="AP15" s="922">
        <f t="shared" si="54"/>
        <v>-490.36162500000023</v>
      </c>
    </row>
    <row r="16" spans="1:42" s="917" customFormat="1" ht="16.149999999999999" customHeight="1">
      <c r="A16" s="931">
        <v>10</v>
      </c>
      <c r="B16" s="932" t="s">
        <v>82</v>
      </c>
      <c r="C16" s="933">
        <f>+'Table 8 Membership 2.1.14'!L12</f>
        <v>47</v>
      </c>
      <c r="D16" s="934">
        <f>'Table 3 Levels 1&amp;2'!AL13*90%</f>
        <v>3945.9372605266249</v>
      </c>
      <c r="E16" s="934">
        <f t="shared" si="40"/>
        <v>185459.05124475138</v>
      </c>
      <c r="F16" s="935">
        <f>'Table 3A Level 3'!C15*90%</f>
        <v>547.2360000000001</v>
      </c>
      <c r="G16" s="935">
        <f t="shared" si="41"/>
        <v>25720.092000000004</v>
      </c>
      <c r="H16" s="936">
        <f t="shared" si="42"/>
        <v>211179.14324475138</v>
      </c>
      <c r="I16" s="935">
        <f>(('Table 3 Levels 1&amp;2'!AL13-D16)+('Table 3A Level 3'!C15-F16))*C16</f>
        <v>23464.349249416813</v>
      </c>
      <c r="J16" s="935">
        <f>'[1]Oct midyear LA Conn'!K13</f>
        <v>80877.118689479248</v>
      </c>
      <c r="K16" s="935">
        <f>'[1]Feb midyear LA Conn'!K13</f>
        <v>13479.519781579875</v>
      </c>
      <c r="L16" s="937">
        <f t="shared" si="43"/>
        <v>94356.638471059123</v>
      </c>
      <c r="M16" s="936">
        <f t="shared" si="44"/>
        <v>305535.78171581053</v>
      </c>
      <c r="N16" s="935">
        <f t="shared" si="45"/>
        <v>-763.83945428952632</v>
      </c>
      <c r="O16" s="936">
        <f t="shared" si="30"/>
        <v>304771.94226152101</v>
      </c>
      <c r="P16" s="938">
        <v>0</v>
      </c>
      <c r="Q16" s="936">
        <f t="shared" si="46"/>
        <v>304771.94226152101</v>
      </c>
      <c r="R16" s="935">
        <f>'[2]Table 5C3 - LA Connections EBR'!T15+'[14]Table 5C3 - LA Connections EBR'!T15+(6*'[20]Table 5C3 - LA Connections EBR'!T15)</f>
        <v>188759</v>
      </c>
      <c r="S16" s="935">
        <f t="shared" si="47"/>
        <v>116012.94226152101</v>
      </c>
      <c r="T16" s="936">
        <f t="shared" si="31"/>
        <v>29003</v>
      </c>
      <c r="U16" s="936">
        <f t="shared" si="32"/>
        <v>304771.94226152101</v>
      </c>
      <c r="V16" s="939">
        <f>'Table 5C1A-Madison Prep'!U16*90%</f>
        <v>4157.1000000000004</v>
      </c>
      <c r="W16" s="940">
        <f t="shared" si="33"/>
        <v>195383.7</v>
      </c>
      <c r="X16" s="933">
        <f>'[1]Oct midyear LA Conn'!E13</f>
        <v>18</v>
      </c>
      <c r="Y16" s="941">
        <f t="shared" si="48"/>
        <v>74827.8</v>
      </c>
      <c r="Z16" s="1007">
        <f>'[1]Feb midyear LA Conn'!E13</f>
        <v>6</v>
      </c>
      <c r="AA16" s="941">
        <f t="shared" si="34"/>
        <v>12471.300000000001</v>
      </c>
      <c r="AB16" s="942">
        <f t="shared" si="35"/>
        <v>87299.1</v>
      </c>
      <c r="AC16" s="940">
        <f t="shared" si="36"/>
        <v>282682.80000000005</v>
      </c>
      <c r="AD16" s="941">
        <f t="shared" si="37"/>
        <v>-706.70700000000011</v>
      </c>
      <c r="AE16" s="940">
        <f t="shared" si="49"/>
        <v>281976.09300000005</v>
      </c>
      <c r="AF16" s="939">
        <v>0</v>
      </c>
      <c r="AG16" s="940">
        <f t="shared" si="50"/>
        <v>281976.09300000005</v>
      </c>
      <c r="AH16" s="941">
        <f>'[2]Table 5C3 - LA Connections EBR'!AJ15+'[14]Table 5C3 - LA Connections EBR'!AJ15+(6*'[20]Table 5C3 - LA Connections EBR'!AJ15)</f>
        <v>172595</v>
      </c>
      <c r="AI16" s="941">
        <f t="shared" si="51"/>
        <v>109381.09300000005</v>
      </c>
      <c r="AJ16" s="940">
        <f t="shared" si="38"/>
        <v>27345</v>
      </c>
      <c r="AK16" s="943">
        <f t="shared" si="39"/>
        <v>586748.03526152112</v>
      </c>
      <c r="AL16" s="943">
        <f t="shared" si="52"/>
        <v>56348</v>
      </c>
      <c r="AN16" s="935">
        <v>-482.74875000000003</v>
      </c>
      <c r="AO16" s="935">
        <f t="shared" si="53"/>
        <v>-706.70700000000011</v>
      </c>
      <c r="AP16" s="935">
        <f t="shared" si="54"/>
        <v>-223.95825000000008</v>
      </c>
    </row>
    <row r="17" spans="1:42" s="917" customFormat="1" ht="16.149999999999999" customHeight="1">
      <c r="A17" s="904">
        <v>11</v>
      </c>
      <c r="B17" s="905" t="s">
        <v>83</v>
      </c>
      <c r="C17" s="906">
        <f>+'Table 8 Membership 2.1.14'!L13</f>
        <v>1</v>
      </c>
      <c r="D17" s="907">
        <f>'Table 3 Levels 1&amp;2'!AL14*90%</f>
        <v>6388.683501271802</v>
      </c>
      <c r="E17" s="907">
        <f t="shared" si="40"/>
        <v>6388.683501271802</v>
      </c>
      <c r="F17" s="908">
        <f>'Table 3A Level 3'!C16*90%</f>
        <v>635.89499999999998</v>
      </c>
      <c r="G17" s="908">
        <f t="shared" si="41"/>
        <v>635.89499999999998</v>
      </c>
      <c r="H17" s="909">
        <f t="shared" si="42"/>
        <v>7024.5785012718025</v>
      </c>
      <c r="I17" s="908">
        <f>(('Table 3 Levels 1&amp;2'!AL14-D17)+('Table 3A Level 3'!C16-F17))*C17</f>
        <v>780.50872236353302</v>
      </c>
      <c r="J17" s="908">
        <f>'[1]Oct midyear LA Conn'!K14</f>
        <v>7024.5785012718025</v>
      </c>
      <c r="K17" s="908">
        <f>'[1]Feb midyear LA Conn'!K14</f>
        <v>0</v>
      </c>
      <c r="L17" s="910">
        <f t="shared" si="43"/>
        <v>7024.5785012718025</v>
      </c>
      <c r="M17" s="909">
        <f t="shared" si="44"/>
        <v>14049.157002543605</v>
      </c>
      <c r="N17" s="908">
        <f t="shared" si="45"/>
        <v>-35.122892506359015</v>
      </c>
      <c r="O17" s="909">
        <f t="shared" si="30"/>
        <v>14014.034110037246</v>
      </c>
      <c r="P17" s="911">
        <v>0</v>
      </c>
      <c r="Q17" s="909">
        <f t="shared" si="46"/>
        <v>14014.034110037246</v>
      </c>
      <c r="R17" s="908">
        <f>'[2]Table 5C3 - LA Connections EBR'!T16+'[14]Table 5C3 - LA Connections EBR'!T16+(6*'[20]Table 5C3 - LA Connections EBR'!T16)</f>
        <v>9384</v>
      </c>
      <c r="S17" s="908">
        <f t="shared" si="47"/>
        <v>4630.0341100372461</v>
      </c>
      <c r="T17" s="909">
        <f t="shared" si="31"/>
        <v>1158</v>
      </c>
      <c r="U17" s="909">
        <f t="shared" si="32"/>
        <v>14014.034110037246</v>
      </c>
      <c r="V17" s="912">
        <f>'Table 5C1A-Madison Prep'!U17*90%</f>
        <v>3222</v>
      </c>
      <c r="W17" s="913">
        <f t="shared" si="33"/>
        <v>3222</v>
      </c>
      <c r="X17" s="906">
        <f>'[1]Oct midyear LA Conn'!E14</f>
        <v>1</v>
      </c>
      <c r="Y17" s="914">
        <f t="shared" si="48"/>
        <v>3222</v>
      </c>
      <c r="Z17" s="1005">
        <f>'[1]Feb midyear LA Conn'!E14</f>
        <v>0</v>
      </c>
      <c r="AA17" s="914">
        <f t="shared" si="34"/>
        <v>0</v>
      </c>
      <c r="AB17" s="915">
        <f t="shared" si="35"/>
        <v>3222</v>
      </c>
      <c r="AC17" s="913">
        <f t="shared" si="36"/>
        <v>6444</v>
      </c>
      <c r="AD17" s="914">
        <f t="shared" si="37"/>
        <v>-16.11</v>
      </c>
      <c r="AE17" s="913">
        <f t="shared" si="49"/>
        <v>6427.89</v>
      </c>
      <c r="AF17" s="912">
        <v>0</v>
      </c>
      <c r="AG17" s="913">
        <f t="shared" si="50"/>
        <v>6427.89</v>
      </c>
      <c r="AH17" s="914">
        <f>'[2]Table 5C3 - LA Connections EBR'!AJ16+'[14]Table 5C3 - LA Connections EBR'!AJ16+(6*'[20]Table 5C3 - LA Connections EBR'!AJ16)</f>
        <v>4314</v>
      </c>
      <c r="AI17" s="914">
        <f t="shared" si="51"/>
        <v>2113.8900000000003</v>
      </c>
      <c r="AJ17" s="913">
        <f t="shared" si="38"/>
        <v>528</v>
      </c>
      <c r="AK17" s="916">
        <f t="shared" si="39"/>
        <v>20441.924110037246</v>
      </c>
      <c r="AL17" s="916">
        <f t="shared" si="52"/>
        <v>1686</v>
      </c>
      <c r="AN17" s="908">
        <v>-8.0707500000000003</v>
      </c>
      <c r="AO17" s="908">
        <f t="shared" si="53"/>
        <v>-16.11</v>
      </c>
      <c r="AP17" s="908">
        <f t="shared" si="54"/>
        <v>-8.0392499999999991</v>
      </c>
    </row>
    <row r="18" spans="1:42" s="917" customFormat="1" ht="16.149999999999999" customHeight="1">
      <c r="A18" s="918">
        <v>12</v>
      </c>
      <c r="B18" s="919" t="s">
        <v>84</v>
      </c>
      <c r="C18" s="920">
        <f>+'Table 8 Membership 2.1.14'!L14</f>
        <v>1</v>
      </c>
      <c r="D18" s="921">
        <f>'Table 3 Levels 1&amp;2'!AL15*90%</f>
        <v>1499.9436885245902</v>
      </c>
      <c r="E18" s="921">
        <f t="shared" si="40"/>
        <v>1499.9436885245902</v>
      </c>
      <c r="F18" s="922">
        <f>'Table 3A Level 3'!C17*90%</f>
        <v>956.97899999999993</v>
      </c>
      <c r="G18" s="922">
        <f t="shared" si="41"/>
        <v>956.97899999999993</v>
      </c>
      <c r="H18" s="923">
        <f t="shared" si="42"/>
        <v>2456.9226885245903</v>
      </c>
      <c r="I18" s="922">
        <f>(('Table 3 Levels 1&amp;2'!AL15-D18)+('Table 3A Level 3'!C17-F18))*C18</f>
        <v>272.9914098360656</v>
      </c>
      <c r="J18" s="922">
        <f>'[1]Oct midyear LA Conn'!K15</f>
        <v>0</v>
      </c>
      <c r="K18" s="922">
        <f>'[1]Feb midyear LA Conn'!K15</f>
        <v>1228.4613442622951</v>
      </c>
      <c r="L18" s="924">
        <f t="shared" si="43"/>
        <v>1228.4613442622951</v>
      </c>
      <c r="M18" s="923">
        <f t="shared" si="44"/>
        <v>3685.3840327868857</v>
      </c>
      <c r="N18" s="922">
        <f t="shared" si="45"/>
        <v>-9.2134600819672148</v>
      </c>
      <c r="O18" s="923">
        <f t="shared" si="30"/>
        <v>3676.1705727049184</v>
      </c>
      <c r="P18" s="925">
        <v>0</v>
      </c>
      <c r="Q18" s="923">
        <f t="shared" si="46"/>
        <v>3676.1705727049184</v>
      </c>
      <c r="R18" s="922">
        <f>'[2]Table 5C3 - LA Connections EBR'!T17+'[14]Table 5C3 - LA Connections EBR'!T17+(6*'[20]Table 5C3 - LA Connections EBR'!T17)</f>
        <v>1632</v>
      </c>
      <c r="S18" s="922">
        <f t="shared" si="47"/>
        <v>2044.1705727049184</v>
      </c>
      <c r="T18" s="923">
        <f t="shared" si="31"/>
        <v>511</v>
      </c>
      <c r="U18" s="923">
        <f t="shared" si="32"/>
        <v>3676.1705727049184</v>
      </c>
      <c r="V18" s="926">
        <f>'Table 5C1A-Madison Prep'!U18*90%</f>
        <v>7284.6</v>
      </c>
      <c r="W18" s="927">
        <f t="shared" si="33"/>
        <v>7284.6</v>
      </c>
      <c r="X18" s="920">
        <f>'[1]Oct midyear LA Conn'!E15</f>
        <v>0</v>
      </c>
      <c r="Y18" s="928">
        <f t="shared" si="48"/>
        <v>0</v>
      </c>
      <c r="Z18" s="1006">
        <f>'[1]Feb midyear LA Conn'!E15</f>
        <v>1</v>
      </c>
      <c r="AA18" s="928">
        <f t="shared" si="34"/>
        <v>3642.3</v>
      </c>
      <c r="AB18" s="929">
        <f t="shared" si="35"/>
        <v>3642.3</v>
      </c>
      <c r="AC18" s="927">
        <f t="shared" si="36"/>
        <v>10926.900000000001</v>
      </c>
      <c r="AD18" s="928">
        <f t="shared" si="37"/>
        <v>-27.317250000000005</v>
      </c>
      <c r="AE18" s="927">
        <f t="shared" si="49"/>
        <v>10899.582750000001</v>
      </c>
      <c r="AF18" s="926">
        <v>0</v>
      </c>
      <c r="AG18" s="927">
        <f t="shared" si="50"/>
        <v>10899.582750000001</v>
      </c>
      <c r="AH18" s="928">
        <f>'[2]Table 5C3 - LA Connections EBR'!AJ17+'[14]Table 5C3 - LA Connections EBR'!AJ17+(6*'[20]Table 5C3 - LA Connections EBR'!AJ17)</f>
        <v>4847</v>
      </c>
      <c r="AI18" s="928">
        <f t="shared" si="51"/>
        <v>6052.5827500000014</v>
      </c>
      <c r="AJ18" s="927">
        <f t="shared" si="38"/>
        <v>1513</v>
      </c>
      <c r="AK18" s="930">
        <f t="shared" si="39"/>
        <v>14575.753322704921</v>
      </c>
      <c r="AL18" s="930">
        <f t="shared" si="52"/>
        <v>2024</v>
      </c>
      <c r="AN18" s="922">
        <v>-18.211500000000001</v>
      </c>
      <c r="AO18" s="922">
        <f t="shared" si="53"/>
        <v>-27.317250000000005</v>
      </c>
      <c r="AP18" s="922">
        <f t="shared" si="54"/>
        <v>-9.105750000000004</v>
      </c>
    </row>
    <row r="19" spans="1:42" s="917" customFormat="1" ht="16.149999999999999" customHeight="1">
      <c r="A19" s="918">
        <v>13</v>
      </c>
      <c r="B19" s="919" t="s">
        <v>85</v>
      </c>
      <c r="C19" s="920">
        <f>+'Table 8 Membership 2.1.14'!L15</f>
        <v>9</v>
      </c>
      <c r="D19" s="921">
        <f>'Table 3 Levels 1&amp;2'!AL16*90%</f>
        <v>5790.2667982498988</v>
      </c>
      <c r="E19" s="921">
        <f t="shared" si="40"/>
        <v>52112.401184249087</v>
      </c>
      <c r="F19" s="922">
        <f>'Table 3A Level 3'!C18*90%</f>
        <v>674.48700000000008</v>
      </c>
      <c r="G19" s="922">
        <f t="shared" si="41"/>
        <v>6070.3830000000007</v>
      </c>
      <c r="H19" s="923">
        <f t="shared" si="42"/>
        <v>58182.784184249089</v>
      </c>
      <c r="I19" s="922">
        <f>(('Table 3 Levels 1&amp;2'!AL16-D19)+('Table 3A Level 3'!C18-F19))*C19</f>
        <v>6464.7537982499016</v>
      </c>
      <c r="J19" s="922">
        <f>'[1]Oct midyear LA Conn'!K16</f>
        <v>-25859.015192999595</v>
      </c>
      <c r="K19" s="922">
        <f>'[1]Feb midyear LA Conn'!K16</f>
        <v>-6464.7537982498989</v>
      </c>
      <c r="L19" s="924">
        <f t="shared" si="43"/>
        <v>-32323.768991249493</v>
      </c>
      <c r="M19" s="923">
        <f t="shared" si="44"/>
        <v>25859.015192999595</v>
      </c>
      <c r="N19" s="922">
        <f t="shared" si="45"/>
        <v>-64.647537982498989</v>
      </c>
      <c r="O19" s="923">
        <f t="shared" si="30"/>
        <v>25794.367655017097</v>
      </c>
      <c r="P19" s="925">
        <v>0</v>
      </c>
      <c r="Q19" s="923">
        <f t="shared" si="46"/>
        <v>25794.367655017097</v>
      </c>
      <c r="R19" s="922">
        <f>'[2]Table 5C3 - LA Connections EBR'!T18+'[14]Table 5C3 - LA Connections EBR'!T18+(6*'[20]Table 5C3 - LA Connections EBR'!T18)</f>
        <v>23685</v>
      </c>
      <c r="S19" s="922">
        <f t="shared" si="47"/>
        <v>2109.3676550170967</v>
      </c>
      <c r="T19" s="923">
        <f t="shared" si="31"/>
        <v>527</v>
      </c>
      <c r="U19" s="923">
        <f t="shared" si="32"/>
        <v>25794.367655017097</v>
      </c>
      <c r="V19" s="926">
        <f>'Table 5C1A-Madison Prep'!U19*90%</f>
        <v>2485.8000000000002</v>
      </c>
      <c r="W19" s="927">
        <f t="shared" si="33"/>
        <v>22372.2</v>
      </c>
      <c r="X19" s="920">
        <f>'[1]Oct midyear LA Conn'!E16</f>
        <v>-4</v>
      </c>
      <c r="Y19" s="928">
        <f t="shared" si="48"/>
        <v>-9943.2000000000007</v>
      </c>
      <c r="Z19" s="1006">
        <f>'[1]Feb midyear LA Conn'!E16</f>
        <v>-2</v>
      </c>
      <c r="AA19" s="928">
        <f t="shared" si="34"/>
        <v>-2485.8000000000002</v>
      </c>
      <c r="AB19" s="929">
        <f t="shared" si="35"/>
        <v>-12429</v>
      </c>
      <c r="AC19" s="927">
        <f t="shared" si="36"/>
        <v>9943.2000000000007</v>
      </c>
      <c r="AD19" s="928">
        <f t="shared" si="37"/>
        <v>-24.858000000000004</v>
      </c>
      <c r="AE19" s="927">
        <f t="shared" si="49"/>
        <v>9918.3420000000006</v>
      </c>
      <c r="AF19" s="926">
        <v>0</v>
      </c>
      <c r="AG19" s="927">
        <f t="shared" si="50"/>
        <v>9918.3420000000006</v>
      </c>
      <c r="AH19" s="928">
        <f>'[2]Table 5C3 - LA Connections EBR'!AJ18+'[14]Table 5C3 - LA Connections EBR'!AJ18+(6*'[20]Table 5C3 - LA Connections EBR'!AJ18)</f>
        <v>9373</v>
      </c>
      <c r="AI19" s="928">
        <f t="shared" si="51"/>
        <v>545.34200000000055</v>
      </c>
      <c r="AJ19" s="927">
        <f t="shared" si="38"/>
        <v>136</v>
      </c>
      <c r="AK19" s="930">
        <f t="shared" si="39"/>
        <v>35712.709655017097</v>
      </c>
      <c r="AL19" s="930">
        <f t="shared" si="52"/>
        <v>663</v>
      </c>
      <c r="AN19" s="922">
        <v>-57.5505</v>
      </c>
      <c r="AO19" s="922">
        <f t="shared" si="53"/>
        <v>-24.858000000000004</v>
      </c>
      <c r="AP19" s="922">
        <f t="shared" si="54"/>
        <v>32.692499999999995</v>
      </c>
    </row>
    <row r="20" spans="1:42" s="917" customFormat="1" ht="16.149999999999999" customHeight="1">
      <c r="A20" s="918">
        <v>14</v>
      </c>
      <c r="B20" s="919" t="s">
        <v>86</v>
      </c>
      <c r="C20" s="920">
        <f>+'Table 8 Membership 2.1.14'!L16</f>
        <v>17</v>
      </c>
      <c r="D20" s="921">
        <f>'Table 3 Levels 1&amp;2'!AL17*90%</f>
        <v>4801.4558471250002</v>
      </c>
      <c r="E20" s="921">
        <f t="shared" si="40"/>
        <v>81624.749401125009</v>
      </c>
      <c r="F20" s="922">
        <f>'Table 3A Level 3'!C19*90%</f>
        <v>728.98199999999997</v>
      </c>
      <c r="G20" s="922">
        <f t="shared" si="41"/>
        <v>12392.694</v>
      </c>
      <c r="H20" s="923">
        <f t="shared" si="42"/>
        <v>94017.443401125012</v>
      </c>
      <c r="I20" s="922">
        <f>(('Table 3 Levels 1&amp;2'!AL17-D20)+('Table 3A Level 3'!C19-F20))*C20</f>
        <v>10446.382600124998</v>
      </c>
      <c r="J20" s="922">
        <f>'[1]Oct midyear LA Conn'!K17</f>
        <v>27652.189235625003</v>
      </c>
      <c r="K20" s="922">
        <f>'[1]Feb midyear LA Conn'!K17</f>
        <v>2765.2189235625001</v>
      </c>
      <c r="L20" s="924">
        <f t="shared" si="43"/>
        <v>30417.408159187504</v>
      </c>
      <c r="M20" s="923">
        <f t="shared" si="44"/>
        <v>124434.85156031251</v>
      </c>
      <c r="N20" s="922">
        <f t="shared" si="45"/>
        <v>-311.08712890078129</v>
      </c>
      <c r="O20" s="923">
        <f t="shared" si="30"/>
        <v>124123.76443141174</v>
      </c>
      <c r="P20" s="925">
        <v>0</v>
      </c>
      <c r="Q20" s="923">
        <f t="shared" si="46"/>
        <v>124123.76443141174</v>
      </c>
      <c r="R20" s="922">
        <f>'[2]Table 5C3 - LA Connections EBR'!T19+'[14]Table 5C3 - LA Connections EBR'!T19+(6*'[20]Table 5C3 - LA Connections EBR'!T19)</f>
        <v>62123</v>
      </c>
      <c r="S20" s="922">
        <f t="shared" si="47"/>
        <v>62000.764431411735</v>
      </c>
      <c r="T20" s="923">
        <f t="shared" si="31"/>
        <v>15500</v>
      </c>
      <c r="U20" s="923">
        <f t="shared" si="32"/>
        <v>124123.76443141174</v>
      </c>
      <c r="V20" s="926">
        <f>'Table 5C1A-Madison Prep'!U20*90%</f>
        <v>3753.9</v>
      </c>
      <c r="W20" s="927">
        <f t="shared" si="33"/>
        <v>63816.3</v>
      </c>
      <c r="X20" s="920">
        <f>'[1]Oct midyear LA Conn'!E17</f>
        <v>5</v>
      </c>
      <c r="Y20" s="928">
        <f t="shared" si="48"/>
        <v>18769.5</v>
      </c>
      <c r="Z20" s="1006">
        <f>'[1]Feb midyear LA Conn'!E17</f>
        <v>1</v>
      </c>
      <c r="AA20" s="928">
        <f t="shared" si="34"/>
        <v>1876.95</v>
      </c>
      <c r="AB20" s="929">
        <f t="shared" si="35"/>
        <v>20646.45</v>
      </c>
      <c r="AC20" s="927">
        <f t="shared" si="36"/>
        <v>84462.75</v>
      </c>
      <c r="AD20" s="928">
        <f t="shared" si="37"/>
        <v>-211.15687500000001</v>
      </c>
      <c r="AE20" s="927">
        <f t="shared" si="49"/>
        <v>84251.593124999999</v>
      </c>
      <c r="AF20" s="926">
        <v>0</v>
      </c>
      <c r="AG20" s="927">
        <f t="shared" si="50"/>
        <v>84251.593124999999</v>
      </c>
      <c r="AH20" s="928">
        <f>'[2]Table 5C3 - LA Connections EBR'!AJ19+'[14]Table 5C3 - LA Connections EBR'!AJ19+(6*'[20]Table 5C3 - LA Connections EBR'!AJ19)</f>
        <v>42512</v>
      </c>
      <c r="AI20" s="928">
        <f t="shared" si="51"/>
        <v>41739.593124999999</v>
      </c>
      <c r="AJ20" s="927">
        <f t="shared" si="38"/>
        <v>10435</v>
      </c>
      <c r="AK20" s="930">
        <f t="shared" si="39"/>
        <v>208375.35755641173</v>
      </c>
      <c r="AL20" s="930">
        <f t="shared" si="52"/>
        <v>25935</v>
      </c>
      <c r="AN20" s="922">
        <v>-160.84125</v>
      </c>
      <c r="AO20" s="922">
        <f t="shared" si="53"/>
        <v>-211.15687500000001</v>
      </c>
      <c r="AP20" s="922">
        <f t="shared" si="54"/>
        <v>-50.315625000000011</v>
      </c>
    </row>
    <row r="21" spans="1:42" s="917" customFormat="1" ht="16.149999999999999" customHeight="1">
      <c r="A21" s="931">
        <v>15</v>
      </c>
      <c r="B21" s="932" t="s">
        <v>87</v>
      </c>
      <c r="C21" s="933">
        <f>+'Table 8 Membership 2.1.14'!L17</f>
        <v>5</v>
      </c>
      <c r="D21" s="934">
        <f>'Table 3 Levels 1&amp;2'!AL18*90%</f>
        <v>5174.8456692653954</v>
      </c>
      <c r="E21" s="934">
        <f t="shared" si="40"/>
        <v>25874.228346326978</v>
      </c>
      <c r="F21" s="935">
        <f>'Table 3A Level 3'!C20*90%</f>
        <v>498.41999999999996</v>
      </c>
      <c r="G21" s="935">
        <f t="shared" si="41"/>
        <v>2492.1</v>
      </c>
      <c r="H21" s="936">
        <f t="shared" si="42"/>
        <v>28366.328346326976</v>
      </c>
      <c r="I21" s="935">
        <f>(('Table 3 Levels 1&amp;2'!AL18-D21)+('Table 3A Level 3'!C20-F21))*C21</f>
        <v>3151.814260702999</v>
      </c>
      <c r="J21" s="935">
        <f>'[1]Oct midyear LA Conn'!K18</f>
        <v>0</v>
      </c>
      <c r="K21" s="935">
        <f>'[1]Feb midyear LA Conn'!K18</f>
        <v>2836.6328346326977</v>
      </c>
      <c r="L21" s="937">
        <f t="shared" si="43"/>
        <v>2836.6328346326977</v>
      </c>
      <c r="M21" s="936">
        <f t="shared" si="44"/>
        <v>31202.961180959675</v>
      </c>
      <c r="N21" s="935">
        <f t="shared" si="45"/>
        <v>-78.00740295239919</v>
      </c>
      <c r="O21" s="936">
        <f t="shared" si="30"/>
        <v>31124.953778007275</v>
      </c>
      <c r="P21" s="938">
        <v>0</v>
      </c>
      <c r="Q21" s="936">
        <f t="shared" si="46"/>
        <v>31124.953778007275</v>
      </c>
      <c r="R21" s="935">
        <f>'[2]Table 5C3 - LA Connections EBR'!T20+'[14]Table 5C3 - LA Connections EBR'!T20+(6*'[20]Table 5C3 - LA Connections EBR'!T20)</f>
        <v>18864</v>
      </c>
      <c r="S21" s="935">
        <f t="shared" si="47"/>
        <v>12260.953778007275</v>
      </c>
      <c r="T21" s="936">
        <f t="shared" si="31"/>
        <v>3065</v>
      </c>
      <c r="U21" s="936">
        <f t="shared" si="32"/>
        <v>31124.953778007275</v>
      </c>
      <c r="V21" s="939">
        <f>'Table 5C1A-Madison Prep'!U21*90%</f>
        <v>2592</v>
      </c>
      <c r="W21" s="940">
        <f t="shared" si="33"/>
        <v>12960</v>
      </c>
      <c r="X21" s="933">
        <f>'[1]Oct midyear LA Conn'!E18</f>
        <v>0</v>
      </c>
      <c r="Y21" s="941">
        <f t="shared" si="48"/>
        <v>0</v>
      </c>
      <c r="Z21" s="1007">
        <f>'[1]Feb midyear LA Conn'!E18</f>
        <v>1</v>
      </c>
      <c r="AA21" s="941">
        <f t="shared" si="34"/>
        <v>1296</v>
      </c>
      <c r="AB21" s="942">
        <f t="shared" si="35"/>
        <v>1296</v>
      </c>
      <c r="AC21" s="940">
        <f t="shared" si="36"/>
        <v>14256</v>
      </c>
      <c r="AD21" s="941">
        <f t="shared" si="37"/>
        <v>-35.64</v>
      </c>
      <c r="AE21" s="940">
        <f t="shared" si="49"/>
        <v>14220.36</v>
      </c>
      <c r="AF21" s="939">
        <v>0</v>
      </c>
      <c r="AG21" s="940">
        <f t="shared" si="50"/>
        <v>14220.36</v>
      </c>
      <c r="AH21" s="941">
        <f>'[2]Table 5C3 - LA Connections EBR'!AJ20+'[14]Table 5C3 - LA Connections EBR'!AJ20+(6*'[20]Table 5C3 - LA Connections EBR'!AJ20)</f>
        <v>7584</v>
      </c>
      <c r="AI21" s="941">
        <f t="shared" si="51"/>
        <v>6636.3600000000006</v>
      </c>
      <c r="AJ21" s="940">
        <f t="shared" si="38"/>
        <v>1659</v>
      </c>
      <c r="AK21" s="943">
        <f t="shared" si="39"/>
        <v>45345.313778007272</v>
      </c>
      <c r="AL21" s="943">
        <f t="shared" si="52"/>
        <v>4724</v>
      </c>
      <c r="AN21" s="935">
        <v>-28.518750000000001</v>
      </c>
      <c r="AO21" s="935">
        <f t="shared" si="53"/>
        <v>-35.64</v>
      </c>
      <c r="AP21" s="935">
        <f t="shared" si="54"/>
        <v>-7.1212499999999999</v>
      </c>
    </row>
    <row r="22" spans="1:42" s="917" customFormat="1" ht="16.149999999999999" customHeight="1">
      <c r="A22" s="904">
        <v>16</v>
      </c>
      <c r="B22" s="905" t="s">
        <v>88</v>
      </c>
      <c r="C22" s="906">
        <f>+'Table 8 Membership 2.1.14'!L18</f>
        <v>4</v>
      </c>
      <c r="D22" s="907">
        <f>'Table 3 Levels 1&amp;2'!AL19*90%</f>
        <v>1782.2244918907822</v>
      </c>
      <c r="E22" s="907">
        <f t="shared" si="40"/>
        <v>7128.897967563129</v>
      </c>
      <c r="F22" s="908">
        <f>'Table 3A Level 3'!C21*90%</f>
        <v>618.05700000000002</v>
      </c>
      <c r="G22" s="908">
        <f t="shared" si="41"/>
        <v>2472.2280000000001</v>
      </c>
      <c r="H22" s="909">
        <f t="shared" si="42"/>
        <v>9601.12596756313</v>
      </c>
      <c r="I22" s="908">
        <f>(('Table 3 Levels 1&amp;2'!AL19-D22)+('Table 3A Level 3'!C21-F22))*C22</f>
        <v>1066.791774173681</v>
      </c>
      <c r="J22" s="908">
        <f>'[1]Oct midyear LA Conn'!K19</f>
        <v>7200.8444756723475</v>
      </c>
      <c r="K22" s="908">
        <f>'[1]Feb midyear LA Conn'!K19</f>
        <v>-1200.1407459453912</v>
      </c>
      <c r="L22" s="910">
        <f t="shared" si="43"/>
        <v>6000.7037297269562</v>
      </c>
      <c r="M22" s="909">
        <f t="shared" si="44"/>
        <v>15601.829697290086</v>
      </c>
      <c r="N22" s="908">
        <f t="shared" si="45"/>
        <v>-39.004574243225214</v>
      </c>
      <c r="O22" s="909">
        <f t="shared" si="30"/>
        <v>15562.825123046861</v>
      </c>
      <c r="P22" s="911">
        <v>0</v>
      </c>
      <c r="Q22" s="909">
        <f t="shared" si="46"/>
        <v>15562.825123046861</v>
      </c>
      <c r="R22" s="908">
        <f>'[2]Table 5C3 - LA Connections EBR'!T21+'[14]Table 5C3 - LA Connections EBR'!T21+(6*'[20]Table 5C3 - LA Connections EBR'!T21)</f>
        <v>10869</v>
      </c>
      <c r="S22" s="908">
        <f t="shared" si="47"/>
        <v>4693.8251230468613</v>
      </c>
      <c r="T22" s="909">
        <f t="shared" si="31"/>
        <v>1173</v>
      </c>
      <c r="U22" s="909">
        <f t="shared" si="32"/>
        <v>15562.825123046861</v>
      </c>
      <c r="V22" s="912">
        <f>'Table 5C1A-Madison Prep'!U22*90%</f>
        <v>11718.9</v>
      </c>
      <c r="W22" s="913">
        <f t="shared" si="33"/>
        <v>46875.6</v>
      </c>
      <c r="X22" s="906">
        <f>'[1]Oct midyear LA Conn'!E19</f>
        <v>3</v>
      </c>
      <c r="Y22" s="914">
        <f t="shared" si="48"/>
        <v>35156.699999999997</v>
      </c>
      <c r="Z22" s="1005">
        <f>'[1]Feb midyear LA Conn'!E19</f>
        <v>-1</v>
      </c>
      <c r="AA22" s="914">
        <f t="shared" si="34"/>
        <v>-5859.45</v>
      </c>
      <c r="AB22" s="915">
        <f t="shared" si="35"/>
        <v>29297.249999999996</v>
      </c>
      <c r="AC22" s="913">
        <f t="shared" si="36"/>
        <v>76172.849999999991</v>
      </c>
      <c r="AD22" s="914">
        <f t="shared" si="37"/>
        <v>-190.43212499999998</v>
      </c>
      <c r="AE22" s="913">
        <f t="shared" si="49"/>
        <v>75982.417874999985</v>
      </c>
      <c r="AF22" s="912">
        <v>0</v>
      </c>
      <c r="AG22" s="913">
        <f t="shared" si="50"/>
        <v>75982.417874999985</v>
      </c>
      <c r="AH22" s="914">
        <f>'[2]Table 5C3 - LA Connections EBR'!AJ21+'[14]Table 5C3 - LA Connections EBR'!AJ21+(6*'[20]Table 5C3 - LA Connections EBR'!AJ21)</f>
        <v>52032</v>
      </c>
      <c r="AI22" s="914">
        <f t="shared" si="51"/>
        <v>23950.417874999985</v>
      </c>
      <c r="AJ22" s="913">
        <f t="shared" si="38"/>
        <v>5988</v>
      </c>
      <c r="AK22" s="916">
        <f t="shared" si="39"/>
        <v>91545.242998046844</v>
      </c>
      <c r="AL22" s="916">
        <f t="shared" si="52"/>
        <v>7161</v>
      </c>
      <c r="AN22" s="908">
        <v>-114.91200000000001</v>
      </c>
      <c r="AO22" s="908">
        <f t="shared" si="53"/>
        <v>-190.43212499999998</v>
      </c>
      <c r="AP22" s="908">
        <f t="shared" si="54"/>
        <v>-75.520124999999979</v>
      </c>
    </row>
    <row r="23" spans="1:42" s="917" customFormat="1" ht="16.149999999999999" customHeight="1">
      <c r="A23" s="918">
        <v>17</v>
      </c>
      <c r="B23" s="919" t="s">
        <v>89</v>
      </c>
      <c r="C23" s="920">
        <f>+'Table 8 Membership 2.1.14'!L19</f>
        <v>85</v>
      </c>
      <c r="D23" s="921">
        <f>'Table 3 Levels 1&amp;2'!AL20*90%</f>
        <v>3027.2382331429048</v>
      </c>
      <c r="E23" s="921">
        <f t="shared" si="40"/>
        <v>257315.24981714692</v>
      </c>
      <c r="F23" s="922">
        <f>'Table 3A Level 3'!C22*90%</f>
        <v>721.32986175126121</v>
      </c>
      <c r="G23" s="922">
        <f t="shared" si="41"/>
        <v>61313.0382488572</v>
      </c>
      <c r="H23" s="923">
        <f t="shared" si="42"/>
        <v>318628.28806600411</v>
      </c>
      <c r="I23" s="922">
        <f>(('Table 3 Levels 1&amp;2'!AL20-D23)+('Table 3A Level 3'!C22-F23))*C23</f>
        <v>35403.143118444874</v>
      </c>
      <c r="J23" s="922">
        <f>'[1]Oct midyear LA Conn'!K20</f>
        <v>217416.94950386166</v>
      </c>
      <c r="K23" s="922">
        <f>'[1]Feb midyear LA Conn'!K20</f>
        <v>16868.556427023748</v>
      </c>
      <c r="L23" s="924">
        <f t="shared" si="43"/>
        <v>234285.50593088541</v>
      </c>
      <c r="M23" s="923">
        <f t="shared" si="44"/>
        <v>552913.79399688949</v>
      </c>
      <c r="N23" s="922">
        <f t="shared" si="45"/>
        <v>-1382.2844849922237</v>
      </c>
      <c r="O23" s="923">
        <f t="shared" si="30"/>
        <v>551531.50951189722</v>
      </c>
      <c r="P23" s="925">
        <v>1888.7409487239493</v>
      </c>
      <c r="Q23" s="923">
        <f t="shared" si="46"/>
        <v>553420.2504606212</v>
      </c>
      <c r="R23" s="922">
        <f>'[2]Table 5C3 - LA Connections EBR'!T22+'[14]Table 5C3 - LA Connections EBR'!T22+(6*'[20]Table 5C3 - LA Connections EBR'!T22)</f>
        <v>274404</v>
      </c>
      <c r="S23" s="922">
        <f t="shared" si="47"/>
        <v>279016.2504606212</v>
      </c>
      <c r="T23" s="923">
        <f t="shared" si="31"/>
        <v>69754</v>
      </c>
      <c r="U23" s="923">
        <f t="shared" si="32"/>
        <v>553420.2504606212</v>
      </c>
      <c r="V23" s="926">
        <f>'Table 5C1A-Madison Prep'!U23*90%</f>
        <v>6258.6</v>
      </c>
      <c r="W23" s="927">
        <f t="shared" si="33"/>
        <v>531981</v>
      </c>
      <c r="X23" s="920">
        <f>'[1]Oct midyear LA Conn'!E20</f>
        <v>58</v>
      </c>
      <c r="Y23" s="928">
        <f t="shared" si="48"/>
        <v>362998.80000000005</v>
      </c>
      <c r="Z23" s="1006">
        <f>'[1]Feb midyear LA Conn'!E20</f>
        <v>9</v>
      </c>
      <c r="AA23" s="928">
        <f t="shared" si="34"/>
        <v>28163.7</v>
      </c>
      <c r="AB23" s="929">
        <f t="shared" si="35"/>
        <v>391162.50000000006</v>
      </c>
      <c r="AC23" s="927">
        <f t="shared" si="36"/>
        <v>923143.5</v>
      </c>
      <c r="AD23" s="928">
        <f t="shared" si="37"/>
        <v>-2307.8587499999999</v>
      </c>
      <c r="AE23" s="927">
        <f t="shared" si="49"/>
        <v>920835.64124999999</v>
      </c>
      <c r="AF23" s="926">
        <v>2970.4500000000003</v>
      </c>
      <c r="AG23" s="927">
        <f t="shared" si="50"/>
        <v>923806.09124999994</v>
      </c>
      <c r="AH23" s="928">
        <f>'[2]Table 5C3 - LA Connections EBR'!AJ22+'[14]Table 5C3 - LA Connections EBR'!AJ22+(6*'[20]Table 5C3 - LA Connections EBR'!AJ22)</f>
        <v>464312</v>
      </c>
      <c r="AI23" s="928">
        <f t="shared" si="51"/>
        <v>459494.09124999994</v>
      </c>
      <c r="AJ23" s="927">
        <f t="shared" si="38"/>
        <v>114874</v>
      </c>
      <c r="AK23" s="930">
        <f t="shared" si="39"/>
        <v>1477226.341710621</v>
      </c>
      <c r="AL23" s="930">
        <f t="shared" si="52"/>
        <v>184628</v>
      </c>
      <c r="AN23" s="922">
        <v>-1348.3125</v>
      </c>
      <c r="AO23" s="922">
        <f t="shared" si="53"/>
        <v>-2307.8587499999999</v>
      </c>
      <c r="AP23" s="922">
        <f t="shared" si="54"/>
        <v>-959.54624999999987</v>
      </c>
    </row>
    <row r="24" spans="1:42" s="917" customFormat="1" ht="16.149999999999999" customHeight="1">
      <c r="A24" s="918">
        <v>18</v>
      </c>
      <c r="B24" s="919" t="s">
        <v>90</v>
      </c>
      <c r="C24" s="920">
        <f>+'Table 8 Membership 2.1.14'!L20</f>
        <v>0</v>
      </c>
      <c r="D24" s="921">
        <f>'Table 3 Levels 1&amp;2'!AL21*90%</f>
        <v>5719.0980150428159</v>
      </c>
      <c r="E24" s="921">
        <f t="shared" si="40"/>
        <v>0</v>
      </c>
      <c r="F24" s="922">
        <f>'Table 3A Level 3'!C23*90%</f>
        <v>761.3549999999999</v>
      </c>
      <c r="G24" s="922">
        <f t="shared" si="41"/>
        <v>0</v>
      </c>
      <c r="H24" s="923">
        <f t="shared" si="42"/>
        <v>0</v>
      </c>
      <c r="I24" s="922">
        <f>(('Table 3 Levels 1&amp;2'!AL21-D24)+('Table 3A Level 3'!C23-F24))*C24</f>
        <v>0</v>
      </c>
      <c r="J24" s="922">
        <f>'[1]Oct midyear LA Conn'!K21</f>
        <v>19441.359045128447</v>
      </c>
      <c r="K24" s="922">
        <f>'[1]Feb midyear LA Conn'!K21</f>
        <v>0</v>
      </c>
      <c r="L24" s="924">
        <f t="shared" si="43"/>
        <v>19441.359045128447</v>
      </c>
      <c r="M24" s="923">
        <f t="shared" si="44"/>
        <v>19441.359045128447</v>
      </c>
      <c r="N24" s="922">
        <f t="shared" si="45"/>
        <v>-48.603397612821119</v>
      </c>
      <c r="O24" s="923">
        <f t="shared" si="30"/>
        <v>19392.755647515627</v>
      </c>
      <c r="P24" s="925">
        <v>0</v>
      </c>
      <c r="Q24" s="923">
        <f t="shared" si="46"/>
        <v>19392.755647515627</v>
      </c>
      <c r="R24" s="922">
        <f>'[2]Table 5C3 - LA Connections EBR'!T23+'[14]Table 5C3 - LA Connections EBR'!T23+(6*'[20]Table 5C3 - LA Connections EBR'!T23)</f>
        <v>11634</v>
      </c>
      <c r="S24" s="922">
        <f t="shared" si="47"/>
        <v>7758.7556475156271</v>
      </c>
      <c r="T24" s="923">
        <f t="shared" si="31"/>
        <v>1940</v>
      </c>
      <c r="U24" s="923">
        <f t="shared" si="32"/>
        <v>19392.755647515627</v>
      </c>
      <c r="V24" s="926">
        <f>'Table 5C1A-Madison Prep'!U24*90%</f>
        <v>2197.8000000000002</v>
      </c>
      <c r="W24" s="927">
        <f t="shared" si="33"/>
        <v>0</v>
      </c>
      <c r="X24" s="920">
        <f>'[1]Oct midyear LA Conn'!E21</f>
        <v>3</v>
      </c>
      <c r="Y24" s="928">
        <f t="shared" si="48"/>
        <v>6593.4000000000005</v>
      </c>
      <c r="Z24" s="1006">
        <f>'[1]Feb midyear LA Conn'!E21</f>
        <v>0</v>
      </c>
      <c r="AA24" s="928">
        <f t="shared" si="34"/>
        <v>0</v>
      </c>
      <c r="AB24" s="929">
        <f t="shared" si="35"/>
        <v>6593.4000000000005</v>
      </c>
      <c r="AC24" s="927">
        <f t="shared" si="36"/>
        <v>6593.4000000000005</v>
      </c>
      <c r="AD24" s="928">
        <f t="shared" si="37"/>
        <v>-16.483500000000003</v>
      </c>
      <c r="AE24" s="927">
        <f t="shared" si="49"/>
        <v>6576.9165000000003</v>
      </c>
      <c r="AF24" s="926">
        <v>0</v>
      </c>
      <c r="AG24" s="927">
        <f t="shared" si="50"/>
        <v>6576.9165000000003</v>
      </c>
      <c r="AH24" s="928">
        <f>'[2]Table 5C3 - LA Connections EBR'!AJ23+'[14]Table 5C3 - LA Connections EBR'!AJ23+(6*'[20]Table 5C3 - LA Connections EBR'!AJ23)</f>
        <v>4080</v>
      </c>
      <c r="AI24" s="928">
        <f t="shared" si="51"/>
        <v>2496.9165000000003</v>
      </c>
      <c r="AJ24" s="927">
        <f t="shared" si="38"/>
        <v>624</v>
      </c>
      <c r="AK24" s="930">
        <f t="shared" si="39"/>
        <v>25969.672147515626</v>
      </c>
      <c r="AL24" s="930">
        <f t="shared" si="52"/>
        <v>2564</v>
      </c>
      <c r="AN24" s="922">
        <v>0</v>
      </c>
      <c r="AO24" s="922">
        <f t="shared" si="53"/>
        <v>-16.483500000000003</v>
      </c>
      <c r="AP24" s="922">
        <f t="shared" si="54"/>
        <v>-16.483500000000003</v>
      </c>
    </row>
    <row r="25" spans="1:42" s="917" customFormat="1" ht="16.149999999999999" customHeight="1">
      <c r="A25" s="918">
        <v>19</v>
      </c>
      <c r="B25" s="919" t="s">
        <v>91</v>
      </c>
      <c r="C25" s="920">
        <f>+'Table 8 Membership 2.1.14'!L21</f>
        <v>6</v>
      </c>
      <c r="D25" s="921">
        <f>'Table 3 Levels 1&amp;2'!AL22*90%</f>
        <v>4782.9529682514403</v>
      </c>
      <c r="E25" s="921">
        <f t="shared" si="40"/>
        <v>28697.717809508642</v>
      </c>
      <c r="F25" s="922">
        <f>'Table 3A Level 3'!C24*90%</f>
        <v>814.88699999999994</v>
      </c>
      <c r="G25" s="922">
        <f t="shared" si="41"/>
        <v>4889.3220000000001</v>
      </c>
      <c r="H25" s="923">
        <f t="shared" si="42"/>
        <v>33587.039809508642</v>
      </c>
      <c r="I25" s="922">
        <f>(('Table 3 Levels 1&amp;2'!AL22-D25)+('Table 3A Level 3'!C24-F25))*C25</f>
        <v>3731.8933121676255</v>
      </c>
      <c r="J25" s="922">
        <f>'[1]Oct midyear LA Conn'!K22</f>
        <v>27989.199841257199</v>
      </c>
      <c r="K25" s="922">
        <f>'[1]Feb midyear LA Conn'!K22</f>
        <v>-8396.7599523771605</v>
      </c>
      <c r="L25" s="924">
        <f t="shared" si="43"/>
        <v>19592.439888880039</v>
      </c>
      <c r="M25" s="923">
        <f t="shared" si="44"/>
        <v>53179.479698388677</v>
      </c>
      <c r="N25" s="922">
        <f t="shared" si="45"/>
        <v>-132.94869924597168</v>
      </c>
      <c r="O25" s="923">
        <f t="shared" si="30"/>
        <v>53046.530999142706</v>
      </c>
      <c r="P25" s="925">
        <v>0</v>
      </c>
      <c r="Q25" s="923">
        <f t="shared" si="46"/>
        <v>53046.530999142706</v>
      </c>
      <c r="R25" s="922">
        <f>'[2]Table 5C3 - LA Connections EBR'!T24+'[14]Table 5C3 - LA Connections EBR'!T24+(6*'[20]Table 5C3 - LA Connections EBR'!T24)</f>
        <v>40511</v>
      </c>
      <c r="S25" s="922">
        <f t="shared" si="47"/>
        <v>12535.530999142706</v>
      </c>
      <c r="T25" s="923">
        <f t="shared" si="31"/>
        <v>3134</v>
      </c>
      <c r="U25" s="923">
        <f t="shared" si="32"/>
        <v>53046.530999142706</v>
      </c>
      <c r="V25" s="926">
        <f>'Table 5C1A-Madison Prep'!U25*90%</f>
        <v>2745.9</v>
      </c>
      <c r="W25" s="927">
        <f t="shared" si="33"/>
        <v>16475.400000000001</v>
      </c>
      <c r="X25" s="920">
        <f>'[1]Oct midyear LA Conn'!E22</f>
        <v>5</v>
      </c>
      <c r="Y25" s="928">
        <f t="shared" si="48"/>
        <v>13729.5</v>
      </c>
      <c r="Z25" s="1006">
        <f>'[1]Feb midyear LA Conn'!E22</f>
        <v>-3</v>
      </c>
      <c r="AA25" s="928">
        <f t="shared" si="34"/>
        <v>-4118.8500000000004</v>
      </c>
      <c r="AB25" s="929">
        <f t="shared" si="35"/>
        <v>9610.65</v>
      </c>
      <c r="AC25" s="927">
        <f t="shared" si="36"/>
        <v>26086.050000000003</v>
      </c>
      <c r="AD25" s="928">
        <f t="shared" si="37"/>
        <v>-65.215125000000015</v>
      </c>
      <c r="AE25" s="927">
        <f t="shared" si="49"/>
        <v>26020.834875000004</v>
      </c>
      <c r="AF25" s="926">
        <v>0</v>
      </c>
      <c r="AG25" s="927">
        <f t="shared" si="50"/>
        <v>26020.834875000004</v>
      </c>
      <c r="AH25" s="928">
        <f>'[2]Table 5C3 - LA Connections EBR'!AJ24+'[14]Table 5C3 - LA Connections EBR'!AJ24+(6*'[20]Table 5C3 - LA Connections EBR'!AJ24)</f>
        <v>18942</v>
      </c>
      <c r="AI25" s="928">
        <f t="shared" si="51"/>
        <v>7078.8348750000041</v>
      </c>
      <c r="AJ25" s="927">
        <f t="shared" si="38"/>
        <v>1770</v>
      </c>
      <c r="AK25" s="930">
        <f t="shared" si="39"/>
        <v>79067.365874142706</v>
      </c>
      <c r="AL25" s="930">
        <f t="shared" si="52"/>
        <v>4904</v>
      </c>
      <c r="AN25" s="922">
        <v>-39.258000000000003</v>
      </c>
      <c r="AO25" s="922">
        <f t="shared" si="53"/>
        <v>-65.215125000000015</v>
      </c>
      <c r="AP25" s="922">
        <f t="shared" si="54"/>
        <v>-25.957125000000012</v>
      </c>
    </row>
    <row r="26" spans="1:42" s="917" customFormat="1" ht="16.149999999999999" customHeight="1">
      <c r="A26" s="931">
        <v>20</v>
      </c>
      <c r="B26" s="932" t="s">
        <v>92</v>
      </c>
      <c r="C26" s="933">
        <f>+'Table 8 Membership 2.1.14'!L22</f>
        <v>6</v>
      </c>
      <c r="D26" s="934">
        <f>'Table 3 Levels 1&amp;2'!AL23*90%</f>
        <v>4750.6681409005814</v>
      </c>
      <c r="E26" s="934">
        <f t="shared" si="40"/>
        <v>28504.008845403489</v>
      </c>
      <c r="F26" s="935">
        <f>'Table 3A Level 3'!C25*90%</f>
        <v>527.553</v>
      </c>
      <c r="G26" s="935">
        <f t="shared" si="41"/>
        <v>3165.3180000000002</v>
      </c>
      <c r="H26" s="936">
        <f t="shared" si="42"/>
        <v>31669.326845403488</v>
      </c>
      <c r="I26" s="935">
        <f>(('Table 3 Levels 1&amp;2'!AL23-D26)+('Table 3A Level 3'!C25-F26))*C26</f>
        <v>3518.8140939337177</v>
      </c>
      <c r="J26" s="935">
        <f>'[1]Oct midyear LA Conn'!K23</f>
        <v>0</v>
      </c>
      <c r="K26" s="935">
        <f>'[1]Feb midyear LA Conn'!K23</f>
        <v>5278.2211409005813</v>
      </c>
      <c r="L26" s="937">
        <f t="shared" si="43"/>
        <v>5278.2211409005813</v>
      </c>
      <c r="M26" s="936">
        <f t="shared" si="44"/>
        <v>36947.547986304067</v>
      </c>
      <c r="N26" s="935">
        <f t="shared" si="45"/>
        <v>-92.368869965760169</v>
      </c>
      <c r="O26" s="936">
        <f t="shared" si="30"/>
        <v>36855.17911633831</v>
      </c>
      <c r="P26" s="938">
        <v>0</v>
      </c>
      <c r="Q26" s="936">
        <f t="shared" si="46"/>
        <v>36855.17911633831</v>
      </c>
      <c r="R26" s="935">
        <f>'[2]Table 5C3 - LA Connections EBR'!T25+'[14]Table 5C3 - LA Connections EBR'!T25+(6*'[20]Table 5C3 - LA Connections EBR'!T25)</f>
        <v>21635</v>
      </c>
      <c r="S26" s="935">
        <f t="shared" si="47"/>
        <v>15220.17911633831</v>
      </c>
      <c r="T26" s="936">
        <f t="shared" si="31"/>
        <v>3805</v>
      </c>
      <c r="U26" s="936">
        <f t="shared" si="32"/>
        <v>36855.17911633831</v>
      </c>
      <c r="V26" s="939">
        <f>'Table 5C1A-Madison Prep'!U26*90%</f>
        <v>2235.6</v>
      </c>
      <c r="W26" s="940">
        <f t="shared" si="33"/>
        <v>13413.599999999999</v>
      </c>
      <c r="X26" s="933">
        <f>'[1]Oct midyear LA Conn'!E23</f>
        <v>0</v>
      </c>
      <c r="Y26" s="941">
        <f t="shared" si="48"/>
        <v>0</v>
      </c>
      <c r="Z26" s="1007">
        <f>'[1]Feb midyear LA Conn'!E23</f>
        <v>2</v>
      </c>
      <c r="AA26" s="941">
        <f t="shared" si="34"/>
        <v>2235.6</v>
      </c>
      <c r="AB26" s="942">
        <f t="shared" si="35"/>
        <v>2235.6</v>
      </c>
      <c r="AC26" s="940">
        <f t="shared" si="36"/>
        <v>15649.199999999999</v>
      </c>
      <c r="AD26" s="941">
        <f t="shared" si="37"/>
        <v>-39.122999999999998</v>
      </c>
      <c r="AE26" s="940">
        <f t="shared" si="49"/>
        <v>15610.076999999999</v>
      </c>
      <c r="AF26" s="939">
        <v>0</v>
      </c>
      <c r="AG26" s="940">
        <f t="shared" si="50"/>
        <v>15610.076999999999</v>
      </c>
      <c r="AH26" s="941">
        <f>'[2]Table 5C3 - LA Connections EBR'!AJ25+'[14]Table 5C3 - LA Connections EBR'!AJ25+(6*'[20]Table 5C3 - LA Connections EBR'!AJ25)</f>
        <v>8971</v>
      </c>
      <c r="AI26" s="941">
        <f t="shared" si="51"/>
        <v>6639.0769999999993</v>
      </c>
      <c r="AJ26" s="940">
        <f t="shared" si="38"/>
        <v>1660</v>
      </c>
      <c r="AK26" s="943">
        <f t="shared" si="39"/>
        <v>52465.256116338307</v>
      </c>
      <c r="AL26" s="943">
        <f t="shared" si="52"/>
        <v>5465</v>
      </c>
      <c r="AN26" s="935">
        <v>-32.832000000000001</v>
      </c>
      <c r="AO26" s="935">
        <f t="shared" si="53"/>
        <v>-39.122999999999998</v>
      </c>
      <c r="AP26" s="935">
        <f t="shared" si="54"/>
        <v>-6.2909999999999968</v>
      </c>
    </row>
    <row r="27" spans="1:42" s="917" customFormat="1" ht="16.149999999999999" customHeight="1">
      <c r="A27" s="904">
        <v>21</v>
      </c>
      <c r="B27" s="905" t="s">
        <v>93</v>
      </c>
      <c r="C27" s="906">
        <f>+'Table 8 Membership 2.1.14'!L23</f>
        <v>6</v>
      </c>
      <c r="D27" s="907">
        <f>'Table 3 Levels 1&amp;2'!AL24*90%</f>
        <v>5474.0738066280992</v>
      </c>
      <c r="E27" s="907">
        <f t="shared" si="40"/>
        <v>32844.442839768599</v>
      </c>
      <c r="F27" s="908">
        <f>'Table 3A Level 3'!C26*90%</f>
        <v>549.31500000000005</v>
      </c>
      <c r="G27" s="908">
        <f t="shared" si="41"/>
        <v>3295.8900000000003</v>
      </c>
      <c r="H27" s="909">
        <f t="shared" si="42"/>
        <v>36140.332839768598</v>
      </c>
      <c r="I27" s="908">
        <f>(('Table 3 Levels 1&amp;2'!AL24-D27)+('Table 3A Level 3'!C26-F27))*C27</f>
        <v>4015.5925377520625</v>
      </c>
      <c r="J27" s="908">
        <f>'[1]Oct midyear LA Conn'!K24</f>
        <v>12046.777613256199</v>
      </c>
      <c r="K27" s="908">
        <f>'[1]Feb midyear LA Conn'!K24</f>
        <v>-3011.6944033140499</v>
      </c>
      <c r="L27" s="910">
        <f t="shared" si="43"/>
        <v>9035.0832099421496</v>
      </c>
      <c r="M27" s="909">
        <f t="shared" si="44"/>
        <v>45175.416049710751</v>
      </c>
      <c r="N27" s="908">
        <f t="shared" si="45"/>
        <v>-112.93854012427688</v>
      </c>
      <c r="O27" s="909">
        <f t="shared" si="30"/>
        <v>45062.477509586475</v>
      </c>
      <c r="P27" s="911">
        <v>0</v>
      </c>
      <c r="Q27" s="909">
        <f t="shared" si="46"/>
        <v>45062.477509586475</v>
      </c>
      <c r="R27" s="908">
        <f>'[2]Table 5C3 - LA Connections EBR'!T26+'[14]Table 5C3 - LA Connections EBR'!T26+(6*'[20]Table 5C3 - LA Connections EBR'!T26)</f>
        <v>32337</v>
      </c>
      <c r="S27" s="908">
        <f t="shared" si="47"/>
        <v>12725.477509586475</v>
      </c>
      <c r="T27" s="909">
        <f t="shared" si="31"/>
        <v>3181</v>
      </c>
      <c r="U27" s="909">
        <f t="shared" si="32"/>
        <v>45062.477509586475</v>
      </c>
      <c r="V27" s="912">
        <f>'Table 5C1A-Madison Prep'!U27*90%</f>
        <v>2238.3000000000002</v>
      </c>
      <c r="W27" s="913">
        <f t="shared" si="33"/>
        <v>13429.800000000001</v>
      </c>
      <c r="X27" s="906">
        <f>'[1]Oct midyear LA Conn'!E24</f>
        <v>2</v>
      </c>
      <c r="Y27" s="914">
        <f t="shared" si="48"/>
        <v>4476.6000000000004</v>
      </c>
      <c r="Z27" s="1005">
        <f>'[1]Feb midyear LA Conn'!E24</f>
        <v>-1</v>
      </c>
      <c r="AA27" s="914">
        <f t="shared" si="34"/>
        <v>-1119.1500000000001</v>
      </c>
      <c r="AB27" s="915">
        <f t="shared" si="35"/>
        <v>3357.4500000000003</v>
      </c>
      <c r="AC27" s="913">
        <f t="shared" si="36"/>
        <v>16787.25</v>
      </c>
      <c r="AD27" s="914">
        <f t="shared" si="37"/>
        <v>-41.968125000000001</v>
      </c>
      <c r="AE27" s="913">
        <f t="shared" si="49"/>
        <v>16745.281875000001</v>
      </c>
      <c r="AF27" s="912">
        <v>0</v>
      </c>
      <c r="AG27" s="913">
        <f t="shared" si="50"/>
        <v>16745.281875000001</v>
      </c>
      <c r="AH27" s="914">
        <f>'[2]Table 5C3 - LA Connections EBR'!AJ26+'[14]Table 5C3 - LA Connections EBR'!AJ26+(6*'[20]Table 5C3 - LA Connections EBR'!AJ26)</f>
        <v>11888</v>
      </c>
      <c r="AI27" s="914">
        <f t="shared" si="51"/>
        <v>4857.2818750000006</v>
      </c>
      <c r="AJ27" s="913">
        <f t="shared" si="38"/>
        <v>1214</v>
      </c>
      <c r="AK27" s="916">
        <f t="shared" si="39"/>
        <v>61807.759384586476</v>
      </c>
      <c r="AL27" s="916">
        <f t="shared" si="52"/>
        <v>4395</v>
      </c>
      <c r="AN27" s="908">
        <v>-33.21</v>
      </c>
      <c r="AO27" s="908">
        <f t="shared" si="53"/>
        <v>-41.968125000000001</v>
      </c>
      <c r="AP27" s="908">
        <f t="shared" si="54"/>
        <v>-8.7581249999999997</v>
      </c>
    </row>
    <row r="28" spans="1:42" s="917" customFormat="1" ht="16.149999999999999" customHeight="1">
      <c r="A28" s="918">
        <v>22</v>
      </c>
      <c r="B28" s="919" t="s">
        <v>94</v>
      </c>
      <c r="C28" s="920">
        <f>+'Table 8 Membership 2.1.14'!L24</f>
        <v>9</v>
      </c>
      <c r="D28" s="921">
        <f>'Table 3 Levels 1&amp;2'!AL25*90%</f>
        <v>5774.4989827376394</v>
      </c>
      <c r="E28" s="921">
        <f t="shared" si="40"/>
        <v>51970.490844638756</v>
      </c>
      <c r="F28" s="922">
        <f>'Table 3A Level 3'!C27*90%</f>
        <v>446.72400000000005</v>
      </c>
      <c r="G28" s="922">
        <f t="shared" si="41"/>
        <v>4020.5160000000005</v>
      </c>
      <c r="H28" s="923">
        <f t="shared" si="42"/>
        <v>55991.00684463876</v>
      </c>
      <c r="I28" s="922">
        <f>(('Table 3 Levels 1&amp;2'!AL25-D28)+('Table 3A Level 3'!C27-F28))*C28</f>
        <v>6221.2229827376414</v>
      </c>
      <c r="J28" s="922">
        <f>'[1]Oct midyear LA Conn'!K25</f>
        <v>43548.560879163473</v>
      </c>
      <c r="K28" s="922">
        <f>'[1]Feb midyear LA Conn'!K25</f>
        <v>0</v>
      </c>
      <c r="L28" s="924">
        <f t="shared" si="43"/>
        <v>43548.560879163473</v>
      </c>
      <c r="M28" s="923">
        <f t="shared" si="44"/>
        <v>99539.567723802233</v>
      </c>
      <c r="N28" s="922">
        <f t="shared" si="45"/>
        <v>-248.84891930950559</v>
      </c>
      <c r="O28" s="923">
        <f t="shared" si="30"/>
        <v>99290.718804492732</v>
      </c>
      <c r="P28" s="925">
        <v>0</v>
      </c>
      <c r="Q28" s="923">
        <f t="shared" si="46"/>
        <v>99290.718804492732</v>
      </c>
      <c r="R28" s="922">
        <f>'[2]Table 5C3 - LA Connections EBR'!T27+'[14]Table 5C3 - LA Connections EBR'!T27+(6*'[20]Table 5C3 - LA Connections EBR'!T27)</f>
        <v>57657</v>
      </c>
      <c r="S28" s="922">
        <f t="shared" si="47"/>
        <v>41633.718804492732</v>
      </c>
      <c r="T28" s="923">
        <f t="shared" si="31"/>
        <v>10408</v>
      </c>
      <c r="U28" s="923">
        <f t="shared" si="32"/>
        <v>99290.718804492732</v>
      </c>
      <c r="V28" s="926">
        <f>'Table 5C1A-Madison Prep'!U28*90%</f>
        <v>1425.6000000000001</v>
      </c>
      <c r="W28" s="927">
        <f t="shared" si="33"/>
        <v>12830.400000000001</v>
      </c>
      <c r="X28" s="920">
        <f>'[1]Oct midyear LA Conn'!E25</f>
        <v>7</v>
      </c>
      <c r="Y28" s="928">
        <f t="shared" si="48"/>
        <v>9979.2000000000007</v>
      </c>
      <c r="Z28" s="1006">
        <f>'[1]Feb midyear LA Conn'!E25</f>
        <v>0</v>
      </c>
      <c r="AA28" s="928">
        <f t="shared" si="34"/>
        <v>0</v>
      </c>
      <c r="AB28" s="929">
        <f t="shared" si="35"/>
        <v>9979.2000000000007</v>
      </c>
      <c r="AC28" s="927">
        <f t="shared" si="36"/>
        <v>22809.600000000002</v>
      </c>
      <c r="AD28" s="928">
        <f t="shared" si="37"/>
        <v>-57.024000000000008</v>
      </c>
      <c r="AE28" s="927">
        <f t="shared" si="49"/>
        <v>22752.576000000001</v>
      </c>
      <c r="AF28" s="926">
        <v>0</v>
      </c>
      <c r="AG28" s="927">
        <f t="shared" si="50"/>
        <v>22752.576000000001</v>
      </c>
      <c r="AH28" s="928">
        <f>'[2]Table 5C3 - LA Connections EBR'!AJ27+'[14]Table 5C3 - LA Connections EBR'!AJ27+(6*'[20]Table 5C3 - LA Connections EBR'!AJ27)</f>
        <v>13455</v>
      </c>
      <c r="AI28" s="928">
        <f t="shared" si="51"/>
        <v>9297.5760000000009</v>
      </c>
      <c r="AJ28" s="927">
        <f t="shared" si="38"/>
        <v>2324</v>
      </c>
      <c r="AK28" s="930">
        <f t="shared" si="39"/>
        <v>122043.29480449273</v>
      </c>
      <c r="AL28" s="930">
        <f t="shared" si="52"/>
        <v>12732</v>
      </c>
      <c r="AN28" s="922">
        <v>-32.663250000000005</v>
      </c>
      <c r="AO28" s="922">
        <f t="shared" si="53"/>
        <v>-57.024000000000008</v>
      </c>
      <c r="AP28" s="922">
        <f t="shared" si="54"/>
        <v>-24.360750000000003</v>
      </c>
    </row>
    <row r="29" spans="1:42" s="917" customFormat="1" ht="16.149999999999999" customHeight="1">
      <c r="A29" s="918">
        <v>23</v>
      </c>
      <c r="B29" s="919" t="s">
        <v>95</v>
      </c>
      <c r="C29" s="920">
        <f>+'Table 8 Membership 2.1.14'!L25</f>
        <v>24</v>
      </c>
      <c r="D29" s="921">
        <f>'Table 3 Levels 1&amp;2'!AL26*90%</f>
        <v>4509.9193739381244</v>
      </c>
      <c r="E29" s="921">
        <f t="shared" si="40"/>
        <v>108238.06497451499</v>
      </c>
      <c r="F29" s="922">
        <f>'Table 3A Level 3'!C28*90%</f>
        <v>619.72200000000009</v>
      </c>
      <c r="G29" s="922">
        <f t="shared" si="41"/>
        <v>14873.328000000001</v>
      </c>
      <c r="H29" s="923">
        <f t="shared" si="42"/>
        <v>123111.39297451498</v>
      </c>
      <c r="I29" s="922">
        <f>(('Table 3 Levels 1&amp;2'!AL26-D29)+('Table 3A Level 3'!C28-F29))*C29</f>
        <v>13679.043663834995</v>
      </c>
      <c r="J29" s="922">
        <f>'[1]Oct midyear LA Conn'!K26</f>
        <v>15388.924121814372</v>
      </c>
      <c r="K29" s="922">
        <f>'[1]Feb midyear LA Conn'!K26</f>
        <v>-7694.4620609071862</v>
      </c>
      <c r="L29" s="924">
        <f t="shared" si="43"/>
        <v>7694.4620609071862</v>
      </c>
      <c r="M29" s="923">
        <f t="shared" si="44"/>
        <v>130805.85503542217</v>
      </c>
      <c r="N29" s="922">
        <f t="shared" si="45"/>
        <v>-327.01463758855544</v>
      </c>
      <c r="O29" s="923">
        <f t="shared" si="30"/>
        <v>130478.84039783361</v>
      </c>
      <c r="P29" s="925">
        <v>0</v>
      </c>
      <c r="Q29" s="923">
        <f t="shared" si="46"/>
        <v>130478.84039783361</v>
      </c>
      <c r="R29" s="922">
        <f>'[2]Table 5C3 - LA Connections EBR'!T28+'[14]Table 5C3 - LA Connections EBR'!T28+(6*'[20]Table 5C3 - LA Connections EBR'!T28)</f>
        <v>78055</v>
      </c>
      <c r="S29" s="922">
        <f t="shared" si="47"/>
        <v>52423.840397833614</v>
      </c>
      <c r="T29" s="923">
        <f t="shared" si="31"/>
        <v>13106</v>
      </c>
      <c r="U29" s="923">
        <f t="shared" si="32"/>
        <v>130478.84039783361</v>
      </c>
      <c r="V29" s="926">
        <f>'Table 5C1A-Madison Prep'!U29*90%</f>
        <v>3150</v>
      </c>
      <c r="W29" s="927">
        <f t="shared" si="33"/>
        <v>75600</v>
      </c>
      <c r="X29" s="920">
        <f>'[1]Oct midyear LA Conn'!E26</f>
        <v>3</v>
      </c>
      <c r="Y29" s="928">
        <f t="shared" si="48"/>
        <v>9450</v>
      </c>
      <c r="Z29" s="1006">
        <f>'[1]Feb midyear LA Conn'!E26</f>
        <v>-3</v>
      </c>
      <c r="AA29" s="928">
        <f t="shared" si="34"/>
        <v>-4725</v>
      </c>
      <c r="AB29" s="929">
        <f t="shared" si="35"/>
        <v>4725</v>
      </c>
      <c r="AC29" s="927">
        <f t="shared" si="36"/>
        <v>80325</v>
      </c>
      <c r="AD29" s="928">
        <f t="shared" si="37"/>
        <v>-200.8125</v>
      </c>
      <c r="AE29" s="927">
        <f t="shared" si="49"/>
        <v>80124.1875</v>
      </c>
      <c r="AF29" s="926">
        <v>0</v>
      </c>
      <c r="AG29" s="927">
        <f t="shared" si="50"/>
        <v>80124.1875</v>
      </c>
      <c r="AH29" s="928">
        <f>'[2]Table 5C3 - LA Connections EBR'!AJ28+'[14]Table 5C3 - LA Connections EBR'!AJ28+(6*'[20]Table 5C3 - LA Connections EBR'!AJ28)</f>
        <v>47560</v>
      </c>
      <c r="AI29" s="928">
        <f t="shared" si="51"/>
        <v>32564.1875</v>
      </c>
      <c r="AJ29" s="927">
        <f t="shared" si="38"/>
        <v>8141</v>
      </c>
      <c r="AK29" s="930">
        <f t="shared" si="39"/>
        <v>210603.02789783361</v>
      </c>
      <c r="AL29" s="930">
        <f t="shared" si="52"/>
        <v>21247</v>
      </c>
      <c r="AN29" s="922">
        <v>-187.542</v>
      </c>
      <c r="AO29" s="922">
        <f t="shared" si="53"/>
        <v>-200.8125</v>
      </c>
      <c r="AP29" s="922">
        <f t="shared" si="54"/>
        <v>-13.270499999999998</v>
      </c>
    </row>
    <row r="30" spans="1:42" s="917" customFormat="1" ht="16.149999999999999" customHeight="1">
      <c r="A30" s="918">
        <v>24</v>
      </c>
      <c r="B30" s="919" t="s">
        <v>96</v>
      </c>
      <c r="C30" s="920">
        <f>+'Table 8 Membership 2.1.14'!L26</f>
        <v>2</v>
      </c>
      <c r="D30" s="921">
        <f>'Table 3 Levels 1&amp;2'!AL27*90%</f>
        <v>2350.5066325419298</v>
      </c>
      <c r="E30" s="921">
        <f t="shared" si="40"/>
        <v>4701.0132650838596</v>
      </c>
      <c r="F30" s="922">
        <f>'Table 3A Level 3'!C29*90%</f>
        <v>768.82499999999993</v>
      </c>
      <c r="G30" s="922">
        <f t="shared" si="41"/>
        <v>1537.6499999999999</v>
      </c>
      <c r="H30" s="923">
        <f t="shared" si="42"/>
        <v>6238.6632650838592</v>
      </c>
      <c r="I30" s="922">
        <f>(('Table 3 Levels 1&amp;2'!AL27-D30)+('Table 3A Level 3'!C29-F30))*C30</f>
        <v>693.18480723154016</v>
      </c>
      <c r="J30" s="922">
        <f>'[1]Oct midyear LA Conn'!K27</f>
        <v>0</v>
      </c>
      <c r="K30" s="922">
        <f>'[1]Feb midyear LA Conn'!K27</f>
        <v>3119.3316325419296</v>
      </c>
      <c r="L30" s="924">
        <f t="shared" si="43"/>
        <v>3119.3316325419296</v>
      </c>
      <c r="M30" s="923">
        <f t="shared" si="44"/>
        <v>9357.9948976257892</v>
      </c>
      <c r="N30" s="922">
        <f t="shared" si="45"/>
        <v>-23.394987244064474</v>
      </c>
      <c r="O30" s="923">
        <f t="shared" si="30"/>
        <v>9334.5999103817248</v>
      </c>
      <c r="P30" s="925">
        <v>0</v>
      </c>
      <c r="Q30" s="923">
        <f t="shared" si="46"/>
        <v>9334.5999103817248</v>
      </c>
      <c r="R30" s="922">
        <f>'[2]Table 5C3 - LA Connections EBR'!T29+'[14]Table 5C3 - LA Connections EBR'!T29+(6*'[20]Table 5C3 - LA Connections EBR'!T29)</f>
        <v>8222</v>
      </c>
      <c r="S30" s="922">
        <f t="shared" si="47"/>
        <v>1112.5999103817248</v>
      </c>
      <c r="T30" s="923">
        <f t="shared" si="31"/>
        <v>278</v>
      </c>
      <c r="U30" s="923">
        <f t="shared" si="32"/>
        <v>9334.5999103817248</v>
      </c>
      <c r="V30" s="926">
        <f>'Table 5C1A-Madison Prep'!U30*90%</f>
        <v>9945.9</v>
      </c>
      <c r="W30" s="927">
        <f t="shared" si="33"/>
        <v>19891.8</v>
      </c>
      <c r="X30" s="920">
        <f>'[1]Oct midyear LA Conn'!E27</f>
        <v>0</v>
      </c>
      <c r="Y30" s="928">
        <f t="shared" si="48"/>
        <v>0</v>
      </c>
      <c r="Z30" s="1006">
        <f>'[1]Feb midyear LA Conn'!E27</f>
        <v>2</v>
      </c>
      <c r="AA30" s="928">
        <f t="shared" si="34"/>
        <v>9945.9</v>
      </c>
      <c r="AB30" s="929">
        <f t="shared" si="35"/>
        <v>9945.9</v>
      </c>
      <c r="AC30" s="927">
        <f t="shared" si="36"/>
        <v>29837.699999999997</v>
      </c>
      <c r="AD30" s="928">
        <f t="shared" si="37"/>
        <v>-74.594249999999988</v>
      </c>
      <c r="AE30" s="927">
        <f t="shared" si="49"/>
        <v>29763.105749999999</v>
      </c>
      <c r="AF30" s="926">
        <v>0</v>
      </c>
      <c r="AG30" s="927">
        <f t="shared" si="50"/>
        <v>29763.105749999999</v>
      </c>
      <c r="AH30" s="928">
        <f>'[2]Table 5C3 - LA Connections EBR'!AJ29+'[14]Table 5C3 - LA Connections EBR'!AJ29+(6*'[20]Table 5C3 - LA Connections EBR'!AJ29)</f>
        <v>23848</v>
      </c>
      <c r="AI30" s="928">
        <f t="shared" si="51"/>
        <v>5915.1057499999988</v>
      </c>
      <c r="AJ30" s="927">
        <f t="shared" si="38"/>
        <v>1479</v>
      </c>
      <c r="AK30" s="930">
        <f t="shared" si="39"/>
        <v>39097.705660381725</v>
      </c>
      <c r="AL30" s="930">
        <f t="shared" si="52"/>
        <v>1757</v>
      </c>
      <c r="AN30" s="922">
        <v>-45.238500000000002</v>
      </c>
      <c r="AO30" s="922">
        <f t="shared" si="53"/>
        <v>-74.594249999999988</v>
      </c>
      <c r="AP30" s="922">
        <f t="shared" si="54"/>
        <v>-29.355749999999986</v>
      </c>
    </row>
    <row r="31" spans="1:42" s="917" customFormat="1" ht="16.149999999999999" customHeight="1">
      <c r="A31" s="931">
        <v>25</v>
      </c>
      <c r="B31" s="932" t="s">
        <v>97</v>
      </c>
      <c r="C31" s="933">
        <f>+'Table 8 Membership 2.1.14'!L27</f>
        <v>1</v>
      </c>
      <c r="D31" s="934">
        <f>'Table 3 Levels 1&amp;2'!AL28*90%</f>
        <v>3755.7648247451129</v>
      </c>
      <c r="E31" s="934">
        <f t="shared" si="40"/>
        <v>3755.7648247451129</v>
      </c>
      <c r="F31" s="935">
        <f>'Table 3A Level 3'!C30*90%</f>
        <v>588.35700000000008</v>
      </c>
      <c r="G31" s="935">
        <f t="shared" si="41"/>
        <v>588.35700000000008</v>
      </c>
      <c r="H31" s="936">
        <f t="shared" si="42"/>
        <v>4344.1218247451134</v>
      </c>
      <c r="I31" s="935">
        <f>(('Table 3 Levels 1&amp;2'!AL28-D31)+('Table 3A Level 3'!C30-F31))*C31</f>
        <v>482.68020274945673</v>
      </c>
      <c r="J31" s="935">
        <f>'[1]Oct midyear LA Conn'!K28</f>
        <v>13032.365474235339</v>
      </c>
      <c r="K31" s="935">
        <f>'[1]Feb midyear LA Conn'!K28</f>
        <v>-4344.1218247451134</v>
      </c>
      <c r="L31" s="937">
        <f t="shared" si="43"/>
        <v>8688.2436494902249</v>
      </c>
      <c r="M31" s="936">
        <f t="shared" si="44"/>
        <v>13032.365474235339</v>
      </c>
      <c r="N31" s="935">
        <f t="shared" si="45"/>
        <v>-32.580913685588349</v>
      </c>
      <c r="O31" s="936">
        <f t="shared" si="30"/>
        <v>12999.784560549751</v>
      </c>
      <c r="P31" s="938">
        <v>0</v>
      </c>
      <c r="Q31" s="936">
        <f t="shared" si="46"/>
        <v>12999.784560549751</v>
      </c>
      <c r="R31" s="935">
        <f>'[2]Table 5C3 - LA Connections EBR'!T30+'[14]Table 5C3 - LA Connections EBR'!T30+(6*'[20]Table 5C3 - LA Connections EBR'!T30)</f>
        <v>33379</v>
      </c>
      <c r="S31" s="935">
        <f t="shared" si="47"/>
        <v>-20379.21543945025</v>
      </c>
      <c r="T31" s="936">
        <f t="shared" si="31"/>
        <v>-5095</v>
      </c>
      <c r="U31" s="936">
        <f t="shared" si="32"/>
        <v>12999.784560549751</v>
      </c>
      <c r="V31" s="939">
        <f>'Table 5C1A-Madison Prep'!U31*90%</f>
        <v>4640.4000000000005</v>
      </c>
      <c r="W31" s="940">
        <f t="shared" si="33"/>
        <v>4640.4000000000005</v>
      </c>
      <c r="X31" s="933">
        <f>'[1]Oct midyear LA Conn'!E28</f>
        <v>3</v>
      </c>
      <c r="Y31" s="941">
        <f t="shared" si="48"/>
        <v>13921.2</v>
      </c>
      <c r="Z31" s="1007">
        <f>'[1]Feb midyear LA Conn'!E28</f>
        <v>-2</v>
      </c>
      <c r="AA31" s="941">
        <f t="shared" si="34"/>
        <v>-4640.4000000000005</v>
      </c>
      <c r="AB31" s="942">
        <f t="shared" si="35"/>
        <v>9280.7999999999993</v>
      </c>
      <c r="AC31" s="940">
        <f t="shared" si="36"/>
        <v>13921.2</v>
      </c>
      <c r="AD31" s="941">
        <f t="shared" si="37"/>
        <v>-34.803000000000004</v>
      </c>
      <c r="AE31" s="940">
        <f t="shared" si="49"/>
        <v>13886.397000000001</v>
      </c>
      <c r="AF31" s="939">
        <v>0</v>
      </c>
      <c r="AG31" s="940">
        <f t="shared" si="50"/>
        <v>13886.397000000001</v>
      </c>
      <c r="AH31" s="941">
        <f>'[2]Table 5C3 - LA Connections EBR'!AJ30+'[14]Table 5C3 - LA Connections EBR'!AJ30+(6*'[20]Table 5C3 - LA Connections EBR'!AJ30)</f>
        <v>35080</v>
      </c>
      <c r="AI31" s="941">
        <f t="shared" si="51"/>
        <v>-21193.602999999999</v>
      </c>
      <c r="AJ31" s="940">
        <f t="shared" si="38"/>
        <v>-5298</v>
      </c>
      <c r="AK31" s="943">
        <f t="shared" si="39"/>
        <v>26886.181560549754</v>
      </c>
      <c r="AL31" s="943">
        <f t="shared" si="52"/>
        <v>-10393</v>
      </c>
      <c r="AN31" s="935">
        <v>-11.414249999999999</v>
      </c>
      <c r="AO31" s="935">
        <f t="shared" si="53"/>
        <v>-34.803000000000004</v>
      </c>
      <c r="AP31" s="935">
        <f t="shared" si="54"/>
        <v>-23.388750000000005</v>
      </c>
    </row>
    <row r="32" spans="1:42" s="917" customFormat="1" ht="16.149999999999999" customHeight="1">
      <c r="A32" s="904">
        <v>26</v>
      </c>
      <c r="B32" s="905" t="s">
        <v>98</v>
      </c>
      <c r="C32" s="906">
        <f>+'Table 8 Membership 2.1.14'!L28</f>
        <v>102</v>
      </c>
      <c r="D32" s="907">
        <f>'Table 3 Levels 1&amp;2'!AL29*90%</f>
        <v>3082.1084973513753</v>
      </c>
      <c r="E32" s="907">
        <f t="shared" si="40"/>
        <v>314375.0667298403</v>
      </c>
      <c r="F32" s="908">
        <f>'Table 3A Level 3'!C31*90%</f>
        <v>753.14700000000005</v>
      </c>
      <c r="G32" s="908">
        <f t="shared" si="41"/>
        <v>76820.994000000006</v>
      </c>
      <c r="H32" s="909">
        <f t="shared" si="42"/>
        <v>391196.0607298403</v>
      </c>
      <c r="I32" s="908">
        <f>(('Table 3 Levels 1&amp;2'!AL29-D32)+('Table 3A Level 3'!C31-F32))*C32</f>
        <v>43466.228969982236</v>
      </c>
      <c r="J32" s="908">
        <f>'[1]Oct midyear LA Conn'!K29</f>
        <v>134233.94240729813</v>
      </c>
      <c r="K32" s="908">
        <f>'[1]Feb midyear LA Conn'!K29</f>
        <v>9588.1387433784384</v>
      </c>
      <c r="L32" s="910">
        <f t="shared" si="43"/>
        <v>143822.08115067656</v>
      </c>
      <c r="M32" s="909">
        <f t="shared" si="44"/>
        <v>535018.14188051689</v>
      </c>
      <c r="N32" s="908">
        <f t="shared" si="45"/>
        <v>-1337.5453547012924</v>
      </c>
      <c r="O32" s="909">
        <f t="shared" si="30"/>
        <v>533680.59652581555</v>
      </c>
      <c r="P32" s="911">
        <v>0</v>
      </c>
      <c r="Q32" s="909">
        <f t="shared" si="46"/>
        <v>533680.59652581555</v>
      </c>
      <c r="R32" s="908">
        <f>'[2]Table 5C3 - LA Connections EBR'!T31+'[14]Table 5C3 - LA Connections EBR'!T31+(6*'[20]Table 5C3 - LA Connections EBR'!T31)</f>
        <v>290194</v>
      </c>
      <c r="S32" s="908">
        <f t="shared" si="47"/>
        <v>243486.59652581555</v>
      </c>
      <c r="T32" s="909">
        <f t="shared" si="31"/>
        <v>60872</v>
      </c>
      <c r="U32" s="909">
        <f t="shared" si="32"/>
        <v>533680.59652581555</v>
      </c>
      <c r="V32" s="912">
        <f>'Table 5C1A-Madison Prep'!U32*90%</f>
        <v>4637.7</v>
      </c>
      <c r="W32" s="913">
        <f t="shared" si="33"/>
        <v>473045.39999999997</v>
      </c>
      <c r="X32" s="906">
        <f>'[1]Oct midyear LA Conn'!E29</f>
        <v>35</v>
      </c>
      <c r="Y32" s="914">
        <f t="shared" si="48"/>
        <v>162319.5</v>
      </c>
      <c r="Z32" s="1005">
        <f>'[1]Feb midyear LA Conn'!E29</f>
        <v>5</v>
      </c>
      <c r="AA32" s="914">
        <f t="shared" si="34"/>
        <v>11594.25</v>
      </c>
      <c r="AB32" s="915">
        <f t="shared" si="35"/>
        <v>173913.75</v>
      </c>
      <c r="AC32" s="913">
        <f t="shared" si="36"/>
        <v>646959.14999999991</v>
      </c>
      <c r="AD32" s="914">
        <f t="shared" si="37"/>
        <v>-1617.3978749999999</v>
      </c>
      <c r="AE32" s="913">
        <f t="shared" si="49"/>
        <v>645341.75212499988</v>
      </c>
      <c r="AF32" s="912">
        <v>0</v>
      </c>
      <c r="AG32" s="913">
        <f t="shared" si="50"/>
        <v>645341.75212499988</v>
      </c>
      <c r="AH32" s="914">
        <f>'[2]Table 5C3 - LA Connections EBR'!AJ31+'[14]Table 5C3 - LA Connections EBR'!AJ31+(6*'[20]Table 5C3 - LA Connections EBR'!AJ31)</f>
        <v>358196</v>
      </c>
      <c r="AI32" s="914">
        <f t="shared" si="51"/>
        <v>287145.75212499988</v>
      </c>
      <c r="AJ32" s="913">
        <f t="shared" si="38"/>
        <v>71786</v>
      </c>
      <c r="AK32" s="916">
        <f t="shared" si="39"/>
        <v>1179022.3486508154</v>
      </c>
      <c r="AL32" s="916">
        <f t="shared" si="52"/>
        <v>132658</v>
      </c>
      <c r="AN32" s="908">
        <v>-1207.17</v>
      </c>
      <c r="AO32" s="908">
        <f t="shared" si="53"/>
        <v>-1617.3978749999999</v>
      </c>
      <c r="AP32" s="908">
        <f t="shared" si="54"/>
        <v>-410.22787499999981</v>
      </c>
    </row>
    <row r="33" spans="1:42" s="917" customFormat="1" ht="16.149999999999999" customHeight="1">
      <c r="A33" s="918">
        <v>27</v>
      </c>
      <c r="B33" s="919" t="s">
        <v>99</v>
      </c>
      <c r="C33" s="920">
        <f>+'Table 8 Membership 2.1.14'!L29</f>
        <v>5</v>
      </c>
      <c r="D33" s="921">
        <f>'Table 3 Levels 1&amp;2'!AL30*90%</f>
        <v>5224.4112455979302</v>
      </c>
      <c r="E33" s="921">
        <f t="shared" si="40"/>
        <v>26122.056227989651</v>
      </c>
      <c r="F33" s="922">
        <f>'Table 3A Level 3'!C32*90%</f>
        <v>623.75400000000002</v>
      </c>
      <c r="G33" s="922">
        <f t="shared" si="41"/>
        <v>3118.77</v>
      </c>
      <c r="H33" s="923">
        <f t="shared" si="42"/>
        <v>29240.826227989652</v>
      </c>
      <c r="I33" s="922">
        <f>(('Table 3 Levels 1&amp;2'!AL30-D33)+('Table 3A Level 3'!C32-F33))*C33</f>
        <v>3248.9806919988514</v>
      </c>
      <c r="J33" s="922">
        <f>'[1]Oct midyear LA Conn'!K30</f>
        <v>-11696.33049119586</v>
      </c>
      <c r="K33" s="922">
        <f>'[1]Feb midyear LA Conn'!K30</f>
        <v>0</v>
      </c>
      <c r="L33" s="924">
        <f t="shared" si="43"/>
        <v>-11696.33049119586</v>
      </c>
      <c r="M33" s="923">
        <f t="shared" si="44"/>
        <v>17544.49573679379</v>
      </c>
      <c r="N33" s="922">
        <f t="shared" si="45"/>
        <v>-43.861239341984472</v>
      </c>
      <c r="O33" s="923">
        <f t="shared" si="30"/>
        <v>17500.634497451803</v>
      </c>
      <c r="P33" s="925">
        <v>0</v>
      </c>
      <c r="Q33" s="923">
        <f t="shared" si="46"/>
        <v>17500.634497451803</v>
      </c>
      <c r="R33" s="922">
        <f>'[2]Table 5C3 - LA Connections EBR'!T32+'[14]Table 5C3 - LA Connections EBR'!T32+(6*'[20]Table 5C3 - LA Connections EBR'!T32)</f>
        <v>16156</v>
      </c>
      <c r="S33" s="922">
        <f t="shared" si="47"/>
        <v>1344.6344974518033</v>
      </c>
      <c r="T33" s="923">
        <f t="shared" si="31"/>
        <v>336</v>
      </c>
      <c r="U33" s="923">
        <f t="shared" si="32"/>
        <v>17500.634497451803</v>
      </c>
      <c r="V33" s="926">
        <f>'Table 5C1A-Madison Prep'!U33*90%</f>
        <v>2902.5</v>
      </c>
      <c r="W33" s="927">
        <f t="shared" si="33"/>
        <v>14512.5</v>
      </c>
      <c r="X33" s="920">
        <f>'[1]Oct midyear LA Conn'!E30</f>
        <v>-2</v>
      </c>
      <c r="Y33" s="928">
        <f t="shared" si="48"/>
        <v>-5805</v>
      </c>
      <c r="Z33" s="1006">
        <f>'[1]Feb midyear LA Conn'!E30</f>
        <v>0</v>
      </c>
      <c r="AA33" s="928">
        <f t="shared" si="34"/>
        <v>0</v>
      </c>
      <c r="AB33" s="929">
        <f t="shared" si="35"/>
        <v>-5805</v>
      </c>
      <c r="AC33" s="927">
        <f t="shared" si="36"/>
        <v>8707.5</v>
      </c>
      <c r="AD33" s="928">
        <f t="shared" si="37"/>
        <v>-21.768750000000001</v>
      </c>
      <c r="AE33" s="927">
        <f t="shared" si="49"/>
        <v>8685.7312500000007</v>
      </c>
      <c r="AF33" s="926">
        <v>0</v>
      </c>
      <c r="AG33" s="927">
        <f t="shared" si="50"/>
        <v>8685.7312500000007</v>
      </c>
      <c r="AH33" s="928">
        <f>'[2]Table 5C3 - LA Connections EBR'!AJ32+'[14]Table 5C3 - LA Connections EBR'!AJ32+(6*'[20]Table 5C3 - LA Connections EBR'!AJ32)</f>
        <v>7879</v>
      </c>
      <c r="AI33" s="928">
        <f t="shared" si="51"/>
        <v>806.73125000000073</v>
      </c>
      <c r="AJ33" s="927">
        <f t="shared" si="38"/>
        <v>202</v>
      </c>
      <c r="AK33" s="930">
        <f t="shared" si="39"/>
        <v>26186.365747451804</v>
      </c>
      <c r="AL33" s="930">
        <f t="shared" si="52"/>
        <v>538</v>
      </c>
      <c r="AN33" s="922">
        <v>-35.651249999999997</v>
      </c>
      <c r="AO33" s="922">
        <f t="shared" si="53"/>
        <v>-21.768750000000001</v>
      </c>
      <c r="AP33" s="922">
        <f t="shared" si="54"/>
        <v>13.882499999999997</v>
      </c>
    </row>
    <row r="34" spans="1:42" s="917" customFormat="1" ht="16.149999999999999" customHeight="1">
      <c r="A34" s="918">
        <v>28</v>
      </c>
      <c r="B34" s="919" t="s">
        <v>100</v>
      </c>
      <c r="C34" s="920">
        <f>+'Table 8 Membership 2.1.14'!L30</f>
        <v>53</v>
      </c>
      <c r="D34" s="921">
        <f>'Table 3 Levels 1&amp;2'!AL31*90%</f>
        <v>2823.6742961911941</v>
      </c>
      <c r="E34" s="921">
        <f t="shared" si="40"/>
        <v>149654.73769813328</v>
      </c>
      <c r="F34" s="922">
        <f>'Table 3A Level 3'!C33*90%</f>
        <v>624.96</v>
      </c>
      <c r="G34" s="922">
        <f t="shared" si="41"/>
        <v>33122.880000000005</v>
      </c>
      <c r="H34" s="923">
        <f t="shared" si="42"/>
        <v>182777.61769813328</v>
      </c>
      <c r="I34" s="922">
        <f>(('Table 3 Levels 1&amp;2'!AL31-D34)+('Table 3A Level 3'!C33-F34))*C34</f>
        <v>20308.624188681461</v>
      </c>
      <c r="J34" s="922">
        <f>'[1]Oct midyear LA Conn'!K31</f>
        <v>72421.32022001507</v>
      </c>
      <c r="K34" s="922">
        <f>'[1]Feb midyear LA Conn'!K31</f>
        <v>15518.854332860374</v>
      </c>
      <c r="L34" s="924">
        <f t="shared" si="43"/>
        <v>87940.17455287544</v>
      </c>
      <c r="M34" s="923">
        <f t="shared" si="44"/>
        <v>270717.79225100874</v>
      </c>
      <c r="N34" s="922">
        <f t="shared" si="45"/>
        <v>-676.79448062752181</v>
      </c>
      <c r="O34" s="923">
        <f t="shared" si="30"/>
        <v>270040.99777038122</v>
      </c>
      <c r="P34" s="925">
        <v>0</v>
      </c>
      <c r="Q34" s="923">
        <f t="shared" si="46"/>
        <v>270040.99777038122</v>
      </c>
      <c r="R34" s="922">
        <f>'[2]Table 5C3 - LA Connections EBR'!T33+'[14]Table 5C3 - LA Connections EBR'!T33+(6*'[20]Table 5C3 - LA Connections EBR'!T33)</f>
        <v>142251</v>
      </c>
      <c r="S34" s="922">
        <f t="shared" si="47"/>
        <v>127789.99777038122</v>
      </c>
      <c r="T34" s="923">
        <f t="shared" si="31"/>
        <v>31947</v>
      </c>
      <c r="U34" s="923">
        <f t="shared" si="32"/>
        <v>270040.99777038122</v>
      </c>
      <c r="V34" s="926">
        <f>'Table 5C1A-Madison Prep'!U34*90%</f>
        <v>5234.4000000000005</v>
      </c>
      <c r="W34" s="927">
        <f t="shared" si="33"/>
        <v>277423.2</v>
      </c>
      <c r="X34" s="920">
        <f>'[1]Oct midyear LA Conn'!E31</f>
        <v>21</v>
      </c>
      <c r="Y34" s="928">
        <f t="shared" si="48"/>
        <v>109922.40000000001</v>
      </c>
      <c r="Z34" s="1006">
        <f>'[1]Feb midyear LA Conn'!E31</f>
        <v>9</v>
      </c>
      <c r="AA34" s="928">
        <f t="shared" si="34"/>
        <v>23554.800000000003</v>
      </c>
      <c r="AB34" s="929">
        <f t="shared" si="35"/>
        <v>133477.20000000001</v>
      </c>
      <c r="AC34" s="927">
        <f t="shared" si="36"/>
        <v>410900.4</v>
      </c>
      <c r="AD34" s="928">
        <f t="shared" si="37"/>
        <v>-1027.251</v>
      </c>
      <c r="AE34" s="927">
        <f t="shared" si="49"/>
        <v>409873.14900000003</v>
      </c>
      <c r="AF34" s="926">
        <v>0</v>
      </c>
      <c r="AG34" s="927">
        <f t="shared" si="50"/>
        <v>409873.14900000003</v>
      </c>
      <c r="AH34" s="928">
        <f>'[2]Table 5C3 - LA Connections EBR'!AJ33+'[14]Table 5C3 - LA Connections EBR'!AJ33+(6*'[20]Table 5C3 - LA Connections EBR'!AJ33)</f>
        <v>214947</v>
      </c>
      <c r="AI34" s="928">
        <f t="shared" si="51"/>
        <v>194926.14900000003</v>
      </c>
      <c r="AJ34" s="927">
        <f t="shared" si="38"/>
        <v>48732</v>
      </c>
      <c r="AK34" s="930">
        <f t="shared" si="39"/>
        <v>679914.14677038125</v>
      </c>
      <c r="AL34" s="930">
        <f t="shared" si="52"/>
        <v>80679</v>
      </c>
      <c r="AN34" s="922">
        <v>-690.45749999999998</v>
      </c>
      <c r="AO34" s="922">
        <f t="shared" si="53"/>
        <v>-1027.251</v>
      </c>
      <c r="AP34" s="922">
        <f t="shared" si="54"/>
        <v>-336.79349999999999</v>
      </c>
    </row>
    <row r="35" spans="1:42" s="917" customFormat="1" ht="16.149999999999999" customHeight="1">
      <c r="A35" s="918">
        <v>29</v>
      </c>
      <c r="B35" s="919" t="s">
        <v>101</v>
      </c>
      <c r="C35" s="920">
        <f>+'Table 8 Membership 2.1.14'!L31</f>
        <v>3</v>
      </c>
      <c r="D35" s="921">
        <f>'Table 3 Levels 1&amp;2'!AL32*90%</f>
        <v>3455.1110889156353</v>
      </c>
      <c r="E35" s="921">
        <f t="shared" si="40"/>
        <v>10365.333266746906</v>
      </c>
      <c r="F35" s="922">
        <f>'Table 3A Level 3'!C34*90%</f>
        <v>679.45499999999993</v>
      </c>
      <c r="G35" s="922">
        <f t="shared" si="41"/>
        <v>2038.3649999999998</v>
      </c>
      <c r="H35" s="923">
        <f t="shared" si="42"/>
        <v>12403.698266746906</v>
      </c>
      <c r="I35" s="922">
        <f>(('Table 3 Levels 1&amp;2'!AL32-D35)+('Table 3A Level 3'!C34-F35))*C35</f>
        <v>1378.1886963052116</v>
      </c>
      <c r="J35" s="922">
        <f>'[1]Oct midyear LA Conn'!K32</f>
        <v>20672.830444578176</v>
      </c>
      <c r="K35" s="922">
        <f>'[1]Feb midyear LA Conn'!K32</f>
        <v>12403.698266746906</v>
      </c>
      <c r="L35" s="924">
        <f t="shared" si="43"/>
        <v>33076.528711325082</v>
      </c>
      <c r="M35" s="923">
        <f t="shared" si="44"/>
        <v>45480.226978071987</v>
      </c>
      <c r="N35" s="922">
        <f t="shared" si="45"/>
        <v>-113.70056744517997</v>
      </c>
      <c r="O35" s="923">
        <f t="shared" si="30"/>
        <v>45366.526410626808</v>
      </c>
      <c r="P35" s="925">
        <v>0</v>
      </c>
      <c r="Q35" s="923">
        <f t="shared" si="46"/>
        <v>45366.526410626808</v>
      </c>
      <c r="R35" s="922">
        <f>'[2]Table 5C3 - LA Connections EBR'!T34+'[14]Table 5C3 - LA Connections EBR'!T34+(6*'[20]Table 5C3 - LA Connections EBR'!T34)</f>
        <v>19348</v>
      </c>
      <c r="S35" s="922">
        <f t="shared" si="47"/>
        <v>26018.526410626808</v>
      </c>
      <c r="T35" s="923">
        <f t="shared" si="31"/>
        <v>6505</v>
      </c>
      <c r="U35" s="923">
        <f t="shared" si="32"/>
        <v>45366.526410626808</v>
      </c>
      <c r="V35" s="926">
        <f>'Table 5C1A-Madison Prep'!U35*90%</f>
        <v>4541.4000000000005</v>
      </c>
      <c r="W35" s="927">
        <f t="shared" si="33"/>
        <v>13624.2</v>
      </c>
      <c r="X35" s="920">
        <f>'[1]Oct midyear LA Conn'!E32</f>
        <v>5</v>
      </c>
      <c r="Y35" s="928">
        <f t="shared" si="48"/>
        <v>22707.000000000004</v>
      </c>
      <c r="Z35" s="1006">
        <f>'[1]Feb midyear LA Conn'!E32</f>
        <v>6</v>
      </c>
      <c r="AA35" s="928">
        <f t="shared" si="34"/>
        <v>13624.2</v>
      </c>
      <c r="AB35" s="929">
        <f t="shared" si="35"/>
        <v>36331.200000000004</v>
      </c>
      <c r="AC35" s="927">
        <f t="shared" si="36"/>
        <v>49955.400000000009</v>
      </c>
      <c r="AD35" s="928">
        <f t="shared" si="37"/>
        <v>-124.88850000000002</v>
      </c>
      <c r="AE35" s="927">
        <f t="shared" si="49"/>
        <v>49830.511500000008</v>
      </c>
      <c r="AF35" s="926">
        <v>0</v>
      </c>
      <c r="AG35" s="927">
        <f t="shared" si="50"/>
        <v>49830.511500000008</v>
      </c>
      <c r="AH35" s="928">
        <f>'[2]Table 5C3 - LA Connections EBR'!AJ34+'[14]Table 5C3 - LA Connections EBR'!AJ34+(6*'[20]Table 5C3 - LA Connections EBR'!AJ34)</f>
        <v>21347</v>
      </c>
      <c r="AI35" s="928">
        <f t="shared" si="51"/>
        <v>28483.511500000008</v>
      </c>
      <c r="AJ35" s="927">
        <f t="shared" si="38"/>
        <v>7121</v>
      </c>
      <c r="AK35" s="930">
        <f t="shared" si="39"/>
        <v>95197.037910626823</v>
      </c>
      <c r="AL35" s="930">
        <f t="shared" si="52"/>
        <v>13626</v>
      </c>
      <c r="AN35" s="922">
        <v>-34.21575</v>
      </c>
      <c r="AO35" s="922">
        <f t="shared" si="53"/>
        <v>-124.88850000000002</v>
      </c>
      <c r="AP35" s="922">
        <f t="shared" si="54"/>
        <v>-90.672750000000022</v>
      </c>
    </row>
    <row r="36" spans="1:42" s="917" customFormat="1" ht="16.149999999999999" customHeight="1">
      <c r="A36" s="931">
        <v>30</v>
      </c>
      <c r="B36" s="932" t="s">
        <v>102</v>
      </c>
      <c r="C36" s="933">
        <f>+'Table 8 Membership 2.1.14'!L32</f>
        <v>3</v>
      </c>
      <c r="D36" s="934">
        <f>'Table 3 Levels 1&amp;2'!AL33*90%</f>
        <v>5224.079454659709</v>
      </c>
      <c r="E36" s="934">
        <f t="shared" si="40"/>
        <v>15672.238363979126</v>
      </c>
      <c r="F36" s="935">
        <f>'Table 3A Level 3'!C35*90%</f>
        <v>654.45299999999997</v>
      </c>
      <c r="G36" s="935">
        <f t="shared" si="41"/>
        <v>1963.3589999999999</v>
      </c>
      <c r="H36" s="936">
        <f t="shared" si="42"/>
        <v>17635.597363979126</v>
      </c>
      <c r="I36" s="935">
        <f>(('Table 3 Levels 1&amp;2'!AL33-D36)+('Table 3A Level 3'!C35-F36))*C36</f>
        <v>1959.5108182199019</v>
      </c>
      <c r="J36" s="935">
        <f>'[1]Oct midyear LA Conn'!K33</f>
        <v>52906.792091937386</v>
      </c>
      <c r="K36" s="935">
        <f>'[1]Feb midyear LA Conn'!K33</f>
        <v>5878.5324546597094</v>
      </c>
      <c r="L36" s="937">
        <f t="shared" si="43"/>
        <v>58785.324546597098</v>
      </c>
      <c r="M36" s="936">
        <f t="shared" si="44"/>
        <v>76420.921910576231</v>
      </c>
      <c r="N36" s="935">
        <f t="shared" si="45"/>
        <v>-191.05230477644059</v>
      </c>
      <c r="O36" s="936">
        <f t="shared" si="30"/>
        <v>76229.869605799788</v>
      </c>
      <c r="P36" s="938">
        <v>0</v>
      </c>
      <c r="Q36" s="936">
        <f t="shared" si="46"/>
        <v>76229.869605799788</v>
      </c>
      <c r="R36" s="935">
        <f>'[2]Table 5C3 - LA Connections EBR'!T35+'[14]Table 5C3 - LA Connections EBR'!T35+(6*'[20]Table 5C3 - LA Connections EBR'!T35)</f>
        <v>45099</v>
      </c>
      <c r="S36" s="935">
        <f t="shared" si="47"/>
        <v>31130.869605799788</v>
      </c>
      <c r="T36" s="936">
        <f t="shared" si="31"/>
        <v>7783</v>
      </c>
      <c r="U36" s="936">
        <f t="shared" si="32"/>
        <v>76229.869605799788</v>
      </c>
      <c r="V36" s="939">
        <f>'Table 5C1A-Madison Prep'!U36*90%</f>
        <v>3599.1</v>
      </c>
      <c r="W36" s="940">
        <f t="shared" si="33"/>
        <v>10797.3</v>
      </c>
      <c r="X36" s="933">
        <f>'[1]Oct midyear LA Conn'!E33</f>
        <v>9</v>
      </c>
      <c r="Y36" s="941">
        <f t="shared" si="48"/>
        <v>32391.899999999998</v>
      </c>
      <c r="Z36" s="1007">
        <f>'[1]Feb midyear LA Conn'!E33</f>
        <v>2</v>
      </c>
      <c r="AA36" s="941">
        <f t="shared" si="34"/>
        <v>3599.1</v>
      </c>
      <c r="AB36" s="942">
        <f t="shared" si="35"/>
        <v>35991</v>
      </c>
      <c r="AC36" s="940">
        <f t="shared" si="36"/>
        <v>46788.3</v>
      </c>
      <c r="AD36" s="941">
        <f t="shared" si="37"/>
        <v>-116.97075000000001</v>
      </c>
      <c r="AE36" s="940">
        <f t="shared" si="49"/>
        <v>46671.329250000003</v>
      </c>
      <c r="AF36" s="939">
        <v>0</v>
      </c>
      <c r="AG36" s="940">
        <f t="shared" si="50"/>
        <v>46671.329250000003</v>
      </c>
      <c r="AH36" s="941">
        <f>'[2]Table 5C3 - LA Connections EBR'!AJ35+'[14]Table 5C3 - LA Connections EBR'!AJ35+(6*'[20]Table 5C3 - LA Connections EBR'!AJ35)</f>
        <v>24916</v>
      </c>
      <c r="AI36" s="941">
        <f t="shared" si="51"/>
        <v>21755.329250000003</v>
      </c>
      <c r="AJ36" s="940">
        <f t="shared" si="38"/>
        <v>5439</v>
      </c>
      <c r="AK36" s="943">
        <f t="shared" si="39"/>
        <v>122901.1988557998</v>
      </c>
      <c r="AL36" s="943">
        <f t="shared" si="52"/>
        <v>13222</v>
      </c>
      <c r="AN36" s="935">
        <v>-24.360749999999999</v>
      </c>
      <c r="AO36" s="935">
        <f t="shared" si="53"/>
        <v>-116.97075000000001</v>
      </c>
      <c r="AP36" s="935">
        <f t="shared" si="54"/>
        <v>-92.610000000000014</v>
      </c>
    </row>
    <row r="37" spans="1:42" s="917" customFormat="1" ht="16.149999999999999" customHeight="1">
      <c r="A37" s="904">
        <v>31</v>
      </c>
      <c r="B37" s="905" t="s">
        <v>103</v>
      </c>
      <c r="C37" s="906">
        <f>+'Table 8 Membership 2.1.14'!L33</f>
        <v>3</v>
      </c>
      <c r="D37" s="907">
        <f>'Table 3 Levels 1&amp;2'!AL34*90%</f>
        <v>4068.5559045181681</v>
      </c>
      <c r="E37" s="907">
        <f t="shared" si="40"/>
        <v>12205.667713554503</v>
      </c>
      <c r="F37" s="908">
        <f>'Table 3A Level 3'!C36*90%</f>
        <v>558.74700000000007</v>
      </c>
      <c r="G37" s="908">
        <f t="shared" si="41"/>
        <v>1676.2410000000002</v>
      </c>
      <c r="H37" s="909">
        <f t="shared" si="42"/>
        <v>13881.908713554503</v>
      </c>
      <c r="I37" s="908">
        <f>(('Table 3 Levels 1&amp;2'!AL34-D37)+('Table 3A Level 3'!C36-F37))*C37</f>
        <v>1542.4343015060549</v>
      </c>
      <c r="J37" s="908">
        <f>'[1]Oct midyear LA Conn'!K34</f>
        <v>9254.6058090363367</v>
      </c>
      <c r="K37" s="908">
        <f>'[1]Feb midyear LA Conn'!K34</f>
        <v>-2313.6514522590842</v>
      </c>
      <c r="L37" s="910">
        <f t="shared" si="43"/>
        <v>6940.9543567772525</v>
      </c>
      <c r="M37" s="909">
        <f t="shared" si="44"/>
        <v>20822.863070331754</v>
      </c>
      <c r="N37" s="908">
        <f t="shared" si="45"/>
        <v>-52.057157675829387</v>
      </c>
      <c r="O37" s="909">
        <f t="shared" si="30"/>
        <v>20770.805912655924</v>
      </c>
      <c r="P37" s="911">
        <v>0</v>
      </c>
      <c r="Q37" s="909">
        <f t="shared" si="46"/>
        <v>20770.805912655924</v>
      </c>
      <c r="R37" s="908">
        <f>'[2]Table 5C3 - LA Connections EBR'!T36+'[14]Table 5C3 - LA Connections EBR'!T36+(6*'[20]Table 5C3 - LA Connections EBR'!T36)</f>
        <v>15105</v>
      </c>
      <c r="S37" s="908">
        <f t="shared" si="47"/>
        <v>5665.8059126559237</v>
      </c>
      <c r="T37" s="909">
        <f t="shared" si="31"/>
        <v>1416</v>
      </c>
      <c r="U37" s="909">
        <f t="shared" si="32"/>
        <v>20770.805912655924</v>
      </c>
      <c r="V37" s="912">
        <f>'Table 5C1A-Madison Prep'!U37*90%</f>
        <v>4525.2</v>
      </c>
      <c r="W37" s="913">
        <f t="shared" si="33"/>
        <v>13575.599999999999</v>
      </c>
      <c r="X37" s="906">
        <f>'[1]Oct midyear LA Conn'!E34</f>
        <v>2</v>
      </c>
      <c r="Y37" s="914">
        <f t="shared" si="48"/>
        <v>9050.4</v>
      </c>
      <c r="Z37" s="1005">
        <f>'[1]Feb midyear LA Conn'!E34</f>
        <v>-1</v>
      </c>
      <c r="AA37" s="914">
        <f t="shared" si="34"/>
        <v>-2262.6</v>
      </c>
      <c r="AB37" s="915">
        <f t="shared" si="35"/>
        <v>6787.7999999999993</v>
      </c>
      <c r="AC37" s="913">
        <f t="shared" si="36"/>
        <v>20363.399999999998</v>
      </c>
      <c r="AD37" s="914">
        <f t="shared" si="37"/>
        <v>-50.908499999999997</v>
      </c>
      <c r="AE37" s="913">
        <f t="shared" si="49"/>
        <v>20312.491499999996</v>
      </c>
      <c r="AF37" s="912">
        <v>0</v>
      </c>
      <c r="AG37" s="913">
        <f t="shared" si="50"/>
        <v>20312.491499999996</v>
      </c>
      <c r="AH37" s="914">
        <f>'[2]Table 5C3 - LA Connections EBR'!AJ36+'[14]Table 5C3 - LA Connections EBR'!AJ36+(6*'[20]Table 5C3 - LA Connections EBR'!AJ36)</f>
        <v>14817</v>
      </c>
      <c r="AI37" s="914">
        <f t="shared" si="51"/>
        <v>5495.4914999999964</v>
      </c>
      <c r="AJ37" s="913">
        <f t="shared" si="38"/>
        <v>1374</v>
      </c>
      <c r="AK37" s="916">
        <f t="shared" si="39"/>
        <v>41083.29741265592</v>
      </c>
      <c r="AL37" s="916">
        <f t="shared" si="52"/>
        <v>2790</v>
      </c>
      <c r="AN37" s="908">
        <v>-34.04025</v>
      </c>
      <c r="AO37" s="908">
        <f t="shared" si="53"/>
        <v>-50.908499999999997</v>
      </c>
      <c r="AP37" s="908">
        <f t="shared" si="54"/>
        <v>-16.868249999999996</v>
      </c>
    </row>
    <row r="38" spans="1:42" s="917" customFormat="1" ht="16.149999999999999" customHeight="1">
      <c r="A38" s="918">
        <v>32</v>
      </c>
      <c r="B38" s="919" t="s">
        <v>104</v>
      </c>
      <c r="C38" s="920">
        <f>+'Table 8 Membership 2.1.14'!L34</f>
        <v>73</v>
      </c>
      <c r="D38" s="921">
        <f>'Table 3 Levels 1&amp;2'!AL35*90%</f>
        <v>5087.5372701550141</v>
      </c>
      <c r="E38" s="921">
        <f t="shared" si="40"/>
        <v>371390.220721316</v>
      </c>
      <c r="F38" s="922">
        <f>'Table 3A Level 3'!C37*90%</f>
        <v>503.79300000000001</v>
      </c>
      <c r="G38" s="922">
        <f t="shared" si="41"/>
        <v>36776.889000000003</v>
      </c>
      <c r="H38" s="923">
        <f t="shared" si="42"/>
        <v>408167.10972131602</v>
      </c>
      <c r="I38" s="922">
        <f>(('Table 3 Levels 1&amp;2'!AL35-D38)+('Table 3A Level 3'!C37-F38))*C38</f>
        <v>45351.901080146235</v>
      </c>
      <c r="J38" s="922">
        <f>'[1]Oct midyear LA Conn'!K35</f>
        <v>212470.55026589052</v>
      </c>
      <c r="K38" s="922">
        <f>'[1]Feb midyear LA Conn'!K35</f>
        <v>36343.646756007591</v>
      </c>
      <c r="L38" s="924">
        <f t="shared" si="43"/>
        <v>248814.19702189812</v>
      </c>
      <c r="M38" s="923">
        <f t="shared" si="44"/>
        <v>656981.30674321414</v>
      </c>
      <c r="N38" s="922">
        <f t="shared" si="45"/>
        <v>-1642.4532668580355</v>
      </c>
      <c r="O38" s="923">
        <f t="shared" si="30"/>
        <v>655338.85347635613</v>
      </c>
      <c r="P38" s="925">
        <v>0</v>
      </c>
      <c r="Q38" s="923">
        <f t="shared" si="46"/>
        <v>655338.85347635613</v>
      </c>
      <c r="R38" s="922">
        <f>'[2]Table 5C3 - LA Connections EBR'!T37+'[14]Table 5C3 - LA Connections EBR'!T37+(6*'[20]Table 5C3 - LA Connections EBR'!T37)</f>
        <v>350024</v>
      </c>
      <c r="S38" s="922">
        <f t="shared" si="47"/>
        <v>305314.85347635613</v>
      </c>
      <c r="T38" s="923">
        <f t="shared" si="31"/>
        <v>76329</v>
      </c>
      <c r="U38" s="923">
        <f t="shared" si="32"/>
        <v>655338.85347635613</v>
      </c>
      <c r="V38" s="926">
        <f>'Table 5C1A-Madison Prep'!U38*90%</f>
        <v>1925.1000000000001</v>
      </c>
      <c r="W38" s="927">
        <f t="shared" si="33"/>
        <v>140532.30000000002</v>
      </c>
      <c r="X38" s="920">
        <f>'[1]Oct midyear LA Conn'!E35</f>
        <v>38</v>
      </c>
      <c r="Y38" s="928">
        <f t="shared" si="48"/>
        <v>73153.8</v>
      </c>
      <c r="Z38" s="1006">
        <f>'[1]Feb midyear LA Conn'!E35</f>
        <v>13</v>
      </c>
      <c r="AA38" s="928">
        <f t="shared" si="34"/>
        <v>12513.150000000001</v>
      </c>
      <c r="AB38" s="929">
        <f t="shared" si="35"/>
        <v>85666.950000000012</v>
      </c>
      <c r="AC38" s="927">
        <f t="shared" si="36"/>
        <v>226199.25000000003</v>
      </c>
      <c r="AD38" s="928">
        <f t="shared" si="37"/>
        <v>-565.49812500000007</v>
      </c>
      <c r="AE38" s="927">
        <f t="shared" si="49"/>
        <v>225633.75187500002</v>
      </c>
      <c r="AF38" s="926">
        <v>0</v>
      </c>
      <c r="AG38" s="927">
        <f t="shared" si="50"/>
        <v>225633.75187500002</v>
      </c>
      <c r="AH38" s="928">
        <f>'[2]Table 5C3 - LA Connections EBR'!AJ37+'[14]Table 5C3 - LA Connections EBR'!AJ37+(6*'[20]Table 5C3 - LA Connections EBR'!AJ37)</f>
        <v>119496</v>
      </c>
      <c r="AI38" s="928">
        <f t="shared" si="51"/>
        <v>106137.75187500002</v>
      </c>
      <c r="AJ38" s="927">
        <f t="shared" si="38"/>
        <v>26534</v>
      </c>
      <c r="AK38" s="930">
        <f t="shared" si="39"/>
        <v>880972.60535135609</v>
      </c>
      <c r="AL38" s="930">
        <f t="shared" si="52"/>
        <v>102863</v>
      </c>
      <c r="AN38" s="922">
        <v>-348.37425000000002</v>
      </c>
      <c r="AO38" s="922">
        <f t="shared" si="53"/>
        <v>-565.49812500000007</v>
      </c>
      <c r="AP38" s="922">
        <f t="shared" si="54"/>
        <v>-217.12387500000006</v>
      </c>
    </row>
    <row r="39" spans="1:42" s="917" customFormat="1" ht="16.149999999999999" customHeight="1">
      <c r="A39" s="918">
        <v>33</v>
      </c>
      <c r="B39" s="919" t="s">
        <v>105</v>
      </c>
      <c r="C39" s="920">
        <f>+'Table 8 Membership 2.1.14'!L35</f>
        <v>0</v>
      </c>
      <c r="D39" s="921">
        <f>'Table 3 Levels 1&amp;2'!AL36*90%</f>
        <v>4910.6029102276707</v>
      </c>
      <c r="E39" s="921">
        <f t="shared" si="40"/>
        <v>0</v>
      </c>
      <c r="F39" s="922">
        <f>'Table 3A Level 3'!C38*90%</f>
        <v>589.77900000000011</v>
      </c>
      <c r="G39" s="922">
        <f t="shared" si="41"/>
        <v>0</v>
      </c>
      <c r="H39" s="923">
        <f t="shared" si="42"/>
        <v>0</v>
      </c>
      <c r="I39" s="922">
        <f>(('Table 3 Levels 1&amp;2'!AL36-D39)+('Table 3A Level 3'!C38-F39))*C39</f>
        <v>0</v>
      </c>
      <c r="J39" s="922">
        <f>'[1]Oct midyear LA Conn'!K36</f>
        <v>11000.763820455342</v>
      </c>
      <c r="K39" s="922">
        <f>'[1]Feb midyear LA Conn'!K36</f>
        <v>0</v>
      </c>
      <c r="L39" s="924">
        <f t="shared" si="43"/>
        <v>11000.763820455342</v>
      </c>
      <c r="M39" s="923">
        <f t="shared" si="44"/>
        <v>11000.763820455342</v>
      </c>
      <c r="N39" s="922">
        <f t="shared" si="45"/>
        <v>-27.501909551138358</v>
      </c>
      <c r="O39" s="923">
        <f t="shared" ref="O39:O70" si="55">M39+N39</f>
        <v>10973.261910904204</v>
      </c>
      <c r="P39" s="925">
        <v>0</v>
      </c>
      <c r="Q39" s="923">
        <f t="shared" si="46"/>
        <v>10973.261910904204</v>
      </c>
      <c r="R39" s="922">
        <f>'[2]Table 5C3 - LA Connections EBR'!T38+'[14]Table 5C3 - LA Connections EBR'!T38+(6*'[20]Table 5C3 - LA Connections EBR'!T38)</f>
        <v>7184</v>
      </c>
      <c r="S39" s="922">
        <f t="shared" si="47"/>
        <v>3789.2619109042043</v>
      </c>
      <c r="T39" s="923">
        <f t="shared" ref="T39:T70" si="56">ROUND(S39/$T$88,0)</f>
        <v>947</v>
      </c>
      <c r="U39" s="923">
        <f t="shared" si="32"/>
        <v>10973.261910904204</v>
      </c>
      <c r="V39" s="926">
        <f>'Table 5C1A-Madison Prep'!U39*90%</f>
        <v>3405.6</v>
      </c>
      <c r="W39" s="927">
        <f t="shared" ref="W39:W70" si="57">V39*C39</f>
        <v>0</v>
      </c>
      <c r="X39" s="920">
        <f>'[1]Oct midyear LA Conn'!E36</f>
        <v>2</v>
      </c>
      <c r="Y39" s="928">
        <f t="shared" si="48"/>
        <v>6811.2</v>
      </c>
      <c r="Z39" s="1006">
        <f>'[1]Feb midyear LA Conn'!E36</f>
        <v>0</v>
      </c>
      <c r="AA39" s="928">
        <f t="shared" si="34"/>
        <v>0</v>
      </c>
      <c r="AB39" s="929">
        <f t="shared" si="35"/>
        <v>6811.2</v>
      </c>
      <c r="AC39" s="927">
        <f t="shared" si="36"/>
        <v>6811.2</v>
      </c>
      <c r="AD39" s="928">
        <f t="shared" si="37"/>
        <v>-17.027999999999999</v>
      </c>
      <c r="AE39" s="927">
        <f t="shared" si="49"/>
        <v>6794.1719999999996</v>
      </c>
      <c r="AF39" s="926">
        <v>0</v>
      </c>
      <c r="AG39" s="927">
        <f t="shared" si="50"/>
        <v>6794.1719999999996</v>
      </c>
      <c r="AH39" s="928">
        <f>'[2]Table 5C3 - LA Connections EBR'!AJ38+'[14]Table 5C3 - LA Connections EBR'!AJ38+(6*'[20]Table 5C3 - LA Connections EBR'!AJ38)</f>
        <v>4251</v>
      </c>
      <c r="AI39" s="928">
        <f t="shared" si="51"/>
        <v>2543.1719999999996</v>
      </c>
      <c r="AJ39" s="927">
        <f t="shared" ref="AJ39:AJ70" si="58">ROUND(AI39/$AJ$88,0)</f>
        <v>636</v>
      </c>
      <c r="AK39" s="930">
        <f t="shared" si="39"/>
        <v>17767.433910904205</v>
      </c>
      <c r="AL39" s="930">
        <f t="shared" si="52"/>
        <v>1583</v>
      </c>
      <c r="AN39" s="922">
        <v>0</v>
      </c>
      <c r="AO39" s="922">
        <f t="shared" si="53"/>
        <v>-17.027999999999999</v>
      </c>
      <c r="AP39" s="922">
        <f t="shared" si="54"/>
        <v>-17.027999999999999</v>
      </c>
    </row>
    <row r="40" spans="1:42" s="917" customFormat="1" ht="16.149999999999999" customHeight="1">
      <c r="A40" s="918">
        <v>34</v>
      </c>
      <c r="B40" s="919" t="s">
        <v>106</v>
      </c>
      <c r="C40" s="920">
        <f>+'Table 8 Membership 2.1.14'!L36</f>
        <v>4</v>
      </c>
      <c r="D40" s="921">
        <f>'Table 3 Levels 1&amp;2'!AL37*90%</f>
        <v>5662.8879158510108</v>
      </c>
      <c r="E40" s="921">
        <f t="shared" si="40"/>
        <v>22651.551663404043</v>
      </c>
      <c r="F40" s="922">
        <f>'Table 3A Level 3'!C39*90%</f>
        <v>579.69900000000018</v>
      </c>
      <c r="G40" s="922">
        <f t="shared" si="41"/>
        <v>2318.7960000000007</v>
      </c>
      <c r="H40" s="923">
        <f t="shared" si="42"/>
        <v>24970.347663404045</v>
      </c>
      <c r="I40" s="922">
        <f>(('Table 3 Levels 1&amp;2'!AL37-D40)+('Table 3A Level 3'!C39-F40))*C40</f>
        <v>2774.4830737115585</v>
      </c>
      <c r="J40" s="922">
        <f>'[1]Oct midyear LA Conn'!K37</f>
        <v>81153.629906063143</v>
      </c>
      <c r="K40" s="922">
        <f>'[1]Feb midyear LA Conn'!K37</f>
        <v>-6242.5869158510113</v>
      </c>
      <c r="L40" s="924">
        <f t="shared" si="43"/>
        <v>74911.042990212125</v>
      </c>
      <c r="M40" s="923">
        <f t="shared" si="44"/>
        <v>99881.390653616167</v>
      </c>
      <c r="N40" s="922">
        <f t="shared" si="45"/>
        <v>-249.70347663404041</v>
      </c>
      <c r="O40" s="923">
        <f t="shared" si="55"/>
        <v>99631.68717698213</v>
      </c>
      <c r="P40" s="925">
        <v>0</v>
      </c>
      <c r="Q40" s="923">
        <f t="shared" si="46"/>
        <v>99631.68717698213</v>
      </c>
      <c r="R40" s="922">
        <f>'[2]Table 5C3 - LA Connections EBR'!T39+'[14]Table 5C3 - LA Connections EBR'!T39+(6*'[20]Table 5C3 - LA Connections EBR'!T39)</f>
        <v>75591</v>
      </c>
      <c r="S40" s="922">
        <f t="shared" si="47"/>
        <v>24040.68717698213</v>
      </c>
      <c r="T40" s="923">
        <f t="shared" si="56"/>
        <v>6010</v>
      </c>
      <c r="U40" s="923">
        <f t="shared" si="32"/>
        <v>99631.68717698213</v>
      </c>
      <c r="V40" s="926">
        <f>'Table 5C1A-Madison Prep'!U40*90%</f>
        <v>2619.9</v>
      </c>
      <c r="W40" s="927">
        <f t="shared" si="57"/>
        <v>10479.6</v>
      </c>
      <c r="X40" s="920">
        <f>'[1]Oct midyear LA Conn'!E37</f>
        <v>13</v>
      </c>
      <c r="Y40" s="928">
        <f t="shared" si="48"/>
        <v>34058.700000000004</v>
      </c>
      <c r="Z40" s="1006">
        <f>'[1]Feb midyear LA Conn'!E37</f>
        <v>-2</v>
      </c>
      <c r="AA40" s="928">
        <f t="shared" si="34"/>
        <v>-2619.9</v>
      </c>
      <c r="AB40" s="929">
        <f t="shared" si="35"/>
        <v>31438.800000000003</v>
      </c>
      <c r="AC40" s="927">
        <f t="shared" si="36"/>
        <v>41918.400000000001</v>
      </c>
      <c r="AD40" s="928">
        <f t="shared" si="37"/>
        <v>-104.79600000000001</v>
      </c>
      <c r="AE40" s="927">
        <f t="shared" si="49"/>
        <v>41813.603999999999</v>
      </c>
      <c r="AF40" s="926">
        <v>0</v>
      </c>
      <c r="AG40" s="927">
        <f t="shared" si="50"/>
        <v>41813.603999999999</v>
      </c>
      <c r="AH40" s="928">
        <f>'[2]Table 5C3 - LA Connections EBR'!AJ39+'[14]Table 5C3 - LA Connections EBR'!AJ39+(6*'[20]Table 5C3 - LA Connections EBR'!AJ39)</f>
        <v>29655</v>
      </c>
      <c r="AI40" s="928">
        <f t="shared" si="51"/>
        <v>12158.603999999999</v>
      </c>
      <c r="AJ40" s="927">
        <f t="shared" si="58"/>
        <v>3040</v>
      </c>
      <c r="AK40" s="930">
        <f t="shared" si="39"/>
        <v>141445.29117698214</v>
      </c>
      <c r="AL40" s="930">
        <f t="shared" si="52"/>
        <v>9050</v>
      </c>
      <c r="AN40" s="922">
        <v>-24.489000000000001</v>
      </c>
      <c r="AO40" s="922">
        <f t="shared" si="53"/>
        <v>-104.79600000000001</v>
      </c>
      <c r="AP40" s="922">
        <f t="shared" si="54"/>
        <v>-80.307000000000002</v>
      </c>
    </row>
    <row r="41" spans="1:42" s="917" customFormat="1" ht="16.149999999999999" customHeight="1">
      <c r="A41" s="931">
        <v>35</v>
      </c>
      <c r="B41" s="932" t="s">
        <v>107</v>
      </c>
      <c r="C41" s="933">
        <f>+'Table 8 Membership 2.1.14'!L37</f>
        <v>19</v>
      </c>
      <c r="D41" s="934">
        <f>'Table 3 Levels 1&amp;2'!AL38*90%</f>
        <v>4649.6233854429847</v>
      </c>
      <c r="E41" s="934">
        <f t="shared" si="40"/>
        <v>88342.844323416706</v>
      </c>
      <c r="F41" s="935">
        <f>'Table 3A Level 3'!C40*90%</f>
        <v>484.16400000000004</v>
      </c>
      <c r="G41" s="935">
        <f t="shared" si="41"/>
        <v>9199.116</v>
      </c>
      <c r="H41" s="936">
        <f t="shared" si="42"/>
        <v>97541.960323416701</v>
      </c>
      <c r="I41" s="935">
        <f>(('Table 3 Levels 1&amp;2'!AL38-D41)+('Table 3A Level 3'!C40-F41))*C41</f>
        <v>10837.99559149074</v>
      </c>
      <c r="J41" s="935">
        <f>'[1]Oct midyear LA Conn'!K38</f>
        <v>0</v>
      </c>
      <c r="K41" s="935">
        <f>'[1]Feb midyear LA Conn'!K38</f>
        <v>5133.7873854429845</v>
      </c>
      <c r="L41" s="937">
        <f t="shared" si="43"/>
        <v>5133.7873854429845</v>
      </c>
      <c r="M41" s="936">
        <f t="shared" si="44"/>
        <v>102675.74770885968</v>
      </c>
      <c r="N41" s="935">
        <f t="shared" si="45"/>
        <v>-256.68936927214918</v>
      </c>
      <c r="O41" s="936">
        <f t="shared" si="55"/>
        <v>102419.05833958753</v>
      </c>
      <c r="P41" s="938">
        <v>0</v>
      </c>
      <c r="Q41" s="936">
        <f t="shared" si="46"/>
        <v>102419.05833958753</v>
      </c>
      <c r="R41" s="935">
        <f>'[2]Table 5C3 - LA Connections EBR'!T40+'[14]Table 5C3 - LA Connections EBR'!T40+(6*'[20]Table 5C3 - LA Connections EBR'!T40)</f>
        <v>58904</v>
      </c>
      <c r="S41" s="935">
        <f t="shared" si="47"/>
        <v>43515.058339587529</v>
      </c>
      <c r="T41" s="936">
        <f t="shared" si="56"/>
        <v>10879</v>
      </c>
      <c r="U41" s="936">
        <f t="shared" si="32"/>
        <v>102419.05833958753</v>
      </c>
      <c r="V41" s="939">
        <f>'Table 5C1A-Madison Prep'!U41*90%</f>
        <v>3003.3</v>
      </c>
      <c r="W41" s="940">
        <f t="shared" si="57"/>
        <v>57062.700000000004</v>
      </c>
      <c r="X41" s="933">
        <f>'[1]Oct midyear LA Conn'!E38</f>
        <v>0</v>
      </c>
      <c r="Y41" s="941">
        <f t="shared" si="48"/>
        <v>0</v>
      </c>
      <c r="Z41" s="1007">
        <f>'[1]Feb midyear LA Conn'!E38</f>
        <v>2</v>
      </c>
      <c r="AA41" s="941">
        <f t="shared" si="34"/>
        <v>3003.3</v>
      </c>
      <c r="AB41" s="942">
        <f t="shared" si="35"/>
        <v>3003.3</v>
      </c>
      <c r="AC41" s="940">
        <f t="shared" si="36"/>
        <v>60066.000000000007</v>
      </c>
      <c r="AD41" s="941">
        <f t="shared" si="37"/>
        <v>-150.16500000000002</v>
      </c>
      <c r="AE41" s="940">
        <f t="shared" si="49"/>
        <v>59915.835000000006</v>
      </c>
      <c r="AF41" s="939">
        <v>0</v>
      </c>
      <c r="AG41" s="940">
        <f t="shared" si="50"/>
        <v>59915.835000000006</v>
      </c>
      <c r="AH41" s="941">
        <f>'[2]Table 5C3 - LA Connections EBR'!AJ40+'[14]Table 5C3 - LA Connections EBR'!AJ40+(6*'[20]Table 5C3 - LA Connections EBR'!AJ40)</f>
        <v>33615</v>
      </c>
      <c r="AI41" s="941">
        <f t="shared" si="51"/>
        <v>26300.835000000006</v>
      </c>
      <c r="AJ41" s="940">
        <f t="shared" si="58"/>
        <v>6575</v>
      </c>
      <c r="AK41" s="943">
        <f t="shared" si="39"/>
        <v>162334.89333958755</v>
      </c>
      <c r="AL41" s="943">
        <f t="shared" si="52"/>
        <v>17454</v>
      </c>
      <c r="AN41" s="935">
        <v>-139.15125</v>
      </c>
      <c r="AO41" s="935">
        <f t="shared" si="53"/>
        <v>-150.16500000000002</v>
      </c>
      <c r="AP41" s="935">
        <f t="shared" si="54"/>
        <v>-11.013750000000016</v>
      </c>
    </row>
    <row r="42" spans="1:42" s="917" customFormat="1" ht="16.149999999999999" customHeight="1">
      <c r="A42" s="904">
        <v>36</v>
      </c>
      <c r="B42" s="905" t="s">
        <v>108</v>
      </c>
      <c r="C42" s="906">
        <f>+'Table 8 Membership 2.1.14'!L38</f>
        <v>31</v>
      </c>
      <c r="D42" s="907">
        <f>'Table 3 Levels 1&amp;2'!AL39*90%</f>
        <v>3242.4308976895072</v>
      </c>
      <c r="E42" s="907">
        <f t="shared" si="40"/>
        <v>100515.35782837472</v>
      </c>
      <c r="F42" s="908">
        <f>'Table 5B1_RSD_Orleans'!F82*90%</f>
        <v>671.43020547945218</v>
      </c>
      <c r="G42" s="908">
        <f t="shared" si="41"/>
        <v>20814.336369863016</v>
      </c>
      <c r="H42" s="909">
        <f t="shared" si="42"/>
        <v>121329.69419823773</v>
      </c>
      <c r="I42" s="908">
        <f>(('Table 3 Levels 1&amp;2'!AL39-D42)+('Table 5B1_RSD_Orleans'!F82-F42))*C42</f>
        <v>13481.077133137522</v>
      </c>
      <c r="J42" s="908">
        <f>'[1]Oct midyear LA Conn'!K39</f>
        <v>93932.666476055019</v>
      </c>
      <c r="K42" s="908">
        <f>'[1]Feb midyear LA Conn'!K39</f>
        <v>5870.7916547534387</v>
      </c>
      <c r="L42" s="910">
        <f t="shared" si="43"/>
        <v>99803.45813080846</v>
      </c>
      <c r="M42" s="909">
        <f t="shared" si="44"/>
        <v>221133.15232904619</v>
      </c>
      <c r="N42" s="908">
        <f t="shared" si="45"/>
        <v>-552.83288082261549</v>
      </c>
      <c r="O42" s="909">
        <f t="shared" si="55"/>
        <v>220580.31944822357</v>
      </c>
      <c r="P42" s="911">
        <v>0</v>
      </c>
      <c r="Q42" s="909">
        <f t="shared" si="46"/>
        <v>220580.31944822357</v>
      </c>
      <c r="R42" s="908">
        <f>'[2]Table 5C3 - LA Connections EBR'!T41+'[14]Table 5C3 - LA Connections EBR'!T41+(6*'[20]Table 5C3 - LA Connections EBR'!T41)</f>
        <v>115963</v>
      </c>
      <c r="S42" s="908">
        <f t="shared" si="47"/>
        <v>104617.31944822357</v>
      </c>
      <c r="T42" s="909">
        <f t="shared" si="56"/>
        <v>26154</v>
      </c>
      <c r="U42" s="909">
        <f t="shared" si="32"/>
        <v>220580.31944822357</v>
      </c>
      <c r="V42" s="912">
        <f>'Table 5C1A-Madison Prep'!U42*90%</f>
        <v>4922.1000000000004</v>
      </c>
      <c r="W42" s="913">
        <f t="shared" si="57"/>
        <v>152585.1</v>
      </c>
      <c r="X42" s="906">
        <f>'[1]Oct midyear LA Conn'!E39</f>
        <v>24</v>
      </c>
      <c r="Y42" s="914">
        <f t="shared" si="48"/>
        <v>118130.40000000001</v>
      </c>
      <c r="Z42" s="1005">
        <f>'[1]Feb midyear LA Conn'!E39</f>
        <v>3</v>
      </c>
      <c r="AA42" s="914">
        <f t="shared" si="34"/>
        <v>7383.1500000000005</v>
      </c>
      <c r="AB42" s="915">
        <f t="shared" si="35"/>
        <v>125513.55</v>
      </c>
      <c r="AC42" s="913">
        <f t="shared" si="36"/>
        <v>278098.65000000002</v>
      </c>
      <c r="AD42" s="914">
        <f t="shared" si="37"/>
        <v>-695.24662500000011</v>
      </c>
      <c r="AE42" s="913">
        <f t="shared" si="49"/>
        <v>277403.40337499999</v>
      </c>
      <c r="AF42" s="912">
        <v>0</v>
      </c>
      <c r="AG42" s="913">
        <f t="shared" si="50"/>
        <v>277403.40337499999</v>
      </c>
      <c r="AH42" s="914">
        <f>'[2]Table 5C3 - LA Connections EBR'!AJ41+'[14]Table 5C3 - LA Connections EBR'!AJ41+(6*'[20]Table 5C3 - LA Connections EBR'!AJ41)</f>
        <v>144931</v>
      </c>
      <c r="AI42" s="914">
        <f t="shared" si="51"/>
        <v>132472.40337499999</v>
      </c>
      <c r="AJ42" s="913">
        <f t="shared" si="58"/>
        <v>33118</v>
      </c>
      <c r="AK42" s="916">
        <f t="shared" si="39"/>
        <v>497983.72282322356</v>
      </c>
      <c r="AL42" s="916">
        <f t="shared" si="52"/>
        <v>59272</v>
      </c>
      <c r="AN42" s="908">
        <v>-379.09125</v>
      </c>
      <c r="AO42" s="908">
        <f t="shared" si="53"/>
        <v>-695.24662500000011</v>
      </c>
      <c r="AP42" s="908">
        <f t="shared" si="54"/>
        <v>-316.15537500000011</v>
      </c>
    </row>
    <row r="43" spans="1:42" s="917" customFormat="1" ht="16.149999999999999" customHeight="1">
      <c r="A43" s="918">
        <v>37</v>
      </c>
      <c r="B43" s="919" t="s">
        <v>109</v>
      </c>
      <c r="C43" s="920">
        <f>+'Table 8 Membership 2.1.14'!L39</f>
        <v>30</v>
      </c>
      <c r="D43" s="921">
        <f>'Table 3 Levels 1&amp;2'!AL40*90%</f>
        <v>5098.8455334285927</v>
      </c>
      <c r="E43" s="921">
        <f t="shared" si="40"/>
        <v>152965.36600285777</v>
      </c>
      <c r="F43" s="922">
        <f>'Table 3A Level 3'!C42*90%</f>
        <v>588.24900000000002</v>
      </c>
      <c r="G43" s="922">
        <f t="shared" si="41"/>
        <v>17647.47</v>
      </c>
      <c r="H43" s="923">
        <f t="shared" si="42"/>
        <v>170612.83600285777</v>
      </c>
      <c r="I43" s="922">
        <f>(('Table 3 Levels 1&amp;2'!AL40-D43)+('Table 3A Level 3'!C42-F43))*C43</f>
        <v>18956.981778095291</v>
      </c>
      <c r="J43" s="922">
        <f>'[1]Oct midyear LA Conn'!K40</f>
        <v>-11374.189066857185</v>
      </c>
      <c r="K43" s="922">
        <f>'[1]Feb midyear LA Conn'!K40</f>
        <v>19904.830867000073</v>
      </c>
      <c r="L43" s="924">
        <f t="shared" si="43"/>
        <v>8530.6418001428883</v>
      </c>
      <c r="M43" s="923">
        <f t="shared" si="44"/>
        <v>179143.47780300066</v>
      </c>
      <c r="N43" s="922">
        <f t="shared" si="45"/>
        <v>-447.85869450750164</v>
      </c>
      <c r="O43" s="923">
        <f t="shared" si="55"/>
        <v>178695.61910849315</v>
      </c>
      <c r="P43" s="925">
        <v>0</v>
      </c>
      <c r="Q43" s="923">
        <f t="shared" si="46"/>
        <v>178695.61910849315</v>
      </c>
      <c r="R43" s="922">
        <f>'[2]Table 5C3 - LA Connections EBR'!T42+'[14]Table 5C3 - LA Connections EBR'!T42+(6*'[20]Table 5C3 - LA Connections EBR'!T42)</f>
        <v>85505</v>
      </c>
      <c r="S43" s="922">
        <f t="shared" si="47"/>
        <v>93190.619108493149</v>
      </c>
      <c r="T43" s="923">
        <f t="shared" si="56"/>
        <v>23298</v>
      </c>
      <c r="U43" s="923">
        <f t="shared" si="32"/>
        <v>178695.61910849315</v>
      </c>
      <c r="V43" s="926">
        <f>'Table 5C1A-Madison Prep'!U43*90%</f>
        <v>3081.6</v>
      </c>
      <c r="W43" s="927">
        <f t="shared" si="57"/>
        <v>92448</v>
      </c>
      <c r="X43" s="920">
        <f>'[1]Oct midyear LA Conn'!E40</f>
        <v>-2</v>
      </c>
      <c r="Y43" s="928">
        <f t="shared" si="48"/>
        <v>-6163.2</v>
      </c>
      <c r="Z43" s="1006">
        <f>'[1]Feb midyear LA Conn'!E40</f>
        <v>7</v>
      </c>
      <c r="AA43" s="928">
        <f t="shared" si="34"/>
        <v>10785.6</v>
      </c>
      <c r="AB43" s="929">
        <f t="shared" si="35"/>
        <v>4622.4000000000005</v>
      </c>
      <c r="AC43" s="927">
        <f t="shared" si="36"/>
        <v>97070.399999999994</v>
      </c>
      <c r="AD43" s="928">
        <f t="shared" si="37"/>
        <v>-242.67599999999999</v>
      </c>
      <c r="AE43" s="927">
        <f t="shared" si="49"/>
        <v>96827.723999999987</v>
      </c>
      <c r="AF43" s="926">
        <v>0</v>
      </c>
      <c r="AG43" s="927">
        <f t="shared" si="50"/>
        <v>96827.723999999987</v>
      </c>
      <c r="AH43" s="928">
        <f>'[2]Table 5C3 - LA Connections EBR'!AJ42+'[14]Table 5C3 - LA Connections EBR'!AJ42+(6*'[20]Table 5C3 - LA Connections EBR'!AJ42)</f>
        <v>47633</v>
      </c>
      <c r="AI43" s="928">
        <f t="shared" si="51"/>
        <v>49194.723999999987</v>
      </c>
      <c r="AJ43" s="927">
        <f t="shared" si="58"/>
        <v>12299</v>
      </c>
      <c r="AK43" s="930">
        <f t="shared" si="39"/>
        <v>275523.34310849314</v>
      </c>
      <c r="AL43" s="930">
        <f t="shared" si="52"/>
        <v>35597</v>
      </c>
      <c r="AN43" s="922">
        <v>-237.6</v>
      </c>
      <c r="AO43" s="922">
        <f t="shared" si="53"/>
        <v>-242.67599999999999</v>
      </c>
      <c r="AP43" s="922">
        <f t="shared" si="54"/>
        <v>-5.0759999999999934</v>
      </c>
    </row>
    <row r="44" spans="1:42" s="917" customFormat="1" ht="16.149999999999999" customHeight="1">
      <c r="A44" s="918">
        <v>38</v>
      </c>
      <c r="B44" s="919" t="s">
        <v>110</v>
      </c>
      <c r="C44" s="920">
        <f>+'Table 8 Membership 2.1.14'!L40</f>
        <v>6</v>
      </c>
      <c r="D44" s="921">
        <f>'Table 3 Levels 1&amp;2'!AL41*90%</f>
        <v>1879.9215797625193</v>
      </c>
      <c r="E44" s="921">
        <f t="shared" si="40"/>
        <v>11279.529478575116</v>
      </c>
      <c r="F44" s="922">
        <f>'Table 3A Level 3'!C43*90%</f>
        <v>746.92800000000011</v>
      </c>
      <c r="G44" s="922">
        <f t="shared" si="41"/>
        <v>4481.5680000000011</v>
      </c>
      <c r="H44" s="923">
        <f t="shared" si="42"/>
        <v>15761.097478575117</v>
      </c>
      <c r="I44" s="922">
        <f>(('Table 3 Levels 1&amp;2'!AL41-D44)+('Table 3A Level 3'!C43-F44))*C44</f>
        <v>1751.2330531750126</v>
      </c>
      <c r="J44" s="922">
        <f>'[1]Oct midyear LA Conn'!K41</f>
        <v>7880.5487392875575</v>
      </c>
      <c r="K44" s="922">
        <f>'[1]Feb midyear LA Conn'!K41</f>
        <v>2626.8495797625192</v>
      </c>
      <c r="L44" s="924">
        <f t="shared" si="43"/>
        <v>10507.398319050077</v>
      </c>
      <c r="M44" s="923">
        <f t="shared" si="44"/>
        <v>26268.495797625194</v>
      </c>
      <c r="N44" s="922">
        <f t="shared" si="45"/>
        <v>-65.671239494062988</v>
      </c>
      <c r="O44" s="923">
        <f t="shared" si="55"/>
        <v>26202.824558131131</v>
      </c>
      <c r="P44" s="925">
        <v>0</v>
      </c>
      <c r="Q44" s="923">
        <f t="shared" si="46"/>
        <v>26202.824558131131</v>
      </c>
      <c r="R44" s="922">
        <f>'[2]Table 5C3 - LA Connections EBR'!T43+'[14]Table 5C3 - LA Connections EBR'!T43+(6*'[20]Table 5C3 - LA Connections EBR'!T43)</f>
        <v>11051</v>
      </c>
      <c r="S44" s="922">
        <f t="shared" si="47"/>
        <v>15151.824558131131</v>
      </c>
      <c r="T44" s="923">
        <f t="shared" si="56"/>
        <v>3788</v>
      </c>
      <c r="U44" s="923">
        <f t="shared" si="32"/>
        <v>26202.824558131131</v>
      </c>
      <c r="V44" s="926">
        <f>'Table 5C1A-Madison Prep'!U44*90%</f>
        <v>9954</v>
      </c>
      <c r="W44" s="927">
        <f t="shared" si="57"/>
        <v>59724</v>
      </c>
      <c r="X44" s="920">
        <f>'[1]Oct midyear LA Conn'!E41</f>
        <v>3</v>
      </c>
      <c r="Y44" s="928">
        <f t="shared" si="48"/>
        <v>29862</v>
      </c>
      <c r="Z44" s="1006">
        <f>'[1]Feb midyear LA Conn'!E41</f>
        <v>2</v>
      </c>
      <c r="AA44" s="928">
        <f t="shared" si="34"/>
        <v>9954</v>
      </c>
      <c r="AB44" s="929">
        <f t="shared" si="35"/>
        <v>39816</v>
      </c>
      <c r="AC44" s="927">
        <f t="shared" si="36"/>
        <v>99540</v>
      </c>
      <c r="AD44" s="928">
        <f t="shared" si="37"/>
        <v>-248.85</v>
      </c>
      <c r="AE44" s="927">
        <f t="shared" si="49"/>
        <v>99291.15</v>
      </c>
      <c r="AF44" s="926">
        <v>0</v>
      </c>
      <c r="AG44" s="927">
        <f t="shared" si="50"/>
        <v>99291.15</v>
      </c>
      <c r="AH44" s="928">
        <f>'[2]Table 5C3 - LA Connections EBR'!AJ43+'[14]Table 5C3 - LA Connections EBR'!AJ43+(6*'[20]Table 5C3 - LA Connections EBR'!AJ43)</f>
        <v>43088</v>
      </c>
      <c r="AI44" s="928">
        <f t="shared" si="51"/>
        <v>56203.149999999994</v>
      </c>
      <c r="AJ44" s="927">
        <f t="shared" si="58"/>
        <v>14051</v>
      </c>
      <c r="AK44" s="930">
        <f t="shared" si="39"/>
        <v>125493.97455813113</v>
      </c>
      <c r="AL44" s="930">
        <f t="shared" si="52"/>
        <v>17839</v>
      </c>
      <c r="AN44" s="922">
        <v>-153.61650000000003</v>
      </c>
      <c r="AO44" s="922">
        <f t="shared" si="53"/>
        <v>-248.85</v>
      </c>
      <c r="AP44" s="922">
        <f t="shared" si="54"/>
        <v>-95.233499999999964</v>
      </c>
    </row>
    <row r="45" spans="1:42" s="917" customFormat="1" ht="16.149999999999999" customHeight="1">
      <c r="A45" s="918">
        <v>39</v>
      </c>
      <c r="B45" s="919" t="s">
        <v>111</v>
      </c>
      <c r="C45" s="920">
        <f>+'Table 8 Membership 2.1.14'!L41</f>
        <v>9</v>
      </c>
      <c r="D45" s="921">
        <f>'Table 3 Levels 1&amp;2'!AL42*90%</f>
        <v>3291.2151128366108</v>
      </c>
      <c r="E45" s="921">
        <f t="shared" si="40"/>
        <v>29620.936015529496</v>
      </c>
      <c r="F45" s="922">
        <f>'Table 3A Level 3'!C44*90%</f>
        <v>701.69015738498763</v>
      </c>
      <c r="G45" s="922">
        <f t="shared" si="41"/>
        <v>6315.2114164648883</v>
      </c>
      <c r="H45" s="923">
        <f t="shared" si="42"/>
        <v>35936.147431994381</v>
      </c>
      <c r="I45" s="922">
        <f>(('Table 3 Levels 1&amp;2'!AL42-D45)+('Table 3A Level 3'!C44-F45))*C45</f>
        <v>3992.9052702215972</v>
      </c>
      <c r="J45" s="922">
        <f>'[1]Oct midyear LA Conn'!K42</f>
        <v>71872.294863988776</v>
      </c>
      <c r="K45" s="922">
        <f>'[1]Feb midyear LA Conn'!K42</f>
        <v>-9982.2631755539969</v>
      </c>
      <c r="L45" s="924">
        <f t="shared" si="43"/>
        <v>61890.031688434778</v>
      </c>
      <c r="M45" s="923">
        <f t="shared" si="44"/>
        <v>97826.179120429151</v>
      </c>
      <c r="N45" s="922">
        <f t="shared" si="45"/>
        <v>-244.56544780107288</v>
      </c>
      <c r="O45" s="923">
        <f t="shared" si="55"/>
        <v>97581.613672628082</v>
      </c>
      <c r="P45" s="925">
        <v>0</v>
      </c>
      <c r="Q45" s="923">
        <f t="shared" si="46"/>
        <v>97581.613672628082</v>
      </c>
      <c r="R45" s="922">
        <f>'[2]Table 5C3 - LA Connections EBR'!T44+'[14]Table 5C3 - LA Connections EBR'!T44+(6*'[20]Table 5C3 - LA Connections EBR'!T44)</f>
        <v>71477</v>
      </c>
      <c r="S45" s="922">
        <f t="shared" si="47"/>
        <v>26104.613672628082</v>
      </c>
      <c r="T45" s="923">
        <f t="shared" si="56"/>
        <v>6526</v>
      </c>
      <c r="U45" s="923">
        <f t="shared" si="32"/>
        <v>97581.613672628082</v>
      </c>
      <c r="V45" s="926">
        <f>'Table 5C1A-Madison Prep'!U45*90%</f>
        <v>4429.8</v>
      </c>
      <c r="W45" s="927">
        <f t="shared" si="57"/>
        <v>39868.200000000004</v>
      </c>
      <c r="X45" s="920">
        <f>'[1]Oct midyear LA Conn'!E42</f>
        <v>18</v>
      </c>
      <c r="Y45" s="928">
        <f t="shared" si="48"/>
        <v>79736.400000000009</v>
      </c>
      <c r="Z45" s="1006">
        <f>'[1]Feb midyear LA Conn'!E42</f>
        <v>-5</v>
      </c>
      <c r="AA45" s="928">
        <f t="shared" si="34"/>
        <v>-11074.5</v>
      </c>
      <c r="AB45" s="929">
        <f t="shared" si="35"/>
        <v>68661.900000000009</v>
      </c>
      <c r="AC45" s="927">
        <f t="shared" si="36"/>
        <v>108530.1</v>
      </c>
      <c r="AD45" s="928">
        <f t="shared" si="37"/>
        <v>-271.32525000000004</v>
      </c>
      <c r="AE45" s="927">
        <f t="shared" si="49"/>
        <v>108258.77475000001</v>
      </c>
      <c r="AF45" s="926">
        <v>0</v>
      </c>
      <c r="AG45" s="927">
        <f t="shared" si="50"/>
        <v>108258.77475000001</v>
      </c>
      <c r="AH45" s="928">
        <f>'[2]Table 5C3 - LA Connections EBR'!AJ44+'[14]Table 5C3 - LA Connections EBR'!AJ44+(6*'[20]Table 5C3 - LA Connections EBR'!AJ44)</f>
        <v>79830</v>
      </c>
      <c r="AI45" s="928">
        <f t="shared" si="51"/>
        <v>28428.774750000011</v>
      </c>
      <c r="AJ45" s="927">
        <f t="shared" si="58"/>
        <v>7107</v>
      </c>
      <c r="AK45" s="930">
        <f t="shared" si="39"/>
        <v>205840.38842262811</v>
      </c>
      <c r="AL45" s="930">
        <f t="shared" si="52"/>
        <v>13633</v>
      </c>
      <c r="AN45" s="922">
        <v>-100.33875</v>
      </c>
      <c r="AO45" s="922">
        <f t="shared" si="53"/>
        <v>-271.32525000000004</v>
      </c>
      <c r="AP45" s="922">
        <f t="shared" si="54"/>
        <v>-170.98650000000004</v>
      </c>
    </row>
    <row r="46" spans="1:42" s="917" customFormat="1" ht="16.149999999999999" customHeight="1">
      <c r="A46" s="931">
        <v>40</v>
      </c>
      <c r="B46" s="932" t="s">
        <v>112</v>
      </c>
      <c r="C46" s="933">
        <f>+'Table 8 Membership 2.1.14'!L42</f>
        <v>35</v>
      </c>
      <c r="D46" s="934">
        <f>'Table 3 Levels 1&amp;2'!AL43*90%</f>
        <v>4609.6299257128567</v>
      </c>
      <c r="E46" s="934">
        <f t="shared" si="40"/>
        <v>161337.04739994998</v>
      </c>
      <c r="F46" s="935">
        <f>'Table 3A Level 3'!C45*90%</f>
        <v>630.24300000000005</v>
      </c>
      <c r="G46" s="935">
        <f t="shared" si="41"/>
        <v>22058.505000000001</v>
      </c>
      <c r="H46" s="936">
        <f t="shared" si="42"/>
        <v>183395.55239994999</v>
      </c>
      <c r="I46" s="935">
        <f>(('Table 3 Levels 1&amp;2'!AL43-D46)+('Table 3A Level 3'!C45-F46))*C46</f>
        <v>20377.283599994429</v>
      </c>
      <c r="J46" s="935">
        <f>'[1]Oct midyear LA Conn'!K43</f>
        <v>146716.44191995999</v>
      </c>
      <c r="K46" s="935">
        <f>'[1]Feb midyear LA Conn'!K43</f>
        <v>-13099.682314282143</v>
      </c>
      <c r="L46" s="937">
        <f t="shared" si="43"/>
        <v>133616.75960567786</v>
      </c>
      <c r="M46" s="936">
        <f t="shared" si="44"/>
        <v>317012.31200562784</v>
      </c>
      <c r="N46" s="935">
        <f t="shared" si="45"/>
        <v>-792.53078001406959</v>
      </c>
      <c r="O46" s="936">
        <f t="shared" si="55"/>
        <v>316219.78122561378</v>
      </c>
      <c r="P46" s="938">
        <v>0</v>
      </c>
      <c r="Q46" s="936">
        <f t="shared" si="46"/>
        <v>316219.78122561378</v>
      </c>
      <c r="R46" s="935">
        <f>'[2]Table 5C3 - LA Connections EBR'!T45+'[14]Table 5C3 - LA Connections EBR'!T45+(6*'[20]Table 5C3 - LA Connections EBR'!T45)</f>
        <v>210340</v>
      </c>
      <c r="S46" s="935">
        <f t="shared" si="47"/>
        <v>105879.78122561378</v>
      </c>
      <c r="T46" s="936">
        <f t="shared" si="56"/>
        <v>26470</v>
      </c>
      <c r="U46" s="936">
        <f t="shared" si="32"/>
        <v>316219.78122561378</v>
      </c>
      <c r="V46" s="939">
        <f>'Table 5C1A-Madison Prep'!U46*90%</f>
        <v>2836.8</v>
      </c>
      <c r="W46" s="940">
        <f t="shared" si="57"/>
        <v>99288</v>
      </c>
      <c r="X46" s="933">
        <f>'[1]Oct midyear LA Conn'!E43</f>
        <v>28</v>
      </c>
      <c r="Y46" s="941">
        <f t="shared" si="48"/>
        <v>79430.400000000009</v>
      </c>
      <c r="Z46" s="1007">
        <f>'[1]Feb midyear LA Conn'!E43</f>
        <v>-5</v>
      </c>
      <c r="AA46" s="941">
        <f t="shared" si="34"/>
        <v>-7092</v>
      </c>
      <c r="AB46" s="942">
        <f t="shared" si="35"/>
        <v>72338.400000000009</v>
      </c>
      <c r="AC46" s="940">
        <f t="shared" si="36"/>
        <v>171626.40000000002</v>
      </c>
      <c r="AD46" s="941">
        <f t="shared" si="37"/>
        <v>-429.06600000000009</v>
      </c>
      <c r="AE46" s="940">
        <f t="shared" si="49"/>
        <v>171197.33400000003</v>
      </c>
      <c r="AF46" s="939">
        <v>0</v>
      </c>
      <c r="AG46" s="940">
        <f t="shared" si="50"/>
        <v>171197.33400000003</v>
      </c>
      <c r="AH46" s="941">
        <f>'[2]Table 5C3 - LA Connections EBR'!AJ45+'[14]Table 5C3 - LA Connections EBR'!AJ45+(6*'[20]Table 5C3 - LA Connections EBR'!AJ45)</f>
        <v>110877</v>
      </c>
      <c r="AI46" s="941">
        <f t="shared" si="51"/>
        <v>60320.334000000032</v>
      </c>
      <c r="AJ46" s="940">
        <f t="shared" si="58"/>
        <v>15080</v>
      </c>
      <c r="AK46" s="943">
        <f t="shared" si="39"/>
        <v>487417.11522561382</v>
      </c>
      <c r="AL46" s="943">
        <f t="shared" si="52"/>
        <v>41550</v>
      </c>
      <c r="AN46" s="935">
        <v>-241.68375</v>
      </c>
      <c r="AO46" s="935">
        <f t="shared" si="53"/>
        <v>-429.06600000000009</v>
      </c>
      <c r="AP46" s="935">
        <f t="shared" si="54"/>
        <v>-187.38225000000008</v>
      </c>
    </row>
    <row r="47" spans="1:42" s="917" customFormat="1" ht="16.149999999999999" customHeight="1">
      <c r="A47" s="904">
        <v>41</v>
      </c>
      <c r="B47" s="905" t="s">
        <v>113</v>
      </c>
      <c r="C47" s="906">
        <f>+'Table 8 Membership 2.1.14'!L43</f>
        <v>0</v>
      </c>
      <c r="D47" s="907">
        <f>'Table 3 Levels 1&amp;2'!AL44*90%</f>
        <v>2962.0753717244829</v>
      </c>
      <c r="E47" s="907">
        <f t="shared" si="40"/>
        <v>0</v>
      </c>
      <c r="F47" s="908">
        <f>'Table 3A Level 3'!C46*90%</f>
        <v>797.59800000000007</v>
      </c>
      <c r="G47" s="908">
        <f t="shared" si="41"/>
        <v>0</v>
      </c>
      <c r="H47" s="909">
        <f t="shared" si="42"/>
        <v>0</v>
      </c>
      <c r="I47" s="908">
        <f>(('Table 3 Levels 1&amp;2'!AL44-D47)+('Table 3A Level 3'!C46-F47))*C47</f>
        <v>0</v>
      </c>
      <c r="J47" s="908">
        <f>'[1]Oct midyear LA Conn'!K44</f>
        <v>7519.3467434489658</v>
      </c>
      <c r="K47" s="908">
        <f>'[1]Feb midyear LA Conn'!K44</f>
        <v>1879.8366858622414</v>
      </c>
      <c r="L47" s="910">
        <f t="shared" si="43"/>
        <v>9399.1834293112079</v>
      </c>
      <c r="M47" s="909">
        <f t="shared" si="44"/>
        <v>9399.1834293112079</v>
      </c>
      <c r="N47" s="908">
        <f t="shared" si="45"/>
        <v>-23.497958573278019</v>
      </c>
      <c r="O47" s="909">
        <f t="shared" si="55"/>
        <v>9375.6854707379298</v>
      </c>
      <c r="P47" s="911">
        <v>0</v>
      </c>
      <c r="Q47" s="909">
        <f t="shared" si="46"/>
        <v>9375.6854707379298</v>
      </c>
      <c r="R47" s="908">
        <f>'[2]Table 5C3 - LA Connections EBR'!T46+'[14]Table 5C3 - LA Connections EBR'!T46+(6*'[20]Table 5C3 - LA Connections EBR'!T46)</f>
        <v>2250</v>
      </c>
      <c r="S47" s="908">
        <f t="shared" si="47"/>
        <v>7125.6854707379298</v>
      </c>
      <c r="T47" s="909">
        <f t="shared" si="56"/>
        <v>1781</v>
      </c>
      <c r="U47" s="909">
        <f t="shared" si="32"/>
        <v>9375.6854707379298</v>
      </c>
      <c r="V47" s="912">
        <f>'Table 5C1A-Madison Prep'!U47*90%</f>
        <v>8479.8000000000011</v>
      </c>
      <c r="W47" s="913">
        <f t="shared" si="57"/>
        <v>0</v>
      </c>
      <c r="X47" s="906">
        <f>'[1]Oct midyear LA Conn'!E44</f>
        <v>2</v>
      </c>
      <c r="Y47" s="914">
        <f t="shared" si="48"/>
        <v>16959.600000000002</v>
      </c>
      <c r="Z47" s="1005">
        <f>'[1]Feb midyear LA Conn'!E44</f>
        <v>1</v>
      </c>
      <c r="AA47" s="914">
        <f t="shared" si="34"/>
        <v>4239.9000000000005</v>
      </c>
      <c r="AB47" s="915">
        <f t="shared" si="35"/>
        <v>21199.500000000004</v>
      </c>
      <c r="AC47" s="913">
        <f t="shared" si="36"/>
        <v>21199.500000000004</v>
      </c>
      <c r="AD47" s="914">
        <f t="shared" si="37"/>
        <v>-52.998750000000008</v>
      </c>
      <c r="AE47" s="913">
        <f t="shared" si="49"/>
        <v>21146.501250000005</v>
      </c>
      <c r="AF47" s="912">
        <v>0</v>
      </c>
      <c r="AG47" s="913">
        <f t="shared" si="50"/>
        <v>21146.501250000005</v>
      </c>
      <c r="AH47" s="914">
        <f>'[2]Table 5C3 - LA Connections EBR'!AJ46+'[14]Table 5C3 - LA Connections EBR'!AJ46+(6*'[20]Table 5C3 - LA Connections EBR'!AJ46)</f>
        <v>4566</v>
      </c>
      <c r="AI47" s="914">
        <f t="shared" si="51"/>
        <v>16580.501250000005</v>
      </c>
      <c r="AJ47" s="913">
        <f t="shared" si="58"/>
        <v>4145</v>
      </c>
      <c r="AK47" s="916">
        <f t="shared" si="39"/>
        <v>30522.186720737933</v>
      </c>
      <c r="AL47" s="916">
        <f t="shared" si="52"/>
        <v>5926</v>
      </c>
      <c r="AN47" s="908">
        <v>0</v>
      </c>
      <c r="AO47" s="908">
        <f t="shared" si="53"/>
        <v>-52.998750000000008</v>
      </c>
      <c r="AP47" s="908">
        <f t="shared" si="54"/>
        <v>-52.998750000000008</v>
      </c>
    </row>
    <row r="48" spans="1:42" s="917" customFormat="1" ht="16.149999999999999" customHeight="1">
      <c r="A48" s="918">
        <v>42</v>
      </c>
      <c r="B48" s="919" t="s">
        <v>114</v>
      </c>
      <c r="C48" s="920">
        <f>+'Table 8 Membership 2.1.14'!L44</f>
        <v>5</v>
      </c>
      <c r="D48" s="921">
        <f>'Table 3 Levels 1&amp;2'!AL45*90%</f>
        <v>4602.2469976231814</v>
      </c>
      <c r="E48" s="921">
        <f t="shared" si="40"/>
        <v>23011.234988115906</v>
      </c>
      <c r="F48" s="922">
        <f>'Table 3A Level 3'!C47*90%</f>
        <v>480.85199999999998</v>
      </c>
      <c r="G48" s="922">
        <f t="shared" si="41"/>
        <v>2404.2599999999998</v>
      </c>
      <c r="H48" s="923">
        <f t="shared" si="42"/>
        <v>25415.494988115905</v>
      </c>
      <c r="I48" s="922">
        <f>(('Table 3 Levels 1&amp;2'!AL45-D48)+('Table 3A Level 3'!C47-F48))*C48</f>
        <v>2823.943887568435</v>
      </c>
      <c r="J48" s="922">
        <f>'[1]Oct midyear LA Conn'!K45</f>
        <v>10166.197995246363</v>
      </c>
      <c r="K48" s="922">
        <f>'[1]Feb midyear LA Conn'!K45</f>
        <v>5083.0989976231813</v>
      </c>
      <c r="L48" s="924">
        <f t="shared" si="43"/>
        <v>15249.296992869544</v>
      </c>
      <c r="M48" s="923">
        <f t="shared" si="44"/>
        <v>40664.79198098545</v>
      </c>
      <c r="N48" s="922">
        <f t="shared" si="45"/>
        <v>-101.66197995246362</v>
      </c>
      <c r="O48" s="923">
        <f t="shared" si="55"/>
        <v>40563.130001032987</v>
      </c>
      <c r="P48" s="925">
        <v>0</v>
      </c>
      <c r="Q48" s="923">
        <f t="shared" si="46"/>
        <v>40563.130001032987</v>
      </c>
      <c r="R48" s="922">
        <f>'[2]Table 5C3 - LA Connections EBR'!T47+'[14]Table 5C3 - LA Connections EBR'!T47+(6*'[20]Table 5C3 - LA Connections EBR'!T47)</f>
        <v>22988</v>
      </c>
      <c r="S48" s="922">
        <f t="shared" si="47"/>
        <v>17575.130001032987</v>
      </c>
      <c r="T48" s="923">
        <f t="shared" si="56"/>
        <v>4394</v>
      </c>
      <c r="U48" s="923">
        <f t="shared" si="32"/>
        <v>40563.130001032987</v>
      </c>
      <c r="V48" s="926">
        <f>'Table 5C1A-Madison Prep'!U48*90%</f>
        <v>3073.5</v>
      </c>
      <c r="W48" s="927">
        <f t="shared" si="57"/>
        <v>15367.5</v>
      </c>
      <c r="X48" s="920">
        <f>'[1]Oct midyear LA Conn'!E45</f>
        <v>2</v>
      </c>
      <c r="Y48" s="928">
        <f t="shared" si="48"/>
        <v>6147</v>
      </c>
      <c r="Z48" s="1006">
        <f>'[1]Feb midyear LA Conn'!E45</f>
        <v>2</v>
      </c>
      <c r="AA48" s="928">
        <f t="shared" si="34"/>
        <v>3073.5</v>
      </c>
      <c r="AB48" s="929">
        <f t="shared" si="35"/>
        <v>9220.5</v>
      </c>
      <c r="AC48" s="927">
        <f t="shared" si="36"/>
        <v>24588</v>
      </c>
      <c r="AD48" s="928">
        <f t="shared" si="37"/>
        <v>-61.47</v>
      </c>
      <c r="AE48" s="927">
        <f t="shared" si="49"/>
        <v>24526.53</v>
      </c>
      <c r="AF48" s="926">
        <v>0</v>
      </c>
      <c r="AG48" s="927">
        <f t="shared" si="50"/>
        <v>24526.53</v>
      </c>
      <c r="AH48" s="928">
        <f>'[2]Table 5C3 - LA Connections EBR'!AJ47+'[14]Table 5C3 - LA Connections EBR'!AJ47+(6*'[20]Table 5C3 - LA Connections EBR'!AJ47)</f>
        <v>14562</v>
      </c>
      <c r="AI48" s="928">
        <f t="shared" si="51"/>
        <v>9964.5299999999988</v>
      </c>
      <c r="AJ48" s="927">
        <f t="shared" si="58"/>
        <v>2491</v>
      </c>
      <c r="AK48" s="930">
        <f t="shared" si="39"/>
        <v>65089.660001032986</v>
      </c>
      <c r="AL48" s="930">
        <f t="shared" si="52"/>
        <v>6885</v>
      </c>
      <c r="AN48" s="922">
        <v>-40.252500000000005</v>
      </c>
      <c r="AO48" s="922">
        <f t="shared" si="53"/>
        <v>-61.47</v>
      </c>
      <c r="AP48" s="922">
        <f t="shared" si="54"/>
        <v>-21.217499999999994</v>
      </c>
    </row>
    <row r="49" spans="1:42" s="917" customFormat="1" ht="16.149999999999999" customHeight="1">
      <c r="A49" s="918">
        <v>43</v>
      </c>
      <c r="B49" s="919" t="s">
        <v>115</v>
      </c>
      <c r="C49" s="920">
        <f>+'Table 8 Membership 2.1.14'!L45</f>
        <v>6</v>
      </c>
      <c r="D49" s="921">
        <f>'Table 3 Levels 1&amp;2'!AL46*90%</f>
        <v>5209.8694848535233</v>
      </c>
      <c r="E49" s="921">
        <f t="shared" si="40"/>
        <v>31259.21690912114</v>
      </c>
      <c r="F49" s="922">
        <f>'Table 3A Level 3'!C48*90%</f>
        <v>517.14899999999989</v>
      </c>
      <c r="G49" s="922">
        <f t="shared" si="41"/>
        <v>3102.8939999999993</v>
      </c>
      <c r="H49" s="923">
        <f t="shared" si="42"/>
        <v>34362.11090912114</v>
      </c>
      <c r="I49" s="922">
        <f>(('Table 3 Levels 1&amp;2'!AL46-D49)+('Table 3A Level 3'!C48-F49))*C49</f>
        <v>3818.0123232356805</v>
      </c>
      <c r="J49" s="922">
        <f>'[1]Oct midyear LA Conn'!K46</f>
        <v>11454.036969707046</v>
      </c>
      <c r="K49" s="922">
        <f>'[1]Feb midyear LA Conn'!K46</f>
        <v>-5727.0184848535228</v>
      </c>
      <c r="L49" s="924">
        <f t="shared" si="43"/>
        <v>5727.0184848535228</v>
      </c>
      <c r="M49" s="923">
        <f t="shared" si="44"/>
        <v>40089.129393974661</v>
      </c>
      <c r="N49" s="922">
        <f t="shared" si="45"/>
        <v>-100.22282348493665</v>
      </c>
      <c r="O49" s="923">
        <f t="shared" si="55"/>
        <v>39988.906570489722</v>
      </c>
      <c r="P49" s="925">
        <v>0</v>
      </c>
      <c r="Q49" s="923">
        <f t="shared" si="46"/>
        <v>39988.906570489722</v>
      </c>
      <c r="R49" s="922">
        <f>'[2]Table 5C3 - LA Connections EBR'!T48+'[14]Table 5C3 - LA Connections EBR'!T48+(6*'[20]Table 5C3 - LA Connections EBR'!T48)</f>
        <v>33754</v>
      </c>
      <c r="S49" s="922">
        <f t="shared" si="47"/>
        <v>6234.9065704897221</v>
      </c>
      <c r="T49" s="923">
        <f t="shared" si="56"/>
        <v>1559</v>
      </c>
      <c r="U49" s="923">
        <f t="shared" si="32"/>
        <v>39988.906570489722</v>
      </c>
      <c r="V49" s="926">
        <f>'Table 5C1A-Madison Prep'!U49*90%</f>
        <v>3000.6</v>
      </c>
      <c r="W49" s="927">
        <f t="shared" si="57"/>
        <v>18003.599999999999</v>
      </c>
      <c r="X49" s="920">
        <f>'[1]Oct midyear LA Conn'!E46</f>
        <v>2</v>
      </c>
      <c r="Y49" s="928">
        <f t="shared" si="48"/>
        <v>6001.2</v>
      </c>
      <c r="Z49" s="1006">
        <f>'[1]Feb midyear LA Conn'!E46</f>
        <v>-2</v>
      </c>
      <c r="AA49" s="928">
        <f t="shared" si="34"/>
        <v>-3000.6</v>
      </c>
      <c r="AB49" s="929">
        <f t="shared" si="35"/>
        <v>3000.6</v>
      </c>
      <c r="AC49" s="927">
        <f t="shared" si="36"/>
        <v>21004.199999999997</v>
      </c>
      <c r="AD49" s="928">
        <f t="shared" si="37"/>
        <v>-52.510499999999993</v>
      </c>
      <c r="AE49" s="927">
        <f t="shared" si="49"/>
        <v>20951.689499999997</v>
      </c>
      <c r="AF49" s="926">
        <v>0</v>
      </c>
      <c r="AG49" s="927">
        <f t="shared" si="50"/>
        <v>20951.689499999997</v>
      </c>
      <c r="AH49" s="928">
        <f>'[2]Table 5C3 - LA Connections EBR'!AJ48+'[14]Table 5C3 - LA Connections EBR'!AJ48+(6*'[20]Table 5C3 - LA Connections EBR'!AJ48)</f>
        <v>17000</v>
      </c>
      <c r="AI49" s="928">
        <f t="shared" si="51"/>
        <v>3951.6894999999968</v>
      </c>
      <c r="AJ49" s="927">
        <f t="shared" si="58"/>
        <v>988</v>
      </c>
      <c r="AK49" s="930">
        <f t="shared" si="39"/>
        <v>60940.596070489715</v>
      </c>
      <c r="AL49" s="930">
        <f t="shared" si="52"/>
        <v>2547</v>
      </c>
      <c r="AN49" s="922">
        <v>-43.267499999999998</v>
      </c>
      <c r="AO49" s="922">
        <f t="shared" si="53"/>
        <v>-52.510499999999993</v>
      </c>
      <c r="AP49" s="922">
        <f t="shared" si="54"/>
        <v>-9.242999999999995</v>
      </c>
    </row>
    <row r="50" spans="1:42" s="917" customFormat="1" ht="16.149999999999999" customHeight="1">
      <c r="A50" s="918">
        <v>44</v>
      </c>
      <c r="B50" s="919" t="s">
        <v>116</v>
      </c>
      <c r="C50" s="920">
        <f>+'Table 8 Membership 2.1.14'!L46</f>
        <v>6</v>
      </c>
      <c r="D50" s="921">
        <f>'Table 3 Levels 1&amp;2'!AL47*90%</f>
        <v>4407.8362336638329</v>
      </c>
      <c r="E50" s="921">
        <f t="shared" si="40"/>
        <v>26447.017401982997</v>
      </c>
      <c r="F50" s="922">
        <f>'Table 3A Level 3'!C49*90%</f>
        <v>596.84400000000005</v>
      </c>
      <c r="G50" s="922">
        <f t="shared" si="41"/>
        <v>3581.0640000000003</v>
      </c>
      <c r="H50" s="923">
        <f t="shared" si="42"/>
        <v>30028.081401983</v>
      </c>
      <c r="I50" s="922">
        <f>(('Table 3 Levels 1&amp;2'!AL47-D50)+('Table 3A Level 3'!C49-F50))*C50</f>
        <v>3336.4534891092185</v>
      </c>
      <c r="J50" s="922">
        <f>'[1]Oct midyear LA Conn'!K47</f>
        <v>30028.081401983</v>
      </c>
      <c r="K50" s="922">
        <f>'[1]Feb midyear LA Conn'!K47</f>
        <v>-2502.3401168319165</v>
      </c>
      <c r="L50" s="924">
        <f t="shared" si="43"/>
        <v>27525.741285151082</v>
      </c>
      <c r="M50" s="923">
        <f t="shared" si="44"/>
        <v>57553.822687134081</v>
      </c>
      <c r="N50" s="922">
        <f t="shared" si="45"/>
        <v>-143.88455671783521</v>
      </c>
      <c r="O50" s="923">
        <f t="shared" si="55"/>
        <v>57409.938130416245</v>
      </c>
      <c r="P50" s="925">
        <v>0</v>
      </c>
      <c r="Q50" s="923">
        <f t="shared" si="46"/>
        <v>57409.938130416245</v>
      </c>
      <c r="R50" s="922">
        <f>'[2]Table 5C3 - LA Connections EBR'!T49+'[14]Table 5C3 - LA Connections EBR'!T49+(6*'[20]Table 5C3 - LA Connections EBR'!T49)</f>
        <v>36397</v>
      </c>
      <c r="S50" s="922">
        <f t="shared" si="47"/>
        <v>21012.938130416245</v>
      </c>
      <c r="T50" s="923">
        <f t="shared" si="56"/>
        <v>5253</v>
      </c>
      <c r="U50" s="923">
        <f t="shared" si="32"/>
        <v>57409.938130416245</v>
      </c>
      <c r="V50" s="926">
        <f>'Table 5C1A-Madison Prep'!U50*90%</f>
        <v>3228.3</v>
      </c>
      <c r="W50" s="927">
        <f t="shared" si="57"/>
        <v>19369.800000000003</v>
      </c>
      <c r="X50" s="920">
        <f>'[1]Oct midyear LA Conn'!E47</f>
        <v>6</v>
      </c>
      <c r="Y50" s="928">
        <f t="shared" si="48"/>
        <v>19369.800000000003</v>
      </c>
      <c r="Z50" s="1006">
        <f>'[1]Feb midyear LA Conn'!E47</f>
        <v>-1</v>
      </c>
      <c r="AA50" s="928">
        <f t="shared" si="34"/>
        <v>-1614.15</v>
      </c>
      <c r="AB50" s="929">
        <f t="shared" si="35"/>
        <v>17755.650000000001</v>
      </c>
      <c r="AC50" s="927">
        <f t="shared" si="36"/>
        <v>37125.450000000004</v>
      </c>
      <c r="AD50" s="928">
        <f t="shared" si="37"/>
        <v>-92.813625000000016</v>
      </c>
      <c r="AE50" s="927">
        <f t="shared" si="49"/>
        <v>37032.636375000002</v>
      </c>
      <c r="AF50" s="926">
        <v>0</v>
      </c>
      <c r="AG50" s="927">
        <f t="shared" si="50"/>
        <v>37032.636375000002</v>
      </c>
      <c r="AH50" s="928">
        <f>'[2]Table 5C3 - LA Connections EBR'!AJ49+'[14]Table 5C3 - LA Connections EBR'!AJ49+(6*'[20]Table 5C3 - LA Connections EBR'!AJ49)</f>
        <v>24343</v>
      </c>
      <c r="AI50" s="928">
        <f t="shared" si="51"/>
        <v>12689.636375000002</v>
      </c>
      <c r="AJ50" s="927">
        <f t="shared" si="58"/>
        <v>3172</v>
      </c>
      <c r="AK50" s="930">
        <f t="shared" si="39"/>
        <v>94442.57450541624</v>
      </c>
      <c r="AL50" s="930">
        <f t="shared" si="52"/>
        <v>8425</v>
      </c>
      <c r="AN50" s="922">
        <v>-50.206499999999998</v>
      </c>
      <c r="AO50" s="922">
        <f t="shared" si="53"/>
        <v>-92.813625000000016</v>
      </c>
      <c r="AP50" s="922">
        <f t="shared" si="54"/>
        <v>-42.607125000000018</v>
      </c>
    </row>
    <row r="51" spans="1:42" s="917" customFormat="1" ht="16.149999999999999" customHeight="1">
      <c r="A51" s="931">
        <v>45</v>
      </c>
      <c r="B51" s="932" t="s">
        <v>117</v>
      </c>
      <c r="C51" s="933">
        <f>+'Table 8 Membership 2.1.14'!L47</f>
        <v>13</v>
      </c>
      <c r="D51" s="934">
        <f>'Table 3 Levels 1&amp;2'!AL48*90%</f>
        <v>1848.6425249522192</v>
      </c>
      <c r="E51" s="934">
        <f t="shared" si="40"/>
        <v>24032.35282437885</v>
      </c>
      <c r="F51" s="935">
        <f>'Table 3A Level 3'!C50*90%</f>
        <v>678.56400000000019</v>
      </c>
      <c r="G51" s="935">
        <f t="shared" si="41"/>
        <v>8821.3320000000022</v>
      </c>
      <c r="H51" s="936">
        <f t="shared" si="42"/>
        <v>32853.684824378855</v>
      </c>
      <c r="I51" s="935">
        <f>(('Table 3 Levels 1&amp;2'!AL48-D51)+('Table 3A Level 3'!C50-F51))*C51</f>
        <v>3650.4094249309815</v>
      </c>
      <c r="J51" s="935">
        <f>'[1]Oct midyear LA Conn'!K48</f>
        <v>15163.239149713316</v>
      </c>
      <c r="K51" s="935">
        <f>'[1]Feb midyear LA Conn'!K48</f>
        <v>3790.8097874283289</v>
      </c>
      <c r="L51" s="937">
        <f t="shared" si="43"/>
        <v>18954.048937141644</v>
      </c>
      <c r="M51" s="936">
        <f t="shared" si="44"/>
        <v>51807.733761520503</v>
      </c>
      <c r="N51" s="935">
        <f t="shared" si="45"/>
        <v>-129.51933440380125</v>
      </c>
      <c r="O51" s="936">
        <f t="shared" si="55"/>
        <v>51678.214427116705</v>
      </c>
      <c r="P51" s="938">
        <v>0</v>
      </c>
      <c r="Q51" s="936">
        <f t="shared" si="46"/>
        <v>51678.214427116705</v>
      </c>
      <c r="R51" s="935">
        <f>'[2]Table 5C3 - LA Connections EBR'!T50+'[14]Table 5C3 - LA Connections EBR'!T50+(6*'[20]Table 5C3 - LA Connections EBR'!T50)</f>
        <v>33076</v>
      </c>
      <c r="S51" s="935">
        <f t="shared" si="47"/>
        <v>18602.214427116705</v>
      </c>
      <c r="T51" s="936">
        <f t="shared" si="56"/>
        <v>4651</v>
      </c>
      <c r="U51" s="936">
        <f t="shared" si="32"/>
        <v>51678.214427116705</v>
      </c>
      <c r="V51" s="939">
        <f>'Table 5C1A-Madison Prep'!U51*90%</f>
        <v>10920.6</v>
      </c>
      <c r="W51" s="940">
        <f t="shared" si="57"/>
        <v>141967.80000000002</v>
      </c>
      <c r="X51" s="933">
        <f>'[1]Oct midyear LA Conn'!E48</f>
        <v>6</v>
      </c>
      <c r="Y51" s="941">
        <f t="shared" si="48"/>
        <v>65523.600000000006</v>
      </c>
      <c r="Z51" s="1007">
        <f>'[1]Feb midyear LA Conn'!E48</f>
        <v>3</v>
      </c>
      <c r="AA51" s="941">
        <f t="shared" si="34"/>
        <v>16380.900000000001</v>
      </c>
      <c r="AB51" s="942">
        <f t="shared" si="35"/>
        <v>81904.5</v>
      </c>
      <c r="AC51" s="940">
        <f t="shared" si="36"/>
        <v>223872.30000000002</v>
      </c>
      <c r="AD51" s="941">
        <f t="shared" si="37"/>
        <v>-559.6807500000001</v>
      </c>
      <c r="AE51" s="940">
        <f t="shared" si="49"/>
        <v>223312.61925000002</v>
      </c>
      <c r="AF51" s="939">
        <v>0</v>
      </c>
      <c r="AG51" s="940">
        <f t="shared" si="50"/>
        <v>223312.61925000002</v>
      </c>
      <c r="AH51" s="941">
        <f>'[2]Table 5C3 - LA Connections EBR'!AJ50+'[14]Table 5C3 - LA Connections EBR'!AJ50+(6*'[20]Table 5C3 - LA Connections EBR'!AJ50)</f>
        <v>143344</v>
      </c>
      <c r="AI51" s="941">
        <f t="shared" si="51"/>
        <v>79968.619250000018</v>
      </c>
      <c r="AJ51" s="940">
        <f t="shared" si="58"/>
        <v>19992</v>
      </c>
      <c r="AK51" s="943">
        <f t="shared" si="39"/>
        <v>274990.83367711672</v>
      </c>
      <c r="AL51" s="943">
        <f t="shared" si="52"/>
        <v>24643</v>
      </c>
      <c r="AN51" s="935">
        <v>-355.94325000000003</v>
      </c>
      <c r="AO51" s="935">
        <f t="shared" si="53"/>
        <v>-559.6807500000001</v>
      </c>
      <c r="AP51" s="935">
        <f t="shared" si="54"/>
        <v>-203.73750000000007</v>
      </c>
    </row>
    <row r="52" spans="1:42" s="917" customFormat="1" ht="16.149999999999999" customHeight="1">
      <c r="A52" s="904">
        <v>46</v>
      </c>
      <c r="B52" s="905" t="s">
        <v>118</v>
      </c>
      <c r="C52" s="906">
        <f>+'Table 8 Membership 2.1.14'!L48</f>
        <v>6</v>
      </c>
      <c r="D52" s="907">
        <f>'Table 3 Levels 1&amp;2'!AL49*90%</f>
        <v>5446.0930021279546</v>
      </c>
      <c r="E52" s="907">
        <f t="shared" si="40"/>
        <v>32676.558012767728</v>
      </c>
      <c r="F52" s="908">
        <f>'Table 3A Level 3'!C51*90%</f>
        <v>655.25400000000002</v>
      </c>
      <c r="G52" s="908">
        <f t="shared" si="41"/>
        <v>3931.5240000000003</v>
      </c>
      <c r="H52" s="909">
        <f t="shared" si="42"/>
        <v>36608.082012767729</v>
      </c>
      <c r="I52" s="908">
        <f>(('Table 3 Levels 1&amp;2'!AL49-D52)+('Table 3A Level 3'!C51-F52))*C52</f>
        <v>4067.5646680853006</v>
      </c>
      <c r="J52" s="908">
        <f>'[1]Oct midyear LA Conn'!K49</f>
        <v>24405.388008511818</v>
      </c>
      <c r="K52" s="908">
        <f>'[1]Feb midyear LA Conn'!K49</f>
        <v>6101.3470021279545</v>
      </c>
      <c r="L52" s="910">
        <f t="shared" si="43"/>
        <v>30506.735010639772</v>
      </c>
      <c r="M52" s="909">
        <f t="shared" si="44"/>
        <v>67114.817023407493</v>
      </c>
      <c r="N52" s="908">
        <f t="shared" si="45"/>
        <v>-167.78704255851875</v>
      </c>
      <c r="O52" s="909">
        <f t="shared" si="55"/>
        <v>66947.02998084898</v>
      </c>
      <c r="P52" s="911">
        <v>0</v>
      </c>
      <c r="Q52" s="909">
        <f t="shared" si="46"/>
        <v>66947.02998084898</v>
      </c>
      <c r="R52" s="908">
        <f>'[2]Table 5C3 - LA Connections EBR'!T51+'[14]Table 5C3 - LA Connections EBR'!T51+(6*'[20]Table 5C3 - LA Connections EBR'!T51)</f>
        <v>31869</v>
      </c>
      <c r="S52" s="908">
        <f t="shared" si="47"/>
        <v>35078.02998084898</v>
      </c>
      <c r="T52" s="909">
        <f t="shared" si="56"/>
        <v>8770</v>
      </c>
      <c r="U52" s="909">
        <f t="shared" si="32"/>
        <v>66947.02998084898</v>
      </c>
      <c r="V52" s="912">
        <f>'Table 5C1A-Madison Prep'!U52*90%</f>
        <v>2298.6</v>
      </c>
      <c r="W52" s="913">
        <f t="shared" si="57"/>
        <v>13791.599999999999</v>
      </c>
      <c r="X52" s="906">
        <f>'[1]Oct midyear LA Conn'!E49</f>
        <v>4</v>
      </c>
      <c r="Y52" s="914">
        <f t="shared" si="48"/>
        <v>9194.4</v>
      </c>
      <c r="Z52" s="1005">
        <f>'[1]Feb midyear LA Conn'!E49</f>
        <v>2</v>
      </c>
      <c r="AA52" s="914">
        <f t="shared" si="34"/>
        <v>2298.6</v>
      </c>
      <c r="AB52" s="915">
        <f t="shared" si="35"/>
        <v>11493</v>
      </c>
      <c r="AC52" s="913">
        <f t="shared" si="36"/>
        <v>25284.6</v>
      </c>
      <c r="AD52" s="914">
        <f t="shared" si="37"/>
        <v>-63.211500000000001</v>
      </c>
      <c r="AE52" s="913">
        <f t="shared" si="49"/>
        <v>25221.388499999997</v>
      </c>
      <c r="AF52" s="912">
        <v>0</v>
      </c>
      <c r="AG52" s="913">
        <f t="shared" si="50"/>
        <v>25221.388499999997</v>
      </c>
      <c r="AH52" s="914">
        <f>'[2]Table 5C3 - LA Connections EBR'!AJ51+'[14]Table 5C3 - LA Connections EBR'!AJ51+(6*'[20]Table 5C3 - LA Connections EBR'!AJ51)</f>
        <v>12755</v>
      </c>
      <c r="AI52" s="914">
        <f t="shared" si="51"/>
        <v>12466.388499999997</v>
      </c>
      <c r="AJ52" s="913">
        <f t="shared" si="58"/>
        <v>3117</v>
      </c>
      <c r="AK52" s="916">
        <f t="shared" si="39"/>
        <v>92168.418480848981</v>
      </c>
      <c r="AL52" s="916">
        <f t="shared" si="52"/>
        <v>11887</v>
      </c>
      <c r="AN52" s="908">
        <v>-36.625500000000002</v>
      </c>
      <c r="AO52" s="908">
        <f t="shared" si="53"/>
        <v>-63.211500000000001</v>
      </c>
      <c r="AP52" s="908">
        <f t="shared" si="54"/>
        <v>-26.585999999999999</v>
      </c>
    </row>
    <row r="53" spans="1:42" s="917" customFormat="1" ht="16.149999999999999" customHeight="1">
      <c r="A53" s="918">
        <v>47</v>
      </c>
      <c r="B53" s="919" t="s">
        <v>119</v>
      </c>
      <c r="C53" s="920">
        <f>+'Table 8 Membership 2.1.14'!L49</f>
        <v>1</v>
      </c>
      <c r="D53" s="921">
        <f>'Table 3 Levels 1&amp;2'!AL50*90%</f>
        <v>2271.7336731882065</v>
      </c>
      <c r="E53" s="921">
        <f t="shared" si="40"/>
        <v>2271.7336731882065</v>
      </c>
      <c r="F53" s="922">
        <f>'Table 3A Level 3'!C52*90%</f>
        <v>819.68399999999997</v>
      </c>
      <c r="G53" s="922">
        <f t="shared" si="41"/>
        <v>819.68399999999997</v>
      </c>
      <c r="H53" s="923">
        <f t="shared" si="42"/>
        <v>3091.4176731882062</v>
      </c>
      <c r="I53" s="922">
        <f>(('Table 3 Levels 1&amp;2'!AL50-D53)+('Table 3A Level 3'!C52-F53))*C53</f>
        <v>343.4908525764672</v>
      </c>
      <c r="J53" s="922">
        <f>'[1]Oct midyear LA Conn'!K50</f>
        <v>3091.4176731882062</v>
      </c>
      <c r="K53" s="922">
        <f>'[1]Feb midyear LA Conn'!K50</f>
        <v>0</v>
      </c>
      <c r="L53" s="924">
        <f t="shared" si="43"/>
        <v>3091.4176731882062</v>
      </c>
      <c r="M53" s="923">
        <f t="shared" si="44"/>
        <v>6182.8353463764124</v>
      </c>
      <c r="N53" s="922">
        <f t="shared" si="45"/>
        <v>-15.457088365941031</v>
      </c>
      <c r="O53" s="923">
        <f t="shared" si="55"/>
        <v>6167.3782580104717</v>
      </c>
      <c r="P53" s="925">
        <v>0</v>
      </c>
      <c r="Q53" s="923">
        <f t="shared" si="46"/>
        <v>6167.3782580104717</v>
      </c>
      <c r="R53" s="922">
        <f>'[2]Table 5C3 - LA Connections EBR'!T52+'[14]Table 5C3 - LA Connections EBR'!T52+(6*'[20]Table 5C3 - LA Connections EBR'!T52)</f>
        <v>7718</v>
      </c>
      <c r="S53" s="922">
        <f t="shared" si="47"/>
        <v>-1550.6217419895283</v>
      </c>
      <c r="T53" s="923">
        <f t="shared" si="56"/>
        <v>-388</v>
      </c>
      <c r="U53" s="923">
        <f t="shared" si="32"/>
        <v>6167.3782580104717</v>
      </c>
      <c r="V53" s="926">
        <f>'Table 5C1A-Madison Prep'!U53*90%</f>
        <v>10355.4</v>
      </c>
      <c r="W53" s="927">
        <f t="shared" si="57"/>
        <v>10355.4</v>
      </c>
      <c r="X53" s="920">
        <f>'[1]Oct midyear LA Conn'!E50</f>
        <v>1</v>
      </c>
      <c r="Y53" s="928">
        <f t="shared" si="48"/>
        <v>10355.4</v>
      </c>
      <c r="Z53" s="1006">
        <f>'[1]Feb midyear LA Conn'!E50</f>
        <v>0</v>
      </c>
      <c r="AA53" s="928">
        <f t="shared" si="34"/>
        <v>0</v>
      </c>
      <c r="AB53" s="929">
        <f t="shared" si="35"/>
        <v>10355.4</v>
      </c>
      <c r="AC53" s="927">
        <f t="shared" si="36"/>
        <v>20710.8</v>
      </c>
      <c r="AD53" s="928">
        <f t="shared" si="37"/>
        <v>-51.777000000000001</v>
      </c>
      <c r="AE53" s="927">
        <f t="shared" si="49"/>
        <v>20659.023000000001</v>
      </c>
      <c r="AF53" s="926">
        <v>0</v>
      </c>
      <c r="AG53" s="927">
        <f t="shared" si="50"/>
        <v>20659.023000000001</v>
      </c>
      <c r="AH53" s="928">
        <f>'[2]Table 5C3 - LA Connections EBR'!AJ52+'[14]Table 5C3 - LA Connections EBR'!AJ52+(6*'[20]Table 5C3 - LA Connections EBR'!AJ52)</f>
        <v>26291</v>
      </c>
      <c r="AI53" s="928">
        <f t="shared" si="51"/>
        <v>-5631.976999999999</v>
      </c>
      <c r="AJ53" s="927">
        <f t="shared" si="58"/>
        <v>-1408</v>
      </c>
      <c r="AK53" s="930">
        <f t="shared" si="39"/>
        <v>26826.401258010472</v>
      </c>
      <c r="AL53" s="930">
        <f t="shared" si="52"/>
        <v>-1796</v>
      </c>
      <c r="AN53" s="922">
        <v>-26.327249999999999</v>
      </c>
      <c r="AO53" s="922">
        <f t="shared" si="53"/>
        <v>-51.777000000000001</v>
      </c>
      <c r="AP53" s="922">
        <f t="shared" si="54"/>
        <v>-25.449750000000002</v>
      </c>
    </row>
    <row r="54" spans="1:42" s="917" customFormat="1" ht="16.149999999999999" customHeight="1">
      <c r="A54" s="918">
        <v>48</v>
      </c>
      <c r="B54" s="919" t="s">
        <v>144</v>
      </c>
      <c r="C54" s="920">
        <f>+'Table 8 Membership 2.1.14'!L50</f>
        <v>28</v>
      </c>
      <c r="D54" s="921">
        <f>'Table 3 Levels 1&amp;2'!AL51*90%</f>
        <v>3585.022427682065</v>
      </c>
      <c r="E54" s="921">
        <f t="shared" si="40"/>
        <v>100380.62797509781</v>
      </c>
      <c r="F54" s="922">
        <f>'Table 3A Level 3'!C53*90%</f>
        <v>783.96300000000008</v>
      </c>
      <c r="G54" s="922">
        <f t="shared" si="41"/>
        <v>21950.964000000004</v>
      </c>
      <c r="H54" s="923">
        <f t="shared" si="42"/>
        <v>122331.59197509782</v>
      </c>
      <c r="I54" s="922">
        <f>(('Table 3 Levels 1&amp;2'!AL51-D54)+('Table 3A Level 3'!C53-F54))*C54</f>
        <v>13592.399108344194</v>
      </c>
      <c r="J54" s="922">
        <f>'[1]Oct midyear LA Conn'!K51</f>
        <v>-4368.9854276820652</v>
      </c>
      <c r="K54" s="922">
        <f>'[1]Feb midyear LA Conn'!K51</f>
        <v>-6553.4781415230973</v>
      </c>
      <c r="L54" s="924">
        <f t="shared" si="43"/>
        <v>-10922.463569205163</v>
      </c>
      <c r="M54" s="923">
        <f t="shared" si="44"/>
        <v>111409.12840589265</v>
      </c>
      <c r="N54" s="922">
        <f t="shared" si="45"/>
        <v>-278.52282101473162</v>
      </c>
      <c r="O54" s="923">
        <f t="shared" si="55"/>
        <v>111130.60558487792</v>
      </c>
      <c r="P54" s="925">
        <v>0</v>
      </c>
      <c r="Q54" s="923">
        <f t="shared" si="46"/>
        <v>111130.60558487792</v>
      </c>
      <c r="R54" s="922">
        <f>'[2]Table 5C3 - LA Connections EBR'!T53+'[14]Table 5C3 - LA Connections EBR'!T53+(6*'[20]Table 5C3 - LA Connections EBR'!T53)</f>
        <v>67641</v>
      </c>
      <c r="S54" s="922">
        <f t="shared" si="47"/>
        <v>43489.605584877922</v>
      </c>
      <c r="T54" s="923">
        <f t="shared" si="56"/>
        <v>10872</v>
      </c>
      <c r="U54" s="923">
        <f t="shared" si="32"/>
        <v>111130.60558487792</v>
      </c>
      <c r="V54" s="926">
        <f>'Table 5C1A-Madison Prep'!U54*90%</f>
        <v>6144.3</v>
      </c>
      <c r="W54" s="927">
        <f t="shared" si="57"/>
        <v>172040.4</v>
      </c>
      <c r="X54" s="920">
        <f>'[1]Oct midyear LA Conn'!E51</f>
        <v>-1</v>
      </c>
      <c r="Y54" s="928">
        <f t="shared" si="48"/>
        <v>-6144.3</v>
      </c>
      <c r="Z54" s="1006">
        <f>'[1]Feb midyear LA Conn'!E51</f>
        <v>-3</v>
      </c>
      <c r="AA54" s="928">
        <f t="shared" si="34"/>
        <v>-9216.4500000000007</v>
      </c>
      <c r="AB54" s="929">
        <f t="shared" si="35"/>
        <v>-15360.75</v>
      </c>
      <c r="AC54" s="927">
        <f t="shared" si="36"/>
        <v>156679.65</v>
      </c>
      <c r="AD54" s="928">
        <f t="shared" si="37"/>
        <v>-391.69912499999998</v>
      </c>
      <c r="AE54" s="927">
        <f t="shared" si="49"/>
        <v>156287.95087499998</v>
      </c>
      <c r="AF54" s="926">
        <v>0</v>
      </c>
      <c r="AG54" s="927">
        <f t="shared" si="50"/>
        <v>156287.95087499998</v>
      </c>
      <c r="AH54" s="928">
        <f>'[2]Table 5C3 - LA Connections EBR'!AJ53+'[14]Table 5C3 - LA Connections EBR'!AJ53+(6*'[20]Table 5C3 - LA Connections EBR'!AJ53)</f>
        <v>102249</v>
      </c>
      <c r="AI54" s="928">
        <f t="shared" si="51"/>
        <v>54038.95087499998</v>
      </c>
      <c r="AJ54" s="927">
        <f t="shared" si="58"/>
        <v>13510</v>
      </c>
      <c r="AK54" s="930">
        <f t="shared" si="39"/>
        <v>267418.55645987787</v>
      </c>
      <c r="AL54" s="930">
        <f t="shared" si="52"/>
        <v>24382</v>
      </c>
      <c r="AN54" s="922">
        <v>-462.29400000000004</v>
      </c>
      <c r="AO54" s="922">
        <f t="shared" si="53"/>
        <v>-391.69912499999998</v>
      </c>
      <c r="AP54" s="922">
        <f t="shared" si="54"/>
        <v>70.594875000000059</v>
      </c>
    </row>
    <row r="55" spans="1:42" s="917" customFormat="1" ht="16.149999999999999" customHeight="1">
      <c r="A55" s="918">
        <v>49</v>
      </c>
      <c r="B55" s="919" t="s">
        <v>120</v>
      </c>
      <c r="C55" s="920">
        <f>+'Table 8 Membership 2.1.14'!L51</f>
        <v>35</v>
      </c>
      <c r="D55" s="921">
        <f>'Table 3 Levels 1&amp;2'!AL52*90%</f>
        <v>4496.2879784093275</v>
      </c>
      <c r="E55" s="921">
        <f t="shared" si="40"/>
        <v>157370.07924432645</v>
      </c>
      <c r="F55" s="922">
        <f>'Table 3A Level 3'!C54*90%</f>
        <v>516.99599999999998</v>
      </c>
      <c r="G55" s="922">
        <f t="shared" si="41"/>
        <v>18094.86</v>
      </c>
      <c r="H55" s="923">
        <f t="shared" si="42"/>
        <v>175464.93924432644</v>
      </c>
      <c r="I55" s="922">
        <f>(('Table 3 Levels 1&amp;2'!AL52-D55)+('Table 3A Level 3'!C54-F55))*C55</f>
        <v>19496.104360480706</v>
      </c>
      <c r="J55" s="922">
        <f>'[1]Oct midyear LA Conn'!K52</f>
        <v>45119.555805683951</v>
      </c>
      <c r="K55" s="922">
        <f>'[1]Feb midyear LA Conn'!K52</f>
        <v>7519.9259676139918</v>
      </c>
      <c r="L55" s="924">
        <f t="shared" si="43"/>
        <v>52639.481773297943</v>
      </c>
      <c r="M55" s="923">
        <f t="shared" si="44"/>
        <v>228104.42101762438</v>
      </c>
      <c r="N55" s="922">
        <f t="shared" si="45"/>
        <v>-570.26105254406093</v>
      </c>
      <c r="O55" s="923">
        <f t="shared" si="55"/>
        <v>227534.15996508033</v>
      </c>
      <c r="P55" s="925">
        <v>0</v>
      </c>
      <c r="Q55" s="923">
        <f t="shared" si="46"/>
        <v>227534.15996508033</v>
      </c>
      <c r="R55" s="922">
        <f>'[2]Table 5C3 - LA Connections EBR'!T54+'[14]Table 5C3 - LA Connections EBR'!T54+(6*'[20]Table 5C3 - LA Connections EBR'!T54)</f>
        <v>120777</v>
      </c>
      <c r="S55" s="922">
        <f t="shared" si="47"/>
        <v>106757.15996508033</v>
      </c>
      <c r="T55" s="923">
        <f t="shared" si="56"/>
        <v>26689</v>
      </c>
      <c r="U55" s="923">
        <f t="shared" si="32"/>
        <v>227534.15996508033</v>
      </c>
      <c r="V55" s="926">
        <f>'Table 5C1A-Madison Prep'!U55*90%</f>
        <v>2159.1</v>
      </c>
      <c r="W55" s="927">
        <f t="shared" si="57"/>
        <v>75568.5</v>
      </c>
      <c r="X55" s="920">
        <f>'[1]Oct midyear LA Conn'!E52</f>
        <v>9</v>
      </c>
      <c r="Y55" s="928">
        <f t="shared" si="48"/>
        <v>19431.899999999998</v>
      </c>
      <c r="Z55" s="1006">
        <f>'[1]Feb midyear LA Conn'!E52</f>
        <v>3</v>
      </c>
      <c r="AA55" s="928">
        <f t="shared" si="34"/>
        <v>3238.6499999999996</v>
      </c>
      <c r="AB55" s="929">
        <f t="shared" si="35"/>
        <v>22670.549999999996</v>
      </c>
      <c r="AC55" s="927">
        <f t="shared" si="36"/>
        <v>98239.049999999988</v>
      </c>
      <c r="AD55" s="928">
        <f t="shared" si="37"/>
        <v>-245.59762499999997</v>
      </c>
      <c r="AE55" s="927">
        <f t="shared" si="49"/>
        <v>97993.452374999993</v>
      </c>
      <c r="AF55" s="926">
        <v>0</v>
      </c>
      <c r="AG55" s="927">
        <f t="shared" si="50"/>
        <v>97993.452374999993</v>
      </c>
      <c r="AH55" s="928">
        <f>'[2]Table 5C3 - LA Connections EBR'!AJ54+'[14]Table 5C3 - LA Connections EBR'!AJ54+(6*'[20]Table 5C3 - LA Connections EBR'!AJ54)</f>
        <v>51016</v>
      </c>
      <c r="AI55" s="928">
        <f t="shared" si="51"/>
        <v>46977.452374999993</v>
      </c>
      <c r="AJ55" s="927">
        <f t="shared" si="58"/>
        <v>11744</v>
      </c>
      <c r="AK55" s="930">
        <f t="shared" si="39"/>
        <v>325527.61234008032</v>
      </c>
      <c r="AL55" s="930">
        <f t="shared" si="52"/>
        <v>38433</v>
      </c>
      <c r="AN55" s="922">
        <v>-185.29875000000004</v>
      </c>
      <c r="AO55" s="922">
        <f t="shared" si="53"/>
        <v>-245.59762499999997</v>
      </c>
      <c r="AP55" s="922">
        <f t="shared" si="54"/>
        <v>-60.298874999999924</v>
      </c>
    </row>
    <row r="56" spans="1:42" s="917" customFormat="1" ht="16.149999999999999" customHeight="1">
      <c r="A56" s="931">
        <v>50</v>
      </c>
      <c r="B56" s="932" t="s">
        <v>121</v>
      </c>
      <c r="C56" s="933">
        <f>+'Table 8 Membership 2.1.14'!L52</f>
        <v>6</v>
      </c>
      <c r="D56" s="934">
        <f>'Table 3 Levels 1&amp;2'!AL53*90%</f>
        <v>4659.9203450431514</v>
      </c>
      <c r="E56" s="934">
        <f t="shared" si="40"/>
        <v>27959.522070258907</v>
      </c>
      <c r="F56" s="935">
        <f>'Table 3A Level 3'!C55*90%</f>
        <v>571.01400000000001</v>
      </c>
      <c r="G56" s="935">
        <f t="shared" si="41"/>
        <v>3426.0839999999998</v>
      </c>
      <c r="H56" s="936">
        <f t="shared" si="42"/>
        <v>31385.606070258906</v>
      </c>
      <c r="I56" s="935">
        <f>(('Table 3 Levels 1&amp;2'!AL53-D56)+('Table 3A Level 3'!C55-F56))*C56</f>
        <v>3487.2895633620983</v>
      </c>
      <c r="J56" s="935">
        <f>'[1]Oct midyear LA Conn'!K53</f>
        <v>36616.540415302065</v>
      </c>
      <c r="K56" s="935">
        <f>'[1]Feb midyear LA Conn'!K53</f>
        <v>-2615.4671725215758</v>
      </c>
      <c r="L56" s="937">
        <f t="shared" si="43"/>
        <v>34001.073242780491</v>
      </c>
      <c r="M56" s="936">
        <f t="shared" si="44"/>
        <v>65386.679313039393</v>
      </c>
      <c r="N56" s="935">
        <f t="shared" si="45"/>
        <v>-163.46669828259849</v>
      </c>
      <c r="O56" s="936">
        <f t="shared" si="55"/>
        <v>65223.212614756791</v>
      </c>
      <c r="P56" s="938">
        <v>0</v>
      </c>
      <c r="Q56" s="936">
        <f t="shared" si="46"/>
        <v>65223.212614756791</v>
      </c>
      <c r="R56" s="935">
        <f>'[2]Table 5C3 - LA Connections EBR'!T55+'[14]Table 5C3 - LA Connections EBR'!T55+(6*'[20]Table 5C3 - LA Connections EBR'!T55)</f>
        <v>30833</v>
      </c>
      <c r="S56" s="935">
        <f t="shared" si="47"/>
        <v>34390.212614756791</v>
      </c>
      <c r="T56" s="936">
        <f t="shared" si="56"/>
        <v>8598</v>
      </c>
      <c r="U56" s="936">
        <f t="shared" si="32"/>
        <v>65223.212614756791</v>
      </c>
      <c r="V56" s="939">
        <f>'Table 5C1A-Madison Prep'!U56*90%</f>
        <v>3071.7000000000003</v>
      </c>
      <c r="W56" s="940">
        <f t="shared" si="57"/>
        <v>18430.2</v>
      </c>
      <c r="X56" s="933">
        <f>'[1]Oct midyear LA Conn'!E53</f>
        <v>7</v>
      </c>
      <c r="Y56" s="941">
        <f t="shared" si="48"/>
        <v>21501.9</v>
      </c>
      <c r="Z56" s="1007">
        <f>'[1]Feb midyear LA Conn'!E53</f>
        <v>-1</v>
      </c>
      <c r="AA56" s="941">
        <f t="shared" si="34"/>
        <v>-1535.8500000000001</v>
      </c>
      <c r="AB56" s="942">
        <f t="shared" si="35"/>
        <v>19966.050000000003</v>
      </c>
      <c r="AC56" s="940">
        <f t="shared" si="36"/>
        <v>38396.25</v>
      </c>
      <c r="AD56" s="941">
        <f t="shared" si="37"/>
        <v>-95.990625000000009</v>
      </c>
      <c r="AE56" s="940">
        <f t="shared" si="49"/>
        <v>38300.259375000001</v>
      </c>
      <c r="AF56" s="939">
        <v>0</v>
      </c>
      <c r="AG56" s="940">
        <f t="shared" si="50"/>
        <v>38300.259375000001</v>
      </c>
      <c r="AH56" s="941">
        <f>'[2]Table 5C3 - LA Connections EBR'!AJ55+'[14]Table 5C3 - LA Connections EBR'!AJ55+(6*'[20]Table 5C3 - LA Connections EBR'!AJ55)</f>
        <v>18621</v>
      </c>
      <c r="AI56" s="941">
        <f t="shared" si="51"/>
        <v>19679.259375000001</v>
      </c>
      <c r="AJ56" s="940">
        <f t="shared" si="58"/>
        <v>4920</v>
      </c>
      <c r="AK56" s="943">
        <f t="shared" si="39"/>
        <v>103523.4719897568</v>
      </c>
      <c r="AL56" s="943">
        <f t="shared" si="52"/>
        <v>13518</v>
      </c>
      <c r="AN56" s="935">
        <v>-47.384999999999998</v>
      </c>
      <c r="AO56" s="935">
        <f t="shared" si="53"/>
        <v>-95.990625000000009</v>
      </c>
      <c r="AP56" s="935">
        <f t="shared" si="54"/>
        <v>-48.605625000000011</v>
      </c>
    </row>
    <row r="57" spans="1:42" s="917" customFormat="1" ht="16.149999999999999" customHeight="1">
      <c r="A57" s="904">
        <v>51</v>
      </c>
      <c r="B57" s="905" t="s">
        <v>122</v>
      </c>
      <c r="C57" s="906">
        <f>+'Table 8 Membership 2.1.14'!L53</f>
        <v>4</v>
      </c>
      <c r="D57" s="907">
        <f>'Table 3 Levels 1&amp;2'!AL54*90%</f>
        <v>3738.7735741961096</v>
      </c>
      <c r="E57" s="907">
        <f t="shared" si="40"/>
        <v>14955.094296784438</v>
      </c>
      <c r="F57" s="908">
        <f>'Table 3A Level 3'!C56*90%</f>
        <v>635.99400000000003</v>
      </c>
      <c r="G57" s="908">
        <f t="shared" si="41"/>
        <v>2543.9760000000001</v>
      </c>
      <c r="H57" s="909">
        <f t="shared" si="42"/>
        <v>17499.070296784437</v>
      </c>
      <c r="I57" s="908">
        <f>(('Table 3 Levels 1&amp;2'!AL54-D57)+('Table 3A Level 3'!C56-F57))*C57</f>
        <v>1944.3411440871596</v>
      </c>
      <c r="J57" s="908">
        <f>'[1]Oct midyear LA Conn'!K54</f>
        <v>43747.675741961095</v>
      </c>
      <c r="K57" s="908">
        <f>'[1]Feb midyear LA Conn'!K54</f>
        <v>2187.3837870980547</v>
      </c>
      <c r="L57" s="910">
        <f t="shared" si="43"/>
        <v>45935.059529059152</v>
      </c>
      <c r="M57" s="909">
        <f t="shared" si="44"/>
        <v>63434.129825843585</v>
      </c>
      <c r="N57" s="908">
        <f t="shared" si="45"/>
        <v>-158.58532456460895</v>
      </c>
      <c r="O57" s="909">
        <f t="shared" si="55"/>
        <v>63275.544501278979</v>
      </c>
      <c r="P57" s="911">
        <v>0</v>
      </c>
      <c r="Q57" s="909">
        <f t="shared" si="46"/>
        <v>63275.544501278979</v>
      </c>
      <c r="R57" s="908">
        <f>'[2]Table 5C3 - LA Connections EBR'!T56+'[14]Table 5C3 - LA Connections EBR'!T56+(6*'[20]Table 5C3 - LA Connections EBR'!T56)</f>
        <v>34014</v>
      </c>
      <c r="S57" s="908">
        <f t="shared" si="47"/>
        <v>29261.544501278979</v>
      </c>
      <c r="T57" s="909">
        <f t="shared" si="56"/>
        <v>7315</v>
      </c>
      <c r="U57" s="909">
        <f t="shared" si="32"/>
        <v>63275.544501278979</v>
      </c>
      <c r="V57" s="912">
        <f>'Table 5C1A-Madison Prep'!U57*90%</f>
        <v>4060.8</v>
      </c>
      <c r="W57" s="913">
        <f t="shared" si="57"/>
        <v>16243.2</v>
      </c>
      <c r="X57" s="906">
        <f>'[1]Oct midyear LA Conn'!E54</f>
        <v>10</v>
      </c>
      <c r="Y57" s="914">
        <f t="shared" si="48"/>
        <v>40608</v>
      </c>
      <c r="Z57" s="1005">
        <f>'[1]Feb midyear LA Conn'!E54</f>
        <v>1</v>
      </c>
      <c r="AA57" s="914">
        <f t="shared" si="34"/>
        <v>2030.4</v>
      </c>
      <c r="AB57" s="915">
        <f t="shared" si="35"/>
        <v>42638.400000000001</v>
      </c>
      <c r="AC57" s="913">
        <f t="shared" si="36"/>
        <v>58881.600000000006</v>
      </c>
      <c r="AD57" s="914">
        <f t="shared" si="37"/>
        <v>-147.20400000000001</v>
      </c>
      <c r="AE57" s="913">
        <f t="shared" si="49"/>
        <v>58734.396000000008</v>
      </c>
      <c r="AF57" s="912">
        <v>0</v>
      </c>
      <c r="AG57" s="913">
        <f t="shared" si="50"/>
        <v>58734.396000000008</v>
      </c>
      <c r="AH57" s="914">
        <f>'[2]Table 5C3 - LA Connections EBR'!AJ56+'[14]Table 5C3 - LA Connections EBR'!AJ56+(6*'[20]Table 5C3 - LA Connections EBR'!AJ56)</f>
        <v>32168</v>
      </c>
      <c r="AI57" s="914">
        <f t="shared" si="51"/>
        <v>26566.396000000008</v>
      </c>
      <c r="AJ57" s="913">
        <f t="shared" si="58"/>
        <v>6642</v>
      </c>
      <c r="AK57" s="916">
        <f t="shared" si="39"/>
        <v>122009.94050127899</v>
      </c>
      <c r="AL57" s="916">
        <f t="shared" si="52"/>
        <v>13957</v>
      </c>
      <c r="AN57" s="908">
        <v>-41.373000000000005</v>
      </c>
      <c r="AO57" s="908">
        <f t="shared" si="53"/>
        <v>-147.20400000000001</v>
      </c>
      <c r="AP57" s="908">
        <f t="shared" si="54"/>
        <v>-105.831</v>
      </c>
    </row>
    <row r="58" spans="1:42" s="917" customFormat="1" ht="16.149999999999999" customHeight="1">
      <c r="A58" s="918">
        <v>52</v>
      </c>
      <c r="B58" s="919" t="s">
        <v>123</v>
      </c>
      <c r="C58" s="920">
        <f>+'Table 8 Membership 2.1.14'!L54</f>
        <v>100</v>
      </c>
      <c r="D58" s="921">
        <f>'Table 3 Levels 1&amp;2'!AL55*90%</f>
        <v>4556.0471260705353</v>
      </c>
      <c r="E58" s="921">
        <f t="shared" si="40"/>
        <v>455604.71260705352</v>
      </c>
      <c r="F58" s="922">
        <f>'Table 3A Level 3'!C57*90%</f>
        <v>592.53300000000002</v>
      </c>
      <c r="G58" s="922">
        <f t="shared" si="41"/>
        <v>59253.3</v>
      </c>
      <c r="H58" s="923">
        <f t="shared" si="42"/>
        <v>514858.0126070535</v>
      </c>
      <c r="I58" s="922">
        <f>(('Table 3 Levels 1&amp;2'!AL55-D58)+('Table 3A Level 3'!C57-F58))*C58</f>
        <v>57206.445845228198</v>
      </c>
      <c r="J58" s="922">
        <f>'[1]Oct midyear LA Conn'!K55</f>
        <v>118417.34289962232</v>
      </c>
      <c r="K58" s="922">
        <f>'[1]Feb midyear LA Conn'!K55</f>
        <v>30891.480756423214</v>
      </c>
      <c r="L58" s="924">
        <f t="shared" si="43"/>
        <v>149308.82365604554</v>
      </c>
      <c r="M58" s="923">
        <f t="shared" si="44"/>
        <v>664166.83626309899</v>
      </c>
      <c r="N58" s="922">
        <f t="shared" si="45"/>
        <v>-1660.4170906577474</v>
      </c>
      <c r="O58" s="923">
        <f t="shared" si="55"/>
        <v>662506.41917244124</v>
      </c>
      <c r="P58" s="925">
        <v>0</v>
      </c>
      <c r="Q58" s="923">
        <f t="shared" si="46"/>
        <v>662506.41917244124</v>
      </c>
      <c r="R58" s="922">
        <f>'[2]Table 5C3 - LA Connections EBR'!T57+'[14]Table 5C3 - LA Connections EBR'!T57+(6*'[20]Table 5C3 - LA Connections EBR'!T57)</f>
        <v>369739</v>
      </c>
      <c r="S58" s="922">
        <f t="shared" si="47"/>
        <v>292767.41917244124</v>
      </c>
      <c r="T58" s="923">
        <f t="shared" si="56"/>
        <v>73192</v>
      </c>
      <c r="U58" s="923">
        <f t="shared" si="32"/>
        <v>662506.41917244124</v>
      </c>
      <c r="V58" s="926">
        <f>'Table 5C1A-Madison Prep'!U58*90%</f>
        <v>4760.1000000000004</v>
      </c>
      <c r="W58" s="927">
        <f t="shared" si="57"/>
        <v>476010.00000000006</v>
      </c>
      <c r="X58" s="920">
        <f>'[1]Oct midyear LA Conn'!E55</f>
        <v>23</v>
      </c>
      <c r="Y58" s="928">
        <f t="shared" si="48"/>
        <v>109482.3</v>
      </c>
      <c r="Z58" s="1006">
        <f>'[1]Feb midyear LA Conn'!E55</f>
        <v>12</v>
      </c>
      <c r="AA58" s="928">
        <f t="shared" si="34"/>
        <v>28560.600000000002</v>
      </c>
      <c r="AB58" s="929">
        <f t="shared" si="35"/>
        <v>138042.9</v>
      </c>
      <c r="AC58" s="927">
        <f t="shared" si="36"/>
        <v>614052.9</v>
      </c>
      <c r="AD58" s="928">
        <f t="shared" si="37"/>
        <v>-1535.1322500000001</v>
      </c>
      <c r="AE58" s="927">
        <f t="shared" si="49"/>
        <v>612517.76775</v>
      </c>
      <c r="AF58" s="926">
        <v>0</v>
      </c>
      <c r="AG58" s="927">
        <f t="shared" si="50"/>
        <v>612517.76775</v>
      </c>
      <c r="AH58" s="928">
        <f>'[2]Table 5C3 - LA Connections EBR'!AJ57+'[14]Table 5C3 - LA Connections EBR'!AJ57+(6*'[20]Table 5C3 - LA Connections EBR'!AJ57)</f>
        <v>336865</v>
      </c>
      <c r="AI58" s="928">
        <f t="shared" si="51"/>
        <v>275652.76775</v>
      </c>
      <c r="AJ58" s="927">
        <f t="shared" si="58"/>
        <v>68913</v>
      </c>
      <c r="AK58" s="930">
        <f t="shared" si="39"/>
        <v>1275024.1869224412</v>
      </c>
      <c r="AL58" s="930">
        <f t="shared" si="52"/>
        <v>142105</v>
      </c>
      <c r="AN58" s="922">
        <v>-1172.7</v>
      </c>
      <c r="AO58" s="922">
        <f t="shared" si="53"/>
        <v>-1535.1322500000001</v>
      </c>
      <c r="AP58" s="922">
        <f t="shared" si="54"/>
        <v>-362.43225000000007</v>
      </c>
    </row>
    <row r="59" spans="1:42" s="917" customFormat="1" ht="16.149999999999999" customHeight="1">
      <c r="A59" s="918">
        <v>53</v>
      </c>
      <c r="B59" s="919" t="s">
        <v>124</v>
      </c>
      <c r="C59" s="920">
        <f>+'Table 8 Membership 2.1.14'!L55</f>
        <v>67</v>
      </c>
      <c r="D59" s="921">
        <f>'Table 3 Levels 1&amp;2'!AL56*90%</f>
        <v>4554.1357374640938</v>
      </c>
      <c r="E59" s="921">
        <f t="shared" si="40"/>
        <v>305127.09441009432</v>
      </c>
      <c r="F59" s="922">
        <f>'Table 3A Level 3'!C58*90%</f>
        <v>620.76600000000008</v>
      </c>
      <c r="G59" s="922">
        <f t="shared" si="41"/>
        <v>41591.322000000007</v>
      </c>
      <c r="H59" s="923">
        <f t="shared" si="42"/>
        <v>346718.4164100943</v>
      </c>
      <c r="I59" s="922">
        <f>(('Table 3 Levels 1&amp;2'!AL56-D59)+('Table 3A Level 3'!C58-F59))*C59</f>
        <v>38524.268490010436</v>
      </c>
      <c r="J59" s="922">
        <f>'[1]Oct midyear LA Conn'!K56</f>
        <v>51749.017374640935</v>
      </c>
      <c r="K59" s="922">
        <f>'[1]Feb midyear LA Conn'!K56</f>
        <v>-5174.9017374640935</v>
      </c>
      <c r="L59" s="924">
        <f t="shared" si="43"/>
        <v>46574.115637176845</v>
      </c>
      <c r="M59" s="923">
        <f t="shared" si="44"/>
        <v>393292.53204727115</v>
      </c>
      <c r="N59" s="922">
        <f t="shared" si="45"/>
        <v>-983.23133011817788</v>
      </c>
      <c r="O59" s="923">
        <f t="shared" si="55"/>
        <v>392309.30071715295</v>
      </c>
      <c r="P59" s="925">
        <v>0</v>
      </c>
      <c r="Q59" s="923">
        <f t="shared" si="46"/>
        <v>392309.30071715295</v>
      </c>
      <c r="R59" s="922">
        <f>'[2]Table 5C3 - LA Connections EBR'!T58+'[14]Table 5C3 - LA Connections EBR'!T58+(6*'[20]Table 5C3 - LA Connections EBR'!T58)</f>
        <v>272988</v>
      </c>
      <c r="S59" s="922">
        <f t="shared" si="47"/>
        <v>119321.30071715295</v>
      </c>
      <c r="T59" s="923">
        <f t="shared" si="56"/>
        <v>29830</v>
      </c>
      <c r="U59" s="923">
        <f t="shared" si="32"/>
        <v>392309.30071715295</v>
      </c>
      <c r="V59" s="926">
        <f>'Table 5C1A-Madison Prep'!U59*90%</f>
        <v>1890.9</v>
      </c>
      <c r="W59" s="927">
        <f t="shared" si="57"/>
        <v>126690.3</v>
      </c>
      <c r="X59" s="920">
        <f>'[1]Oct midyear LA Conn'!E56</f>
        <v>10</v>
      </c>
      <c r="Y59" s="928">
        <f t="shared" si="48"/>
        <v>18909</v>
      </c>
      <c r="Z59" s="1006">
        <f>'[1]Feb midyear LA Conn'!E56</f>
        <v>-2</v>
      </c>
      <c r="AA59" s="928">
        <f t="shared" si="34"/>
        <v>-1890.9</v>
      </c>
      <c r="AB59" s="929">
        <f t="shared" si="35"/>
        <v>17018.099999999999</v>
      </c>
      <c r="AC59" s="927">
        <f t="shared" si="36"/>
        <v>143708.4</v>
      </c>
      <c r="AD59" s="928">
        <f t="shared" si="37"/>
        <v>-359.27100000000002</v>
      </c>
      <c r="AE59" s="927">
        <f t="shared" si="49"/>
        <v>143349.12899999999</v>
      </c>
      <c r="AF59" s="926">
        <v>0</v>
      </c>
      <c r="AG59" s="927">
        <f t="shared" si="50"/>
        <v>143349.12899999999</v>
      </c>
      <c r="AH59" s="928">
        <f>'[2]Table 5C3 - LA Connections EBR'!AJ58+'[14]Table 5C3 - LA Connections EBR'!AJ58+(6*'[20]Table 5C3 - LA Connections EBR'!AJ58)</f>
        <v>97519</v>
      </c>
      <c r="AI59" s="928">
        <f t="shared" si="51"/>
        <v>45830.128999999986</v>
      </c>
      <c r="AJ59" s="927">
        <f t="shared" si="58"/>
        <v>11458</v>
      </c>
      <c r="AK59" s="930">
        <f t="shared" si="39"/>
        <v>535658.42971715296</v>
      </c>
      <c r="AL59" s="930">
        <f t="shared" si="52"/>
        <v>41288</v>
      </c>
      <c r="AN59" s="922">
        <v>-309.64050000000003</v>
      </c>
      <c r="AO59" s="922">
        <f t="shared" si="53"/>
        <v>-359.27100000000002</v>
      </c>
      <c r="AP59" s="922">
        <f t="shared" si="54"/>
        <v>-49.630499999999984</v>
      </c>
    </row>
    <row r="60" spans="1:42" s="917" customFormat="1" ht="16.149999999999999" customHeight="1">
      <c r="A60" s="918">
        <v>54</v>
      </c>
      <c r="B60" s="919" t="s">
        <v>125</v>
      </c>
      <c r="C60" s="920">
        <f>+'Table 8 Membership 2.1.14'!L56</f>
        <v>6</v>
      </c>
      <c r="D60" s="921">
        <f>'Table 3 Levels 1&amp;2'!AL57*90%</f>
        <v>5280.3718533465044</v>
      </c>
      <c r="E60" s="921">
        <f t="shared" si="40"/>
        <v>31682.231120079028</v>
      </c>
      <c r="F60" s="922">
        <f>'Table 3A Level 3'!C59*90%</f>
        <v>856.30500000000006</v>
      </c>
      <c r="G60" s="922">
        <f t="shared" si="41"/>
        <v>5137.83</v>
      </c>
      <c r="H60" s="923">
        <f t="shared" si="42"/>
        <v>36820.06112007903</v>
      </c>
      <c r="I60" s="922">
        <f>(('Table 3 Levels 1&amp;2'!AL57-D60)+('Table 3A Level 3'!C59-F60))*C60</f>
        <v>4091.1179022310016</v>
      </c>
      <c r="J60" s="922">
        <f>'[1]Oct midyear LA Conn'!K57</f>
        <v>24546.707413386019</v>
      </c>
      <c r="K60" s="922">
        <f>'[1]Feb midyear LA Conn'!K57</f>
        <v>0</v>
      </c>
      <c r="L60" s="924">
        <f t="shared" si="43"/>
        <v>24546.707413386019</v>
      </c>
      <c r="M60" s="923">
        <f t="shared" si="44"/>
        <v>61366.768533465045</v>
      </c>
      <c r="N60" s="922">
        <f t="shared" si="45"/>
        <v>-153.41692133366263</v>
      </c>
      <c r="O60" s="923">
        <f t="shared" si="55"/>
        <v>61213.351612131381</v>
      </c>
      <c r="P60" s="925">
        <v>0</v>
      </c>
      <c r="Q60" s="923">
        <f t="shared" si="46"/>
        <v>61213.351612131381</v>
      </c>
      <c r="R60" s="922">
        <f>'[2]Table 5C3 - LA Connections EBR'!T59+'[14]Table 5C3 - LA Connections EBR'!T59+(6*'[20]Table 5C3 - LA Connections EBR'!T59)</f>
        <v>28380</v>
      </c>
      <c r="S60" s="922">
        <f t="shared" si="47"/>
        <v>32833.351612131381</v>
      </c>
      <c r="T60" s="923">
        <f t="shared" si="56"/>
        <v>8208</v>
      </c>
      <c r="U60" s="923">
        <f t="shared" si="32"/>
        <v>61213.351612131381</v>
      </c>
      <c r="V60" s="926">
        <f>'Table 5C1A-Madison Prep'!U60*90%</f>
        <v>3735</v>
      </c>
      <c r="W60" s="927">
        <f t="shared" si="57"/>
        <v>22410</v>
      </c>
      <c r="X60" s="920">
        <f>'[1]Oct midyear LA Conn'!E57</f>
        <v>4</v>
      </c>
      <c r="Y60" s="928">
        <f t="shared" si="48"/>
        <v>14940</v>
      </c>
      <c r="Z60" s="1006">
        <f>'[1]Feb midyear LA Conn'!E57</f>
        <v>0</v>
      </c>
      <c r="AA60" s="928">
        <f t="shared" si="34"/>
        <v>0</v>
      </c>
      <c r="AB60" s="929">
        <f t="shared" si="35"/>
        <v>14940</v>
      </c>
      <c r="AC60" s="927">
        <f t="shared" si="36"/>
        <v>37350</v>
      </c>
      <c r="AD60" s="928">
        <f t="shared" si="37"/>
        <v>-93.375</v>
      </c>
      <c r="AE60" s="927">
        <f t="shared" si="49"/>
        <v>37256.625</v>
      </c>
      <c r="AF60" s="926">
        <v>0</v>
      </c>
      <c r="AG60" s="927">
        <f t="shared" si="50"/>
        <v>37256.625</v>
      </c>
      <c r="AH60" s="928">
        <f>'[2]Table 5C3 - LA Connections EBR'!AJ59+'[14]Table 5C3 - LA Connections EBR'!AJ59+(6*'[20]Table 5C3 - LA Connections EBR'!AJ59)</f>
        <v>17129</v>
      </c>
      <c r="AI60" s="928">
        <f t="shared" si="51"/>
        <v>20127.625</v>
      </c>
      <c r="AJ60" s="927">
        <f t="shared" si="58"/>
        <v>5032</v>
      </c>
      <c r="AK60" s="930">
        <f t="shared" si="39"/>
        <v>98469.976612131373</v>
      </c>
      <c r="AL60" s="930">
        <f t="shared" si="52"/>
        <v>13240</v>
      </c>
      <c r="AN60" s="922">
        <v>-55.566000000000003</v>
      </c>
      <c r="AO60" s="922">
        <f t="shared" si="53"/>
        <v>-93.375</v>
      </c>
      <c r="AP60" s="922">
        <f t="shared" si="54"/>
        <v>-37.808999999999997</v>
      </c>
    </row>
    <row r="61" spans="1:42" s="917" customFormat="1" ht="16.149999999999999" customHeight="1">
      <c r="A61" s="931">
        <v>55</v>
      </c>
      <c r="B61" s="932" t="s">
        <v>126</v>
      </c>
      <c r="C61" s="933">
        <f>+'Table 8 Membership 2.1.14'!L57</f>
        <v>31</v>
      </c>
      <c r="D61" s="934">
        <f>'Table 3 Levels 1&amp;2'!AL58*90%</f>
        <v>3840.1402942168634</v>
      </c>
      <c r="E61" s="934">
        <f t="shared" si="40"/>
        <v>119044.34912072276</v>
      </c>
      <c r="F61" s="935">
        <f>'Table 3A Level 3'!C60*90%</f>
        <v>715.62599999999998</v>
      </c>
      <c r="G61" s="935">
        <f t="shared" si="41"/>
        <v>22184.405999999999</v>
      </c>
      <c r="H61" s="936">
        <f t="shared" si="42"/>
        <v>141228.75512072275</v>
      </c>
      <c r="I61" s="935">
        <f>(('Table 3 Levels 1&amp;2'!AL58-D61)+('Table 3A Level 3'!C60-F61))*C61</f>
        <v>15692.083902302527</v>
      </c>
      <c r="J61" s="935">
        <f>'[1]Oct midyear LA Conn'!K58</f>
        <v>82003.793295903539</v>
      </c>
      <c r="K61" s="935">
        <f>'[1]Feb midyear LA Conn'!K58</f>
        <v>13667.29888265059</v>
      </c>
      <c r="L61" s="937">
        <f t="shared" si="43"/>
        <v>95671.092178554129</v>
      </c>
      <c r="M61" s="936">
        <f t="shared" si="44"/>
        <v>236899.84729927688</v>
      </c>
      <c r="N61" s="935">
        <f t="shared" si="45"/>
        <v>-592.24961824819218</v>
      </c>
      <c r="O61" s="936">
        <f t="shared" si="55"/>
        <v>236307.59768102868</v>
      </c>
      <c r="P61" s="938">
        <v>0</v>
      </c>
      <c r="Q61" s="936">
        <f t="shared" si="46"/>
        <v>236307.59768102868</v>
      </c>
      <c r="R61" s="935">
        <f>'[2]Table 5C3 - LA Connections EBR'!T60+'[14]Table 5C3 - LA Connections EBR'!T60+(6*'[20]Table 5C3 - LA Connections EBR'!T60)</f>
        <v>137708</v>
      </c>
      <c r="S61" s="935">
        <f t="shared" si="47"/>
        <v>98599.597681028681</v>
      </c>
      <c r="T61" s="936">
        <f t="shared" si="56"/>
        <v>24650</v>
      </c>
      <c r="U61" s="936">
        <f t="shared" si="32"/>
        <v>236307.59768102868</v>
      </c>
      <c r="V61" s="939">
        <f>'Table 5C1A-Madison Prep'!U61*90%</f>
        <v>3273.3</v>
      </c>
      <c r="W61" s="940">
        <f t="shared" si="57"/>
        <v>101472.3</v>
      </c>
      <c r="X61" s="933">
        <f>'[1]Oct midyear LA Conn'!E58</f>
        <v>18</v>
      </c>
      <c r="Y61" s="941">
        <f t="shared" si="48"/>
        <v>58919.4</v>
      </c>
      <c r="Z61" s="1007">
        <f>'[1]Feb midyear LA Conn'!E58</f>
        <v>6</v>
      </c>
      <c r="AA61" s="941">
        <f t="shared" si="34"/>
        <v>9819.9000000000015</v>
      </c>
      <c r="AB61" s="942">
        <f t="shared" si="35"/>
        <v>68739.3</v>
      </c>
      <c r="AC61" s="940">
        <f t="shared" si="36"/>
        <v>170211.6</v>
      </c>
      <c r="AD61" s="941">
        <f t="shared" si="37"/>
        <v>-425.529</v>
      </c>
      <c r="AE61" s="940">
        <f t="shared" si="49"/>
        <v>169786.071</v>
      </c>
      <c r="AF61" s="939">
        <v>0</v>
      </c>
      <c r="AG61" s="940">
        <f t="shared" si="50"/>
        <v>169786.071</v>
      </c>
      <c r="AH61" s="941">
        <f>'[2]Table 5C3 - LA Connections EBR'!AJ60+'[14]Table 5C3 - LA Connections EBR'!AJ60+(6*'[20]Table 5C3 - LA Connections EBR'!AJ60)</f>
        <v>96089</v>
      </c>
      <c r="AI61" s="941">
        <f t="shared" si="51"/>
        <v>73697.070999999996</v>
      </c>
      <c r="AJ61" s="940">
        <f t="shared" si="58"/>
        <v>18424</v>
      </c>
      <c r="AK61" s="943">
        <f t="shared" si="39"/>
        <v>406093.66868102865</v>
      </c>
      <c r="AL61" s="943">
        <f t="shared" si="52"/>
        <v>43074</v>
      </c>
      <c r="AN61" s="935">
        <v>-246.357</v>
      </c>
      <c r="AO61" s="935">
        <f t="shared" si="53"/>
        <v>-425.529</v>
      </c>
      <c r="AP61" s="935">
        <f t="shared" si="54"/>
        <v>-179.172</v>
      </c>
    </row>
    <row r="62" spans="1:42" s="917" customFormat="1" ht="16.149999999999999" customHeight="1">
      <c r="A62" s="904">
        <v>56</v>
      </c>
      <c r="B62" s="905" t="s">
        <v>127</v>
      </c>
      <c r="C62" s="906">
        <f>+'Table 8 Membership 2.1.14'!L58</f>
        <v>4</v>
      </c>
      <c r="D62" s="907">
        <f>'Table 3 Levels 1&amp;2'!AL59*90%</f>
        <v>4525.6418467459462</v>
      </c>
      <c r="E62" s="907">
        <f t="shared" si="40"/>
        <v>18102.567386983785</v>
      </c>
      <c r="F62" s="908">
        <f>'Table 3A Level 3'!C61*90%</f>
        <v>553.19400000000007</v>
      </c>
      <c r="G62" s="908">
        <f t="shared" si="41"/>
        <v>2212.7760000000003</v>
      </c>
      <c r="H62" s="909">
        <f t="shared" si="42"/>
        <v>20315.343386983786</v>
      </c>
      <c r="I62" s="908">
        <f>(('Table 3 Levels 1&amp;2'!AL59-D62)+('Table 3A Level 3'!C61-F62))*C62</f>
        <v>2257.2603763315296</v>
      </c>
      <c r="J62" s="908">
        <f>'[1]Oct midyear LA Conn'!K59</f>
        <v>5078.8358467459466</v>
      </c>
      <c r="K62" s="908">
        <f>'[1]Feb midyear LA Conn'!K59</f>
        <v>2539.4179233729733</v>
      </c>
      <c r="L62" s="910">
        <f t="shared" si="43"/>
        <v>7618.2537701189194</v>
      </c>
      <c r="M62" s="909">
        <f t="shared" si="44"/>
        <v>27933.597157102704</v>
      </c>
      <c r="N62" s="908">
        <f t="shared" si="45"/>
        <v>-69.833992892756768</v>
      </c>
      <c r="O62" s="909">
        <f t="shared" si="55"/>
        <v>27863.763164209948</v>
      </c>
      <c r="P62" s="911">
        <v>0</v>
      </c>
      <c r="Q62" s="909">
        <f t="shared" si="46"/>
        <v>27863.763164209948</v>
      </c>
      <c r="R62" s="908">
        <f>'[2]Table 5C3 - LA Connections EBR'!T61+'[14]Table 5C3 - LA Connections EBR'!T61+(6*'[20]Table 5C3 - LA Connections EBR'!T61)</f>
        <v>17101</v>
      </c>
      <c r="S62" s="908">
        <f t="shared" si="47"/>
        <v>10762.763164209948</v>
      </c>
      <c r="T62" s="909">
        <f t="shared" si="56"/>
        <v>2691</v>
      </c>
      <c r="U62" s="909">
        <f t="shared" si="32"/>
        <v>27863.763164209948</v>
      </c>
      <c r="V62" s="912">
        <f>'Table 5C1A-Madison Prep'!U62*90%</f>
        <v>2571.3000000000002</v>
      </c>
      <c r="W62" s="913">
        <f t="shared" si="57"/>
        <v>10285.200000000001</v>
      </c>
      <c r="X62" s="906">
        <f>'[1]Oct midyear LA Conn'!E59</f>
        <v>1</v>
      </c>
      <c r="Y62" s="914">
        <f t="shared" si="48"/>
        <v>2571.3000000000002</v>
      </c>
      <c r="Z62" s="1005">
        <f>'[1]Feb midyear LA Conn'!E59</f>
        <v>1</v>
      </c>
      <c r="AA62" s="914">
        <f t="shared" si="34"/>
        <v>1285.6500000000001</v>
      </c>
      <c r="AB62" s="915">
        <f t="shared" si="35"/>
        <v>3856.9500000000003</v>
      </c>
      <c r="AC62" s="913">
        <f t="shared" si="36"/>
        <v>14142.150000000001</v>
      </c>
      <c r="AD62" s="914">
        <f t="shared" si="37"/>
        <v>-35.355375000000002</v>
      </c>
      <c r="AE62" s="913">
        <f t="shared" si="49"/>
        <v>14106.794625000002</v>
      </c>
      <c r="AF62" s="912">
        <v>0</v>
      </c>
      <c r="AG62" s="913">
        <f t="shared" si="50"/>
        <v>14106.794625000002</v>
      </c>
      <c r="AH62" s="914">
        <f>'[2]Table 5C3 - LA Connections EBR'!AJ61+'[14]Table 5C3 - LA Connections EBR'!AJ61+(6*'[20]Table 5C3 - LA Connections EBR'!AJ61)</f>
        <v>8680</v>
      </c>
      <c r="AI62" s="914">
        <f t="shared" si="51"/>
        <v>5426.7946250000023</v>
      </c>
      <c r="AJ62" s="913">
        <f t="shared" si="58"/>
        <v>1357</v>
      </c>
      <c r="AK62" s="916">
        <f t="shared" si="39"/>
        <v>41970.557789209954</v>
      </c>
      <c r="AL62" s="916">
        <f t="shared" si="52"/>
        <v>4048</v>
      </c>
      <c r="AN62" s="908">
        <v>-25.785</v>
      </c>
      <c r="AO62" s="908">
        <f t="shared" si="53"/>
        <v>-35.355375000000002</v>
      </c>
      <c r="AP62" s="908">
        <f t="shared" si="54"/>
        <v>-9.5703750000000021</v>
      </c>
    </row>
    <row r="63" spans="1:42" s="917" customFormat="1" ht="16.149999999999999" customHeight="1">
      <c r="A63" s="918">
        <v>57</v>
      </c>
      <c r="B63" s="919" t="s">
        <v>128</v>
      </c>
      <c r="C63" s="920">
        <f>+'Table 8 Membership 2.1.14'!L59</f>
        <v>7</v>
      </c>
      <c r="D63" s="921">
        <f>'Table 3 Levels 1&amp;2'!AL60*90%</f>
        <v>4163.393068130762</v>
      </c>
      <c r="E63" s="921">
        <f t="shared" si="40"/>
        <v>29143.751476915335</v>
      </c>
      <c r="F63" s="922">
        <f>'Table 3A Level 3'!C62*90%</f>
        <v>688.05899999999997</v>
      </c>
      <c r="G63" s="922">
        <f t="shared" si="41"/>
        <v>4816.4129999999996</v>
      </c>
      <c r="H63" s="923">
        <f t="shared" si="42"/>
        <v>33960.164476915335</v>
      </c>
      <c r="I63" s="922">
        <f>(('Table 3 Levels 1&amp;2'!AL60-D63)+('Table 3A Level 3'!C62-F63))*C63</f>
        <v>3773.351608546147</v>
      </c>
      <c r="J63" s="922">
        <f>'[1]Oct midyear LA Conn'!K60</f>
        <v>4851.4520681307622</v>
      </c>
      <c r="K63" s="922">
        <f>'[1]Feb midyear LA Conn'!K60</f>
        <v>12128.630170326905</v>
      </c>
      <c r="L63" s="924">
        <f t="shared" si="43"/>
        <v>16980.082238457668</v>
      </c>
      <c r="M63" s="923">
        <f t="shared" si="44"/>
        <v>50940.246715373003</v>
      </c>
      <c r="N63" s="922">
        <f t="shared" si="45"/>
        <v>-127.3506167884325</v>
      </c>
      <c r="O63" s="923">
        <f t="shared" si="55"/>
        <v>50812.89609858457</v>
      </c>
      <c r="P63" s="925">
        <v>0</v>
      </c>
      <c r="Q63" s="923">
        <f t="shared" si="46"/>
        <v>50812.89609858457</v>
      </c>
      <c r="R63" s="922">
        <f>'[2]Table 5C3 - LA Connections EBR'!T62+'[14]Table 5C3 - LA Connections EBR'!T62+(6*'[20]Table 5C3 - LA Connections EBR'!T62)</f>
        <v>29096</v>
      </c>
      <c r="S63" s="922">
        <f t="shared" si="47"/>
        <v>21716.89609858457</v>
      </c>
      <c r="T63" s="923">
        <f t="shared" si="56"/>
        <v>5429</v>
      </c>
      <c r="U63" s="923">
        <f t="shared" si="32"/>
        <v>50812.89609858457</v>
      </c>
      <c r="V63" s="926">
        <f>'Table 5C1A-Madison Prep'!U63*90%</f>
        <v>3118.5</v>
      </c>
      <c r="W63" s="927">
        <f t="shared" si="57"/>
        <v>21829.5</v>
      </c>
      <c r="X63" s="920">
        <f>'[1]Oct midyear LA Conn'!E60</f>
        <v>1</v>
      </c>
      <c r="Y63" s="928">
        <f t="shared" si="48"/>
        <v>3118.5</v>
      </c>
      <c r="Z63" s="1006">
        <f>'[1]Feb midyear LA Conn'!E60</f>
        <v>5</v>
      </c>
      <c r="AA63" s="928">
        <f t="shared" si="34"/>
        <v>7796.25</v>
      </c>
      <c r="AB63" s="929">
        <f t="shared" si="35"/>
        <v>10914.75</v>
      </c>
      <c r="AC63" s="927">
        <f t="shared" si="36"/>
        <v>32744.25</v>
      </c>
      <c r="AD63" s="928">
        <f t="shared" si="37"/>
        <v>-81.860624999999999</v>
      </c>
      <c r="AE63" s="927">
        <f t="shared" si="49"/>
        <v>32662.389374999999</v>
      </c>
      <c r="AF63" s="926">
        <v>0</v>
      </c>
      <c r="AG63" s="927">
        <f t="shared" si="50"/>
        <v>32662.389374999999</v>
      </c>
      <c r="AH63" s="928">
        <f>'[2]Table 5C3 - LA Connections EBR'!AJ62+'[14]Table 5C3 - LA Connections EBR'!AJ62+(6*'[20]Table 5C3 - LA Connections EBR'!AJ62)</f>
        <v>18326</v>
      </c>
      <c r="AI63" s="928">
        <f t="shared" si="51"/>
        <v>14336.389374999999</v>
      </c>
      <c r="AJ63" s="927">
        <f t="shared" si="58"/>
        <v>3584</v>
      </c>
      <c r="AK63" s="930">
        <f t="shared" si="39"/>
        <v>83475.285473584576</v>
      </c>
      <c r="AL63" s="930">
        <f t="shared" si="52"/>
        <v>9013</v>
      </c>
      <c r="AN63" s="922">
        <v>-53.471249999999998</v>
      </c>
      <c r="AO63" s="922">
        <f t="shared" si="53"/>
        <v>-81.860624999999999</v>
      </c>
      <c r="AP63" s="922">
        <f t="shared" si="54"/>
        <v>-28.389375000000001</v>
      </c>
    </row>
    <row r="64" spans="1:42" s="917" customFormat="1" ht="16.149999999999999" customHeight="1">
      <c r="A64" s="918">
        <v>58</v>
      </c>
      <c r="B64" s="919" t="s">
        <v>129</v>
      </c>
      <c r="C64" s="920">
        <f>+'Table 8 Membership 2.1.14'!L60</f>
        <v>28</v>
      </c>
      <c r="D64" s="921">
        <f>'Table 3 Levels 1&amp;2'!AL61*90%</f>
        <v>5105.8016674093915</v>
      </c>
      <c r="E64" s="921">
        <f t="shared" si="40"/>
        <v>142962.44668746297</v>
      </c>
      <c r="F64" s="922">
        <f>'Table 3A Level 3'!C63*90%</f>
        <v>627.33600000000001</v>
      </c>
      <c r="G64" s="922">
        <f t="shared" si="41"/>
        <v>17565.407999999999</v>
      </c>
      <c r="H64" s="923">
        <f t="shared" si="42"/>
        <v>160527.85468746297</v>
      </c>
      <c r="I64" s="922">
        <f>(('Table 3 Levels 1&amp;2'!AL61-D64)+('Table 3A Level 3'!C63-F64))*C64</f>
        <v>17836.428298606981</v>
      </c>
      <c r="J64" s="922">
        <f>'[1]Oct midyear LA Conn'!K61</f>
        <v>22932.550669637567</v>
      </c>
      <c r="K64" s="922">
        <f>'[1]Feb midyear LA Conn'!K61</f>
        <v>0</v>
      </c>
      <c r="L64" s="924">
        <f t="shared" si="43"/>
        <v>22932.550669637567</v>
      </c>
      <c r="M64" s="923">
        <f t="shared" si="44"/>
        <v>183460.40535710054</v>
      </c>
      <c r="N64" s="922">
        <f t="shared" si="45"/>
        <v>-458.65101339275134</v>
      </c>
      <c r="O64" s="923">
        <f t="shared" si="55"/>
        <v>183001.75434370778</v>
      </c>
      <c r="P64" s="925">
        <v>0</v>
      </c>
      <c r="Q64" s="923">
        <f t="shared" si="46"/>
        <v>183001.75434370778</v>
      </c>
      <c r="R64" s="922">
        <f>'[2]Table 5C3 - LA Connections EBR'!T63+'[14]Table 5C3 - LA Connections EBR'!T63+(6*'[20]Table 5C3 - LA Connections EBR'!T63)</f>
        <v>121098</v>
      </c>
      <c r="S64" s="922">
        <f t="shared" si="47"/>
        <v>61903.754343707784</v>
      </c>
      <c r="T64" s="923">
        <f t="shared" si="56"/>
        <v>15476</v>
      </c>
      <c r="U64" s="923">
        <f t="shared" si="32"/>
        <v>183001.75434370778</v>
      </c>
      <c r="V64" s="926">
        <f>'Table 5C1A-Madison Prep'!U64*90%</f>
        <v>1950.3</v>
      </c>
      <c r="W64" s="927">
        <f t="shared" si="57"/>
        <v>54608.4</v>
      </c>
      <c r="X64" s="920">
        <f>'[1]Oct midyear LA Conn'!E61</f>
        <v>4</v>
      </c>
      <c r="Y64" s="928">
        <f t="shared" si="48"/>
        <v>7801.2</v>
      </c>
      <c r="Z64" s="1006">
        <f>'[1]Feb midyear LA Conn'!E61</f>
        <v>0</v>
      </c>
      <c r="AA64" s="928">
        <f t="shared" si="34"/>
        <v>0</v>
      </c>
      <c r="AB64" s="929">
        <f t="shared" si="35"/>
        <v>7801.2</v>
      </c>
      <c r="AC64" s="927">
        <f t="shared" si="36"/>
        <v>62409.599999999999</v>
      </c>
      <c r="AD64" s="928">
        <f t="shared" si="37"/>
        <v>-156.024</v>
      </c>
      <c r="AE64" s="927">
        <f t="shared" si="49"/>
        <v>62253.576000000001</v>
      </c>
      <c r="AF64" s="926">
        <v>0</v>
      </c>
      <c r="AG64" s="927">
        <f t="shared" si="50"/>
        <v>62253.576000000001</v>
      </c>
      <c r="AH64" s="928">
        <f>'[2]Table 5C3 - LA Connections EBR'!AJ63+'[14]Table 5C3 - LA Connections EBR'!AJ63+(6*'[20]Table 5C3 - LA Connections EBR'!AJ63)</f>
        <v>39619</v>
      </c>
      <c r="AI64" s="928">
        <f t="shared" si="51"/>
        <v>22634.576000000001</v>
      </c>
      <c r="AJ64" s="927">
        <f t="shared" si="58"/>
        <v>5659</v>
      </c>
      <c r="AK64" s="930">
        <f t="shared" si="39"/>
        <v>245255.33034370778</v>
      </c>
      <c r="AL64" s="930">
        <f t="shared" si="52"/>
        <v>21135</v>
      </c>
      <c r="AN64" s="922">
        <v>-131.292</v>
      </c>
      <c r="AO64" s="922">
        <f t="shared" si="53"/>
        <v>-156.024</v>
      </c>
      <c r="AP64" s="922">
        <f t="shared" si="54"/>
        <v>-24.731999999999999</v>
      </c>
    </row>
    <row r="65" spans="1:42" s="917" customFormat="1" ht="16.149999999999999" customHeight="1">
      <c r="A65" s="918">
        <v>59</v>
      </c>
      <c r="B65" s="919" t="s">
        <v>130</v>
      </c>
      <c r="C65" s="920">
        <f>+'Table 8 Membership 2.1.14'!L61</f>
        <v>9</v>
      </c>
      <c r="D65" s="921">
        <f>'Table 3 Levels 1&amp;2'!AL62*90%</f>
        <v>5959.7516641696629</v>
      </c>
      <c r="E65" s="921">
        <f t="shared" si="40"/>
        <v>53637.764977526967</v>
      </c>
      <c r="F65" s="922">
        <f>'Table 3A Level 3'!C64*90%</f>
        <v>620.56799999999998</v>
      </c>
      <c r="G65" s="922">
        <f t="shared" si="41"/>
        <v>5585.1120000000001</v>
      </c>
      <c r="H65" s="923">
        <f t="shared" si="42"/>
        <v>59222.876977526968</v>
      </c>
      <c r="I65" s="922">
        <f>(('Table 3 Levels 1&amp;2'!AL62-D65)+('Table 3A Level 3'!C64-F65))*C65</f>
        <v>6580.3196641696659</v>
      </c>
      <c r="J65" s="922">
        <f>'[1]Oct midyear LA Conn'!K62</f>
        <v>92124.475298375284</v>
      </c>
      <c r="K65" s="922">
        <f>'[1]Feb midyear LA Conn'!K62</f>
        <v>-3290.1598320848316</v>
      </c>
      <c r="L65" s="924">
        <f t="shared" si="43"/>
        <v>88834.315466290456</v>
      </c>
      <c r="M65" s="923">
        <f t="shared" si="44"/>
        <v>148057.19244381742</v>
      </c>
      <c r="N65" s="922">
        <f t="shared" si="45"/>
        <v>-370.14298110954354</v>
      </c>
      <c r="O65" s="923">
        <f t="shared" si="55"/>
        <v>147687.04946270789</v>
      </c>
      <c r="P65" s="925">
        <v>-7319.4290126482447</v>
      </c>
      <c r="Q65" s="923">
        <f t="shared" si="46"/>
        <v>140367.62045005965</v>
      </c>
      <c r="R65" s="922">
        <f>'[2]Table 5C3 - LA Connections EBR'!T64+'[14]Table 5C3 - LA Connections EBR'!T64+(6*'[20]Table 5C3 - LA Connections EBR'!T64)</f>
        <v>68395</v>
      </c>
      <c r="S65" s="922">
        <f t="shared" si="47"/>
        <v>71972.62045005965</v>
      </c>
      <c r="T65" s="923">
        <f t="shared" si="56"/>
        <v>17993</v>
      </c>
      <c r="U65" s="923">
        <f t="shared" si="32"/>
        <v>140367.62045005965</v>
      </c>
      <c r="V65" s="926">
        <f>'Table 5C1A-Madison Prep'!U65*90%</f>
        <v>1368.9</v>
      </c>
      <c r="W65" s="927">
        <f t="shared" si="57"/>
        <v>12320.1</v>
      </c>
      <c r="X65" s="920">
        <f>'[1]Oct midyear LA Conn'!E62</f>
        <v>14</v>
      </c>
      <c r="Y65" s="928">
        <f t="shared" si="48"/>
        <v>19164.600000000002</v>
      </c>
      <c r="Z65" s="1006">
        <f>'[1]Feb midyear LA Conn'!E62</f>
        <v>-1</v>
      </c>
      <c r="AA65" s="928">
        <f t="shared" si="34"/>
        <v>-684.45</v>
      </c>
      <c r="AB65" s="929">
        <f t="shared" si="35"/>
        <v>18480.150000000001</v>
      </c>
      <c r="AC65" s="927">
        <f t="shared" si="36"/>
        <v>30800.25</v>
      </c>
      <c r="AD65" s="928">
        <f t="shared" si="37"/>
        <v>-77.000624999999999</v>
      </c>
      <c r="AE65" s="927">
        <f t="shared" si="49"/>
        <v>30723.249374999999</v>
      </c>
      <c r="AF65" s="926">
        <v>-4131</v>
      </c>
      <c r="AG65" s="927">
        <f t="shared" si="50"/>
        <v>26592.249374999999</v>
      </c>
      <c r="AH65" s="928">
        <f>'[2]Table 5C3 - LA Connections EBR'!AJ64+'[14]Table 5C3 - LA Connections EBR'!AJ64+(6*'[20]Table 5C3 - LA Connections EBR'!AJ64)</f>
        <v>13049</v>
      </c>
      <c r="AI65" s="928">
        <f t="shared" si="51"/>
        <v>13543.249374999999</v>
      </c>
      <c r="AJ65" s="927">
        <f t="shared" si="58"/>
        <v>3386</v>
      </c>
      <c r="AK65" s="930">
        <f t="shared" si="39"/>
        <v>166959.86982505966</v>
      </c>
      <c r="AL65" s="930">
        <f t="shared" si="52"/>
        <v>21379</v>
      </c>
      <c r="AN65" s="922">
        <v>-31.934249999999999</v>
      </c>
      <c r="AO65" s="922">
        <f t="shared" si="53"/>
        <v>-77.000624999999999</v>
      </c>
      <c r="AP65" s="922">
        <f t="shared" si="54"/>
        <v>-45.066375000000001</v>
      </c>
    </row>
    <row r="66" spans="1:42" s="917" customFormat="1" ht="16.149999999999999" customHeight="1">
      <c r="A66" s="931">
        <v>60</v>
      </c>
      <c r="B66" s="932" t="s">
        <v>131</v>
      </c>
      <c r="C66" s="933">
        <f>+'Table 8 Membership 2.1.14'!L62</f>
        <v>19</v>
      </c>
      <c r="D66" s="934">
        <f>'Table 3 Levels 1&amp;2'!AL63*90%</f>
        <v>4771.1016810574456</v>
      </c>
      <c r="E66" s="934">
        <f t="shared" si="40"/>
        <v>90650.931940091468</v>
      </c>
      <c r="F66" s="935">
        <f>'Table 3A Level 3'!C65*90%</f>
        <v>534.63599999999997</v>
      </c>
      <c r="G66" s="935">
        <f t="shared" si="41"/>
        <v>10158.083999999999</v>
      </c>
      <c r="H66" s="936">
        <f t="shared" si="42"/>
        <v>100809.01594009147</v>
      </c>
      <c r="I66" s="935">
        <f>(('Table 3 Levels 1&amp;2'!AL63-D66)+('Table 3A Level 3'!C65-F66))*C66</f>
        <v>11201.001771121266</v>
      </c>
      <c r="J66" s="935">
        <f>'[1]Oct midyear LA Conn'!K63</f>
        <v>0</v>
      </c>
      <c r="K66" s="935">
        <f>'[1]Feb midyear LA Conn'!K63</f>
        <v>21222.950724229784</v>
      </c>
      <c r="L66" s="937">
        <f t="shared" si="43"/>
        <v>21222.950724229784</v>
      </c>
      <c r="M66" s="936">
        <f t="shared" si="44"/>
        <v>122031.96666432125</v>
      </c>
      <c r="N66" s="935">
        <f t="shared" si="45"/>
        <v>-305.07991666080312</v>
      </c>
      <c r="O66" s="936">
        <f t="shared" si="55"/>
        <v>121726.88674766045</v>
      </c>
      <c r="P66" s="938">
        <v>0</v>
      </c>
      <c r="Q66" s="936">
        <f t="shared" si="46"/>
        <v>121726.88674766045</v>
      </c>
      <c r="R66" s="935">
        <f>'[2]Table 5C3 - LA Connections EBR'!T65+'[14]Table 5C3 - LA Connections EBR'!T65+(6*'[20]Table 5C3 - LA Connections EBR'!T65)</f>
        <v>69827</v>
      </c>
      <c r="S66" s="935">
        <f t="shared" si="47"/>
        <v>51899.88674766045</v>
      </c>
      <c r="T66" s="936">
        <f t="shared" si="56"/>
        <v>12975</v>
      </c>
      <c r="U66" s="936">
        <f t="shared" si="32"/>
        <v>121726.88674766045</v>
      </c>
      <c r="V66" s="939">
        <f>'Table 5C1A-Madison Prep'!U66*90%</f>
        <v>3621.6</v>
      </c>
      <c r="W66" s="940">
        <f t="shared" si="57"/>
        <v>68810.399999999994</v>
      </c>
      <c r="X66" s="933">
        <f>'[1]Oct midyear LA Conn'!E63</f>
        <v>0</v>
      </c>
      <c r="Y66" s="941">
        <f t="shared" si="48"/>
        <v>0</v>
      </c>
      <c r="Z66" s="1007">
        <f>'[1]Feb midyear LA Conn'!E63</f>
        <v>8</v>
      </c>
      <c r="AA66" s="941">
        <f t="shared" si="34"/>
        <v>14486.4</v>
      </c>
      <c r="AB66" s="942">
        <f t="shared" si="35"/>
        <v>14486.4</v>
      </c>
      <c r="AC66" s="940">
        <f t="shared" si="36"/>
        <v>83296.799999999988</v>
      </c>
      <c r="AD66" s="941">
        <f t="shared" si="37"/>
        <v>-208.24199999999996</v>
      </c>
      <c r="AE66" s="940">
        <f t="shared" si="49"/>
        <v>83088.55799999999</v>
      </c>
      <c r="AF66" s="939">
        <v>0</v>
      </c>
      <c r="AG66" s="940">
        <f t="shared" si="50"/>
        <v>83088.55799999999</v>
      </c>
      <c r="AH66" s="941">
        <f>'[2]Table 5C3 - LA Connections EBR'!AJ65+'[14]Table 5C3 - LA Connections EBR'!AJ65+(6*'[20]Table 5C3 - LA Connections EBR'!AJ65)</f>
        <v>46456</v>
      </c>
      <c r="AI66" s="941">
        <f t="shared" si="51"/>
        <v>36632.55799999999</v>
      </c>
      <c r="AJ66" s="940">
        <f t="shared" si="58"/>
        <v>9158</v>
      </c>
      <c r="AK66" s="943">
        <f t="shared" si="39"/>
        <v>204815.44474766043</v>
      </c>
      <c r="AL66" s="943">
        <f t="shared" si="52"/>
        <v>22133</v>
      </c>
      <c r="AN66" s="935">
        <v>-167.66550000000001</v>
      </c>
      <c r="AO66" s="935">
        <f t="shared" si="53"/>
        <v>-208.24199999999996</v>
      </c>
      <c r="AP66" s="935">
        <f t="shared" si="54"/>
        <v>-40.576499999999953</v>
      </c>
    </row>
    <row r="67" spans="1:42" s="917" customFormat="1" ht="16.149999999999999" customHeight="1">
      <c r="A67" s="904">
        <v>61</v>
      </c>
      <c r="B67" s="905" t="s">
        <v>132</v>
      </c>
      <c r="C67" s="906">
        <f>+'Table 8 Membership 2.1.14'!L63</f>
        <v>10</v>
      </c>
      <c r="D67" s="907">
        <f>'Table 3 Levels 1&amp;2'!AL64*90%</f>
        <v>2568.7417820732267</v>
      </c>
      <c r="E67" s="907">
        <f t="shared" si="40"/>
        <v>25687.417820732266</v>
      </c>
      <c r="F67" s="908">
        <f>'Table 3A Level 3'!C66*90%</f>
        <v>750.33899999999994</v>
      </c>
      <c r="G67" s="908">
        <f t="shared" si="41"/>
        <v>7503.3899999999994</v>
      </c>
      <c r="H67" s="909">
        <f t="shared" si="42"/>
        <v>33190.807820732269</v>
      </c>
      <c r="I67" s="908">
        <f>(('Table 3 Levels 1&amp;2'!AL64-D67)+('Table 3A Level 3'!C66-F67))*C67</f>
        <v>3687.8675356369185</v>
      </c>
      <c r="J67" s="908">
        <f>'[1]Oct midyear LA Conn'!K64</f>
        <v>9957.2423462196803</v>
      </c>
      <c r="K67" s="908">
        <f>'[1]Feb midyear LA Conn'!K64</f>
        <v>3319.0807820732266</v>
      </c>
      <c r="L67" s="910">
        <f t="shared" si="43"/>
        <v>13276.323128292906</v>
      </c>
      <c r="M67" s="909">
        <f t="shared" si="44"/>
        <v>46467.130949025173</v>
      </c>
      <c r="N67" s="908">
        <f t="shared" si="45"/>
        <v>-116.16782737256294</v>
      </c>
      <c r="O67" s="909">
        <f t="shared" si="55"/>
        <v>46350.96312165261</v>
      </c>
      <c r="P67" s="911">
        <v>0</v>
      </c>
      <c r="Q67" s="909">
        <f t="shared" si="46"/>
        <v>46350.96312165261</v>
      </c>
      <c r="R67" s="908">
        <f>'[2]Table 5C3 - LA Connections EBR'!T66+'[14]Table 5C3 - LA Connections EBR'!T66+(6*'[20]Table 5C3 - LA Connections EBR'!T66)</f>
        <v>30978</v>
      </c>
      <c r="S67" s="908">
        <f t="shared" si="47"/>
        <v>15372.96312165261</v>
      </c>
      <c r="T67" s="909">
        <f t="shared" si="56"/>
        <v>3843</v>
      </c>
      <c r="U67" s="909">
        <f t="shared" si="32"/>
        <v>46350.96312165261</v>
      </c>
      <c r="V67" s="912">
        <f>'Table 5C1A-Madison Prep'!U67*90%</f>
        <v>6065.1</v>
      </c>
      <c r="W67" s="913">
        <f t="shared" si="57"/>
        <v>60651</v>
      </c>
      <c r="X67" s="906">
        <f>'[1]Oct midyear LA Conn'!E64</f>
        <v>3</v>
      </c>
      <c r="Y67" s="914">
        <f t="shared" si="48"/>
        <v>18195.300000000003</v>
      </c>
      <c r="Z67" s="1005">
        <f>'[1]Feb midyear LA Conn'!E64</f>
        <v>2</v>
      </c>
      <c r="AA67" s="914">
        <f t="shared" si="34"/>
        <v>6065.1</v>
      </c>
      <c r="AB67" s="915">
        <f t="shared" si="35"/>
        <v>24260.400000000001</v>
      </c>
      <c r="AC67" s="913">
        <f t="shared" si="36"/>
        <v>84911.4</v>
      </c>
      <c r="AD67" s="914">
        <f t="shared" si="37"/>
        <v>-212.27849999999998</v>
      </c>
      <c r="AE67" s="913">
        <f t="shared" si="49"/>
        <v>84699.121499999994</v>
      </c>
      <c r="AF67" s="912">
        <v>0</v>
      </c>
      <c r="AG67" s="913">
        <f t="shared" si="50"/>
        <v>84699.121499999994</v>
      </c>
      <c r="AH67" s="914">
        <f>'[2]Table 5C3 - LA Connections EBR'!AJ66+'[14]Table 5C3 - LA Connections EBR'!AJ66+(6*'[20]Table 5C3 - LA Connections EBR'!AJ66)</f>
        <v>56664</v>
      </c>
      <c r="AI67" s="914">
        <f t="shared" si="51"/>
        <v>28035.121499999994</v>
      </c>
      <c r="AJ67" s="913">
        <f t="shared" si="58"/>
        <v>7009</v>
      </c>
      <c r="AK67" s="916">
        <f t="shared" si="39"/>
        <v>131050.08462165261</v>
      </c>
      <c r="AL67" s="916">
        <f t="shared" si="52"/>
        <v>10852</v>
      </c>
      <c r="AN67" s="908">
        <v>-151.76250000000002</v>
      </c>
      <c r="AO67" s="908">
        <f t="shared" si="53"/>
        <v>-212.27849999999998</v>
      </c>
      <c r="AP67" s="908">
        <f t="shared" si="54"/>
        <v>-60.515999999999963</v>
      </c>
    </row>
    <row r="68" spans="1:42" s="917" customFormat="1" ht="16.149999999999999" customHeight="1">
      <c r="A68" s="918">
        <v>62</v>
      </c>
      <c r="B68" s="919" t="s">
        <v>133</v>
      </c>
      <c r="C68" s="920">
        <f>+'Table 8 Membership 2.1.14'!L64</f>
        <v>1</v>
      </c>
      <c r="D68" s="921">
        <f>'Table 3 Levels 1&amp;2'!AL65*90%</f>
        <v>5310.9670846644076</v>
      </c>
      <c r="E68" s="921">
        <f t="shared" si="40"/>
        <v>5310.9670846644076</v>
      </c>
      <c r="F68" s="922">
        <f>'Table 3A Level 3'!C67*90%</f>
        <v>464.47200000000004</v>
      </c>
      <c r="G68" s="922">
        <f t="shared" si="41"/>
        <v>464.47200000000004</v>
      </c>
      <c r="H68" s="923">
        <f t="shared" si="42"/>
        <v>5775.4390846644073</v>
      </c>
      <c r="I68" s="922">
        <f>(('Table 3 Levels 1&amp;2'!AL65-D68)+('Table 3A Level 3'!C67-F68))*C68</f>
        <v>641.71545385160039</v>
      </c>
      <c r="J68" s="922">
        <f>'[1]Oct midyear LA Conn'!K65</f>
        <v>5775.4390846644073</v>
      </c>
      <c r="K68" s="922">
        <f>'[1]Feb midyear LA Conn'!K65</f>
        <v>0</v>
      </c>
      <c r="L68" s="924">
        <f t="shared" si="43"/>
        <v>5775.4390846644073</v>
      </c>
      <c r="M68" s="923">
        <f t="shared" si="44"/>
        <v>11550.878169328815</v>
      </c>
      <c r="N68" s="922">
        <f t="shared" si="45"/>
        <v>-28.877195423322036</v>
      </c>
      <c r="O68" s="923">
        <f t="shared" si="55"/>
        <v>11522.000973905493</v>
      </c>
      <c r="P68" s="925">
        <v>0</v>
      </c>
      <c r="Q68" s="923">
        <f t="shared" si="46"/>
        <v>11522.000973905493</v>
      </c>
      <c r="R68" s="922">
        <f>'[2]Table 5C3 - LA Connections EBR'!T67+'[14]Table 5C3 - LA Connections EBR'!T67+(6*'[20]Table 5C3 - LA Connections EBR'!T67)</f>
        <v>7508</v>
      </c>
      <c r="S68" s="922">
        <f t="shared" si="47"/>
        <v>4014.0009739054931</v>
      </c>
      <c r="T68" s="923">
        <f t="shared" si="56"/>
        <v>1004</v>
      </c>
      <c r="U68" s="923">
        <f t="shared" si="32"/>
        <v>11522.000973905493</v>
      </c>
      <c r="V68" s="926">
        <f>'Table 5C1A-Madison Prep'!U68*90%</f>
        <v>1880.1000000000001</v>
      </c>
      <c r="W68" s="927">
        <f t="shared" si="57"/>
        <v>1880.1000000000001</v>
      </c>
      <c r="X68" s="920">
        <f>'[1]Oct midyear LA Conn'!E65</f>
        <v>1</v>
      </c>
      <c r="Y68" s="928">
        <f t="shared" si="48"/>
        <v>1880.1000000000001</v>
      </c>
      <c r="Z68" s="1006">
        <f>'[1]Feb midyear LA Conn'!E65</f>
        <v>0</v>
      </c>
      <c r="AA68" s="928">
        <f t="shared" si="34"/>
        <v>0</v>
      </c>
      <c r="AB68" s="929">
        <f t="shared" si="35"/>
        <v>1880.1000000000001</v>
      </c>
      <c r="AC68" s="927">
        <f t="shared" si="36"/>
        <v>3760.2000000000003</v>
      </c>
      <c r="AD68" s="928">
        <f t="shared" si="37"/>
        <v>-9.400500000000001</v>
      </c>
      <c r="AE68" s="927">
        <f t="shared" si="49"/>
        <v>3750.7995000000001</v>
      </c>
      <c r="AF68" s="926">
        <v>0</v>
      </c>
      <c r="AG68" s="927">
        <f t="shared" si="50"/>
        <v>3750.7995000000001</v>
      </c>
      <c r="AH68" s="928">
        <f>'[2]Table 5C3 - LA Connections EBR'!AJ67+'[14]Table 5C3 - LA Connections EBR'!AJ67+(6*'[20]Table 5C3 - LA Connections EBR'!AJ67)</f>
        <v>2229</v>
      </c>
      <c r="AI68" s="928">
        <f t="shared" si="51"/>
        <v>1521.7995000000001</v>
      </c>
      <c r="AJ68" s="927">
        <f t="shared" si="58"/>
        <v>380</v>
      </c>
      <c r="AK68" s="930">
        <f t="shared" si="39"/>
        <v>15272.800473905492</v>
      </c>
      <c r="AL68" s="930">
        <f t="shared" si="52"/>
        <v>1384</v>
      </c>
      <c r="AN68" s="922">
        <v>-4.2930000000000001</v>
      </c>
      <c r="AO68" s="922">
        <f t="shared" si="53"/>
        <v>-9.400500000000001</v>
      </c>
      <c r="AP68" s="922">
        <f t="shared" si="54"/>
        <v>-5.1075000000000008</v>
      </c>
    </row>
    <row r="69" spans="1:42" s="917" customFormat="1" ht="16.149999999999999" customHeight="1">
      <c r="A69" s="918">
        <v>63</v>
      </c>
      <c r="B69" s="919" t="s">
        <v>134</v>
      </c>
      <c r="C69" s="920">
        <f>+'Table 8 Membership 2.1.14'!L65</f>
        <v>0</v>
      </c>
      <c r="D69" s="921">
        <f>'Table 3 Levels 1&amp;2'!AL66*90%</f>
        <v>3711.9432133663286</v>
      </c>
      <c r="E69" s="921">
        <f t="shared" si="40"/>
        <v>0</v>
      </c>
      <c r="F69" s="922">
        <f>'Table 3A Level 3'!C68*90%</f>
        <v>681.11099999999999</v>
      </c>
      <c r="G69" s="922">
        <f t="shared" si="41"/>
        <v>0</v>
      </c>
      <c r="H69" s="923">
        <f t="shared" si="42"/>
        <v>0</v>
      </c>
      <c r="I69" s="922">
        <f>(('Table 3 Levels 1&amp;2'!AL66-D69)+('Table 3A Level 3'!C68-F69))*C69</f>
        <v>0</v>
      </c>
      <c r="J69" s="922">
        <f>'[1]Oct midyear LA Conn'!K66</f>
        <v>8786.1084267326569</v>
      </c>
      <c r="K69" s="922">
        <f>'[1]Feb midyear LA Conn'!K66</f>
        <v>10982.635533415822</v>
      </c>
      <c r="L69" s="924">
        <f t="shared" si="43"/>
        <v>19768.74396014848</v>
      </c>
      <c r="M69" s="923">
        <f t="shared" si="44"/>
        <v>19768.74396014848</v>
      </c>
      <c r="N69" s="922">
        <f t="shared" si="45"/>
        <v>-49.421859900371203</v>
      </c>
      <c r="O69" s="923">
        <f t="shared" si="55"/>
        <v>19719.322100248108</v>
      </c>
      <c r="P69" s="925">
        <v>0</v>
      </c>
      <c r="Q69" s="923">
        <f t="shared" si="46"/>
        <v>19719.322100248108</v>
      </c>
      <c r="R69" s="922">
        <f>'[2]Table 5C3 - LA Connections EBR'!T68+'[14]Table 5C3 - LA Connections EBR'!T68+(6*'[20]Table 5C3 - LA Connections EBR'!T68)</f>
        <v>5420</v>
      </c>
      <c r="S69" s="922">
        <f t="shared" si="47"/>
        <v>14299.322100248108</v>
      </c>
      <c r="T69" s="923">
        <f t="shared" si="56"/>
        <v>3575</v>
      </c>
      <c r="U69" s="923">
        <f t="shared" si="32"/>
        <v>19719.322100248108</v>
      </c>
      <c r="V69" s="926">
        <f>'Table 5C1A-Madison Prep'!U69*90%</f>
        <v>6662.7</v>
      </c>
      <c r="W69" s="927">
        <f t="shared" si="57"/>
        <v>0</v>
      </c>
      <c r="X69" s="920">
        <f>'[1]Oct midyear LA Conn'!E66</f>
        <v>2</v>
      </c>
      <c r="Y69" s="928">
        <f t="shared" si="48"/>
        <v>13325.4</v>
      </c>
      <c r="Z69" s="1006">
        <f>'[1]Feb midyear LA Conn'!E66</f>
        <v>5</v>
      </c>
      <c r="AA69" s="928">
        <f t="shared" si="34"/>
        <v>16656.75</v>
      </c>
      <c r="AB69" s="929">
        <f t="shared" si="35"/>
        <v>29982.15</v>
      </c>
      <c r="AC69" s="927">
        <f t="shared" si="36"/>
        <v>29982.15</v>
      </c>
      <c r="AD69" s="928">
        <f t="shared" si="37"/>
        <v>-74.955375000000004</v>
      </c>
      <c r="AE69" s="927">
        <f t="shared" si="49"/>
        <v>29907.194625</v>
      </c>
      <c r="AF69" s="926">
        <v>0</v>
      </c>
      <c r="AG69" s="927">
        <f t="shared" si="50"/>
        <v>29907.194625</v>
      </c>
      <c r="AH69" s="928">
        <f>'[2]Table 5C3 - LA Connections EBR'!AJ68+'[14]Table 5C3 - LA Connections EBR'!AJ68+(6*'[20]Table 5C3 - LA Connections EBR'!AJ68)</f>
        <v>8089</v>
      </c>
      <c r="AI69" s="928">
        <f t="shared" si="51"/>
        <v>21818.194625</v>
      </c>
      <c r="AJ69" s="927">
        <f t="shared" si="58"/>
        <v>5455</v>
      </c>
      <c r="AK69" s="930">
        <f t="shared" si="39"/>
        <v>49626.516725248104</v>
      </c>
      <c r="AL69" s="930">
        <f t="shared" si="52"/>
        <v>9030</v>
      </c>
      <c r="AN69" s="922">
        <v>0</v>
      </c>
      <c r="AO69" s="922">
        <f t="shared" si="53"/>
        <v>-74.955375000000004</v>
      </c>
      <c r="AP69" s="922">
        <f t="shared" si="54"/>
        <v>-74.955375000000004</v>
      </c>
    </row>
    <row r="70" spans="1:42" s="917" customFormat="1" ht="16.149999999999999" customHeight="1">
      <c r="A70" s="918">
        <v>64</v>
      </c>
      <c r="B70" s="919" t="s">
        <v>135</v>
      </c>
      <c r="C70" s="920">
        <f>+'Table 8 Membership 2.1.14'!L66</f>
        <v>3</v>
      </c>
      <c r="D70" s="921">
        <f>'Table 3 Levels 1&amp;2'!AL67*90%</f>
        <v>5650.0476779500432</v>
      </c>
      <c r="E70" s="921">
        <f t="shared" si="40"/>
        <v>16950.14303385013</v>
      </c>
      <c r="F70" s="922">
        <f>'Table 3A Level 3'!C69*90%</f>
        <v>533.39400000000001</v>
      </c>
      <c r="G70" s="922">
        <f t="shared" si="41"/>
        <v>1600.182</v>
      </c>
      <c r="H70" s="923">
        <f t="shared" si="42"/>
        <v>18550.325033850131</v>
      </c>
      <c r="I70" s="922">
        <f>(('Table 3 Levels 1&amp;2'!AL67-D70)+('Table 3A Level 3'!C69-F70))*C70</f>
        <v>2061.1472259833463</v>
      </c>
      <c r="J70" s="922">
        <f>'[1]Oct midyear LA Conn'!K67</f>
        <v>18550.325033850131</v>
      </c>
      <c r="K70" s="922">
        <f>'[1]Feb midyear LA Conn'!K67</f>
        <v>-6183.4416779500434</v>
      </c>
      <c r="L70" s="924">
        <f t="shared" si="43"/>
        <v>12366.883355900089</v>
      </c>
      <c r="M70" s="923">
        <f t="shared" si="44"/>
        <v>30917.20838975022</v>
      </c>
      <c r="N70" s="922">
        <f t="shared" si="45"/>
        <v>-77.293020974375551</v>
      </c>
      <c r="O70" s="923">
        <f t="shared" si="55"/>
        <v>30839.915368775844</v>
      </c>
      <c r="P70" s="925">
        <v>0</v>
      </c>
      <c r="Q70" s="923">
        <f t="shared" si="46"/>
        <v>30839.915368775844</v>
      </c>
      <c r="R70" s="922">
        <f>'[2]Table 5C3 - LA Connections EBR'!T69+'[14]Table 5C3 - LA Connections EBR'!T69+(6*'[20]Table 5C3 - LA Connections EBR'!T69)</f>
        <v>13235</v>
      </c>
      <c r="S70" s="922">
        <f t="shared" si="47"/>
        <v>17604.915368775844</v>
      </c>
      <c r="T70" s="923">
        <f t="shared" si="56"/>
        <v>4401</v>
      </c>
      <c r="U70" s="923">
        <f t="shared" si="32"/>
        <v>30839.915368775844</v>
      </c>
      <c r="V70" s="926">
        <f>'Table 5C1A-Madison Prep'!U70*90%</f>
        <v>2521.8000000000002</v>
      </c>
      <c r="W70" s="927">
        <f t="shared" si="57"/>
        <v>7565.4000000000005</v>
      </c>
      <c r="X70" s="920">
        <f>'[1]Oct midyear LA Conn'!E67</f>
        <v>3</v>
      </c>
      <c r="Y70" s="928">
        <f t="shared" si="48"/>
        <v>7565.4000000000005</v>
      </c>
      <c r="Z70" s="1006">
        <f>'[1]Feb midyear LA Conn'!E67</f>
        <v>-2</v>
      </c>
      <c r="AA70" s="928">
        <f t="shared" si="34"/>
        <v>-2521.8000000000002</v>
      </c>
      <c r="AB70" s="929">
        <f t="shared" si="35"/>
        <v>5043.6000000000004</v>
      </c>
      <c r="AC70" s="927">
        <f t="shared" si="36"/>
        <v>12609</v>
      </c>
      <c r="AD70" s="928">
        <f t="shared" si="37"/>
        <v>-31.522500000000001</v>
      </c>
      <c r="AE70" s="927">
        <f t="shared" si="49"/>
        <v>12577.477500000001</v>
      </c>
      <c r="AF70" s="926">
        <v>0</v>
      </c>
      <c r="AG70" s="927">
        <f t="shared" si="50"/>
        <v>12577.477500000001</v>
      </c>
      <c r="AH70" s="928">
        <f>'[2]Table 5C3 - LA Connections EBR'!AJ69+'[14]Table 5C3 - LA Connections EBR'!AJ69+(6*'[20]Table 5C3 - LA Connections EBR'!AJ69)</f>
        <v>5242</v>
      </c>
      <c r="AI70" s="928">
        <f t="shared" si="51"/>
        <v>7335.4775000000009</v>
      </c>
      <c r="AJ70" s="927">
        <f t="shared" si="58"/>
        <v>1834</v>
      </c>
      <c r="AK70" s="930">
        <f t="shared" si="39"/>
        <v>43417.392868775845</v>
      </c>
      <c r="AL70" s="930">
        <f t="shared" si="52"/>
        <v>6235</v>
      </c>
      <c r="AN70" s="922">
        <v>-18.366750000000003</v>
      </c>
      <c r="AO70" s="922">
        <f t="shared" si="53"/>
        <v>-31.522500000000001</v>
      </c>
      <c r="AP70" s="922">
        <f t="shared" si="54"/>
        <v>-13.155749999999998</v>
      </c>
    </row>
    <row r="71" spans="1:42" s="917" customFormat="1" ht="16.149999999999999" customHeight="1">
      <c r="A71" s="931">
        <v>65</v>
      </c>
      <c r="B71" s="932" t="s">
        <v>136</v>
      </c>
      <c r="C71" s="933">
        <f>+'Table 8 Membership 2.1.14'!L67</f>
        <v>0</v>
      </c>
      <c r="D71" s="934">
        <f>'Table 3 Levels 1&amp;2'!AL68*90%</f>
        <v>4297.6444989549282</v>
      </c>
      <c r="E71" s="934">
        <f t="shared" si="40"/>
        <v>0</v>
      </c>
      <c r="F71" s="935">
        <f>'Table 3A Level 3'!C70*90%</f>
        <v>746.20799999999997</v>
      </c>
      <c r="G71" s="935">
        <f t="shared" si="41"/>
        <v>0</v>
      </c>
      <c r="H71" s="936">
        <f t="shared" si="42"/>
        <v>0</v>
      </c>
      <c r="I71" s="935">
        <f>(('Table 3 Levels 1&amp;2'!AL68-D71)+('Table 3A Level 3'!C70-F71))*C71</f>
        <v>0</v>
      </c>
      <c r="J71" s="935">
        <f>'[1]Oct midyear LA Conn'!K68</f>
        <v>0</v>
      </c>
      <c r="K71" s="935">
        <f>'[1]Feb midyear LA Conn'!K68</f>
        <v>0</v>
      </c>
      <c r="L71" s="937">
        <f t="shared" si="43"/>
        <v>0</v>
      </c>
      <c r="M71" s="936">
        <f t="shared" si="44"/>
        <v>0</v>
      </c>
      <c r="N71" s="935">
        <f t="shared" si="45"/>
        <v>0</v>
      </c>
      <c r="O71" s="936">
        <f t="shared" ref="O71:O75" si="59">M71+N71</f>
        <v>0</v>
      </c>
      <c r="P71" s="938">
        <v>0</v>
      </c>
      <c r="Q71" s="936">
        <f t="shared" si="46"/>
        <v>0</v>
      </c>
      <c r="R71" s="935">
        <f>'[2]Table 5C3 - LA Connections EBR'!T70+'[14]Table 5C3 - LA Connections EBR'!T70+(6*'[20]Table 5C3 - LA Connections EBR'!T70)</f>
        <v>9604</v>
      </c>
      <c r="S71" s="935">
        <f t="shared" si="47"/>
        <v>-9604</v>
      </c>
      <c r="T71" s="936">
        <f t="shared" ref="T71:T75" si="60">ROUND(S71/$T$88,0)</f>
        <v>-2401</v>
      </c>
      <c r="U71" s="936">
        <f t="shared" ref="U71:U74" si="61">+Q71</f>
        <v>0</v>
      </c>
      <c r="V71" s="939">
        <f>'Table 5C1A-Madison Prep'!U71*90%</f>
        <v>4693.5</v>
      </c>
      <c r="W71" s="940">
        <f t="shared" ref="W71:W75" si="62">V71*C71</f>
        <v>0</v>
      </c>
      <c r="X71" s="933">
        <f>'[1]Oct midyear LA Conn'!E68</f>
        <v>0</v>
      </c>
      <c r="Y71" s="941">
        <f t="shared" si="48"/>
        <v>0</v>
      </c>
      <c r="Z71" s="1007">
        <f>'[1]Feb midyear LA Conn'!E68</f>
        <v>0</v>
      </c>
      <c r="AA71" s="941">
        <f t="shared" ref="AA71:AA74" si="63">+V71*Z71*0.5</f>
        <v>0</v>
      </c>
      <c r="AB71" s="942">
        <f t="shared" ref="AB71:AB74" si="64">+Y71+AA71</f>
        <v>0</v>
      </c>
      <c r="AC71" s="940">
        <f t="shared" ref="AC71:AC74" si="65">+W71+AB71</f>
        <v>0</v>
      </c>
      <c r="AD71" s="941">
        <f t="shared" ref="AD71:AD74" si="66">AC71*-0.25%</f>
        <v>0</v>
      </c>
      <c r="AE71" s="940">
        <f t="shared" si="49"/>
        <v>0</v>
      </c>
      <c r="AF71" s="939">
        <v>0</v>
      </c>
      <c r="AG71" s="940">
        <f t="shared" si="50"/>
        <v>0</v>
      </c>
      <c r="AH71" s="941">
        <f>'[2]Table 5C3 - LA Connections EBR'!AJ70+'[14]Table 5C3 - LA Connections EBR'!AJ70+(6*'[20]Table 5C3 - LA Connections EBR'!AJ70)</f>
        <v>8757</v>
      </c>
      <c r="AI71" s="941">
        <f t="shared" si="51"/>
        <v>-8757</v>
      </c>
      <c r="AJ71" s="940">
        <f t="shared" ref="AJ71:AJ75" si="67">ROUND(AI71/$AJ$88,0)</f>
        <v>-2189</v>
      </c>
      <c r="AK71" s="943">
        <f t="shared" ref="AK71:AK74" si="68">AG71+U71</f>
        <v>0</v>
      </c>
      <c r="AL71" s="943">
        <f t="shared" si="52"/>
        <v>-4590</v>
      </c>
      <c r="AN71" s="935">
        <v>0</v>
      </c>
      <c r="AO71" s="935">
        <f t="shared" si="53"/>
        <v>0</v>
      </c>
      <c r="AP71" s="935">
        <f t="shared" si="54"/>
        <v>0</v>
      </c>
    </row>
    <row r="72" spans="1:42" s="917" customFormat="1" ht="16.149999999999999" customHeight="1">
      <c r="A72" s="904">
        <v>66</v>
      </c>
      <c r="B72" s="905" t="s">
        <v>137</v>
      </c>
      <c r="C72" s="906">
        <f>+'Table 8 Membership 2.1.14'!L68</f>
        <v>5</v>
      </c>
      <c r="D72" s="907">
        <f>'Table 3 Levels 1&amp;2'!AL69*90%</f>
        <v>5907.6076890519034</v>
      </c>
      <c r="E72" s="907">
        <f t="shared" ref="E72:E75" si="69">C72*D72</f>
        <v>29538.038445259517</v>
      </c>
      <c r="F72" s="908">
        <f>'Table 3A Level 3'!C71*90%</f>
        <v>657.05399999999997</v>
      </c>
      <c r="G72" s="908">
        <f t="shared" ref="G72:G75" si="70">F72*C72</f>
        <v>3285.27</v>
      </c>
      <c r="H72" s="909">
        <f t="shared" ref="H72:H75" si="71">E72+G72</f>
        <v>32823.308445259514</v>
      </c>
      <c r="I72" s="908">
        <f>(('Table 3 Levels 1&amp;2'!AL69-D72)+('Table 3A Level 3'!C71-F72))*C72</f>
        <v>3647.0342716955001</v>
      </c>
      <c r="J72" s="908">
        <f>'[1]Oct midyear LA Conn'!K69</f>
        <v>-32823.308445259521</v>
      </c>
      <c r="K72" s="908">
        <f>'[1]Feb midyear LA Conn'!K69</f>
        <v>0</v>
      </c>
      <c r="L72" s="910">
        <f t="shared" ref="L72:L75" si="72">J72+K72</f>
        <v>-32823.308445259521</v>
      </c>
      <c r="M72" s="909">
        <f t="shared" ref="M72:M75" si="73">+H72+L72</f>
        <v>0</v>
      </c>
      <c r="N72" s="908">
        <f t="shared" ref="N72:N75" si="74">-0.25%*M72</f>
        <v>0</v>
      </c>
      <c r="O72" s="909">
        <f t="shared" si="59"/>
        <v>0</v>
      </c>
      <c r="P72" s="911">
        <v>4298.7498189699909</v>
      </c>
      <c r="Q72" s="909">
        <f t="shared" ref="Q72:Q75" si="75">SUM(O72:P72)</f>
        <v>4298.7498189699909</v>
      </c>
      <c r="R72" s="908">
        <f>'[2]Table 5C3 - LA Connections EBR'!T71+'[14]Table 5C3 - LA Connections EBR'!T71+(6*'[20]Table 5C3 - LA Connections EBR'!T71)</f>
        <v>24696</v>
      </c>
      <c r="S72" s="908">
        <f t="shared" ref="S72:S75" si="76">+Q72-R72</f>
        <v>-20397.250181030009</v>
      </c>
      <c r="T72" s="909">
        <f t="shared" si="60"/>
        <v>-5099</v>
      </c>
      <c r="U72" s="909">
        <f t="shared" si="61"/>
        <v>4298.7498189699909</v>
      </c>
      <c r="V72" s="912">
        <f>'Table 5C1A-Madison Prep'!U72*90%</f>
        <v>3248.1</v>
      </c>
      <c r="W72" s="913">
        <f t="shared" si="62"/>
        <v>16240.5</v>
      </c>
      <c r="X72" s="906">
        <f>'[1]Oct midyear LA Conn'!E69</f>
        <v>-5</v>
      </c>
      <c r="Y72" s="914">
        <f t="shared" ref="Y72:Y75" si="77">+V72*X72</f>
        <v>-16240.5</v>
      </c>
      <c r="Z72" s="1005">
        <f>'[1]Feb midyear LA Conn'!E69</f>
        <v>0</v>
      </c>
      <c r="AA72" s="914">
        <f t="shared" si="63"/>
        <v>0</v>
      </c>
      <c r="AB72" s="915">
        <f t="shared" si="64"/>
        <v>-16240.5</v>
      </c>
      <c r="AC72" s="913">
        <f t="shared" si="65"/>
        <v>0</v>
      </c>
      <c r="AD72" s="914">
        <f t="shared" si="66"/>
        <v>0</v>
      </c>
      <c r="AE72" s="913">
        <f t="shared" ref="AE72:AE75" si="78">SUM(AC72:AD72)</f>
        <v>0</v>
      </c>
      <c r="AF72" s="912">
        <v>9525.6</v>
      </c>
      <c r="AG72" s="913">
        <f t="shared" ref="AG72:AG75" si="79">SUM(AE72:AF72)</f>
        <v>9525.6</v>
      </c>
      <c r="AH72" s="914">
        <f>'[2]Table 5C3 - LA Connections EBR'!AJ71+'[14]Table 5C3 - LA Connections EBR'!AJ71+(6*'[20]Table 5C3 - LA Connections EBR'!AJ71)</f>
        <v>16432</v>
      </c>
      <c r="AI72" s="914">
        <f t="shared" ref="AI72:AI75" si="80">+AG72-AH72</f>
        <v>-6906.4</v>
      </c>
      <c r="AJ72" s="913">
        <f t="shared" si="67"/>
        <v>-1727</v>
      </c>
      <c r="AK72" s="916">
        <f t="shared" si="68"/>
        <v>13824.349818969991</v>
      </c>
      <c r="AL72" s="916">
        <f t="shared" ref="AL72:AL75" si="81">T72+AJ72</f>
        <v>-6826</v>
      </c>
      <c r="AN72" s="908">
        <v>-37.901249999999997</v>
      </c>
      <c r="AO72" s="908">
        <f t="shared" ref="AO72:AO75" si="82">AD72</f>
        <v>0</v>
      </c>
      <c r="AP72" s="908">
        <f t="shared" ref="AP72:AP75" si="83">+AO72-AN72</f>
        <v>37.901249999999997</v>
      </c>
    </row>
    <row r="73" spans="1:42" s="917" customFormat="1" ht="16.149999999999999" customHeight="1">
      <c r="A73" s="918">
        <v>67</v>
      </c>
      <c r="B73" s="919" t="s">
        <v>28</v>
      </c>
      <c r="C73" s="920">
        <f>+'Table 8 Membership 2.1.14'!L69</f>
        <v>0</v>
      </c>
      <c r="D73" s="921">
        <f>'Table 3 Levels 1&amp;2'!AL70*90%</f>
        <v>4526.2320962520707</v>
      </c>
      <c r="E73" s="921">
        <f t="shared" si="69"/>
        <v>0</v>
      </c>
      <c r="F73" s="922">
        <f>'Table 3A Level 3'!C72*90%</f>
        <v>644.04899999999998</v>
      </c>
      <c r="G73" s="922">
        <f t="shared" si="70"/>
        <v>0</v>
      </c>
      <c r="H73" s="923">
        <f t="shared" si="71"/>
        <v>0</v>
      </c>
      <c r="I73" s="922">
        <f>(('Table 3 Levels 1&amp;2'!AL70-D73)+('Table 3A Level 3'!C72-F73))*C73</f>
        <v>0</v>
      </c>
      <c r="J73" s="922">
        <f>'[1]Oct midyear LA Conn'!K70</f>
        <v>0</v>
      </c>
      <c r="K73" s="922">
        <f>'[1]Feb midyear LA Conn'!K70</f>
        <v>0</v>
      </c>
      <c r="L73" s="924">
        <f t="shared" si="72"/>
        <v>0</v>
      </c>
      <c r="M73" s="923">
        <f t="shared" si="73"/>
        <v>0</v>
      </c>
      <c r="N73" s="922">
        <f t="shared" si="74"/>
        <v>0</v>
      </c>
      <c r="O73" s="923">
        <f t="shared" si="59"/>
        <v>0</v>
      </c>
      <c r="P73" s="925">
        <v>0</v>
      </c>
      <c r="Q73" s="923">
        <f t="shared" si="75"/>
        <v>0</v>
      </c>
      <c r="R73" s="922">
        <f>'[2]Table 5C3 - LA Connections EBR'!T72+'[14]Table 5C3 - LA Connections EBR'!T72+(6*'[20]Table 5C3 - LA Connections EBR'!T72)</f>
        <v>16035</v>
      </c>
      <c r="S73" s="922">
        <f t="shared" si="76"/>
        <v>-16035</v>
      </c>
      <c r="T73" s="923">
        <f t="shared" si="60"/>
        <v>-4009</v>
      </c>
      <c r="U73" s="923">
        <f t="shared" si="61"/>
        <v>0</v>
      </c>
      <c r="V73" s="926">
        <f>'Table 5C1A-Madison Prep'!U73*90%</f>
        <v>4562.1000000000004</v>
      </c>
      <c r="W73" s="927">
        <f t="shared" si="62"/>
        <v>0</v>
      </c>
      <c r="X73" s="920">
        <f>'[1]Oct midyear LA Conn'!E70</f>
        <v>0</v>
      </c>
      <c r="Y73" s="928">
        <f t="shared" si="77"/>
        <v>0</v>
      </c>
      <c r="Z73" s="1006">
        <f>'[1]Feb midyear LA Conn'!E70</f>
        <v>0</v>
      </c>
      <c r="AA73" s="928">
        <f t="shared" si="63"/>
        <v>0</v>
      </c>
      <c r="AB73" s="929">
        <f t="shared" si="64"/>
        <v>0</v>
      </c>
      <c r="AC73" s="927">
        <f t="shared" si="65"/>
        <v>0</v>
      </c>
      <c r="AD73" s="928">
        <f t="shared" si="66"/>
        <v>0</v>
      </c>
      <c r="AE73" s="927">
        <f t="shared" si="78"/>
        <v>0</v>
      </c>
      <c r="AF73" s="926">
        <v>0</v>
      </c>
      <c r="AG73" s="927">
        <f t="shared" si="79"/>
        <v>0</v>
      </c>
      <c r="AH73" s="928">
        <f>'[2]Table 5C3 - LA Connections EBR'!AJ72+'[14]Table 5C3 - LA Connections EBR'!AJ72+(6*'[20]Table 5C3 - LA Connections EBR'!AJ72)</f>
        <v>13996</v>
      </c>
      <c r="AI73" s="928">
        <f t="shared" si="80"/>
        <v>-13996</v>
      </c>
      <c r="AJ73" s="927">
        <f t="shared" si="67"/>
        <v>-3499</v>
      </c>
      <c r="AK73" s="930">
        <f t="shared" si="68"/>
        <v>0</v>
      </c>
      <c r="AL73" s="930">
        <f t="shared" si="81"/>
        <v>-7508</v>
      </c>
      <c r="AN73" s="922">
        <v>0</v>
      </c>
      <c r="AO73" s="922">
        <f t="shared" si="82"/>
        <v>0</v>
      </c>
      <c r="AP73" s="922">
        <f t="shared" si="83"/>
        <v>0</v>
      </c>
    </row>
    <row r="74" spans="1:42" s="917" customFormat="1" ht="16.149999999999999" customHeight="1">
      <c r="A74" s="918">
        <v>68</v>
      </c>
      <c r="B74" s="919" t="s">
        <v>27</v>
      </c>
      <c r="C74" s="920">
        <f>+'Table 8 Membership 2.1.14'!L70</f>
        <v>0</v>
      </c>
      <c r="D74" s="921">
        <f>'Table 3 Levels 1&amp;2'!AL71*90%</f>
        <v>5751.1479782304541</v>
      </c>
      <c r="E74" s="921">
        <f t="shared" si="69"/>
        <v>0</v>
      </c>
      <c r="F74" s="922">
        <f>'Table 3A Level 3'!C73*90%</f>
        <v>718.83</v>
      </c>
      <c r="G74" s="922">
        <f t="shared" si="70"/>
        <v>0</v>
      </c>
      <c r="H74" s="923">
        <f t="shared" si="71"/>
        <v>0</v>
      </c>
      <c r="I74" s="922">
        <f>(('Table 3 Levels 1&amp;2'!AL71-D74)+('Table 3A Level 3'!C73-F74))*C74</f>
        <v>0</v>
      </c>
      <c r="J74" s="922">
        <f>'[1]Oct midyear LA Conn'!K71</f>
        <v>0</v>
      </c>
      <c r="K74" s="922">
        <f>'[1]Feb midyear LA Conn'!K71</f>
        <v>0</v>
      </c>
      <c r="L74" s="924">
        <f t="shared" si="72"/>
        <v>0</v>
      </c>
      <c r="M74" s="923">
        <f t="shared" si="73"/>
        <v>0</v>
      </c>
      <c r="N74" s="922">
        <f t="shared" si="74"/>
        <v>0</v>
      </c>
      <c r="O74" s="923">
        <f t="shared" si="59"/>
        <v>0</v>
      </c>
      <c r="P74" s="925">
        <v>0</v>
      </c>
      <c r="Q74" s="923">
        <f t="shared" si="75"/>
        <v>0</v>
      </c>
      <c r="R74" s="922">
        <f>'[2]Table 5C3 - LA Connections EBR'!T73+'[14]Table 5C3 - LA Connections EBR'!T73+(6*'[20]Table 5C3 - LA Connections EBR'!T73)</f>
        <v>28045</v>
      </c>
      <c r="S74" s="922">
        <f t="shared" si="76"/>
        <v>-28045</v>
      </c>
      <c r="T74" s="923">
        <f t="shared" si="60"/>
        <v>-7011</v>
      </c>
      <c r="U74" s="923">
        <f t="shared" si="61"/>
        <v>0</v>
      </c>
      <c r="V74" s="926">
        <f>'Table 5C1A-Madison Prep'!U74*90%</f>
        <v>2592</v>
      </c>
      <c r="W74" s="927">
        <f t="shared" si="62"/>
        <v>0</v>
      </c>
      <c r="X74" s="920">
        <f>'[1]Oct midyear LA Conn'!E71</f>
        <v>0</v>
      </c>
      <c r="Y74" s="928">
        <f t="shared" si="77"/>
        <v>0</v>
      </c>
      <c r="Z74" s="1006">
        <f>'[1]Feb midyear LA Conn'!E71</f>
        <v>0</v>
      </c>
      <c r="AA74" s="928">
        <f t="shared" si="63"/>
        <v>0</v>
      </c>
      <c r="AB74" s="929">
        <f t="shared" si="64"/>
        <v>0</v>
      </c>
      <c r="AC74" s="927">
        <f t="shared" si="65"/>
        <v>0</v>
      </c>
      <c r="AD74" s="928">
        <f t="shared" si="66"/>
        <v>0</v>
      </c>
      <c r="AE74" s="927">
        <f t="shared" si="78"/>
        <v>0</v>
      </c>
      <c r="AF74" s="926">
        <v>0</v>
      </c>
      <c r="AG74" s="927">
        <f t="shared" si="79"/>
        <v>0</v>
      </c>
      <c r="AH74" s="928">
        <f>'[2]Table 5C3 - LA Connections EBR'!AJ73+'[14]Table 5C3 - LA Connections EBR'!AJ73+(6*'[20]Table 5C3 - LA Connections EBR'!AJ73)</f>
        <v>10411</v>
      </c>
      <c r="AI74" s="928">
        <f t="shared" si="80"/>
        <v>-10411</v>
      </c>
      <c r="AJ74" s="927">
        <f t="shared" si="67"/>
        <v>-2603</v>
      </c>
      <c r="AK74" s="930">
        <f t="shared" si="68"/>
        <v>0</v>
      </c>
      <c r="AL74" s="930">
        <f t="shared" si="81"/>
        <v>-9614</v>
      </c>
      <c r="AN74" s="922">
        <v>0</v>
      </c>
      <c r="AO74" s="922">
        <f t="shared" si="82"/>
        <v>0</v>
      </c>
      <c r="AP74" s="922">
        <f t="shared" si="83"/>
        <v>0</v>
      </c>
    </row>
    <row r="75" spans="1:42" s="917" customFormat="1" ht="16.149999999999999" customHeight="1">
      <c r="A75" s="918">
        <v>69</v>
      </c>
      <c r="B75" s="919" t="s">
        <v>147</v>
      </c>
      <c r="C75" s="920">
        <f>+'Table 8 Membership 2.1.14'!L71</f>
        <v>0</v>
      </c>
      <c r="D75" s="921">
        <f>'Table 3 Levels 1&amp;2'!AL72*90%</f>
        <v>5150.24531291532</v>
      </c>
      <c r="E75" s="921">
        <f t="shared" si="69"/>
        <v>0</v>
      </c>
      <c r="F75" s="922">
        <f>'Table 3A Level 3'!C74*90%</f>
        <v>635.10299999999995</v>
      </c>
      <c r="G75" s="922">
        <f t="shared" si="70"/>
        <v>0</v>
      </c>
      <c r="H75" s="923">
        <f t="shared" si="71"/>
        <v>0</v>
      </c>
      <c r="I75" s="922">
        <f>(('Table 3 Levels 1&amp;2'!AL72-D75)+('Table 3A Level 3'!C74-F75))*C75</f>
        <v>0</v>
      </c>
      <c r="J75" s="922">
        <f>'[1]Oct midyear LA Conn'!K72</f>
        <v>0</v>
      </c>
      <c r="K75" s="922">
        <f>'[1]Feb midyear LA Conn'!K72</f>
        <v>0</v>
      </c>
      <c r="L75" s="924">
        <f t="shared" si="72"/>
        <v>0</v>
      </c>
      <c r="M75" s="923">
        <f t="shared" si="73"/>
        <v>0</v>
      </c>
      <c r="N75" s="922">
        <f t="shared" si="74"/>
        <v>0</v>
      </c>
      <c r="O75" s="923">
        <f t="shared" si="59"/>
        <v>0</v>
      </c>
      <c r="P75" s="925">
        <v>0</v>
      </c>
      <c r="Q75" s="923">
        <f t="shared" si="75"/>
        <v>0</v>
      </c>
      <c r="R75" s="922">
        <f>'[2]Table 5C3 - LA Connections EBR'!T74+'[14]Table 5C3 - LA Connections EBR'!T74+(6*'[20]Table 5C3 - LA Connections EBR'!T74)</f>
        <v>43227</v>
      </c>
      <c r="S75" s="922">
        <f t="shared" si="76"/>
        <v>-43227</v>
      </c>
      <c r="T75" s="923">
        <f t="shared" si="60"/>
        <v>-10807</v>
      </c>
      <c r="U75" s="923">
        <f>+Q75</f>
        <v>0</v>
      </c>
      <c r="V75" s="926">
        <f>'Table 5C1A-Madison Prep'!U75*90%</f>
        <v>2997</v>
      </c>
      <c r="W75" s="927">
        <f t="shared" si="62"/>
        <v>0</v>
      </c>
      <c r="X75" s="920">
        <f>'[1]Oct midyear LA Conn'!E72</f>
        <v>0</v>
      </c>
      <c r="Y75" s="928">
        <f t="shared" si="77"/>
        <v>0</v>
      </c>
      <c r="Z75" s="1006">
        <f>'[1]Feb midyear LA Conn'!E72</f>
        <v>0</v>
      </c>
      <c r="AA75" s="928">
        <f>+V75*Z75*0.5</f>
        <v>0</v>
      </c>
      <c r="AB75" s="929">
        <f t="shared" ref="AB75" si="84">+Y75+AA75</f>
        <v>0</v>
      </c>
      <c r="AC75" s="927">
        <f t="shared" ref="AC75" si="85">+W75+AB75</f>
        <v>0</v>
      </c>
      <c r="AD75" s="928">
        <f>AC75*-0.25%</f>
        <v>0</v>
      </c>
      <c r="AE75" s="927">
        <f t="shared" si="78"/>
        <v>0</v>
      </c>
      <c r="AF75" s="926">
        <v>0</v>
      </c>
      <c r="AG75" s="927">
        <f t="shared" si="79"/>
        <v>0</v>
      </c>
      <c r="AH75" s="928">
        <f>'[2]Table 5C3 - LA Connections EBR'!AJ74+'[14]Table 5C3 - LA Connections EBR'!AJ74+(6*'[20]Table 5C3 - LA Connections EBR'!AJ74)</f>
        <v>22826</v>
      </c>
      <c r="AI75" s="928">
        <f t="shared" si="80"/>
        <v>-22826</v>
      </c>
      <c r="AJ75" s="927">
        <f t="shared" si="67"/>
        <v>-5707</v>
      </c>
      <c r="AK75" s="930">
        <f>AG75+U75</f>
        <v>0</v>
      </c>
      <c r="AL75" s="930">
        <f t="shared" si="81"/>
        <v>-16514</v>
      </c>
      <c r="AN75" s="944">
        <v>0</v>
      </c>
      <c r="AO75" s="944">
        <f t="shared" si="82"/>
        <v>0</v>
      </c>
      <c r="AP75" s="944">
        <f t="shared" si="83"/>
        <v>0</v>
      </c>
    </row>
    <row r="76" spans="1:42" s="945" customFormat="1" ht="16.149999999999999" customHeight="1" thickBot="1">
      <c r="A76" s="1442" t="s">
        <v>711</v>
      </c>
      <c r="B76" s="1415" t="s">
        <v>260</v>
      </c>
      <c r="C76" s="1001">
        <f>SUM(C7:C75)</f>
        <v>1200</v>
      </c>
      <c r="D76" s="28"/>
      <c r="E76" s="35">
        <f>SUM(E7:E75)</f>
        <v>4947292.5880789561</v>
      </c>
      <c r="F76" s="35"/>
      <c r="G76" s="35">
        <f>SUM(G7:G75)</f>
        <v>758152.35003518523</v>
      </c>
      <c r="H76" s="348">
        <f>SUM(H7:H75)</f>
        <v>5705444.9381141411</v>
      </c>
      <c r="I76" s="70">
        <f>SUM(I7:I75)</f>
        <v>633938.32645712665</v>
      </c>
      <c r="J76" s="37">
        <f>SUM(J7:J75)</f>
        <v>2453891.3391469275</v>
      </c>
      <c r="K76" s="70">
        <f>SUM(K7:K75)</f>
        <v>158009.60268053671</v>
      </c>
      <c r="L76" s="370">
        <f t="shared" ref="L76:U76" si="86">SUM(L7:L75)</f>
        <v>2611900.9418274635</v>
      </c>
      <c r="M76" s="354">
        <f t="shared" si="86"/>
        <v>8317345.879941605</v>
      </c>
      <c r="N76" s="66">
        <f t="shared" si="86"/>
        <v>-20793.364699854017</v>
      </c>
      <c r="O76" s="348">
        <f t="shared" si="86"/>
        <v>8296552.5152417459</v>
      </c>
      <c r="P76" s="66">
        <f t="shared" si="86"/>
        <v>-1131.9382449543045</v>
      </c>
      <c r="Q76" s="365">
        <f t="shared" si="86"/>
        <v>8295420.576996794</v>
      </c>
      <c r="R76" s="70">
        <f t="shared" si="86"/>
        <v>5021307</v>
      </c>
      <c r="S76" s="66">
        <f t="shared" si="86"/>
        <v>3274113.5769967968</v>
      </c>
      <c r="T76" s="354">
        <f t="shared" si="86"/>
        <v>818527</v>
      </c>
      <c r="U76" s="374">
        <f t="shared" si="86"/>
        <v>8295420.576996794</v>
      </c>
      <c r="V76" s="85">
        <f>'Table 5C1A-Madison Prep'!U76*90%</f>
        <v>4232.7</v>
      </c>
      <c r="W76" s="332">
        <f t="shared" ref="W76:AL76" si="87">SUM(W7:W75)</f>
        <v>4825033.2000000011</v>
      </c>
      <c r="X76" s="74">
        <f t="shared" si="87"/>
        <v>523</v>
      </c>
      <c r="Y76" s="75">
        <f t="shared" si="87"/>
        <v>2115205.1999999993</v>
      </c>
      <c r="Z76" s="74">
        <f t="shared" si="87"/>
        <v>75</v>
      </c>
      <c r="AA76" s="75">
        <f t="shared" si="87"/>
        <v>188642.69999999998</v>
      </c>
      <c r="AB76" s="63">
        <f t="shared" si="87"/>
        <v>2303847.9</v>
      </c>
      <c r="AC76" s="330">
        <f t="shared" si="87"/>
        <v>7128881.1000000015</v>
      </c>
      <c r="AD76" s="85">
        <f t="shared" si="87"/>
        <v>-17822.20275</v>
      </c>
      <c r="AE76" s="330">
        <f t="shared" si="87"/>
        <v>7111058.8972500013</v>
      </c>
      <c r="AF76" s="85">
        <f t="shared" si="87"/>
        <v>8365.0500000000011</v>
      </c>
      <c r="AG76" s="332">
        <f t="shared" si="87"/>
        <v>7119423.9472500021</v>
      </c>
      <c r="AH76" s="75">
        <f t="shared" si="87"/>
        <v>4182738</v>
      </c>
      <c r="AI76" s="85">
        <f t="shared" si="87"/>
        <v>2936685.9472500007</v>
      </c>
      <c r="AJ76" s="326">
        <f t="shared" si="87"/>
        <v>734173</v>
      </c>
      <c r="AK76" s="339">
        <f t="shared" si="87"/>
        <v>15414844.524246799</v>
      </c>
      <c r="AL76" s="339">
        <f t="shared" si="87"/>
        <v>1552700</v>
      </c>
      <c r="AN76" s="354">
        <f>SUM(AN7:AN75)</f>
        <v>-12018.091500000002</v>
      </c>
      <c r="AO76" s="354">
        <f>SUM(AO7:AO75)</f>
        <v>-17822.20275</v>
      </c>
      <c r="AP76" s="354">
        <f>SUM(AP7:AP75)</f>
        <v>-5804.1112500000008</v>
      </c>
    </row>
    <row r="77" spans="1:42" ht="16.149999999999999" customHeight="1" thickTop="1">
      <c r="A77" s="1547" t="s">
        <v>705</v>
      </c>
      <c r="B77" s="1552"/>
      <c r="C77" s="289"/>
      <c r="D77" s="220"/>
      <c r="E77" s="220"/>
      <c r="F77" s="220"/>
      <c r="G77" s="220"/>
      <c r="H77" s="220"/>
      <c r="I77" s="222"/>
      <c r="J77" s="222"/>
      <c r="K77" s="222"/>
      <c r="L77" s="220"/>
      <c r="M77" s="222"/>
      <c r="N77" s="222"/>
      <c r="O77" s="220"/>
      <c r="P77" s="222"/>
      <c r="Q77" s="295">
        <f>+'Table 4 Level 4'!$E$100</f>
        <v>0</v>
      </c>
      <c r="R77" s="222">
        <f>'[2]Table 5C3 - LA Connections EBR'!T76+'[14]Table 5C3 - LA Connections EBR'!T76+(6*'[20]Table 5C3 - LA Connections EBR'!T76)</f>
        <v>0</v>
      </c>
      <c r="S77" s="222">
        <f t="shared" ref="S77:S81" si="88">Q77-R77</f>
        <v>0</v>
      </c>
      <c r="T77" s="295">
        <f t="shared" ref="T77" si="89">ROUND(S77/$T$88,0)</f>
        <v>0</v>
      </c>
      <c r="U77" s="371">
        <f>+'Table 4 Level 4'!$E$100</f>
        <v>0</v>
      </c>
      <c r="V77" s="290"/>
      <c r="W77" s="289"/>
      <c r="X77" s="289"/>
      <c r="Y77" s="289"/>
      <c r="Z77" s="289"/>
      <c r="AA77" s="290"/>
      <c r="AB77" s="293"/>
      <c r="AC77" s="290"/>
      <c r="AD77" s="293"/>
      <c r="AE77" s="293"/>
      <c r="AF77" s="293"/>
      <c r="AG77" s="293"/>
      <c r="AH77" s="293"/>
      <c r="AI77" s="293"/>
      <c r="AJ77" s="293"/>
      <c r="AK77" s="321">
        <f t="shared" ref="AK77:AK81" si="90">AG77+U77</f>
        <v>0</v>
      </c>
      <c r="AL77" s="930">
        <f t="shared" ref="AL77:AL81" si="91">T77+AJ77</f>
        <v>0</v>
      </c>
    </row>
    <row r="78" spans="1:42" ht="16.149999999999999" customHeight="1">
      <c r="A78" s="1549" t="s">
        <v>706</v>
      </c>
      <c r="B78" s="1553"/>
      <c r="C78" s="289"/>
      <c r="D78" s="220"/>
      <c r="E78" s="220"/>
      <c r="F78" s="220"/>
      <c r="G78" s="220"/>
      <c r="H78" s="220"/>
      <c r="I78" s="222"/>
      <c r="J78" s="222"/>
      <c r="K78" s="222"/>
      <c r="L78" s="220"/>
      <c r="M78" s="222"/>
      <c r="N78" s="222"/>
      <c r="O78" s="220"/>
      <c r="P78" s="222"/>
      <c r="Q78" s="222"/>
      <c r="R78" s="222"/>
      <c r="S78" s="222"/>
      <c r="T78" s="222"/>
      <c r="U78" s="371">
        <f>+'Table 4 Level 4'!$J$100</f>
        <v>0</v>
      </c>
      <c r="V78" s="290"/>
      <c r="W78" s="289"/>
      <c r="X78" s="289"/>
      <c r="Y78" s="289"/>
      <c r="Z78" s="289"/>
      <c r="AA78" s="290"/>
      <c r="AB78" s="293"/>
      <c r="AC78" s="290"/>
      <c r="AD78" s="293"/>
      <c r="AE78" s="293"/>
      <c r="AF78" s="293"/>
      <c r="AG78" s="293"/>
      <c r="AH78" s="293"/>
      <c r="AI78" s="293"/>
      <c r="AJ78" s="293"/>
      <c r="AK78" s="293">
        <f t="shared" si="90"/>
        <v>0</v>
      </c>
      <c r="AL78" s="930">
        <f t="shared" si="91"/>
        <v>0</v>
      </c>
    </row>
    <row r="79" spans="1:42" ht="16.149999999999999" customHeight="1">
      <c r="A79" s="1549" t="s">
        <v>707</v>
      </c>
      <c r="B79" s="1553"/>
      <c r="C79" s="289"/>
      <c r="D79" s="220"/>
      <c r="E79" s="220"/>
      <c r="F79" s="220"/>
      <c r="G79" s="220"/>
      <c r="H79" s="220"/>
      <c r="I79" s="222"/>
      <c r="J79" s="222"/>
      <c r="K79" s="222"/>
      <c r="L79" s="220"/>
      <c r="M79" s="222"/>
      <c r="N79" s="222"/>
      <c r="O79" s="220"/>
      <c r="P79" s="222"/>
      <c r="Q79" s="222"/>
      <c r="R79" s="222"/>
      <c r="S79" s="222"/>
      <c r="T79" s="222"/>
      <c r="U79" s="371">
        <f>+'Table 4 Level 4'!$L$100</f>
        <v>10000</v>
      </c>
      <c r="V79" s="290"/>
      <c r="W79" s="289"/>
      <c r="X79" s="289"/>
      <c r="Y79" s="289"/>
      <c r="Z79" s="289"/>
      <c r="AA79" s="290"/>
      <c r="AB79" s="293"/>
      <c r="AC79" s="290"/>
      <c r="AD79" s="293"/>
      <c r="AE79" s="293"/>
      <c r="AF79" s="293"/>
      <c r="AG79" s="293"/>
      <c r="AH79" s="293"/>
      <c r="AI79" s="293"/>
      <c r="AJ79" s="293"/>
      <c r="AK79" s="293">
        <f t="shared" si="90"/>
        <v>10000</v>
      </c>
      <c r="AL79" s="930">
        <f t="shared" si="91"/>
        <v>0</v>
      </c>
    </row>
    <row r="80" spans="1:42" ht="16.149999999999999" customHeight="1">
      <c r="A80" s="1549" t="s">
        <v>708</v>
      </c>
      <c r="B80" s="1553"/>
      <c r="C80" s="289"/>
      <c r="D80" s="220"/>
      <c r="E80" s="220"/>
      <c r="F80" s="220"/>
      <c r="G80" s="220"/>
      <c r="H80" s="220"/>
      <c r="I80" s="222"/>
      <c r="J80" s="222"/>
      <c r="K80" s="222"/>
      <c r="L80" s="220"/>
      <c r="M80" s="222"/>
      <c r="N80" s="222"/>
      <c r="O80" s="220"/>
      <c r="P80" s="222"/>
      <c r="Q80" s="222"/>
      <c r="R80" s="222"/>
      <c r="S80" s="222"/>
      <c r="T80" s="222"/>
      <c r="U80" s="371">
        <f>+'Table 4 Level 4'!$M$100</f>
        <v>0</v>
      </c>
      <c r="V80" s="290"/>
      <c r="W80" s="289"/>
      <c r="X80" s="289"/>
      <c r="Y80" s="289"/>
      <c r="Z80" s="289"/>
      <c r="AA80" s="290"/>
      <c r="AB80" s="293"/>
      <c r="AC80" s="290"/>
      <c r="AD80" s="293"/>
      <c r="AE80" s="293"/>
      <c r="AF80" s="293"/>
      <c r="AG80" s="293"/>
      <c r="AH80" s="293"/>
      <c r="AI80" s="293"/>
      <c r="AJ80" s="293"/>
      <c r="AK80" s="293">
        <f t="shared" si="90"/>
        <v>0</v>
      </c>
      <c r="AL80" s="930">
        <f t="shared" si="91"/>
        <v>0</v>
      </c>
    </row>
    <row r="81" spans="1:38" ht="16.149999999999999" customHeight="1">
      <c r="A81" s="1554" t="s">
        <v>709</v>
      </c>
      <c r="B81" s="1555"/>
      <c r="C81" s="301"/>
      <c r="D81" s="215"/>
      <c r="E81" s="215"/>
      <c r="F81" s="215"/>
      <c r="G81" s="215"/>
      <c r="H81" s="215"/>
      <c r="I81" s="217"/>
      <c r="J81" s="217"/>
      <c r="K81" s="217"/>
      <c r="L81" s="215"/>
      <c r="M81" s="217"/>
      <c r="N81" s="217"/>
      <c r="O81" s="215"/>
      <c r="P81" s="217"/>
      <c r="Q81" s="353">
        <f>+'Table 4 Level 4'!$O$100</f>
        <v>20020</v>
      </c>
      <c r="R81" s="217">
        <f>'[2]Table 5C3 - LA Connections EBR'!T80+'[14]Table 5C3 - LA Connections EBR'!T80+(6*'[20]Table 5C3 - LA Connections EBR'!T80)</f>
        <v>13344</v>
      </c>
      <c r="S81" s="217">
        <f t="shared" si="88"/>
        <v>6676</v>
      </c>
      <c r="T81" s="353">
        <f>ROUND(S81/$T$88,0)</f>
        <v>1669</v>
      </c>
      <c r="U81" s="372">
        <f>Q81</f>
        <v>20020</v>
      </c>
      <c r="V81" s="302"/>
      <c r="W81" s="301"/>
      <c r="X81" s="301"/>
      <c r="Y81" s="301"/>
      <c r="Z81" s="301"/>
      <c r="AA81" s="302"/>
      <c r="AB81" s="307"/>
      <c r="AC81" s="302"/>
      <c r="AD81" s="307"/>
      <c r="AE81" s="307"/>
      <c r="AF81" s="307"/>
      <c r="AG81" s="307"/>
      <c r="AH81" s="307"/>
      <c r="AI81" s="307"/>
      <c r="AJ81" s="307"/>
      <c r="AK81" s="322">
        <f t="shared" si="90"/>
        <v>20020</v>
      </c>
      <c r="AL81" s="943">
        <f t="shared" si="91"/>
        <v>1669</v>
      </c>
    </row>
    <row r="82" spans="1:38" ht="16.149999999999999" customHeight="1" thickBot="1">
      <c r="A82" s="1442" t="s">
        <v>710</v>
      </c>
      <c r="B82" s="1415"/>
      <c r="C82" s="136">
        <f>SUM(C76:C81)</f>
        <v>1200</v>
      </c>
      <c r="D82" s="128">
        <f t="shared" ref="D82:AL82" si="92">SUM(D76:D81)</f>
        <v>0</v>
      </c>
      <c r="E82" s="128">
        <f t="shared" si="92"/>
        <v>4947292.5880789561</v>
      </c>
      <c r="F82" s="128">
        <f t="shared" si="92"/>
        <v>0</v>
      </c>
      <c r="G82" s="128">
        <f t="shared" si="92"/>
        <v>758152.35003518523</v>
      </c>
      <c r="H82" s="128">
        <f t="shared" si="92"/>
        <v>5705444.9381141411</v>
      </c>
      <c r="I82" s="133">
        <f t="shared" si="92"/>
        <v>633938.32645712665</v>
      </c>
      <c r="J82" s="134">
        <f t="shared" si="92"/>
        <v>2453891.3391469275</v>
      </c>
      <c r="K82" s="133">
        <f t="shared" si="92"/>
        <v>158009.60268053671</v>
      </c>
      <c r="L82" s="128">
        <f t="shared" si="92"/>
        <v>2611900.9418274635</v>
      </c>
      <c r="M82" s="133">
        <f t="shared" si="92"/>
        <v>8317345.879941605</v>
      </c>
      <c r="N82" s="133">
        <f t="shared" si="92"/>
        <v>-20793.364699854017</v>
      </c>
      <c r="O82" s="128">
        <f t="shared" si="92"/>
        <v>8296552.5152417459</v>
      </c>
      <c r="P82" s="133">
        <f t="shared" si="92"/>
        <v>-1131.9382449543045</v>
      </c>
      <c r="Q82" s="355">
        <f t="shared" si="92"/>
        <v>8315440.576996794</v>
      </c>
      <c r="R82" s="133">
        <f t="shared" si="92"/>
        <v>5034651</v>
      </c>
      <c r="S82" s="133">
        <f t="shared" si="92"/>
        <v>3280789.5769967968</v>
      </c>
      <c r="T82" s="355">
        <f t="shared" si="92"/>
        <v>820196</v>
      </c>
      <c r="U82" s="373">
        <f t="shared" si="92"/>
        <v>8325440.576996794</v>
      </c>
      <c r="V82" s="134">
        <f t="shared" si="92"/>
        <v>4232.7</v>
      </c>
      <c r="W82" s="136">
        <f t="shared" si="92"/>
        <v>4825033.2000000011</v>
      </c>
      <c r="X82" s="136">
        <f t="shared" si="92"/>
        <v>523</v>
      </c>
      <c r="Y82" s="136">
        <f t="shared" si="92"/>
        <v>2115205.1999999993</v>
      </c>
      <c r="Z82" s="136">
        <f t="shared" si="92"/>
        <v>75</v>
      </c>
      <c r="AA82" s="134">
        <f t="shared" si="92"/>
        <v>188642.69999999998</v>
      </c>
      <c r="AB82" s="134">
        <f t="shared" si="92"/>
        <v>2303847.9</v>
      </c>
      <c r="AC82" s="134">
        <f t="shared" si="92"/>
        <v>7128881.1000000015</v>
      </c>
      <c r="AD82" s="134">
        <f t="shared" si="92"/>
        <v>-17822.20275</v>
      </c>
      <c r="AE82" s="134">
        <f t="shared" si="92"/>
        <v>7111058.8972500013</v>
      </c>
      <c r="AF82" s="134">
        <f t="shared" si="92"/>
        <v>8365.0500000000011</v>
      </c>
      <c r="AG82" s="134">
        <f t="shared" si="92"/>
        <v>7119423.9472500021</v>
      </c>
      <c r="AH82" s="134">
        <f t="shared" si="92"/>
        <v>4182738</v>
      </c>
      <c r="AI82" s="134">
        <f t="shared" si="92"/>
        <v>2936685.9472500007</v>
      </c>
      <c r="AJ82" s="135">
        <f t="shared" si="92"/>
        <v>734173</v>
      </c>
      <c r="AK82" s="320">
        <f t="shared" si="92"/>
        <v>15444864.524246799</v>
      </c>
      <c r="AL82" s="320">
        <f t="shared" si="92"/>
        <v>1554369</v>
      </c>
    </row>
    <row r="83" spans="1:38" ht="16.149999999999999" hidden="1" customHeight="1" thickTop="1"/>
    <row r="84" spans="1:38" ht="16.149999999999999" hidden="1" customHeight="1">
      <c r="N84" s="949">
        <v>-14263.612345285348</v>
      </c>
      <c r="O84" s="889" t="s">
        <v>1044</v>
      </c>
    </row>
    <row r="85" spans="1:38" ht="16.149999999999999" hidden="1" customHeight="1">
      <c r="N85" s="949">
        <f>N82-N84</f>
        <v>-6529.752354568669</v>
      </c>
      <c r="O85" s="889" t="s">
        <v>1045</v>
      </c>
    </row>
    <row r="86" spans="1:38" ht="16.149999999999999" hidden="1" customHeight="1">
      <c r="N86" s="949"/>
    </row>
    <row r="87" spans="1:38" ht="16.149999999999999" hidden="1" customHeight="1">
      <c r="N87" s="949"/>
    </row>
    <row r="88" spans="1:38" ht="16.149999999999999" hidden="1" customHeight="1">
      <c r="N88" s="949"/>
      <c r="S88" s="889" t="str">
        <f>'Table 2_State Distrib and Adjs'!$AK$77</f>
        <v>Monthly Pmts Remaining</v>
      </c>
      <c r="T88" s="889">
        <f>'Table 2_State Distrib and Adjs'!$AL$77</f>
        <v>4</v>
      </c>
      <c r="AI88" s="889" t="str">
        <f>'Table 2_State Distrib and Adjs'!$AK$77</f>
        <v>Monthly Pmts Remaining</v>
      </c>
      <c r="AJ88" s="889">
        <f>'Table 2_State Distrib and Adjs'!$AL$77</f>
        <v>4</v>
      </c>
    </row>
    <row r="89" spans="1:38" ht="16.149999999999999" customHeight="1" thickTop="1">
      <c r="G89" s="952"/>
    </row>
    <row r="90" spans="1:38" ht="16.149999999999999" customHeight="1"/>
    <row r="91" spans="1:38" ht="16.149999999999999" customHeight="1"/>
  </sheetData>
  <mergeCells count="47">
    <mergeCell ref="AD1:AJ1"/>
    <mergeCell ref="V1:AC1"/>
    <mergeCell ref="J2:L2"/>
    <mergeCell ref="X2:AB2"/>
    <mergeCell ref="R3:R4"/>
    <mergeCell ref="J3:J4"/>
    <mergeCell ref="K3:K4"/>
    <mergeCell ref="L3:L4"/>
    <mergeCell ref="M3:M4"/>
    <mergeCell ref="A1:B4"/>
    <mergeCell ref="C3:C4"/>
    <mergeCell ref="E3:E4"/>
    <mergeCell ref="C1:L1"/>
    <mergeCell ref="M1:U1"/>
    <mergeCell ref="T3:T4"/>
    <mergeCell ref="F3:F4"/>
    <mergeCell ref="G3:G4"/>
    <mergeCell ref="H3:H4"/>
    <mergeCell ref="I3:I4"/>
    <mergeCell ref="D3:D4"/>
    <mergeCell ref="U3:U4"/>
    <mergeCell ref="O3:O4"/>
    <mergeCell ref="P3:P4"/>
    <mergeCell ref="Q3:Q4"/>
    <mergeCell ref="S3:S4"/>
    <mergeCell ref="AL3:AL4"/>
    <mergeCell ref="V3:V4"/>
    <mergeCell ref="W3:W4"/>
    <mergeCell ref="AE3:AE4"/>
    <mergeCell ref="AF3:AF4"/>
    <mergeCell ref="X3:X4"/>
    <mergeCell ref="Y3:Y4"/>
    <mergeCell ref="Z3:Z4"/>
    <mergeCell ref="AG3:AG4"/>
    <mergeCell ref="AK3:AK4"/>
    <mergeCell ref="AC3:AC4"/>
    <mergeCell ref="AI3:AI4"/>
    <mergeCell ref="AH3:AH4"/>
    <mergeCell ref="AA3:AA4"/>
    <mergeCell ref="AJ3:AJ4"/>
    <mergeCell ref="A76:B76"/>
    <mergeCell ref="A81:B81"/>
    <mergeCell ref="A82:B82"/>
    <mergeCell ref="A77:B77"/>
    <mergeCell ref="A78:B78"/>
    <mergeCell ref="A79:B79"/>
    <mergeCell ref="A80:B80"/>
  </mergeCells>
  <printOptions horizontalCentered="1"/>
  <pageMargins left="0.32" right="0.32" top="0.75" bottom="0.75" header="0.3" footer="0.3"/>
  <pageSetup paperSize="5" scale="58" firstPageNumber="69" orientation="portrait" r:id="rId1"/>
  <headerFooter alignWithMargins="0">
    <oddHeader>&amp;L&amp;"Arial,Bold"&amp;20&amp;K000000Table 5C3: FY2014-15 Budget Letter (March 2015)
Louisiana Connections Academy</oddHeader>
    <oddFooter>&amp;R&amp;P</oddFooter>
  </headerFooter>
  <colBreaks count="2" manualBreakCount="2">
    <brk id="21" max="85" man="1"/>
    <brk id="29" max="8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M81"/>
  <sheetViews>
    <sheetView view="pageBreakPreview" zoomScale="90" zoomScaleNormal="85" zoomScaleSheetLayoutView="90" workbookViewId="0">
      <pane xSplit="2" ySplit="5" topLeftCell="C6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4.7109375" style="427" customWidth="1"/>
    <col min="2" max="2" width="18.5703125" style="427" customWidth="1"/>
    <col min="3" max="3" width="14.7109375" style="427" bestFit="1" customWidth="1"/>
    <col min="4" max="4" width="15.42578125" style="427" bestFit="1" customWidth="1"/>
    <col min="5" max="5" width="13" style="427" customWidth="1"/>
    <col min="6" max="6" width="14.85546875" style="427" customWidth="1"/>
    <col min="7" max="7" width="15.140625" style="427" customWidth="1"/>
    <col min="8" max="8" width="13" style="427" customWidth="1"/>
    <col min="9" max="9" width="11.7109375" style="427" bestFit="1" customWidth="1"/>
    <col min="10" max="10" width="14.42578125" style="427" bestFit="1" customWidth="1"/>
    <col min="11" max="11" width="13.7109375" style="427" customWidth="1"/>
    <col min="12" max="12" width="8.85546875" style="427"/>
    <col min="13" max="13" width="12.7109375" style="427" customWidth="1"/>
    <col min="14" max="16384" width="8.85546875" style="427"/>
  </cols>
  <sheetData>
    <row r="1" spans="1:13" ht="15" hidden="1" customHeight="1">
      <c r="A1" s="418"/>
      <c r="B1" s="418"/>
      <c r="C1" s="425"/>
      <c r="D1" s="425"/>
      <c r="E1" s="957">
        <f>'Table 7 Local Revenue'!AD76</f>
        <v>40.97</v>
      </c>
      <c r="F1" s="425"/>
      <c r="G1" s="425"/>
      <c r="H1" s="958">
        <f>'Table 7 Local Revenue'!AF76</f>
        <v>1.9800000000000002E-2</v>
      </c>
      <c r="I1" s="425"/>
      <c r="J1" s="425"/>
    </row>
    <row r="2" spans="1:13" ht="18.600000000000001" customHeight="1">
      <c r="A2" s="1356" t="s">
        <v>140</v>
      </c>
      <c r="B2" s="1356" t="s">
        <v>1</v>
      </c>
      <c r="C2" s="1614" t="s">
        <v>762</v>
      </c>
      <c r="D2" s="1615"/>
      <c r="E2" s="1616"/>
      <c r="F2" s="1619" t="s">
        <v>763</v>
      </c>
      <c r="G2" s="1620"/>
      <c r="H2" s="1621"/>
      <c r="I2" s="1622" t="s">
        <v>592</v>
      </c>
      <c r="J2" s="1400" t="s">
        <v>764</v>
      </c>
    </row>
    <row r="3" spans="1:13" ht="72.599999999999994" customHeight="1">
      <c r="A3" s="1612"/>
      <c r="B3" s="1612"/>
      <c r="C3" s="1617" t="s">
        <v>477</v>
      </c>
      <c r="D3" s="1617" t="s">
        <v>478</v>
      </c>
      <c r="E3" s="641" t="s">
        <v>595</v>
      </c>
      <c r="F3" s="1618" t="s">
        <v>479</v>
      </c>
      <c r="G3" s="1618" t="s">
        <v>593</v>
      </c>
      <c r="H3" s="642" t="s">
        <v>594</v>
      </c>
      <c r="I3" s="1512"/>
      <c r="J3" s="1401"/>
    </row>
    <row r="4" spans="1:13" ht="15.75" customHeight="1">
      <c r="A4" s="1613"/>
      <c r="B4" s="1613"/>
      <c r="C4" s="1617"/>
      <c r="D4" s="1617"/>
      <c r="E4" s="959">
        <f>'Table 7 Local Revenue'!AD76*F79</f>
        <v>16.601043999999998</v>
      </c>
      <c r="F4" s="1618"/>
      <c r="G4" s="1618"/>
      <c r="H4" s="960">
        <f>'Table 7 Local Revenue'!AF76*F79</f>
        <v>8.0229600000000009E-3</v>
      </c>
      <c r="I4" s="1623"/>
      <c r="J4" s="1367"/>
    </row>
    <row r="5" spans="1:13" ht="14.45" customHeight="1">
      <c r="A5" s="439"/>
      <c r="B5" s="439"/>
      <c r="C5" s="444">
        <v>1</v>
      </c>
      <c r="D5" s="443">
        <f t="shared" ref="D5:J5" si="0">1+C5</f>
        <v>2</v>
      </c>
      <c r="E5" s="443">
        <f t="shared" si="0"/>
        <v>3</v>
      </c>
      <c r="F5" s="443">
        <f t="shared" si="0"/>
        <v>4</v>
      </c>
      <c r="G5" s="443">
        <f t="shared" si="0"/>
        <v>5</v>
      </c>
      <c r="H5" s="443">
        <f t="shared" si="0"/>
        <v>6</v>
      </c>
      <c r="I5" s="442">
        <f t="shared" si="0"/>
        <v>7</v>
      </c>
      <c r="J5" s="443">
        <f t="shared" si="0"/>
        <v>8</v>
      </c>
    </row>
    <row r="6" spans="1:13" ht="15" customHeight="1">
      <c r="A6" s="445">
        <v>1</v>
      </c>
      <c r="B6" s="675" t="s">
        <v>73</v>
      </c>
      <c r="C6" s="447">
        <f>'Table 7 Local Revenue'!AE7</f>
        <v>9191385</v>
      </c>
      <c r="D6" s="447">
        <f>'Table 7 Local Revenue'!H7</f>
        <v>295378020</v>
      </c>
      <c r="E6" s="447">
        <f t="shared" ref="E6:E37" si="1">ROUND(D6*$E$4/1000,0)</f>
        <v>4903584</v>
      </c>
      <c r="F6" s="682">
        <f>'Table 7 Local Revenue'!AI7</f>
        <v>11807323</v>
      </c>
      <c r="G6" s="447">
        <f>'Table 7 Local Revenue'!AM7</f>
        <v>787154867</v>
      </c>
      <c r="H6" s="447">
        <f t="shared" ref="H6:H37" si="2">ROUND(G6*$H$4,0)</f>
        <v>6315312</v>
      </c>
      <c r="I6" s="961">
        <f>'Table 7 Local Revenue'!AP7</f>
        <v>498512.5</v>
      </c>
      <c r="J6" s="962">
        <f t="shared" ref="J6:J37" si="3">E6+H6+I6</f>
        <v>11717408.5</v>
      </c>
    </row>
    <row r="7" spans="1:13" ht="15" customHeight="1">
      <c r="A7" s="445">
        <v>2</v>
      </c>
      <c r="B7" s="675" t="s">
        <v>74</v>
      </c>
      <c r="C7" s="447">
        <f>'Table 7 Local Revenue'!AE8</f>
        <v>4021910</v>
      </c>
      <c r="D7" s="447">
        <f>'Table 7 Local Revenue'!H8</f>
        <v>83837995</v>
      </c>
      <c r="E7" s="447">
        <f t="shared" si="1"/>
        <v>1391798</v>
      </c>
      <c r="F7" s="682">
        <f>'Table 7 Local Revenue'!AI8</f>
        <v>7341075</v>
      </c>
      <c r="G7" s="447">
        <f>'Table 7 Local Revenue'!AM8</f>
        <v>244702500</v>
      </c>
      <c r="H7" s="447">
        <f t="shared" si="2"/>
        <v>1963238</v>
      </c>
      <c r="I7" s="961">
        <f>'Table 7 Local Revenue'!AP8</f>
        <v>101185</v>
      </c>
      <c r="J7" s="962">
        <f t="shared" si="3"/>
        <v>3456221</v>
      </c>
    </row>
    <row r="8" spans="1:13" ht="15" customHeight="1">
      <c r="A8" s="445">
        <v>3</v>
      </c>
      <c r="B8" s="675" t="s">
        <v>75</v>
      </c>
      <c r="C8" s="447">
        <f>'Table 7 Local Revenue'!AE9</f>
        <v>58686723</v>
      </c>
      <c r="D8" s="447">
        <f>'Table 7 Local Revenue'!H9</f>
        <v>951983926</v>
      </c>
      <c r="E8" s="447">
        <f t="shared" si="1"/>
        <v>15803927</v>
      </c>
      <c r="F8" s="682">
        <f>'Table 7 Local Revenue'!AI9</f>
        <v>59160535</v>
      </c>
      <c r="G8" s="447">
        <f>'Table 7 Local Revenue'!AM9</f>
        <v>2864876895</v>
      </c>
      <c r="H8" s="447">
        <f t="shared" si="2"/>
        <v>22984793</v>
      </c>
      <c r="I8" s="961">
        <f>'Table 7 Local Revenue'!AP9</f>
        <v>201912</v>
      </c>
      <c r="J8" s="962">
        <f t="shared" si="3"/>
        <v>38990632</v>
      </c>
    </row>
    <row r="9" spans="1:13" ht="15" customHeight="1">
      <c r="A9" s="445">
        <v>4</v>
      </c>
      <c r="B9" s="675" t="s">
        <v>76</v>
      </c>
      <c r="C9" s="447">
        <f>'Table 7 Local Revenue'!AE10</f>
        <v>5586528</v>
      </c>
      <c r="D9" s="447">
        <f>'Table 7 Local Revenue'!H10</f>
        <v>142951402</v>
      </c>
      <c r="E9" s="447">
        <f t="shared" si="1"/>
        <v>2373143</v>
      </c>
      <c r="F9" s="682">
        <f>'Table 7 Local Revenue'!AI10</f>
        <v>7069565</v>
      </c>
      <c r="G9" s="447">
        <f>'Table 7 Local Revenue'!AM10</f>
        <v>235652167</v>
      </c>
      <c r="H9" s="447">
        <f t="shared" si="2"/>
        <v>1890628</v>
      </c>
      <c r="I9" s="961">
        <f>'Table 7 Local Revenue'!AP10</f>
        <v>113761.5</v>
      </c>
      <c r="J9" s="962">
        <f t="shared" si="3"/>
        <v>4377532.5</v>
      </c>
    </row>
    <row r="10" spans="1:13" ht="15" customHeight="1">
      <c r="A10" s="463">
        <v>5</v>
      </c>
      <c r="B10" s="693" t="s">
        <v>77</v>
      </c>
      <c r="C10" s="465">
        <f>'Table 7 Local Revenue'!AE11</f>
        <v>2821313</v>
      </c>
      <c r="D10" s="465">
        <f>'Table 7 Local Revenue'!H11</f>
        <v>110946858.00000001</v>
      </c>
      <c r="E10" s="465">
        <f t="shared" si="1"/>
        <v>1841834</v>
      </c>
      <c r="F10" s="701">
        <f>'Table 7 Local Revenue'!AI11</f>
        <v>7951403</v>
      </c>
      <c r="G10" s="465">
        <f>'Table 7 Local Revenue'!AM11</f>
        <v>454365886</v>
      </c>
      <c r="H10" s="465">
        <f t="shared" si="2"/>
        <v>3645359</v>
      </c>
      <c r="I10" s="963">
        <f>'Table 7 Local Revenue'!AP11</f>
        <v>862477</v>
      </c>
      <c r="J10" s="964">
        <f t="shared" si="3"/>
        <v>6349670</v>
      </c>
    </row>
    <row r="11" spans="1:13" ht="15" customHeight="1">
      <c r="A11" s="445">
        <v>6</v>
      </c>
      <c r="B11" s="675" t="s">
        <v>78</v>
      </c>
      <c r="C11" s="447">
        <f>'Table 7 Local Revenue'!AE12</f>
        <v>11382297</v>
      </c>
      <c r="D11" s="447">
        <f>'Table 7 Local Revenue'!H12</f>
        <v>223025777</v>
      </c>
      <c r="E11" s="447">
        <f t="shared" si="1"/>
        <v>3702461</v>
      </c>
      <c r="F11" s="682">
        <f>'Table 7 Local Revenue'!AI12</f>
        <v>10864481</v>
      </c>
      <c r="G11" s="447">
        <f>'Table 7 Local Revenue'!AM12</f>
        <v>543224050</v>
      </c>
      <c r="H11" s="447">
        <f t="shared" si="2"/>
        <v>4358265</v>
      </c>
      <c r="I11" s="961">
        <f>'Table 7 Local Revenue'!AP12</f>
        <v>320094.5</v>
      </c>
      <c r="J11" s="962">
        <f t="shared" si="3"/>
        <v>8380820.5</v>
      </c>
    </row>
    <row r="12" spans="1:13" ht="15" customHeight="1">
      <c r="A12" s="445">
        <v>7</v>
      </c>
      <c r="B12" s="675" t="s">
        <v>79</v>
      </c>
      <c r="C12" s="447">
        <f>'Table 7 Local Revenue'!AE13</f>
        <v>21900957</v>
      </c>
      <c r="D12" s="447">
        <f>'Table 7 Local Revenue'!H13</f>
        <v>379221108</v>
      </c>
      <c r="E12" s="447">
        <f t="shared" si="1"/>
        <v>6295466</v>
      </c>
      <c r="F12" s="682">
        <f>'Table 7 Local Revenue'!AI13</f>
        <v>4379724</v>
      </c>
      <c r="G12" s="447">
        <f>'Table 7 Local Revenue'!AM13</f>
        <v>218986200</v>
      </c>
      <c r="H12" s="447">
        <f t="shared" si="2"/>
        <v>1756918</v>
      </c>
      <c r="I12" s="961">
        <f>'Table 7 Local Revenue'!AP13</f>
        <v>170485</v>
      </c>
      <c r="J12" s="962">
        <f t="shared" si="3"/>
        <v>8222869</v>
      </c>
    </row>
    <row r="13" spans="1:13" ht="15" customHeight="1">
      <c r="A13" s="445">
        <v>8</v>
      </c>
      <c r="B13" s="675" t="s">
        <v>80</v>
      </c>
      <c r="C13" s="447">
        <f>'Table 7 Local Revenue'!AE14</f>
        <v>46223489</v>
      </c>
      <c r="D13" s="447">
        <f>'Table 7 Local Revenue'!H14</f>
        <v>910503364</v>
      </c>
      <c r="E13" s="447">
        <f t="shared" si="1"/>
        <v>15115306</v>
      </c>
      <c r="F13" s="682">
        <f>'Table 7 Local Revenue'!AI14</f>
        <v>41235031</v>
      </c>
      <c r="G13" s="447">
        <f>'Table 7 Local Revenue'!AM14</f>
        <v>2356287486</v>
      </c>
      <c r="H13" s="447">
        <f t="shared" si="2"/>
        <v>18904400</v>
      </c>
      <c r="I13" s="961">
        <f>'Table 7 Local Revenue'!AP14</f>
        <v>601391.5</v>
      </c>
      <c r="J13" s="962">
        <f t="shared" si="3"/>
        <v>34621097.5</v>
      </c>
    </row>
    <row r="14" spans="1:13" ht="15" customHeight="1">
      <c r="A14" s="445">
        <v>9</v>
      </c>
      <c r="B14" s="675" t="s">
        <v>81</v>
      </c>
      <c r="C14" s="447">
        <f>'Table 7 Local Revenue'!AE15</f>
        <v>121438090</v>
      </c>
      <c r="D14" s="447">
        <f>'Table 7 Local Revenue'!H15</f>
        <v>1627210620</v>
      </c>
      <c r="E14" s="447">
        <f t="shared" si="1"/>
        <v>27013395</v>
      </c>
      <c r="F14" s="682">
        <f>'Table 7 Local Revenue'!AI15</f>
        <v>71286828</v>
      </c>
      <c r="G14" s="447">
        <f>'Table 7 Local Revenue'!AM15</f>
        <v>4752455200</v>
      </c>
      <c r="H14" s="447">
        <f t="shared" si="2"/>
        <v>38128758</v>
      </c>
      <c r="I14" s="961">
        <f>'Table 7 Local Revenue'!AP15</f>
        <v>2449843</v>
      </c>
      <c r="J14" s="962">
        <f t="shared" si="3"/>
        <v>67591996</v>
      </c>
    </row>
    <row r="15" spans="1:13" ht="15" customHeight="1">
      <c r="A15" s="463">
        <v>10</v>
      </c>
      <c r="B15" s="693" t="s">
        <v>82</v>
      </c>
      <c r="C15" s="465">
        <f>'Table 7 Local Revenue'!AE16</f>
        <v>52179716</v>
      </c>
      <c r="D15" s="465">
        <f>'Table 7 Local Revenue'!H16</f>
        <v>1651677335</v>
      </c>
      <c r="E15" s="465">
        <f t="shared" si="1"/>
        <v>27419568</v>
      </c>
      <c r="F15" s="701">
        <f>'Table 7 Local Revenue'!AI16</f>
        <v>93741443</v>
      </c>
      <c r="G15" s="465">
        <f>'Table 7 Local Revenue'!AM16</f>
        <v>4687072150</v>
      </c>
      <c r="H15" s="465">
        <f t="shared" si="2"/>
        <v>37604192</v>
      </c>
      <c r="I15" s="963">
        <f>'Table 7 Local Revenue'!AP16</f>
        <v>1024086.5</v>
      </c>
      <c r="J15" s="964">
        <f t="shared" si="3"/>
        <v>66047846.5</v>
      </c>
      <c r="K15" s="529"/>
      <c r="L15" s="529"/>
      <c r="M15" s="529"/>
    </row>
    <row r="16" spans="1:13" ht="15" customHeight="1">
      <c r="A16" s="445">
        <v>11</v>
      </c>
      <c r="B16" s="675" t="s">
        <v>83</v>
      </c>
      <c r="C16" s="447">
        <f>'Table 7 Local Revenue'!AE17</f>
        <v>3968055</v>
      </c>
      <c r="D16" s="447">
        <f>'Table 7 Local Revenue'!H17</f>
        <v>56083753.000000007</v>
      </c>
      <c r="E16" s="447">
        <f t="shared" si="1"/>
        <v>931049</v>
      </c>
      <c r="F16" s="682">
        <f>'Table 7 Local Revenue'!AI17</f>
        <v>2054677</v>
      </c>
      <c r="G16" s="447">
        <f>'Table 7 Local Revenue'!AM17</f>
        <v>102733850</v>
      </c>
      <c r="H16" s="447">
        <f t="shared" si="2"/>
        <v>824230</v>
      </c>
      <c r="I16" s="961">
        <f>'Table 7 Local Revenue'!AP17</f>
        <v>85705</v>
      </c>
      <c r="J16" s="962">
        <f t="shared" si="3"/>
        <v>1840984</v>
      </c>
      <c r="K16" s="529"/>
      <c r="L16" s="529"/>
      <c r="M16" s="529"/>
    </row>
    <row r="17" spans="1:13" ht="15" customHeight="1">
      <c r="A17" s="445">
        <v>12</v>
      </c>
      <c r="B17" s="675" t="s">
        <v>84</v>
      </c>
      <c r="C17" s="447">
        <f>'Table 7 Local Revenue'!AE18</f>
        <v>15442965</v>
      </c>
      <c r="D17" s="447">
        <f>'Table 7 Local Revenue'!H18</f>
        <v>280163262</v>
      </c>
      <c r="E17" s="447">
        <f t="shared" si="1"/>
        <v>4651003</v>
      </c>
      <c r="F17" s="682">
        <f>'Table 7 Local Revenue'!AI18</f>
        <v>0</v>
      </c>
      <c r="G17" s="447">
        <f>'Table 7 Local Revenue'!AM18</f>
        <v>22455273.25</v>
      </c>
      <c r="H17" s="447">
        <f t="shared" si="2"/>
        <v>180158</v>
      </c>
      <c r="I17" s="961">
        <f>'Table 7 Local Revenue'!AP18</f>
        <v>601912</v>
      </c>
      <c r="J17" s="962">
        <f t="shared" si="3"/>
        <v>5433073</v>
      </c>
      <c r="K17" s="529"/>
      <c r="L17" s="529"/>
      <c r="M17" s="529"/>
    </row>
    <row r="18" spans="1:13" ht="15" customHeight="1">
      <c r="A18" s="445">
        <v>13</v>
      </c>
      <c r="B18" s="675" t="s">
        <v>85</v>
      </c>
      <c r="C18" s="447">
        <f>'Table 7 Local Revenue'!AE19</f>
        <v>975823</v>
      </c>
      <c r="D18" s="447">
        <f>'Table 7 Local Revenue'!H19</f>
        <v>34910314</v>
      </c>
      <c r="E18" s="447">
        <f t="shared" si="1"/>
        <v>579548</v>
      </c>
      <c r="F18" s="682">
        <f>'Table 7 Local Revenue'!AI19</f>
        <v>2985469</v>
      </c>
      <c r="G18" s="447">
        <f>'Table 7 Local Revenue'!AM19</f>
        <v>99515633</v>
      </c>
      <c r="H18" s="447">
        <f t="shared" si="2"/>
        <v>798410</v>
      </c>
      <c r="I18" s="961">
        <f>'Table 7 Local Revenue'!AP19</f>
        <v>109483</v>
      </c>
      <c r="J18" s="962">
        <f t="shared" si="3"/>
        <v>1487441</v>
      </c>
      <c r="K18" s="529"/>
      <c r="L18" s="529"/>
      <c r="M18" s="529"/>
    </row>
    <row r="19" spans="1:13" ht="15" customHeight="1">
      <c r="A19" s="445">
        <v>14</v>
      </c>
      <c r="B19" s="675" t="s">
        <v>86</v>
      </c>
      <c r="C19" s="447">
        <f>'Table 7 Local Revenue'!AE20</f>
        <v>3922506</v>
      </c>
      <c r="D19" s="447">
        <f>'Table 7 Local Revenue'!H20</f>
        <v>140316622</v>
      </c>
      <c r="E19" s="447">
        <f t="shared" si="1"/>
        <v>2329402</v>
      </c>
      <c r="F19" s="682">
        <f>'Table 7 Local Revenue'!AI20</f>
        <v>3579591</v>
      </c>
      <c r="G19" s="447">
        <f>'Table 7 Local Revenue'!AM20</f>
        <v>178979550</v>
      </c>
      <c r="H19" s="447">
        <f t="shared" si="2"/>
        <v>1435946</v>
      </c>
      <c r="I19" s="961">
        <f>'Table 7 Local Revenue'!AP20</f>
        <v>170753.5</v>
      </c>
      <c r="J19" s="962">
        <f t="shared" si="3"/>
        <v>3936101.5</v>
      </c>
      <c r="K19" s="529"/>
      <c r="L19" s="529"/>
      <c r="M19" s="529"/>
    </row>
    <row r="20" spans="1:13" ht="15" customHeight="1">
      <c r="A20" s="463">
        <v>15</v>
      </c>
      <c r="B20" s="693" t="s">
        <v>87</v>
      </c>
      <c r="C20" s="465">
        <f>'Table 7 Local Revenue'!AE21</f>
        <v>5176437</v>
      </c>
      <c r="D20" s="465">
        <f>'Table 7 Local Revenue'!H21</f>
        <v>134446812</v>
      </c>
      <c r="E20" s="465">
        <f t="shared" si="1"/>
        <v>2231957</v>
      </c>
      <c r="F20" s="701">
        <f>'Table 7 Local Revenue'!AI21</f>
        <v>5211856</v>
      </c>
      <c r="G20" s="465">
        <f>'Table 7 Local Revenue'!AM21</f>
        <v>260592800</v>
      </c>
      <c r="H20" s="465">
        <f t="shared" si="2"/>
        <v>2090726</v>
      </c>
      <c r="I20" s="963">
        <f>'Table 7 Local Revenue'!AP21</f>
        <v>168879</v>
      </c>
      <c r="J20" s="964">
        <f t="shared" si="3"/>
        <v>4491562</v>
      </c>
      <c r="K20" s="529"/>
      <c r="L20" s="529"/>
      <c r="M20" s="529"/>
    </row>
    <row r="21" spans="1:13" ht="15" customHeight="1">
      <c r="A21" s="445">
        <v>16</v>
      </c>
      <c r="B21" s="675" t="s">
        <v>88</v>
      </c>
      <c r="C21" s="447">
        <f>'Table 7 Local Revenue'!AE22</f>
        <v>39327537</v>
      </c>
      <c r="D21" s="447">
        <f>'Table 7 Local Revenue'!H22</f>
        <v>655148947</v>
      </c>
      <c r="E21" s="447">
        <f t="shared" si="1"/>
        <v>10876156</v>
      </c>
      <c r="F21" s="682">
        <f>'Table 7 Local Revenue'!AI22</f>
        <v>21954014</v>
      </c>
      <c r="G21" s="447">
        <f>'Table 7 Local Revenue'!AM22</f>
        <v>878160560</v>
      </c>
      <c r="H21" s="447">
        <f t="shared" si="2"/>
        <v>7045447</v>
      </c>
      <c r="I21" s="961">
        <f>'Table 7 Local Revenue'!AP22</f>
        <v>589328</v>
      </c>
      <c r="J21" s="962">
        <f t="shared" si="3"/>
        <v>18510931</v>
      </c>
      <c r="K21" s="529"/>
      <c r="L21" s="529"/>
      <c r="M21" s="529"/>
    </row>
    <row r="22" spans="1:13" ht="15" customHeight="1">
      <c r="A22" s="445">
        <v>17</v>
      </c>
      <c r="B22" s="675" t="s">
        <v>89</v>
      </c>
      <c r="C22" s="447">
        <f>'Table 7 Local Revenue'!AE23</f>
        <v>137402581</v>
      </c>
      <c r="D22" s="447">
        <f>'Table 7 Local Revenue'!H23</f>
        <v>3202418035</v>
      </c>
      <c r="E22" s="447">
        <f t="shared" si="1"/>
        <v>53163483</v>
      </c>
      <c r="F22" s="682">
        <f>'Table 7 Local Revenue'!AI23</f>
        <v>164449406</v>
      </c>
      <c r="G22" s="447">
        <f>'Table 7 Local Revenue'!AM23</f>
        <v>8222470300</v>
      </c>
      <c r="H22" s="447">
        <f t="shared" si="2"/>
        <v>65968550</v>
      </c>
      <c r="I22" s="961">
        <f>'Table 7 Local Revenue'!AP23</f>
        <v>4089910.5</v>
      </c>
      <c r="J22" s="962">
        <f t="shared" si="3"/>
        <v>123221943.5</v>
      </c>
    </row>
    <row r="23" spans="1:13" ht="15" customHeight="1">
      <c r="A23" s="445">
        <v>18</v>
      </c>
      <c r="B23" s="675" t="s">
        <v>90</v>
      </c>
      <c r="C23" s="447">
        <f>'Table 7 Local Revenue'!AE24</f>
        <v>722675</v>
      </c>
      <c r="D23" s="447">
        <f>'Table 7 Local Revenue'!H24</f>
        <v>37619267</v>
      </c>
      <c r="E23" s="447">
        <f t="shared" si="1"/>
        <v>624519</v>
      </c>
      <c r="F23" s="682">
        <f>'Table 7 Local Revenue'!AI24</f>
        <v>2589137</v>
      </c>
      <c r="G23" s="447">
        <f>'Table 7 Local Revenue'!AM24</f>
        <v>70344157.949999988</v>
      </c>
      <c r="H23" s="447">
        <f t="shared" si="2"/>
        <v>564368</v>
      </c>
      <c r="I23" s="961">
        <f>'Table 7 Local Revenue'!AP24</f>
        <v>146695.5</v>
      </c>
      <c r="J23" s="962">
        <f t="shared" si="3"/>
        <v>1335582.5</v>
      </c>
    </row>
    <row r="24" spans="1:13" ht="15" customHeight="1">
      <c r="A24" s="445">
        <v>19</v>
      </c>
      <c r="B24" s="675" t="s">
        <v>91</v>
      </c>
      <c r="C24" s="447">
        <f>'Table 7 Local Revenue'!AE25</f>
        <v>2260952</v>
      </c>
      <c r="D24" s="447">
        <f>'Table 7 Local Revenue'!H25</f>
        <v>115962540</v>
      </c>
      <c r="E24" s="447">
        <f t="shared" si="1"/>
        <v>1925099</v>
      </c>
      <c r="F24" s="682">
        <f>'Table 7 Local Revenue'!AI25</f>
        <v>2596202</v>
      </c>
      <c r="G24" s="447">
        <f>'Table 7 Local Revenue'!AM25</f>
        <v>129810100</v>
      </c>
      <c r="H24" s="447">
        <f t="shared" si="2"/>
        <v>1041461</v>
      </c>
      <c r="I24" s="961">
        <f>'Table 7 Local Revenue'!AP25</f>
        <v>108975.5</v>
      </c>
      <c r="J24" s="962">
        <f t="shared" si="3"/>
        <v>3075535.5</v>
      </c>
    </row>
    <row r="25" spans="1:13" ht="15" customHeight="1">
      <c r="A25" s="463">
        <v>20</v>
      </c>
      <c r="B25" s="693" t="s">
        <v>92</v>
      </c>
      <c r="C25" s="465">
        <f>'Table 7 Local Revenue'!AE26</f>
        <v>6922868</v>
      </c>
      <c r="D25" s="465">
        <f>'Table 7 Local Revenue'!H26</f>
        <v>235543300</v>
      </c>
      <c r="E25" s="465">
        <f t="shared" si="1"/>
        <v>3910265</v>
      </c>
      <c r="F25" s="701">
        <f>'Table 7 Local Revenue'!AI26</f>
        <v>8341906</v>
      </c>
      <c r="G25" s="465">
        <f>'Table 7 Local Revenue'!AM26</f>
        <v>417095300</v>
      </c>
      <c r="H25" s="465">
        <f t="shared" si="2"/>
        <v>3346339</v>
      </c>
      <c r="I25" s="963">
        <f>'Table 7 Local Revenue'!AP26</f>
        <v>569300.5</v>
      </c>
      <c r="J25" s="964">
        <f t="shared" si="3"/>
        <v>7825904.5</v>
      </c>
    </row>
    <row r="26" spans="1:13" ht="15" customHeight="1">
      <c r="A26" s="445">
        <v>21</v>
      </c>
      <c r="B26" s="675" t="s">
        <v>93</v>
      </c>
      <c r="C26" s="447">
        <f>'Table 7 Local Revenue'!AE27</f>
        <v>2038224</v>
      </c>
      <c r="D26" s="447">
        <f>'Table 7 Local Revenue'!H27</f>
        <v>74407970</v>
      </c>
      <c r="E26" s="447">
        <f t="shared" si="1"/>
        <v>1235250</v>
      </c>
      <c r="F26" s="682">
        <f>'Table 7 Local Revenue'!AI27</f>
        <v>5145343</v>
      </c>
      <c r="G26" s="447">
        <f>'Table 7 Local Revenue'!AM27</f>
        <v>257267150</v>
      </c>
      <c r="H26" s="447">
        <f t="shared" si="2"/>
        <v>2064044</v>
      </c>
      <c r="I26" s="961">
        <f>'Table 7 Local Revenue'!AP27</f>
        <v>77320</v>
      </c>
      <c r="J26" s="962">
        <f t="shared" si="3"/>
        <v>3376614</v>
      </c>
    </row>
    <row r="27" spans="1:13" ht="15" customHeight="1">
      <c r="A27" s="445">
        <v>22</v>
      </c>
      <c r="B27" s="675" t="s">
        <v>94</v>
      </c>
      <c r="C27" s="447">
        <f>'Table 7 Local Revenue'!AE28</f>
        <v>2763381</v>
      </c>
      <c r="D27" s="447">
        <f>'Table 7 Local Revenue'!H28</f>
        <v>40217220</v>
      </c>
      <c r="E27" s="447">
        <f t="shared" si="1"/>
        <v>667648</v>
      </c>
      <c r="F27" s="682">
        <f>'Table 7 Local Revenue'!AI28</f>
        <v>2147502</v>
      </c>
      <c r="G27" s="447">
        <f>'Table 7 Local Revenue'!AM28</f>
        <v>107375100</v>
      </c>
      <c r="H27" s="447">
        <f t="shared" si="2"/>
        <v>861466</v>
      </c>
      <c r="I27" s="961">
        <f>'Table 7 Local Revenue'!AP28</f>
        <v>593135</v>
      </c>
      <c r="J27" s="962">
        <f t="shared" si="3"/>
        <v>2122249</v>
      </c>
    </row>
    <row r="28" spans="1:13" ht="15" customHeight="1">
      <c r="A28" s="445">
        <v>23</v>
      </c>
      <c r="B28" s="675" t="s">
        <v>95</v>
      </c>
      <c r="C28" s="447">
        <f>'Table 7 Local Revenue'!AE29</f>
        <v>17149773</v>
      </c>
      <c r="D28" s="447">
        <f>'Table 7 Local Revenue'!H29</f>
        <v>526272876</v>
      </c>
      <c r="E28" s="447">
        <f t="shared" si="1"/>
        <v>8736679</v>
      </c>
      <c r="F28" s="682">
        <f>'Table 7 Local Revenue'!AI29</f>
        <v>28987769</v>
      </c>
      <c r="G28" s="447">
        <f>'Table 7 Local Revenue'!AM29</f>
        <v>1449388450</v>
      </c>
      <c r="H28" s="447">
        <f t="shared" si="2"/>
        <v>11628386</v>
      </c>
      <c r="I28" s="961">
        <f>'Table 7 Local Revenue'!AP29</f>
        <v>557578</v>
      </c>
      <c r="J28" s="962">
        <f t="shared" si="3"/>
        <v>20922643</v>
      </c>
    </row>
    <row r="29" spans="1:13" ht="15" customHeight="1">
      <c r="A29" s="445">
        <v>24</v>
      </c>
      <c r="B29" s="675" t="s">
        <v>96</v>
      </c>
      <c r="C29" s="447">
        <f>'Table 7 Local Revenue'!AE30</f>
        <v>28489406</v>
      </c>
      <c r="D29" s="447">
        <f>'Table 7 Local Revenue'!H30</f>
        <v>466782338.00000006</v>
      </c>
      <c r="E29" s="447">
        <f t="shared" si="1"/>
        <v>7749074</v>
      </c>
      <c r="F29" s="682">
        <f>'Table 7 Local Revenue'!AI30</f>
        <v>21041895</v>
      </c>
      <c r="G29" s="447">
        <f>'Table 7 Local Revenue'!AM30</f>
        <v>1052094750</v>
      </c>
      <c r="H29" s="447">
        <f t="shared" si="2"/>
        <v>8440914</v>
      </c>
      <c r="I29" s="961">
        <f>'Table 7 Local Revenue'!AP30</f>
        <v>138588.5</v>
      </c>
      <c r="J29" s="962">
        <f t="shared" si="3"/>
        <v>16328576.5</v>
      </c>
    </row>
    <row r="30" spans="1:13" ht="15" customHeight="1">
      <c r="A30" s="463">
        <v>25</v>
      </c>
      <c r="B30" s="693" t="s">
        <v>97</v>
      </c>
      <c r="C30" s="465">
        <f>'Table 7 Local Revenue'!AE31</f>
        <v>6502010</v>
      </c>
      <c r="D30" s="465">
        <f>'Table 7 Local Revenue'!H31</f>
        <v>238813430</v>
      </c>
      <c r="E30" s="465">
        <f t="shared" si="1"/>
        <v>3964552</v>
      </c>
      <c r="F30" s="701">
        <f>'Table 7 Local Revenue'!AI31</f>
        <v>5249322</v>
      </c>
      <c r="G30" s="465">
        <f>'Table 7 Local Revenue'!AM31</f>
        <v>174977400</v>
      </c>
      <c r="H30" s="465">
        <f t="shared" si="2"/>
        <v>1403837</v>
      </c>
      <c r="I30" s="963">
        <f>'Table 7 Local Revenue'!AP31</f>
        <v>97597</v>
      </c>
      <c r="J30" s="964">
        <f t="shared" si="3"/>
        <v>5465986</v>
      </c>
    </row>
    <row r="31" spans="1:13" ht="15" customHeight="1">
      <c r="A31" s="445">
        <v>26</v>
      </c>
      <c r="B31" s="675" t="s">
        <v>98</v>
      </c>
      <c r="C31" s="447">
        <f>'Table 7 Local Revenue'!AE32</f>
        <v>75671906</v>
      </c>
      <c r="D31" s="447">
        <f>'Table 7 Local Revenue'!H32</f>
        <v>3338024377</v>
      </c>
      <c r="E31" s="447">
        <f t="shared" si="1"/>
        <v>55414690</v>
      </c>
      <c r="F31" s="682">
        <f>'Table 7 Local Revenue'!AI32</f>
        <v>181400528</v>
      </c>
      <c r="G31" s="447">
        <f>'Table 7 Local Revenue'!AM32</f>
        <v>9070026400</v>
      </c>
      <c r="H31" s="447">
        <f t="shared" si="2"/>
        <v>72768459</v>
      </c>
      <c r="I31" s="961">
        <f>'Table 7 Local Revenue'!AP32</f>
        <v>2553626.5</v>
      </c>
      <c r="J31" s="962">
        <f t="shared" si="3"/>
        <v>130736775.5</v>
      </c>
    </row>
    <row r="32" spans="1:13" ht="15" customHeight="1">
      <c r="A32" s="445">
        <v>27</v>
      </c>
      <c r="B32" s="675" t="s">
        <v>99</v>
      </c>
      <c r="C32" s="447">
        <f>'Table 7 Local Revenue'!AE33</f>
        <v>8019640</v>
      </c>
      <c r="D32" s="447">
        <f>'Table 7 Local Revenue'!H33</f>
        <v>189806103</v>
      </c>
      <c r="E32" s="447">
        <f t="shared" si="1"/>
        <v>3150979</v>
      </c>
      <c r="F32" s="682">
        <f>'Table 7 Local Revenue'!AI33</f>
        <v>10615829</v>
      </c>
      <c r="G32" s="447">
        <f>'Table 7 Local Revenue'!AM33</f>
        <v>424633160</v>
      </c>
      <c r="H32" s="447">
        <f t="shared" si="2"/>
        <v>3406815</v>
      </c>
      <c r="I32" s="961">
        <f>'Table 7 Local Revenue'!AP33</f>
        <v>346454</v>
      </c>
      <c r="J32" s="962">
        <f t="shared" si="3"/>
        <v>6904248</v>
      </c>
    </row>
    <row r="33" spans="1:10" ht="15" customHeight="1">
      <c r="A33" s="445">
        <v>28</v>
      </c>
      <c r="B33" s="675" t="s">
        <v>100</v>
      </c>
      <c r="C33" s="447">
        <f>'Table 7 Local Revenue'!AE34</f>
        <v>57550337</v>
      </c>
      <c r="D33" s="447">
        <f>'Table 7 Local Revenue'!H34</f>
        <v>1767973082</v>
      </c>
      <c r="E33" s="447">
        <f t="shared" si="1"/>
        <v>29350199</v>
      </c>
      <c r="F33" s="682">
        <f>'Table 7 Local Revenue'!AI34</f>
        <v>113564887</v>
      </c>
      <c r="G33" s="447">
        <f>'Table 7 Local Revenue'!AM34</f>
        <v>5678244350</v>
      </c>
      <c r="H33" s="447">
        <f t="shared" si="2"/>
        <v>45556327</v>
      </c>
      <c r="I33" s="961">
        <f>'Table 7 Local Revenue'!AP34</f>
        <v>2196752</v>
      </c>
      <c r="J33" s="962">
        <f t="shared" si="3"/>
        <v>77103278</v>
      </c>
    </row>
    <row r="34" spans="1:10" ht="15" customHeight="1">
      <c r="A34" s="445">
        <v>29</v>
      </c>
      <c r="B34" s="675" t="s">
        <v>101</v>
      </c>
      <c r="C34" s="447">
        <f>'Table 7 Local Revenue'!AE35</f>
        <v>33630054</v>
      </c>
      <c r="D34" s="447">
        <f>'Table 7 Local Revenue'!H35</f>
        <v>807061314</v>
      </c>
      <c r="E34" s="447">
        <f t="shared" si="1"/>
        <v>13398060</v>
      </c>
      <c r="F34" s="682">
        <f>'Table 7 Local Revenue'!AI35</f>
        <v>32910355</v>
      </c>
      <c r="G34" s="447">
        <f>'Table 7 Local Revenue'!AM35</f>
        <v>1631969024.9999998</v>
      </c>
      <c r="H34" s="447">
        <f t="shared" si="2"/>
        <v>13093222</v>
      </c>
      <c r="I34" s="961">
        <f>'Table 7 Local Revenue'!AP35</f>
        <v>862122.5</v>
      </c>
      <c r="J34" s="962">
        <f t="shared" si="3"/>
        <v>27353404.5</v>
      </c>
    </row>
    <row r="35" spans="1:10" ht="15" customHeight="1">
      <c r="A35" s="463">
        <v>30</v>
      </c>
      <c r="B35" s="693" t="s">
        <v>102</v>
      </c>
      <c r="C35" s="465">
        <f>'Table 7 Local Revenue'!AE36</f>
        <v>4201140</v>
      </c>
      <c r="D35" s="465">
        <f>'Table 7 Local Revenue'!H36</f>
        <v>73337934</v>
      </c>
      <c r="E35" s="465">
        <f t="shared" si="1"/>
        <v>1217486</v>
      </c>
      <c r="F35" s="701">
        <f>'Table 7 Local Revenue'!AI36</f>
        <v>6440340</v>
      </c>
      <c r="G35" s="465">
        <f>'Table 7 Local Revenue'!AM36</f>
        <v>214678000</v>
      </c>
      <c r="H35" s="465">
        <f t="shared" si="2"/>
        <v>1722353</v>
      </c>
      <c r="I35" s="963">
        <f>'Table 7 Local Revenue'!AP36</f>
        <v>85727.5</v>
      </c>
      <c r="J35" s="964">
        <f t="shared" si="3"/>
        <v>3025566.5</v>
      </c>
    </row>
    <row r="36" spans="1:10" ht="15" customHeight="1">
      <c r="A36" s="445">
        <v>31</v>
      </c>
      <c r="B36" s="675" t="s">
        <v>103</v>
      </c>
      <c r="C36" s="447">
        <f>'Table 7 Local Revenue'!AE37</f>
        <v>16812735</v>
      </c>
      <c r="D36" s="447">
        <f>'Table 7 Local Revenue'!H37</f>
        <v>365702090</v>
      </c>
      <c r="E36" s="447">
        <f t="shared" si="1"/>
        <v>6071036</v>
      </c>
      <c r="F36" s="682">
        <f>'Table 7 Local Revenue'!AI37</f>
        <v>14907192</v>
      </c>
      <c r="G36" s="447">
        <f>'Table 7 Local Revenue'!AM37</f>
        <v>745359600</v>
      </c>
      <c r="H36" s="447">
        <f t="shared" si="2"/>
        <v>5979990</v>
      </c>
      <c r="I36" s="961">
        <f>'Table 7 Local Revenue'!AP37</f>
        <v>369039</v>
      </c>
      <c r="J36" s="962">
        <f t="shared" si="3"/>
        <v>12420065</v>
      </c>
    </row>
    <row r="37" spans="1:10" ht="15" customHeight="1">
      <c r="A37" s="445">
        <v>32</v>
      </c>
      <c r="B37" s="675" t="s">
        <v>104</v>
      </c>
      <c r="C37" s="447">
        <f>'Table 7 Local Revenue'!AE38</f>
        <v>15284741</v>
      </c>
      <c r="D37" s="447">
        <f>'Table 7 Local Revenue'!H38</f>
        <v>442649300</v>
      </c>
      <c r="E37" s="447">
        <f t="shared" si="1"/>
        <v>7348441</v>
      </c>
      <c r="F37" s="682">
        <f>'Table 7 Local Revenue'!AI38</f>
        <v>37348390</v>
      </c>
      <c r="G37" s="447">
        <f>'Table 7 Local Revenue'!AM38</f>
        <v>1493935600</v>
      </c>
      <c r="H37" s="447">
        <f t="shared" si="2"/>
        <v>11985786</v>
      </c>
      <c r="I37" s="961">
        <f>'Table 7 Local Revenue'!AP38</f>
        <v>970462.5</v>
      </c>
      <c r="J37" s="962">
        <f t="shared" si="3"/>
        <v>20304689.5</v>
      </c>
    </row>
    <row r="38" spans="1:10" ht="15" customHeight="1">
      <c r="A38" s="445">
        <v>33</v>
      </c>
      <c r="B38" s="675" t="s">
        <v>105</v>
      </c>
      <c r="C38" s="447">
        <f>'Table 7 Local Revenue'!AE39</f>
        <v>2410915</v>
      </c>
      <c r="D38" s="447">
        <f>'Table 7 Local Revenue'!H39</f>
        <v>109542933</v>
      </c>
      <c r="E38" s="447">
        <f t="shared" ref="E38:E69" si="4">ROUND(D38*$E$4/1000,0)</f>
        <v>1818527</v>
      </c>
      <c r="F38" s="682">
        <f>'Table 7 Local Revenue'!AI39</f>
        <v>3529423</v>
      </c>
      <c r="G38" s="447">
        <f>'Table 7 Local Revenue'!AM39</f>
        <v>129016751.99999999</v>
      </c>
      <c r="H38" s="447">
        <f t="shared" ref="H38:H69" si="5">ROUND(G38*$H$4,0)</f>
        <v>1035096</v>
      </c>
      <c r="I38" s="961">
        <f>'Table 7 Local Revenue'!AP39</f>
        <v>38002</v>
      </c>
      <c r="J38" s="962">
        <f t="shared" ref="J38:J69" si="6">E38+H38+I38</f>
        <v>2891625</v>
      </c>
    </row>
    <row r="39" spans="1:10" ht="15" customHeight="1">
      <c r="A39" s="445">
        <v>34</v>
      </c>
      <c r="B39" s="675" t="s">
        <v>106</v>
      </c>
      <c r="C39" s="447">
        <f>'Table 7 Local Revenue'!AE40</f>
        <v>6419790</v>
      </c>
      <c r="D39" s="447">
        <f>'Table 7 Local Revenue'!H40</f>
        <v>137976742</v>
      </c>
      <c r="E39" s="447">
        <f t="shared" si="4"/>
        <v>2290558</v>
      </c>
      <c r="F39" s="682">
        <f>'Table 7 Local Revenue'!AI40</f>
        <v>6043034</v>
      </c>
      <c r="G39" s="447">
        <f>'Table 7 Local Revenue'!AM40</f>
        <v>302151700</v>
      </c>
      <c r="H39" s="447">
        <f t="shared" si="5"/>
        <v>2424151</v>
      </c>
      <c r="I39" s="961">
        <f>'Table 7 Local Revenue'!AP40</f>
        <v>233351</v>
      </c>
      <c r="J39" s="962">
        <f t="shared" si="6"/>
        <v>4948060</v>
      </c>
    </row>
    <row r="40" spans="1:10" ht="15" customHeight="1">
      <c r="A40" s="463">
        <v>35</v>
      </c>
      <c r="B40" s="693" t="s">
        <v>107</v>
      </c>
      <c r="C40" s="465">
        <f>'Table 7 Local Revenue'!AE41</f>
        <v>8723493</v>
      </c>
      <c r="D40" s="465">
        <f>'Table 7 Local Revenue'!H41</f>
        <v>266040108.40000004</v>
      </c>
      <c r="E40" s="465">
        <f t="shared" si="4"/>
        <v>4416544</v>
      </c>
      <c r="F40" s="701">
        <f>'Table 7 Local Revenue'!AI41</f>
        <v>11792760</v>
      </c>
      <c r="G40" s="465">
        <f>'Table 7 Local Revenue'!AM41</f>
        <v>589638000</v>
      </c>
      <c r="H40" s="465">
        <f t="shared" si="5"/>
        <v>4730642</v>
      </c>
      <c r="I40" s="963">
        <f>'Table 7 Local Revenue'!AP41</f>
        <v>606026</v>
      </c>
      <c r="J40" s="964">
        <f t="shared" si="6"/>
        <v>9753212</v>
      </c>
    </row>
    <row r="41" spans="1:10" s="479" customFormat="1" ht="15" customHeight="1">
      <c r="A41" s="445">
        <v>36</v>
      </c>
      <c r="B41" s="675" t="s">
        <v>108</v>
      </c>
      <c r="C41" s="447">
        <f>'Table 7 Local Revenue'!AE42</f>
        <v>133691064</v>
      </c>
      <c r="D41" s="447">
        <f>'Table 7 Local Revenue'!H42</f>
        <v>3088964621</v>
      </c>
      <c r="E41" s="447">
        <f t="shared" si="4"/>
        <v>51280038</v>
      </c>
      <c r="F41" s="682">
        <f>'Table 7 Local Revenue'!AI42</f>
        <v>108119002</v>
      </c>
      <c r="G41" s="447">
        <f>'Table 7 Local Revenue'!AM42</f>
        <v>6962926927.0499992</v>
      </c>
      <c r="H41" s="447">
        <f t="shared" si="5"/>
        <v>55863284</v>
      </c>
      <c r="I41" s="961">
        <f>'Table 7 Local Revenue'!AP42</f>
        <v>2455088</v>
      </c>
      <c r="J41" s="962">
        <f t="shared" si="6"/>
        <v>109598410</v>
      </c>
    </row>
    <row r="42" spans="1:10" s="479" customFormat="1" ht="15" customHeight="1">
      <c r="A42" s="445">
        <v>37</v>
      </c>
      <c r="B42" s="675" t="s">
        <v>109</v>
      </c>
      <c r="C42" s="447">
        <f>'Table 7 Local Revenue'!AE43</f>
        <v>24028992</v>
      </c>
      <c r="D42" s="447">
        <f>'Table 7 Local Revenue'!H43</f>
        <v>589046206</v>
      </c>
      <c r="E42" s="447">
        <f t="shared" si="4"/>
        <v>9778782</v>
      </c>
      <c r="F42" s="682">
        <f>'Table 7 Local Revenue'!AI43</f>
        <v>41309080</v>
      </c>
      <c r="G42" s="447">
        <f>'Table 7 Local Revenue'!AM43</f>
        <v>1376969333</v>
      </c>
      <c r="H42" s="447">
        <f t="shared" si="5"/>
        <v>11047370</v>
      </c>
      <c r="I42" s="961">
        <f>'Table 7 Local Revenue'!AP43</f>
        <v>828091</v>
      </c>
      <c r="J42" s="962">
        <f t="shared" si="6"/>
        <v>21654243</v>
      </c>
    </row>
    <row r="43" spans="1:10" s="479" customFormat="1" ht="15" customHeight="1">
      <c r="A43" s="445">
        <v>38</v>
      </c>
      <c r="B43" s="675" t="s">
        <v>110</v>
      </c>
      <c r="C43" s="447">
        <f>'Table 7 Local Revenue'!AE44</f>
        <v>25359899</v>
      </c>
      <c r="D43" s="447">
        <f>'Table 7 Local Revenue'!H44</f>
        <v>977850411</v>
      </c>
      <c r="E43" s="447">
        <f t="shared" si="4"/>
        <v>16233338</v>
      </c>
      <c r="F43" s="682">
        <f>'Table 7 Local Revenue'!AI44</f>
        <v>23490808</v>
      </c>
      <c r="G43" s="447">
        <f>'Table 7 Local Revenue'!AM44</f>
        <v>1174540400</v>
      </c>
      <c r="H43" s="447">
        <f t="shared" si="5"/>
        <v>9423291</v>
      </c>
      <c r="I43" s="961">
        <f>'Table 7 Local Revenue'!AP44</f>
        <v>86727.5</v>
      </c>
      <c r="J43" s="962">
        <f t="shared" si="6"/>
        <v>25743356.5</v>
      </c>
    </row>
    <row r="44" spans="1:10" s="479" customFormat="1" ht="15" customHeight="1">
      <c r="A44" s="445">
        <v>39</v>
      </c>
      <c r="B44" s="675" t="s">
        <v>111</v>
      </c>
      <c r="C44" s="447">
        <f>'Table 7 Local Revenue'!AE45</f>
        <v>6543746</v>
      </c>
      <c r="D44" s="447">
        <f>'Table 7 Local Revenue'!H45</f>
        <v>369330270.10000002</v>
      </c>
      <c r="E44" s="447">
        <f t="shared" si="4"/>
        <v>6131268</v>
      </c>
      <c r="F44" s="682">
        <f>'Table 7 Local Revenue'!AI45</f>
        <v>6099336</v>
      </c>
      <c r="G44" s="447">
        <f>'Table 7 Local Revenue'!AM45</f>
        <v>304966800</v>
      </c>
      <c r="H44" s="447">
        <f t="shared" si="5"/>
        <v>2446736</v>
      </c>
      <c r="I44" s="961">
        <f>'Table 7 Local Revenue'!AP45</f>
        <v>173886.5</v>
      </c>
      <c r="J44" s="962">
        <f t="shared" si="6"/>
        <v>8751890.5</v>
      </c>
    </row>
    <row r="45" spans="1:10" s="479" customFormat="1" ht="15" customHeight="1">
      <c r="A45" s="463">
        <v>40</v>
      </c>
      <c r="B45" s="693" t="s">
        <v>112</v>
      </c>
      <c r="C45" s="465">
        <f>'Table 7 Local Revenue'!AE46</f>
        <v>34766294</v>
      </c>
      <c r="D45" s="465">
        <f>'Table 7 Local Revenue'!H46</f>
        <v>693044031</v>
      </c>
      <c r="E45" s="465">
        <f t="shared" si="4"/>
        <v>11505254</v>
      </c>
      <c r="F45" s="701">
        <f>'Table 7 Local Revenue'!AI46</f>
        <v>35665542</v>
      </c>
      <c r="G45" s="465">
        <f>'Table 7 Local Revenue'!AM46</f>
        <v>2377702800</v>
      </c>
      <c r="H45" s="465">
        <f t="shared" si="5"/>
        <v>19076214</v>
      </c>
      <c r="I45" s="963">
        <f>'Table 7 Local Revenue'!AP46</f>
        <v>853958</v>
      </c>
      <c r="J45" s="964">
        <f t="shared" si="6"/>
        <v>31435426</v>
      </c>
    </row>
    <row r="46" spans="1:10" s="479" customFormat="1" ht="15" customHeight="1">
      <c r="A46" s="445">
        <v>41</v>
      </c>
      <c r="B46" s="675" t="s">
        <v>113</v>
      </c>
      <c r="C46" s="447">
        <f>'Table 7 Local Revenue'!AE47</f>
        <v>9153188</v>
      </c>
      <c r="D46" s="447">
        <f>'Table 7 Local Revenue'!H47</f>
        <v>168792745</v>
      </c>
      <c r="E46" s="447">
        <f t="shared" si="4"/>
        <v>2802136</v>
      </c>
      <c r="F46" s="682">
        <f>'Table 7 Local Revenue'!AI47</f>
        <v>3995534</v>
      </c>
      <c r="G46" s="447">
        <f>'Table 7 Local Revenue'!AM47</f>
        <v>199776700</v>
      </c>
      <c r="H46" s="447">
        <f t="shared" si="5"/>
        <v>1602800</v>
      </c>
      <c r="I46" s="961">
        <f>'Table 7 Local Revenue'!AP47</f>
        <v>72333</v>
      </c>
      <c r="J46" s="962">
        <f t="shared" si="6"/>
        <v>4477269</v>
      </c>
    </row>
    <row r="47" spans="1:10" s="479" customFormat="1" ht="15" customHeight="1">
      <c r="A47" s="445">
        <v>42</v>
      </c>
      <c r="B47" s="675" t="s">
        <v>114</v>
      </c>
      <c r="C47" s="447">
        <f>'Table 7 Local Revenue'!AE48</f>
        <v>5587665</v>
      </c>
      <c r="D47" s="447">
        <f>'Table 7 Local Revenue'!H48</f>
        <v>197519152.60000002</v>
      </c>
      <c r="E47" s="447">
        <f t="shared" si="4"/>
        <v>3279024</v>
      </c>
      <c r="F47" s="682">
        <f>'Table 7 Local Revenue'!AI48</f>
        <v>6098883</v>
      </c>
      <c r="G47" s="447">
        <f>'Table 7 Local Revenue'!AM48</f>
        <v>304944150</v>
      </c>
      <c r="H47" s="447">
        <f t="shared" si="5"/>
        <v>2446555</v>
      </c>
      <c r="I47" s="961">
        <f>'Table 7 Local Revenue'!AP48</f>
        <v>224338</v>
      </c>
      <c r="J47" s="962">
        <f t="shared" si="6"/>
        <v>5949917</v>
      </c>
    </row>
    <row r="48" spans="1:10" s="479" customFormat="1" ht="15" customHeight="1">
      <c r="A48" s="445">
        <v>43</v>
      </c>
      <c r="B48" s="675" t="s">
        <v>115</v>
      </c>
      <c r="C48" s="447">
        <f>'Table 7 Local Revenue'!AE49</f>
        <v>5143832</v>
      </c>
      <c r="D48" s="447">
        <f>'Table 7 Local Revenue'!H49</f>
        <v>142450465.30000001</v>
      </c>
      <c r="E48" s="447">
        <f t="shared" si="4"/>
        <v>2364826</v>
      </c>
      <c r="F48" s="682">
        <f>'Table 7 Local Revenue'!AI49</f>
        <v>9683517</v>
      </c>
      <c r="G48" s="447">
        <f>'Table 7 Local Revenue'!AM49</f>
        <v>387340680</v>
      </c>
      <c r="H48" s="447">
        <f t="shared" si="5"/>
        <v>3107619</v>
      </c>
      <c r="I48" s="961">
        <f>'Table 7 Local Revenue'!AP49</f>
        <v>197610.5</v>
      </c>
      <c r="J48" s="962">
        <f t="shared" si="6"/>
        <v>5670055.5</v>
      </c>
    </row>
    <row r="49" spans="1:10" s="479" customFormat="1" ht="15" customHeight="1">
      <c r="A49" s="445">
        <v>44</v>
      </c>
      <c r="B49" s="675" t="s">
        <v>116</v>
      </c>
      <c r="C49" s="447">
        <f>'Table 7 Local Revenue'!AE50</f>
        <v>15159056</v>
      </c>
      <c r="D49" s="447">
        <f>'Table 7 Local Revenue'!H50</f>
        <v>312971319</v>
      </c>
      <c r="E49" s="447">
        <f t="shared" si="4"/>
        <v>5195651</v>
      </c>
      <c r="F49" s="682">
        <f>'Table 7 Local Revenue'!AI50</f>
        <v>14948376</v>
      </c>
      <c r="G49" s="447">
        <f>'Table 7 Local Revenue'!AM50</f>
        <v>747418800</v>
      </c>
      <c r="H49" s="447">
        <f t="shared" si="5"/>
        <v>5996511</v>
      </c>
      <c r="I49" s="961">
        <f>'Table 7 Local Revenue'!AP50</f>
        <v>51601</v>
      </c>
      <c r="J49" s="962">
        <f t="shared" si="6"/>
        <v>11243763</v>
      </c>
    </row>
    <row r="50" spans="1:10" ht="15" customHeight="1">
      <c r="A50" s="463">
        <v>45</v>
      </c>
      <c r="B50" s="693" t="s">
        <v>117</v>
      </c>
      <c r="C50" s="465">
        <f>'Table 7 Local Revenue'!AE51</f>
        <v>62597896</v>
      </c>
      <c r="D50" s="465">
        <f>'Table 7 Local Revenue'!H51</f>
        <v>1156937634</v>
      </c>
      <c r="E50" s="465">
        <f t="shared" si="4"/>
        <v>19206373</v>
      </c>
      <c r="F50" s="701">
        <f>'Table 7 Local Revenue'!AI51</f>
        <v>57527413</v>
      </c>
      <c r="G50" s="465">
        <f>'Table 7 Local Revenue'!AM51</f>
        <v>1917580433</v>
      </c>
      <c r="H50" s="465">
        <f t="shared" si="5"/>
        <v>15384671</v>
      </c>
      <c r="I50" s="963">
        <f>'Table 7 Local Revenue'!AP51</f>
        <v>279338</v>
      </c>
      <c r="J50" s="964">
        <f t="shared" si="6"/>
        <v>34870382</v>
      </c>
    </row>
    <row r="51" spans="1:10" ht="15" customHeight="1">
      <c r="A51" s="445">
        <v>46</v>
      </c>
      <c r="B51" s="675" t="s">
        <v>118</v>
      </c>
      <c r="C51" s="447">
        <f>'Table 7 Local Revenue'!AE52</f>
        <v>785942</v>
      </c>
      <c r="D51" s="447">
        <f>'Table 7 Local Revenue'!H52</f>
        <v>44970610</v>
      </c>
      <c r="E51" s="447">
        <f t="shared" si="4"/>
        <v>746559</v>
      </c>
      <c r="F51" s="682">
        <f>'Table 7 Local Revenue'!AI52</f>
        <v>1776513</v>
      </c>
      <c r="G51" s="447">
        <f>'Table 7 Local Revenue'!AM52</f>
        <v>78596750</v>
      </c>
      <c r="H51" s="447">
        <f t="shared" si="5"/>
        <v>630579</v>
      </c>
      <c r="I51" s="961">
        <f>'Table 7 Local Revenue'!AP52</f>
        <v>32506.5</v>
      </c>
      <c r="J51" s="962">
        <f t="shared" si="6"/>
        <v>1409644.5</v>
      </c>
    </row>
    <row r="52" spans="1:10" ht="15" customHeight="1">
      <c r="A52" s="445">
        <v>47</v>
      </c>
      <c r="B52" s="675" t="s">
        <v>119</v>
      </c>
      <c r="C52" s="447">
        <f>'Table 7 Local Revenue'!AE53</f>
        <v>21889993</v>
      </c>
      <c r="D52" s="447">
        <f>'Table 7 Local Revenue'!H53</f>
        <v>450749524.50000006</v>
      </c>
      <c r="E52" s="447">
        <f t="shared" si="4"/>
        <v>7482913</v>
      </c>
      <c r="F52" s="682">
        <f>'Table 7 Local Revenue'!AI53</f>
        <v>25285692</v>
      </c>
      <c r="G52" s="447">
        <f>'Table 7 Local Revenue'!AM53</f>
        <v>832644895.99999988</v>
      </c>
      <c r="H52" s="447">
        <f t="shared" si="5"/>
        <v>6680277</v>
      </c>
      <c r="I52" s="961">
        <f>'Table 7 Local Revenue'!AP53</f>
        <v>87351</v>
      </c>
      <c r="J52" s="962">
        <f t="shared" si="6"/>
        <v>14250541</v>
      </c>
    </row>
    <row r="53" spans="1:10" ht="15" customHeight="1">
      <c r="A53" s="445">
        <v>48</v>
      </c>
      <c r="B53" s="675" t="s">
        <v>144</v>
      </c>
      <c r="C53" s="447">
        <f>'Table 7 Local Revenue'!AE54</f>
        <v>15358184</v>
      </c>
      <c r="D53" s="447">
        <f>'Table 7 Local Revenue'!H54</f>
        <v>406107838.40000004</v>
      </c>
      <c r="E53" s="447">
        <f t="shared" si="4"/>
        <v>6741814</v>
      </c>
      <c r="F53" s="682">
        <f>'Table 7 Local Revenue'!AI54</f>
        <v>22563829</v>
      </c>
      <c r="G53" s="447">
        <f>'Table 7 Local Revenue'!AM54</f>
        <v>1002836844</v>
      </c>
      <c r="H53" s="447">
        <f t="shared" si="5"/>
        <v>8045720</v>
      </c>
      <c r="I53" s="961">
        <f>'Table 7 Local Revenue'!AP54</f>
        <v>196023</v>
      </c>
      <c r="J53" s="962">
        <f t="shared" si="6"/>
        <v>14983557</v>
      </c>
    </row>
    <row r="54" spans="1:10" ht="15" customHeight="1">
      <c r="A54" s="445">
        <v>49</v>
      </c>
      <c r="B54" s="675" t="s">
        <v>120</v>
      </c>
      <c r="C54" s="447">
        <f>'Table 7 Local Revenue'!AE55</f>
        <v>11534267</v>
      </c>
      <c r="D54" s="447">
        <f>'Table 7 Local Revenue'!H55</f>
        <v>572779421</v>
      </c>
      <c r="E54" s="447">
        <f t="shared" si="4"/>
        <v>9508736</v>
      </c>
      <c r="F54" s="682">
        <f>'Table 7 Local Revenue'!AI55</f>
        <v>23711915</v>
      </c>
      <c r="G54" s="447">
        <f>'Table 7 Local Revenue'!AM55</f>
        <v>1185595750</v>
      </c>
      <c r="H54" s="447">
        <f t="shared" si="5"/>
        <v>9511987</v>
      </c>
      <c r="I54" s="961">
        <f>'Table 7 Local Revenue'!AP55</f>
        <v>404872</v>
      </c>
      <c r="J54" s="962">
        <f t="shared" si="6"/>
        <v>19425595</v>
      </c>
    </row>
    <row r="55" spans="1:10" ht="15" customHeight="1">
      <c r="A55" s="463">
        <v>50</v>
      </c>
      <c r="B55" s="693" t="s">
        <v>121</v>
      </c>
      <c r="C55" s="465">
        <f>'Table 7 Local Revenue'!AE56</f>
        <v>9881912</v>
      </c>
      <c r="D55" s="465">
        <f>'Table 7 Local Revenue'!H56</f>
        <v>281508692</v>
      </c>
      <c r="E55" s="465">
        <f t="shared" si="4"/>
        <v>4673338</v>
      </c>
      <c r="F55" s="701">
        <f>'Table 7 Local Revenue'!AI56</f>
        <v>15108947</v>
      </c>
      <c r="G55" s="465">
        <f>'Table 7 Local Revenue'!AM56</f>
        <v>755447350</v>
      </c>
      <c r="H55" s="465">
        <f t="shared" si="5"/>
        <v>6060924</v>
      </c>
      <c r="I55" s="963">
        <f>'Table 7 Local Revenue'!AP56</f>
        <v>454920.5</v>
      </c>
      <c r="J55" s="964">
        <f t="shared" si="6"/>
        <v>11189182.5</v>
      </c>
    </row>
    <row r="56" spans="1:10" ht="15" customHeight="1">
      <c r="A56" s="445">
        <v>51</v>
      </c>
      <c r="B56" s="675" t="s">
        <v>122</v>
      </c>
      <c r="C56" s="447">
        <f>'Table 7 Local Revenue'!AE57</f>
        <v>21542392</v>
      </c>
      <c r="D56" s="447">
        <f>'Table 7 Local Revenue'!H57</f>
        <v>713648593.9000001</v>
      </c>
      <c r="E56" s="447">
        <f t="shared" si="4"/>
        <v>11847312</v>
      </c>
      <c r="F56" s="682">
        <f>'Table 7 Local Revenue'!AI57</f>
        <v>18001939</v>
      </c>
      <c r="G56" s="447">
        <f>'Table 7 Local Revenue'!AM57</f>
        <v>1028682229</v>
      </c>
      <c r="H56" s="447">
        <f t="shared" si="5"/>
        <v>8253076</v>
      </c>
      <c r="I56" s="961">
        <f>'Table 7 Local Revenue'!AP57</f>
        <v>479552.5</v>
      </c>
      <c r="J56" s="962">
        <f t="shared" si="6"/>
        <v>20579940.5</v>
      </c>
    </row>
    <row r="57" spans="1:10" ht="15" customHeight="1">
      <c r="A57" s="445">
        <v>52</v>
      </c>
      <c r="B57" s="675" t="s">
        <v>123</v>
      </c>
      <c r="C57" s="447">
        <f>'Table 7 Local Revenue'!AE58</f>
        <v>111376395</v>
      </c>
      <c r="D57" s="447">
        <f>'Table 7 Local Revenue'!H58</f>
        <v>1670758838</v>
      </c>
      <c r="E57" s="447">
        <f t="shared" si="4"/>
        <v>27736341</v>
      </c>
      <c r="F57" s="682">
        <f>'Table 7 Local Revenue'!AI58</f>
        <v>82874124</v>
      </c>
      <c r="G57" s="447">
        <f>'Table 7 Local Revenue'!AM58</f>
        <v>4143706200</v>
      </c>
      <c r="H57" s="447">
        <f t="shared" si="5"/>
        <v>33244789</v>
      </c>
      <c r="I57" s="961">
        <f>'Table 7 Local Revenue'!AP58</f>
        <v>1917347</v>
      </c>
      <c r="J57" s="962">
        <f t="shared" si="6"/>
        <v>62898477</v>
      </c>
    </row>
    <row r="58" spans="1:10" ht="15" customHeight="1">
      <c r="A58" s="445">
        <v>53</v>
      </c>
      <c r="B58" s="675" t="s">
        <v>124</v>
      </c>
      <c r="C58" s="447">
        <f>'Table 7 Local Revenue'!AE59</f>
        <v>6412303</v>
      </c>
      <c r="D58" s="447">
        <f>'Table 7 Local Revenue'!H59</f>
        <v>506507915</v>
      </c>
      <c r="E58" s="447">
        <f t="shared" si="4"/>
        <v>8408560</v>
      </c>
      <c r="F58" s="682">
        <f>'Table 7 Local Revenue'!AI59</f>
        <v>34729071</v>
      </c>
      <c r="G58" s="447">
        <f>'Table 7 Local Revenue'!AM59</f>
        <v>1736453550</v>
      </c>
      <c r="H58" s="447">
        <f t="shared" si="5"/>
        <v>13931497</v>
      </c>
      <c r="I58" s="961">
        <f>'Table 7 Local Revenue'!AP59</f>
        <v>278754</v>
      </c>
      <c r="J58" s="962">
        <f t="shared" si="6"/>
        <v>22618811</v>
      </c>
    </row>
    <row r="59" spans="1:10" ht="15" customHeight="1">
      <c r="A59" s="445">
        <v>54</v>
      </c>
      <c r="B59" s="675" t="s">
        <v>125</v>
      </c>
      <c r="C59" s="447">
        <f>'Table 7 Local Revenue'!AE60</f>
        <v>1694303</v>
      </c>
      <c r="D59" s="447">
        <f>'Table 7 Local Revenue'!H60</f>
        <v>47926275</v>
      </c>
      <c r="E59" s="447">
        <f t="shared" si="4"/>
        <v>795626</v>
      </c>
      <c r="F59" s="682">
        <f>'Table 7 Local Revenue'!AI60</f>
        <v>854086</v>
      </c>
      <c r="G59" s="447">
        <f>'Table 7 Local Revenue'!AM60</f>
        <v>56939067</v>
      </c>
      <c r="H59" s="447">
        <f t="shared" si="5"/>
        <v>456820</v>
      </c>
      <c r="I59" s="961">
        <f>'Table 7 Local Revenue'!AP60</f>
        <v>49448.5</v>
      </c>
      <c r="J59" s="962">
        <f t="shared" si="6"/>
        <v>1301894.5</v>
      </c>
    </row>
    <row r="60" spans="1:10" ht="15" customHeight="1">
      <c r="A60" s="463">
        <v>55</v>
      </c>
      <c r="B60" s="693" t="s">
        <v>126</v>
      </c>
      <c r="C60" s="465">
        <f>'Table 7 Local Revenue'!AE61</f>
        <v>7873462</v>
      </c>
      <c r="D60" s="465">
        <f>'Table 7 Local Revenue'!H61</f>
        <v>810700735</v>
      </c>
      <c r="E60" s="465">
        <f t="shared" si="4"/>
        <v>13458479</v>
      </c>
      <c r="F60" s="701">
        <f>'Table 7 Local Revenue'!AI61</f>
        <v>51933519</v>
      </c>
      <c r="G60" s="465">
        <f>'Table 7 Local Revenue'!AM61</f>
        <v>2496803798</v>
      </c>
      <c r="H60" s="465">
        <f t="shared" si="5"/>
        <v>20031757</v>
      </c>
      <c r="I60" s="963">
        <f>'Table 7 Local Revenue'!AP61</f>
        <v>368880</v>
      </c>
      <c r="J60" s="964">
        <f t="shared" si="6"/>
        <v>33859116</v>
      </c>
    </row>
    <row r="61" spans="1:10" ht="15" customHeight="1">
      <c r="A61" s="445">
        <v>56</v>
      </c>
      <c r="B61" s="675" t="s">
        <v>127</v>
      </c>
      <c r="C61" s="447">
        <f>'Table 7 Local Revenue'!AE62</f>
        <v>3568839</v>
      </c>
      <c r="D61" s="447">
        <f>'Table 7 Local Revenue'!H62</f>
        <v>164077587</v>
      </c>
      <c r="E61" s="447">
        <f t="shared" si="4"/>
        <v>2723859</v>
      </c>
      <c r="F61" s="682">
        <f>'Table 7 Local Revenue'!AI62</f>
        <v>4863215</v>
      </c>
      <c r="G61" s="447">
        <f>'Table 7 Local Revenue'!AM62</f>
        <v>243160750</v>
      </c>
      <c r="H61" s="447">
        <f t="shared" si="5"/>
        <v>1950869</v>
      </c>
      <c r="I61" s="961">
        <f>'Table 7 Local Revenue'!AP62</f>
        <v>150727.5</v>
      </c>
      <c r="J61" s="962">
        <f t="shared" si="6"/>
        <v>4825455.5</v>
      </c>
    </row>
    <row r="62" spans="1:10" ht="15" customHeight="1">
      <c r="A62" s="445">
        <v>57</v>
      </c>
      <c r="B62" s="675" t="s">
        <v>128</v>
      </c>
      <c r="C62" s="447">
        <f>'Table 7 Local Revenue'!AE63</f>
        <v>12957733</v>
      </c>
      <c r="D62" s="447">
        <f>'Table 7 Local Revenue'!H63</f>
        <v>311005060</v>
      </c>
      <c r="E62" s="447">
        <f t="shared" si="4"/>
        <v>5163009</v>
      </c>
      <c r="F62" s="682">
        <f>'Table 7 Local Revenue'!AI63</f>
        <v>12408381</v>
      </c>
      <c r="G62" s="447">
        <f>'Table 7 Local Revenue'!AM63</f>
        <v>827225400</v>
      </c>
      <c r="H62" s="447">
        <f t="shared" si="5"/>
        <v>6636796</v>
      </c>
      <c r="I62" s="961">
        <f>'Table 7 Local Revenue'!AP63</f>
        <v>2465745.5</v>
      </c>
      <c r="J62" s="962">
        <f t="shared" si="6"/>
        <v>14265550.5</v>
      </c>
    </row>
    <row r="63" spans="1:10" ht="15" customHeight="1">
      <c r="A63" s="445">
        <v>58</v>
      </c>
      <c r="B63" s="675" t="s">
        <v>129</v>
      </c>
      <c r="C63" s="447">
        <f>'Table 7 Local Revenue'!AE64</f>
        <v>7665651</v>
      </c>
      <c r="D63" s="447">
        <f>'Table 7 Local Revenue'!H64</f>
        <v>128415030</v>
      </c>
      <c r="E63" s="447">
        <f t="shared" si="4"/>
        <v>2131824</v>
      </c>
      <c r="F63" s="682">
        <f>'Table 7 Local Revenue'!AI64</f>
        <v>12110628</v>
      </c>
      <c r="G63" s="447">
        <f>'Table 7 Local Revenue'!AM64</f>
        <v>605531400</v>
      </c>
      <c r="H63" s="447">
        <f t="shared" si="5"/>
        <v>4858154</v>
      </c>
      <c r="I63" s="961">
        <f>'Table 7 Local Revenue'!AP64</f>
        <v>441684</v>
      </c>
      <c r="J63" s="962">
        <f t="shared" si="6"/>
        <v>7431662</v>
      </c>
    </row>
    <row r="64" spans="1:10" ht="15" customHeight="1">
      <c r="A64" s="445">
        <v>59</v>
      </c>
      <c r="B64" s="675" t="s">
        <v>130</v>
      </c>
      <c r="C64" s="447">
        <f>'Table 7 Local Revenue'!AE65</f>
        <v>4709072</v>
      </c>
      <c r="D64" s="447">
        <f>'Table 7 Local Revenue'!H65</f>
        <v>83920545</v>
      </c>
      <c r="E64" s="447">
        <f t="shared" si="4"/>
        <v>1393169</v>
      </c>
      <c r="F64" s="682">
        <f>'Table 7 Local Revenue'!AI65</f>
        <v>4328937</v>
      </c>
      <c r="G64" s="447">
        <f>'Table 7 Local Revenue'!AM65</f>
        <v>216446850</v>
      </c>
      <c r="H64" s="447">
        <f t="shared" si="5"/>
        <v>1736544</v>
      </c>
      <c r="I64" s="961">
        <f>'Table 7 Local Revenue'!AP65</f>
        <v>164648</v>
      </c>
      <c r="J64" s="962">
        <f t="shared" si="6"/>
        <v>3294361</v>
      </c>
    </row>
    <row r="65" spans="1:10" ht="15" customHeight="1">
      <c r="A65" s="463">
        <v>60</v>
      </c>
      <c r="B65" s="693" t="s">
        <v>131</v>
      </c>
      <c r="C65" s="465">
        <f>'Table 7 Local Revenue'!AE66</f>
        <v>11417029</v>
      </c>
      <c r="D65" s="465">
        <f>'Table 7 Local Revenue'!H66</f>
        <v>236369771</v>
      </c>
      <c r="E65" s="465">
        <f t="shared" si="4"/>
        <v>3923985</v>
      </c>
      <c r="F65" s="701">
        <f>'Table 7 Local Revenue'!AI66</f>
        <v>13756234</v>
      </c>
      <c r="G65" s="465">
        <f>'Table 7 Local Revenue'!AM66</f>
        <v>645832582</v>
      </c>
      <c r="H65" s="465">
        <f t="shared" si="5"/>
        <v>5181489</v>
      </c>
      <c r="I65" s="963">
        <f>'Table 7 Local Revenue'!AP66</f>
        <v>305366</v>
      </c>
      <c r="J65" s="964">
        <f t="shared" si="6"/>
        <v>9410840</v>
      </c>
    </row>
    <row r="66" spans="1:10" ht="15" customHeight="1">
      <c r="A66" s="445">
        <v>61</v>
      </c>
      <c r="B66" s="675" t="s">
        <v>132</v>
      </c>
      <c r="C66" s="447">
        <f>'Table 7 Local Revenue'!AE67</f>
        <v>12171424</v>
      </c>
      <c r="D66" s="447">
        <f>'Table 7 Local Revenue'!H67</f>
        <v>388179546.70000005</v>
      </c>
      <c r="E66" s="447">
        <f t="shared" si="4"/>
        <v>6444186</v>
      </c>
      <c r="F66" s="682">
        <f>'Table 7 Local Revenue'!AI67</f>
        <v>11956789</v>
      </c>
      <c r="G66" s="447">
        <f>'Table 7 Local Revenue'!AM67</f>
        <v>597839450</v>
      </c>
      <c r="H66" s="447">
        <f t="shared" si="5"/>
        <v>4796442</v>
      </c>
      <c r="I66" s="961">
        <f>'Table 7 Local Revenue'!AP67</f>
        <v>220240</v>
      </c>
      <c r="J66" s="962">
        <f t="shared" si="6"/>
        <v>11460868</v>
      </c>
    </row>
    <row r="67" spans="1:10" ht="15" customHeight="1">
      <c r="A67" s="445">
        <v>62</v>
      </c>
      <c r="B67" s="675" t="s">
        <v>133</v>
      </c>
      <c r="C67" s="447">
        <f>'Table 7 Local Revenue'!AE68</f>
        <v>1572786</v>
      </c>
      <c r="D67" s="447">
        <f>'Table 7 Local Revenue'!H68</f>
        <v>53737430</v>
      </c>
      <c r="E67" s="447">
        <f t="shared" si="4"/>
        <v>892097</v>
      </c>
      <c r="F67" s="682">
        <f>'Table 7 Local Revenue'!AI68</f>
        <v>2653949</v>
      </c>
      <c r="G67" s="447">
        <f>'Table 7 Local Revenue'!AM68</f>
        <v>132697450</v>
      </c>
      <c r="H67" s="447">
        <f t="shared" si="5"/>
        <v>1064626</v>
      </c>
      <c r="I67" s="961">
        <f>'Table 7 Local Revenue'!AP68</f>
        <v>98213</v>
      </c>
      <c r="J67" s="962">
        <f t="shared" si="6"/>
        <v>2054936</v>
      </c>
    </row>
    <row r="68" spans="1:10" ht="15" customHeight="1">
      <c r="A68" s="445">
        <v>63</v>
      </c>
      <c r="B68" s="675" t="s">
        <v>134</v>
      </c>
      <c r="C68" s="447">
        <f>'Table 7 Local Revenue'!AE69</f>
        <v>9527271</v>
      </c>
      <c r="D68" s="447">
        <f>'Table 7 Local Revenue'!H69</f>
        <v>272611566</v>
      </c>
      <c r="E68" s="447">
        <f t="shared" si="4"/>
        <v>4525637</v>
      </c>
      <c r="F68" s="682">
        <f>'Table 7 Local Revenue'!AI69</f>
        <v>5475976</v>
      </c>
      <c r="G68" s="447">
        <f>'Table 7 Local Revenue'!AM69</f>
        <v>204758005.99999997</v>
      </c>
      <c r="H68" s="447">
        <f t="shared" si="5"/>
        <v>1642765</v>
      </c>
      <c r="I68" s="961">
        <f>'Table 7 Local Revenue'!AP69</f>
        <v>53850.5</v>
      </c>
      <c r="J68" s="962">
        <f t="shared" si="6"/>
        <v>6222252.5</v>
      </c>
    </row>
    <row r="69" spans="1:10" ht="15" customHeight="1">
      <c r="A69" s="445">
        <v>64</v>
      </c>
      <c r="B69" s="675" t="s">
        <v>135</v>
      </c>
      <c r="C69" s="447">
        <f>'Table 7 Local Revenue'!AE70</f>
        <v>3241653</v>
      </c>
      <c r="D69" s="447">
        <f>'Table 7 Local Revenue'!H70</f>
        <v>64841518</v>
      </c>
      <c r="E69" s="447">
        <f t="shared" si="4"/>
        <v>1076437</v>
      </c>
      <c r="F69" s="682">
        <f>'Table 7 Local Revenue'!AI70</f>
        <v>3775345</v>
      </c>
      <c r="G69" s="447">
        <f>'Table 7 Local Revenue'!AM70</f>
        <v>188767250</v>
      </c>
      <c r="H69" s="447">
        <f t="shared" si="5"/>
        <v>1514472</v>
      </c>
      <c r="I69" s="961">
        <f>'Table 7 Local Revenue'!AP70</f>
        <v>381669</v>
      </c>
      <c r="J69" s="962">
        <f t="shared" si="6"/>
        <v>2972578</v>
      </c>
    </row>
    <row r="70" spans="1:10" ht="15" customHeight="1">
      <c r="A70" s="463">
        <v>65</v>
      </c>
      <c r="B70" s="693" t="s">
        <v>136</v>
      </c>
      <c r="C70" s="465">
        <f>'Table 7 Local Revenue'!AE71</f>
        <v>13001946</v>
      </c>
      <c r="D70" s="465">
        <f>'Table 7 Local Revenue'!H71</f>
        <v>344250632</v>
      </c>
      <c r="E70" s="465">
        <f>ROUND(D70*$E$4/1000,0)</f>
        <v>5714920</v>
      </c>
      <c r="F70" s="701">
        <f>'Table 7 Local Revenue'!AI71</f>
        <v>26408099</v>
      </c>
      <c r="G70" s="465">
        <f>'Table 7 Local Revenue'!AM71</f>
        <v>1320404950</v>
      </c>
      <c r="H70" s="465">
        <f>ROUND(G70*$H$4,0)</f>
        <v>10593556</v>
      </c>
      <c r="I70" s="963">
        <f>'Table 7 Local Revenue'!AP71</f>
        <v>293555</v>
      </c>
      <c r="J70" s="964">
        <f>E70+H70+I70</f>
        <v>16602031</v>
      </c>
    </row>
    <row r="71" spans="1:10" ht="15" customHeight="1">
      <c r="A71" s="965">
        <v>66</v>
      </c>
      <c r="B71" s="966" t="s">
        <v>137</v>
      </c>
      <c r="C71" s="967">
        <f>'Table 7 Local Revenue'!AE72</f>
        <v>4673151</v>
      </c>
      <c r="D71" s="967">
        <f>'Table 7 Local Revenue'!H72</f>
        <v>74421580</v>
      </c>
      <c r="E71" s="967">
        <f>ROUND(D71*$E$4/1000,0)</f>
        <v>1235476</v>
      </c>
      <c r="F71" s="968">
        <f>'Table 7 Local Revenue'!AI72</f>
        <v>2506955</v>
      </c>
      <c r="G71" s="967">
        <f>'Table 7 Local Revenue'!AM72</f>
        <v>250695500</v>
      </c>
      <c r="H71" s="967">
        <f>ROUND(G71*$H$4,0)</f>
        <v>2011320</v>
      </c>
      <c r="I71" s="969">
        <f>'Table 7 Local Revenue'!AP72</f>
        <v>212477</v>
      </c>
      <c r="J71" s="970">
        <f>E71+H71+I71</f>
        <v>3459273</v>
      </c>
    </row>
    <row r="72" spans="1:10" ht="15" customHeight="1">
      <c r="A72" s="445">
        <v>67</v>
      </c>
      <c r="B72" s="675" t="s">
        <v>28</v>
      </c>
      <c r="C72" s="447">
        <f>'Table 7 Local Revenue'!AE73</f>
        <v>16581303</v>
      </c>
      <c r="D72" s="447">
        <f>'Table 7 Local Revenue'!H73</f>
        <v>211678775</v>
      </c>
      <c r="E72" s="447">
        <f>ROUND(D72*$E$4/1000,0)</f>
        <v>3514089</v>
      </c>
      <c r="F72" s="682">
        <f>'Table 7 Local Revenue'!AI73</f>
        <v>10177401</v>
      </c>
      <c r="G72" s="447">
        <f>'Table 7 Local Revenue'!AM73</f>
        <v>508870050</v>
      </c>
      <c r="H72" s="447">
        <f>ROUND(G72*$H$4,0)</f>
        <v>4082644</v>
      </c>
      <c r="I72" s="961">
        <f>'Table 7 Local Revenue'!AP73</f>
        <v>84644</v>
      </c>
      <c r="J72" s="962">
        <f>E72+H72+I72</f>
        <v>7681377</v>
      </c>
    </row>
    <row r="73" spans="1:10" ht="15" customHeight="1">
      <c r="A73" s="445">
        <v>68</v>
      </c>
      <c r="B73" s="675" t="s">
        <v>27</v>
      </c>
      <c r="C73" s="447">
        <f>'Table 7 Local Revenue'!AE74</f>
        <v>1817805</v>
      </c>
      <c r="D73" s="447">
        <f>'Table 7 Local Revenue'!H74</f>
        <v>43220750</v>
      </c>
      <c r="E73" s="447">
        <f>ROUND(D73*$E$4/1000,0)</f>
        <v>717510</v>
      </c>
      <c r="F73" s="682">
        <f>'Table 7 Local Revenue'!AI74</f>
        <v>2971848</v>
      </c>
      <c r="G73" s="447">
        <f>'Table 7 Local Revenue'!AM74</f>
        <v>148592400</v>
      </c>
      <c r="H73" s="447">
        <f>ROUND(G73*$H$4,0)</f>
        <v>1192151</v>
      </c>
      <c r="I73" s="961">
        <f>'Table 7 Local Revenue'!AP74</f>
        <v>45978</v>
      </c>
      <c r="J73" s="962">
        <f>E73+H73+I73</f>
        <v>1955639</v>
      </c>
    </row>
    <row r="74" spans="1:10" ht="15" customHeight="1">
      <c r="A74" s="971">
        <v>69</v>
      </c>
      <c r="B74" s="693" t="s">
        <v>147</v>
      </c>
      <c r="C74" s="972">
        <f>'Table 7 Local Revenue'!AE75</f>
        <v>7196548</v>
      </c>
      <c r="D74" s="972">
        <f>'Table 7 Local Revenue'!H75</f>
        <v>120818214.00000001</v>
      </c>
      <c r="E74" s="972">
        <f>ROUND(D74*$E$4/1000,0)</f>
        <v>2005708</v>
      </c>
      <c r="F74" s="689">
        <f>'Table 7 Local Revenue'!AI75</f>
        <v>7130754</v>
      </c>
      <c r="G74" s="972">
        <f>'Table 7 Local Revenue'!AM75</f>
        <v>285230160</v>
      </c>
      <c r="H74" s="972">
        <f>ROUND(G74*$H$4,0)</f>
        <v>2288390</v>
      </c>
      <c r="I74" s="973">
        <f>'Table 7 Local Revenue'!AP75</f>
        <v>205815</v>
      </c>
      <c r="J74" s="974">
        <f>E74+H74+I74</f>
        <v>4499913</v>
      </c>
    </row>
    <row r="75" spans="1:10" ht="15" customHeight="1" thickBot="1">
      <c r="A75" s="975"/>
      <c r="B75" s="774" t="s">
        <v>70</v>
      </c>
      <c r="C75" s="748">
        <f t="shared" ref="C75:J75" si="7">SUM(C6:C74)</f>
        <v>1475705348</v>
      </c>
      <c r="D75" s="748">
        <f t="shared" si="7"/>
        <v>35814070376.900002</v>
      </c>
      <c r="E75" s="748">
        <f t="shared" si="7"/>
        <v>594550960</v>
      </c>
      <c r="F75" s="748">
        <f t="shared" si="7"/>
        <v>1714025872</v>
      </c>
      <c r="G75" s="748">
        <f t="shared" si="7"/>
        <v>86095616017.25</v>
      </c>
      <c r="H75" s="748">
        <f t="shared" si="7"/>
        <v>690741681</v>
      </c>
      <c r="I75" s="976">
        <f t="shared" si="7"/>
        <v>37327711.5</v>
      </c>
      <c r="J75" s="977">
        <f t="shared" si="7"/>
        <v>1322620352.5</v>
      </c>
    </row>
    <row r="76" spans="1:10" ht="13.5" thickTop="1"/>
    <row r="78" spans="1:10" hidden="1">
      <c r="F78" s="515">
        <f>'Table 3 Levels 1&amp;2'!V73</f>
        <v>0.65</v>
      </c>
    </row>
    <row r="79" spans="1:10" hidden="1">
      <c r="F79" s="515">
        <v>0.4052</v>
      </c>
    </row>
    <row r="81" spans="5:6" ht="18">
      <c r="E81" s="978"/>
      <c r="F81" s="979"/>
    </row>
  </sheetData>
  <mergeCells count="10">
    <mergeCell ref="J2:J4"/>
    <mergeCell ref="A2:A4"/>
    <mergeCell ref="B2:B4"/>
    <mergeCell ref="C2:E2"/>
    <mergeCell ref="C3:C4"/>
    <mergeCell ref="D3:D4"/>
    <mergeCell ref="F3:F4"/>
    <mergeCell ref="G3:G4"/>
    <mergeCell ref="F2:H2"/>
    <mergeCell ref="I2:I4"/>
  </mergeCells>
  <phoneticPr fontId="0" type="noConversion"/>
  <printOptions horizontalCentered="1"/>
  <pageMargins left="0.3" right="0.28999999999999998" top="1.19" bottom="0.38" header="0.33" footer="0.18"/>
  <pageSetup paperSize="5" scale="70" firstPageNumber="95" orientation="portrait" r:id="rId1"/>
  <headerFooter alignWithMargins="0">
    <oddHeader>&amp;L&amp;"Arial,Bold"&amp;18&amp;K000000TABLE 6: FY2014-15 Budget Letter 
Local Deduction Calculation</oddHeader>
    <oddFooter>&amp;R&amp;12&amp;P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76"/>
  <sheetViews>
    <sheetView view="pageBreakPreview" zoomScale="80" zoomScaleNormal="85" zoomScaleSheetLayoutView="80" workbookViewId="0">
      <pane xSplit="2" ySplit="3" topLeftCell="C4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9.140625" defaultRowHeight="12.75"/>
  <cols>
    <col min="1" max="1" width="4.7109375" style="600" bestFit="1" customWidth="1"/>
    <col min="2" max="2" width="18.7109375" style="425" customWidth="1"/>
    <col min="3" max="3" width="15.42578125" style="425" bestFit="1" customWidth="1"/>
    <col min="4" max="4" width="11.7109375" style="425" bestFit="1" customWidth="1"/>
    <col min="5" max="5" width="7.85546875" style="740" bestFit="1" customWidth="1"/>
    <col min="6" max="6" width="11.140625" style="425" bestFit="1" customWidth="1"/>
    <col min="7" max="7" width="7.85546875" style="425" bestFit="1" customWidth="1"/>
    <col min="8" max="8" width="13.42578125" style="425" customWidth="1"/>
    <col min="9" max="9" width="7.85546875" style="425" bestFit="1" customWidth="1"/>
    <col min="10" max="10" width="10.140625" style="425" bestFit="1" customWidth="1"/>
    <col min="11" max="11" width="7.85546875" style="425" bestFit="1" customWidth="1"/>
    <col min="12" max="12" width="11.7109375" style="425" bestFit="1" customWidth="1"/>
    <col min="13" max="13" width="13.28515625" style="729" customWidth="1"/>
    <col min="14" max="15" width="14.85546875" style="425" customWidth="1"/>
    <col min="16" max="16" width="15.140625" style="425" bestFit="1" customWidth="1"/>
    <col min="17" max="17" width="9.85546875" style="425" bestFit="1" customWidth="1"/>
    <col min="18" max="18" width="17.7109375" style="425" customWidth="1"/>
    <col min="19" max="19" width="19.7109375" style="731" customWidth="1"/>
    <col min="20" max="20" width="15.28515625" style="731" customWidth="1"/>
    <col min="21" max="21" width="18.28515625" style="731" customWidth="1"/>
    <col min="22" max="22" width="10.7109375" style="731" bestFit="1" customWidth="1"/>
    <col min="23" max="24" width="10" style="731" customWidth="1"/>
    <col min="25" max="25" width="18.140625" style="731" customWidth="1"/>
    <col min="26" max="26" width="15.140625" style="731" customWidth="1"/>
    <col min="27" max="27" width="9.5703125" style="731" customWidth="1"/>
    <col min="28" max="28" width="14.140625" style="731" customWidth="1"/>
    <col min="29" max="29" width="14.42578125" style="731" customWidth="1"/>
    <col min="30" max="30" width="13.85546875" style="731" customWidth="1"/>
    <col min="31" max="31" width="16" style="731" customWidth="1"/>
    <col min="32" max="32" width="10.5703125" style="731" customWidth="1"/>
    <col min="33" max="33" width="15.5703125" style="731" customWidth="1"/>
    <col min="34" max="34" width="9.42578125" style="731" bestFit="1" customWidth="1"/>
    <col min="35" max="35" width="17.42578125" style="731" customWidth="1"/>
    <col min="36" max="36" width="9.42578125" style="731" bestFit="1" customWidth="1"/>
    <col min="37" max="37" width="18.85546875" style="731" customWidth="1"/>
    <col min="38" max="38" width="9.42578125" style="731" bestFit="1" customWidth="1"/>
    <col min="39" max="39" width="17.28515625" style="731" customWidth="1"/>
    <col min="40" max="40" width="9.42578125" style="731" bestFit="1" customWidth="1"/>
    <col min="41" max="41" width="17.85546875" style="731" customWidth="1"/>
    <col min="42" max="42" width="9.42578125" style="731" bestFit="1" customWidth="1"/>
    <col min="43" max="43" width="13.85546875" style="731" customWidth="1"/>
    <col min="44" max="44" width="5.7109375" style="731" bestFit="1" customWidth="1"/>
    <col min="45" max="45" width="16.28515625" style="731" customWidth="1"/>
    <col min="46" max="46" width="8.140625" style="731" bestFit="1" customWidth="1"/>
    <col min="47" max="47" width="5" style="731" bestFit="1" customWidth="1"/>
    <col min="48" max="48" width="9.85546875" style="731" bestFit="1" customWidth="1"/>
    <col min="49" max="49" width="18.5703125" style="731" customWidth="1"/>
    <col min="50" max="50" width="8.85546875" style="731" bestFit="1" customWidth="1"/>
    <col min="51" max="51" width="5" style="731" bestFit="1" customWidth="1"/>
    <col min="52" max="52" width="8.85546875" style="427" customWidth="1"/>
    <col min="53" max="16384" width="9.140625" style="425"/>
  </cols>
  <sheetData>
    <row r="1" spans="1:52" s="646" customFormat="1" ht="20.25" customHeight="1">
      <c r="C1" s="647"/>
      <c r="D1" s="1341">
        <v>0.22</v>
      </c>
      <c r="E1" s="1342"/>
      <c r="F1" s="1343">
        <v>0.06</v>
      </c>
      <c r="G1" s="1344"/>
      <c r="H1" s="1343">
        <v>1.5</v>
      </c>
      <c r="I1" s="1344"/>
      <c r="J1" s="1341">
        <v>0.6</v>
      </c>
      <c r="K1" s="1342"/>
      <c r="L1" s="648">
        <v>7500</v>
      </c>
      <c r="M1" s="648">
        <v>37500</v>
      </c>
      <c r="N1" s="649">
        <f>M1</f>
        <v>37500</v>
      </c>
      <c r="Q1" s="650">
        <f>ROUND(3855*1.0275,0)</f>
        <v>3961</v>
      </c>
      <c r="S1" s="651"/>
      <c r="T1" s="652">
        <v>0.75</v>
      </c>
      <c r="U1" s="653"/>
      <c r="V1" s="654"/>
      <c r="W1" s="654"/>
      <c r="X1" s="654"/>
      <c r="Z1" s="655"/>
      <c r="AA1" s="655"/>
      <c r="AB1" s="656">
        <v>0.34</v>
      </c>
      <c r="AC1" s="655"/>
      <c r="AD1" s="657">
        <v>1.72</v>
      </c>
      <c r="AE1" s="658"/>
      <c r="AF1" s="655"/>
      <c r="AG1" s="655"/>
      <c r="AH1" s="655"/>
      <c r="AI1" s="1338" t="s">
        <v>250</v>
      </c>
      <c r="AJ1" s="1339"/>
      <c r="AK1" s="1339"/>
      <c r="AL1" s="1340"/>
      <c r="AM1" s="1335" t="s">
        <v>251</v>
      </c>
      <c r="AN1" s="1336"/>
      <c r="AO1" s="1336"/>
      <c r="AP1" s="1337"/>
      <c r="AQ1" s="655"/>
      <c r="AR1" s="655"/>
      <c r="AS1" s="655"/>
      <c r="AT1" s="655"/>
      <c r="AU1" s="655"/>
      <c r="AV1" s="655"/>
      <c r="AW1" s="655"/>
      <c r="AX1" s="655"/>
      <c r="AY1" s="655"/>
      <c r="AZ1" s="427"/>
    </row>
    <row r="2" spans="1:52" s="600" customFormat="1" ht="192.75" customHeight="1">
      <c r="A2" s="544" t="s">
        <v>140</v>
      </c>
      <c r="B2" s="659" t="s">
        <v>162</v>
      </c>
      <c r="C2" s="659" t="s">
        <v>751</v>
      </c>
      <c r="D2" s="659" t="s">
        <v>631</v>
      </c>
      <c r="E2" s="659" t="s">
        <v>694</v>
      </c>
      <c r="F2" s="659" t="s">
        <v>632</v>
      </c>
      <c r="G2" s="659" t="s">
        <v>694</v>
      </c>
      <c r="H2" s="659" t="s">
        <v>693</v>
      </c>
      <c r="I2" s="659" t="s">
        <v>695</v>
      </c>
      <c r="J2" s="659" t="s">
        <v>696</v>
      </c>
      <c r="K2" s="659" t="s">
        <v>695</v>
      </c>
      <c r="L2" s="659" t="s">
        <v>701</v>
      </c>
      <c r="M2" s="660" t="s">
        <v>697</v>
      </c>
      <c r="N2" s="659" t="s">
        <v>695</v>
      </c>
      <c r="O2" s="659" t="s">
        <v>698</v>
      </c>
      <c r="P2" s="659" t="s">
        <v>157</v>
      </c>
      <c r="Q2" s="659" t="s">
        <v>166</v>
      </c>
      <c r="R2" s="659" t="s">
        <v>149</v>
      </c>
      <c r="S2" s="661" t="s">
        <v>699</v>
      </c>
      <c r="T2" s="662" t="s">
        <v>881</v>
      </c>
      <c r="U2" s="663" t="s">
        <v>753</v>
      </c>
      <c r="V2" s="661" t="s">
        <v>273</v>
      </c>
      <c r="W2" s="662" t="s">
        <v>274</v>
      </c>
      <c r="X2" s="662" t="s">
        <v>275</v>
      </c>
      <c r="Y2" s="664" t="s">
        <v>167</v>
      </c>
      <c r="Z2" s="665" t="s">
        <v>168</v>
      </c>
      <c r="AA2" s="664" t="s">
        <v>883</v>
      </c>
      <c r="AB2" s="664" t="s">
        <v>884</v>
      </c>
      <c r="AC2" s="666" t="s">
        <v>885</v>
      </c>
      <c r="AD2" s="664" t="s">
        <v>700</v>
      </c>
      <c r="AE2" s="667" t="s">
        <v>754</v>
      </c>
      <c r="AF2" s="664" t="s">
        <v>67</v>
      </c>
      <c r="AG2" s="644" t="s">
        <v>752</v>
      </c>
      <c r="AH2" s="659" t="s">
        <v>169</v>
      </c>
      <c r="AI2" s="644" t="s">
        <v>888</v>
      </c>
      <c r="AJ2" s="659" t="s">
        <v>169</v>
      </c>
      <c r="AK2" s="644" t="s">
        <v>889</v>
      </c>
      <c r="AL2" s="659" t="s">
        <v>166</v>
      </c>
      <c r="AM2" s="644" t="s">
        <v>886</v>
      </c>
      <c r="AN2" s="659" t="s">
        <v>166</v>
      </c>
      <c r="AO2" s="644" t="s">
        <v>887</v>
      </c>
      <c r="AP2" s="659" t="s">
        <v>166</v>
      </c>
      <c r="AQ2" s="644" t="s">
        <v>249</v>
      </c>
      <c r="AR2" s="644" t="s">
        <v>143</v>
      </c>
      <c r="AS2" s="666" t="s">
        <v>890</v>
      </c>
      <c r="AT2" s="666" t="s">
        <v>166</v>
      </c>
      <c r="AU2" s="666" t="s">
        <v>154</v>
      </c>
      <c r="AV2" s="666" t="s">
        <v>155</v>
      </c>
      <c r="AW2" s="664" t="s">
        <v>891</v>
      </c>
      <c r="AX2" s="664" t="s">
        <v>166</v>
      </c>
      <c r="AY2" s="664" t="s">
        <v>143</v>
      </c>
      <c r="AZ2" s="427"/>
    </row>
    <row r="3" spans="1:52" s="672" customFormat="1" ht="13.15" customHeight="1">
      <c r="A3" s="668"/>
      <c r="B3" s="668"/>
      <c r="C3" s="443">
        <v>1</v>
      </c>
      <c r="D3" s="444" t="s">
        <v>540</v>
      </c>
      <c r="E3" s="444">
        <v>2</v>
      </c>
      <c r="F3" s="444" t="s">
        <v>541</v>
      </c>
      <c r="G3" s="444">
        <v>3</v>
      </c>
      <c r="H3" s="669" t="s">
        <v>641</v>
      </c>
      <c r="I3" s="669">
        <v>4</v>
      </c>
      <c r="J3" s="669" t="s">
        <v>282</v>
      </c>
      <c r="K3" s="670">
        <v>5</v>
      </c>
      <c r="L3" s="669" t="s">
        <v>283</v>
      </c>
      <c r="M3" s="444" t="s">
        <v>642</v>
      </c>
      <c r="N3" s="444">
        <v>6</v>
      </c>
      <c r="O3" s="444">
        <f t="shared" ref="O3:AN3" si="0">N3+1</f>
        <v>7</v>
      </c>
      <c r="P3" s="444">
        <f t="shared" si="0"/>
        <v>8</v>
      </c>
      <c r="Q3" s="444">
        <f t="shared" si="0"/>
        <v>9</v>
      </c>
      <c r="R3" s="444">
        <f t="shared" ref="R3" si="1">Q3+1</f>
        <v>10</v>
      </c>
      <c r="S3" s="444">
        <f t="shared" ref="S3" si="2">R3+1</f>
        <v>11</v>
      </c>
      <c r="T3" s="444" t="s">
        <v>643</v>
      </c>
      <c r="U3" s="444">
        <v>12</v>
      </c>
      <c r="V3" s="444">
        <f t="shared" si="0"/>
        <v>13</v>
      </c>
      <c r="W3" s="444">
        <f t="shared" si="0"/>
        <v>14</v>
      </c>
      <c r="X3" s="444">
        <f t="shared" si="0"/>
        <v>15</v>
      </c>
      <c r="Y3" s="444">
        <f t="shared" si="0"/>
        <v>16</v>
      </c>
      <c r="Z3" s="444">
        <f t="shared" si="0"/>
        <v>17</v>
      </c>
      <c r="AA3" s="444">
        <f t="shared" si="0"/>
        <v>18</v>
      </c>
      <c r="AB3" s="444">
        <f t="shared" si="0"/>
        <v>19</v>
      </c>
      <c r="AC3" s="444">
        <f t="shared" si="0"/>
        <v>20</v>
      </c>
      <c r="AD3" s="444">
        <f t="shared" si="0"/>
        <v>21</v>
      </c>
      <c r="AE3" s="444">
        <f t="shared" si="0"/>
        <v>22</v>
      </c>
      <c r="AF3" s="444">
        <f t="shared" si="0"/>
        <v>23</v>
      </c>
      <c r="AG3" s="444">
        <f t="shared" si="0"/>
        <v>24</v>
      </c>
      <c r="AH3" s="444">
        <f t="shared" si="0"/>
        <v>25</v>
      </c>
      <c r="AI3" s="444">
        <f t="shared" si="0"/>
        <v>26</v>
      </c>
      <c r="AJ3" s="444">
        <f t="shared" si="0"/>
        <v>27</v>
      </c>
      <c r="AK3" s="444">
        <f t="shared" si="0"/>
        <v>28</v>
      </c>
      <c r="AL3" s="444">
        <f t="shared" si="0"/>
        <v>29</v>
      </c>
      <c r="AM3" s="444">
        <f t="shared" si="0"/>
        <v>30</v>
      </c>
      <c r="AN3" s="444">
        <f t="shared" si="0"/>
        <v>31</v>
      </c>
      <c r="AO3" s="444">
        <f t="shared" ref="AO3" si="3">AN3+1</f>
        <v>32</v>
      </c>
      <c r="AP3" s="444">
        <f t="shared" ref="AP3" si="4">AO3+1</f>
        <v>33</v>
      </c>
      <c r="AQ3" s="444">
        <f t="shared" ref="AQ3" si="5">AP3+1</f>
        <v>34</v>
      </c>
      <c r="AR3" s="444">
        <f t="shared" ref="AR3" si="6">AQ3+1</f>
        <v>35</v>
      </c>
      <c r="AS3" s="444">
        <f t="shared" ref="AS3" si="7">AR3+1</f>
        <v>36</v>
      </c>
      <c r="AT3" s="444">
        <f t="shared" ref="AT3" si="8">AS3+1</f>
        <v>37</v>
      </c>
      <c r="AU3" s="444">
        <f t="shared" ref="AU3" si="9">AT3+1</f>
        <v>38</v>
      </c>
      <c r="AV3" s="444">
        <f t="shared" ref="AV3" si="10">AU3+1</f>
        <v>39</v>
      </c>
      <c r="AW3" s="444">
        <f t="shared" ref="AW3" si="11">AV3+1</f>
        <v>40</v>
      </c>
      <c r="AX3" s="444">
        <f t="shared" ref="AX3" si="12">AW3+1</f>
        <v>41</v>
      </c>
      <c r="AY3" s="444">
        <f t="shared" ref="AY3" si="13">AX3+1</f>
        <v>42</v>
      </c>
      <c r="AZ3" s="671"/>
    </row>
    <row r="4" spans="1:52" s="690" customFormat="1" ht="15.6" customHeight="1">
      <c r="A4" s="673">
        <v>1</v>
      </c>
      <c r="B4" s="674" t="s">
        <v>73</v>
      </c>
      <c r="C4" s="675">
        <f>+'Table 8 Membership 2.1.14'!W3</f>
        <v>9696</v>
      </c>
      <c r="D4" s="675">
        <f>+'[5]ALL- TABLE 3 '!AA6-'[5]ALL- TABLE 3 '!W6-'[5]ALL- TABLE 3 '!X6-'[5]ALL- TABLE 3 '!Y6-'[5]ALL- TABLE 3 '!Z6</f>
        <v>6669</v>
      </c>
      <c r="E4" s="675">
        <f t="shared" ref="E4:E35" si="14">ROUND($D$1*D4,0)</f>
        <v>1467</v>
      </c>
      <c r="F4" s="675">
        <f>+'[6]MS6887_Total CTE T3 corrected'!M6</f>
        <v>2984.5</v>
      </c>
      <c r="G4" s="675">
        <f t="shared" ref="G4:G35" si="15">ROUND($F$1*F4,0)</f>
        <v>179</v>
      </c>
      <c r="H4" s="675">
        <f>+'[7]MFP Funded SWD -Table 3'!W5</f>
        <v>900</v>
      </c>
      <c r="I4" s="675">
        <f>ROUND($H$1*H4,0)</f>
        <v>1350</v>
      </c>
      <c r="J4" s="675">
        <f>+'[7]MFP Funded GT -Table 3'!S5</f>
        <v>111</v>
      </c>
      <c r="K4" s="675">
        <f>ROUND($J$1*J4,0)</f>
        <v>67</v>
      </c>
      <c r="L4" s="676">
        <f t="shared" ref="L4:L35" si="16">IF(C4&lt;$L$1,$L$1-C4,0)</f>
        <v>0</v>
      </c>
      <c r="M4" s="677">
        <f t="shared" ref="M4:M35" si="17">ROUND(L4/$M$1,5)</f>
        <v>0</v>
      </c>
      <c r="N4" s="675">
        <f t="shared" ref="N4:N35" si="18" xml:space="preserve"> ROUND(C4*M4,0)</f>
        <v>0</v>
      </c>
      <c r="O4" s="675">
        <f>E4+G4+I4+K4+N4</f>
        <v>3063</v>
      </c>
      <c r="P4" s="675">
        <f t="shared" ref="P4:P35" si="19">O4+C4</f>
        <v>12759</v>
      </c>
      <c r="Q4" s="678">
        <f>$Q$1</f>
        <v>3961</v>
      </c>
      <c r="R4" s="678">
        <f t="shared" ref="R4:R35" si="20">ROUND(P4*Q4,0)</f>
        <v>50538399</v>
      </c>
      <c r="S4" s="678">
        <f>'Table 6 (Local Deduct Calc.)'!J6</f>
        <v>11717408.5</v>
      </c>
      <c r="T4" s="678">
        <f>IF((S4&gt;R4*$T$1),R4*$T$1,S4)</f>
        <v>11717408.5</v>
      </c>
      <c r="U4" s="679">
        <f>R4-T4</f>
        <v>38820990.5</v>
      </c>
      <c r="V4" s="680">
        <f>ROUND(U4/R4,4)</f>
        <v>0.7681</v>
      </c>
      <c r="W4" s="680">
        <f>ROUND(T4/R4,4)</f>
        <v>0.2319</v>
      </c>
      <c r="X4" s="681">
        <f t="shared" ref="X4:X35" si="21">T4/C4</f>
        <v>1208.4785994224424</v>
      </c>
      <c r="Y4" s="678">
        <f>'Table 7 Local Revenue'!AQ7</f>
        <v>21497220.5</v>
      </c>
      <c r="Z4" s="678">
        <f>IF(Y4-T4&gt;0,Y4-T4,0)</f>
        <v>9779812</v>
      </c>
      <c r="AA4" s="682">
        <f>IF(Y4-T4&lt;0,Y4-T4,0)</f>
        <v>0</v>
      </c>
      <c r="AB4" s="447">
        <f>R4*$AB$1</f>
        <v>17183055.66</v>
      </c>
      <c r="AC4" s="447">
        <f>IF(Z4&lt;AB4,Z4,AB4)</f>
        <v>9779812</v>
      </c>
      <c r="AD4" s="678">
        <f>IF(AC4&gt;0,AC4*(W4*$AD$1),0)</f>
        <v>3900854.0528159998</v>
      </c>
      <c r="AE4" s="683">
        <f>IF(AC4-AD4&gt;AC4*$AE$1,AC4-AD4,AC4*$AE$1)</f>
        <v>5878957.9471840002</v>
      </c>
      <c r="AF4" s="684">
        <f>IF(AC4=0,0,ROUND(AE4/AC4,4))</f>
        <v>0.60109999999999997</v>
      </c>
      <c r="AG4" s="683">
        <f>U4+AE4</f>
        <v>44699948.447183996</v>
      </c>
      <c r="AH4" s="447">
        <f t="shared" ref="AH4:AH35" si="22">ROUND(AG4/C4,0)</f>
        <v>4610</v>
      </c>
      <c r="AI4" s="683">
        <f>+'Table 3A Level 3'!O6</f>
        <v>1509815</v>
      </c>
      <c r="AJ4" s="447">
        <f t="shared" ref="AJ4:AJ35" si="23">AI4/C4</f>
        <v>155.71524339933993</v>
      </c>
      <c r="AK4" s="683">
        <f>AI4+AG4</f>
        <v>46209763.447183996</v>
      </c>
      <c r="AL4" s="447">
        <f t="shared" ref="AL4:AL35" si="24">AK4/C4</f>
        <v>4765.8584413349836</v>
      </c>
      <c r="AM4" s="685">
        <f>+'Table 3A Level 3'!P6</f>
        <v>9048261.0800000001</v>
      </c>
      <c r="AN4" s="686">
        <f t="shared" ref="AN4:AN35" si="25">AM4/C4</f>
        <v>933.19524339933992</v>
      </c>
      <c r="AO4" s="683">
        <f>AG4+AM4</f>
        <v>53748209.527183995</v>
      </c>
      <c r="AP4" s="447">
        <f t="shared" ref="AP4:AP35" si="26">AO4/C4</f>
        <v>5543.3384413349831</v>
      </c>
      <c r="AQ4" s="684">
        <f>AO4/AW4</f>
        <v>0.71430530077064247</v>
      </c>
      <c r="AR4" s="687">
        <f>RANK(AQ4,$AQ$4:$AQ$72)</f>
        <v>12</v>
      </c>
      <c r="AS4" s="447">
        <f>ROUND(AC4+T4,2)</f>
        <v>21497220.5</v>
      </c>
      <c r="AT4" s="447">
        <f t="shared" ref="AT4:AT35" si="27">ROUND(AS4/C4,2)</f>
        <v>2217.12</v>
      </c>
      <c r="AU4" s="687">
        <f>RANK(AT4,$AT$4:$AT$72)</f>
        <v>63</v>
      </c>
      <c r="AV4" s="684">
        <f>AS4/AW4</f>
        <v>0.28569469922935753</v>
      </c>
      <c r="AW4" s="687">
        <f>AO4+AS4</f>
        <v>75245430.027183995</v>
      </c>
      <c r="AX4" s="688">
        <f t="shared" ref="AX4:AX35" si="28">AW4/C4</f>
        <v>7760.461017655115</v>
      </c>
      <c r="AY4" s="687">
        <f>RANK(AX4,$AX$4:$AX$72)</f>
        <v>69</v>
      </c>
      <c r="AZ4" s="427"/>
    </row>
    <row r="5" spans="1:52" s="690" customFormat="1" ht="15.6" customHeight="1">
      <c r="A5" s="673">
        <v>2</v>
      </c>
      <c r="B5" s="674" t="s">
        <v>74</v>
      </c>
      <c r="C5" s="674">
        <f>+'Table 8 Membership 2.1.14'!W4</f>
        <v>4087</v>
      </c>
      <c r="D5" s="675">
        <f>+'[5]ALL- TABLE 3 '!AA7-'[5]ALL- TABLE 3 '!W7-'[5]ALL- TABLE 3 '!X7-'[5]ALL- TABLE 3 '!Y7-'[5]ALL- TABLE 3 '!Z7</f>
        <v>2568</v>
      </c>
      <c r="E5" s="675">
        <f t="shared" si="14"/>
        <v>565</v>
      </c>
      <c r="F5" s="675">
        <f>+'[6]MS6887_Total CTE T3 corrected'!M7</f>
        <v>1559</v>
      </c>
      <c r="G5" s="675">
        <f t="shared" si="15"/>
        <v>94</v>
      </c>
      <c r="H5" s="675">
        <f>+'[7]MFP Funded SWD -Table 3'!W6</f>
        <v>417</v>
      </c>
      <c r="I5" s="675">
        <f t="shared" ref="I5:I68" si="29">ROUND($H$1*H5,0)</f>
        <v>626</v>
      </c>
      <c r="J5" s="675">
        <f>+'[7]MFP Funded GT -Table 3'!S6</f>
        <v>54</v>
      </c>
      <c r="K5" s="675">
        <f t="shared" ref="K5:K68" si="30">ROUND($J$1*J5,0)</f>
        <v>32</v>
      </c>
      <c r="L5" s="675">
        <f t="shared" si="16"/>
        <v>3413</v>
      </c>
      <c r="M5" s="677">
        <f t="shared" si="17"/>
        <v>9.1009999999999994E-2</v>
      </c>
      <c r="N5" s="675">
        <f t="shared" si="18"/>
        <v>372</v>
      </c>
      <c r="O5" s="675">
        <f t="shared" ref="O5:O68" si="31">E5+G5+I5+K5+N5</f>
        <v>1689</v>
      </c>
      <c r="P5" s="675">
        <f t="shared" si="19"/>
        <v>5776</v>
      </c>
      <c r="Q5" s="678">
        <f t="shared" ref="Q5:Q68" si="32">$Q$1</f>
        <v>3961</v>
      </c>
      <c r="R5" s="678">
        <f t="shared" si="20"/>
        <v>22878736</v>
      </c>
      <c r="S5" s="678">
        <f>'Table 6 (Local Deduct Calc.)'!J7</f>
        <v>3456221</v>
      </c>
      <c r="T5" s="678">
        <f t="shared" ref="T5:T68" si="33">IF((S5&gt;R5*$T$1),R5*$T$1,S5)</f>
        <v>3456221</v>
      </c>
      <c r="U5" s="679">
        <f t="shared" ref="U5:U68" si="34">R5-T5</f>
        <v>19422515</v>
      </c>
      <c r="V5" s="680">
        <f>ROUND(U5/R5,4)</f>
        <v>0.84889999999999999</v>
      </c>
      <c r="W5" s="680">
        <f t="shared" ref="W5:W68" si="35">ROUND(T5/R5,4)</f>
        <v>0.15110000000000001</v>
      </c>
      <c r="X5" s="681">
        <f t="shared" si="21"/>
        <v>845.66209933936875</v>
      </c>
      <c r="Y5" s="678">
        <f>'Table 7 Local Revenue'!AQ8</f>
        <v>11464170</v>
      </c>
      <c r="Z5" s="678">
        <f t="shared" ref="Z5:Z68" si="36">IF(Y5-T5&gt;0,Y5-T5,0)</f>
        <v>8007949</v>
      </c>
      <c r="AA5" s="682">
        <f t="shared" ref="AA5:AA68" si="37">IF(Y5-T5&lt;0,Y5-T5,0)</f>
        <v>0</v>
      </c>
      <c r="AB5" s="447">
        <f t="shared" ref="AB5:AB68" si="38">R5*$AB$1</f>
        <v>7778770.2400000002</v>
      </c>
      <c r="AC5" s="447">
        <f t="shared" ref="AC5:AC68" si="39">IF(Z5&lt;AB5,Z5,AB5)</f>
        <v>7778770.2400000002</v>
      </c>
      <c r="AD5" s="678">
        <f t="shared" ref="AD5:AD68" si="40">IF(AC5&gt;0,AC5*(W5*$AD$1),0)</f>
        <v>2021640.1552140801</v>
      </c>
      <c r="AE5" s="683">
        <f t="shared" ref="AE5:AE68" si="41">IF(AC5-AD5&gt;AC5*$AE$1,AC5-AD5,AC5*$AE$1)</f>
        <v>5757130.0847859196</v>
      </c>
      <c r="AF5" s="684">
        <f t="shared" ref="AF5:AF68" si="42">IF(AC5=0,0,ROUND(AE5/AC5,4))</f>
        <v>0.74009999999999998</v>
      </c>
      <c r="AG5" s="683">
        <f t="shared" ref="AG5:AG68" si="43">U5+AE5</f>
        <v>25179645.08478592</v>
      </c>
      <c r="AH5" s="447">
        <f t="shared" si="22"/>
        <v>6161</v>
      </c>
      <c r="AI5" s="683">
        <f>+'Table 3A Level 3'!O7</f>
        <v>636408</v>
      </c>
      <c r="AJ5" s="447">
        <f t="shared" si="23"/>
        <v>155.71519451920724</v>
      </c>
      <c r="AK5" s="683">
        <f t="shared" ref="AK5:AK68" si="44">AI5+AG5</f>
        <v>25816053.08478592</v>
      </c>
      <c r="AL5" s="447">
        <f t="shared" si="24"/>
        <v>6316.6266417386641</v>
      </c>
      <c r="AM5" s="685">
        <f>+'Table 3A Level 3'!P7</f>
        <v>4078969.8400000003</v>
      </c>
      <c r="AN5" s="686">
        <f t="shared" si="25"/>
        <v>998.03519451920727</v>
      </c>
      <c r="AO5" s="683">
        <f t="shared" ref="AO5:AO68" si="45">AG5+AM5</f>
        <v>29258614.924785919</v>
      </c>
      <c r="AP5" s="447">
        <f t="shared" si="26"/>
        <v>7158.9466417386639</v>
      </c>
      <c r="AQ5" s="684">
        <f t="shared" ref="AQ5:AQ68" si="46">AO5/AW5</f>
        <v>0.72254900701409541</v>
      </c>
      <c r="AR5" s="687">
        <f t="shared" ref="AR5:AR68" si="47">RANK(AQ5,$AQ$4:$AQ$72)</f>
        <v>11</v>
      </c>
      <c r="AS5" s="447">
        <f t="shared" ref="AS5:AS68" si="48">ROUND(AC5+T5,2)</f>
        <v>11234991.24</v>
      </c>
      <c r="AT5" s="447">
        <f t="shared" si="27"/>
        <v>2748.96</v>
      </c>
      <c r="AU5" s="687">
        <f t="shared" ref="AU5:AU68" si="49">RANK(AT5,$AT$4:$AT$72)</f>
        <v>55</v>
      </c>
      <c r="AV5" s="684">
        <f t="shared" ref="AV5:AV68" si="50">AS5/AW5</f>
        <v>0.27745099298590453</v>
      </c>
      <c r="AW5" s="687">
        <f t="shared" ref="AW5:AW68" si="51">AO5+AS5</f>
        <v>40493606.164785922</v>
      </c>
      <c r="AX5" s="688">
        <f t="shared" si="28"/>
        <v>9907.9046158027704</v>
      </c>
      <c r="AY5" s="687">
        <f t="shared" ref="AY5:AY68" si="52">RANK(AX5,$AX$4:$AX$72)</f>
        <v>11</v>
      </c>
      <c r="AZ5" s="427"/>
    </row>
    <row r="6" spans="1:52" s="690" customFormat="1" ht="15.6" customHeight="1">
      <c r="A6" s="673">
        <v>3</v>
      </c>
      <c r="B6" s="674" t="s">
        <v>75</v>
      </c>
      <c r="C6" s="674">
        <f>+'Table 8 Membership 2.1.14'!W5</f>
        <v>20958</v>
      </c>
      <c r="D6" s="675">
        <f>+'[5]ALL- TABLE 3 '!AA8-'[5]ALL- TABLE 3 '!W8-'[5]ALL- TABLE 3 '!X8-'[5]ALL- TABLE 3 '!Y8-'[5]ALL- TABLE 3 '!Z8</f>
        <v>10003</v>
      </c>
      <c r="E6" s="675">
        <f t="shared" si="14"/>
        <v>2201</v>
      </c>
      <c r="F6" s="675">
        <f>+'[6]MS6887_Total CTE T3 corrected'!M8</f>
        <v>7942.5</v>
      </c>
      <c r="G6" s="675">
        <f t="shared" si="15"/>
        <v>477</v>
      </c>
      <c r="H6" s="675">
        <f>+'[7]MFP Funded SWD -Table 3'!W7</f>
        <v>2308</v>
      </c>
      <c r="I6" s="675">
        <f t="shared" si="29"/>
        <v>3462</v>
      </c>
      <c r="J6" s="675">
        <f>+'[7]MFP Funded GT -Table 3'!S7</f>
        <v>560</v>
      </c>
      <c r="K6" s="675">
        <f t="shared" si="30"/>
        <v>336</v>
      </c>
      <c r="L6" s="675">
        <f t="shared" si="16"/>
        <v>0</v>
      </c>
      <c r="M6" s="677">
        <f t="shared" si="17"/>
        <v>0</v>
      </c>
      <c r="N6" s="675">
        <f t="shared" si="18"/>
        <v>0</v>
      </c>
      <c r="O6" s="675">
        <f t="shared" si="31"/>
        <v>6476</v>
      </c>
      <c r="P6" s="675">
        <f t="shared" si="19"/>
        <v>27434</v>
      </c>
      <c r="Q6" s="678">
        <f t="shared" si="32"/>
        <v>3961</v>
      </c>
      <c r="R6" s="678">
        <f t="shared" si="20"/>
        <v>108666074</v>
      </c>
      <c r="S6" s="678">
        <f>'Table 6 (Local Deduct Calc.)'!J8</f>
        <v>38990632</v>
      </c>
      <c r="T6" s="678">
        <f t="shared" si="33"/>
        <v>38990632</v>
      </c>
      <c r="U6" s="679">
        <f t="shared" si="34"/>
        <v>69675442</v>
      </c>
      <c r="V6" s="680">
        <f t="shared" ref="V6:V68" si="53">ROUND(U6/R6,4)</f>
        <v>0.64119999999999999</v>
      </c>
      <c r="W6" s="680">
        <f t="shared" si="35"/>
        <v>0.35880000000000001</v>
      </c>
      <c r="X6" s="681">
        <f t="shared" si="21"/>
        <v>1860.4175970989597</v>
      </c>
      <c r="Y6" s="678">
        <f>'Table 7 Local Revenue'!AQ9</f>
        <v>118049170</v>
      </c>
      <c r="Z6" s="678">
        <f t="shared" si="36"/>
        <v>79058538</v>
      </c>
      <c r="AA6" s="682">
        <f t="shared" si="37"/>
        <v>0</v>
      </c>
      <c r="AB6" s="447">
        <f t="shared" si="38"/>
        <v>36946465.160000004</v>
      </c>
      <c r="AC6" s="447">
        <f t="shared" si="39"/>
        <v>36946465.160000004</v>
      </c>
      <c r="AD6" s="678">
        <f t="shared" si="40"/>
        <v>22800993.722981762</v>
      </c>
      <c r="AE6" s="683">
        <f t="shared" si="41"/>
        <v>14145471.437018242</v>
      </c>
      <c r="AF6" s="684">
        <f t="shared" si="42"/>
        <v>0.38290000000000002</v>
      </c>
      <c r="AG6" s="683">
        <f t="shared" si="43"/>
        <v>83820913.437018245</v>
      </c>
      <c r="AH6" s="447">
        <f t="shared" si="22"/>
        <v>3999</v>
      </c>
      <c r="AI6" s="683">
        <f>+'Table 3A Level 3'!O8</f>
        <v>3263479</v>
      </c>
      <c r="AJ6" s="447">
        <f t="shared" si="23"/>
        <v>155.71519228934059</v>
      </c>
      <c r="AK6" s="683">
        <f>AI6+AG6</f>
        <v>87084392.437018245</v>
      </c>
      <c r="AL6" s="447">
        <f t="shared" si="24"/>
        <v>4155.1862027396819</v>
      </c>
      <c r="AM6" s="685">
        <f>+'Table 3A Level 3'!P8</f>
        <v>15772051.720000001</v>
      </c>
      <c r="AN6" s="686">
        <f t="shared" si="25"/>
        <v>752.55519228934065</v>
      </c>
      <c r="AO6" s="683">
        <f t="shared" si="45"/>
        <v>99592965.157018244</v>
      </c>
      <c r="AP6" s="447">
        <f t="shared" si="26"/>
        <v>4752.0262027396811</v>
      </c>
      <c r="AQ6" s="684">
        <f t="shared" si="46"/>
        <v>0.5673840927438808</v>
      </c>
      <c r="AR6" s="687">
        <f t="shared" si="47"/>
        <v>49</v>
      </c>
      <c r="AS6" s="447">
        <f t="shared" si="48"/>
        <v>75937097.159999996</v>
      </c>
      <c r="AT6" s="447">
        <f t="shared" si="27"/>
        <v>3623.3</v>
      </c>
      <c r="AU6" s="687">
        <f t="shared" si="49"/>
        <v>27</v>
      </c>
      <c r="AV6" s="684">
        <f t="shared" si="50"/>
        <v>0.43261590725611926</v>
      </c>
      <c r="AW6" s="687">
        <f t="shared" si="51"/>
        <v>175530062.31701824</v>
      </c>
      <c r="AX6" s="688">
        <f t="shared" si="28"/>
        <v>8375.3250461407697</v>
      </c>
      <c r="AY6" s="687">
        <f t="shared" si="52"/>
        <v>61</v>
      </c>
      <c r="AZ6" s="427"/>
    </row>
    <row r="7" spans="1:52" s="690" customFormat="1" ht="15.6" customHeight="1">
      <c r="A7" s="673">
        <v>4</v>
      </c>
      <c r="B7" s="674" t="s">
        <v>76</v>
      </c>
      <c r="C7" s="674">
        <f>+'Table 8 Membership 2.1.14'!W6</f>
        <v>3569</v>
      </c>
      <c r="D7" s="675">
        <f>+'[5]ALL- TABLE 3 '!AA9-'[5]ALL- TABLE 3 '!W9-'[5]ALL- TABLE 3 '!X9-'[5]ALL- TABLE 3 '!Y9-'[5]ALL- TABLE 3 '!Z9</f>
        <v>2347</v>
      </c>
      <c r="E7" s="675">
        <f t="shared" si="14"/>
        <v>516</v>
      </c>
      <c r="F7" s="675">
        <f>+'[6]MS6887_Total CTE T3 corrected'!M9</f>
        <v>1449.5</v>
      </c>
      <c r="G7" s="675">
        <f t="shared" si="15"/>
        <v>87</v>
      </c>
      <c r="H7" s="675">
        <f>+'[7]MFP Funded SWD -Table 3'!W8</f>
        <v>483</v>
      </c>
      <c r="I7" s="675">
        <f t="shared" si="29"/>
        <v>725</v>
      </c>
      <c r="J7" s="675">
        <f>+'[7]MFP Funded GT -Table 3'!S8</f>
        <v>76</v>
      </c>
      <c r="K7" s="675">
        <f t="shared" si="30"/>
        <v>46</v>
      </c>
      <c r="L7" s="675">
        <f t="shared" si="16"/>
        <v>3931</v>
      </c>
      <c r="M7" s="677">
        <f t="shared" si="17"/>
        <v>0.10483000000000001</v>
      </c>
      <c r="N7" s="675">
        <f t="shared" si="18"/>
        <v>374</v>
      </c>
      <c r="O7" s="675">
        <f t="shared" si="31"/>
        <v>1748</v>
      </c>
      <c r="P7" s="675">
        <f t="shared" si="19"/>
        <v>5317</v>
      </c>
      <c r="Q7" s="678">
        <f t="shared" si="32"/>
        <v>3961</v>
      </c>
      <c r="R7" s="678">
        <f t="shared" si="20"/>
        <v>21060637</v>
      </c>
      <c r="S7" s="678">
        <f>'Table 6 (Local Deduct Calc.)'!J9</f>
        <v>4377532.5</v>
      </c>
      <c r="T7" s="678">
        <f t="shared" si="33"/>
        <v>4377532.5</v>
      </c>
      <c r="U7" s="679">
        <f t="shared" si="34"/>
        <v>16683104.5</v>
      </c>
      <c r="V7" s="680">
        <f t="shared" si="53"/>
        <v>0.79210000000000003</v>
      </c>
      <c r="W7" s="680">
        <f t="shared" si="35"/>
        <v>0.2079</v>
      </c>
      <c r="X7" s="681">
        <f t="shared" si="21"/>
        <v>1226.5431493415522</v>
      </c>
      <c r="Y7" s="678">
        <f>'Table 7 Local Revenue'!AQ10</f>
        <v>12769854.5</v>
      </c>
      <c r="Z7" s="678">
        <f t="shared" si="36"/>
        <v>8392322</v>
      </c>
      <c r="AA7" s="682">
        <f t="shared" si="37"/>
        <v>0</v>
      </c>
      <c r="AB7" s="447">
        <f t="shared" si="38"/>
        <v>7160616.5800000001</v>
      </c>
      <c r="AC7" s="447">
        <f t="shared" si="39"/>
        <v>7160616.5800000001</v>
      </c>
      <c r="AD7" s="678">
        <f t="shared" si="40"/>
        <v>2560550.56160904</v>
      </c>
      <c r="AE7" s="683">
        <f t="shared" si="41"/>
        <v>4600066.0183909601</v>
      </c>
      <c r="AF7" s="684">
        <f t="shared" si="42"/>
        <v>0.64239999999999997</v>
      </c>
      <c r="AG7" s="683">
        <f t="shared" si="43"/>
        <v>21283170.518390961</v>
      </c>
      <c r="AH7" s="447">
        <f t="shared" si="22"/>
        <v>5963</v>
      </c>
      <c r="AI7" s="683">
        <f>+'Table 3A Level 3'!O9</f>
        <v>555748</v>
      </c>
      <c r="AJ7" s="447">
        <f t="shared" si="23"/>
        <v>155.71532642196695</v>
      </c>
      <c r="AK7" s="683">
        <f t="shared" si="44"/>
        <v>21838918.518390961</v>
      </c>
      <c r="AL7" s="447">
        <f t="shared" si="24"/>
        <v>6119.0581446878568</v>
      </c>
      <c r="AM7" s="685">
        <f>+'Table 3A Level 3'!P9</f>
        <v>2646325.44</v>
      </c>
      <c r="AN7" s="686">
        <f t="shared" si="25"/>
        <v>741.47532642196688</v>
      </c>
      <c r="AO7" s="683">
        <f t="shared" si="45"/>
        <v>23929495.958390962</v>
      </c>
      <c r="AP7" s="447">
        <f t="shared" si="26"/>
        <v>6704.8181446878571</v>
      </c>
      <c r="AQ7" s="684">
        <f t="shared" si="46"/>
        <v>0.67468522177012724</v>
      </c>
      <c r="AR7" s="687">
        <f t="shared" si="47"/>
        <v>24</v>
      </c>
      <c r="AS7" s="447">
        <f t="shared" si="48"/>
        <v>11538149.08</v>
      </c>
      <c r="AT7" s="447">
        <f t="shared" si="27"/>
        <v>3232.88</v>
      </c>
      <c r="AU7" s="687">
        <f t="shared" si="49"/>
        <v>42</v>
      </c>
      <c r="AV7" s="684">
        <f t="shared" si="50"/>
        <v>0.32531477822987265</v>
      </c>
      <c r="AW7" s="687">
        <f t="shared" si="51"/>
        <v>35467645.038390964</v>
      </c>
      <c r="AX7" s="688">
        <f t="shared" si="28"/>
        <v>9937.6982455564485</v>
      </c>
      <c r="AY7" s="687">
        <f t="shared" si="52"/>
        <v>9</v>
      </c>
      <c r="AZ7" s="427"/>
    </row>
    <row r="8" spans="1:52" s="708" customFormat="1" ht="15.6" customHeight="1">
      <c r="A8" s="691">
        <v>5</v>
      </c>
      <c r="B8" s="692" t="s">
        <v>77</v>
      </c>
      <c r="C8" s="692">
        <f>+'Table 8 Membership 2.1.14'!W7</f>
        <v>5650</v>
      </c>
      <c r="D8" s="693">
        <f>+'[5]ALL- TABLE 3 '!AA10-'[5]ALL- TABLE 3 '!W10-'[5]ALL- TABLE 3 '!X10-'[5]ALL- TABLE 3 '!Y10-'[5]ALL- TABLE 3 '!Z10</f>
        <v>4840</v>
      </c>
      <c r="E8" s="693">
        <f t="shared" si="14"/>
        <v>1065</v>
      </c>
      <c r="F8" s="693">
        <f>+'[6]MS6887_Total CTE T3 corrected'!M10</f>
        <v>2518</v>
      </c>
      <c r="G8" s="693">
        <f t="shared" si="15"/>
        <v>151</v>
      </c>
      <c r="H8" s="693">
        <f>+'[7]MFP Funded SWD -Table 3'!W9</f>
        <v>579</v>
      </c>
      <c r="I8" s="693">
        <f t="shared" si="29"/>
        <v>869</v>
      </c>
      <c r="J8" s="693">
        <f>+'[7]MFP Funded GT -Table 3'!S9</f>
        <v>12</v>
      </c>
      <c r="K8" s="693">
        <f t="shared" si="30"/>
        <v>7</v>
      </c>
      <c r="L8" s="693">
        <f t="shared" si="16"/>
        <v>1850</v>
      </c>
      <c r="M8" s="694">
        <f t="shared" si="17"/>
        <v>4.9329999999999999E-2</v>
      </c>
      <c r="N8" s="693">
        <f t="shared" si="18"/>
        <v>279</v>
      </c>
      <c r="O8" s="693">
        <f t="shared" si="31"/>
        <v>2371</v>
      </c>
      <c r="P8" s="695">
        <f t="shared" si="19"/>
        <v>8021</v>
      </c>
      <c r="Q8" s="696">
        <f t="shared" si="32"/>
        <v>3961</v>
      </c>
      <c r="R8" s="696">
        <f t="shared" si="20"/>
        <v>31771181</v>
      </c>
      <c r="S8" s="696">
        <f>'Table 6 (Local Deduct Calc.)'!J10</f>
        <v>6349670</v>
      </c>
      <c r="T8" s="696">
        <f t="shared" si="33"/>
        <v>6349670</v>
      </c>
      <c r="U8" s="697">
        <f t="shared" si="34"/>
        <v>25421511</v>
      </c>
      <c r="V8" s="698">
        <f t="shared" si="53"/>
        <v>0.80010000000000003</v>
      </c>
      <c r="W8" s="699">
        <f t="shared" si="35"/>
        <v>0.19989999999999999</v>
      </c>
      <c r="X8" s="700">
        <f t="shared" si="21"/>
        <v>1123.8353982300885</v>
      </c>
      <c r="Y8" s="696">
        <f>'Table 7 Local Revenue'!AQ11</f>
        <v>11635193</v>
      </c>
      <c r="Z8" s="696">
        <f t="shared" si="36"/>
        <v>5285523</v>
      </c>
      <c r="AA8" s="701">
        <f t="shared" si="37"/>
        <v>0</v>
      </c>
      <c r="AB8" s="465">
        <f t="shared" si="38"/>
        <v>10802201.540000001</v>
      </c>
      <c r="AC8" s="465">
        <f t="shared" si="39"/>
        <v>5285523</v>
      </c>
      <c r="AD8" s="696">
        <f t="shared" si="40"/>
        <v>1817310.8020439998</v>
      </c>
      <c r="AE8" s="702">
        <f t="shared" si="41"/>
        <v>3468212.1979560005</v>
      </c>
      <c r="AF8" s="703">
        <f t="shared" si="42"/>
        <v>0.65620000000000001</v>
      </c>
      <c r="AG8" s="702">
        <f t="shared" si="43"/>
        <v>28889723.197956</v>
      </c>
      <c r="AH8" s="465">
        <f t="shared" si="22"/>
        <v>5113</v>
      </c>
      <c r="AI8" s="702">
        <f>+'Table 3A Level 3'!O10</f>
        <v>879791</v>
      </c>
      <c r="AJ8" s="465">
        <f t="shared" si="23"/>
        <v>155.71522123893806</v>
      </c>
      <c r="AK8" s="702">
        <f t="shared" si="44"/>
        <v>29769514.197956</v>
      </c>
      <c r="AL8" s="465">
        <f t="shared" si="24"/>
        <v>5268.940566009911</v>
      </c>
      <c r="AM8" s="704">
        <f>+'Table 3A Level 3'!P10</f>
        <v>4020682.5</v>
      </c>
      <c r="AN8" s="705">
        <f t="shared" si="25"/>
        <v>711.62522123893802</v>
      </c>
      <c r="AO8" s="702">
        <f t="shared" si="45"/>
        <v>32910405.697956</v>
      </c>
      <c r="AP8" s="465">
        <f t="shared" si="26"/>
        <v>5824.8505660099117</v>
      </c>
      <c r="AQ8" s="703">
        <f t="shared" si="46"/>
        <v>0.73880263505058952</v>
      </c>
      <c r="AR8" s="706">
        <f t="shared" si="47"/>
        <v>6</v>
      </c>
      <c r="AS8" s="465">
        <f t="shared" si="48"/>
        <v>11635193</v>
      </c>
      <c r="AT8" s="465">
        <f t="shared" si="27"/>
        <v>2059.33</v>
      </c>
      <c r="AU8" s="706">
        <f t="shared" si="49"/>
        <v>66</v>
      </c>
      <c r="AV8" s="703">
        <f t="shared" si="50"/>
        <v>0.26119736494941054</v>
      </c>
      <c r="AW8" s="706">
        <f t="shared" si="51"/>
        <v>44545598.697955996</v>
      </c>
      <c r="AX8" s="707">
        <f t="shared" si="28"/>
        <v>7884.1767607001766</v>
      </c>
      <c r="AY8" s="706">
        <f t="shared" si="52"/>
        <v>67</v>
      </c>
      <c r="AZ8" s="427"/>
    </row>
    <row r="9" spans="1:52" s="690" customFormat="1" ht="15.6" customHeight="1">
      <c r="A9" s="673">
        <v>6</v>
      </c>
      <c r="B9" s="674" t="s">
        <v>78</v>
      </c>
      <c r="C9" s="675">
        <f>+'Table 8 Membership 2.1.14'!W8</f>
        <v>5892</v>
      </c>
      <c r="D9" s="675">
        <f>+'[5]ALL- TABLE 3 '!AA11-'[5]ALL- TABLE 3 '!W11-'[5]ALL- TABLE 3 '!X11-'[5]ALL- TABLE 3 '!Y11-'[5]ALL- TABLE 3 '!Z11</f>
        <v>3142</v>
      </c>
      <c r="E9" s="675">
        <f t="shared" si="14"/>
        <v>691</v>
      </c>
      <c r="F9" s="675">
        <f>+'[6]MS6887_Total CTE T3 corrected'!M11</f>
        <v>1868.5</v>
      </c>
      <c r="G9" s="675">
        <f t="shared" si="15"/>
        <v>112</v>
      </c>
      <c r="H9" s="675">
        <f>+'[7]MFP Funded SWD -Table 3'!W10</f>
        <v>873</v>
      </c>
      <c r="I9" s="675">
        <f t="shared" si="29"/>
        <v>1310</v>
      </c>
      <c r="J9" s="675">
        <f>+'[7]MFP Funded GT -Table 3'!S10</f>
        <v>70</v>
      </c>
      <c r="K9" s="675">
        <f t="shared" si="30"/>
        <v>42</v>
      </c>
      <c r="L9" s="676">
        <f t="shared" si="16"/>
        <v>1608</v>
      </c>
      <c r="M9" s="677">
        <f t="shared" si="17"/>
        <v>4.2880000000000001E-2</v>
      </c>
      <c r="N9" s="675">
        <f t="shared" si="18"/>
        <v>253</v>
      </c>
      <c r="O9" s="675">
        <f t="shared" si="31"/>
        <v>2408</v>
      </c>
      <c r="P9" s="675">
        <f t="shared" si="19"/>
        <v>8300</v>
      </c>
      <c r="Q9" s="678">
        <f t="shared" si="32"/>
        <v>3961</v>
      </c>
      <c r="R9" s="678">
        <f t="shared" si="20"/>
        <v>32876300</v>
      </c>
      <c r="S9" s="678">
        <f>'Table 6 (Local Deduct Calc.)'!J11</f>
        <v>8380820.5</v>
      </c>
      <c r="T9" s="678">
        <f t="shared" si="33"/>
        <v>8380820.5</v>
      </c>
      <c r="U9" s="679">
        <f t="shared" si="34"/>
        <v>24495479.5</v>
      </c>
      <c r="V9" s="680">
        <f t="shared" si="53"/>
        <v>0.74509999999999998</v>
      </c>
      <c r="W9" s="680">
        <f t="shared" si="35"/>
        <v>0.25490000000000002</v>
      </c>
      <c r="X9" s="681">
        <f t="shared" si="21"/>
        <v>1422.4067379497624</v>
      </c>
      <c r="Y9" s="678">
        <f>'Table 7 Local Revenue'!AQ12</f>
        <v>22566872.5</v>
      </c>
      <c r="Z9" s="678">
        <f t="shared" si="36"/>
        <v>14186052</v>
      </c>
      <c r="AA9" s="682">
        <f t="shared" si="37"/>
        <v>0</v>
      </c>
      <c r="AB9" s="447">
        <f t="shared" si="38"/>
        <v>11177942</v>
      </c>
      <c r="AC9" s="447">
        <f t="shared" si="39"/>
        <v>11177942</v>
      </c>
      <c r="AD9" s="678">
        <f t="shared" si="40"/>
        <v>4900722.7551760003</v>
      </c>
      <c r="AE9" s="683">
        <f t="shared" si="41"/>
        <v>6277219.2448239997</v>
      </c>
      <c r="AF9" s="684">
        <f t="shared" si="42"/>
        <v>0.56159999999999999</v>
      </c>
      <c r="AG9" s="683">
        <f t="shared" si="43"/>
        <v>30772698.744824</v>
      </c>
      <c r="AH9" s="447">
        <f t="shared" si="22"/>
        <v>5223</v>
      </c>
      <c r="AI9" s="683">
        <f>+'Table 3A Level 3'!O11</f>
        <v>917474</v>
      </c>
      <c r="AJ9" s="447">
        <f t="shared" si="23"/>
        <v>155.71520706042091</v>
      </c>
      <c r="AK9" s="683">
        <f t="shared" si="44"/>
        <v>31690172.744824</v>
      </c>
      <c r="AL9" s="447">
        <f t="shared" si="24"/>
        <v>5378.5086124955869</v>
      </c>
      <c r="AM9" s="685">
        <f>+'Table 3A Level 3'!P11</f>
        <v>4131442.1599999992</v>
      </c>
      <c r="AN9" s="686">
        <f t="shared" si="25"/>
        <v>701.19520706042078</v>
      </c>
      <c r="AO9" s="683">
        <f t="shared" si="45"/>
        <v>34904140.904823996</v>
      </c>
      <c r="AP9" s="447">
        <f t="shared" si="26"/>
        <v>5923.9886124955865</v>
      </c>
      <c r="AQ9" s="684">
        <f t="shared" si="46"/>
        <v>0.64087918055673099</v>
      </c>
      <c r="AR9" s="687">
        <f t="shared" si="47"/>
        <v>32</v>
      </c>
      <c r="AS9" s="447">
        <f t="shared" si="48"/>
        <v>19558762.5</v>
      </c>
      <c r="AT9" s="447">
        <f t="shared" si="27"/>
        <v>3319.55</v>
      </c>
      <c r="AU9" s="687">
        <f t="shared" si="49"/>
        <v>38</v>
      </c>
      <c r="AV9" s="684">
        <f t="shared" si="50"/>
        <v>0.35912081944326901</v>
      </c>
      <c r="AW9" s="687">
        <f t="shared" si="51"/>
        <v>54462903.404823996</v>
      </c>
      <c r="AX9" s="688">
        <f t="shared" si="28"/>
        <v>9243.5341827603515</v>
      </c>
      <c r="AY9" s="687">
        <f t="shared" si="52"/>
        <v>28</v>
      </c>
      <c r="AZ9" s="427"/>
    </row>
    <row r="10" spans="1:52" s="690" customFormat="1" ht="15.6" customHeight="1">
      <c r="A10" s="673">
        <v>7</v>
      </c>
      <c r="B10" s="674" t="s">
        <v>79</v>
      </c>
      <c r="C10" s="674">
        <f>+'Table 8 Membership 2.1.14'!W9</f>
        <v>2190</v>
      </c>
      <c r="D10" s="675">
        <f>+'[5]ALL- TABLE 3 '!AA12-'[5]ALL- TABLE 3 '!W12-'[5]ALL- TABLE 3 '!X12-'[5]ALL- TABLE 3 '!Y12-'[5]ALL- TABLE 3 '!Z12</f>
        <v>1515</v>
      </c>
      <c r="E10" s="675">
        <f t="shared" si="14"/>
        <v>333</v>
      </c>
      <c r="F10" s="675">
        <f>+'[6]MS6887_Total CTE T3 corrected'!M12</f>
        <v>846</v>
      </c>
      <c r="G10" s="675">
        <f t="shared" si="15"/>
        <v>51</v>
      </c>
      <c r="H10" s="675">
        <f>+'[7]MFP Funded SWD -Table 3'!W11</f>
        <v>209</v>
      </c>
      <c r="I10" s="675">
        <f t="shared" si="29"/>
        <v>314</v>
      </c>
      <c r="J10" s="675">
        <f>+'[7]MFP Funded GT -Table 3'!S11</f>
        <v>53</v>
      </c>
      <c r="K10" s="675">
        <f t="shared" si="30"/>
        <v>32</v>
      </c>
      <c r="L10" s="675">
        <f t="shared" si="16"/>
        <v>5310</v>
      </c>
      <c r="M10" s="677">
        <f t="shared" si="17"/>
        <v>0.1416</v>
      </c>
      <c r="N10" s="675">
        <f t="shared" si="18"/>
        <v>310</v>
      </c>
      <c r="O10" s="675">
        <f t="shared" si="31"/>
        <v>1040</v>
      </c>
      <c r="P10" s="675">
        <f t="shared" si="19"/>
        <v>3230</v>
      </c>
      <c r="Q10" s="678">
        <f t="shared" si="32"/>
        <v>3961</v>
      </c>
      <c r="R10" s="678">
        <f t="shared" si="20"/>
        <v>12794030</v>
      </c>
      <c r="S10" s="678">
        <f>'Table 6 (Local Deduct Calc.)'!J12</f>
        <v>8222869</v>
      </c>
      <c r="T10" s="678">
        <f t="shared" si="33"/>
        <v>8222869</v>
      </c>
      <c r="U10" s="679">
        <f t="shared" si="34"/>
        <v>4571161</v>
      </c>
      <c r="V10" s="680">
        <f t="shared" si="53"/>
        <v>0.35730000000000001</v>
      </c>
      <c r="W10" s="680">
        <f t="shared" si="35"/>
        <v>0.64270000000000005</v>
      </c>
      <c r="X10" s="681">
        <f t="shared" si="21"/>
        <v>3754.7347031963473</v>
      </c>
      <c r="Y10" s="678">
        <f>'Table 7 Local Revenue'!AQ13</f>
        <v>26451166</v>
      </c>
      <c r="Z10" s="678">
        <f t="shared" si="36"/>
        <v>18228297</v>
      </c>
      <c r="AA10" s="682">
        <f t="shared" si="37"/>
        <v>0</v>
      </c>
      <c r="AB10" s="447">
        <f t="shared" si="38"/>
        <v>4349970.2</v>
      </c>
      <c r="AC10" s="447">
        <f t="shared" si="39"/>
        <v>4349970.2</v>
      </c>
      <c r="AD10" s="678">
        <f t="shared" si="40"/>
        <v>4808648.4577688007</v>
      </c>
      <c r="AE10" s="683">
        <f t="shared" si="41"/>
        <v>0</v>
      </c>
      <c r="AF10" s="684">
        <f t="shared" si="42"/>
        <v>0</v>
      </c>
      <c r="AG10" s="683">
        <f t="shared" si="43"/>
        <v>4571161</v>
      </c>
      <c r="AH10" s="447">
        <f t="shared" si="22"/>
        <v>2087</v>
      </c>
      <c r="AI10" s="683">
        <f>+'Table 3A Level 3'!O12</f>
        <v>341016</v>
      </c>
      <c r="AJ10" s="447">
        <f t="shared" si="23"/>
        <v>155.71506849315068</v>
      </c>
      <c r="AK10" s="683">
        <f t="shared" si="44"/>
        <v>4912177</v>
      </c>
      <c r="AL10" s="447">
        <f t="shared" si="24"/>
        <v>2243.0031963470319</v>
      </c>
      <c r="AM10" s="685">
        <f>+'Table 3A Level 3'!P12</f>
        <v>1998670.7999999996</v>
      </c>
      <c r="AN10" s="686">
        <f t="shared" si="25"/>
        <v>912.63506849315047</v>
      </c>
      <c r="AO10" s="683">
        <f t="shared" si="45"/>
        <v>6569831.7999999998</v>
      </c>
      <c r="AP10" s="447">
        <f t="shared" si="26"/>
        <v>2999.923196347032</v>
      </c>
      <c r="AQ10" s="684">
        <f t="shared" si="46"/>
        <v>0.34320350592662852</v>
      </c>
      <c r="AR10" s="687">
        <f t="shared" si="47"/>
        <v>65</v>
      </c>
      <c r="AS10" s="447">
        <f t="shared" si="48"/>
        <v>12572839.199999999</v>
      </c>
      <c r="AT10" s="447">
        <f t="shared" si="27"/>
        <v>5741.02</v>
      </c>
      <c r="AU10" s="687">
        <f t="shared" si="49"/>
        <v>4</v>
      </c>
      <c r="AV10" s="684">
        <f t="shared" si="50"/>
        <v>0.65679649407337148</v>
      </c>
      <c r="AW10" s="687">
        <f t="shared" si="51"/>
        <v>19142671</v>
      </c>
      <c r="AX10" s="688">
        <f t="shared" si="28"/>
        <v>8740.9456621004574</v>
      </c>
      <c r="AY10" s="687">
        <f t="shared" si="52"/>
        <v>52</v>
      </c>
      <c r="AZ10" s="427"/>
    </row>
    <row r="11" spans="1:52" s="690" customFormat="1" ht="15.6" customHeight="1">
      <c r="A11" s="673">
        <v>8</v>
      </c>
      <c r="B11" s="674" t="s">
        <v>80</v>
      </c>
      <c r="C11" s="674">
        <f>+'Table 8 Membership 2.1.14'!W10</f>
        <v>21562</v>
      </c>
      <c r="D11" s="675">
        <f>+'[5]ALL- TABLE 3 '!AA13-'[5]ALL- TABLE 3 '!W13-'[5]ALL- TABLE 3 '!X13-'[5]ALL- TABLE 3 '!Y13-'[5]ALL- TABLE 3 '!Z13</f>
        <v>10087</v>
      </c>
      <c r="E11" s="675">
        <f t="shared" si="14"/>
        <v>2219</v>
      </c>
      <c r="F11" s="675">
        <f>+'[6]MS6887_Total CTE T3 corrected'!M13</f>
        <v>6770.5</v>
      </c>
      <c r="G11" s="675">
        <f t="shared" si="15"/>
        <v>406</v>
      </c>
      <c r="H11" s="675">
        <f>+'[7]MFP Funded SWD -Table 3'!W12</f>
        <v>2554</v>
      </c>
      <c r="I11" s="675">
        <f t="shared" si="29"/>
        <v>3831</v>
      </c>
      <c r="J11" s="675">
        <f>+'[7]MFP Funded GT -Table 3'!S12</f>
        <v>1095</v>
      </c>
      <c r="K11" s="675">
        <f t="shared" si="30"/>
        <v>657</v>
      </c>
      <c r="L11" s="675">
        <f t="shared" si="16"/>
        <v>0</v>
      </c>
      <c r="M11" s="677">
        <f t="shared" si="17"/>
        <v>0</v>
      </c>
      <c r="N11" s="675">
        <f t="shared" si="18"/>
        <v>0</v>
      </c>
      <c r="O11" s="675">
        <f t="shared" si="31"/>
        <v>7113</v>
      </c>
      <c r="P11" s="675">
        <f t="shared" si="19"/>
        <v>28675</v>
      </c>
      <c r="Q11" s="678">
        <f t="shared" si="32"/>
        <v>3961</v>
      </c>
      <c r="R11" s="678">
        <f t="shared" si="20"/>
        <v>113581675</v>
      </c>
      <c r="S11" s="678">
        <f>'Table 6 (Local Deduct Calc.)'!J13</f>
        <v>34621097.5</v>
      </c>
      <c r="T11" s="678">
        <f t="shared" si="33"/>
        <v>34621097.5</v>
      </c>
      <c r="U11" s="679">
        <f t="shared" si="34"/>
        <v>78960577.5</v>
      </c>
      <c r="V11" s="680">
        <f t="shared" si="53"/>
        <v>0.69520000000000004</v>
      </c>
      <c r="W11" s="680">
        <f t="shared" si="35"/>
        <v>0.30480000000000002</v>
      </c>
      <c r="X11" s="681">
        <f t="shared" si="21"/>
        <v>1605.6533484834431</v>
      </c>
      <c r="Y11" s="678">
        <f>'Table 7 Local Revenue'!AQ14</f>
        <v>88059911.5</v>
      </c>
      <c r="Z11" s="678">
        <f t="shared" si="36"/>
        <v>53438814</v>
      </c>
      <c r="AA11" s="682">
        <f t="shared" si="37"/>
        <v>0</v>
      </c>
      <c r="AB11" s="447">
        <f t="shared" si="38"/>
        <v>38617769.5</v>
      </c>
      <c r="AC11" s="447">
        <f t="shared" si="39"/>
        <v>38617769.5</v>
      </c>
      <c r="AD11" s="678">
        <f t="shared" si="40"/>
        <v>20245597.366992</v>
      </c>
      <c r="AE11" s="683">
        <f t="shared" si="41"/>
        <v>18372172.133008</v>
      </c>
      <c r="AF11" s="684">
        <f t="shared" si="42"/>
        <v>0.47570000000000001</v>
      </c>
      <c r="AG11" s="683">
        <f t="shared" si="43"/>
        <v>97332749.633008003</v>
      </c>
      <c r="AH11" s="447">
        <f t="shared" si="22"/>
        <v>4514</v>
      </c>
      <c r="AI11" s="683">
        <f>+'Table 3A Level 3'!O13</f>
        <v>3357531</v>
      </c>
      <c r="AJ11" s="447">
        <f t="shared" si="23"/>
        <v>155.7151933957889</v>
      </c>
      <c r="AK11" s="683">
        <f t="shared" si="44"/>
        <v>100690280.633008</v>
      </c>
      <c r="AL11" s="447">
        <f t="shared" si="24"/>
        <v>4669.802459558854</v>
      </c>
      <c r="AM11" s="685">
        <f>+'Table 3A Level 3'!P13</f>
        <v>19006368.119999997</v>
      </c>
      <c r="AN11" s="686">
        <f t="shared" si="25"/>
        <v>881.47519339578878</v>
      </c>
      <c r="AO11" s="683">
        <f t="shared" si="45"/>
        <v>116339117.75300801</v>
      </c>
      <c r="AP11" s="447">
        <f t="shared" si="26"/>
        <v>5395.5624595588542</v>
      </c>
      <c r="AQ11" s="684">
        <f t="shared" si="46"/>
        <v>0.6136741980065914</v>
      </c>
      <c r="AR11" s="687">
        <f t="shared" si="47"/>
        <v>40</v>
      </c>
      <c r="AS11" s="447">
        <f t="shared" si="48"/>
        <v>73238867</v>
      </c>
      <c r="AT11" s="447">
        <f t="shared" si="27"/>
        <v>3396.66</v>
      </c>
      <c r="AU11" s="687">
        <f t="shared" si="49"/>
        <v>34</v>
      </c>
      <c r="AV11" s="684">
        <f t="shared" si="50"/>
        <v>0.38632580199340855</v>
      </c>
      <c r="AW11" s="687">
        <f t="shared" si="51"/>
        <v>189577984.75300801</v>
      </c>
      <c r="AX11" s="688">
        <f t="shared" si="28"/>
        <v>8792.2263590115945</v>
      </c>
      <c r="AY11" s="687">
        <f t="shared" si="52"/>
        <v>51</v>
      </c>
      <c r="AZ11" s="427"/>
    </row>
    <row r="12" spans="1:52" s="690" customFormat="1" ht="15.6" customHeight="1">
      <c r="A12" s="673">
        <v>9</v>
      </c>
      <c r="B12" s="674" t="s">
        <v>81</v>
      </c>
      <c r="C12" s="674">
        <f>+'Table 8 Membership 2.1.14'!W11</f>
        <v>40615</v>
      </c>
      <c r="D12" s="675">
        <f>+'[5]ALL- TABLE 3 '!AA14-'[5]ALL- TABLE 3 '!W14-'[5]ALL- TABLE 3 '!X14-'[5]ALL- TABLE 3 '!Y14-'[5]ALL- TABLE 3 '!Z14</f>
        <v>27421</v>
      </c>
      <c r="E12" s="675">
        <f t="shared" si="14"/>
        <v>6033</v>
      </c>
      <c r="F12" s="675">
        <f>+'[6]MS6887_Total CTE T3 corrected'!M14</f>
        <v>11113.5</v>
      </c>
      <c r="G12" s="675">
        <f t="shared" si="15"/>
        <v>667</v>
      </c>
      <c r="H12" s="675">
        <f>+'[7]MFP Funded SWD -Table 3'!W13</f>
        <v>4071</v>
      </c>
      <c r="I12" s="675">
        <f t="shared" si="29"/>
        <v>6107</v>
      </c>
      <c r="J12" s="675">
        <f>+'[7]MFP Funded GT -Table 3'!S13</f>
        <v>1695</v>
      </c>
      <c r="K12" s="675">
        <f t="shared" si="30"/>
        <v>1017</v>
      </c>
      <c r="L12" s="675">
        <f t="shared" si="16"/>
        <v>0</v>
      </c>
      <c r="M12" s="677">
        <f t="shared" si="17"/>
        <v>0</v>
      </c>
      <c r="N12" s="675">
        <f t="shared" si="18"/>
        <v>0</v>
      </c>
      <c r="O12" s="675">
        <f t="shared" si="31"/>
        <v>13824</v>
      </c>
      <c r="P12" s="675">
        <f t="shared" si="19"/>
        <v>54439</v>
      </c>
      <c r="Q12" s="678">
        <f t="shared" si="32"/>
        <v>3961</v>
      </c>
      <c r="R12" s="678">
        <f t="shared" si="20"/>
        <v>215632879</v>
      </c>
      <c r="S12" s="678">
        <f>'Table 6 (Local Deduct Calc.)'!J14</f>
        <v>67591996</v>
      </c>
      <c r="T12" s="678">
        <f t="shared" si="33"/>
        <v>67591996</v>
      </c>
      <c r="U12" s="679">
        <f t="shared" si="34"/>
        <v>148040883</v>
      </c>
      <c r="V12" s="680">
        <f t="shared" si="53"/>
        <v>0.6865</v>
      </c>
      <c r="W12" s="680">
        <f t="shared" si="35"/>
        <v>0.3135</v>
      </c>
      <c r="X12" s="681">
        <f t="shared" si="21"/>
        <v>1664.2126308014281</v>
      </c>
      <c r="Y12" s="678">
        <f>'Table 7 Local Revenue'!AQ15</f>
        <v>195174761</v>
      </c>
      <c r="Z12" s="678">
        <f t="shared" si="36"/>
        <v>127582765</v>
      </c>
      <c r="AA12" s="682">
        <f t="shared" si="37"/>
        <v>0</v>
      </c>
      <c r="AB12" s="447">
        <f t="shared" si="38"/>
        <v>73315178.859999999</v>
      </c>
      <c r="AC12" s="447">
        <f t="shared" si="39"/>
        <v>73315178.859999999</v>
      </c>
      <c r="AD12" s="678">
        <f t="shared" si="40"/>
        <v>39533010.7448892</v>
      </c>
      <c r="AE12" s="683">
        <f t="shared" si="41"/>
        <v>33782168.1151108</v>
      </c>
      <c r="AF12" s="684">
        <f t="shared" si="42"/>
        <v>0.46079999999999999</v>
      </c>
      <c r="AG12" s="683">
        <f t="shared" si="43"/>
        <v>181823051.11511081</v>
      </c>
      <c r="AH12" s="447">
        <f t="shared" si="22"/>
        <v>4477</v>
      </c>
      <c r="AI12" s="683">
        <f>+'Table 3A Level 3'!O14</f>
        <v>6324373</v>
      </c>
      <c r="AJ12" s="447">
        <f t="shared" si="23"/>
        <v>155.71520374245969</v>
      </c>
      <c r="AK12" s="683">
        <f t="shared" si="44"/>
        <v>188147424.11511081</v>
      </c>
      <c r="AL12" s="447">
        <f t="shared" si="24"/>
        <v>4632.4615072045008</v>
      </c>
      <c r="AM12" s="685">
        <f>+'Table 3A Level 3'!P14</f>
        <v>36572800.399999999</v>
      </c>
      <c r="AN12" s="686">
        <f t="shared" si="25"/>
        <v>900.4752037424596</v>
      </c>
      <c r="AO12" s="683">
        <f t="shared" si="45"/>
        <v>218395851.51511082</v>
      </c>
      <c r="AP12" s="447">
        <f t="shared" si="26"/>
        <v>5377.221507204501</v>
      </c>
      <c r="AQ12" s="684">
        <f t="shared" si="46"/>
        <v>0.60783192871608727</v>
      </c>
      <c r="AR12" s="687">
        <f t="shared" si="47"/>
        <v>43</v>
      </c>
      <c r="AS12" s="447">
        <f t="shared" si="48"/>
        <v>140907174.86000001</v>
      </c>
      <c r="AT12" s="447">
        <f t="shared" si="27"/>
        <v>3469.34</v>
      </c>
      <c r="AU12" s="687">
        <f t="shared" si="49"/>
        <v>31</v>
      </c>
      <c r="AV12" s="684">
        <f t="shared" si="50"/>
        <v>0.39216807128391262</v>
      </c>
      <c r="AW12" s="687">
        <f t="shared" si="51"/>
        <v>359303026.37511086</v>
      </c>
      <c r="AX12" s="688">
        <f t="shared" si="28"/>
        <v>8846.5598024156316</v>
      </c>
      <c r="AY12" s="687">
        <f t="shared" si="52"/>
        <v>48</v>
      </c>
      <c r="AZ12" s="427"/>
    </row>
    <row r="13" spans="1:52" s="708" customFormat="1" ht="15.6" customHeight="1">
      <c r="A13" s="691">
        <v>10</v>
      </c>
      <c r="B13" s="692" t="s">
        <v>82</v>
      </c>
      <c r="C13" s="692">
        <f>+'Table 8 Membership 2.1.14'!W12</f>
        <v>32357</v>
      </c>
      <c r="D13" s="693">
        <f>+'[5]ALL- TABLE 3 '!AA15-'[5]ALL- TABLE 3 '!W15-'[5]ALL- TABLE 3 '!X15-'[5]ALL- TABLE 3 '!Y15-'[5]ALL- TABLE 3 '!Z15</f>
        <v>19482</v>
      </c>
      <c r="E13" s="693">
        <f t="shared" si="14"/>
        <v>4286</v>
      </c>
      <c r="F13" s="693">
        <f>+'[6]MS6887_Total CTE T3 corrected'!M15</f>
        <v>9134</v>
      </c>
      <c r="G13" s="693">
        <f t="shared" si="15"/>
        <v>548</v>
      </c>
      <c r="H13" s="693">
        <f>+'[7]MFP Funded SWD -Table 3'!W14</f>
        <v>5020</v>
      </c>
      <c r="I13" s="693">
        <f t="shared" si="29"/>
        <v>7530</v>
      </c>
      <c r="J13" s="693">
        <f>+'[7]MFP Funded GT -Table 3'!S14</f>
        <v>1298</v>
      </c>
      <c r="K13" s="693">
        <f t="shared" si="30"/>
        <v>779</v>
      </c>
      <c r="L13" s="693">
        <f t="shared" si="16"/>
        <v>0</v>
      </c>
      <c r="M13" s="694">
        <f t="shared" si="17"/>
        <v>0</v>
      </c>
      <c r="N13" s="693">
        <f t="shared" si="18"/>
        <v>0</v>
      </c>
      <c r="O13" s="693">
        <f t="shared" si="31"/>
        <v>13143</v>
      </c>
      <c r="P13" s="695">
        <f t="shared" si="19"/>
        <v>45500</v>
      </c>
      <c r="Q13" s="696">
        <f t="shared" si="32"/>
        <v>3961</v>
      </c>
      <c r="R13" s="696">
        <f t="shared" si="20"/>
        <v>180225500</v>
      </c>
      <c r="S13" s="696">
        <f>'Table 6 (Local Deduct Calc.)'!J15</f>
        <v>66047846.5</v>
      </c>
      <c r="T13" s="696">
        <f t="shared" si="33"/>
        <v>66047846.5</v>
      </c>
      <c r="U13" s="697">
        <f t="shared" si="34"/>
        <v>114177653.5</v>
      </c>
      <c r="V13" s="698">
        <f t="shared" si="53"/>
        <v>0.63349999999999995</v>
      </c>
      <c r="W13" s="699">
        <f t="shared" si="35"/>
        <v>0.36649999999999999</v>
      </c>
      <c r="X13" s="700">
        <f t="shared" si="21"/>
        <v>2041.222811138239</v>
      </c>
      <c r="Y13" s="696">
        <f>'Table 7 Local Revenue'!AQ16</f>
        <v>146945245.5</v>
      </c>
      <c r="Z13" s="696">
        <f>IF(Y13-T13&gt;0,Y13-T13,0)</f>
        <v>80897399</v>
      </c>
      <c r="AA13" s="701">
        <f t="shared" si="37"/>
        <v>0</v>
      </c>
      <c r="AB13" s="465">
        <f t="shared" si="38"/>
        <v>61276670.000000007</v>
      </c>
      <c r="AC13" s="465">
        <f t="shared" si="39"/>
        <v>61276670.000000007</v>
      </c>
      <c r="AD13" s="696">
        <f t="shared" si="40"/>
        <v>38627587.2346</v>
      </c>
      <c r="AE13" s="702">
        <f t="shared" si="41"/>
        <v>22649082.765400007</v>
      </c>
      <c r="AF13" s="703">
        <f t="shared" si="42"/>
        <v>0.36959999999999998</v>
      </c>
      <c r="AG13" s="702">
        <f t="shared" si="43"/>
        <v>136826736.26539999</v>
      </c>
      <c r="AH13" s="465">
        <f t="shared" si="22"/>
        <v>4229</v>
      </c>
      <c r="AI13" s="702">
        <f>+'Table 3A Level 3'!O15</f>
        <v>5038477</v>
      </c>
      <c r="AJ13" s="465">
        <f t="shared" si="23"/>
        <v>155.71520845566647</v>
      </c>
      <c r="AK13" s="702">
        <f t="shared" si="44"/>
        <v>141865213.26539999</v>
      </c>
      <c r="AL13" s="465">
        <f t="shared" si="24"/>
        <v>4384.374733918472</v>
      </c>
      <c r="AM13" s="704">
        <f>+'Table 3A Level 3'!P15</f>
        <v>24712827.280000001</v>
      </c>
      <c r="AN13" s="705">
        <f t="shared" si="25"/>
        <v>763.75520845566655</v>
      </c>
      <c r="AO13" s="702">
        <f t="shared" si="45"/>
        <v>161539563.54539999</v>
      </c>
      <c r="AP13" s="465">
        <f t="shared" si="26"/>
        <v>4992.4147339184719</v>
      </c>
      <c r="AQ13" s="703">
        <f t="shared" si="46"/>
        <v>0.55922343657269968</v>
      </c>
      <c r="AR13" s="706">
        <f t="shared" si="47"/>
        <v>50</v>
      </c>
      <c r="AS13" s="465">
        <f t="shared" si="48"/>
        <v>127324516.5</v>
      </c>
      <c r="AT13" s="465">
        <f t="shared" si="27"/>
        <v>3934.99</v>
      </c>
      <c r="AU13" s="706">
        <f t="shared" si="49"/>
        <v>22</v>
      </c>
      <c r="AV13" s="703">
        <f t="shared" si="50"/>
        <v>0.44077656342730026</v>
      </c>
      <c r="AW13" s="706">
        <f t="shared" si="51"/>
        <v>288864080.04540002</v>
      </c>
      <c r="AX13" s="707">
        <f t="shared" si="28"/>
        <v>8927.4061268164551</v>
      </c>
      <c r="AY13" s="706">
        <f t="shared" si="52"/>
        <v>44</v>
      </c>
      <c r="AZ13" s="427"/>
    </row>
    <row r="14" spans="1:52" s="690" customFormat="1" ht="15.6" customHeight="1">
      <c r="A14" s="673">
        <v>11</v>
      </c>
      <c r="B14" s="674" t="s">
        <v>83</v>
      </c>
      <c r="C14" s="675">
        <f>+'Table 8 Membership 2.1.14'!W13</f>
        <v>1569</v>
      </c>
      <c r="D14" s="675">
        <f>+'[5]ALL- TABLE 3 '!AA16-'[5]ALL- TABLE 3 '!W16-'[5]ALL- TABLE 3 '!X16-'[5]ALL- TABLE 3 '!Y16-'[5]ALL- TABLE 3 '!Z16</f>
        <v>1068</v>
      </c>
      <c r="E14" s="675">
        <f t="shared" si="14"/>
        <v>235</v>
      </c>
      <c r="F14" s="675">
        <f>+'[6]MS6887_Total CTE T3 corrected'!M16</f>
        <v>611</v>
      </c>
      <c r="G14" s="675">
        <f t="shared" si="15"/>
        <v>37</v>
      </c>
      <c r="H14" s="675">
        <f>+'[7]MFP Funded SWD -Table 3'!W15</f>
        <v>328</v>
      </c>
      <c r="I14" s="675">
        <f t="shared" si="29"/>
        <v>492</v>
      </c>
      <c r="J14" s="675">
        <f>+'[7]MFP Funded GT -Table 3'!S15</f>
        <v>35</v>
      </c>
      <c r="K14" s="675">
        <f t="shared" si="30"/>
        <v>21</v>
      </c>
      <c r="L14" s="676">
        <f t="shared" si="16"/>
        <v>5931</v>
      </c>
      <c r="M14" s="677">
        <f t="shared" si="17"/>
        <v>0.15816</v>
      </c>
      <c r="N14" s="675">
        <f t="shared" si="18"/>
        <v>248</v>
      </c>
      <c r="O14" s="675">
        <f t="shared" si="31"/>
        <v>1033</v>
      </c>
      <c r="P14" s="675">
        <f t="shared" si="19"/>
        <v>2602</v>
      </c>
      <c r="Q14" s="678">
        <f t="shared" si="32"/>
        <v>3961</v>
      </c>
      <c r="R14" s="678">
        <f t="shared" si="20"/>
        <v>10306522</v>
      </c>
      <c r="S14" s="678">
        <f>'Table 6 (Local Deduct Calc.)'!J16</f>
        <v>1840984</v>
      </c>
      <c r="T14" s="678">
        <f t="shared" si="33"/>
        <v>1840984</v>
      </c>
      <c r="U14" s="679">
        <f t="shared" si="34"/>
        <v>8465538</v>
      </c>
      <c r="V14" s="680">
        <f t="shared" si="53"/>
        <v>0.82140000000000002</v>
      </c>
      <c r="W14" s="680">
        <f t="shared" si="35"/>
        <v>0.17860000000000001</v>
      </c>
      <c r="X14" s="681">
        <f t="shared" si="21"/>
        <v>1173.3486297004461</v>
      </c>
      <c r="Y14" s="678">
        <f>'Table 7 Local Revenue'!AQ17</f>
        <v>6108437</v>
      </c>
      <c r="Z14" s="678">
        <f t="shared" si="36"/>
        <v>4267453</v>
      </c>
      <c r="AA14" s="682">
        <f t="shared" si="37"/>
        <v>0</v>
      </c>
      <c r="AB14" s="447">
        <f t="shared" si="38"/>
        <v>3504217.4800000004</v>
      </c>
      <c r="AC14" s="447">
        <f t="shared" si="39"/>
        <v>3504217.4800000004</v>
      </c>
      <c r="AD14" s="678">
        <f t="shared" si="40"/>
        <v>1076467.5761161603</v>
      </c>
      <c r="AE14" s="683">
        <f t="shared" si="41"/>
        <v>2427749.90388384</v>
      </c>
      <c r="AF14" s="684">
        <f t="shared" si="42"/>
        <v>0.69279999999999997</v>
      </c>
      <c r="AG14" s="683">
        <f t="shared" si="43"/>
        <v>10893287.903883841</v>
      </c>
      <c r="AH14" s="447">
        <f t="shared" si="22"/>
        <v>6943</v>
      </c>
      <c r="AI14" s="683">
        <f>+'Table 3A Level 3'!O16</f>
        <v>244317</v>
      </c>
      <c r="AJ14" s="447">
        <f t="shared" si="23"/>
        <v>155.71510516252391</v>
      </c>
      <c r="AK14" s="683">
        <f t="shared" si="44"/>
        <v>11137604.903883841</v>
      </c>
      <c r="AL14" s="447">
        <f t="shared" si="24"/>
        <v>7098.5372236353351</v>
      </c>
      <c r="AM14" s="685">
        <f>+'Table 3A Level 3'!P16</f>
        <v>1352893.95</v>
      </c>
      <c r="AN14" s="686">
        <f t="shared" si="25"/>
        <v>862.26510516252392</v>
      </c>
      <c r="AO14" s="683">
        <f t="shared" si="45"/>
        <v>12246181.85388384</v>
      </c>
      <c r="AP14" s="447">
        <f t="shared" si="26"/>
        <v>7805.0872236353343</v>
      </c>
      <c r="AQ14" s="684">
        <f t="shared" si="46"/>
        <v>0.69614660890799418</v>
      </c>
      <c r="AR14" s="687">
        <f t="shared" si="47"/>
        <v>16</v>
      </c>
      <c r="AS14" s="447">
        <f t="shared" si="48"/>
        <v>5345201.4800000004</v>
      </c>
      <c r="AT14" s="447">
        <f t="shared" si="27"/>
        <v>3406.76</v>
      </c>
      <c r="AU14" s="687">
        <f t="shared" si="49"/>
        <v>32</v>
      </c>
      <c r="AV14" s="684">
        <f t="shared" si="50"/>
        <v>0.30385339109200588</v>
      </c>
      <c r="AW14" s="687">
        <f t="shared" si="51"/>
        <v>17591383.333883841</v>
      </c>
      <c r="AX14" s="688">
        <f t="shared" si="28"/>
        <v>11211.844062386132</v>
      </c>
      <c r="AY14" s="687">
        <f t="shared" si="52"/>
        <v>1</v>
      </c>
      <c r="AZ14" s="427"/>
    </row>
    <row r="15" spans="1:52" s="690" customFormat="1" ht="15.6" customHeight="1">
      <c r="A15" s="673">
        <v>12</v>
      </c>
      <c r="B15" s="674" t="s">
        <v>84</v>
      </c>
      <c r="C15" s="674">
        <f>+'Table 8 Membership 2.1.14'!W14</f>
        <v>1220</v>
      </c>
      <c r="D15" s="675">
        <f>+'[5]ALL- TABLE 3 '!AA17-'[5]ALL- TABLE 3 '!W17-'[5]ALL- TABLE 3 '!X17-'[5]ALL- TABLE 3 '!Y17-'[5]ALL- TABLE 3 '!Z17</f>
        <v>532</v>
      </c>
      <c r="E15" s="675">
        <f t="shared" si="14"/>
        <v>117</v>
      </c>
      <c r="F15" s="675">
        <f>+'[6]MS6887_Total CTE T3 corrected'!M17</f>
        <v>445.5</v>
      </c>
      <c r="G15" s="675">
        <f t="shared" si="15"/>
        <v>27</v>
      </c>
      <c r="H15" s="675">
        <f>+'[7]MFP Funded SWD -Table 3'!W16</f>
        <v>142</v>
      </c>
      <c r="I15" s="675">
        <f t="shared" si="29"/>
        <v>213</v>
      </c>
      <c r="J15" s="675">
        <f>+'[7]MFP Funded GT -Table 3'!S16</f>
        <v>93</v>
      </c>
      <c r="K15" s="675">
        <f t="shared" si="30"/>
        <v>56</v>
      </c>
      <c r="L15" s="675">
        <f t="shared" si="16"/>
        <v>6280</v>
      </c>
      <c r="M15" s="677">
        <f t="shared" si="17"/>
        <v>0.16747000000000001</v>
      </c>
      <c r="N15" s="675">
        <f t="shared" si="18"/>
        <v>204</v>
      </c>
      <c r="O15" s="675">
        <f t="shared" si="31"/>
        <v>617</v>
      </c>
      <c r="P15" s="675">
        <f t="shared" si="19"/>
        <v>1837</v>
      </c>
      <c r="Q15" s="678">
        <f t="shared" si="32"/>
        <v>3961</v>
      </c>
      <c r="R15" s="678">
        <f t="shared" si="20"/>
        <v>7276357</v>
      </c>
      <c r="S15" s="678">
        <f>'Table 6 (Local Deduct Calc.)'!J17</f>
        <v>5433073</v>
      </c>
      <c r="T15" s="678">
        <f t="shared" si="33"/>
        <v>5433073</v>
      </c>
      <c r="U15" s="679">
        <f t="shared" si="34"/>
        <v>1843284</v>
      </c>
      <c r="V15" s="680">
        <f t="shared" si="53"/>
        <v>0.25330000000000003</v>
      </c>
      <c r="W15" s="680">
        <f t="shared" si="35"/>
        <v>0.74670000000000003</v>
      </c>
      <c r="X15" s="681">
        <f t="shared" si="21"/>
        <v>4453.3385245901636</v>
      </c>
      <c r="Y15" s="678">
        <f>'Table 7 Local Revenue'!AQ18</f>
        <v>16044877</v>
      </c>
      <c r="Z15" s="678">
        <f t="shared" si="36"/>
        <v>10611804</v>
      </c>
      <c r="AA15" s="682">
        <f t="shared" si="37"/>
        <v>0</v>
      </c>
      <c r="AB15" s="447">
        <f t="shared" si="38"/>
        <v>2473961.3800000004</v>
      </c>
      <c r="AC15" s="447">
        <f t="shared" si="39"/>
        <v>2473961.3800000004</v>
      </c>
      <c r="AD15" s="678">
        <f t="shared" si="40"/>
        <v>3177367.9754071203</v>
      </c>
      <c r="AE15" s="683">
        <f t="shared" si="41"/>
        <v>0</v>
      </c>
      <c r="AF15" s="684">
        <f t="shared" si="42"/>
        <v>0</v>
      </c>
      <c r="AG15" s="683">
        <f t="shared" si="43"/>
        <v>1843284</v>
      </c>
      <c r="AH15" s="447">
        <f t="shared" si="22"/>
        <v>1511</v>
      </c>
      <c r="AI15" s="683">
        <f>+'Table 3A Level 3'!O17</f>
        <v>189973</v>
      </c>
      <c r="AJ15" s="447">
        <f t="shared" si="23"/>
        <v>155.7155737704918</v>
      </c>
      <c r="AK15" s="683">
        <f t="shared" si="44"/>
        <v>2033257</v>
      </c>
      <c r="AL15" s="447">
        <f t="shared" si="24"/>
        <v>1666.6040983606558</v>
      </c>
      <c r="AM15" s="685">
        <f>+'Table 3A Level 3'!P17</f>
        <v>1487211.2</v>
      </c>
      <c r="AN15" s="686">
        <f t="shared" si="25"/>
        <v>1219.0255737704917</v>
      </c>
      <c r="AO15" s="683">
        <f t="shared" si="45"/>
        <v>3330495.2</v>
      </c>
      <c r="AP15" s="447">
        <f t="shared" si="26"/>
        <v>2729.9140983606558</v>
      </c>
      <c r="AQ15" s="684">
        <f t="shared" si="46"/>
        <v>0.29637254133928609</v>
      </c>
      <c r="AR15" s="687">
        <f t="shared" si="47"/>
        <v>69</v>
      </c>
      <c r="AS15" s="447">
        <f t="shared" si="48"/>
        <v>7907034.3799999999</v>
      </c>
      <c r="AT15" s="447">
        <f t="shared" si="27"/>
        <v>6481.18</v>
      </c>
      <c r="AU15" s="687">
        <f t="shared" si="49"/>
        <v>1</v>
      </c>
      <c r="AV15" s="684">
        <f t="shared" si="50"/>
        <v>0.70362745866071397</v>
      </c>
      <c r="AW15" s="687">
        <f t="shared" si="51"/>
        <v>11237529.58</v>
      </c>
      <c r="AX15" s="688">
        <f t="shared" si="28"/>
        <v>9211.0898196721319</v>
      </c>
      <c r="AY15" s="687">
        <f t="shared" si="52"/>
        <v>29</v>
      </c>
      <c r="AZ15" s="427"/>
    </row>
    <row r="16" spans="1:52" s="690" customFormat="1" ht="15.6" customHeight="1">
      <c r="A16" s="673">
        <v>13</v>
      </c>
      <c r="B16" s="674" t="s">
        <v>85</v>
      </c>
      <c r="C16" s="674">
        <f>+'Table 8 Membership 2.1.14'!W15</f>
        <v>1487</v>
      </c>
      <c r="D16" s="675">
        <f>+'[5]ALL- TABLE 3 '!AA18-'[5]ALL- TABLE 3 '!W18-'[5]ALL- TABLE 3 '!X18-'[5]ALL- TABLE 3 '!Y18-'[5]ALL- TABLE 3 '!Z18</f>
        <v>1105</v>
      </c>
      <c r="E16" s="675">
        <f t="shared" si="14"/>
        <v>243</v>
      </c>
      <c r="F16" s="675">
        <f>+'[6]MS6887_Total CTE T3 corrected'!M18</f>
        <v>626.5</v>
      </c>
      <c r="G16" s="675">
        <f t="shared" si="15"/>
        <v>38</v>
      </c>
      <c r="H16" s="675">
        <f>+'[7]MFP Funded SWD -Table 3'!W17</f>
        <v>163</v>
      </c>
      <c r="I16" s="675">
        <f t="shared" si="29"/>
        <v>245</v>
      </c>
      <c r="J16" s="675">
        <f>+'[7]MFP Funded GT -Table 3'!S17</f>
        <v>25</v>
      </c>
      <c r="K16" s="675">
        <f t="shared" si="30"/>
        <v>15</v>
      </c>
      <c r="L16" s="675">
        <f t="shared" si="16"/>
        <v>6013</v>
      </c>
      <c r="M16" s="677">
        <f t="shared" si="17"/>
        <v>0.16034999999999999</v>
      </c>
      <c r="N16" s="675">
        <f t="shared" si="18"/>
        <v>238</v>
      </c>
      <c r="O16" s="675">
        <f t="shared" si="31"/>
        <v>779</v>
      </c>
      <c r="P16" s="675">
        <f t="shared" si="19"/>
        <v>2266</v>
      </c>
      <c r="Q16" s="678">
        <f t="shared" si="32"/>
        <v>3961</v>
      </c>
      <c r="R16" s="678">
        <f t="shared" si="20"/>
        <v>8975626</v>
      </c>
      <c r="S16" s="678">
        <f>'Table 6 (Local Deduct Calc.)'!J18</f>
        <v>1487441</v>
      </c>
      <c r="T16" s="678">
        <f t="shared" si="33"/>
        <v>1487441</v>
      </c>
      <c r="U16" s="679">
        <f t="shared" si="34"/>
        <v>7488185</v>
      </c>
      <c r="V16" s="680">
        <f t="shared" si="53"/>
        <v>0.83430000000000004</v>
      </c>
      <c r="W16" s="680">
        <f t="shared" si="35"/>
        <v>0.16569999999999999</v>
      </c>
      <c r="X16" s="681">
        <f t="shared" si="21"/>
        <v>1000.296570275723</v>
      </c>
      <c r="Y16" s="678">
        <f>'Table 7 Local Revenue'!AQ19</f>
        <v>4070775</v>
      </c>
      <c r="Z16" s="678">
        <f t="shared" si="36"/>
        <v>2583334</v>
      </c>
      <c r="AA16" s="682">
        <f t="shared" si="37"/>
        <v>0</v>
      </c>
      <c r="AB16" s="447">
        <f t="shared" si="38"/>
        <v>3051712.8400000003</v>
      </c>
      <c r="AC16" s="447">
        <f t="shared" si="39"/>
        <v>2583334</v>
      </c>
      <c r="AD16" s="678">
        <f t="shared" si="40"/>
        <v>736260.52333599993</v>
      </c>
      <c r="AE16" s="683">
        <f t="shared" si="41"/>
        <v>1847073.4766640002</v>
      </c>
      <c r="AF16" s="684">
        <f t="shared" si="42"/>
        <v>0.71499999999999997</v>
      </c>
      <c r="AG16" s="683">
        <f t="shared" si="43"/>
        <v>9335258.4766639993</v>
      </c>
      <c r="AH16" s="447">
        <f t="shared" si="22"/>
        <v>6278</v>
      </c>
      <c r="AI16" s="683">
        <f>+'Table 3A Level 3'!O18</f>
        <v>231549</v>
      </c>
      <c r="AJ16" s="447">
        <f t="shared" si="23"/>
        <v>155.71553463349025</v>
      </c>
      <c r="AK16" s="683">
        <f t="shared" si="44"/>
        <v>9566807.4766639993</v>
      </c>
      <c r="AL16" s="447">
        <f t="shared" si="24"/>
        <v>6433.6297758332212</v>
      </c>
      <c r="AM16" s="685">
        <f>+'Table 3A Level 3'!P18</f>
        <v>1345951.4100000001</v>
      </c>
      <c r="AN16" s="686">
        <f t="shared" si="25"/>
        <v>905.14553463349034</v>
      </c>
      <c r="AO16" s="683">
        <f t="shared" si="45"/>
        <v>10681209.886663999</v>
      </c>
      <c r="AP16" s="447">
        <f t="shared" si="26"/>
        <v>7183.0597758332206</v>
      </c>
      <c r="AQ16" s="684">
        <f t="shared" si="46"/>
        <v>0.72405238811761274</v>
      </c>
      <c r="AR16" s="687">
        <f t="shared" si="47"/>
        <v>10</v>
      </c>
      <c r="AS16" s="447">
        <f t="shared" si="48"/>
        <v>4070775</v>
      </c>
      <c r="AT16" s="447">
        <f t="shared" si="27"/>
        <v>2737.58</v>
      </c>
      <c r="AU16" s="687">
        <f t="shared" si="49"/>
        <v>56</v>
      </c>
      <c r="AV16" s="684">
        <f t="shared" si="50"/>
        <v>0.27594761188238726</v>
      </c>
      <c r="AW16" s="687">
        <f t="shared" si="51"/>
        <v>14751984.886663999</v>
      </c>
      <c r="AX16" s="688">
        <f t="shared" si="28"/>
        <v>9920.6354315158023</v>
      </c>
      <c r="AY16" s="687">
        <f t="shared" si="52"/>
        <v>10</v>
      </c>
      <c r="AZ16" s="427"/>
    </row>
    <row r="17" spans="1:52" s="690" customFormat="1" ht="15.6" customHeight="1">
      <c r="A17" s="673">
        <v>14</v>
      </c>
      <c r="B17" s="674" t="s">
        <v>86</v>
      </c>
      <c r="C17" s="674">
        <f>+'Table 8 Membership 2.1.14'!W16</f>
        <v>1680</v>
      </c>
      <c r="D17" s="675">
        <f>+'[5]ALL- TABLE 3 '!AA19-'[5]ALL- TABLE 3 '!W19-'[5]ALL- TABLE 3 '!X19-'[5]ALL- TABLE 3 '!Y19-'[5]ALL- TABLE 3 '!Z19</f>
        <v>1376</v>
      </c>
      <c r="E17" s="675">
        <f t="shared" si="14"/>
        <v>303</v>
      </c>
      <c r="F17" s="675">
        <f>+'[6]MS6887_Total CTE T3 corrected'!M19</f>
        <v>477.5</v>
      </c>
      <c r="G17" s="675">
        <f t="shared" si="15"/>
        <v>29</v>
      </c>
      <c r="H17" s="675">
        <f>+'[7]MFP Funded SWD -Table 3'!W18</f>
        <v>326</v>
      </c>
      <c r="I17" s="675">
        <f t="shared" si="29"/>
        <v>489</v>
      </c>
      <c r="J17" s="675">
        <f>+'[7]MFP Funded GT -Table 3'!S18</f>
        <v>95</v>
      </c>
      <c r="K17" s="675">
        <f t="shared" si="30"/>
        <v>57</v>
      </c>
      <c r="L17" s="675">
        <f t="shared" si="16"/>
        <v>5820</v>
      </c>
      <c r="M17" s="677">
        <f t="shared" si="17"/>
        <v>0.1552</v>
      </c>
      <c r="N17" s="675">
        <f t="shared" si="18"/>
        <v>261</v>
      </c>
      <c r="O17" s="675">
        <f t="shared" si="31"/>
        <v>1139</v>
      </c>
      <c r="P17" s="675">
        <f t="shared" si="19"/>
        <v>2819</v>
      </c>
      <c r="Q17" s="678">
        <f t="shared" si="32"/>
        <v>3961</v>
      </c>
      <c r="R17" s="678">
        <f t="shared" si="20"/>
        <v>11166059</v>
      </c>
      <c r="S17" s="678">
        <f>'Table 6 (Local Deduct Calc.)'!J19</f>
        <v>3936101.5</v>
      </c>
      <c r="T17" s="678">
        <f t="shared" si="33"/>
        <v>3936101.5</v>
      </c>
      <c r="U17" s="679">
        <f t="shared" si="34"/>
        <v>7229957.5</v>
      </c>
      <c r="V17" s="680">
        <f t="shared" si="53"/>
        <v>0.64749999999999996</v>
      </c>
      <c r="W17" s="680">
        <f t="shared" si="35"/>
        <v>0.35249999999999998</v>
      </c>
      <c r="X17" s="681">
        <f t="shared" si="21"/>
        <v>2342.9175595238094</v>
      </c>
      <c r="Y17" s="678">
        <f>'Table 7 Local Revenue'!AQ20</f>
        <v>7672850.5</v>
      </c>
      <c r="Z17" s="678">
        <f t="shared" si="36"/>
        <v>3736749</v>
      </c>
      <c r="AA17" s="682">
        <f t="shared" si="37"/>
        <v>0</v>
      </c>
      <c r="AB17" s="447">
        <f t="shared" si="38"/>
        <v>3796460.06</v>
      </c>
      <c r="AC17" s="447">
        <f t="shared" si="39"/>
        <v>3736749</v>
      </c>
      <c r="AD17" s="678">
        <f t="shared" si="40"/>
        <v>2265590.9186999998</v>
      </c>
      <c r="AE17" s="683">
        <f t="shared" si="41"/>
        <v>1471158.0813000002</v>
      </c>
      <c r="AF17" s="684">
        <f t="shared" si="42"/>
        <v>0.39369999999999999</v>
      </c>
      <c r="AG17" s="683">
        <f t="shared" si="43"/>
        <v>8701115.5812999997</v>
      </c>
      <c r="AH17" s="447">
        <f t="shared" si="22"/>
        <v>5179</v>
      </c>
      <c r="AI17" s="683">
        <f>+'Table 3A Level 3'!O19</f>
        <v>261602</v>
      </c>
      <c r="AJ17" s="447">
        <f t="shared" si="23"/>
        <v>155.71547619047618</v>
      </c>
      <c r="AK17" s="683">
        <f t="shared" si="44"/>
        <v>8962717.5812999997</v>
      </c>
      <c r="AL17" s="447">
        <f t="shared" si="24"/>
        <v>5334.9509412500001</v>
      </c>
      <c r="AM17" s="685">
        <f>+'Table 3A Level 3'!P19</f>
        <v>1622368.4</v>
      </c>
      <c r="AN17" s="686">
        <f t="shared" si="25"/>
        <v>965.69547619047614</v>
      </c>
      <c r="AO17" s="683">
        <f t="shared" si="45"/>
        <v>10323483.9813</v>
      </c>
      <c r="AP17" s="447">
        <f t="shared" si="26"/>
        <v>6144.9309412499997</v>
      </c>
      <c r="AQ17" s="684">
        <f t="shared" si="46"/>
        <v>0.57364370461257752</v>
      </c>
      <c r="AR17" s="687">
        <f t="shared" si="47"/>
        <v>47</v>
      </c>
      <c r="AS17" s="447">
        <f t="shared" si="48"/>
        <v>7672850.5</v>
      </c>
      <c r="AT17" s="447">
        <f t="shared" si="27"/>
        <v>4567.17</v>
      </c>
      <c r="AU17" s="687">
        <f t="shared" si="49"/>
        <v>15</v>
      </c>
      <c r="AV17" s="684">
        <f t="shared" si="50"/>
        <v>0.42635629538742253</v>
      </c>
      <c r="AW17" s="687">
        <f t="shared" si="51"/>
        <v>17996334.4813</v>
      </c>
      <c r="AX17" s="688">
        <f t="shared" si="28"/>
        <v>10712.103857916667</v>
      </c>
      <c r="AY17" s="687">
        <f t="shared" si="52"/>
        <v>4</v>
      </c>
      <c r="AZ17" s="427"/>
    </row>
    <row r="18" spans="1:52" s="708" customFormat="1" ht="15.6" customHeight="1">
      <c r="A18" s="691">
        <v>15</v>
      </c>
      <c r="B18" s="692" t="s">
        <v>87</v>
      </c>
      <c r="C18" s="692">
        <f>+'Table 8 Membership 2.1.14'!W17</f>
        <v>3670</v>
      </c>
      <c r="D18" s="693">
        <f>+'[5]ALL- TABLE 3 '!AA20-'[5]ALL- TABLE 3 '!W20-'[5]ALL- TABLE 3 '!X20-'[5]ALL- TABLE 3 '!Y20-'[5]ALL- TABLE 3 '!Z20</f>
        <v>2753</v>
      </c>
      <c r="E18" s="693">
        <f t="shared" si="14"/>
        <v>606</v>
      </c>
      <c r="F18" s="693">
        <f>+'[6]MS6887_Total CTE T3 corrected'!M20</f>
        <v>1281.5</v>
      </c>
      <c r="G18" s="693">
        <f t="shared" si="15"/>
        <v>77</v>
      </c>
      <c r="H18" s="693">
        <f>+'[7]MFP Funded SWD -Table 3'!W19</f>
        <v>390</v>
      </c>
      <c r="I18" s="693">
        <f t="shared" si="29"/>
        <v>585</v>
      </c>
      <c r="J18" s="693">
        <f>+'[7]MFP Funded GT -Table 3'!S19</f>
        <v>113</v>
      </c>
      <c r="K18" s="693">
        <f t="shared" si="30"/>
        <v>68</v>
      </c>
      <c r="L18" s="693">
        <f t="shared" si="16"/>
        <v>3830</v>
      </c>
      <c r="M18" s="694">
        <f t="shared" si="17"/>
        <v>0.10213</v>
      </c>
      <c r="N18" s="693">
        <f t="shared" si="18"/>
        <v>375</v>
      </c>
      <c r="O18" s="693">
        <f t="shared" si="31"/>
        <v>1711</v>
      </c>
      <c r="P18" s="695">
        <f t="shared" si="19"/>
        <v>5381</v>
      </c>
      <c r="Q18" s="696">
        <f t="shared" si="32"/>
        <v>3961</v>
      </c>
      <c r="R18" s="696">
        <f t="shared" si="20"/>
        <v>21314141</v>
      </c>
      <c r="S18" s="696">
        <f>'Table 6 (Local Deduct Calc.)'!J20</f>
        <v>4491562</v>
      </c>
      <c r="T18" s="696">
        <f t="shared" si="33"/>
        <v>4491562</v>
      </c>
      <c r="U18" s="697">
        <f t="shared" si="34"/>
        <v>16822579</v>
      </c>
      <c r="V18" s="698">
        <f t="shared" si="53"/>
        <v>0.7893</v>
      </c>
      <c r="W18" s="699">
        <f t="shared" si="35"/>
        <v>0.2107</v>
      </c>
      <c r="X18" s="700">
        <f t="shared" si="21"/>
        <v>1223.858855585831</v>
      </c>
      <c r="Y18" s="696">
        <f>'Table 7 Local Revenue'!AQ21</f>
        <v>10557172</v>
      </c>
      <c r="Z18" s="696">
        <f t="shared" si="36"/>
        <v>6065610</v>
      </c>
      <c r="AA18" s="701">
        <f t="shared" si="37"/>
        <v>0</v>
      </c>
      <c r="AB18" s="465">
        <f t="shared" si="38"/>
        <v>7246807.9400000004</v>
      </c>
      <c r="AC18" s="465">
        <f t="shared" si="39"/>
        <v>6065610</v>
      </c>
      <c r="AD18" s="696">
        <f t="shared" si="40"/>
        <v>2198201.32644</v>
      </c>
      <c r="AE18" s="702">
        <f t="shared" si="41"/>
        <v>3867408.67356</v>
      </c>
      <c r="AF18" s="703">
        <f t="shared" si="42"/>
        <v>0.63759999999999994</v>
      </c>
      <c r="AG18" s="702">
        <f t="shared" si="43"/>
        <v>20689987.673560001</v>
      </c>
      <c r="AH18" s="465">
        <f t="shared" si="22"/>
        <v>5638</v>
      </c>
      <c r="AI18" s="702">
        <f>+'Table 3A Level 3'!O20</f>
        <v>411883</v>
      </c>
      <c r="AJ18" s="465">
        <f t="shared" si="23"/>
        <v>112.22970027247956</v>
      </c>
      <c r="AK18" s="702">
        <f t="shared" si="44"/>
        <v>21101870.673560001</v>
      </c>
      <c r="AL18" s="465">
        <f t="shared" si="24"/>
        <v>5749.8285214059952</v>
      </c>
      <c r="AM18" s="704">
        <f>+'Table 3A Level 3'!P20</f>
        <v>2444329</v>
      </c>
      <c r="AN18" s="705">
        <f t="shared" si="25"/>
        <v>666.02970027247954</v>
      </c>
      <c r="AO18" s="702">
        <f t="shared" si="45"/>
        <v>23134316.673560001</v>
      </c>
      <c r="AP18" s="465">
        <f t="shared" si="26"/>
        <v>6303.6285214059944</v>
      </c>
      <c r="AQ18" s="703">
        <f t="shared" si="46"/>
        <v>0.68665166142436063</v>
      </c>
      <c r="AR18" s="706">
        <f t="shared" si="47"/>
        <v>19</v>
      </c>
      <c r="AS18" s="465">
        <f t="shared" si="48"/>
        <v>10557172</v>
      </c>
      <c r="AT18" s="465">
        <f t="shared" si="27"/>
        <v>2876.61</v>
      </c>
      <c r="AU18" s="706">
        <f t="shared" si="49"/>
        <v>53</v>
      </c>
      <c r="AV18" s="703">
        <f t="shared" si="50"/>
        <v>0.31334833857563943</v>
      </c>
      <c r="AW18" s="706">
        <f t="shared" si="51"/>
        <v>33691488.673560001</v>
      </c>
      <c r="AX18" s="707">
        <f t="shared" si="28"/>
        <v>9180.2421453841962</v>
      </c>
      <c r="AY18" s="706">
        <f t="shared" si="52"/>
        <v>32</v>
      </c>
      <c r="AZ18" s="427"/>
    </row>
    <row r="19" spans="1:52" s="690" customFormat="1" ht="15.6" customHeight="1">
      <c r="A19" s="673">
        <v>16</v>
      </c>
      <c r="B19" s="674" t="s">
        <v>88</v>
      </c>
      <c r="C19" s="675">
        <f>+'Table 8 Membership 2.1.14'!W18</f>
        <v>4871</v>
      </c>
      <c r="D19" s="675">
        <f>+'[5]ALL- TABLE 3 '!AA21-'[5]ALL- TABLE 3 '!W21-'[5]ALL- TABLE 3 '!X21-'[5]ALL- TABLE 3 '!Y21-'[5]ALL- TABLE 3 '!Z21</f>
        <v>3146</v>
      </c>
      <c r="E19" s="675">
        <f t="shared" si="14"/>
        <v>692</v>
      </c>
      <c r="F19" s="675">
        <f>+'[6]MS6887_Total CTE T3 corrected'!M21</f>
        <v>1759.5</v>
      </c>
      <c r="G19" s="675">
        <f t="shared" si="15"/>
        <v>106</v>
      </c>
      <c r="H19" s="675">
        <f>+'[7]MFP Funded SWD -Table 3'!W20</f>
        <v>509</v>
      </c>
      <c r="I19" s="675">
        <f t="shared" si="29"/>
        <v>764</v>
      </c>
      <c r="J19" s="675">
        <f>+'[7]MFP Funded GT -Table 3'!S20</f>
        <v>237</v>
      </c>
      <c r="K19" s="675">
        <f t="shared" si="30"/>
        <v>142</v>
      </c>
      <c r="L19" s="676">
        <f t="shared" si="16"/>
        <v>2629</v>
      </c>
      <c r="M19" s="677">
        <f t="shared" si="17"/>
        <v>7.0110000000000006E-2</v>
      </c>
      <c r="N19" s="675">
        <f t="shared" si="18"/>
        <v>342</v>
      </c>
      <c r="O19" s="675">
        <f t="shared" si="31"/>
        <v>2046</v>
      </c>
      <c r="P19" s="675">
        <f t="shared" si="19"/>
        <v>6917</v>
      </c>
      <c r="Q19" s="678">
        <f t="shared" si="32"/>
        <v>3961</v>
      </c>
      <c r="R19" s="678">
        <f t="shared" si="20"/>
        <v>27398237</v>
      </c>
      <c r="S19" s="678">
        <f>'Table 6 (Local Deduct Calc.)'!J21</f>
        <v>18510931</v>
      </c>
      <c r="T19" s="678">
        <f t="shared" si="33"/>
        <v>18510931</v>
      </c>
      <c r="U19" s="679">
        <f t="shared" si="34"/>
        <v>8887306</v>
      </c>
      <c r="V19" s="680">
        <f t="shared" si="53"/>
        <v>0.32440000000000002</v>
      </c>
      <c r="W19" s="680">
        <f t="shared" si="35"/>
        <v>0.67559999999999998</v>
      </c>
      <c r="X19" s="681">
        <f t="shared" si="21"/>
        <v>3800.2321905152944</v>
      </c>
      <c r="Y19" s="678">
        <f>'Table 7 Local Revenue'!AQ22</f>
        <v>61870879</v>
      </c>
      <c r="Z19" s="678">
        <f t="shared" si="36"/>
        <v>43359948</v>
      </c>
      <c r="AA19" s="682">
        <f t="shared" si="37"/>
        <v>0</v>
      </c>
      <c r="AB19" s="447">
        <f t="shared" si="38"/>
        <v>9315400.5800000001</v>
      </c>
      <c r="AC19" s="447">
        <f t="shared" si="39"/>
        <v>9315400.5800000001</v>
      </c>
      <c r="AD19" s="678">
        <f t="shared" si="40"/>
        <v>10824793.566778559</v>
      </c>
      <c r="AE19" s="683">
        <f t="shared" si="41"/>
        <v>0</v>
      </c>
      <c r="AF19" s="684">
        <f t="shared" si="42"/>
        <v>0</v>
      </c>
      <c r="AG19" s="683">
        <f t="shared" si="43"/>
        <v>8887306</v>
      </c>
      <c r="AH19" s="447">
        <f t="shared" si="22"/>
        <v>1825</v>
      </c>
      <c r="AI19" s="683">
        <f>+'Table 3A Level 3'!O21</f>
        <v>758489</v>
      </c>
      <c r="AJ19" s="447">
        <f t="shared" si="23"/>
        <v>155.71525354136728</v>
      </c>
      <c r="AK19" s="683">
        <f t="shared" si="44"/>
        <v>9645795</v>
      </c>
      <c r="AL19" s="447">
        <f t="shared" si="24"/>
        <v>1980.2494354342025</v>
      </c>
      <c r="AM19" s="685">
        <f>+'Table 3A Level 3'!P21</f>
        <v>4103550.83</v>
      </c>
      <c r="AN19" s="686">
        <f t="shared" si="25"/>
        <v>842.44525354136726</v>
      </c>
      <c r="AO19" s="683">
        <f t="shared" si="45"/>
        <v>12990856.83</v>
      </c>
      <c r="AP19" s="447">
        <f t="shared" si="26"/>
        <v>2666.9794354342025</v>
      </c>
      <c r="AQ19" s="684">
        <f t="shared" si="46"/>
        <v>0.31826927174673569</v>
      </c>
      <c r="AR19" s="687">
        <f t="shared" si="47"/>
        <v>67</v>
      </c>
      <c r="AS19" s="447">
        <f t="shared" si="48"/>
        <v>27826331.579999998</v>
      </c>
      <c r="AT19" s="447">
        <f t="shared" si="27"/>
        <v>5712.65</v>
      </c>
      <c r="AU19" s="687">
        <f t="shared" si="49"/>
        <v>5</v>
      </c>
      <c r="AV19" s="684">
        <f t="shared" si="50"/>
        <v>0.68173072825326431</v>
      </c>
      <c r="AW19" s="687">
        <f t="shared" si="51"/>
        <v>40817188.409999996</v>
      </c>
      <c r="AX19" s="688">
        <f t="shared" si="28"/>
        <v>8379.6321925682605</v>
      </c>
      <c r="AY19" s="687">
        <f t="shared" si="52"/>
        <v>60</v>
      </c>
      <c r="AZ19" s="427"/>
    </row>
    <row r="20" spans="1:52" s="710" customFormat="1" ht="15.6" customHeight="1">
      <c r="A20" s="673">
        <v>17</v>
      </c>
      <c r="B20" s="674" t="s">
        <v>89</v>
      </c>
      <c r="C20" s="674">
        <f>+'Table 8 Membership 2.1.14'!W19</f>
        <v>43364</v>
      </c>
      <c r="D20" s="675">
        <f>+'[5]ALL- TABLE 3 '!AA22-'[5]ALL- TABLE 3 '!W22-'[5]ALL- TABLE 3 '!X22-'[5]ALL- TABLE 3 '!Y22-'[5]ALL- TABLE 3 '!Z22</f>
        <v>36619</v>
      </c>
      <c r="E20" s="675">
        <f t="shared" si="14"/>
        <v>8056</v>
      </c>
      <c r="F20" s="675">
        <f>+'[6]MS6887_Total CTE T3 corrected'!M22</f>
        <v>15647</v>
      </c>
      <c r="G20" s="675">
        <f t="shared" si="15"/>
        <v>939</v>
      </c>
      <c r="H20" s="675">
        <f>+'[7]MFP Funded SWD -Table 3'!W21</f>
        <v>4615</v>
      </c>
      <c r="I20" s="675">
        <f t="shared" si="29"/>
        <v>6923</v>
      </c>
      <c r="J20" s="675">
        <f>+'[7]MFP Funded GT -Table 3'!S21</f>
        <v>1939</v>
      </c>
      <c r="K20" s="675">
        <f t="shared" si="30"/>
        <v>1163</v>
      </c>
      <c r="L20" s="675">
        <f t="shared" si="16"/>
        <v>0</v>
      </c>
      <c r="M20" s="677">
        <f t="shared" si="17"/>
        <v>0</v>
      </c>
      <c r="N20" s="675">
        <f t="shared" si="18"/>
        <v>0</v>
      </c>
      <c r="O20" s="675">
        <f t="shared" si="31"/>
        <v>17081</v>
      </c>
      <c r="P20" s="675">
        <f t="shared" si="19"/>
        <v>60445</v>
      </c>
      <c r="Q20" s="678">
        <f t="shared" si="32"/>
        <v>3961</v>
      </c>
      <c r="R20" s="678">
        <f t="shared" si="20"/>
        <v>239422645</v>
      </c>
      <c r="S20" s="678">
        <f>'Table 6 (Local Deduct Calc.)'!J22</f>
        <v>123221943.5</v>
      </c>
      <c r="T20" s="678">
        <f t="shared" si="33"/>
        <v>123221943.5</v>
      </c>
      <c r="U20" s="679">
        <f t="shared" si="34"/>
        <v>116200701.5</v>
      </c>
      <c r="V20" s="680">
        <f t="shared" si="53"/>
        <v>0.48530000000000001</v>
      </c>
      <c r="W20" s="680">
        <f t="shared" si="35"/>
        <v>0.51470000000000005</v>
      </c>
      <c r="X20" s="681">
        <f t="shared" si="21"/>
        <v>2841.572352642745</v>
      </c>
      <c r="Y20" s="678">
        <f>'Table 7 Local Revenue'!AQ23</f>
        <v>305941897.5</v>
      </c>
      <c r="Z20" s="678">
        <f t="shared" si="36"/>
        <v>182719954</v>
      </c>
      <c r="AA20" s="682">
        <f t="shared" si="37"/>
        <v>0</v>
      </c>
      <c r="AB20" s="447">
        <f t="shared" si="38"/>
        <v>81403699.300000012</v>
      </c>
      <c r="AC20" s="447">
        <f t="shared" si="39"/>
        <v>81403699.300000012</v>
      </c>
      <c r="AD20" s="678">
        <f t="shared" si="40"/>
        <v>72065392.531101212</v>
      </c>
      <c r="AE20" s="683">
        <f t="shared" si="41"/>
        <v>9338306.7688988</v>
      </c>
      <c r="AF20" s="684">
        <f t="shared" si="42"/>
        <v>0.1147</v>
      </c>
      <c r="AG20" s="683">
        <f t="shared" si="43"/>
        <v>125539008.2688988</v>
      </c>
      <c r="AH20" s="447">
        <f t="shared" si="22"/>
        <v>2895</v>
      </c>
      <c r="AI20" s="683">
        <f>+'Table 3A Level 3'!O22</f>
        <v>20320057</v>
      </c>
      <c r="AJ20" s="447">
        <f t="shared" si="23"/>
        <v>468.59277280693664</v>
      </c>
      <c r="AK20" s="683">
        <f t="shared" si="44"/>
        <v>145859065.26889879</v>
      </c>
      <c r="AL20" s="447">
        <f t="shared" si="24"/>
        <v>3363.5980368254495</v>
      </c>
      <c r="AM20" s="685">
        <f>+'Table 3A Level 3'!P22</f>
        <v>55075332.6944241</v>
      </c>
      <c r="AN20" s="686">
        <f t="shared" si="25"/>
        <v>1270.0703969750045</v>
      </c>
      <c r="AO20" s="683">
        <f t="shared" si="45"/>
        <v>180614340.96332291</v>
      </c>
      <c r="AP20" s="447">
        <f t="shared" si="26"/>
        <v>4165.0756609935179</v>
      </c>
      <c r="AQ20" s="684">
        <f t="shared" si="46"/>
        <v>0.46883591676788566</v>
      </c>
      <c r="AR20" s="687">
        <f t="shared" si="47"/>
        <v>60</v>
      </c>
      <c r="AS20" s="447">
        <f t="shared" si="48"/>
        <v>204625642.80000001</v>
      </c>
      <c r="AT20" s="447">
        <f t="shared" si="27"/>
        <v>4718.79</v>
      </c>
      <c r="AU20" s="687">
        <f t="shared" si="49"/>
        <v>12</v>
      </c>
      <c r="AV20" s="684">
        <f t="shared" si="50"/>
        <v>0.53116408323211428</v>
      </c>
      <c r="AW20" s="687">
        <f t="shared" si="51"/>
        <v>385239983.76332295</v>
      </c>
      <c r="AX20" s="688">
        <f t="shared" si="28"/>
        <v>8883.8664275279716</v>
      </c>
      <c r="AY20" s="687">
        <f t="shared" si="52"/>
        <v>46</v>
      </c>
      <c r="AZ20" s="709"/>
    </row>
    <row r="21" spans="1:52" s="690" customFormat="1" ht="15.6" customHeight="1">
      <c r="A21" s="673">
        <v>18</v>
      </c>
      <c r="B21" s="674" t="s">
        <v>90</v>
      </c>
      <c r="C21" s="674">
        <f>+'Table 8 Membership 2.1.14'!W20</f>
        <v>1051</v>
      </c>
      <c r="D21" s="675">
        <f>+'[5]ALL- TABLE 3 '!AA23-'[5]ALL- TABLE 3 '!W23-'[5]ALL- TABLE 3 '!X23-'[5]ALL- TABLE 3 '!Y23-'[5]ALL- TABLE 3 '!Z23</f>
        <v>968</v>
      </c>
      <c r="E21" s="675">
        <f t="shared" si="14"/>
        <v>213</v>
      </c>
      <c r="F21" s="675">
        <f>+'[6]MS6887_Total CTE T3 corrected'!M23</f>
        <v>432</v>
      </c>
      <c r="G21" s="675">
        <f t="shared" si="15"/>
        <v>26</v>
      </c>
      <c r="H21" s="675">
        <f>+'[7]MFP Funded SWD -Table 3'!W22</f>
        <v>109</v>
      </c>
      <c r="I21" s="675">
        <f t="shared" si="29"/>
        <v>164</v>
      </c>
      <c r="J21" s="675">
        <f>+'[7]MFP Funded GT -Table 3'!S22</f>
        <v>1</v>
      </c>
      <c r="K21" s="675">
        <f t="shared" si="30"/>
        <v>1</v>
      </c>
      <c r="L21" s="675">
        <f t="shared" si="16"/>
        <v>6449</v>
      </c>
      <c r="M21" s="677">
        <f t="shared" si="17"/>
        <v>0.17197000000000001</v>
      </c>
      <c r="N21" s="675">
        <f t="shared" si="18"/>
        <v>181</v>
      </c>
      <c r="O21" s="675">
        <f t="shared" si="31"/>
        <v>585</v>
      </c>
      <c r="P21" s="675">
        <f t="shared" si="19"/>
        <v>1636</v>
      </c>
      <c r="Q21" s="678">
        <f t="shared" si="32"/>
        <v>3961</v>
      </c>
      <c r="R21" s="678">
        <f t="shared" si="20"/>
        <v>6480196</v>
      </c>
      <c r="S21" s="678">
        <f>'Table 6 (Local Deduct Calc.)'!J23</f>
        <v>1335582.5</v>
      </c>
      <c r="T21" s="678">
        <f t="shared" si="33"/>
        <v>1335582.5</v>
      </c>
      <c r="U21" s="679">
        <f t="shared" si="34"/>
        <v>5144613.5</v>
      </c>
      <c r="V21" s="680">
        <f t="shared" si="53"/>
        <v>0.79390000000000005</v>
      </c>
      <c r="W21" s="680">
        <f t="shared" si="35"/>
        <v>0.20610000000000001</v>
      </c>
      <c r="X21" s="681">
        <f t="shared" si="21"/>
        <v>1270.7730732635584</v>
      </c>
      <c r="Y21" s="678">
        <f>'Table 7 Local Revenue'!AQ24</f>
        <v>3458507.5</v>
      </c>
      <c r="Z21" s="678">
        <f t="shared" si="36"/>
        <v>2122925</v>
      </c>
      <c r="AA21" s="682">
        <f t="shared" si="37"/>
        <v>0</v>
      </c>
      <c r="AB21" s="447">
        <f t="shared" si="38"/>
        <v>2203266.64</v>
      </c>
      <c r="AC21" s="447">
        <f t="shared" si="39"/>
        <v>2122925</v>
      </c>
      <c r="AD21" s="678">
        <f t="shared" si="40"/>
        <v>752559.92910000007</v>
      </c>
      <c r="AE21" s="683">
        <f t="shared" si="41"/>
        <v>1370365.0708999999</v>
      </c>
      <c r="AF21" s="684">
        <f t="shared" si="42"/>
        <v>0.64549999999999996</v>
      </c>
      <c r="AG21" s="683">
        <f t="shared" si="43"/>
        <v>6514978.5708999997</v>
      </c>
      <c r="AH21" s="447">
        <f t="shared" si="22"/>
        <v>6199</v>
      </c>
      <c r="AI21" s="683">
        <f>+'Table 3A Level 3'!O23</f>
        <v>163657</v>
      </c>
      <c r="AJ21" s="447">
        <f t="shared" si="23"/>
        <v>155.71550903901047</v>
      </c>
      <c r="AK21" s="683">
        <f t="shared" si="44"/>
        <v>6678635.5708999997</v>
      </c>
      <c r="AL21" s="447">
        <f t="shared" si="24"/>
        <v>6354.5533500475731</v>
      </c>
      <c r="AM21" s="685">
        <f>+'Table 3A Level 3'!P23</f>
        <v>1052750.45</v>
      </c>
      <c r="AN21" s="686">
        <f t="shared" si="25"/>
        <v>1001.6655090390104</v>
      </c>
      <c r="AO21" s="683">
        <f t="shared" si="45"/>
        <v>7567729.0208999999</v>
      </c>
      <c r="AP21" s="447">
        <f t="shared" si="26"/>
        <v>7200.5033500475738</v>
      </c>
      <c r="AQ21" s="684">
        <f t="shared" si="46"/>
        <v>0.68633835366723073</v>
      </c>
      <c r="AR21" s="687">
        <f t="shared" si="47"/>
        <v>20</v>
      </c>
      <c r="AS21" s="447">
        <f t="shared" si="48"/>
        <v>3458507.5</v>
      </c>
      <c r="AT21" s="447">
        <f t="shared" si="27"/>
        <v>3290.68</v>
      </c>
      <c r="AU21" s="687">
        <f t="shared" si="49"/>
        <v>40</v>
      </c>
      <c r="AV21" s="684">
        <f t="shared" si="50"/>
        <v>0.31366164633276927</v>
      </c>
      <c r="AW21" s="687">
        <f t="shared" si="51"/>
        <v>11026236.5209</v>
      </c>
      <c r="AX21" s="688">
        <f t="shared" si="28"/>
        <v>10491.18603320647</v>
      </c>
      <c r="AY21" s="687">
        <f t="shared" si="52"/>
        <v>5</v>
      </c>
      <c r="AZ21" s="427"/>
    </row>
    <row r="22" spans="1:52" s="690" customFormat="1" ht="15.6" customHeight="1">
      <c r="A22" s="673">
        <v>19</v>
      </c>
      <c r="B22" s="674" t="s">
        <v>91</v>
      </c>
      <c r="C22" s="674">
        <f>+'Table 8 Membership 2.1.14'!W21</f>
        <v>1909</v>
      </c>
      <c r="D22" s="675">
        <f>+'[5]ALL- TABLE 3 '!AA24-'[5]ALL- TABLE 3 '!W24-'[5]ALL- TABLE 3 '!X24-'[5]ALL- TABLE 3 '!Y24-'[5]ALL- TABLE 3 '!Z24</f>
        <v>1628</v>
      </c>
      <c r="E22" s="675">
        <f t="shared" si="14"/>
        <v>358</v>
      </c>
      <c r="F22" s="675">
        <f>+'[6]MS6887_Total CTE T3 corrected'!M24</f>
        <v>367.5</v>
      </c>
      <c r="G22" s="675">
        <f t="shared" si="15"/>
        <v>22</v>
      </c>
      <c r="H22" s="675">
        <f>+'[7]MFP Funded SWD -Table 3'!W23</f>
        <v>274</v>
      </c>
      <c r="I22" s="675">
        <f t="shared" si="29"/>
        <v>411</v>
      </c>
      <c r="J22" s="675">
        <f>+'[7]MFP Funded GT -Table 3'!S23</f>
        <v>21</v>
      </c>
      <c r="K22" s="675">
        <f t="shared" si="30"/>
        <v>13</v>
      </c>
      <c r="L22" s="675">
        <f t="shared" si="16"/>
        <v>5591</v>
      </c>
      <c r="M22" s="677">
        <f t="shared" si="17"/>
        <v>0.14909</v>
      </c>
      <c r="N22" s="675">
        <f t="shared" si="18"/>
        <v>285</v>
      </c>
      <c r="O22" s="675">
        <f t="shared" si="31"/>
        <v>1089</v>
      </c>
      <c r="P22" s="675">
        <f t="shared" si="19"/>
        <v>2998</v>
      </c>
      <c r="Q22" s="678">
        <f t="shared" si="32"/>
        <v>3961</v>
      </c>
      <c r="R22" s="678">
        <f t="shared" si="20"/>
        <v>11875078</v>
      </c>
      <c r="S22" s="678">
        <f>'Table 6 (Local Deduct Calc.)'!J24</f>
        <v>3075535.5</v>
      </c>
      <c r="T22" s="678">
        <f t="shared" si="33"/>
        <v>3075535.5</v>
      </c>
      <c r="U22" s="679">
        <f t="shared" si="34"/>
        <v>8799542.5</v>
      </c>
      <c r="V22" s="680">
        <f t="shared" si="53"/>
        <v>0.74099999999999999</v>
      </c>
      <c r="W22" s="680">
        <f t="shared" si="35"/>
        <v>0.25900000000000001</v>
      </c>
      <c r="X22" s="681">
        <f t="shared" si="21"/>
        <v>1611.071503404924</v>
      </c>
      <c r="Y22" s="678">
        <f>'Table 7 Local Revenue'!AQ25</f>
        <v>4966129.5</v>
      </c>
      <c r="Z22" s="678">
        <f t="shared" si="36"/>
        <v>1890594</v>
      </c>
      <c r="AA22" s="682">
        <f t="shared" si="37"/>
        <v>0</v>
      </c>
      <c r="AB22" s="447">
        <f t="shared" si="38"/>
        <v>4037526.5200000005</v>
      </c>
      <c r="AC22" s="447">
        <f t="shared" si="39"/>
        <v>1890594</v>
      </c>
      <c r="AD22" s="678">
        <f t="shared" si="40"/>
        <v>842221.81511999993</v>
      </c>
      <c r="AE22" s="683">
        <f t="shared" si="41"/>
        <v>1048372.1848800001</v>
      </c>
      <c r="AF22" s="684">
        <f t="shared" si="42"/>
        <v>0.55449999999999999</v>
      </c>
      <c r="AG22" s="683">
        <f t="shared" si="43"/>
        <v>9847914.6848799996</v>
      </c>
      <c r="AH22" s="447">
        <f t="shared" si="22"/>
        <v>5159</v>
      </c>
      <c r="AI22" s="683">
        <f>+'Table 3A Level 3'!O24</f>
        <v>297260</v>
      </c>
      <c r="AJ22" s="447">
        <f t="shared" si="23"/>
        <v>155.71503404924044</v>
      </c>
      <c r="AK22" s="683">
        <f t="shared" si="44"/>
        <v>10145174.68488</v>
      </c>
      <c r="AL22" s="447">
        <f t="shared" si="24"/>
        <v>5314.3921869460446</v>
      </c>
      <c r="AM22" s="685">
        <f>+'Table 3A Level 3'!P24</f>
        <v>2025725.8699999999</v>
      </c>
      <c r="AN22" s="686">
        <f t="shared" si="25"/>
        <v>1061.1450340492404</v>
      </c>
      <c r="AO22" s="683">
        <f t="shared" si="45"/>
        <v>11873640.554879999</v>
      </c>
      <c r="AP22" s="447">
        <f t="shared" si="26"/>
        <v>6219.822186946044</v>
      </c>
      <c r="AQ22" s="684">
        <f t="shared" si="46"/>
        <v>0.70509517150082068</v>
      </c>
      <c r="AR22" s="687">
        <f t="shared" si="47"/>
        <v>15</v>
      </c>
      <c r="AS22" s="447">
        <f t="shared" si="48"/>
        <v>4966129.5</v>
      </c>
      <c r="AT22" s="447">
        <f t="shared" si="27"/>
        <v>2601.4299999999998</v>
      </c>
      <c r="AU22" s="687">
        <f t="shared" si="49"/>
        <v>58</v>
      </c>
      <c r="AV22" s="684">
        <f t="shared" si="50"/>
        <v>0.29490482849917921</v>
      </c>
      <c r="AW22" s="687">
        <f t="shared" si="51"/>
        <v>16839770.054880001</v>
      </c>
      <c r="AX22" s="688">
        <f t="shared" si="28"/>
        <v>8821.2519931272927</v>
      </c>
      <c r="AY22" s="687">
        <f t="shared" si="52"/>
        <v>49</v>
      </c>
      <c r="AZ22" s="427"/>
    </row>
    <row r="23" spans="1:52" s="708" customFormat="1" ht="15.6" customHeight="1">
      <c r="A23" s="691">
        <v>20</v>
      </c>
      <c r="B23" s="692" t="s">
        <v>92</v>
      </c>
      <c r="C23" s="692">
        <f>+'Table 8 Membership 2.1.14'!W22</f>
        <v>5854</v>
      </c>
      <c r="D23" s="693">
        <f>+'[5]ALL- TABLE 3 '!AA25-'[5]ALL- TABLE 3 '!W25-'[5]ALL- TABLE 3 '!X25-'[5]ALL- TABLE 3 '!Y25-'[5]ALL- TABLE 3 '!Z25</f>
        <v>4520</v>
      </c>
      <c r="E23" s="693">
        <f t="shared" si="14"/>
        <v>994</v>
      </c>
      <c r="F23" s="693">
        <f>+'[6]MS6887_Total CTE T3 corrected'!M25</f>
        <v>2045.5</v>
      </c>
      <c r="G23" s="693">
        <f t="shared" si="15"/>
        <v>123</v>
      </c>
      <c r="H23" s="693">
        <f>+'[7]MFP Funded SWD -Table 3'!W24</f>
        <v>761</v>
      </c>
      <c r="I23" s="693">
        <f t="shared" si="29"/>
        <v>1142</v>
      </c>
      <c r="J23" s="693">
        <f>+'[7]MFP Funded GT -Table 3'!S24</f>
        <v>75</v>
      </c>
      <c r="K23" s="693">
        <f t="shared" si="30"/>
        <v>45</v>
      </c>
      <c r="L23" s="693">
        <f t="shared" si="16"/>
        <v>1646</v>
      </c>
      <c r="M23" s="694">
        <f t="shared" si="17"/>
        <v>4.3889999999999998E-2</v>
      </c>
      <c r="N23" s="693">
        <f t="shared" si="18"/>
        <v>257</v>
      </c>
      <c r="O23" s="693">
        <f t="shared" si="31"/>
        <v>2561</v>
      </c>
      <c r="P23" s="695">
        <f t="shared" si="19"/>
        <v>8415</v>
      </c>
      <c r="Q23" s="696">
        <f t="shared" si="32"/>
        <v>3961</v>
      </c>
      <c r="R23" s="696">
        <f t="shared" si="20"/>
        <v>33331815</v>
      </c>
      <c r="S23" s="696">
        <f>'Table 6 (Local Deduct Calc.)'!J25</f>
        <v>7825904.5</v>
      </c>
      <c r="T23" s="696">
        <f t="shared" si="33"/>
        <v>7825904.5</v>
      </c>
      <c r="U23" s="697">
        <f t="shared" si="34"/>
        <v>25505910.5</v>
      </c>
      <c r="V23" s="698">
        <f t="shared" si="53"/>
        <v>0.76519999999999999</v>
      </c>
      <c r="W23" s="699">
        <f t="shared" si="35"/>
        <v>0.23480000000000001</v>
      </c>
      <c r="X23" s="700">
        <f t="shared" si="21"/>
        <v>1336.8473693201229</v>
      </c>
      <c r="Y23" s="696">
        <f>'Table 7 Local Revenue'!AQ26</f>
        <v>15834074.5</v>
      </c>
      <c r="Z23" s="696">
        <f t="shared" si="36"/>
        <v>8008170</v>
      </c>
      <c r="AA23" s="701">
        <f t="shared" si="37"/>
        <v>0</v>
      </c>
      <c r="AB23" s="465">
        <f t="shared" si="38"/>
        <v>11332817.100000001</v>
      </c>
      <c r="AC23" s="465">
        <f t="shared" si="39"/>
        <v>8008170</v>
      </c>
      <c r="AD23" s="696">
        <f t="shared" si="40"/>
        <v>3234147.5035199998</v>
      </c>
      <c r="AE23" s="702">
        <f t="shared" si="41"/>
        <v>4774022.4964800002</v>
      </c>
      <c r="AF23" s="703">
        <f t="shared" si="42"/>
        <v>0.59609999999999996</v>
      </c>
      <c r="AG23" s="702">
        <f t="shared" si="43"/>
        <v>30279932.996479999</v>
      </c>
      <c r="AH23" s="465">
        <f t="shared" si="22"/>
        <v>5173</v>
      </c>
      <c r="AI23" s="702">
        <f>+'Table 3A Level 3'!O25</f>
        <v>620524</v>
      </c>
      <c r="AJ23" s="465">
        <f t="shared" si="23"/>
        <v>106</v>
      </c>
      <c r="AK23" s="702">
        <f t="shared" si="44"/>
        <v>30900456.996479999</v>
      </c>
      <c r="AL23" s="465">
        <f t="shared" si="24"/>
        <v>5278.5201565562011</v>
      </c>
      <c r="AM23" s="704">
        <f>+'Table 3A Level 3'!P25</f>
        <v>4051963.1799999997</v>
      </c>
      <c r="AN23" s="705">
        <f t="shared" si="25"/>
        <v>692.17</v>
      </c>
      <c r="AO23" s="702">
        <f t="shared" si="45"/>
        <v>34331896.176479995</v>
      </c>
      <c r="AP23" s="465">
        <f t="shared" si="26"/>
        <v>5864.6901565562002</v>
      </c>
      <c r="AQ23" s="703">
        <f t="shared" si="46"/>
        <v>0.68436622900982347</v>
      </c>
      <c r="AR23" s="706">
        <f t="shared" si="47"/>
        <v>22</v>
      </c>
      <c r="AS23" s="465">
        <f t="shared" si="48"/>
        <v>15834074.5</v>
      </c>
      <c r="AT23" s="465">
        <f t="shared" si="27"/>
        <v>2704.83</v>
      </c>
      <c r="AU23" s="706">
        <f t="shared" si="49"/>
        <v>57</v>
      </c>
      <c r="AV23" s="703">
        <f t="shared" si="50"/>
        <v>0.31563377099017659</v>
      </c>
      <c r="AW23" s="706">
        <f t="shared" si="51"/>
        <v>50165970.676479995</v>
      </c>
      <c r="AX23" s="707">
        <f t="shared" si="28"/>
        <v>8569.5201018927219</v>
      </c>
      <c r="AY23" s="706">
        <f t="shared" si="52"/>
        <v>56</v>
      </c>
      <c r="AZ23" s="427"/>
    </row>
    <row r="24" spans="1:52" s="690" customFormat="1" ht="15.6" customHeight="1">
      <c r="A24" s="673">
        <v>21</v>
      </c>
      <c r="B24" s="674" t="s">
        <v>93</v>
      </c>
      <c r="C24" s="675">
        <f>+'Table 8 Membership 2.1.14'!W23</f>
        <v>2904</v>
      </c>
      <c r="D24" s="675">
        <f>+'[5]ALL- TABLE 3 '!AA26-'[5]ALL- TABLE 3 '!W26-'[5]ALL- TABLE 3 '!X26-'[5]ALL- TABLE 3 '!Y26-'[5]ALL- TABLE 3 '!Z26</f>
        <v>2421</v>
      </c>
      <c r="E24" s="675">
        <f t="shared" si="14"/>
        <v>533</v>
      </c>
      <c r="F24" s="675">
        <f>+'[6]MS6887_Total CTE T3 corrected'!M26</f>
        <v>967</v>
      </c>
      <c r="G24" s="675">
        <f t="shared" si="15"/>
        <v>58</v>
      </c>
      <c r="H24" s="675">
        <f>+'[7]MFP Funded SWD -Table 3'!W25</f>
        <v>444</v>
      </c>
      <c r="I24" s="675">
        <f t="shared" si="29"/>
        <v>666</v>
      </c>
      <c r="J24" s="675">
        <f>+'[7]MFP Funded GT -Table 3'!S25</f>
        <v>28</v>
      </c>
      <c r="K24" s="675">
        <f t="shared" si="30"/>
        <v>17</v>
      </c>
      <c r="L24" s="676">
        <f t="shared" si="16"/>
        <v>4596</v>
      </c>
      <c r="M24" s="677">
        <f t="shared" si="17"/>
        <v>0.12256</v>
      </c>
      <c r="N24" s="675">
        <f t="shared" si="18"/>
        <v>356</v>
      </c>
      <c r="O24" s="675">
        <f t="shared" si="31"/>
        <v>1630</v>
      </c>
      <c r="P24" s="675">
        <f t="shared" si="19"/>
        <v>4534</v>
      </c>
      <c r="Q24" s="678">
        <f t="shared" si="32"/>
        <v>3961</v>
      </c>
      <c r="R24" s="678">
        <f t="shared" si="20"/>
        <v>17959174</v>
      </c>
      <c r="S24" s="678">
        <f>'Table 6 (Local Deduct Calc.)'!J26</f>
        <v>3376614</v>
      </c>
      <c r="T24" s="678">
        <f t="shared" si="33"/>
        <v>3376614</v>
      </c>
      <c r="U24" s="679">
        <f t="shared" si="34"/>
        <v>14582560</v>
      </c>
      <c r="V24" s="680">
        <f t="shared" si="53"/>
        <v>0.81200000000000006</v>
      </c>
      <c r="W24" s="680">
        <f t="shared" si="35"/>
        <v>0.188</v>
      </c>
      <c r="X24" s="681">
        <f t="shared" si="21"/>
        <v>1162.745867768595</v>
      </c>
      <c r="Y24" s="678">
        <f>'Table 7 Local Revenue'!AQ27</f>
        <v>7260887</v>
      </c>
      <c r="Z24" s="678">
        <f t="shared" si="36"/>
        <v>3884273</v>
      </c>
      <c r="AA24" s="682">
        <f t="shared" si="37"/>
        <v>0</v>
      </c>
      <c r="AB24" s="447">
        <f t="shared" si="38"/>
        <v>6106119.1600000001</v>
      </c>
      <c r="AC24" s="447">
        <f t="shared" si="39"/>
        <v>3884273</v>
      </c>
      <c r="AD24" s="678">
        <f t="shared" si="40"/>
        <v>1256018.51728</v>
      </c>
      <c r="AE24" s="683">
        <f t="shared" si="41"/>
        <v>2628254.4827199997</v>
      </c>
      <c r="AF24" s="684">
        <f t="shared" si="42"/>
        <v>0.67659999999999998</v>
      </c>
      <c r="AG24" s="683">
        <f t="shared" si="43"/>
        <v>17210814.482719999</v>
      </c>
      <c r="AH24" s="447">
        <f t="shared" si="22"/>
        <v>5927</v>
      </c>
      <c r="AI24" s="683">
        <f>+'Table 3A Level 3'!O26</f>
        <v>452197</v>
      </c>
      <c r="AJ24" s="447">
        <f t="shared" si="23"/>
        <v>155.71522038567494</v>
      </c>
      <c r="AK24" s="683">
        <f t="shared" si="44"/>
        <v>17663011.482719999</v>
      </c>
      <c r="AL24" s="447">
        <f t="shared" si="24"/>
        <v>6082.3042295867763</v>
      </c>
      <c r="AM24" s="685">
        <f>+'Table 3A Level 3'!P26</f>
        <v>2224653.4000000004</v>
      </c>
      <c r="AN24" s="686">
        <f t="shared" si="25"/>
        <v>766.06522038567505</v>
      </c>
      <c r="AO24" s="683">
        <f t="shared" si="45"/>
        <v>19435467.882720001</v>
      </c>
      <c r="AP24" s="447">
        <f t="shared" si="26"/>
        <v>6692.6542295867775</v>
      </c>
      <c r="AQ24" s="684">
        <f t="shared" si="46"/>
        <v>0.72801953555465271</v>
      </c>
      <c r="AR24" s="687">
        <f t="shared" si="47"/>
        <v>9</v>
      </c>
      <c r="AS24" s="447">
        <f t="shared" si="48"/>
        <v>7260887</v>
      </c>
      <c r="AT24" s="447">
        <f t="shared" si="27"/>
        <v>2500.31</v>
      </c>
      <c r="AU24" s="687">
        <f t="shared" si="49"/>
        <v>59</v>
      </c>
      <c r="AV24" s="684">
        <f t="shared" si="50"/>
        <v>0.27198046444534724</v>
      </c>
      <c r="AW24" s="687">
        <f t="shared" si="51"/>
        <v>26696354.882720001</v>
      </c>
      <c r="AX24" s="688">
        <f t="shared" si="28"/>
        <v>9192.9596703581265</v>
      </c>
      <c r="AY24" s="687">
        <f t="shared" si="52"/>
        <v>31</v>
      </c>
      <c r="AZ24" s="427"/>
    </row>
    <row r="25" spans="1:52" s="690" customFormat="1" ht="15.6" customHeight="1">
      <c r="A25" s="673">
        <v>22</v>
      </c>
      <c r="B25" s="674" t="s">
        <v>94</v>
      </c>
      <c r="C25" s="674">
        <f>+'Table 8 Membership 2.1.14'!W24</f>
        <v>3143</v>
      </c>
      <c r="D25" s="675">
        <f>+'[5]ALL- TABLE 3 '!AA27-'[5]ALL- TABLE 3 '!W27-'[5]ALL- TABLE 3 '!X27-'[5]ALL- TABLE 3 '!Y27-'[5]ALL- TABLE 3 '!Z27</f>
        <v>2160</v>
      </c>
      <c r="E25" s="675">
        <f t="shared" si="14"/>
        <v>475</v>
      </c>
      <c r="F25" s="675">
        <f>+'[6]MS6887_Total CTE T3 corrected'!M27</f>
        <v>1061</v>
      </c>
      <c r="G25" s="675">
        <f t="shared" si="15"/>
        <v>64</v>
      </c>
      <c r="H25" s="675">
        <f>+'[7]MFP Funded SWD -Table 3'!W26</f>
        <v>498</v>
      </c>
      <c r="I25" s="675">
        <f t="shared" si="29"/>
        <v>747</v>
      </c>
      <c r="J25" s="675">
        <f>+'[7]MFP Funded GT -Table 3'!S26</f>
        <v>31</v>
      </c>
      <c r="K25" s="675">
        <f t="shared" si="30"/>
        <v>19</v>
      </c>
      <c r="L25" s="675">
        <f t="shared" si="16"/>
        <v>4357</v>
      </c>
      <c r="M25" s="677">
        <f t="shared" si="17"/>
        <v>0.11619</v>
      </c>
      <c r="N25" s="675">
        <f t="shared" si="18"/>
        <v>365</v>
      </c>
      <c r="O25" s="675">
        <f t="shared" si="31"/>
        <v>1670</v>
      </c>
      <c r="P25" s="675">
        <f t="shared" si="19"/>
        <v>4813</v>
      </c>
      <c r="Q25" s="678">
        <f t="shared" si="32"/>
        <v>3961</v>
      </c>
      <c r="R25" s="678">
        <f t="shared" si="20"/>
        <v>19064293</v>
      </c>
      <c r="S25" s="678">
        <f>'Table 6 (Local Deduct Calc.)'!J27</f>
        <v>2122249</v>
      </c>
      <c r="T25" s="678">
        <f t="shared" si="33"/>
        <v>2122249</v>
      </c>
      <c r="U25" s="679">
        <f t="shared" si="34"/>
        <v>16942044</v>
      </c>
      <c r="V25" s="680">
        <f t="shared" si="53"/>
        <v>0.88870000000000005</v>
      </c>
      <c r="W25" s="680">
        <f t="shared" si="35"/>
        <v>0.1113</v>
      </c>
      <c r="X25" s="681">
        <f t="shared" si="21"/>
        <v>675.23035316576522</v>
      </c>
      <c r="Y25" s="678">
        <f>'Table 7 Local Revenue'!AQ28</f>
        <v>5504018</v>
      </c>
      <c r="Z25" s="678">
        <f t="shared" si="36"/>
        <v>3381769</v>
      </c>
      <c r="AA25" s="682">
        <f t="shared" si="37"/>
        <v>0</v>
      </c>
      <c r="AB25" s="447">
        <f t="shared" si="38"/>
        <v>6481859.6200000001</v>
      </c>
      <c r="AC25" s="447">
        <f t="shared" si="39"/>
        <v>3381769</v>
      </c>
      <c r="AD25" s="678">
        <f t="shared" si="40"/>
        <v>647392.33028400003</v>
      </c>
      <c r="AE25" s="683">
        <f t="shared" si="41"/>
        <v>2734376.6697160001</v>
      </c>
      <c r="AF25" s="684">
        <f t="shared" si="42"/>
        <v>0.80859999999999999</v>
      </c>
      <c r="AG25" s="683">
        <f t="shared" si="43"/>
        <v>19676420.669716001</v>
      </c>
      <c r="AH25" s="447">
        <f t="shared" si="22"/>
        <v>6260</v>
      </c>
      <c r="AI25" s="683">
        <f>+'Table 3A Level 3'!O27</f>
        <v>489413</v>
      </c>
      <c r="AJ25" s="447">
        <f t="shared" si="23"/>
        <v>155.71524021635381</v>
      </c>
      <c r="AK25" s="683">
        <f t="shared" si="44"/>
        <v>20165833.669716001</v>
      </c>
      <c r="AL25" s="447">
        <f t="shared" si="24"/>
        <v>6416.1099808195995</v>
      </c>
      <c r="AM25" s="685">
        <f>+'Table 3A Level 3'!P27</f>
        <v>2049472.48</v>
      </c>
      <c r="AN25" s="686">
        <f t="shared" si="25"/>
        <v>652.07524021635379</v>
      </c>
      <c r="AO25" s="683">
        <f t="shared" si="45"/>
        <v>21725893.149716001</v>
      </c>
      <c r="AP25" s="447">
        <f t="shared" si="26"/>
        <v>6912.4699808195992</v>
      </c>
      <c r="AQ25" s="684">
        <f t="shared" si="46"/>
        <v>0.79786867574639864</v>
      </c>
      <c r="AR25" s="687">
        <f t="shared" si="47"/>
        <v>2</v>
      </c>
      <c r="AS25" s="447">
        <f t="shared" si="48"/>
        <v>5504018</v>
      </c>
      <c r="AT25" s="447">
        <f t="shared" si="27"/>
        <v>1751.2</v>
      </c>
      <c r="AU25" s="687">
        <f t="shared" si="49"/>
        <v>69</v>
      </c>
      <c r="AV25" s="684">
        <f t="shared" si="50"/>
        <v>0.20213132425360136</v>
      </c>
      <c r="AW25" s="687">
        <f t="shared" si="51"/>
        <v>27229911.149716001</v>
      </c>
      <c r="AX25" s="688">
        <f t="shared" si="28"/>
        <v>8663.6688354171183</v>
      </c>
      <c r="AY25" s="687">
        <f t="shared" si="52"/>
        <v>53</v>
      </c>
      <c r="AZ25" s="427"/>
    </row>
    <row r="26" spans="1:52" s="690" customFormat="1" ht="15.6" customHeight="1">
      <c r="A26" s="673">
        <v>23</v>
      </c>
      <c r="B26" s="674" t="s">
        <v>95</v>
      </c>
      <c r="C26" s="674">
        <f>+'Table 8 Membership 2.1.14'!W25</f>
        <v>13537</v>
      </c>
      <c r="D26" s="675">
        <f>+'[5]ALL- TABLE 3 '!AA28-'[5]ALL- TABLE 3 '!W28-'[5]ALL- TABLE 3 '!X28-'[5]ALL- TABLE 3 '!Y28-'[5]ALL- TABLE 3 '!Z28</f>
        <v>9615</v>
      </c>
      <c r="E26" s="675">
        <f t="shared" si="14"/>
        <v>2115</v>
      </c>
      <c r="F26" s="675">
        <f>+'[6]MS6887_Total CTE T3 corrected'!M28</f>
        <v>5827.5</v>
      </c>
      <c r="G26" s="675">
        <f t="shared" si="15"/>
        <v>350</v>
      </c>
      <c r="H26" s="675">
        <f>+'[7]MFP Funded SWD -Table 3'!W27</f>
        <v>1591</v>
      </c>
      <c r="I26" s="675">
        <f t="shared" si="29"/>
        <v>2387</v>
      </c>
      <c r="J26" s="675">
        <f>+'[7]MFP Funded GT -Table 3'!S27</f>
        <v>402</v>
      </c>
      <c r="K26" s="675">
        <f t="shared" si="30"/>
        <v>241</v>
      </c>
      <c r="L26" s="675">
        <f t="shared" si="16"/>
        <v>0</v>
      </c>
      <c r="M26" s="677">
        <f t="shared" si="17"/>
        <v>0</v>
      </c>
      <c r="N26" s="675">
        <f t="shared" si="18"/>
        <v>0</v>
      </c>
      <c r="O26" s="675">
        <f t="shared" si="31"/>
        <v>5093</v>
      </c>
      <c r="P26" s="675">
        <f t="shared" si="19"/>
        <v>18630</v>
      </c>
      <c r="Q26" s="678">
        <f t="shared" si="32"/>
        <v>3961</v>
      </c>
      <c r="R26" s="678">
        <f t="shared" si="20"/>
        <v>73793430</v>
      </c>
      <c r="S26" s="678">
        <f>'Table 6 (Local Deduct Calc.)'!J28</f>
        <v>20922643</v>
      </c>
      <c r="T26" s="678">
        <f t="shared" si="33"/>
        <v>20922643</v>
      </c>
      <c r="U26" s="679">
        <f t="shared" si="34"/>
        <v>52870787</v>
      </c>
      <c r="V26" s="680">
        <f t="shared" si="53"/>
        <v>0.71650000000000003</v>
      </c>
      <c r="W26" s="680">
        <f t="shared" si="35"/>
        <v>0.28349999999999997</v>
      </c>
      <c r="X26" s="681">
        <f t="shared" si="21"/>
        <v>1545.5893477136735</v>
      </c>
      <c r="Y26" s="678">
        <f>'Table 7 Local Revenue'!AQ29</f>
        <v>46695120</v>
      </c>
      <c r="Z26" s="678">
        <f t="shared" si="36"/>
        <v>25772477</v>
      </c>
      <c r="AA26" s="682">
        <f t="shared" si="37"/>
        <v>0</v>
      </c>
      <c r="AB26" s="447">
        <f t="shared" si="38"/>
        <v>25089766.200000003</v>
      </c>
      <c r="AC26" s="447">
        <f t="shared" si="39"/>
        <v>25089766.200000003</v>
      </c>
      <c r="AD26" s="678">
        <f t="shared" si="40"/>
        <v>12234271.794444</v>
      </c>
      <c r="AE26" s="683">
        <f t="shared" si="41"/>
        <v>12855494.405556003</v>
      </c>
      <c r="AF26" s="684">
        <f t="shared" si="42"/>
        <v>0.51239999999999997</v>
      </c>
      <c r="AG26" s="683">
        <f t="shared" si="43"/>
        <v>65726281.405556001</v>
      </c>
      <c r="AH26" s="447">
        <f t="shared" si="22"/>
        <v>4855</v>
      </c>
      <c r="AI26" s="683">
        <f>+'Table 3A Level 3'!O28</f>
        <v>2107917</v>
      </c>
      <c r="AJ26" s="447">
        <f t="shared" si="23"/>
        <v>155.71522493905593</v>
      </c>
      <c r="AK26" s="683">
        <f t="shared" si="44"/>
        <v>67834198.405555993</v>
      </c>
      <c r="AL26" s="447">
        <f t="shared" si="24"/>
        <v>5011.0215265979159</v>
      </c>
      <c r="AM26" s="685">
        <f>+'Table 3A Level 3'!P28</f>
        <v>11429224.460000001</v>
      </c>
      <c r="AN26" s="686">
        <f t="shared" si="25"/>
        <v>844.29522493905597</v>
      </c>
      <c r="AO26" s="683">
        <f t="shared" si="45"/>
        <v>77155505.865556002</v>
      </c>
      <c r="AP26" s="447">
        <f t="shared" si="26"/>
        <v>5699.6015265979167</v>
      </c>
      <c r="AQ26" s="684">
        <f t="shared" si="46"/>
        <v>0.62642536268061422</v>
      </c>
      <c r="AR26" s="687">
        <f t="shared" si="47"/>
        <v>39</v>
      </c>
      <c r="AS26" s="447">
        <f t="shared" si="48"/>
        <v>46012409.200000003</v>
      </c>
      <c r="AT26" s="447">
        <f t="shared" si="27"/>
        <v>3399.01</v>
      </c>
      <c r="AU26" s="687">
        <f t="shared" si="49"/>
        <v>33</v>
      </c>
      <c r="AV26" s="684">
        <f t="shared" si="50"/>
        <v>0.37357463731938584</v>
      </c>
      <c r="AW26" s="687">
        <f t="shared" si="51"/>
        <v>123167915.065556</v>
      </c>
      <c r="AX26" s="688">
        <f t="shared" si="28"/>
        <v>9098.6123266274662</v>
      </c>
      <c r="AY26" s="687">
        <f t="shared" si="52"/>
        <v>36</v>
      </c>
      <c r="AZ26" s="427"/>
    </row>
    <row r="27" spans="1:52" s="690" customFormat="1" ht="15.6" customHeight="1">
      <c r="A27" s="673">
        <v>24</v>
      </c>
      <c r="B27" s="674" t="s">
        <v>96</v>
      </c>
      <c r="C27" s="674">
        <f>+'Table 8 Membership 2.1.14'!W26</f>
        <v>4591</v>
      </c>
      <c r="D27" s="675">
        <f>+'[5]ALL- TABLE 3 '!AA29-'[5]ALL- TABLE 3 '!W29-'[5]ALL- TABLE 3 '!X29-'[5]ALL- TABLE 3 '!Y29-'[5]ALL- TABLE 3 '!Z29</f>
        <v>3871</v>
      </c>
      <c r="E27" s="675">
        <f t="shared" si="14"/>
        <v>852</v>
      </c>
      <c r="F27" s="675">
        <f>+'[6]MS6887_Total CTE T3 corrected'!M29</f>
        <v>868</v>
      </c>
      <c r="G27" s="675">
        <f t="shared" si="15"/>
        <v>52</v>
      </c>
      <c r="H27" s="675">
        <f>+'[7]MFP Funded SWD -Table 3'!W28</f>
        <v>437</v>
      </c>
      <c r="I27" s="675">
        <f t="shared" si="29"/>
        <v>656</v>
      </c>
      <c r="J27" s="675">
        <f>+'[7]MFP Funded GT -Table 3'!S28</f>
        <v>116</v>
      </c>
      <c r="K27" s="675">
        <f t="shared" si="30"/>
        <v>70</v>
      </c>
      <c r="L27" s="675">
        <f t="shared" si="16"/>
        <v>2909</v>
      </c>
      <c r="M27" s="677">
        <f t="shared" si="17"/>
        <v>7.757E-2</v>
      </c>
      <c r="N27" s="675">
        <f t="shared" si="18"/>
        <v>356</v>
      </c>
      <c r="O27" s="675">
        <f t="shared" si="31"/>
        <v>1986</v>
      </c>
      <c r="P27" s="675">
        <f t="shared" si="19"/>
        <v>6577</v>
      </c>
      <c r="Q27" s="678">
        <f t="shared" si="32"/>
        <v>3961</v>
      </c>
      <c r="R27" s="678">
        <f t="shared" si="20"/>
        <v>26051497</v>
      </c>
      <c r="S27" s="678">
        <f>'Table 6 (Local Deduct Calc.)'!J29</f>
        <v>16328576.5</v>
      </c>
      <c r="T27" s="678">
        <f t="shared" si="33"/>
        <v>16328576.5</v>
      </c>
      <c r="U27" s="679">
        <f t="shared" si="34"/>
        <v>9722920.5</v>
      </c>
      <c r="V27" s="680">
        <f t="shared" si="53"/>
        <v>0.37319999999999998</v>
      </c>
      <c r="W27" s="680">
        <f t="shared" si="35"/>
        <v>0.62680000000000002</v>
      </c>
      <c r="X27" s="681">
        <f t="shared" si="21"/>
        <v>3556.6492049662384</v>
      </c>
      <c r="Y27" s="678">
        <f>'Table 7 Local Revenue'!AQ30</f>
        <v>49669889.5</v>
      </c>
      <c r="Z27" s="678">
        <f t="shared" si="36"/>
        <v>33341313</v>
      </c>
      <c r="AA27" s="682">
        <f t="shared" si="37"/>
        <v>0</v>
      </c>
      <c r="AB27" s="447">
        <f t="shared" si="38"/>
        <v>8857508.9800000004</v>
      </c>
      <c r="AC27" s="447">
        <f t="shared" si="39"/>
        <v>8857508.9800000004</v>
      </c>
      <c r="AD27" s="678">
        <f t="shared" si="40"/>
        <v>9549245.0013020802</v>
      </c>
      <c r="AE27" s="683">
        <f t="shared" si="41"/>
        <v>0</v>
      </c>
      <c r="AF27" s="684">
        <f t="shared" si="42"/>
        <v>0</v>
      </c>
      <c r="AG27" s="683">
        <f t="shared" si="43"/>
        <v>9722920.5</v>
      </c>
      <c r="AH27" s="447">
        <f t="shared" si="22"/>
        <v>2118</v>
      </c>
      <c r="AI27" s="683">
        <f>+'Table 3A Level 3'!O29</f>
        <v>2267275</v>
      </c>
      <c r="AJ27" s="447">
        <f t="shared" si="23"/>
        <v>493.85210193857546</v>
      </c>
      <c r="AK27" s="683">
        <f t="shared" si="44"/>
        <v>11990195.5</v>
      </c>
      <c r="AL27" s="447">
        <f t="shared" si="24"/>
        <v>2611.6740361576999</v>
      </c>
      <c r="AM27" s="685">
        <f>+'Table 3A Level 3'!P29</f>
        <v>6189136.75</v>
      </c>
      <c r="AN27" s="686">
        <f t="shared" si="25"/>
        <v>1348.1021019385755</v>
      </c>
      <c r="AO27" s="683">
        <f t="shared" si="45"/>
        <v>15912057.25</v>
      </c>
      <c r="AP27" s="447">
        <f t="shared" si="26"/>
        <v>3465.9240361576999</v>
      </c>
      <c r="AQ27" s="684">
        <f t="shared" si="46"/>
        <v>0.3871721735587052</v>
      </c>
      <c r="AR27" s="687">
        <f t="shared" si="47"/>
        <v>63</v>
      </c>
      <c r="AS27" s="447">
        <f t="shared" si="48"/>
        <v>25186085.48</v>
      </c>
      <c r="AT27" s="447">
        <f t="shared" si="27"/>
        <v>5485.97</v>
      </c>
      <c r="AU27" s="687">
        <f t="shared" si="49"/>
        <v>6</v>
      </c>
      <c r="AV27" s="684">
        <f t="shared" si="50"/>
        <v>0.61282782644129474</v>
      </c>
      <c r="AW27" s="687">
        <f t="shared" si="51"/>
        <v>41098142.730000004</v>
      </c>
      <c r="AX27" s="688">
        <f t="shared" si="28"/>
        <v>8951.8934284469615</v>
      </c>
      <c r="AY27" s="687">
        <f t="shared" si="52"/>
        <v>43</v>
      </c>
      <c r="AZ27" s="427"/>
    </row>
    <row r="28" spans="1:52" s="708" customFormat="1" ht="15.6" customHeight="1">
      <c r="A28" s="691">
        <v>25</v>
      </c>
      <c r="B28" s="692" t="s">
        <v>97</v>
      </c>
      <c r="C28" s="692">
        <f>+'Table 8 Membership 2.1.14'!W27</f>
        <v>2287</v>
      </c>
      <c r="D28" s="693">
        <f>+'[5]ALL- TABLE 3 '!AA30-'[5]ALL- TABLE 3 '!W30-'[5]ALL- TABLE 3 '!X30-'[5]ALL- TABLE 3 '!Y30-'[5]ALL- TABLE 3 '!Z30</f>
        <v>1484</v>
      </c>
      <c r="E28" s="693">
        <f t="shared" si="14"/>
        <v>326</v>
      </c>
      <c r="F28" s="693">
        <f>+'[6]MS6887_Total CTE T3 corrected'!M30</f>
        <v>967</v>
      </c>
      <c r="G28" s="693">
        <f t="shared" si="15"/>
        <v>58</v>
      </c>
      <c r="H28" s="693">
        <f>+'[7]MFP Funded SWD -Table 3'!W29</f>
        <v>216</v>
      </c>
      <c r="I28" s="693">
        <f t="shared" si="29"/>
        <v>324</v>
      </c>
      <c r="J28" s="693">
        <f>+'[7]MFP Funded GT -Table 3'!S29</f>
        <v>83</v>
      </c>
      <c r="K28" s="693">
        <f t="shared" si="30"/>
        <v>50</v>
      </c>
      <c r="L28" s="693">
        <f t="shared" si="16"/>
        <v>5213</v>
      </c>
      <c r="M28" s="694">
        <f t="shared" si="17"/>
        <v>0.13900999999999999</v>
      </c>
      <c r="N28" s="693">
        <f t="shared" si="18"/>
        <v>318</v>
      </c>
      <c r="O28" s="693">
        <f t="shared" si="31"/>
        <v>1076</v>
      </c>
      <c r="P28" s="695">
        <f t="shared" si="19"/>
        <v>3363</v>
      </c>
      <c r="Q28" s="696">
        <f t="shared" si="32"/>
        <v>3961</v>
      </c>
      <c r="R28" s="696">
        <f t="shared" si="20"/>
        <v>13320843</v>
      </c>
      <c r="S28" s="696">
        <f>'Table 6 (Local Deduct Calc.)'!J30</f>
        <v>5465986</v>
      </c>
      <c r="T28" s="696">
        <f t="shared" si="33"/>
        <v>5465986</v>
      </c>
      <c r="U28" s="697">
        <f t="shared" si="34"/>
        <v>7854857</v>
      </c>
      <c r="V28" s="698">
        <f t="shared" si="53"/>
        <v>0.5897</v>
      </c>
      <c r="W28" s="699">
        <f t="shared" si="35"/>
        <v>0.4103</v>
      </c>
      <c r="X28" s="700">
        <f t="shared" si="21"/>
        <v>2390.0244862264976</v>
      </c>
      <c r="Y28" s="696">
        <f>'Table 7 Local Revenue'!AQ31</f>
        <v>11848929</v>
      </c>
      <c r="Z28" s="696">
        <f t="shared" si="36"/>
        <v>6382943</v>
      </c>
      <c r="AA28" s="701">
        <f t="shared" si="37"/>
        <v>0</v>
      </c>
      <c r="AB28" s="465">
        <f t="shared" si="38"/>
        <v>4529086.62</v>
      </c>
      <c r="AC28" s="465">
        <f t="shared" si="39"/>
        <v>4529086.62</v>
      </c>
      <c r="AD28" s="696">
        <f t="shared" si="40"/>
        <v>3196248.89311992</v>
      </c>
      <c r="AE28" s="702">
        <f t="shared" si="41"/>
        <v>1332837.7268800801</v>
      </c>
      <c r="AF28" s="703">
        <f t="shared" si="42"/>
        <v>0.29430000000000001</v>
      </c>
      <c r="AG28" s="702">
        <f t="shared" si="43"/>
        <v>9187694.726880081</v>
      </c>
      <c r="AH28" s="465">
        <f t="shared" si="22"/>
        <v>4017</v>
      </c>
      <c r="AI28" s="702">
        <f>+'Table 3A Level 3'!O30</f>
        <v>356121</v>
      </c>
      <c r="AJ28" s="465">
        <f t="shared" si="23"/>
        <v>155.71534761696546</v>
      </c>
      <c r="AK28" s="702">
        <f t="shared" si="44"/>
        <v>9543815.726880081</v>
      </c>
      <c r="AL28" s="465">
        <f t="shared" si="24"/>
        <v>4173.0720274945697</v>
      </c>
      <c r="AM28" s="704">
        <f>+'Table 3A Level 3'!P30</f>
        <v>1851201.51</v>
      </c>
      <c r="AN28" s="705">
        <f t="shared" si="25"/>
        <v>809.44534761696548</v>
      </c>
      <c r="AO28" s="702">
        <f t="shared" si="45"/>
        <v>11038896.236880081</v>
      </c>
      <c r="AP28" s="465">
        <f t="shared" si="26"/>
        <v>4826.8020274945693</v>
      </c>
      <c r="AQ28" s="703">
        <f t="shared" si="46"/>
        <v>0.52481280694058485</v>
      </c>
      <c r="AR28" s="706">
        <f t="shared" si="47"/>
        <v>53</v>
      </c>
      <c r="AS28" s="465">
        <f t="shared" si="48"/>
        <v>9995072.6199999992</v>
      </c>
      <c r="AT28" s="465">
        <f t="shared" si="27"/>
        <v>4370.3900000000003</v>
      </c>
      <c r="AU28" s="706">
        <f t="shared" si="49"/>
        <v>17</v>
      </c>
      <c r="AV28" s="703">
        <f t="shared" si="50"/>
        <v>0.47518719305941509</v>
      </c>
      <c r="AW28" s="706">
        <f t="shared" si="51"/>
        <v>21033968.85688008</v>
      </c>
      <c r="AX28" s="707">
        <f t="shared" si="28"/>
        <v>9197.1879566594143</v>
      </c>
      <c r="AY28" s="706">
        <f t="shared" si="52"/>
        <v>30</v>
      </c>
      <c r="AZ28" s="427"/>
    </row>
    <row r="29" spans="1:52" s="690" customFormat="1" ht="15.6" customHeight="1">
      <c r="A29" s="673">
        <v>26</v>
      </c>
      <c r="B29" s="674" t="s">
        <v>98</v>
      </c>
      <c r="C29" s="675">
        <f>+'Table 8 Membership 2.1.14'!W28</f>
        <v>45429</v>
      </c>
      <c r="D29" s="675">
        <f>+'[5]ALL- TABLE 3 '!AA31-'[5]ALL- TABLE 3 '!W31-'[5]ALL- TABLE 3 '!X31-'[5]ALL- TABLE 3 '!Y31-'[5]ALL- TABLE 3 '!Z31</f>
        <v>35596</v>
      </c>
      <c r="E29" s="675">
        <f t="shared" si="14"/>
        <v>7831</v>
      </c>
      <c r="F29" s="675">
        <f>+'[6]MS6887_Total CTE T3 corrected'!M31</f>
        <v>10993.5</v>
      </c>
      <c r="G29" s="675">
        <f t="shared" si="15"/>
        <v>660</v>
      </c>
      <c r="H29" s="675">
        <f>+'[7]MFP Funded SWD -Table 3'!W30</f>
        <v>5569</v>
      </c>
      <c r="I29" s="675">
        <f t="shared" si="29"/>
        <v>8354</v>
      </c>
      <c r="J29" s="675">
        <f>+'[7]MFP Funded GT -Table 3'!S30</f>
        <v>3484</v>
      </c>
      <c r="K29" s="675">
        <f t="shared" si="30"/>
        <v>2090</v>
      </c>
      <c r="L29" s="676">
        <f t="shared" si="16"/>
        <v>0</v>
      </c>
      <c r="M29" s="677">
        <f t="shared" si="17"/>
        <v>0</v>
      </c>
      <c r="N29" s="675">
        <f t="shared" si="18"/>
        <v>0</v>
      </c>
      <c r="O29" s="675">
        <f t="shared" si="31"/>
        <v>18935</v>
      </c>
      <c r="P29" s="675">
        <f t="shared" si="19"/>
        <v>64364</v>
      </c>
      <c r="Q29" s="678">
        <f t="shared" si="32"/>
        <v>3961</v>
      </c>
      <c r="R29" s="678">
        <f t="shared" si="20"/>
        <v>254945804</v>
      </c>
      <c r="S29" s="678">
        <f>'Table 6 (Local Deduct Calc.)'!J31</f>
        <v>130736775.5</v>
      </c>
      <c r="T29" s="678">
        <f t="shared" si="33"/>
        <v>130736775.5</v>
      </c>
      <c r="U29" s="679">
        <f t="shared" si="34"/>
        <v>124209028.5</v>
      </c>
      <c r="V29" s="680">
        <f t="shared" si="53"/>
        <v>0.48720000000000002</v>
      </c>
      <c r="W29" s="680">
        <f t="shared" si="35"/>
        <v>0.51280000000000003</v>
      </c>
      <c r="X29" s="681">
        <f t="shared" si="21"/>
        <v>2877.8263994364834</v>
      </c>
      <c r="Y29" s="678">
        <f>'Table 7 Local Revenue'!AQ32</f>
        <v>259626060.5</v>
      </c>
      <c r="Z29" s="678">
        <f t="shared" si="36"/>
        <v>128889285</v>
      </c>
      <c r="AA29" s="682">
        <f t="shared" si="37"/>
        <v>0</v>
      </c>
      <c r="AB29" s="447">
        <f t="shared" si="38"/>
        <v>86681573.359999999</v>
      </c>
      <c r="AC29" s="447">
        <f t="shared" si="39"/>
        <v>86681573.359999999</v>
      </c>
      <c r="AD29" s="678">
        <f t="shared" si="40"/>
        <v>76454534.608693764</v>
      </c>
      <c r="AE29" s="683">
        <f t="shared" si="41"/>
        <v>10227038.751306236</v>
      </c>
      <c r="AF29" s="684">
        <f t="shared" si="42"/>
        <v>0.11799999999999999</v>
      </c>
      <c r="AG29" s="683">
        <f t="shared" si="43"/>
        <v>134436067.25130624</v>
      </c>
      <c r="AH29" s="447">
        <f t="shared" si="22"/>
        <v>2959</v>
      </c>
      <c r="AI29" s="683">
        <f>+'Table 3A Level 3'!O31</f>
        <v>21138496</v>
      </c>
      <c r="AJ29" s="447">
        <f t="shared" si="23"/>
        <v>465.30841532941514</v>
      </c>
      <c r="AK29" s="683">
        <f t="shared" si="44"/>
        <v>155574563.25130624</v>
      </c>
      <c r="AL29" s="447">
        <f t="shared" si="24"/>
        <v>3424.5649970570835</v>
      </c>
      <c r="AM29" s="685">
        <f>+'Table 3A Level 3'!P31</f>
        <v>59154846.07</v>
      </c>
      <c r="AN29" s="686">
        <f t="shared" si="25"/>
        <v>1302.1384153294152</v>
      </c>
      <c r="AO29" s="683">
        <f t="shared" si="45"/>
        <v>193590913.32130623</v>
      </c>
      <c r="AP29" s="447">
        <f t="shared" si="26"/>
        <v>4261.3949970570829</v>
      </c>
      <c r="AQ29" s="684">
        <f t="shared" si="46"/>
        <v>0.47101350537426218</v>
      </c>
      <c r="AR29" s="687">
        <f t="shared" si="47"/>
        <v>58</v>
      </c>
      <c r="AS29" s="447">
        <f t="shared" si="48"/>
        <v>217418348.86000001</v>
      </c>
      <c r="AT29" s="447">
        <f t="shared" si="27"/>
        <v>4785.8900000000003</v>
      </c>
      <c r="AU29" s="687">
        <f t="shared" si="49"/>
        <v>11</v>
      </c>
      <c r="AV29" s="684">
        <f t="shared" si="50"/>
        <v>0.52898649462573777</v>
      </c>
      <c r="AW29" s="687">
        <f t="shared" si="51"/>
        <v>411009262.18130624</v>
      </c>
      <c r="AX29" s="688">
        <f t="shared" si="28"/>
        <v>9047.2883440380865</v>
      </c>
      <c r="AY29" s="687">
        <f t="shared" si="52"/>
        <v>37</v>
      </c>
      <c r="AZ29" s="427"/>
    </row>
    <row r="30" spans="1:52" s="690" customFormat="1" ht="15.6" customHeight="1">
      <c r="A30" s="673">
        <v>27</v>
      </c>
      <c r="B30" s="674" t="s">
        <v>99</v>
      </c>
      <c r="C30" s="674">
        <f>+'Table 8 Membership 2.1.14'!W29</f>
        <v>5637</v>
      </c>
      <c r="D30" s="675">
        <f>+'[5]ALL- TABLE 3 '!AA32-'[5]ALL- TABLE 3 '!W32-'[5]ALL- TABLE 3 '!X32-'[5]ALL- TABLE 3 '!Y32-'[5]ALL- TABLE 3 '!Z32</f>
        <v>3334</v>
      </c>
      <c r="E30" s="675">
        <f t="shared" si="14"/>
        <v>733</v>
      </c>
      <c r="F30" s="675">
        <f>+'[6]MS6887_Total CTE T3 corrected'!M32</f>
        <v>2366</v>
      </c>
      <c r="G30" s="675">
        <f t="shared" si="15"/>
        <v>142</v>
      </c>
      <c r="H30" s="675">
        <f>+'[7]MFP Funded SWD -Table 3'!W31</f>
        <v>787</v>
      </c>
      <c r="I30" s="675">
        <f t="shared" si="29"/>
        <v>1181</v>
      </c>
      <c r="J30" s="675">
        <f>+'[7]MFP Funded GT -Table 3'!S31</f>
        <v>146</v>
      </c>
      <c r="K30" s="675">
        <f t="shared" si="30"/>
        <v>88</v>
      </c>
      <c r="L30" s="675">
        <f t="shared" si="16"/>
        <v>1863</v>
      </c>
      <c r="M30" s="677">
        <f t="shared" si="17"/>
        <v>4.9680000000000002E-2</v>
      </c>
      <c r="N30" s="675">
        <f t="shared" si="18"/>
        <v>280</v>
      </c>
      <c r="O30" s="675">
        <f t="shared" si="31"/>
        <v>2424</v>
      </c>
      <c r="P30" s="675">
        <f t="shared" si="19"/>
        <v>8061</v>
      </c>
      <c r="Q30" s="678">
        <f t="shared" si="32"/>
        <v>3961</v>
      </c>
      <c r="R30" s="678">
        <f t="shared" si="20"/>
        <v>31929621</v>
      </c>
      <c r="S30" s="678">
        <f>'Table 6 (Local Deduct Calc.)'!J32</f>
        <v>6904248</v>
      </c>
      <c r="T30" s="678">
        <f t="shared" si="33"/>
        <v>6904248</v>
      </c>
      <c r="U30" s="679">
        <f t="shared" si="34"/>
        <v>25025373</v>
      </c>
      <c r="V30" s="680">
        <f t="shared" si="53"/>
        <v>0.78380000000000005</v>
      </c>
      <c r="W30" s="680">
        <f t="shared" si="35"/>
        <v>0.2162</v>
      </c>
      <c r="X30" s="681">
        <f t="shared" si="21"/>
        <v>1224.8089409260244</v>
      </c>
      <c r="Y30" s="678">
        <f>'Table 7 Local Revenue'!AQ33</f>
        <v>18981923</v>
      </c>
      <c r="Z30" s="678">
        <f t="shared" si="36"/>
        <v>12077675</v>
      </c>
      <c r="AA30" s="682">
        <f t="shared" si="37"/>
        <v>0</v>
      </c>
      <c r="AB30" s="447">
        <f t="shared" si="38"/>
        <v>10856071.140000001</v>
      </c>
      <c r="AC30" s="447">
        <f t="shared" si="39"/>
        <v>10856071.140000001</v>
      </c>
      <c r="AD30" s="678">
        <f t="shared" si="40"/>
        <v>4036982.0384049597</v>
      </c>
      <c r="AE30" s="683">
        <f t="shared" si="41"/>
        <v>6819089.1015950404</v>
      </c>
      <c r="AF30" s="684">
        <f t="shared" si="42"/>
        <v>0.62809999999999999</v>
      </c>
      <c r="AG30" s="683">
        <f t="shared" si="43"/>
        <v>31844462.10159504</v>
      </c>
      <c r="AH30" s="447">
        <f t="shared" si="22"/>
        <v>5649</v>
      </c>
      <c r="AI30" s="683">
        <f>+'Table 3A Level 3'!O32</f>
        <v>877767</v>
      </c>
      <c r="AJ30" s="447">
        <f t="shared" si="23"/>
        <v>155.71527408195848</v>
      </c>
      <c r="AK30" s="683">
        <f t="shared" si="44"/>
        <v>32722229.10159504</v>
      </c>
      <c r="AL30" s="447">
        <f t="shared" si="24"/>
        <v>5804.9013839977006</v>
      </c>
      <c r="AM30" s="685">
        <f>+'Table 3A Level 3'!P32</f>
        <v>4784546.22</v>
      </c>
      <c r="AN30" s="686">
        <f t="shared" si="25"/>
        <v>848.7752740819584</v>
      </c>
      <c r="AO30" s="683">
        <f t="shared" si="45"/>
        <v>36629008.321595043</v>
      </c>
      <c r="AP30" s="447">
        <f t="shared" si="26"/>
        <v>6497.961383997701</v>
      </c>
      <c r="AQ30" s="684">
        <f t="shared" si="46"/>
        <v>0.6734594824225254</v>
      </c>
      <c r="AR30" s="687">
        <f t="shared" si="47"/>
        <v>26</v>
      </c>
      <c r="AS30" s="447">
        <f t="shared" si="48"/>
        <v>17760319.140000001</v>
      </c>
      <c r="AT30" s="447">
        <f t="shared" si="27"/>
        <v>3150.67</v>
      </c>
      <c r="AU30" s="687">
        <f t="shared" si="49"/>
        <v>45</v>
      </c>
      <c r="AV30" s="684">
        <f t="shared" si="50"/>
        <v>0.32654051757747465</v>
      </c>
      <c r="AW30" s="687">
        <f t="shared" si="51"/>
        <v>54389327.461595044</v>
      </c>
      <c r="AX30" s="688">
        <f t="shared" si="28"/>
        <v>9648.630026892859</v>
      </c>
      <c r="AY30" s="687">
        <f t="shared" si="52"/>
        <v>15</v>
      </c>
      <c r="AZ30" s="427"/>
    </row>
    <row r="31" spans="1:52" s="690" customFormat="1" ht="15.6" customHeight="1">
      <c r="A31" s="673">
        <v>28</v>
      </c>
      <c r="B31" s="674" t="s">
        <v>100</v>
      </c>
      <c r="C31" s="674">
        <f>+'Table 8 Membership 2.1.14'!W30</f>
        <v>30205</v>
      </c>
      <c r="D31" s="675">
        <f>+'[5]ALL- TABLE 3 '!AA33-'[5]ALL- TABLE 3 '!W33-'[5]ALL- TABLE 3 '!X33-'[5]ALL- TABLE 3 '!Y33-'[5]ALL- TABLE 3 '!Z33</f>
        <v>18524</v>
      </c>
      <c r="E31" s="675">
        <f t="shared" si="14"/>
        <v>4075</v>
      </c>
      <c r="F31" s="675">
        <f>+'[6]MS6887_Total CTE T3 corrected'!M33</f>
        <v>7590</v>
      </c>
      <c r="G31" s="675">
        <f t="shared" si="15"/>
        <v>455</v>
      </c>
      <c r="H31" s="675">
        <f>+'[7]MFP Funded SWD -Table 3'!W32</f>
        <v>2704</v>
      </c>
      <c r="I31" s="675">
        <f t="shared" si="29"/>
        <v>4056</v>
      </c>
      <c r="J31" s="675">
        <f>+'[7]MFP Funded GT -Table 3'!S32</f>
        <v>1371</v>
      </c>
      <c r="K31" s="675">
        <f t="shared" si="30"/>
        <v>823</v>
      </c>
      <c r="L31" s="675">
        <f t="shared" si="16"/>
        <v>0</v>
      </c>
      <c r="M31" s="677">
        <f t="shared" si="17"/>
        <v>0</v>
      </c>
      <c r="N31" s="675">
        <f t="shared" si="18"/>
        <v>0</v>
      </c>
      <c r="O31" s="675">
        <f t="shared" si="31"/>
        <v>9409</v>
      </c>
      <c r="P31" s="675">
        <f t="shared" si="19"/>
        <v>39614</v>
      </c>
      <c r="Q31" s="678">
        <f t="shared" si="32"/>
        <v>3961</v>
      </c>
      <c r="R31" s="678">
        <f t="shared" si="20"/>
        <v>156911054</v>
      </c>
      <c r="S31" s="678">
        <f>'Table 6 (Local Deduct Calc.)'!J33</f>
        <v>77103278</v>
      </c>
      <c r="T31" s="678">
        <f t="shared" si="33"/>
        <v>77103278</v>
      </c>
      <c r="U31" s="679">
        <f t="shared" si="34"/>
        <v>79807776</v>
      </c>
      <c r="V31" s="680">
        <f t="shared" si="53"/>
        <v>0.50860000000000005</v>
      </c>
      <c r="W31" s="680">
        <f t="shared" si="35"/>
        <v>0.4914</v>
      </c>
      <c r="X31" s="681">
        <f t="shared" si="21"/>
        <v>2552.6660486674391</v>
      </c>
      <c r="Y31" s="678">
        <f>'Table 7 Local Revenue'!AQ34</f>
        <v>173311976</v>
      </c>
      <c r="Z31" s="678">
        <f t="shared" si="36"/>
        <v>96208698</v>
      </c>
      <c r="AA31" s="682">
        <f t="shared" si="37"/>
        <v>0</v>
      </c>
      <c r="AB31" s="447">
        <f t="shared" si="38"/>
        <v>53349758.360000007</v>
      </c>
      <c r="AC31" s="447">
        <f t="shared" si="39"/>
        <v>53349758.360000007</v>
      </c>
      <c r="AD31" s="678">
        <f t="shared" si="40"/>
        <v>45091642.563938886</v>
      </c>
      <c r="AE31" s="683">
        <f t="shared" si="41"/>
        <v>8258115.7960611209</v>
      </c>
      <c r="AF31" s="684">
        <f t="shared" si="42"/>
        <v>0.15479999999999999</v>
      </c>
      <c r="AG31" s="683">
        <f t="shared" si="43"/>
        <v>88065891.796061128</v>
      </c>
      <c r="AH31" s="447">
        <f t="shared" si="22"/>
        <v>2916</v>
      </c>
      <c r="AI31" s="683">
        <f>+'Table 3A Level 3'!O33</f>
        <v>6699755</v>
      </c>
      <c r="AJ31" s="447">
        <f t="shared" si="23"/>
        <v>221.80946863102136</v>
      </c>
      <c r="AK31" s="683">
        <f t="shared" si="44"/>
        <v>94765646.796061128</v>
      </c>
      <c r="AL31" s="447">
        <f t="shared" si="24"/>
        <v>3137.4158846568821</v>
      </c>
      <c r="AM31" s="685">
        <f>+'Table 3A Level 3'!P33</f>
        <v>27674107</v>
      </c>
      <c r="AN31" s="686">
        <f t="shared" si="25"/>
        <v>916.20946863102131</v>
      </c>
      <c r="AO31" s="683">
        <f t="shared" si="45"/>
        <v>115739998.79606113</v>
      </c>
      <c r="AP31" s="447">
        <f t="shared" si="26"/>
        <v>3831.8158846568822</v>
      </c>
      <c r="AQ31" s="684">
        <f t="shared" si="46"/>
        <v>0.47011889967843262</v>
      </c>
      <c r="AR31" s="687">
        <f t="shared" si="47"/>
        <v>59</v>
      </c>
      <c r="AS31" s="447">
        <f t="shared" si="48"/>
        <v>130453036.36</v>
      </c>
      <c r="AT31" s="447">
        <f t="shared" si="27"/>
        <v>4318.92</v>
      </c>
      <c r="AU31" s="687">
        <f t="shared" si="49"/>
        <v>18</v>
      </c>
      <c r="AV31" s="684">
        <f t="shared" si="50"/>
        <v>0.52988110032156743</v>
      </c>
      <c r="AW31" s="687">
        <f t="shared" si="51"/>
        <v>246193035.15606111</v>
      </c>
      <c r="AX31" s="688">
        <f t="shared" si="28"/>
        <v>8150.7377969230629</v>
      </c>
      <c r="AY31" s="687">
        <f t="shared" si="52"/>
        <v>65</v>
      </c>
      <c r="AZ31" s="427"/>
    </row>
    <row r="32" spans="1:52" s="690" customFormat="1" ht="15.6" customHeight="1">
      <c r="A32" s="673">
        <v>29</v>
      </c>
      <c r="B32" s="674" t="s">
        <v>101</v>
      </c>
      <c r="C32" s="674">
        <f>+'Table 8 Membership 2.1.14'!W31</f>
        <v>13838</v>
      </c>
      <c r="D32" s="675">
        <f>+'[5]ALL- TABLE 3 '!AA34-'[5]ALL- TABLE 3 '!W34-'[5]ALL- TABLE 3 '!X34-'[5]ALL- TABLE 3 '!Y34-'[5]ALL- TABLE 3 '!Z34</f>
        <v>8406</v>
      </c>
      <c r="E32" s="675">
        <f t="shared" si="14"/>
        <v>1849</v>
      </c>
      <c r="F32" s="675">
        <f>+'[6]MS6887_Total CTE T3 corrected'!M34</f>
        <v>5273.5</v>
      </c>
      <c r="G32" s="675">
        <f t="shared" si="15"/>
        <v>316</v>
      </c>
      <c r="H32" s="675">
        <f>+'[7]MFP Funded SWD -Table 3'!W33</f>
        <v>1092</v>
      </c>
      <c r="I32" s="675">
        <f t="shared" si="29"/>
        <v>1638</v>
      </c>
      <c r="J32" s="675">
        <f>+'[7]MFP Funded GT -Table 3'!S33</f>
        <v>215</v>
      </c>
      <c r="K32" s="675">
        <f t="shared" si="30"/>
        <v>129</v>
      </c>
      <c r="L32" s="675">
        <f t="shared" si="16"/>
        <v>0</v>
      </c>
      <c r="M32" s="677">
        <f t="shared" si="17"/>
        <v>0</v>
      </c>
      <c r="N32" s="675">
        <f t="shared" si="18"/>
        <v>0</v>
      </c>
      <c r="O32" s="675">
        <f t="shared" si="31"/>
        <v>3932</v>
      </c>
      <c r="P32" s="675">
        <f t="shared" si="19"/>
        <v>17770</v>
      </c>
      <c r="Q32" s="678">
        <f t="shared" si="32"/>
        <v>3961</v>
      </c>
      <c r="R32" s="678">
        <f t="shared" si="20"/>
        <v>70386970</v>
      </c>
      <c r="S32" s="678">
        <f>'Table 6 (Local Deduct Calc.)'!J34</f>
        <v>27353404.5</v>
      </c>
      <c r="T32" s="678">
        <f t="shared" si="33"/>
        <v>27353404.5</v>
      </c>
      <c r="U32" s="679">
        <f t="shared" si="34"/>
        <v>43033565.5</v>
      </c>
      <c r="V32" s="680">
        <f t="shared" si="53"/>
        <v>0.61140000000000005</v>
      </c>
      <c r="W32" s="680">
        <f t="shared" si="35"/>
        <v>0.3886</v>
      </c>
      <c r="X32" s="681">
        <f t="shared" si="21"/>
        <v>1976.6877077612371</v>
      </c>
      <c r="Y32" s="678">
        <f>'Table 7 Local Revenue'!AQ35</f>
        <v>67402531.5</v>
      </c>
      <c r="Z32" s="678">
        <f t="shared" si="36"/>
        <v>40049127</v>
      </c>
      <c r="AA32" s="682">
        <f t="shared" si="37"/>
        <v>0</v>
      </c>
      <c r="AB32" s="447">
        <f t="shared" si="38"/>
        <v>23931569.800000001</v>
      </c>
      <c r="AC32" s="447">
        <f t="shared" si="39"/>
        <v>23931569.800000001</v>
      </c>
      <c r="AD32" s="678">
        <f t="shared" si="40"/>
        <v>15995669.801761599</v>
      </c>
      <c r="AE32" s="683">
        <f t="shared" si="41"/>
        <v>7935899.9982384015</v>
      </c>
      <c r="AF32" s="684">
        <f t="shared" si="42"/>
        <v>0.33160000000000001</v>
      </c>
      <c r="AG32" s="683">
        <f t="shared" si="43"/>
        <v>50969465.4982384</v>
      </c>
      <c r="AH32" s="447">
        <f t="shared" si="22"/>
        <v>3683</v>
      </c>
      <c r="AI32" s="683">
        <f>+'Table 3A Level 3'!O34</f>
        <v>2154787</v>
      </c>
      <c r="AJ32" s="447">
        <f t="shared" si="23"/>
        <v>155.71520450932215</v>
      </c>
      <c r="AK32" s="683">
        <f t="shared" si="44"/>
        <v>53124252.4982384</v>
      </c>
      <c r="AL32" s="447">
        <f t="shared" si="24"/>
        <v>3839.0123210173724</v>
      </c>
      <c r="AM32" s="685">
        <f>+'Table 3A Level 3'!P34</f>
        <v>12601785.1</v>
      </c>
      <c r="AN32" s="686">
        <f t="shared" si="25"/>
        <v>910.66520450932217</v>
      </c>
      <c r="AO32" s="683">
        <f t="shared" si="45"/>
        <v>63571250.598238401</v>
      </c>
      <c r="AP32" s="447">
        <f t="shared" si="26"/>
        <v>4593.9623210173722</v>
      </c>
      <c r="AQ32" s="684">
        <f t="shared" si="46"/>
        <v>0.55348546110201668</v>
      </c>
      <c r="AR32" s="687">
        <f t="shared" si="47"/>
        <v>51</v>
      </c>
      <c r="AS32" s="447">
        <f t="shared" si="48"/>
        <v>51284974.299999997</v>
      </c>
      <c r="AT32" s="447">
        <f t="shared" si="27"/>
        <v>3706.1</v>
      </c>
      <c r="AU32" s="687">
        <f t="shared" si="49"/>
        <v>24</v>
      </c>
      <c r="AV32" s="684">
        <f t="shared" si="50"/>
        <v>0.44651453889798343</v>
      </c>
      <c r="AW32" s="687">
        <f t="shared" si="51"/>
        <v>114856224.89823839</v>
      </c>
      <c r="AX32" s="688">
        <f t="shared" si="28"/>
        <v>8300.0596110881906</v>
      </c>
      <c r="AY32" s="687">
        <f t="shared" si="52"/>
        <v>62</v>
      </c>
      <c r="AZ32" s="427"/>
    </row>
    <row r="33" spans="1:52" s="708" customFormat="1" ht="15.6" customHeight="1">
      <c r="A33" s="691">
        <v>30</v>
      </c>
      <c r="B33" s="692" t="s">
        <v>102</v>
      </c>
      <c r="C33" s="692">
        <f>+'Table 8 Membership 2.1.14'!W32</f>
        <v>2468</v>
      </c>
      <c r="D33" s="693">
        <f>+'[5]ALL- TABLE 3 '!AA35-'[5]ALL- TABLE 3 '!W35-'[5]ALL- TABLE 3 '!X35-'[5]ALL- TABLE 3 '!Y35-'[5]ALL- TABLE 3 '!Z35</f>
        <v>1405</v>
      </c>
      <c r="E33" s="693">
        <f t="shared" si="14"/>
        <v>309</v>
      </c>
      <c r="F33" s="693">
        <f>+'[6]MS6887_Total CTE T3 corrected'!M35</f>
        <v>963</v>
      </c>
      <c r="G33" s="693">
        <f t="shared" si="15"/>
        <v>58</v>
      </c>
      <c r="H33" s="693">
        <f>+'[7]MFP Funded SWD -Table 3'!W34</f>
        <v>228</v>
      </c>
      <c r="I33" s="693">
        <f t="shared" si="29"/>
        <v>342</v>
      </c>
      <c r="J33" s="693">
        <f>+'[7]MFP Funded GT -Table 3'!S34</f>
        <v>37</v>
      </c>
      <c r="K33" s="693">
        <f t="shared" si="30"/>
        <v>22</v>
      </c>
      <c r="L33" s="693">
        <f t="shared" si="16"/>
        <v>5032</v>
      </c>
      <c r="M33" s="694">
        <f t="shared" si="17"/>
        <v>0.13419</v>
      </c>
      <c r="N33" s="693">
        <f t="shared" si="18"/>
        <v>331</v>
      </c>
      <c r="O33" s="693">
        <f t="shared" si="31"/>
        <v>1062</v>
      </c>
      <c r="P33" s="695">
        <f t="shared" si="19"/>
        <v>3530</v>
      </c>
      <c r="Q33" s="696">
        <f t="shared" si="32"/>
        <v>3961</v>
      </c>
      <c r="R33" s="696">
        <f t="shared" si="20"/>
        <v>13982330</v>
      </c>
      <c r="S33" s="696">
        <f>'Table 6 (Local Deduct Calc.)'!J35</f>
        <v>3025566.5</v>
      </c>
      <c r="T33" s="696">
        <f t="shared" si="33"/>
        <v>3025566.5</v>
      </c>
      <c r="U33" s="697">
        <f t="shared" si="34"/>
        <v>10956763.5</v>
      </c>
      <c r="V33" s="698">
        <f t="shared" si="53"/>
        <v>0.78359999999999996</v>
      </c>
      <c r="W33" s="699">
        <f t="shared" si="35"/>
        <v>0.21640000000000001</v>
      </c>
      <c r="X33" s="700">
        <f t="shared" si="21"/>
        <v>1225.9183549432739</v>
      </c>
      <c r="Y33" s="696">
        <f>'Table 7 Local Revenue'!AQ36</f>
        <v>10727207.5</v>
      </c>
      <c r="Z33" s="696">
        <f t="shared" si="36"/>
        <v>7701641</v>
      </c>
      <c r="AA33" s="701">
        <f t="shared" si="37"/>
        <v>0</v>
      </c>
      <c r="AB33" s="465">
        <f t="shared" si="38"/>
        <v>4753992.2</v>
      </c>
      <c r="AC33" s="465">
        <f t="shared" si="39"/>
        <v>4753992.2</v>
      </c>
      <c r="AD33" s="696">
        <f t="shared" si="40"/>
        <v>1769473.9287775999</v>
      </c>
      <c r="AE33" s="702">
        <f t="shared" si="41"/>
        <v>2984518.2712224005</v>
      </c>
      <c r="AF33" s="703">
        <f t="shared" si="42"/>
        <v>0.62780000000000002</v>
      </c>
      <c r="AG33" s="702">
        <f t="shared" si="43"/>
        <v>13941281.771222401</v>
      </c>
      <c r="AH33" s="465">
        <f t="shared" si="22"/>
        <v>5649</v>
      </c>
      <c r="AI33" s="702">
        <f>+'Table 3A Level 3'!O35</f>
        <v>384305</v>
      </c>
      <c r="AJ33" s="465">
        <f t="shared" si="23"/>
        <v>155.71515397082658</v>
      </c>
      <c r="AK33" s="702">
        <f t="shared" si="44"/>
        <v>14325586.771222401</v>
      </c>
      <c r="AL33" s="465">
        <f t="shared" si="24"/>
        <v>5804.5327273996763</v>
      </c>
      <c r="AM33" s="704">
        <f>+'Table 3A Level 3'!P35</f>
        <v>2178960.5599999996</v>
      </c>
      <c r="AN33" s="705">
        <f t="shared" si="25"/>
        <v>882.88515397082642</v>
      </c>
      <c r="AO33" s="702">
        <f t="shared" si="45"/>
        <v>16120242.3312224</v>
      </c>
      <c r="AP33" s="465">
        <f t="shared" si="26"/>
        <v>6531.7027273996755</v>
      </c>
      <c r="AQ33" s="703">
        <f t="shared" si="46"/>
        <v>0.67449274201752218</v>
      </c>
      <c r="AR33" s="706">
        <f t="shared" si="47"/>
        <v>25</v>
      </c>
      <c r="AS33" s="465">
        <f t="shared" si="48"/>
        <v>7779558.7000000002</v>
      </c>
      <c r="AT33" s="465">
        <f t="shared" si="27"/>
        <v>3152.17</v>
      </c>
      <c r="AU33" s="706">
        <f t="shared" si="49"/>
        <v>44</v>
      </c>
      <c r="AV33" s="703">
        <f t="shared" si="50"/>
        <v>0.32550725798247787</v>
      </c>
      <c r="AW33" s="706">
        <f t="shared" si="51"/>
        <v>23899801.031222399</v>
      </c>
      <c r="AX33" s="707">
        <f t="shared" si="28"/>
        <v>9683.8739996849272</v>
      </c>
      <c r="AY33" s="706">
        <f t="shared" si="52"/>
        <v>14</v>
      </c>
      <c r="AZ33" s="427"/>
    </row>
    <row r="34" spans="1:52" s="690" customFormat="1" ht="15.6" customHeight="1">
      <c r="A34" s="673">
        <v>31</v>
      </c>
      <c r="B34" s="674" t="s">
        <v>103</v>
      </c>
      <c r="C34" s="675">
        <f>+'Table 8 Membership 2.1.14'!W33</f>
        <v>6374</v>
      </c>
      <c r="D34" s="675">
        <f>+'[5]ALL- TABLE 3 '!AA36-'[5]ALL- TABLE 3 '!W36-'[5]ALL- TABLE 3 '!X36-'[5]ALL- TABLE 3 '!Y36-'[5]ALL- TABLE 3 '!Z36</f>
        <v>3954</v>
      </c>
      <c r="E34" s="675">
        <f t="shared" si="14"/>
        <v>870</v>
      </c>
      <c r="F34" s="675">
        <f>+'[6]MS6887_Total CTE T3 corrected'!M36</f>
        <v>2540.5</v>
      </c>
      <c r="G34" s="675">
        <f t="shared" si="15"/>
        <v>152</v>
      </c>
      <c r="H34" s="675">
        <f>+'[7]MFP Funded SWD -Table 3'!W35</f>
        <v>772</v>
      </c>
      <c r="I34" s="675">
        <f t="shared" si="29"/>
        <v>1158</v>
      </c>
      <c r="J34" s="675">
        <f>+'[7]MFP Funded GT -Table 3'!S35</f>
        <v>342</v>
      </c>
      <c r="K34" s="675">
        <f t="shared" si="30"/>
        <v>205</v>
      </c>
      <c r="L34" s="676">
        <f t="shared" si="16"/>
        <v>1126</v>
      </c>
      <c r="M34" s="677">
        <f t="shared" si="17"/>
        <v>3.0030000000000001E-2</v>
      </c>
      <c r="N34" s="675">
        <f t="shared" si="18"/>
        <v>191</v>
      </c>
      <c r="O34" s="675">
        <f t="shared" si="31"/>
        <v>2576</v>
      </c>
      <c r="P34" s="675">
        <f t="shared" si="19"/>
        <v>8950</v>
      </c>
      <c r="Q34" s="678">
        <f t="shared" si="32"/>
        <v>3961</v>
      </c>
      <c r="R34" s="678">
        <f t="shared" si="20"/>
        <v>35450950</v>
      </c>
      <c r="S34" s="678">
        <f>'Table 6 (Local Deduct Calc.)'!J36</f>
        <v>12420065</v>
      </c>
      <c r="T34" s="678">
        <f t="shared" si="33"/>
        <v>12420065</v>
      </c>
      <c r="U34" s="679">
        <f t="shared" si="34"/>
        <v>23030885</v>
      </c>
      <c r="V34" s="680">
        <f t="shared" si="53"/>
        <v>0.64970000000000006</v>
      </c>
      <c r="W34" s="680">
        <f t="shared" si="35"/>
        <v>0.3503</v>
      </c>
      <c r="X34" s="681">
        <f t="shared" si="21"/>
        <v>1948.5511452776907</v>
      </c>
      <c r="Y34" s="678">
        <f>'Table 7 Local Revenue'!AQ37</f>
        <v>32088966</v>
      </c>
      <c r="Z34" s="678">
        <f t="shared" si="36"/>
        <v>19668901</v>
      </c>
      <c r="AA34" s="682">
        <f t="shared" si="37"/>
        <v>0</v>
      </c>
      <c r="AB34" s="447">
        <f t="shared" si="38"/>
        <v>12053323</v>
      </c>
      <c r="AC34" s="447">
        <f t="shared" si="39"/>
        <v>12053323</v>
      </c>
      <c r="AD34" s="678">
        <f t="shared" si="40"/>
        <v>7262319.9606679995</v>
      </c>
      <c r="AE34" s="683">
        <f t="shared" si="41"/>
        <v>4791003.0393320005</v>
      </c>
      <c r="AF34" s="684">
        <f t="shared" si="42"/>
        <v>0.39750000000000002</v>
      </c>
      <c r="AG34" s="683">
        <f t="shared" si="43"/>
        <v>27821888.039332002</v>
      </c>
      <c r="AH34" s="447">
        <f t="shared" si="22"/>
        <v>4365</v>
      </c>
      <c r="AI34" s="683">
        <f>+'Table 3A Level 3'!O36</f>
        <v>992529</v>
      </c>
      <c r="AJ34" s="447">
        <f t="shared" si="23"/>
        <v>155.71524945089425</v>
      </c>
      <c r="AK34" s="683">
        <f t="shared" si="44"/>
        <v>28814417.039332002</v>
      </c>
      <c r="AL34" s="447">
        <f t="shared" si="24"/>
        <v>4520.6176716868531</v>
      </c>
      <c r="AM34" s="685">
        <f>+'Table 3A Level 3'!P36</f>
        <v>4949699.42</v>
      </c>
      <c r="AN34" s="686">
        <f t="shared" si="25"/>
        <v>776.54524945089429</v>
      </c>
      <c r="AO34" s="683">
        <f t="shared" si="45"/>
        <v>32771587.459332004</v>
      </c>
      <c r="AP34" s="447">
        <f t="shared" si="26"/>
        <v>5141.4476716868539</v>
      </c>
      <c r="AQ34" s="684">
        <f t="shared" si="46"/>
        <v>0.57247971889888583</v>
      </c>
      <c r="AR34" s="687">
        <f t="shared" si="47"/>
        <v>48</v>
      </c>
      <c r="AS34" s="447">
        <f t="shared" si="48"/>
        <v>24473388</v>
      </c>
      <c r="AT34" s="447">
        <f t="shared" si="27"/>
        <v>3839.57</v>
      </c>
      <c r="AU34" s="687">
        <f t="shared" si="49"/>
        <v>23</v>
      </c>
      <c r="AV34" s="684">
        <f t="shared" si="50"/>
        <v>0.42752028110111417</v>
      </c>
      <c r="AW34" s="687">
        <f t="shared" si="51"/>
        <v>57244975.459332004</v>
      </c>
      <c r="AX34" s="688">
        <f t="shared" si="28"/>
        <v>8981.0127799391284</v>
      </c>
      <c r="AY34" s="687">
        <f t="shared" si="52"/>
        <v>42</v>
      </c>
      <c r="AZ34" s="427"/>
    </row>
    <row r="35" spans="1:52" s="690" customFormat="1" ht="15.6" customHeight="1">
      <c r="A35" s="673">
        <v>32</v>
      </c>
      <c r="B35" s="674" t="s">
        <v>104</v>
      </c>
      <c r="C35" s="674">
        <f>+'Table 8 Membership 2.1.14'!W34</f>
        <v>25177</v>
      </c>
      <c r="D35" s="675">
        <f>+'[5]ALL- TABLE 3 '!AA37-'[5]ALL- TABLE 3 '!W37-'[5]ALL- TABLE 3 '!X37-'[5]ALL- TABLE 3 '!Y37-'[5]ALL- TABLE 3 '!Z37</f>
        <v>12601</v>
      </c>
      <c r="E35" s="675">
        <f t="shared" si="14"/>
        <v>2772</v>
      </c>
      <c r="F35" s="675">
        <f>+'[6]MS6887_Total CTE T3 corrected'!M37</f>
        <v>10978.5</v>
      </c>
      <c r="G35" s="675">
        <f t="shared" si="15"/>
        <v>659</v>
      </c>
      <c r="H35" s="675">
        <f>+'[7]MFP Funded SWD -Table 3'!W36</f>
        <v>3189</v>
      </c>
      <c r="I35" s="675">
        <f t="shared" si="29"/>
        <v>4784</v>
      </c>
      <c r="J35" s="675">
        <f>+'[7]MFP Funded GT -Table 3'!S36</f>
        <v>1177</v>
      </c>
      <c r="K35" s="675">
        <f t="shared" si="30"/>
        <v>706</v>
      </c>
      <c r="L35" s="675">
        <f t="shared" si="16"/>
        <v>0</v>
      </c>
      <c r="M35" s="677">
        <f t="shared" si="17"/>
        <v>0</v>
      </c>
      <c r="N35" s="675">
        <f t="shared" si="18"/>
        <v>0</v>
      </c>
      <c r="O35" s="675">
        <f t="shared" si="31"/>
        <v>8921</v>
      </c>
      <c r="P35" s="675">
        <f t="shared" si="19"/>
        <v>34098</v>
      </c>
      <c r="Q35" s="678">
        <f t="shared" si="32"/>
        <v>3961</v>
      </c>
      <c r="R35" s="678">
        <f t="shared" si="20"/>
        <v>135062178</v>
      </c>
      <c r="S35" s="678">
        <f>'Table 6 (Local Deduct Calc.)'!J37</f>
        <v>20304689.5</v>
      </c>
      <c r="T35" s="678">
        <f t="shared" si="33"/>
        <v>20304689.5</v>
      </c>
      <c r="U35" s="679">
        <f t="shared" si="34"/>
        <v>114757488.5</v>
      </c>
      <c r="V35" s="680">
        <f t="shared" si="53"/>
        <v>0.84970000000000001</v>
      </c>
      <c r="W35" s="680">
        <f t="shared" si="35"/>
        <v>0.15029999999999999</v>
      </c>
      <c r="X35" s="681">
        <f t="shared" si="21"/>
        <v>806.47771775827141</v>
      </c>
      <c r="Y35" s="678">
        <f>'Table 7 Local Revenue'!AQ38</f>
        <v>53603593.5</v>
      </c>
      <c r="Z35" s="1305">
        <f>IF(Y35-T35&gt;0,Y35-T35,0)-1412716</f>
        <v>31886188</v>
      </c>
      <c r="AA35" s="682">
        <f t="shared" si="37"/>
        <v>0</v>
      </c>
      <c r="AB35" s="447">
        <f t="shared" si="38"/>
        <v>45921140.520000003</v>
      </c>
      <c r="AC35" s="447">
        <f t="shared" si="39"/>
        <v>31886188</v>
      </c>
      <c r="AD35" s="678">
        <f t="shared" si="40"/>
        <v>8243089.7770079989</v>
      </c>
      <c r="AE35" s="683">
        <f t="shared" si="41"/>
        <v>23643098.222992003</v>
      </c>
      <c r="AF35" s="684">
        <f t="shared" si="42"/>
        <v>0.74150000000000005</v>
      </c>
      <c r="AG35" s="683">
        <f t="shared" si="43"/>
        <v>138400586.722992</v>
      </c>
      <c r="AH35" s="447">
        <f t="shared" si="22"/>
        <v>5497</v>
      </c>
      <c r="AI35" s="683">
        <f>+'Table 3A Level 3'!O37</f>
        <v>3920442</v>
      </c>
      <c r="AJ35" s="447">
        <f t="shared" si="23"/>
        <v>155.71521626881679</v>
      </c>
      <c r="AK35" s="683">
        <f t="shared" si="44"/>
        <v>142321028.722992</v>
      </c>
      <c r="AL35" s="447">
        <f t="shared" si="24"/>
        <v>5652.819189061127</v>
      </c>
      <c r="AM35" s="685">
        <f>+'Table 3A Level 3'!P37</f>
        <v>18013771.289999999</v>
      </c>
      <c r="AN35" s="686">
        <f t="shared" si="25"/>
        <v>715.48521626881677</v>
      </c>
      <c r="AO35" s="683">
        <f t="shared" si="45"/>
        <v>156414358.01299199</v>
      </c>
      <c r="AP35" s="447">
        <f t="shared" si="26"/>
        <v>6212.5891890611274</v>
      </c>
      <c r="AQ35" s="684">
        <f t="shared" si="46"/>
        <v>0.74981031817511823</v>
      </c>
      <c r="AR35" s="687">
        <f t="shared" si="47"/>
        <v>4</v>
      </c>
      <c r="AS35" s="447">
        <f t="shared" si="48"/>
        <v>52190877.5</v>
      </c>
      <c r="AT35" s="447">
        <f t="shared" si="27"/>
        <v>2072.96</v>
      </c>
      <c r="AU35" s="687">
        <f t="shared" si="49"/>
        <v>65</v>
      </c>
      <c r="AV35" s="684">
        <f t="shared" si="50"/>
        <v>0.25018968182488177</v>
      </c>
      <c r="AW35" s="687">
        <f t="shared" si="51"/>
        <v>208605235.51299199</v>
      </c>
      <c r="AX35" s="688">
        <f t="shared" si="28"/>
        <v>8285.5477425027602</v>
      </c>
      <c r="AY35" s="687">
        <f t="shared" si="52"/>
        <v>64</v>
      </c>
      <c r="AZ35" s="427"/>
    </row>
    <row r="36" spans="1:52" s="690" customFormat="1" ht="15.6" customHeight="1">
      <c r="A36" s="673">
        <v>33</v>
      </c>
      <c r="B36" s="674" t="s">
        <v>105</v>
      </c>
      <c r="C36" s="674">
        <f>+'Table 8 Membership 2.1.14'!W35</f>
        <v>1713</v>
      </c>
      <c r="D36" s="675">
        <f>+'[5]ALL- TABLE 3 '!AA38-'[5]ALL- TABLE 3 '!W38-'[5]ALL- TABLE 3 '!X38-'[5]ALL- TABLE 3 '!Y38-'[5]ALL- TABLE 3 '!Z38</f>
        <v>1558</v>
      </c>
      <c r="E36" s="675">
        <f t="shared" ref="E36:E67" si="54">ROUND($D$1*D36,0)</f>
        <v>343</v>
      </c>
      <c r="F36" s="675">
        <f>+'[6]MS6887_Total CTE T3 corrected'!M38</f>
        <v>548.5</v>
      </c>
      <c r="G36" s="675">
        <f t="shared" ref="G36:G67" si="55">ROUND($F$1*F36,0)</f>
        <v>33</v>
      </c>
      <c r="H36" s="675">
        <f>+'[7]MFP Funded SWD -Table 3'!W37</f>
        <v>172</v>
      </c>
      <c r="I36" s="675">
        <f t="shared" si="29"/>
        <v>258</v>
      </c>
      <c r="J36" s="675">
        <f>+'[7]MFP Funded GT -Table 3'!S37</f>
        <v>10</v>
      </c>
      <c r="K36" s="675">
        <f t="shared" si="30"/>
        <v>6</v>
      </c>
      <c r="L36" s="675">
        <f t="shared" ref="L36:L72" si="56">IF(C36&lt;$L$1,$L$1-C36,0)</f>
        <v>5787</v>
      </c>
      <c r="M36" s="677">
        <f t="shared" ref="M36:M67" si="57">ROUND(L36/$M$1,5)</f>
        <v>0.15432000000000001</v>
      </c>
      <c r="N36" s="675">
        <f t="shared" ref="N36:N67" si="58" xml:space="preserve"> ROUND(C36*M36,0)</f>
        <v>264</v>
      </c>
      <c r="O36" s="675">
        <f t="shared" si="31"/>
        <v>904</v>
      </c>
      <c r="P36" s="675">
        <f t="shared" ref="P36:P67" si="59">O36+C36</f>
        <v>2617</v>
      </c>
      <c r="Q36" s="678">
        <f t="shared" si="32"/>
        <v>3961</v>
      </c>
      <c r="R36" s="678">
        <f t="shared" ref="R36:R67" si="60">ROUND(P36*Q36,0)</f>
        <v>10365937</v>
      </c>
      <c r="S36" s="678">
        <f>'Table 6 (Local Deduct Calc.)'!J38</f>
        <v>2891625</v>
      </c>
      <c r="T36" s="678">
        <f t="shared" si="33"/>
        <v>2891625</v>
      </c>
      <c r="U36" s="679">
        <f t="shared" si="34"/>
        <v>7474312</v>
      </c>
      <c r="V36" s="680">
        <f t="shared" si="53"/>
        <v>0.72099999999999997</v>
      </c>
      <c r="W36" s="680">
        <f t="shared" si="35"/>
        <v>0.27900000000000003</v>
      </c>
      <c r="X36" s="681">
        <f t="shared" ref="X36:X67" si="61">T36/C36</f>
        <v>1688.047285464098</v>
      </c>
      <c r="Y36" s="678">
        <f>'Table 7 Local Revenue'!AQ39</f>
        <v>5978340</v>
      </c>
      <c r="Z36" s="678">
        <f t="shared" si="36"/>
        <v>3086715</v>
      </c>
      <c r="AA36" s="682">
        <f t="shared" si="37"/>
        <v>0</v>
      </c>
      <c r="AB36" s="447">
        <f t="shared" si="38"/>
        <v>3524418.58</v>
      </c>
      <c r="AC36" s="447">
        <f t="shared" si="39"/>
        <v>3086715</v>
      </c>
      <c r="AD36" s="678">
        <f t="shared" si="40"/>
        <v>1481252.7942000001</v>
      </c>
      <c r="AE36" s="683">
        <f t="shared" si="41"/>
        <v>1605462.2057999999</v>
      </c>
      <c r="AF36" s="684">
        <f t="shared" si="42"/>
        <v>0.52010000000000001</v>
      </c>
      <c r="AG36" s="683">
        <f t="shared" si="43"/>
        <v>9079774.2058000006</v>
      </c>
      <c r="AH36" s="447">
        <f t="shared" ref="AH36:AH67" si="62">ROUND(AG36/C36,0)</f>
        <v>5301</v>
      </c>
      <c r="AI36" s="683">
        <f>+'Table 3A Level 3'!O38</f>
        <v>266740</v>
      </c>
      <c r="AJ36" s="447">
        <f t="shared" ref="AJ36:AJ67" si="63">AI36/C36</f>
        <v>155.71511967308814</v>
      </c>
      <c r="AK36" s="683">
        <f t="shared" si="44"/>
        <v>9346514.2058000006</v>
      </c>
      <c r="AL36" s="447">
        <f t="shared" ref="AL36:AL67" si="64">AK36/C36</f>
        <v>5456.2254558085233</v>
      </c>
      <c r="AM36" s="685">
        <f>+'Table 3A Level 3'!P38</f>
        <v>1389286.03</v>
      </c>
      <c r="AN36" s="686">
        <f t="shared" ref="AN36:AN67" si="65">AM36/C36</f>
        <v>811.02511967308817</v>
      </c>
      <c r="AO36" s="683">
        <f t="shared" si="45"/>
        <v>10469060.2358</v>
      </c>
      <c r="AP36" s="447">
        <f t="shared" ref="AP36:AP67" si="66">AO36/C36</f>
        <v>6111.5354558085228</v>
      </c>
      <c r="AQ36" s="684">
        <f t="shared" si="46"/>
        <v>0.63651763109726411</v>
      </c>
      <c r="AR36" s="687">
        <f t="shared" si="47"/>
        <v>35</v>
      </c>
      <c r="AS36" s="447">
        <f t="shared" si="48"/>
        <v>5978340</v>
      </c>
      <c r="AT36" s="447">
        <f t="shared" ref="AT36:AT67" si="67">ROUND(AS36/C36,2)</f>
        <v>3489.98</v>
      </c>
      <c r="AU36" s="687">
        <f t="shared" si="49"/>
        <v>30</v>
      </c>
      <c r="AV36" s="684">
        <f t="shared" si="50"/>
        <v>0.36348236890273583</v>
      </c>
      <c r="AW36" s="687">
        <f t="shared" si="51"/>
        <v>16447400.2358</v>
      </c>
      <c r="AX36" s="688">
        <f t="shared" ref="AX36:AX67" si="68">AW36/C36</f>
        <v>9601.5179426736722</v>
      </c>
      <c r="AY36" s="687">
        <f t="shared" si="52"/>
        <v>17</v>
      </c>
      <c r="AZ36" s="427"/>
    </row>
    <row r="37" spans="1:52" s="690" customFormat="1" ht="15.6" customHeight="1">
      <c r="A37" s="673">
        <v>34</v>
      </c>
      <c r="B37" s="674" t="s">
        <v>106</v>
      </c>
      <c r="C37" s="674">
        <f>+'Table 8 Membership 2.1.14'!W36</f>
        <v>4403</v>
      </c>
      <c r="D37" s="675">
        <f>+'[5]ALL- TABLE 3 '!AA39-'[5]ALL- TABLE 3 '!W39-'[5]ALL- TABLE 3 '!X39-'[5]ALL- TABLE 3 '!Y39-'[5]ALL- TABLE 3 '!Z39</f>
        <v>3704</v>
      </c>
      <c r="E37" s="675">
        <f t="shared" si="54"/>
        <v>815</v>
      </c>
      <c r="F37" s="675">
        <f>+'[6]MS6887_Total CTE T3 corrected'!M39</f>
        <v>1690.5</v>
      </c>
      <c r="G37" s="675">
        <f t="shared" si="55"/>
        <v>101</v>
      </c>
      <c r="H37" s="675">
        <f>+'[7]MFP Funded SWD -Table 3'!W38</f>
        <v>688</v>
      </c>
      <c r="I37" s="675">
        <f t="shared" si="29"/>
        <v>1032</v>
      </c>
      <c r="J37" s="675">
        <f>+'[7]MFP Funded GT -Table 3'!S38</f>
        <v>39</v>
      </c>
      <c r="K37" s="675">
        <f t="shared" si="30"/>
        <v>23</v>
      </c>
      <c r="L37" s="675">
        <f t="shared" si="56"/>
        <v>3097</v>
      </c>
      <c r="M37" s="677">
        <f t="shared" si="57"/>
        <v>8.2589999999999997E-2</v>
      </c>
      <c r="N37" s="675">
        <f t="shared" si="58"/>
        <v>364</v>
      </c>
      <c r="O37" s="675">
        <f t="shared" si="31"/>
        <v>2335</v>
      </c>
      <c r="P37" s="675">
        <f t="shared" si="59"/>
        <v>6738</v>
      </c>
      <c r="Q37" s="678">
        <f t="shared" si="32"/>
        <v>3961</v>
      </c>
      <c r="R37" s="678">
        <f t="shared" si="60"/>
        <v>26689218</v>
      </c>
      <c r="S37" s="678">
        <f>'Table 6 (Local Deduct Calc.)'!J39</f>
        <v>4948060</v>
      </c>
      <c r="T37" s="678">
        <f t="shared" si="33"/>
        <v>4948060</v>
      </c>
      <c r="U37" s="679">
        <f t="shared" si="34"/>
        <v>21741158</v>
      </c>
      <c r="V37" s="680">
        <f t="shared" si="53"/>
        <v>0.81459999999999999</v>
      </c>
      <c r="W37" s="680">
        <f t="shared" si="35"/>
        <v>0.18540000000000001</v>
      </c>
      <c r="X37" s="681">
        <f t="shared" si="61"/>
        <v>1123.7928684987507</v>
      </c>
      <c r="Y37" s="678">
        <f>'Table 7 Local Revenue'!AQ40</f>
        <v>12696175</v>
      </c>
      <c r="Z37" s="678">
        <f t="shared" si="36"/>
        <v>7748115</v>
      </c>
      <c r="AA37" s="682">
        <f t="shared" si="37"/>
        <v>0</v>
      </c>
      <c r="AB37" s="447">
        <f t="shared" si="38"/>
        <v>9074334.120000001</v>
      </c>
      <c r="AC37" s="447">
        <f t="shared" si="39"/>
        <v>7748115</v>
      </c>
      <c r="AD37" s="678">
        <f t="shared" si="40"/>
        <v>2470780.8961200002</v>
      </c>
      <c r="AE37" s="683">
        <f t="shared" si="41"/>
        <v>5277334.1038799994</v>
      </c>
      <c r="AF37" s="684">
        <f t="shared" si="42"/>
        <v>0.68110000000000004</v>
      </c>
      <c r="AG37" s="683">
        <f t="shared" si="43"/>
        <v>27018492.103879999</v>
      </c>
      <c r="AH37" s="447">
        <f t="shared" si="62"/>
        <v>6136</v>
      </c>
      <c r="AI37" s="683">
        <f>+'Table 3A Level 3'!O39</f>
        <v>685614</v>
      </c>
      <c r="AJ37" s="447">
        <f t="shared" si="63"/>
        <v>155.71519418578242</v>
      </c>
      <c r="AK37" s="683">
        <f t="shared" si="44"/>
        <v>27704106.103879999</v>
      </c>
      <c r="AL37" s="447">
        <f t="shared" si="64"/>
        <v>6292.0976842789005</v>
      </c>
      <c r="AM37" s="685">
        <f>+'Table 3A Level 3'!P39</f>
        <v>3521630.3300000005</v>
      </c>
      <c r="AN37" s="686">
        <f t="shared" si="65"/>
        <v>799.82519418578249</v>
      </c>
      <c r="AO37" s="683">
        <f>AG37+AM37</f>
        <v>30540122.433880001</v>
      </c>
      <c r="AP37" s="447">
        <f t="shared" si="66"/>
        <v>6936.2076842789011</v>
      </c>
      <c r="AQ37" s="684">
        <f t="shared" si="46"/>
        <v>0.7063537871295319</v>
      </c>
      <c r="AR37" s="687">
        <f t="shared" si="47"/>
        <v>13</v>
      </c>
      <c r="AS37" s="447">
        <f t="shared" si="48"/>
        <v>12696175</v>
      </c>
      <c r="AT37" s="447">
        <f t="shared" si="67"/>
        <v>2883.53</v>
      </c>
      <c r="AU37" s="687">
        <f t="shared" si="49"/>
        <v>52</v>
      </c>
      <c r="AV37" s="684">
        <f t="shared" si="50"/>
        <v>0.2936462128704681</v>
      </c>
      <c r="AW37" s="687">
        <f t="shared" si="51"/>
        <v>43236297.433880001</v>
      </c>
      <c r="AX37" s="688">
        <f t="shared" si="68"/>
        <v>9819.7359604542362</v>
      </c>
      <c r="AY37" s="687">
        <f t="shared" si="52"/>
        <v>12</v>
      </c>
      <c r="AZ37" s="427"/>
    </row>
    <row r="38" spans="1:52" s="708" customFormat="1" ht="15.6" customHeight="1">
      <c r="A38" s="691">
        <v>35</v>
      </c>
      <c r="B38" s="692" t="s">
        <v>107</v>
      </c>
      <c r="C38" s="692">
        <f>+'Table 8 Membership 2.1.14'!W37</f>
        <v>6407</v>
      </c>
      <c r="D38" s="693">
        <f>+'[5]ALL- TABLE 3 '!AA40-'[5]ALL- TABLE 3 '!W40-'[5]ALL- TABLE 3 '!X40-'[5]ALL- TABLE 3 '!Y40-'[5]ALL- TABLE 3 '!Z40</f>
        <v>4737</v>
      </c>
      <c r="E38" s="693">
        <f t="shared" si="54"/>
        <v>1042</v>
      </c>
      <c r="F38" s="693">
        <f>+'[6]MS6887_Total CTE T3 corrected'!M40</f>
        <v>2199</v>
      </c>
      <c r="G38" s="693">
        <f t="shared" si="55"/>
        <v>132</v>
      </c>
      <c r="H38" s="693">
        <f>+'[7]MFP Funded SWD -Table 3'!W39</f>
        <v>759</v>
      </c>
      <c r="I38" s="693">
        <f t="shared" si="29"/>
        <v>1139</v>
      </c>
      <c r="J38" s="693">
        <f>+'[7]MFP Funded GT -Table 3'!S39</f>
        <v>224</v>
      </c>
      <c r="K38" s="693">
        <f t="shared" si="30"/>
        <v>134</v>
      </c>
      <c r="L38" s="693">
        <f t="shared" si="56"/>
        <v>1093</v>
      </c>
      <c r="M38" s="694">
        <f t="shared" si="57"/>
        <v>2.9149999999999999E-2</v>
      </c>
      <c r="N38" s="693">
        <f t="shared" si="58"/>
        <v>187</v>
      </c>
      <c r="O38" s="693">
        <f t="shared" si="31"/>
        <v>2634</v>
      </c>
      <c r="P38" s="695">
        <f t="shared" si="59"/>
        <v>9041</v>
      </c>
      <c r="Q38" s="696">
        <f t="shared" si="32"/>
        <v>3961</v>
      </c>
      <c r="R38" s="696">
        <f t="shared" si="60"/>
        <v>35811401</v>
      </c>
      <c r="S38" s="696">
        <f>'Table 6 (Local Deduct Calc.)'!J40</f>
        <v>9753212</v>
      </c>
      <c r="T38" s="696">
        <f t="shared" si="33"/>
        <v>9753212</v>
      </c>
      <c r="U38" s="697">
        <f t="shared" si="34"/>
        <v>26058189</v>
      </c>
      <c r="V38" s="698">
        <f t="shared" si="53"/>
        <v>0.72770000000000001</v>
      </c>
      <c r="W38" s="699">
        <f t="shared" si="35"/>
        <v>0.27229999999999999</v>
      </c>
      <c r="X38" s="700">
        <f t="shared" si="61"/>
        <v>1522.2743873887935</v>
      </c>
      <c r="Y38" s="696">
        <f>'Table 7 Local Revenue'!AQ41</f>
        <v>21122279</v>
      </c>
      <c r="Z38" s="696">
        <f t="shared" si="36"/>
        <v>11369067</v>
      </c>
      <c r="AA38" s="701">
        <f t="shared" si="37"/>
        <v>0</v>
      </c>
      <c r="AB38" s="465">
        <f t="shared" si="38"/>
        <v>12175876.340000002</v>
      </c>
      <c r="AC38" s="465">
        <f t="shared" si="39"/>
        <v>11369067</v>
      </c>
      <c r="AD38" s="696">
        <f t="shared" si="40"/>
        <v>5324770.7438519998</v>
      </c>
      <c r="AE38" s="702">
        <f t="shared" si="41"/>
        <v>6044296.2561480002</v>
      </c>
      <c r="AF38" s="703">
        <f t="shared" si="42"/>
        <v>0.53159999999999996</v>
      </c>
      <c r="AG38" s="702">
        <f t="shared" si="43"/>
        <v>32102485.256147999</v>
      </c>
      <c r="AH38" s="465">
        <f t="shared" si="62"/>
        <v>5011</v>
      </c>
      <c r="AI38" s="702">
        <f>+'Table 3A Level 3'!O40</f>
        <v>997667</v>
      </c>
      <c r="AJ38" s="465">
        <f t="shared" si="63"/>
        <v>155.71515529889183</v>
      </c>
      <c r="AK38" s="702">
        <f t="shared" si="44"/>
        <v>33100152.256147999</v>
      </c>
      <c r="AL38" s="465">
        <f t="shared" si="64"/>
        <v>5166.2482060477605</v>
      </c>
      <c r="AM38" s="704">
        <f>+'Table 3A Level 3'!P40</f>
        <v>4444376.7200000007</v>
      </c>
      <c r="AN38" s="705">
        <f t="shared" si="65"/>
        <v>693.67515529889192</v>
      </c>
      <c r="AO38" s="702">
        <f t="shared" si="45"/>
        <v>36546861.976148002</v>
      </c>
      <c r="AP38" s="465">
        <f t="shared" si="66"/>
        <v>5704.2082060477605</v>
      </c>
      <c r="AQ38" s="703">
        <f t="shared" si="46"/>
        <v>0.63373342063936433</v>
      </c>
      <c r="AR38" s="706">
        <f t="shared" si="47"/>
        <v>37</v>
      </c>
      <c r="AS38" s="465">
        <f t="shared" si="48"/>
        <v>21122279</v>
      </c>
      <c r="AT38" s="465">
        <f t="shared" si="67"/>
        <v>3296.75</v>
      </c>
      <c r="AU38" s="706">
        <f t="shared" si="49"/>
        <v>39</v>
      </c>
      <c r="AV38" s="703">
        <f t="shared" si="50"/>
        <v>0.36626657936063567</v>
      </c>
      <c r="AW38" s="706">
        <f t="shared" si="51"/>
        <v>57669140.976148002</v>
      </c>
      <c r="AX38" s="707">
        <f t="shared" si="68"/>
        <v>9000.9584791865145</v>
      </c>
      <c r="AY38" s="706">
        <f t="shared" si="52"/>
        <v>41</v>
      </c>
      <c r="AZ38" s="427"/>
    </row>
    <row r="39" spans="1:52" s="690" customFormat="1" ht="15.6" customHeight="1">
      <c r="A39" s="673">
        <v>36</v>
      </c>
      <c r="B39" s="674" t="s">
        <v>108</v>
      </c>
      <c r="C39" s="675">
        <f>+'Table 8 Membership 2.1.14'!W38</f>
        <v>42117</v>
      </c>
      <c r="D39" s="675">
        <f>+'[5]ALL- TABLE 3 '!AA41-'[5]ALL- TABLE 3 '!W41-'[5]ALL- TABLE 3 '!X41-'[5]ALL- TABLE 3 '!Y41-'[5]ALL- TABLE 3 '!Z41</f>
        <v>36305</v>
      </c>
      <c r="E39" s="675">
        <f t="shared" si="54"/>
        <v>7987</v>
      </c>
      <c r="F39" s="675">
        <f>+'[6]MS6887_Total CTE T3 corrected'!M41</f>
        <v>5081</v>
      </c>
      <c r="G39" s="675">
        <f t="shared" si="55"/>
        <v>305</v>
      </c>
      <c r="H39" s="675">
        <f>+'[7]MFP Funded SWD -Table 3'!W40</f>
        <v>5256</v>
      </c>
      <c r="I39" s="675">
        <f t="shared" si="29"/>
        <v>7884</v>
      </c>
      <c r="J39" s="675">
        <f>+'[7]MFP Funded GT -Table 3'!S40</f>
        <v>2974</v>
      </c>
      <c r="K39" s="675">
        <f t="shared" si="30"/>
        <v>1784</v>
      </c>
      <c r="L39" s="676">
        <f t="shared" si="56"/>
        <v>0</v>
      </c>
      <c r="M39" s="677">
        <f t="shared" si="57"/>
        <v>0</v>
      </c>
      <c r="N39" s="675">
        <f t="shared" si="58"/>
        <v>0</v>
      </c>
      <c r="O39" s="675">
        <f t="shared" si="31"/>
        <v>17960</v>
      </c>
      <c r="P39" s="675">
        <f t="shared" si="59"/>
        <v>60077</v>
      </c>
      <c r="Q39" s="678">
        <f t="shared" si="32"/>
        <v>3961</v>
      </c>
      <c r="R39" s="678">
        <f t="shared" si="60"/>
        <v>237964997</v>
      </c>
      <c r="S39" s="678">
        <f>'Table 6 (Local Deduct Calc.)'!J41</f>
        <v>109598410</v>
      </c>
      <c r="T39" s="678">
        <f t="shared" si="33"/>
        <v>109598410</v>
      </c>
      <c r="U39" s="679">
        <f t="shared" si="34"/>
        <v>128366587</v>
      </c>
      <c r="V39" s="680">
        <f t="shared" si="53"/>
        <v>0.53939999999999999</v>
      </c>
      <c r="W39" s="680">
        <f t="shared" si="35"/>
        <v>0.46060000000000001</v>
      </c>
      <c r="X39" s="681">
        <f t="shared" si="61"/>
        <v>2602.2368639741671</v>
      </c>
      <c r="Y39" s="678">
        <f>'Table 7 Local Revenue'!AQ42</f>
        <v>244265154</v>
      </c>
      <c r="Z39" s="678">
        <f t="shared" si="36"/>
        <v>134666744</v>
      </c>
      <c r="AA39" s="682">
        <f t="shared" si="37"/>
        <v>0</v>
      </c>
      <c r="AB39" s="447">
        <f t="shared" si="38"/>
        <v>80908098.980000004</v>
      </c>
      <c r="AC39" s="447">
        <f t="shared" si="39"/>
        <v>80908098.980000004</v>
      </c>
      <c r="AD39" s="678">
        <f t="shared" si="40"/>
        <v>64097985.071123369</v>
      </c>
      <c r="AE39" s="683">
        <f t="shared" si="41"/>
        <v>16810113.908876635</v>
      </c>
      <c r="AF39" s="684">
        <f t="shared" si="42"/>
        <v>0.20780000000000001</v>
      </c>
      <c r="AG39" s="683">
        <f t="shared" si="43"/>
        <v>145176700.90887663</v>
      </c>
      <c r="AH39" s="447">
        <f t="shared" si="62"/>
        <v>3447</v>
      </c>
      <c r="AI39" s="683">
        <f>+'Table 3A Level 3'!O41</f>
        <v>6558257</v>
      </c>
      <c r="AJ39" s="447">
        <f t="shared" si="63"/>
        <v>155.7151981385189</v>
      </c>
      <c r="AK39" s="683">
        <f t="shared" si="44"/>
        <v>151734957.90887663</v>
      </c>
      <c r="AL39" s="447">
        <f t="shared" si="64"/>
        <v>3602.7009974327857</v>
      </c>
      <c r="AM39" s="685">
        <f>+'Table 3A Level 3'!P41</f>
        <v>37416022.097875699</v>
      </c>
      <c r="AN39" s="686">
        <f t="shared" si="65"/>
        <v>888.38288809449148</v>
      </c>
      <c r="AO39" s="683">
        <f>AG39+AM39</f>
        <v>182592723.00675231</v>
      </c>
      <c r="AP39" s="447">
        <f t="shared" si="66"/>
        <v>4335.3686873887582</v>
      </c>
      <c r="AQ39" s="684">
        <f t="shared" si="46"/>
        <v>0.48939452926355975</v>
      </c>
      <c r="AR39" s="687">
        <f t="shared" si="47"/>
        <v>57</v>
      </c>
      <c r="AS39" s="447">
        <f t="shared" si="48"/>
        <v>190506508.97999999</v>
      </c>
      <c r="AT39" s="447">
        <f t="shared" si="67"/>
        <v>4523.2700000000004</v>
      </c>
      <c r="AU39" s="687">
        <f t="shared" si="49"/>
        <v>16</v>
      </c>
      <c r="AV39" s="684">
        <f t="shared" si="50"/>
        <v>0.51060547073644036</v>
      </c>
      <c r="AW39" s="687">
        <f t="shared" si="51"/>
        <v>373099231.98675227</v>
      </c>
      <c r="AX39" s="688">
        <f t="shared" si="68"/>
        <v>8858.6374145060727</v>
      </c>
      <c r="AY39" s="687">
        <f t="shared" si="52"/>
        <v>47</v>
      </c>
      <c r="AZ39" s="427"/>
    </row>
    <row r="40" spans="1:52" s="690" customFormat="1" ht="15.6" customHeight="1">
      <c r="A40" s="673">
        <v>37</v>
      </c>
      <c r="B40" s="674" t="s">
        <v>109</v>
      </c>
      <c r="C40" s="674">
        <f>+'Table 8 Membership 2.1.14'!W39</f>
        <v>19478</v>
      </c>
      <c r="D40" s="675">
        <f>+'[5]ALL- TABLE 3 '!AA42-'[5]ALL- TABLE 3 '!W42-'[5]ALL- TABLE 3 '!X42-'[5]ALL- TABLE 3 '!Y42-'[5]ALL- TABLE 3 '!Z42</f>
        <v>11646</v>
      </c>
      <c r="E40" s="675">
        <f t="shared" si="54"/>
        <v>2562</v>
      </c>
      <c r="F40" s="675">
        <f>+'[6]MS6887_Total CTE T3 corrected'!M42</f>
        <v>5431.5</v>
      </c>
      <c r="G40" s="675">
        <f t="shared" si="55"/>
        <v>326</v>
      </c>
      <c r="H40" s="675">
        <f>+'[7]MFP Funded SWD -Table 3'!W41</f>
        <v>2486</v>
      </c>
      <c r="I40" s="675">
        <f t="shared" si="29"/>
        <v>3729</v>
      </c>
      <c r="J40" s="675">
        <f>+'[7]MFP Funded GT -Table 3'!S41</f>
        <v>983</v>
      </c>
      <c r="K40" s="675">
        <f t="shared" si="30"/>
        <v>590</v>
      </c>
      <c r="L40" s="675">
        <f t="shared" si="56"/>
        <v>0</v>
      </c>
      <c r="M40" s="677">
        <f t="shared" si="57"/>
        <v>0</v>
      </c>
      <c r="N40" s="675">
        <f t="shared" si="58"/>
        <v>0</v>
      </c>
      <c r="O40" s="675">
        <f t="shared" si="31"/>
        <v>7207</v>
      </c>
      <c r="P40" s="675">
        <f t="shared" si="59"/>
        <v>26685</v>
      </c>
      <c r="Q40" s="678">
        <f t="shared" si="32"/>
        <v>3961</v>
      </c>
      <c r="R40" s="678">
        <f t="shared" si="60"/>
        <v>105699285</v>
      </c>
      <c r="S40" s="678">
        <f>'Table 6 (Local Deduct Calc.)'!J42</f>
        <v>21654243</v>
      </c>
      <c r="T40" s="678">
        <f t="shared" si="33"/>
        <v>21654243</v>
      </c>
      <c r="U40" s="679">
        <f t="shared" si="34"/>
        <v>84045042</v>
      </c>
      <c r="V40" s="680">
        <f t="shared" si="53"/>
        <v>0.79510000000000003</v>
      </c>
      <c r="W40" s="680">
        <f t="shared" si="35"/>
        <v>0.2049</v>
      </c>
      <c r="X40" s="681">
        <f t="shared" si="61"/>
        <v>1111.728257521306</v>
      </c>
      <c r="Y40" s="678">
        <f>'Table 7 Local Revenue'!AQ43</f>
        <v>66166163</v>
      </c>
      <c r="Z40" s="678">
        <f t="shared" si="36"/>
        <v>44511920</v>
      </c>
      <c r="AA40" s="682">
        <f t="shared" si="37"/>
        <v>0</v>
      </c>
      <c r="AB40" s="447">
        <f t="shared" si="38"/>
        <v>35937756.900000006</v>
      </c>
      <c r="AC40" s="447">
        <f t="shared" si="39"/>
        <v>35937756.900000006</v>
      </c>
      <c r="AD40" s="678">
        <f t="shared" si="40"/>
        <v>12665471.788753202</v>
      </c>
      <c r="AE40" s="683">
        <f t="shared" si="41"/>
        <v>23272285.111246802</v>
      </c>
      <c r="AF40" s="684">
        <f t="shared" si="42"/>
        <v>0.64759999999999995</v>
      </c>
      <c r="AG40" s="683">
        <f t="shared" si="43"/>
        <v>107317327.11124679</v>
      </c>
      <c r="AH40" s="447">
        <f t="shared" si="62"/>
        <v>5510</v>
      </c>
      <c r="AI40" s="683">
        <f>+'Table 3A Level 3'!O42</f>
        <v>3033021</v>
      </c>
      <c r="AJ40" s="447">
        <f t="shared" si="63"/>
        <v>155.71521716808707</v>
      </c>
      <c r="AK40" s="683">
        <f t="shared" si="44"/>
        <v>110350348.11124679</v>
      </c>
      <c r="AL40" s="447">
        <f t="shared" si="64"/>
        <v>5665.3839260317691</v>
      </c>
      <c r="AM40" s="685">
        <f>+'Table 3A Level 3'!P42</f>
        <v>15764036.58</v>
      </c>
      <c r="AN40" s="686">
        <f t="shared" si="65"/>
        <v>809.32521716808708</v>
      </c>
      <c r="AO40" s="683">
        <f t="shared" si="45"/>
        <v>123081363.69124679</v>
      </c>
      <c r="AP40" s="447">
        <f t="shared" si="66"/>
        <v>6318.9939260317688</v>
      </c>
      <c r="AQ40" s="684">
        <f t="shared" si="46"/>
        <v>0.68123690866631881</v>
      </c>
      <c r="AR40" s="687">
        <f t="shared" si="47"/>
        <v>23</v>
      </c>
      <c r="AS40" s="447">
        <f t="shared" si="48"/>
        <v>57591999.899999999</v>
      </c>
      <c r="AT40" s="447">
        <f t="shared" si="67"/>
        <v>2956.77</v>
      </c>
      <c r="AU40" s="687">
        <f t="shared" si="49"/>
        <v>51</v>
      </c>
      <c r="AV40" s="684">
        <f t="shared" si="50"/>
        <v>0.31876309133368125</v>
      </c>
      <c r="AW40" s="687">
        <f t="shared" si="51"/>
        <v>180673363.59124678</v>
      </c>
      <c r="AX40" s="688">
        <f t="shared" si="68"/>
        <v>9275.7656633764655</v>
      </c>
      <c r="AY40" s="687">
        <f t="shared" si="52"/>
        <v>24</v>
      </c>
      <c r="AZ40" s="427"/>
    </row>
    <row r="41" spans="1:52" s="690" customFormat="1" ht="15.6" customHeight="1">
      <c r="A41" s="673">
        <v>38</v>
      </c>
      <c r="B41" s="674" t="s">
        <v>110</v>
      </c>
      <c r="C41" s="674">
        <f>+'Table 8 Membership 2.1.14'!W40</f>
        <v>3874</v>
      </c>
      <c r="D41" s="675">
        <f>+'[5]ALL- TABLE 3 '!AA43-'[5]ALL- TABLE 3 '!W43-'[5]ALL- TABLE 3 '!X43-'[5]ALL- TABLE 3 '!Y43-'[5]ALL- TABLE 3 '!Z43</f>
        <v>2431</v>
      </c>
      <c r="E41" s="675">
        <f t="shared" si="54"/>
        <v>535</v>
      </c>
      <c r="F41" s="675">
        <f>+'[6]MS6887_Total CTE T3 corrected'!M43</f>
        <v>1504.5</v>
      </c>
      <c r="G41" s="675">
        <f t="shared" si="55"/>
        <v>90</v>
      </c>
      <c r="H41" s="675">
        <f>+'[7]MFP Funded SWD -Table 3'!W42</f>
        <v>454</v>
      </c>
      <c r="I41" s="675">
        <f t="shared" si="29"/>
        <v>681</v>
      </c>
      <c r="J41" s="675">
        <f>+'[7]MFP Funded GT -Table 3'!S42</f>
        <v>202</v>
      </c>
      <c r="K41" s="675">
        <f t="shared" si="30"/>
        <v>121</v>
      </c>
      <c r="L41" s="675">
        <f t="shared" si="56"/>
        <v>3626</v>
      </c>
      <c r="M41" s="677">
        <f t="shared" si="57"/>
        <v>9.6689999999999998E-2</v>
      </c>
      <c r="N41" s="675">
        <f t="shared" si="58"/>
        <v>375</v>
      </c>
      <c r="O41" s="675">
        <f t="shared" si="31"/>
        <v>1802</v>
      </c>
      <c r="P41" s="675">
        <f t="shared" si="59"/>
        <v>5676</v>
      </c>
      <c r="Q41" s="678">
        <f t="shared" si="32"/>
        <v>3961</v>
      </c>
      <c r="R41" s="678">
        <f t="shared" si="60"/>
        <v>22482636</v>
      </c>
      <c r="S41" s="678">
        <f>'Table 6 (Local Deduct Calc.)'!J43</f>
        <v>25743356.5</v>
      </c>
      <c r="T41" s="678">
        <f t="shared" si="33"/>
        <v>16861977</v>
      </c>
      <c r="U41" s="679">
        <f t="shared" si="34"/>
        <v>5620659</v>
      </c>
      <c r="V41" s="680">
        <f t="shared" si="53"/>
        <v>0.25</v>
      </c>
      <c r="W41" s="680">
        <f t="shared" si="35"/>
        <v>0.75</v>
      </c>
      <c r="X41" s="681">
        <f t="shared" si="61"/>
        <v>4352.601187403201</v>
      </c>
      <c r="Y41" s="678">
        <f>'Table 7 Local Revenue'!AQ44</f>
        <v>48937434.5</v>
      </c>
      <c r="Z41" s="678">
        <f t="shared" si="36"/>
        <v>32075457.5</v>
      </c>
      <c r="AA41" s="682">
        <f t="shared" si="37"/>
        <v>0</v>
      </c>
      <c r="AB41" s="447">
        <f t="shared" si="38"/>
        <v>7644096.2400000002</v>
      </c>
      <c r="AC41" s="447">
        <f t="shared" si="39"/>
        <v>7644096.2400000002</v>
      </c>
      <c r="AD41" s="678">
        <f t="shared" si="40"/>
        <v>9860884.1496000011</v>
      </c>
      <c r="AE41" s="683">
        <f t="shared" si="41"/>
        <v>0</v>
      </c>
      <c r="AF41" s="684">
        <f t="shared" si="42"/>
        <v>0</v>
      </c>
      <c r="AG41" s="683">
        <f t="shared" si="43"/>
        <v>5620659</v>
      </c>
      <c r="AH41" s="447">
        <f t="shared" si="62"/>
        <v>1451</v>
      </c>
      <c r="AI41" s="683">
        <f>+'Table 3A Level 3'!O43</f>
        <v>2471359</v>
      </c>
      <c r="AJ41" s="447">
        <f t="shared" si="63"/>
        <v>637.93469282395461</v>
      </c>
      <c r="AK41" s="683">
        <f t="shared" si="44"/>
        <v>8092018</v>
      </c>
      <c r="AL41" s="447">
        <f t="shared" si="64"/>
        <v>2088.8017552916881</v>
      </c>
      <c r="AM41" s="685">
        <f>+'Table 3A Level 3'!P43</f>
        <v>5686469.0800000001</v>
      </c>
      <c r="AN41" s="686">
        <f t="shared" si="65"/>
        <v>1467.8546928239546</v>
      </c>
      <c r="AO41" s="683">
        <f t="shared" si="45"/>
        <v>11307128.08</v>
      </c>
      <c r="AP41" s="447">
        <f t="shared" si="66"/>
        <v>2918.7217552916882</v>
      </c>
      <c r="AQ41" s="684">
        <f t="shared" si="46"/>
        <v>0.31572514221691478</v>
      </c>
      <c r="AR41" s="687">
        <f t="shared" si="47"/>
        <v>68</v>
      </c>
      <c r="AS41" s="447">
        <f t="shared" si="48"/>
        <v>24506073.239999998</v>
      </c>
      <c r="AT41" s="447">
        <f t="shared" si="67"/>
        <v>6325.78</v>
      </c>
      <c r="AU41" s="687">
        <f t="shared" si="49"/>
        <v>2</v>
      </c>
      <c r="AV41" s="684">
        <f t="shared" si="50"/>
        <v>0.68427485778308517</v>
      </c>
      <c r="AW41" s="687">
        <f t="shared" si="51"/>
        <v>35813201.32</v>
      </c>
      <c r="AX41" s="688">
        <f t="shared" si="68"/>
        <v>9244.5021476510065</v>
      </c>
      <c r="AY41" s="687">
        <f t="shared" si="52"/>
        <v>27</v>
      </c>
      <c r="AZ41" s="427"/>
    </row>
    <row r="42" spans="1:52" s="690" customFormat="1" ht="15.6" customHeight="1">
      <c r="A42" s="673">
        <v>39</v>
      </c>
      <c r="B42" s="674" t="s">
        <v>111</v>
      </c>
      <c r="C42" s="674">
        <f>+'Table 8 Membership 2.1.14'!W41</f>
        <v>2797</v>
      </c>
      <c r="D42" s="675">
        <f>+'[5]ALL- TABLE 3 '!AA44-'[5]ALL- TABLE 3 '!W44-'[5]ALL- TABLE 3 '!X44-'[5]ALL- TABLE 3 '!Y44-'[5]ALL- TABLE 3 '!Z44</f>
        <v>2369</v>
      </c>
      <c r="E42" s="675">
        <f t="shared" si="54"/>
        <v>521</v>
      </c>
      <c r="F42" s="675">
        <f>+'[6]MS6887_Total CTE T3 corrected'!M44</f>
        <v>986</v>
      </c>
      <c r="G42" s="675">
        <f t="shared" si="55"/>
        <v>59</v>
      </c>
      <c r="H42" s="675">
        <f>+'[7]MFP Funded SWD -Table 3'!W43</f>
        <v>468</v>
      </c>
      <c r="I42" s="675">
        <f t="shared" si="29"/>
        <v>702</v>
      </c>
      <c r="J42" s="675">
        <f>+'[7]MFP Funded GT -Table 3'!S43</f>
        <v>34</v>
      </c>
      <c r="K42" s="675">
        <f t="shared" si="30"/>
        <v>20</v>
      </c>
      <c r="L42" s="675">
        <f t="shared" si="56"/>
        <v>4703</v>
      </c>
      <c r="M42" s="677">
        <f t="shared" si="57"/>
        <v>0.12540999999999999</v>
      </c>
      <c r="N42" s="675">
        <f t="shared" si="58"/>
        <v>351</v>
      </c>
      <c r="O42" s="675">
        <f t="shared" si="31"/>
        <v>1653</v>
      </c>
      <c r="P42" s="675">
        <f t="shared" si="59"/>
        <v>4450</v>
      </c>
      <c r="Q42" s="678">
        <f t="shared" si="32"/>
        <v>3961</v>
      </c>
      <c r="R42" s="678">
        <f t="shared" si="60"/>
        <v>17626450</v>
      </c>
      <c r="S42" s="678">
        <f>'Table 6 (Local Deduct Calc.)'!J44</f>
        <v>8751890.5</v>
      </c>
      <c r="T42" s="678">
        <f t="shared" si="33"/>
        <v>8751890.5</v>
      </c>
      <c r="U42" s="679">
        <f t="shared" si="34"/>
        <v>8874559.5</v>
      </c>
      <c r="V42" s="680">
        <f t="shared" si="53"/>
        <v>0.50349999999999995</v>
      </c>
      <c r="W42" s="680">
        <f t="shared" si="35"/>
        <v>0.4965</v>
      </c>
      <c r="X42" s="681">
        <f t="shared" si="61"/>
        <v>3129.0277082588486</v>
      </c>
      <c r="Y42" s="678">
        <f>'Table 7 Local Revenue'!AQ45</f>
        <v>12816968.5</v>
      </c>
      <c r="Z42" s="678">
        <f t="shared" si="36"/>
        <v>4065078</v>
      </c>
      <c r="AA42" s="682">
        <f t="shared" si="37"/>
        <v>0</v>
      </c>
      <c r="AB42" s="447">
        <f t="shared" si="38"/>
        <v>5992993</v>
      </c>
      <c r="AC42" s="447">
        <f t="shared" si="39"/>
        <v>4065078</v>
      </c>
      <c r="AD42" s="678">
        <f t="shared" si="40"/>
        <v>3471495.3104399997</v>
      </c>
      <c r="AE42" s="683">
        <f t="shared" si="41"/>
        <v>593582.68956000032</v>
      </c>
      <c r="AF42" s="684">
        <f t="shared" si="42"/>
        <v>0.14599999999999999</v>
      </c>
      <c r="AG42" s="683">
        <f t="shared" si="43"/>
        <v>9468142.1895599999</v>
      </c>
      <c r="AH42" s="447">
        <f t="shared" si="62"/>
        <v>3385</v>
      </c>
      <c r="AI42" s="683">
        <f>+'Table 3A Level 3'!O44</f>
        <v>760223</v>
      </c>
      <c r="AJ42" s="447">
        <f t="shared" si="63"/>
        <v>271.79942795852702</v>
      </c>
      <c r="AK42" s="683">
        <f t="shared" si="44"/>
        <v>10228365.18956</v>
      </c>
      <c r="AL42" s="447">
        <f t="shared" si="64"/>
        <v>3656.9056809295676</v>
      </c>
      <c r="AM42" s="685">
        <f>+'Table 3A Level 3'!P44</f>
        <v>2940920.0780064557</v>
      </c>
      <c r="AN42" s="686">
        <f t="shared" si="65"/>
        <v>1051.4551583862908</v>
      </c>
      <c r="AO42" s="683">
        <f t="shared" si="45"/>
        <v>12409062.267566456</v>
      </c>
      <c r="AP42" s="447">
        <f t="shared" si="66"/>
        <v>4436.5614113573311</v>
      </c>
      <c r="AQ42" s="684">
        <f t="shared" si="46"/>
        <v>0.49191497393719985</v>
      </c>
      <c r="AR42" s="687">
        <f t="shared" si="47"/>
        <v>55</v>
      </c>
      <c r="AS42" s="447">
        <f t="shared" si="48"/>
        <v>12816968.5</v>
      </c>
      <c r="AT42" s="447">
        <f t="shared" si="67"/>
        <v>4582.3999999999996</v>
      </c>
      <c r="AU42" s="687">
        <f t="shared" si="49"/>
        <v>14</v>
      </c>
      <c r="AV42" s="684">
        <f t="shared" si="50"/>
        <v>0.50808502606280004</v>
      </c>
      <c r="AW42" s="687">
        <f t="shared" si="51"/>
        <v>25226030.767566457</v>
      </c>
      <c r="AX42" s="688">
        <f t="shared" si="68"/>
        <v>9018.9598739958728</v>
      </c>
      <c r="AY42" s="687">
        <f t="shared" si="52"/>
        <v>40</v>
      </c>
      <c r="AZ42" s="427"/>
    </row>
    <row r="43" spans="1:52" s="708" customFormat="1" ht="15.6" customHeight="1">
      <c r="A43" s="691">
        <v>40</v>
      </c>
      <c r="B43" s="692" t="s">
        <v>112</v>
      </c>
      <c r="C43" s="692">
        <f>+'Table 8 Membership 2.1.14'!W42</f>
        <v>23024</v>
      </c>
      <c r="D43" s="693">
        <f>+'[5]ALL- TABLE 3 '!AA45-'[5]ALL- TABLE 3 '!W45-'[5]ALL- TABLE 3 '!X45-'[5]ALL- TABLE 3 '!Y45-'[5]ALL- TABLE 3 '!Z45</f>
        <v>16041</v>
      </c>
      <c r="E43" s="693">
        <f t="shared" si="54"/>
        <v>3529</v>
      </c>
      <c r="F43" s="693">
        <f>+'[6]MS6887_Total CTE T3 corrected'!M45</f>
        <v>6007</v>
      </c>
      <c r="G43" s="693">
        <f t="shared" si="55"/>
        <v>360</v>
      </c>
      <c r="H43" s="693">
        <f>+'[7]MFP Funded SWD -Table 3'!W44</f>
        <v>2587</v>
      </c>
      <c r="I43" s="693">
        <f t="shared" si="29"/>
        <v>3881</v>
      </c>
      <c r="J43" s="693">
        <f>+'[7]MFP Funded GT -Table 3'!S44</f>
        <v>595</v>
      </c>
      <c r="K43" s="693">
        <f t="shared" si="30"/>
        <v>357</v>
      </c>
      <c r="L43" s="693">
        <f t="shared" si="56"/>
        <v>0</v>
      </c>
      <c r="M43" s="694">
        <f t="shared" si="57"/>
        <v>0</v>
      </c>
      <c r="N43" s="693">
        <f t="shared" si="58"/>
        <v>0</v>
      </c>
      <c r="O43" s="693">
        <f t="shared" si="31"/>
        <v>8127</v>
      </c>
      <c r="P43" s="695">
        <f t="shared" si="59"/>
        <v>31151</v>
      </c>
      <c r="Q43" s="696">
        <f t="shared" si="32"/>
        <v>3961</v>
      </c>
      <c r="R43" s="696">
        <f t="shared" si="60"/>
        <v>123389111</v>
      </c>
      <c r="S43" s="696">
        <f>'Table 6 (Local Deduct Calc.)'!J45</f>
        <v>31435426</v>
      </c>
      <c r="T43" s="696">
        <f t="shared" si="33"/>
        <v>31435426</v>
      </c>
      <c r="U43" s="697">
        <f t="shared" si="34"/>
        <v>91953685</v>
      </c>
      <c r="V43" s="698">
        <f t="shared" si="53"/>
        <v>0.74519999999999997</v>
      </c>
      <c r="W43" s="699">
        <f t="shared" si="35"/>
        <v>0.25480000000000003</v>
      </c>
      <c r="X43" s="700">
        <f t="shared" si="61"/>
        <v>1365.3329569145239</v>
      </c>
      <c r="Y43" s="696">
        <f>'Table 7 Local Revenue'!AQ46</f>
        <v>71285794</v>
      </c>
      <c r="Z43" s="696">
        <f t="shared" si="36"/>
        <v>39850368</v>
      </c>
      <c r="AA43" s="701">
        <f t="shared" si="37"/>
        <v>0</v>
      </c>
      <c r="AB43" s="465">
        <f t="shared" si="38"/>
        <v>41952297.740000002</v>
      </c>
      <c r="AC43" s="465">
        <f t="shared" si="39"/>
        <v>39850368</v>
      </c>
      <c r="AD43" s="696">
        <f t="shared" si="40"/>
        <v>17464662.878208</v>
      </c>
      <c r="AE43" s="702">
        <f t="shared" si="41"/>
        <v>22385705.121792</v>
      </c>
      <c r="AF43" s="703">
        <f t="shared" si="42"/>
        <v>0.56169999999999998</v>
      </c>
      <c r="AG43" s="702">
        <f t="shared" si="43"/>
        <v>114339390.121792</v>
      </c>
      <c r="AH43" s="465">
        <f t="shared" si="62"/>
        <v>4966</v>
      </c>
      <c r="AI43" s="702">
        <f>+'Table 3A Level 3'!O45</f>
        <v>3585187</v>
      </c>
      <c r="AJ43" s="465">
        <f t="shared" si="63"/>
        <v>155.71521021542739</v>
      </c>
      <c r="AK43" s="702">
        <f t="shared" si="44"/>
        <v>117924577.121792</v>
      </c>
      <c r="AL43" s="465">
        <f t="shared" si="64"/>
        <v>5121.8110285698403</v>
      </c>
      <c r="AM43" s="704">
        <f>+'Table 3A Level 3'!P45</f>
        <v>19708203.480000004</v>
      </c>
      <c r="AN43" s="705">
        <f t="shared" si="65"/>
        <v>855.98521021542751</v>
      </c>
      <c r="AO43" s="702">
        <f t="shared" si="45"/>
        <v>134047593.60179201</v>
      </c>
      <c r="AP43" s="465">
        <f t="shared" si="66"/>
        <v>5822.0810285698408</v>
      </c>
      <c r="AQ43" s="703">
        <f t="shared" si="46"/>
        <v>0.65282901708003638</v>
      </c>
      <c r="AR43" s="706">
        <f t="shared" si="47"/>
        <v>30</v>
      </c>
      <c r="AS43" s="465">
        <f t="shared" si="48"/>
        <v>71285794</v>
      </c>
      <c r="AT43" s="465">
        <f t="shared" si="67"/>
        <v>3096.15</v>
      </c>
      <c r="AU43" s="706">
        <f t="shared" si="49"/>
        <v>47</v>
      </c>
      <c r="AV43" s="703">
        <f t="shared" si="50"/>
        <v>0.34717098291996362</v>
      </c>
      <c r="AW43" s="706">
        <f t="shared" si="51"/>
        <v>205333387.60179201</v>
      </c>
      <c r="AX43" s="707">
        <f t="shared" si="68"/>
        <v>8918.232609528839</v>
      </c>
      <c r="AY43" s="706">
        <f t="shared" si="52"/>
        <v>45</v>
      </c>
      <c r="AZ43" s="427"/>
    </row>
    <row r="44" spans="1:52" s="690" customFormat="1" ht="15.6" customHeight="1">
      <c r="A44" s="673">
        <v>41</v>
      </c>
      <c r="B44" s="674" t="s">
        <v>113</v>
      </c>
      <c r="C44" s="675">
        <f>+'Table 8 Membership 2.1.14'!W43</f>
        <v>1451</v>
      </c>
      <c r="D44" s="675">
        <f>+'[5]ALL- TABLE 3 '!AA46-'[5]ALL- TABLE 3 '!W46-'[5]ALL- TABLE 3 '!X46-'[5]ALL- TABLE 3 '!Y46-'[5]ALL- TABLE 3 '!Z46</f>
        <v>1271</v>
      </c>
      <c r="E44" s="675">
        <f t="shared" si="54"/>
        <v>280</v>
      </c>
      <c r="F44" s="675">
        <f>+'[6]MS6887_Total CTE T3 corrected'!M46</f>
        <v>554</v>
      </c>
      <c r="G44" s="675">
        <f t="shared" si="55"/>
        <v>33</v>
      </c>
      <c r="H44" s="675">
        <f>+'[7]MFP Funded SWD -Table 3'!W45</f>
        <v>130</v>
      </c>
      <c r="I44" s="675">
        <f t="shared" si="29"/>
        <v>195</v>
      </c>
      <c r="J44" s="675">
        <f>+'[7]MFP Funded GT -Table 3'!S45</f>
        <v>2</v>
      </c>
      <c r="K44" s="675">
        <f t="shared" si="30"/>
        <v>1</v>
      </c>
      <c r="L44" s="676">
        <f t="shared" si="56"/>
        <v>6049</v>
      </c>
      <c r="M44" s="677">
        <f t="shared" si="57"/>
        <v>0.16131000000000001</v>
      </c>
      <c r="N44" s="675">
        <f t="shared" si="58"/>
        <v>234</v>
      </c>
      <c r="O44" s="675">
        <f t="shared" si="31"/>
        <v>743</v>
      </c>
      <c r="P44" s="675">
        <f t="shared" si="59"/>
        <v>2194</v>
      </c>
      <c r="Q44" s="678">
        <f t="shared" si="32"/>
        <v>3961</v>
      </c>
      <c r="R44" s="678">
        <f t="shared" si="60"/>
        <v>8690434</v>
      </c>
      <c r="S44" s="678">
        <f>'Table 6 (Local Deduct Calc.)'!J46</f>
        <v>4477269</v>
      </c>
      <c r="T44" s="678">
        <f t="shared" si="33"/>
        <v>4477269</v>
      </c>
      <c r="U44" s="679">
        <f t="shared" si="34"/>
        <v>4213165</v>
      </c>
      <c r="V44" s="680">
        <f t="shared" si="53"/>
        <v>0.48480000000000001</v>
      </c>
      <c r="W44" s="680">
        <f t="shared" si="35"/>
        <v>0.51519999999999999</v>
      </c>
      <c r="X44" s="681">
        <f t="shared" si="61"/>
        <v>3085.6436940041349</v>
      </c>
      <c r="Y44" s="678">
        <f>'Table 7 Local Revenue'!AQ47</f>
        <v>13221055</v>
      </c>
      <c r="Z44" s="678">
        <f t="shared" si="36"/>
        <v>8743786</v>
      </c>
      <c r="AA44" s="682">
        <f t="shared" si="37"/>
        <v>0</v>
      </c>
      <c r="AB44" s="447">
        <f t="shared" si="38"/>
        <v>2954747.56</v>
      </c>
      <c r="AC44" s="447">
        <f t="shared" si="39"/>
        <v>2954747.56</v>
      </c>
      <c r="AD44" s="678">
        <f t="shared" si="40"/>
        <v>2618331.8218086399</v>
      </c>
      <c r="AE44" s="683">
        <f t="shared" si="41"/>
        <v>336415.73819136014</v>
      </c>
      <c r="AF44" s="684">
        <f t="shared" si="42"/>
        <v>0.1139</v>
      </c>
      <c r="AG44" s="683">
        <f t="shared" si="43"/>
        <v>4549580.7381913606</v>
      </c>
      <c r="AH44" s="447">
        <f t="shared" si="62"/>
        <v>3135</v>
      </c>
      <c r="AI44" s="683">
        <f>+'Table 3A Level 3'!O46</f>
        <v>225943</v>
      </c>
      <c r="AJ44" s="447">
        <f t="shared" si="63"/>
        <v>155.71536871123362</v>
      </c>
      <c r="AK44" s="683">
        <f t="shared" si="44"/>
        <v>4775523.7381913606</v>
      </c>
      <c r="AL44" s="447">
        <f t="shared" si="64"/>
        <v>3291.1948574716475</v>
      </c>
      <c r="AM44" s="685">
        <f>+'Table 3A Level 3'!P46</f>
        <v>1511848.22</v>
      </c>
      <c r="AN44" s="686">
        <f t="shared" si="65"/>
        <v>1041.9353687112337</v>
      </c>
      <c r="AO44" s="683">
        <f t="shared" si="45"/>
        <v>6061428.9581913603</v>
      </c>
      <c r="AP44" s="447">
        <f t="shared" si="66"/>
        <v>4177.4148574716473</v>
      </c>
      <c r="AQ44" s="684">
        <f t="shared" si="46"/>
        <v>0.44921283819018409</v>
      </c>
      <c r="AR44" s="687">
        <f t="shared" si="47"/>
        <v>61</v>
      </c>
      <c r="AS44" s="447">
        <f t="shared" si="48"/>
        <v>7432016.5599999996</v>
      </c>
      <c r="AT44" s="447">
        <f t="shared" si="67"/>
        <v>5122</v>
      </c>
      <c r="AU44" s="687">
        <f t="shared" si="49"/>
        <v>9</v>
      </c>
      <c r="AV44" s="684">
        <f t="shared" si="50"/>
        <v>0.55078716180981591</v>
      </c>
      <c r="AW44" s="687">
        <f t="shared" si="51"/>
        <v>13493445.51819136</v>
      </c>
      <c r="AX44" s="688">
        <f t="shared" si="68"/>
        <v>9299.4111083331227</v>
      </c>
      <c r="AY44" s="687">
        <f t="shared" si="52"/>
        <v>23</v>
      </c>
      <c r="AZ44" s="427"/>
    </row>
    <row r="45" spans="1:52" s="690" customFormat="1" ht="15.6" customHeight="1">
      <c r="A45" s="673">
        <v>42</v>
      </c>
      <c r="B45" s="674" t="s">
        <v>114</v>
      </c>
      <c r="C45" s="674">
        <f>+'Table 8 Membership 2.1.14'!W44</f>
        <v>3244</v>
      </c>
      <c r="D45" s="675">
        <f>+'[5]ALL- TABLE 3 '!AA47-'[5]ALL- TABLE 3 '!W47-'[5]ALL- TABLE 3 '!X47-'[5]ALL- TABLE 3 '!Y47-'[5]ALL- TABLE 3 '!Z47</f>
        <v>2751</v>
      </c>
      <c r="E45" s="675">
        <f t="shared" si="54"/>
        <v>605</v>
      </c>
      <c r="F45" s="675">
        <f>+'[6]MS6887_Total CTE T3 corrected'!M47</f>
        <v>1156</v>
      </c>
      <c r="G45" s="675">
        <f t="shared" si="55"/>
        <v>69</v>
      </c>
      <c r="H45" s="675">
        <f>+'[7]MFP Funded SWD -Table 3'!W46</f>
        <v>361</v>
      </c>
      <c r="I45" s="675">
        <f t="shared" si="29"/>
        <v>542</v>
      </c>
      <c r="J45" s="675">
        <f>+'[7]MFP Funded GT -Table 3'!S46</f>
        <v>50</v>
      </c>
      <c r="K45" s="675">
        <f t="shared" si="30"/>
        <v>30</v>
      </c>
      <c r="L45" s="675">
        <f t="shared" si="56"/>
        <v>4256</v>
      </c>
      <c r="M45" s="677">
        <f t="shared" si="57"/>
        <v>0.11348999999999999</v>
      </c>
      <c r="N45" s="675">
        <f t="shared" si="58"/>
        <v>368</v>
      </c>
      <c r="O45" s="675">
        <f t="shared" si="31"/>
        <v>1614</v>
      </c>
      <c r="P45" s="675">
        <f t="shared" si="59"/>
        <v>4858</v>
      </c>
      <c r="Q45" s="678">
        <f t="shared" si="32"/>
        <v>3961</v>
      </c>
      <c r="R45" s="678">
        <f t="shared" si="60"/>
        <v>19242538</v>
      </c>
      <c r="S45" s="678">
        <f>'Table 6 (Local Deduct Calc.)'!J47</f>
        <v>5949917</v>
      </c>
      <c r="T45" s="678">
        <f t="shared" si="33"/>
        <v>5949917</v>
      </c>
      <c r="U45" s="679">
        <f t="shared" si="34"/>
        <v>13292621</v>
      </c>
      <c r="V45" s="680">
        <f t="shared" si="53"/>
        <v>0.69079999999999997</v>
      </c>
      <c r="W45" s="680">
        <f t="shared" si="35"/>
        <v>0.30919999999999997</v>
      </c>
      <c r="X45" s="681">
        <f t="shared" si="61"/>
        <v>1834.129778051788</v>
      </c>
      <c r="Y45" s="678">
        <f>'Table 7 Local Revenue'!AQ48</f>
        <v>11910886</v>
      </c>
      <c r="Z45" s="678">
        <f t="shared" si="36"/>
        <v>5960969</v>
      </c>
      <c r="AA45" s="682">
        <f t="shared" si="37"/>
        <v>0</v>
      </c>
      <c r="AB45" s="447">
        <f t="shared" si="38"/>
        <v>6542462.9200000009</v>
      </c>
      <c r="AC45" s="447">
        <f t="shared" si="39"/>
        <v>5960969</v>
      </c>
      <c r="AD45" s="678">
        <f t="shared" si="40"/>
        <v>3170186.3774559996</v>
      </c>
      <c r="AE45" s="683">
        <f t="shared" si="41"/>
        <v>2790782.6225440004</v>
      </c>
      <c r="AF45" s="684">
        <f t="shared" si="42"/>
        <v>0.46820000000000001</v>
      </c>
      <c r="AG45" s="683">
        <f t="shared" si="43"/>
        <v>16083403.622544</v>
      </c>
      <c r="AH45" s="447">
        <f t="shared" si="62"/>
        <v>4958</v>
      </c>
      <c r="AI45" s="683">
        <f>+'Table 3A Level 3'!O47</f>
        <v>505140</v>
      </c>
      <c r="AJ45" s="447">
        <f t="shared" si="63"/>
        <v>155.71516646115907</v>
      </c>
      <c r="AK45" s="683">
        <f t="shared" si="44"/>
        <v>16588543.622544</v>
      </c>
      <c r="AL45" s="447">
        <f t="shared" si="64"/>
        <v>5113.6077751368684</v>
      </c>
      <c r="AM45" s="685">
        <f>+'Table 3A Level 3'!P47</f>
        <v>2238344.3199999998</v>
      </c>
      <c r="AN45" s="686">
        <f t="shared" si="65"/>
        <v>689.99516646115899</v>
      </c>
      <c r="AO45" s="683">
        <f t="shared" si="45"/>
        <v>18321747.942543998</v>
      </c>
      <c r="AP45" s="447">
        <f t="shared" si="66"/>
        <v>5647.8877751368673</v>
      </c>
      <c r="AQ45" s="684">
        <f t="shared" si="46"/>
        <v>0.6060255278241321</v>
      </c>
      <c r="AR45" s="687">
        <f t="shared" si="47"/>
        <v>44</v>
      </c>
      <c r="AS45" s="447">
        <f t="shared" si="48"/>
        <v>11910886</v>
      </c>
      <c r="AT45" s="447">
        <f t="shared" si="67"/>
        <v>3671.67</v>
      </c>
      <c r="AU45" s="687">
        <f t="shared" si="49"/>
        <v>25</v>
      </c>
      <c r="AV45" s="684">
        <f t="shared" si="50"/>
        <v>0.3939744721758679</v>
      </c>
      <c r="AW45" s="687">
        <f t="shared" si="51"/>
        <v>30232633.942543998</v>
      </c>
      <c r="AX45" s="688">
        <f t="shared" si="68"/>
        <v>9319.5542362959313</v>
      </c>
      <c r="AY45" s="687">
        <f t="shared" si="52"/>
        <v>21</v>
      </c>
      <c r="AZ45" s="427"/>
    </row>
    <row r="46" spans="1:52" s="690" customFormat="1" ht="15.6" customHeight="1">
      <c r="A46" s="673">
        <v>43</v>
      </c>
      <c r="B46" s="674" t="s">
        <v>115</v>
      </c>
      <c r="C46" s="674">
        <f>+'Table 8 Membership 2.1.14'!W45</f>
        <v>4111</v>
      </c>
      <c r="D46" s="675">
        <f>+'[5]ALL- TABLE 3 '!AA48-'[5]ALL- TABLE 3 '!W48-'[5]ALL- TABLE 3 '!X48-'[5]ALL- TABLE 3 '!Y48-'[5]ALL- TABLE 3 '!Z48</f>
        <v>2839</v>
      </c>
      <c r="E46" s="675">
        <f t="shared" si="54"/>
        <v>625</v>
      </c>
      <c r="F46" s="675">
        <f>+'[6]MS6887_Total CTE T3 corrected'!M48</f>
        <v>1649.5</v>
      </c>
      <c r="G46" s="675">
        <f t="shared" si="55"/>
        <v>99</v>
      </c>
      <c r="H46" s="675">
        <f>+'[7]MFP Funded SWD -Table 3'!W47</f>
        <v>525</v>
      </c>
      <c r="I46" s="675">
        <f t="shared" si="29"/>
        <v>788</v>
      </c>
      <c r="J46" s="675">
        <f>+'[7]MFP Funded GT -Table 3'!S47</f>
        <v>102</v>
      </c>
      <c r="K46" s="675">
        <f t="shared" si="30"/>
        <v>61</v>
      </c>
      <c r="L46" s="675">
        <f t="shared" si="56"/>
        <v>3389</v>
      </c>
      <c r="M46" s="677">
        <f t="shared" si="57"/>
        <v>9.0370000000000006E-2</v>
      </c>
      <c r="N46" s="675">
        <f t="shared" si="58"/>
        <v>372</v>
      </c>
      <c r="O46" s="675">
        <f t="shared" si="31"/>
        <v>1945</v>
      </c>
      <c r="P46" s="675">
        <f t="shared" si="59"/>
        <v>6056</v>
      </c>
      <c r="Q46" s="678">
        <f t="shared" si="32"/>
        <v>3961</v>
      </c>
      <c r="R46" s="678">
        <f t="shared" si="60"/>
        <v>23987816</v>
      </c>
      <c r="S46" s="678">
        <f>'Table 6 (Local Deduct Calc.)'!J48</f>
        <v>5670055.5</v>
      </c>
      <c r="T46" s="678">
        <f t="shared" si="33"/>
        <v>5670055.5</v>
      </c>
      <c r="U46" s="679">
        <f t="shared" si="34"/>
        <v>18317760.5</v>
      </c>
      <c r="V46" s="680">
        <f t="shared" si="53"/>
        <v>0.76359999999999995</v>
      </c>
      <c r="W46" s="680">
        <f t="shared" si="35"/>
        <v>0.2364</v>
      </c>
      <c r="X46" s="681">
        <f t="shared" si="61"/>
        <v>1379.2399659450255</v>
      </c>
      <c r="Y46" s="678">
        <f>'Table 7 Local Revenue'!AQ49</f>
        <v>15024959.5</v>
      </c>
      <c r="Z46" s="678">
        <f t="shared" si="36"/>
        <v>9354904</v>
      </c>
      <c r="AA46" s="682">
        <f t="shared" si="37"/>
        <v>0</v>
      </c>
      <c r="AB46" s="447">
        <f t="shared" si="38"/>
        <v>8155857.4400000004</v>
      </c>
      <c r="AC46" s="447">
        <f t="shared" si="39"/>
        <v>8155857.4400000004</v>
      </c>
      <c r="AD46" s="678">
        <f t="shared" si="40"/>
        <v>3316236.8819635198</v>
      </c>
      <c r="AE46" s="683">
        <f t="shared" si="41"/>
        <v>4839620.5580364801</v>
      </c>
      <c r="AF46" s="684">
        <f t="shared" si="42"/>
        <v>0.59340000000000004</v>
      </c>
      <c r="AG46" s="683">
        <f t="shared" si="43"/>
        <v>23157381.05803648</v>
      </c>
      <c r="AH46" s="447">
        <f t="shared" si="62"/>
        <v>5633</v>
      </c>
      <c r="AI46" s="683">
        <f>+'Table 3A Level 3'!O48</f>
        <v>640145</v>
      </c>
      <c r="AJ46" s="447">
        <f t="shared" si="63"/>
        <v>155.71515446363415</v>
      </c>
      <c r="AK46" s="683">
        <f t="shared" si="44"/>
        <v>23797526.05803648</v>
      </c>
      <c r="AL46" s="447">
        <f t="shared" si="64"/>
        <v>5788.74387205947</v>
      </c>
      <c r="AM46" s="685">
        <f>+'Table 3A Level 3'!P48</f>
        <v>3002366.7099999995</v>
      </c>
      <c r="AN46" s="686">
        <f t="shared" si="65"/>
        <v>730.32515446363402</v>
      </c>
      <c r="AO46" s="683">
        <f t="shared" si="45"/>
        <v>26159747.768036481</v>
      </c>
      <c r="AP46" s="447">
        <f t="shared" si="66"/>
        <v>6363.3538720594697</v>
      </c>
      <c r="AQ46" s="684">
        <f t="shared" si="46"/>
        <v>0.65422822343857856</v>
      </c>
      <c r="AR46" s="687">
        <f t="shared" si="47"/>
        <v>29</v>
      </c>
      <c r="AS46" s="447">
        <f t="shared" si="48"/>
        <v>13825912.939999999</v>
      </c>
      <c r="AT46" s="447">
        <f t="shared" si="67"/>
        <v>3363.15</v>
      </c>
      <c r="AU46" s="687">
        <f t="shared" si="49"/>
        <v>36</v>
      </c>
      <c r="AV46" s="684">
        <f t="shared" si="50"/>
        <v>0.34577177656142144</v>
      </c>
      <c r="AW46" s="687">
        <f t="shared" si="51"/>
        <v>39985660.708036482</v>
      </c>
      <c r="AX46" s="688">
        <f t="shared" si="68"/>
        <v>9726.5046723513697</v>
      </c>
      <c r="AY46" s="687">
        <f t="shared" si="52"/>
        <v>13</v>
      </c>
      <c r="AZ46" s="427"/>
    </row>
    <row r="47" spans="1:52" s="690" customFormat="1" ht="15.6" customHeight="1">
      <c r="A47" s="673">
        <v>44</v>
      </c>
      <c r="B47" s="674" t="s">
        <v>116</v>
      </c>
      <c r="C47" s="674">
        <f>+'Table 8 Membership 2.1.14'!W46</f>
        <v>6680</v>
      </c>
      <c r="D47" s="675">
        <f>+'[5]ALL- TABLE 3 '!AA49-'[5]ALL- TABLE 3 '!W49-'[5]ALL- TABLE 3 '!X49-'[5]ALL- TABLE 3 '!Y49-'[5]ALL- TABLE 3 '!Z49</f>
        <v>5339</v>
      </c>
      <c r="E47" s="675">
        <f t="shared" si="54"/>
        <v>1175</v>
      </c>
      <c r="F47" s="675">
        <f>+'[6]MS6887_Total CTE T3 corrected'!M49</f>
        <v>1870</v>
      </c>
      <c r="G47" s="675">
        <f t="shared" si="55"/>
        <v>112</v>
      </c>
      <c r="H47" s="675">
        <f>+'[7]MFP Funded SWD -Table 3'!W48</f>
        <v>750</v>
      </c>
      <c r="I47" s="675">
        <f t="shared" si="29"/>
        <v>1125</v>
      </c>
      <c r="J47" s="675">
        <f>+'[7]MFP Funded GT -Table 3'!S48</f>
        <v>145</v>
      </c>
      <c r="K47" s="675">
        <f t="shared" si="30"/>
        <v>87</v>
      </c>
      <c r="L47" s="675">
        <f t="shared" si="56"/>
        <v>820</v>
      </c>
      <c r="M47" s="677">
        <f t="shared" si="57"/>
        <v>2.1870000000000001E-2</v>
      </c>
      <c r="N47" s="675">
        <f t="shared" si="58"/>
        <v>146</v>
      </c>
      <c r="O47" s="675">
        <f t="shared" si="31"/>
        <v>2645</v>
      </c>
      <c r="P47" s="675">
        <f t="shared" si="59"/>
        <v>9325</v>
      </c>
      <c r="Q47" s="678">
        <f t="shared" si="32"/>
        <v>3961</v>
      </c>
      <c r="R47" s="678">
        <f t="shared" si="60"/>
        <v>36936325</v>
      </c>
      <c r="S47" s="678">
        <f>'Table 6 (Local Deduct Calc.)'!J49</f>
        <v>11243763</v>
      </c>
      <c r="T47" s="678">
        <f t="shared" si="33"/>
        <v>11243763</v>
      </c>
      <c r="U47" s="679">
        <f t="shared" si="34"/>
        <v>25692562</v>
      </c>
      <c r="V47" s="680">
        <f t="shared" si="53"/>
        <v>0.6956</v>
      </c>
      <c r="W47" s="680">
        <f t="shared" si="35"/>
        <v>0.3044</v>
      </c>
      <c r="X47" s="681">
        <f t="shared" si="61"/>
        <v>1683.1980538922155</v>
      </c>
      <c r="Y47" s="678">
        <f>'Table 7 Local Revenue'!AQ50</f>
        <v>30159033</v>
      </c>
      <c r="Z47" s="678">
        <f t="shared" si="36"/>
        <v>18915270</v>
      </c>
      <c r="AA47" s="682">
        <f t="shared" si="37"/>
        <v>0</v>
      </c>
      <c r="AB47" s="447">
        <f t="shared" si="38"/>
        <v>12558350.5</v>
      </c>
      <c r="AC47" s="447">
        <f t="shared" si="39"/>
        <v>12558350.5</v>
      </c>
      <c r="AD47" s="678">
        <f t="shared" si="40"/>
        <v>6575150.4545840006</v>
      </c>
      <c r="AE47" s="683">
        <f t="shared" si="41"/>
        <v>5983200.0454159994</v>
      </c>
      <c r="AF47" s="684">
        <f t="shared" si="42"/>
        <v>0.47639999999999999</v>
      </c>
      <c r="AG47" s="683">
        <f t="shared" si="43"/>
        <v>31675762.045415998</v>
      </c>
      <c r="AH47" s="447">
        <f t="shared" si="62"/>
        <v>4742</v>
      </c>
      <c r="AI47" s="683">
        <f>+'Table 3A Level 3'!O49</f>
        <v>1040178</v>
      </c>
      <c r="AJ47" s="447">
        <f t="shared" si="63"/>
        <v>155.71526946107784</v>
      </c>
      <c r="AK47" s="683">
        <f t="shared" si="44"/>
        <v>32715940.045415998</v>
      </c>
      <c r="AL47" s="447">
        <f t="shared" si="64"/>
        <v>4897.5958151820359</v>
      </c>
      <c r="AM47" s="685">
        <f>+'Table 3A Level 3'!P49</f>
        <v>5470086.8000000007</v>
      </c>
      <c r="AN47" s="686">
        <f t="shared" si="65"/>
        <v>818.87526946107801</v>
      </c>
      <c r="AO47" s="683">
        <f t="shared" si="45"/>
        <v>37145848.845415995</v>
      </c>
      <c r="AP47" s="447">
        <f t="shared" si="66"/>
        <v>5560.7558151820349</v>
      </c>
      <c r="AQ47" s="684">
        <f t="shared" si="46"/>
        <v>0.60946826466315496</v>
      </c>
      <c r="AR47" s="687">
        <f t="shared" si="47"/>
        <v>42</v>
      </c>
      <c r="AS47" s="447">
        <f t="shared" si="48"/>
        <v>23802113.5</v>
      </c>
      <c r="AT47" s="447">
        <f t="shared" si="67"/>
        <v>3563.19</v>
      </c>
      <c r="AU47" s="687">
        <f t="shared" si="49"/>
        <v>29</v>
      </c>
      <c r="AV47" s="684">
        <f t="shared" si="50"/>
        <v>0.3905317353368451</v>
      </c>
      <c r="AW47" s="687">
        <f t="shared" si="51"/>
        <v>60947962.345415995</v>
      </c>
      <c r="AX47" s="688">
        <f t="shared" si="68"/>
        <v>9123.9464588946103</v>
      </c>
      <c r="AY47" s="687">
        <f t="shared" si="52"/>
        <v>33</v>
      </c>
      <c r="AZ47" s="427"/>
    </row>
    <row r="48" spans="1:52" s="708" customFormat="1" ht="15.6" customHeight="1">
      <c r="A48" s="691">
        <v>45</v>
      </c>
      <c r="B48" s="692" t="s">
        <v>117</v>
      </c>
      <c r="C48" s="692">
        <f>+'Table 8 Membership 2.1.14'!W47</f>
        <v>9418</v>
      </c>
      <c r="D48" s="693">
        <f>+'[5]ALL- TABLE 3 '!AA50-'[5]ALL- TABLE 3 '!W50-'[5]ALL- TABLE 3 '!X50-'[5]ALL- TABLE 3 '!Y50-'[5]ALL- TABLE 3 '!Z50</f>
        <v>5001</v>
      </c>
      <c r="E48" s="693">
        <f t="shared" si="54"/>
        <v>1100</v>
      </c>
      <c r="F48" s="693">
        <f>+'[6]MS6887_Total CTE T3 corrected'!M50</f>
        <v>4226.5</v>
      </c>
      <c r="G48" s="693">
        <f t="shared" si="55"/>
        <v>254</v>
      </c>
      <c r="H48" s="693">
        <f>+'[7]MFP Funded SWD -Table 3'!W49</f>
        <v>923</v>
      </c>
      <c r="I48" s="693">
        <f t="shared" si="29"/>
        <v>1385</v>
      </c>
      <c r="J48" s="693">
        <f>+'[7]MFP Funded GT -Table 3'!S49</f>
        <v>488</v>
      </c>
      <c r="K48" s="693">
        <f t="shared" si="30"/>
        <v>293</v>
      </c>
      <c r="L48" s="693">
        <f t="shared" si="56"/>
        <v>0</v>
      </c>
      <c r="M48" s="694">
        <f t="shared" si="57"/>
        <v>0</v>
      </c>
      <c r="N48" s="693">
        <f t="shared" si="58"/>
        <v>0</v>
      </c>
      <c r="O48" s="693">
        <f t="shared" si="31"/>
        <v>3032</v>
      </c>
      <c r="P48" s="695">
        <f t="shared" si="59"/>
        <v>12450</v>
      </c>
      <c r="Q48" s="696">
        <f t="shared" si="32"/>
        <v>3961</v>
      </c>
      <c r="R48" s="696">
        <f t="shared" si="60"/>
        <v>49314450</v>
      </c>
      <c r="S48" s="696">
        <f>'Table 6 (Local Deduct Calc.)'!J50</f>
        <v>34870382</v>
      </c>
      <c r="T48" s="696">
        <f t="shared" si="33"/>
        <v>34870382</v>
      </c>
      <c r="U48" s="697">
        <f t="shared" si="34"/>
        <v>14444068</v>
      </c>
      <c r="V48" s="698">
        <f t="shared" si="53"/>
        <v>0.29289999999999999</v>
      </c>
      <c r="W48" s="699">
        <f t="shared" si="35"/>
        <v>0.70709999999999995</v>
      </c>
      <c r="X48" s="700">
        <f t="shared" si="61"/>
        <v>3702.525164578467</v>
      </c>
      <c r="Y48" s="696">
        <f>'Table 7 Local Revenue'!AQ51</f>
        <v>120404647</v>
      </c>
      <c r="Z48" s="696">
        <f t="shared" si="36"/>
        <v>85534265</v>
      </c>
      <c r="AA48" s="701">
        <f t="shared" si="37"/>
        <v>0</v>
      </c>
      <c r="AB48" s="465">
        <f t="shared" si="38"/>
        <v>16766913.000000002</v>
      </c>
      <c r="AC48" s="465">
        <f t="shared" si="39"/>
        <v>16766913.000000002</v>
      </c>
      <c r="AD48" s="696">
        <f t="shared" si="40"/>
        <v>20392120.793556001</v>
      </c>
      <c r="AE48" s="702">
        <f t="shared" si="41"/>
        <v>0</v>
      </c>
      <c r="AF48" s="703">
        <f t="shared" si="42"/>
        <v>0</v>
      </c>
      <c r="AG48" s="702">
        <f t="shared" si="43"/>
        <v>14444068</v>
      </c>
      <c r="AH48" s="465">
        <f t="shared" si="62"/>
        <v>1534</v>
      </c>
      <c r="AI48" s="702">
        <f>+'Table 3A Level 3'!O50</f>
        <v>4900949</v>
      </c>
      <c r="AJ48" s="465">
        <f t="shared" si="63"/>
        <v>520.38107878530468</v>
      </c>
      <c r="AK48" s="702">
        <f t="shared" si="44"/>
        <v>19345017</v>
      </c>
      <c r="AL48" s="465">
        <f t="shared" si="64"/>
        <v>2054.0472499469101</v>
      </c>
      <c r="AM48" s="704">
        <f>+'Table 3A Level 3'!P50</f>
        <v>12001744.280000001</v>
      </c>
      <c r="AN48" s="705">
        <f t="shared" si="65"/>
        <v>1274.3410787853049</v>
      </c>
      <c r="AO48" s="702">
        <f t="shared" si="45"/>
        <v>26445812.280000001</v>
      </c>
      <c r="AP48" s="465">
        <f t="shared" si="66"/>
        <v>2808.0072499469102</v>
      </c>
      <c r="AQ48" s="703">
        <f t="shared" si="46"/>
        <v>0.33868801077763666</v>
      </c>
      <c r="AR48" s="706">
        <f t="shared" si="47"/>
        <v>66</v>
      </c>
      <c r="AS48" s="465">
        <f t="shared" si="48"/>
        <v>51637295</v>
      </c>
      <c r="AT48" s="465">
        <f t="shared" si="67"/>
        <v>5482.83</v>
      </c>
      <c r="AU48" s="706">
        <f t="shared" si="49"/>
        <v>7</v>
      </c>
      <c r="AV48" s="703">
        <f t="shared" si="50"/>
        <v>0.66131198922236334</v>
      </c>
      <c r="AW48" s="706">
        <f t="shared" si="51"/>
        <v>78083107.280000001</v>
      </c>
      <c r="AX48" s="707">
        <f t="shared" si="68"/>
        <v>8290.8374686770021</v>
      </c>
      <c r="AY48" s="706">
        <f t="shared" si="52"/>
        <v>63</v>
      </c>
      <c r="AZ48" s="427"/>
    </row>
    <row r="49" spans="1:52" s="690" customFormat="1" ht="15.6" customHeight="1">
      <c r="A49" s="673">
        <v>46</v>
      </c>
      <c r="B49" s="674" t="s">
        <v>118</v>
      </c>
      <c r="C49" s="675">
        <f>+'Table 8 Membership 2.1.14'!W48</f>
        <v>1041</v>
      </c>
      <c r="D49" s="675">
        <f>+'[5]ALL- TABLE 3 '!AA51-'[5]ALL- TABLE 3 '!W51-'[5]ALL- TABLE 3 '!X51-'[5]ALL- TABLE 3 '!Y51-'[5]ALL- TABLE 3 '!Z51</f>
        <v>984</v>
      </c>
      <c r="E49" s="675">
        <f t="shared" si="54"/>
        <v>216</v>
      </c>
      <c r="F49" s="675">
        <f>+'[6]MS6887_Total CTE T3 corrected'!M51</f>
        <v>347</v>
      </c>
      <c r="G49" s="675">
        <f t="shared" si="55"/>
        <v>21</v>
      </c>
      <c r="H49" s="675">
        <f>+'[7]MFP Funded SWD -Table 3'!W50</f>
        <v>163</v>
      </c>
      <c r="I49" s="675">
        <f t="shared" si="29"/>
        <v>245</v>
      </c>
      <c r="J49" s="675">
        <f>+'[7]MFP Funded GT -Table 3'!S50</f>
        <v>18</v>
      </c>
      <c r="K49" s="675">
        <f t="shared" si="30"/>
        <v>11</v>
      </c>
      <c r="L49" s="676">
        <f t="shared" si="56"/>
        <v>6459</v>
      </c>
      <c r="M49" s="677">
        <f t="shared" si="57"/>
        <v>0.17224</v>
      </c>
      <c r="N49" s="675">
        <f t="shared" si="58"/>
        <v>179</v>
      </c>
      <c r="O49" s="675">
        <f t="shared" si="31"/>
        <v>672</v>
      </c>
      <c r="P49" s="675">
        <f t="shared" si="59"/>
        <v>1713</v>
      </c>
      <c r="Q49" s="678">
        <f t="shared" si="32"/>
        <v>3961</v>
      </c>
      <c r="R49" s="678">
        <f t="shared" si="60"/>
        <v>6785193</v>
      </c>
      <c r="S49" s="678">
        <f>'Table 6 (Local Deduct Calc.)'!J51</f>
        <v>1409644.5</v>
      </c>
      <c r="T49" s="678">
        <f t="shared" si="33"/>
        <v>1409644.5</v>
      </c>
      <c r="U49" s="679">
        <f t="shared" si="34"/>
        <v>5375548.5</v>
      </c>
      <c r="V49" s="680">
        <f t="shared" si="53"/>
        <v>0.79220000000000002</v>
      </c>
      <c r="W49" s="680">
        <f t="shared" si="35"/>
        <v>0.20780000000000001</v>
      </c>
      <c r="X49" s="681">
        <f t="shared" si="61"/>
        <v>1354.1253602305476</v>
      </c>
      <c r="Y49" s="678">
        <f>'Table 7 Local Revenue'!AQ52</f>
        <v>2594961.5</v>
      </c>
      <c r="Z49" s="678">
        <f t="shared" si="36"/>
        <v>1185317</v>
      </c>
      <c r="AA49" s="682">
        <f t="shared" si="37"/>
        <v>0</v>
      </c>
      <c r="AB49" s="447">
        <f t="shared" si="38"/>
        <v>2306965.62</v>
      </c>
      <c r="AC49" s="447">
        <f t="shared" si="39"/>
        <v>1185317</v>
      </c>
      <c r="AD49" s="678">
        <f t="shared" si="40"/>
        <v>423651.26087200001</v>
      </c>
      <c r="AE49" s="683">
        <f t="shared" si="41"/>
        <v>761665.73912799999</v>
      </c>
      <c r="AF49" s="684">
        <f t="shared" si="42"/>
        <v>0.64259999999999995</v>
      </c>
      <c r="AG49" s="683">
        <f t="shared" si="43"/>
        <v>6137214.2391280001</v>
      </c>
      <c r="AH49" s="447">
        <f t="shared" si="62"/>
        <v>5895</v>
      </c>
      <c r="AI49" s="683">
        <f>+'Table 3A Level 3'!O51</f>
        <v>162100</v>
      </c>
      <c r="AJ49" s="447">
        <f t="shared" si="63"/>
        <v>155.71565802113352</v>
      </c>
      <c r="AK49" s="683">
        <f t="shared" si="44"/>
        <v>6299314.2391280001</v>
      </c>
      <c r="AL49" s="447">
        <f t="shared" si="64"/>
        <v>6051.2144468088381</v>
      </c>
      <c r="AM49" s="685">
        <f>+'Table 3A Level 3'!P51</f>
        <v>920010.46</v>
      </c>
      <c r="AN49" s="686">
        <f t="shared" si="65"/>
        <v>883.77565802113349</v>
      </c>
      <c r="AO49" s="683">
        <f t="shared" si="45"/>
        <v>7057224.6991280001</v>
      </c>
      <c r="AP49" s="447">
        <f t="shared" si="66"/>
        <v>6779.2744468088376</v>
      </c>
      <c r="AQ49" s="684">
        <f t="shared" si="46"/>
        <v>0.73115297959809</v>
      </c>
      <c r="AR49" s="687">
        <f t="shared" si="47"/>
        <v>7</v>
      </c>
      <c r="AS49" s="447">
        <f t="shared" si="48"/>
        <v>2594961.5</v>
      </c>
      <c r="AT49" s="447">
        <f t="shared" si="67"/>
        <v>2492.7600000000002</v>
      </c>
      <c r="AU49" s="687">
        <f t="shared" si="49"/>
        <v>60</v>
      </c>
      <c r="AV49" s="684">
        <f t="shared" si="50"/>
        <v>0.26884702040191005</v>
      </c>
      <c r="AW49" s="687">
        <f t="shared" si="51"/>
        <v>9652186.1991280001</v>
      </c>
      <c r="AX49" s="688">
        <f t="shared" si="68"/>
        <v>9272.0328521882802</v>
      </c>
      <c r="AY49" s="687">
        <f t="shared" si="52"/>
        <v>25</v>
      </c>
      <c r="AZ49" s="427"/>
    </row>
    <row r="50" spans="1:52" s="690" customFormat="1" ht="15.6" customHeight="1">
      <c r="A50" s="673">
        <v>47</v>
      </c>
      <c r="B50" s="674" t="s">
        <v>119</v>
      </c>
      <c r="C50" s="674">
        <f>+'Table 8 Membership 2.1.14'!W49</f>
        <v>3629</v>
      </c>
      <c r="D50" s="675">
        <f>+'[5]ALL- TABLE 3 '!AA52-'[5]ALL- TABLE 3 '!W52-'[5]ALL- TABLE 3 '!X52-'[5]ALL- TABLE 3 '!Y52-'[5]ALL- TABLE 3 '!Z52</f>
        <v>2613</v>
      </c>
      <c r="E50" s="675">
        <f t="shared" si="54"/>
        <v>575</v>
      </c>
      <c r="F50" s="675">
        <f>+'[6]MS6887_Total CTE T3 corrected'!M52</f>
        <v>1665</v>
      </c>
      <c r="G50" s="675">
        <f t="shared" si="55"/>
        <v>100</v>
      </c>
      <c r="H50" s="675">
        <f>+'[7]MFP Funded SWD -Table 3'!W51</f>
        <v>522</v>
      </c>
      <c r="I50" s="675">
        <f t="shared" si="29"/>
        <v>783</v>
      </c>
      <c r="J50" s="675">
        <f>+'[7]MFP Funded GT -Table 3'!S51</f>
        <v>82</v>
      </c>
      <c r="K50" s="675">
        <f t="shared" si="30"/>
        <v>49</v>
      </c>
      <c r="L50" s="675">
        <f t="shared" si="56"/>
        <v>3871</v>
      </c>
      <c r="M50" s="677">
        <f t="shared" si="57"/>
        <v>0.10323</v>
      </c>
      <c r="N50" s="675">
        <f t="shared" si="58"/>
        <v>375</v>
      </c>
      <c r="O50" s="675">
        <f t="shared" si="31"/>
        <v>1882</v>
      </c>
      <c r="P50" s="675">
        <f t="shared" si="59"/>
        <v>5511</v>
      </c>
      <c r="Q50" s="678">
        <f t="shared" si="32"/>
        <v>3961</v>
      </c>
      <c r="R50" s="678">
        <f t="shared" si="60"/>
        <v>21829071</v>
      </c>
      <c r="S50" s="678">
        <f>'Table 6 (Local Deduct Calc.)'!J52</f>
        <v>14250541</v>
      </c>
      <c r="T50" s="678">
        <f t="shared" si="33"/>
        <v>14250541</v>
      </c>
      <c r="U50" s="679">
        <f t="shared" si="34"/>
        <v>7578530</v>
      </c>
      <c r="V50" s="680">
        <f t="shared" si="53"/>
        <v>0.34720000000000001</v>
      </c>
      <c r="W50" s="680">
        <f t="shared" si="35"/>
        <v>0.65280000000000005</v>
      </c>
      <c r="X50" s="681">
        <f t="shared" si="61"/>
        <v>3926.8506475613117</v>
      </c>
      <c r="Y50" s="678">
        <f>'Table 7 Local Revenue'!AQ53</f>
        <v>47263036</v>
      </c>
      <c r="Z50" s="678">
        <f t="shared" si="36"/>
        <v>33012495</v>
      </c>
      <c r="AA50" s="682">
        <f t="shared" si="37"/>
        <v>0</v>
      </c>
      <c r="AB50" s="447">
        <f t="shared" si="38"/>
        <v>7421884.1400000006</v>
      </c>
      <c r="AC50" s="447">
        <f t="shared" si="39"/>
        <v>7421884.1400000006</v>
      </c>
      <c r="AD50" s="678">
        <f t="shared" si="40"/>
        <v>8333410.2625382412</v>
      </c>
      <c r="AE50" s="683">
        <f t="shared" si="41"/>
        <v>0</v>
      </c>
      <c r="AF50" s="684">
        <f t="shared" si="42"/>
        <v>0</v>
      </c>
      <c r="AG50" s="683">
        <f t="shared" si="43"/>
        <v>7578530</v>
      </c>
      <c r="AH50" s="447">
        <f t="shared" si="62"/>
        <v>2088</v>
      </c>
      <c r="AI50" s="683">
        <f>+'Table 3A Level 3'!O52</f>
        <v>1581605</v>
      </c>
      <c r="AJ50" s="447">
        <f t="shared" si="63"/>
        <v>435.82391843483055</v>
      </c>
      <c r="AK50" s="683">
        <f t="shared" si="44"/>
        <v>9160135</v>
      </c>
      <c r="AL50" s="447">
        <f t="shared" si="64"/>
        <v>2524.1485257646736</v>
      </c>
      <c r="AM50" s="685">
        <f>+'Table 3A Level 3'!P52</f>
        <v>4886753.04</v>
      </c>
      <c r="AN50" s="686">
        <f t="shared" si="65"/>
        <v>1346.5839184348306</v>
      </c>
      <c r="AO50" s="683">
        <f t="shared" si="45"/>
        <v>12465283.039999999</v>
      </c>
      <c r="AP50" s="447">
        <f t="shared" si="66"/>
        <v>3434.9085257646734</v>
      </c>
      <c r="AQ50" s="684">
        <f t="shared" si="46"/>
        <v>0.36514703840906754</v>
      </c>
      <c r="AR50" s="687">
        <f t="shared" si="47"/>
        <v>64</v>
      </c>
      <c r="AS50" s="447">
        <f t="shared" si="48"/>
        <v>21672425.140000001</v>
      </c>
      <c r="AT50" s="447">
        <f t="shared" si="67"/>
        <v>5972.01</v>
      </c>
      <c r="AU50" s="687">
        <f t="shared" si="49"/>
        <v>3</v>
      </c>
      <c r="AV50" s="684">
        <f t="shared" si="50"/>
        <v>0.63485296159093241</v>
      </c>
      <c r="AW50" s="687">
        <f t="shared" si="51"/>
        <v>34137708.18</v>
      </c>
      <c r="AX50" s="688">
        <f t="shared" si="68"/>
        <v>9406.9187599889774</v>
      </c>
      <c r="AY50" s="687">
        <f t="shared" si="52"/>
        <v>19</v>
      </c>
      <c r="AZ50" s="427"/>
    </row>
    <row r="51" spans="1:52" s="690" customFormat="1" ht="15.6" customHeight="1">
      <c r="A51" s="673">
        <v>48</v>
      </c>
      <c r="B51" s="674" t="s">
        <v>144</v>
      </c>
      <c r="C51" s="674">
        <f>+'Table 8 Membership 2.1.14'!W50</f>
        <v>5795</v>
      </c>
      <c r="D51" s="675">
        <f>+'[5]ALL- TABLE 3 '!AA53-'[5]ALL- TABLE 3 '!W53-'[5]ALL- TABLE 3 '!X53-'[5]ALL- TABLE 3 '!Y53-'[5]ALL- TABLE 3 '!Z53</f>
        <v>5111</v>
      </c>
      <c r="E51" s="675">
        <f t="shared" si="54"/>
        <v>1124</v>
      </c>
      <c r="F51" s="675">
        <f>+'[6]MS6887_Total CTE T3 corrected'!M53</f>
        <v>2280</v>
      </c>
      <c r="G51" s="675">
        <f t="shared" si="55"/>
        <v>137</v>
      </c>
      <c r="H51" s="675">
        <f>+'[7]MFP Funded SWD -Table 3'!W52</f>
        <v>842</v>
      </c>
      <c r="I51" s="675">
        <f t="shared" si="29"/>
        <v>1263</v>
      </c>
      <c r="J51" s="675">
        <f>+'[7]MFP Funded GT -Table 3'!S52</f>
        <v>118</v>
      </c>
      <c r="K51" s="675">
        <f t="shared" si="30"/>
        <v>71</v>
      </c>
      <c r="L51" s="675">
        <f t="shared" si="56"/>
        <v>1705</v>
      </c>
      <c r="M51" s="677">
        <f t="shared" si="57"/>
        <v>4.5469999999999997E-2</v>
      </c>
      <c r="N51" s="675">
        <f t="shared" si="58"/>
        <v>263</v>
      </c>
      <c r="O51" s="675">
        <f t="shared" si="31"/>
        <v>2858</v>
      </c>
      <c r="P51" s="675">
        <f t="shared" si="59"/>
        <v>8653</v>
      </c>
      <c r="Q51" s="678">
        <f t="shared" si="32"/>
        <v>3961</v>
      </c>
      <c r="R51" s="678">
        <f t="shared" si="60"/>
        <v>34274533</v>
      </c>
      <c r="S51" s="678">
        <f>'Table 6 (Local Deduct Calc.)'!J53</f>
        <v>14983557</v>
      </c>
      <c r="T51" s="678">
        <f t="shared" si="33"/>
        <v>14983557</v>
      </c>
      <c r="U51" s="679">
        <f t="shared" si="34"/>
        <v>19290976</v>
      </c>
      <c r="V51" s="680">
        <f t="shared" si="53"/>
        <v>0.56279999999999997</v>
      </c>
      <c r="W51" s="680">
        <f t="shared" si="35"/>
        <v>0.43719999999999998</v>
      </c>
      <c r="X51" s="681">
        <f t="shared" si="61"/>
        <v>2585.6008628127697</v>
      </c>
      <c r="Y51" s="678">
        <f>'Table 7 Local Revenue'!AQ54</f>
        <v>38118036</v>
      </c>
      <c r="Z51" s="678">
        <f t="shared" si="36"/>
        <v>23134479</v>
      </c>
      <c r="AA51" s="682">
        <f t="shared" si="37"/>
        <v>0</v>
      </c>
      <c r="AB51" s="447">
        <f t="shared" si="38"/>
        <v>11653341.220000001</v>
      </c>
      <c r="AC51" s="447">
        <f t="shared" si="39"/>
        <v>11653341.220000001</v>
      </c>
      <c r="AD51" s="678">
        <f t="shared" si="40"/>
        <v>8763126.1439804807</v>
      </c>
      <c r="AE51" s="683">
        <f t="shared" si="41"/>
        <v>2890215.0760195199</v>
      </c>
      <c r="AF51" s="684">
        <f t="shared" si="42"/>
        <v>0.248</v>
      </c>
      <c r="AG51" s="683">
        <f t="shared" si="43"/>
        <v>22181191.076019518</v>
      </c>
      <c r="AH51" s="447">
        <f t="shared" si="62"/>
        <v>3828</v>
      </c>
      <c r="AI51" s="683">
        <f>+'Table 3A Level 3'!O53</f>
        <v>902370</v>
      </c>
      <c r="AJ51" s="447">
        <f t="shared" si="63"/>
        <v>155.71527178602244</v>
      </c>
      <c r="AK51" s="683">
        <f t="shared" si="44"/>
        <v>23083561.076019518</v>
      </c>
      <c r="AL51" s="447">
        <f t="shared" si="64"/>
        <v>3983.3582529800719</v>
      </c>
      <c r="AM51" s="685">
        <f>+'Table 3A Level 3'!P53</f>
        <v>5950220.6500000004</v>
      </c>
      <c r="AN51" s="686">
        <f t="shared" si="65"/>
        <v>1026.7852717860226</v>
      </c>
      <c r="AO51" s="683">
        <f t="shared" si="45"/>
        <v>28131411.726019517</v>
      </c>
      <c r="AP51" s="447">
        <f t="shared" si="66"/>
        <v>4854.4282529800721</v>
      </c>
      <c r="AQ51" s="684">
        <f t="shared" si="46"/>
        <v>0.51364396224287856</v>
      </c>
      <c r="AR51" s="687">
        <f t="shared" si="47"/>
        <v>54</v>
      </c>
      <c r="AS51" s="447">
        <f t="shared" si="48"/>
        <v>26636898.219999999</v>
      </c>
      <c r="AT51" s="447">
        <f t="shared" si="67"/>
        <v>4596.53</v>
      </c>
      <c r="AU51" s="687">
        <f t="shared" si="49"/>
        <v>13</v>
      </c>
      <c r="AV51" s="684">
        <f t="shared" si="50"/>
        <v>0.4863560377571215</v>
      </c>
      <c r="AW51" s="687">
        <f t="shared" si="51"/>
        <v>54768309.946019515</v>
      </c>
      <c r="AX51" s="688">
        <f t="shared" si="68"/>
        <v>9450.9594384848169</v>
      </c>
      <c r="AY51" s="687">
        <f t="shared" si="52"/>
        <v>18</v>
      </c>
      <c r="AZ51" s="427"/>
    </row>
    <row r="52" spans="1:52" s="690" customFormat="1" ht="15.6" customHeight="1">
      <c r="A52" s="673">
        <v>49</v>
      </c>
      <c r="B52" s="674" t="s">
        <v>120</v>
      </c>
      <c r="C52" s="674">
        <f>+'Table 8 Membership 2.1.14'!W51</f>
        <v>14495</v>
      </c>
      <c r="D52" s="675">
        <f>+'[5]ALL- TABLE 3 '!AA54-'[5]ALL- TABLE 3 '!W54-'[5]ALL- TABLE 3 '!X54-'[5]ALL- TABLE 3 '!Y54-'[5]ALL- TABLE 3 '!Z54</f>
        <v>11499</v>
      </c>
      <c r="E52" s="675">
        <f t="shared" si="54"/>
        <v>2530</v>
      </c>
      <c r="F52" s="675">
        <f>+'[6]MS6887_Total CTE T3 corrected'!M54</f>
        <v>4485</v>
      </c>
      <c r="G52" s="675">
        <f t="shared" si="55"/>
        <v>269</v>
      </c>
      <c r="H52" s="675">
        <f>+'[7]MFP Funded SWD -Table 3'!W53</f>
        <v>1823</v>
      </c>
      <c r="I52" s="675">
        <f t="shared" si="29"/>
        <v>2735</v>
      </c>
      <c r="J52" s="675">
        <f>+'[7]MFP Funded GT -Table 3'!S53</f>
        <v>332</v>
      </c>
      <c r="K52" s="675">
        <f t="shared" si="30"/>
        <v>199</v>
      </c>
      <c r="L52" s="675">
        <f t="shared" si="56"/>
        <v>0</v>
      </c>
      <c r="M52" s="677">
        <f t="shared" si="57"/>
        <v>0</v>
      </c>
      <c r="N52" s="675">
        <f t="shared" si="58"/>
        <v>0</v>
      </c>
      <c r="O52" s="675">
        <f t="shared" si="31"/>
        <v>5733</v>
      </c>
      <c r="P52" s="675">
        <f t="shared" si="59"/>
        <v>20228</v>
      </c>
      <c r="Q52" s="678">
        <f t="shared" si="32"/>
        <v>3961</v>
      </c>
      <c r="R52" s="678">
        <f t="shared" si="60"/>
        <v>80123108</v>
      </c>
      <c r="S52" s="678">
        <f>'Table 6 (Local Deduct Calc.)'!J54</f>
        <v>19425595</v>
      </c>
      <c r="T52" s="678">
        <f t="shared" si="33"/>
        <v>19425595</v>
      </c>
      <c r="U52" s="679">
        <f t="shared" si="34"/>
        <v>60697513</v>
      </c>
      <c r="V52" s="680">
        <f t="shared" si="53"/>
        <v>0.75760000000000005</v>
      </c>
      <c r="W52" s="680">
        <f t="shared" si="35"/>
        <v>0.2424</v>
      </c>
      <c r="X52" s="681">
        <f t="shared" si="61"/>
        <v>1340.1583304587789</v>
      </c>
      <c r="Y52" s="678">
        <f>'Table 7 Local Revenue'!AQ55</f>
        <v>35651054</v>
      </c>
      <c r="Z52" s="678">
        <f t="shared" si="36"/>
        <v>16225459</v>
      </c>
      <c r="AA52" s="682">
        <f t="shared" si="37"/>
        <v>0</v>
      </c>
      <c r="AB52" s="447">
        <f t="shared" si="38"/>
        <v>27241856.720000003</v>
      </c>
      <c r="AC52" s="447">
        <f t="shared" si="39"/>
        <v>16225459</v>
      </c>
      <c r="AD52" s="678">
        <f t="shared" si="40"/>
        <v>6764848.1699520005</v>
      </c>
      <c r="AE52" s="683">
        <f t="shared" si="41"/>
        <v>9460610.8300479986</v>
      </c>
      <c r="AF52" s="684">
        <f t="shared" si="42"/>
        <v>0.58309999999999995</v>
      </c>
      <c r="AG52" s="683">
        <f t="shared" si="43"/>
        <v>70158123.830047995</v>
      </c>
      <c r="AH52" s="447">
        <f t="shared" si="62"/>
        <v>4840</v>
      </c>
      <c r="AI52" s="683">
        <f>+'Table 3A Level 3'!O54</f>
        <v>2257092</v>
      </c>
      <c r="AJ52" s="447">
        <f t="shared" si="63"/>
        <v>155.71521214211796</v>
      </c>
      <c r="AK52" s="683">
        <f t="shared" si="44"/>
        <v>72415215.830047995</v>
      </c>
      <c r="AL52" s="447">
        <f t="shared" si="64"/>
        <v>4995.8755315659191</v>
      </c>
      <c r="AM52" s="685">
        <f>+'Table 3A Level 3'!P54</f>
        <v>10583599.799999999</v>
      </c>
      <c r="AN52" s="686">
        <f t="shared" si="65"/>
        <v>730.15521214211788</v>
      </c>
      <c r="AO52" s="683">
        <f t="shared" si="45"/>
        <v>80741723.630047992</v>
      </c>
      <c r="AP52" s="447">
        <f t="shared" si="66"/>
        <v>5570.3155315659187</v>
      </c>
      <c r="AQ52" s="684">
        <f t="shared" si="46"/>
        <v>0.69370046212561287</v>
      </c>
      <c r="AR52" s="687">
        <f t="shared" si="47"/>
        <v>17</v>
      </c>
      <c r="AS52" s="447">
        <f t="shared" si="48"/>
        <v>35651054</v>
      </c>
      <c r="AT52" s="447">
        <f t="shared" si="67"/>
        <v>2459.54</v>
      </c>
      <c r="AU52" s="687">
        <f t="shared" si="49"/>
        <v>61</v>
      </c>
      <c r="AV52" s="684">
        <f t="shared" si="50"/>
        <v>0.30629953787438707</v>
      </c>
      <c r="AW52" s="687">
        <f t="shared" si="51"/>
        <v>116392777.63004799</v>
      </c>
      <c r="AX52" s="688">
        <f t="shared" si="68"/>
        <v>8029.8570286338736</v>
      </c>
      <c r="AY52" s="687">
        <f t="shared" si="52"/>
        <v>66</v>
      </c>
      <c r="AZ52" s="427"/>
    </row>
    <row r="53" spans="1:52" s="708" customFormat="1" ht="15.6" customHeight="1">
      <c r="A53" s="691">
        <v>50</v>
      </c>
      <c r="B53" s="692" t="s">
        <v>121</v>
      </c>
      <c r="C53" s="692">
        <f>+'Table 8 Membership 2.1.14'!W52</f>
        <v>7921</v>
      </c>
      <c r="D53" s="693">
        <f>+'[5]ALL- TABLE 3 '!AA55-'[5]ALL- TABLE 3 '!W55-'[5]ALL- TABLE 3 '!X55-'[5]ALL- TABLE 3 '!Y55-'[5]ALL- TABLE 3 '!Z55</f>
        <v>5973</v>
      </c>
      <c r="E53" s="693">
        <f t="shared" si="54"/>
        <v>1314</v>
      </c>
      <c r="F53" s="693">
        <f>+'[6]MS6887_Total CTE T3 corrected'!M55</f>
        <v>3391.5</v>
      </c>
      <c r="G53" s="693">
        <f t="shared" si="55"/>
        <v>203</v>
      </c>
      <c r="H53" s="693">
        <f>+'[7]MFP Funded SWD -Table 3'!W54</f>
        <v>895</v>
      </c>
      <c r="I53" s="693">
        <f t="shared" si="29"/>
        <v>1343</v>
      </c>
      <c r="J53" s="693">
        <f>+'[7]MFP Funded GT -Table 3'!S54</f>
        <v>159</v>
      </c>
      <c r="K53" s="693">
        <f t="shared" si="30"/>
        <v>95</v>
      </c>
      <c r="L53" s="693">
        <f t="shared" si="56"/>
        <v>0</v>
      </c>
      <c r="M53" s="694">
        <f t="shared" si="57"/>
        <v>0</v>
      </c>
      <c r="N53" s="693">
        <f t="shared" si="58"/>
        <v>0</v>
      </c>
      <c r="O53" s="693">
        <f t="shared" si="31"/>
        <v>2955</v>
      </c>
      <c r="P53" s="695">
        <f t="shared" si="59"/>
        <v>10876</v>
      </c>
      <c r="Q53" s="696">
        <f t="shared" si="32"/>
        <v>3961</v>
      </c>
      <c r="R53" s="696">
        <f t="shared" si="60"/>
        <v>43079836</v>
      </c>
      <c r="S53" s="696">
        <f>'Table 6 (Local Deduct Calc.)'!J55</f>
        <v>11189182.5</v>
      </c>
      <c r="T53" s="696">
        <f t="shared" si="33"/>
        <v>11189182.5</v>
      </c>
      <c r="U53" s="697">
        <f t="shared" si="34"/>
        <v>31890653.5</v>
      </c>
      <c r="V53" s="698">
        <f t="shared" si="53"/>
        <v>0.74029999999999996</v>
      </c>
      <c r="W53" s="699">
        <f t="shared" si="35"/>
        <v>0.25969999999999999</v>
      </c>
      <c r="X53" s="700">
        <f t="shared" si="61"/>
        <v>1412.597209948239</v>
      </c>
      <c r="Y53" s="696">
        <f>'Table 7 Local Revenue'!AQ56</f>
        <v>25445779.5</v>
      </c>
      <c r="Z53" s="696">
        <f t="shared" si="36"/>
        <v>14256597</v>
      </c>
      <c r="AA53" s="701">
        <f t="shared" si="37"/>
        <v>0</v>
      </c>
      <c r="AB53" s="465">
        <f t="shared" si="38"/>
        <v>14647144.24</v>
      </c>
      <c r="AC53" s="465">
        <f t="shared" si="39"/>
        <v>14256597</v>
      </c>
      <c r="AD53" s="696">
        <f t="shared" si="40"/>
        <v>6368193.7743479991</v>
      </c>
      <c r="AE53" s="702">
        <f t="shared" si="41"/>
        <v>7888403.2256520009</v>
      </c>
      <c r="AF53" s="703">
        <f t="shared" si="42"/>
        <v>0.55330000000000001</v>
      </c>
      <c r="AG53" s="702">
        <f t="shared" si="43"/>
        <v>39779056.725652002</v>
      </c>
      <c r="AH53" s="465">
        <f t="shared" si="62"/>
        <v>5022</v>
      </c>
      <c r="AI53" s="702">
        <f>+'Table 3A Level 3'!O55</f>
        <v>1233420</v>
      </c>
      <c r="AJ53" s="465">
        <f t="shared" si="63"/>
        <v>155.71518747632874</v>
      </c>
      <c r="AK53" s="702">
        <f t="shared" si="44"/>
        <v>41012476.725652002</v>
      </c>
      <c r="AL53" s="465">
        <f t="shared" si="64"/>
        <v>5177.6892722701677</v>
      </c>
      <c r="AM53" s="704">
        <f>+'Table 3A Level 3'!P55</f>
        <v>6258977.6600000001</v>
      </c>
      <c r="AN53" s="705">
        <f t="shared" si="65"/>
        <v>790.1751874763288</v>
      </c>
      <c r="AO53" s="702">
        <f t="shared" si="45"/>
        <v>46038034.385652006</v>
      </c>
      <c r="AP53" s="465">
        <f t="shared" si="66"/>
        <v>5812.1492722701687</v>
      </c>
      <c r="AQ53" s="703">
        <f t="shared" si="46"/>
        <v>0.64403438880997654</v>
      </c>
      <c r="AR53" s="706">
        <f t="shared" si="47"/>
        <v>31</v>
      </c>
      <c r="AS53" s="465">
        <f t="shared" si="48"/>
        <v>25445779.5</v>
      </c>
      <c r="AT53" s="465">
        <f t="shared" si="67"/>
        <v>3212.45</v>
      </c>
      <c r="AU53" s="706">
        <f t="shared" si="49"/>
        <v>43</v>
      </c>
      <c r="AV53" s="703">
        <f t="shared" si="50"/>
        <v>0.35596561119002346</v>
      </c>
      <c r="AW53" s="706">
        <f t="shared" si="51"/>
        <v>71483813.885652006</v>
      </c>
      <c r="AX53" s="707">
        <f t="shared" si="68"/>
        <v>9024.5946074551193</v>
      </c>
      <c r="AY53" s="706">
        <f t="shared" si="52"/>
        <v>39</v>
      </c>
      <c r="AZ53" s="427"/>
    </row>
    <row r="54" spans="1:52" s="690" customFormat="1" ht="15.6" customHeight="1">
      <c r="A54" s="673">
        <v>51</v>
      </c>
      <c r="B54" s="674" t="s">
        <v>122</v>
      </c>
      <c r="C54" s="675">
        <f>+'Table 8 Membership 2.1.14'!W53</f>
        <v>8894</v>
      </c>
      <c r="D54" s="675">
        <f>+'[5]ALL- TABLE 3 '!AA56-'[5]ALL- TABLE 3 '!W56-'[5]ALL- TABLE 3 '!X56-'[5]ALL- TABLE 3 '!Y56-'[5]ALL- TABLE 3 '!Z56</f>
        <v>6566</v>
      </c>
      <c r="E54" s="675">
        <f t="shared" si="54"/>
        <v>1445</v>
      </c>
      <c r="F54" s="675">
        <f>+'[6]MS6887_Total CTE T3 corrected'!M56</f>
        <v>3471</v>
      </c>
      <c r="G54" s="675">
        <f t="shared" si="55"/>
        <v>208</v>
      </c>
      <c r="H54" s="675">
        <f>+'[7]MFP Funded SWD -Table 3'!W55</f>
        <v>1309</v>
      </c>
      <c r="I54" s="675">
        <f t="shared" si="29"/>
        <v>1964</v>
      </c>
      <c r="J54" s="675">
        <f>+'[7]MFP Funded GT -Table 3'!S55</f>
        <v>557</v>
      </c>
      <c r="K54" s="675">
        <f t="shared" si="30"/>
        <v>334</v>
      </c>
      <c r="L54" s="676">
        <f t="shared" si="56"/>
        <v>0</v>
      </c>
      <c r="M54" s="677">
        <f t="shared" si="57"/>
        <v>0</v>
      </c>
      <c r="N54" s="675">
        <f t="shared" si="58"/>
        <v>0</v>
      </c>
      <c r="O54" s="675">
        <f t="shared" si="31"/>
        <v>3951</v>
      </c>
      <c r="P54" s="675">
        <f t="shared" si="59"/>
        <v>12845</v>
      </c>
      <c r="Q54" s="678">
        <f t="shared" si="32"/>
        <v>3961</v>
      </c>
      <c r="R54" s="678">
        <f t="shared" si="60"/>
        <v>50879045</v>
      </c>
      <c r="S54" s="678">
        <f>'Table 6 (Local Deduct Calc.)'!J56</f>
        <v>20579940.5</v>
      </c>
      <c r="T54" s="678">
        <f t="shared" si="33"/>
        <v>20579940.5</v>
      </c>
      <c r="U54" s="679">
        <f t="shared" si="34"/>
        <v>30299104.5</v>
      </c>
      <c r="V54" s="680">
        <f t="shared" si="53"/>
        <v>0.59550000000000003</v>
      </c>
      <c r="W54" s="680">
        <f t="shared" si="35"/>
        <v>0.40450000000000003</v>
      </c>
      <c r="X54" s="681">
        <f t="shared" si="61"/>
        <v>2313.9128063863277</v>
      </c>
      <c r="Y54" s="678">
        <f>'Table 7 Local Revenue'!AQ57</f>
        <v>40023883.5</v>
      </c>
      <c r="Z54" s="678">
        <f t="shared" si="36"/>
        <v>19443943</v>
      </c>
      <c r="AA54" s="682">
        <f t="shared" si="37"/>
        <v>0</v>
      </c>
      <c r="AB54" s="447">
        <f t="shared" si="38"/>
        <v>17298875.300000001</v>
      </c>
      <c r="AC54" s="447">
        <f t="shared" si="39"/>
        <v>17298875.300000001</v>
      </c>
      <c r="AD54" s="678">
        <f t="shared" si="40"/>
        <v>12035519.501222001</v>
      </c>
      <c r="AE54" s="683">
        <f t="shared" si="41"/>
        <v>5263355.7987779994</v>
      </c>
      <c r="AF54" s="684">
        <f t="shared" si="42"/>
        <v>0.30430000000000001</v>
      </c>
      <c r="AG54" s="683">
        <f t="shared" si="43"/>
        <v>35562460.298777997</v>
      </c>
      <c r="AH54" s="447">
        <f t="shared" si="62"/>
        <v>3998</v>
      </c>
      <c r="AI54" s="683">
        <f>+'Table 3A Level 3'!O56</f>
        <v>1384931</v>
      </c>
      <c r="AJ54" s="447">
        <f t="shared" si="63"/>
        <v>155.71520125927591</v>
      </c>
      <c r="AK54" s="683">
        <f t="shared" si="44"/>
        <v>36947391.298777997</v>
      </c>
      <c r="AL54" s="447">
        <f t="shared" si="64"/>
        <v>4154.1928602178996</v>
      </c>
      <c r="AM54" s="685">
        <f>+'Table 3A Level 3'!P56</f>
        <v>7669965.04</v>
      </c>
      <c r="AN54" s="686">
        <f t="shared" si="65"/>
        <v>862.37520125927597</v>
      </c>
      <c r="AO54" s="683">
        <f t="shared" si="45"/>
        <v>43232425.338777997</v>
      </c>
      <c r="AP54" s="447">
        <f t="shared" si="66"/>
        <v>4860.8528602178994</v>
      </c>
      <c r="AQ54" s="684">
        <f t="shared" si="46"/>
        <v>0.53300164973199082</v>
      </c>
      <c r="AR54" s="687">
        <f t="shared" si="47"/>
        <v>52</v>
      </c>
      <c r="AS54" s="447">
        <f t="shared" si="48"/>
        <v>37878815.799999997</v>
      </c>
      <c r="AT54" s="447">
        <f t="shared" si="67"/>
        <v>4258.92</v>
      </c>
      <c r="AU54" s="687">
        <f t="shared" si="49"/>
        <v>19</v>
      </c>
      <c r="AV54" s="684">
        <f t="shared" si="50"/>
        <v>0.46699835026800907</v>
      </c>
      <c r="AW54" s="687">
        <f t="shared" si="51"/>
        <v>81111241.138778001</v>
      </c>
      <c r="AX54" s="688">
        <f t="shared" si="68"/>
        <v>9119.7707599255682</v>
      </c>
      <c r="AY54" s="687">
        <f t="shared" si="52"/>
        <v>34</v>
      </c>
      <c r="AZ54" s="427"/>
    </row>
    <row r="55" spans="1:52" s="690" customFormat="1" ht="15.6" customHeight="1">
      <c r="A55" s="673">
        <v>52</v>
      </c>
      <c r="B55" s="674" t="s">
        <v>123</v>
      </c>
      <c r="C55" s="674">
        <f>+'Table 8 Membership 2.1.14'!W54</f>
        <v>37226</v>
      </c>
      <c r="D55" s="675">
        <f>+'[5]ALL- TABLE 3 '!AA57-'[5]ALL- TABLE 3 '!W57-'[5]ALL- TABLE 3 '!X57-'[5]ALL- TABLE 3 '!Y57-'[5]ALL- TABLE 3 '!Z57</f>
        <v>17227</v>
      </c>
      <c r="E55" s="675">
        <f t="shared" si="54"/>
        <v>3790</v>
      </c>
      <c r="F55" s="675">
        <f>+'[6]MS6887_Total CTE T3 corrected'!M57</f>
        <v>16993</v>
      </c>
      <c r="G55" s="675">
        <f t="shared" si="55"/>
        <v>1020</v>
      </c>
      <c r="H55" s="675">
        <f>+'[7]MFP Funded SWD -Table 3'!W56</f>
        <v>6138</v>
      </c>
      <c r="I55" s="675">
        <f t="shared" si="29"/>
        <v>9207</v>
      </c>
      <c r="J55" s="675">
        <f>+'[7]MFP Funded GT -Table 3'!S56</f>
        <v>3248</v>
      </c>
      <c r="K55" s="675">
        <f t="shared" si="30"/>
        <v>1949</v>
      </c>
      <c r="L55" s="675">
        <f t="shared" si="56"/>
        <v>0</v>
      </c>
      <c r="M55" s="677">
        <f t="shared" si="57"/>
        <v>0</v>
      </c>
      <c r="N55" s="675">
        <f t="shared" si="58"/>
        <v>0</v>
      </c>
      <c r="O55" s="675">
        <f t="shared" si="31"/>
        <v>15966</v>
      </c>
      <c r="P55" s="675">
        <f t="shared" si="59"/>
        <v>53192</v>
      </c>
      <c r="Q55" s="678">
        <f t="shared" si="32"/>
        <v>3961</v>
      </c>
      <c r="R55" s="678">
        <f t="shared" si="60"/>
        <v>210693512</v>
      </c>
      <c r="S55" s="678">
        <f>'Table 6 (Local Deduct Calc.)'!J57</f>
        <v>62898477</v>
      </c>
      <c r="T55" s="678">
        <f t="shared" si="33"/>
        <v>62898477</v>
      </c>
      <c r="U55" s="679">
        <f t="shared" si="34"/>
        <v>147795035</v>
      </c>
      <c r="V55" s="680">
        <f t="shared" si="53"/>
        <v>0.70150000000000001</v>
      </c>
      <c r="W55" s="680">
        <f t="shared" si="35"/>
        <v>0.29849999999999999</v>
      </c>
      <c r="X55" s="681">
        <f t="shared" si="61"/>
        <v>1689.6383441680546</v>
      </c>
      <c r="Y55" s="678">
        <f>'Table 7 Local Revenue'!AQ58</f>
        <v>196167866</v>
      </c>
      <c r="Z55" s="678">
        <f t="shared" si="36"/>
        <v>133269389</v>
      </c>
      <c r="AA55" s="682">
        <f t="shared" si="37"/>
        <v>0</v>
      </c>
      <c r="AB55" s="447">
        <f t="shared" si="38"/>
        <v>71635794.079999998</v>
      </c>
      <c r="AC55" s="447">
        <f t="shared" si="39"/>
        <v>71635794.079999998</v>
      </c>
      <c r="AD55" s="678">
        <f t="shared" si="40"/>
        <v>36779249.396553598</v>
      </c>
      <c r="AE55" s="683">
        <f t="shared" si="41"/>
        <v>34856544.6834464</v>
      </c>
      <c r="AF55" s="684">
        <f t="shared" si="42"/>
        <v>0.48659999999999998</v>
      </c>
      <c r="AG55" s="683">
        <f t="shared" si="43"/>
        <v>182651579.68344641</v>
      </c>
      <c r="AH55" s="447">
        <f t="shared" si="62"/>
        <v>4907</v>
      </c>
      <c r="AI55" s="683">
        <f>+'Table 3A Level 3'!O57</f>
        <v>5796654</v>
      </c>
      <c r="AJ55" s="447">
        <f t="shared" si="63"/>
        <v>155.71519905442432</v>
      </c>
      <c r="AK55" s="683">
        <f t="shared" si="44"/>
        <v>188448233.68344641</v>
      </c>
      <c r="AL55" s="447">
        <f t="shared" si="64"/>
        <v>5062.2745845228173</v>
      </c>
      <c r="AM55" s="685">
        <f>+'Table 3A Level 3'!P57</f>
        <v>30305135.620000001</v>
      </c>
      <c r="AN55" s="686">
        <f t="shared" si="65"/>
        <v>814.08519905442438</v>
      </c>
      <c r="AO55" s="683">
        <f t="shared" si="45"/>
        <v>212956715.30344641</v>
      </c>
      <c r="AP55" s="447">
        <f t="shared" si="66"/>
        <v>5720.6445845228181</v>
      </c>
      <c r="AQ55" s="684">
        <f t="shared" si="46"/>
        <v>0.61284097616406863</v>
      </c>
      <c r="AR55" s="687">
        <f t="shared" si="47"/>
        <v>41</v>
      </c>
      <c r="AS55" s="447">
        <f t="shared" si="48"/>
        <v>134534271.08000001</v>
      </c>
      <c r="AT55" s="447">
        <f t="shared" si="67"/>
        <v>3613.99</v>
      </c>
      <c r="AU55" s="687">
        <f t="shared" si="49"/>
        <v>28</v>
      </c>
      <c r="AV55" s="684">
        <f t="shared" si="50"/>
        <v>0.38715902383593126</v>
      </c>
      <c r="AW55" s="687">
        <f t="shared" si="51"/>
        <v>347490986.38344646</v>
      </c>
      <c r="AX55" s="688">
        <f t="shared" si="68"/>
        <v>9334.6313432398438</v>
      </c>
      <c r="AY55" s="687">
        <f t="shared" si="52"/>
        <v>20</v>
      </c>
      <c r="AZ55" s="427"/>
    </row>
    <row r="56" spans="1:52" s="690" customFormat="1" ht="15.6" customHeight="1">
      <c r="A56" s="673">
        <v>53</v>
      </c>
      <c r="B56" s="674" t="s">
        <v>124</v>
      </c>
      <c r="C56" s="674">
        <f>+'Table 8 Membership 2.1.14'!W55</f>
        <v>19434</v>
      </c>
      <c r="D56" s="675">
        <f>+'[5]ALL- TABLE 3 '!AA58-'[5]ALL- TABLE 3 '!W58-'[5]ALL- TABLE 3 '!X58-'[5]ALL- TABLE 3 '!Y58-'[5]ALL- TABLE 3 '!Z58</f>
        <v>15057</v>
      </c>
      <c r="E56" s="675">
        <f t="shared" si="54"/>
        <v>3313</v>
      </c>
      <c r="F56" s="675">
        <f>+'[6]MS6887_Total CTE T3 corrected'!M58</f>
        <v>6756.5</v>
      </c>
      <c r="G56" s="675">
        <f t="shared" si="55"/>
        <v>405</v>
      </c>
      <c r="H56" s="675">
        <f>+'[7]MFP Funded SWD -Table 3'!W57</f>
        <v>2235</v>
      </c>
      <c r="I56" s="675">
        <f t="shared" si="29"/>
        <v>3353</v>
      </c>
      <c r="J56" s="675">
        <f>+'[7]MFP Funded GT -Table 3'!S57</f>
        <v>439</v>
      </c>
      <c r="K56" s="675">
        <f t="shared" si="30"/>
        <v>263</v>
      </c>
      <c r="L56" s="675">
        <f t="shared" si="56"/>
        <v>0</v>
      </c>
      <c r="M56" s="677">
        <f t="shared" si="57"/>
        <v>0</v>
      </c>
      <c r="N56" s="675">
        <f t="shared" si="58"/>
        <v>0</v>
      </c>
      <c r="O56" s="675">
        <f t="shared" si="31"/>
        <v>7334</v>
      </c>
      <c r="P56" s="675">
        <f t="shared" si="59"/>
        <v>26768</v>
      </c>
      <c r="Q56" s="678">
        <f t="shared" si="32"/>
        <v>3961</v>
      </c>
      <c r="R56" s="678">
        <f t="shared" si="60"/>
        <v>106028048</v>
      </c>
      <c r="S56" s="678">
        <f>'Table 6 (Local Deduct Calc.)'!J58</f>
        <v>22618811</v>
      </c>
      <c r="T56" s="678">
        <f t="shared" si="33"/>
        <v>22618811</v>
      </c>
      <c r="U56" s="679">
        <f t="shared" si="34"/>
        <v>83409237</v>
      </c>
      <c r="V56" s="680">
        <f t="shared" si="53"/>
        <v>0.78669999999999995</v>
      </c>
      <c r="W56" s="680">
        <f t="shared" si="35"/>
        <v>0.21329999999999999</v>
      </c>
      <c r="X56" s="681">
        <f t="shared" si="61"/>
        <v>1163.8783060615417</v>
      </c>
      <c r="Y56" s="678">
        <f>'Table 7 Local Revenue'!AQ59</f>
        <v>41420128</v>
      </c>
      <c r="Z56" s="678">
        <f t="shared" si="36"/>
        <v>18801317</v>
      </c>
      <c r="AA56" s="682">
        <f t="shared" si="37"/>
        <v>0</v>
      </c>
      <c r="AB56" s="447">
        <f t="shared" si="38"/>
        <v>36049536.32</v>
      </c>
      <c r="AC56" s="447">
        <f t="shared" si="39"/>
        <v>18801317</v>
      </c>
      <c r="AD56" s="678">
        <f t="shared" si="40"/>
        <v>6897751.9756919993</v>
      </c>
      <c r="AE56" s="683">
        <f t="shared" si="41"/>
        <v>11903565.024308</v>
      </c>
      <c r="AF56" s="684">
        <f t="shared" si="42"/>
        <v>0.6331</v>
      </c>
      <c r="AG56" s="683">
        <f t="shared" si="43"/>
        <v>95312802.024307996</v>
      </c>
      <c r="AH56" s="447">
        <f t="shared" si="62"/>
        <v>4904</v>
      </c>
      <c r="AI56" s="683">
        <f>+'Table 3A Level 3'!O58</f>
        <v>3026169</v>
      </c>
      <c r="AJ56" s="447">
        <f t="shared" si="63"/>
        <v>155.71518987341773</v>
      </c>
      <c r="AK56" s="683">
        <f t="shared" si="44"/>
        <v>98338971.024307996</v>
      </c>
      <c r="AL56" s="447">
        <f t="shared" si="64"/>
        <v>5060.1508194045482</v>
      </c>
      <c r="AM56" s="685">
        <f>+'Table 3A Level 3'!P58</f>
        <v>16430576.16</v>
      </c>
      <c r="AN56" s="686">
        <f t="shared" si="65"/>
        <v>845.45518987341768</v>
      </c>
      <c r="AO56" s="683">
        <f t="shared" si="45"/>
        <v>111743378.18430799</v>
      </c>
      <c r="AP56" s="447">
        <f t="shared" si="66"/>
        <v>5749.890819404548</v>
      </c>
      <c r="AQ56" s="684">
        <f t="shared" si="46"/>
        <v>0.72956920984717177</v>
      </c>
      <c r="AR56" s="687">
        <f t="shared" si="47"/>
        <v>8</v>
      </c>
      <c r="AS56" s="447">
        <f t="shared" si="48"/>
        <v>41420128</v>
      </c>
      <c r="AT56" s="447">
        <f t="shared" si="67"/>
        <v>2131.3200000000002</v>
      </c>
      <c r="AU56" s="687">
        <f t="shared" si="49"/>
        <v>64</v>
      </c>
      <c r="AV56" s="684">
        <f t="shared" si="50"/>
        <v>0.27043079015282823</v>
      </c>
      <c r="AW56" s="687">
        <f t="shared" si="51"/>
        <v>153163506.18430799</v>
      </c>
      <c r="AX56" s="688">
        <f t="shared" si="68"/>
        <v>7881.2136556708856</v>
      </c>
      <c r="AY56" s="687">
        <f t="shared" si="52"/>
        <v>68</v>
      </c>
      <c r="AZ56" s="427"/>
    </row>
    <row r="57" spans="1:52" s="690" customFormat="1" ht="15.6" customHeight="1">
      <c r="A57" s="673">
        <v>54</v>
      </c>
      <c r="B57" s="674" t="s">
        <v>125</v>
      </c>
      <c r="C57" s="674">
        <f>+'Table 8 Membership 2.1.14'!W56</f>
        <v>658</v>
      </c>
      <c r="D57" s="675">
        <f>+'[5]ALL- TABLE 3 '!AA59-'[5]ALL- TABLE 3 '!W59-'[5]ALL- TABLE 3 '!X59-'[5]ALL- TABLE 3 '!Y59-'[5]ALL- TABLE 3 '!Z59</f>
        <v>617</v>
      </c>
      <c r="E57" s="675">
        <f t="shared" si="54"/>
        <v>136</v>
      </c>
      <c r="F57" s="675">
        <f>+'[6]MS6887_Total CTE T3 corrected'!M59</f>
        <v>263.5</v>
      </c>
      <c r="G57" s="675">
        <f t="shared" si="55"/>
        <v>16</v>
      </c>
      <c r="H57" s="675">
        <f>+'[7]MFP Funded SWD -Table 3'!W58</f>
        <v>112</v>
      </c>
      <c r="I57" s="675">
        <f t="shared" si="29"/>
        <v>168</v>
      </c>
      <c r="J57" s="675">
        <f>+'[7]MFP Funded GT -Table 3'!S58</f>
        <v>30</v>
      </c>
      <c r="K57" s="675">
        <f t="shared" si="30"/>
        <v>18</v>
      </c>
      <c r="L57" s="675">
        <f t="shared" si="56"/>
        <v>6842</v>
      </c>
      <c r="M57" s="677">
        <f t="shared" si="57"/>
        <v>0.18245</v>
      </c>
      <c r="N57" s="675">
        <f t="shared" si="58"/>
        <v>120</v>
      </c>
      <c r="O57" s="675">
        <f t="shared" si="31"/>
        <v>458</v>
      </c>
      <c r="P57" s="675">
        <f t="shared" si="59"/>
        <v>1116</v>
      </c>
      <c r="Q57" s="678">
        <f t="shared" si="32"/>
        <v>3961</v>
      </c>
      <c r="R57" s="678">
        <f t="shared" si="60"/>
        <v>4420476</v>
      </c>
      <c r="S57" s="678">
        <f>'Table 6 (Local Deduct Calc.)'!J59</f>
        <v>1301894.5</v>
      </c>
      <c r="T57" s="678">
        <f t="shared" si="33"/>
        <v>1301894.5</v>
      </c>
      <c r="U57" s="679">
        <f t="shared" si="34"/>
        <v>3118581.5</v>
      </c>
      <c r="V57" s="680">
        <f t="shared" si="53"/>
        <v>0.70550000000000002</v>
      </c>
      <c r="W57" s="680">
        <f t="shared" si="35"/>
        <v>0.29449999999999998</v>
      </c>
      <c r="X57" s="681">
        <f t="shared" si="61"/>
        <v>1978.5630699088147</v>
      </c>
      <c r="Y57" s="678">
        <f>'Table 7 Local Revenue'!AQ60</f>
        <v>2597837.5</v>
      </c>
      <c r="Z57" s="678">
        <f t="shared" si="36"/>
        <v>1295943</v>
      </c>
      <c r="AA57" s="682">
        <f t="shared" si="37"/>
        <v>0</v>
      </c>
      <c r="AB57" s="447">
        <f t="shared" si="38"/>
        <v>1502961.84</v>
      </c>
      <c r="AC57" s="447">
        <f t="shared" si="39"/>
        <v>1295943</v>
      </c>
      <c r="AD57" s="678">
        <f t="shared" si="40"/>
        <v>656446.96721999999</v>
      </c>
      <c r="AE57" s="683">
        <f t="shared" si="41"/>
        <v>639496.03278000001</v>
      </c>
      <c r="AF57" s="684">
        <f t="shared" si="42"/>
        <v>0.49349999999999999</v>
      </c>
      <c r="AG57" s="683">
        <f t="shared" si="43"/>
        <v>3758077.53278</v>
      </c>
      <c r="AH57" s="447">
        <f t="shared" si="62"/>
        <v>5711</v>
      </c>
      <c r="AI57" s="683">
        <f>+'Table 3A Level 3'!O59</f>
        <v>102461</v>
      </c>
      <c r="AJ57" s="447">
        <f t="shared" si="63"/>
        <v>155.71580547112461</v>
      </c>
      <c r="AK57" s="683">
        <f t="shared" si="44"/>
        <v>3860538.53278</v>
      </c>
      <c r="AL57" s="447">
        <f t="shared" si="64"/>
        <v>5867.0798370516713</v>
      </c>
      <c r="AM57" s="685">
        <f>+'Table 3A Level 3'!P59</f>
        <v>728515.1</v>
      </c>
      <c r="AN57" s="686">
        <f t="shared" si="65"/>
        <v>1107.1658054711245</v>
      </c>
      <c r="AO57" s="683">
        <f t="shared" si="45"/>
        <v>4486592.6327799996</v>
      </c>
      <c r="AP57" s="447">
        <f t="shared" si="66"/>
        <v>6818.5298370516712</v>
      </c>
      <c r="AQ57" s="684">
        <f t="shared" si="46"/>
        <v>0.63330325074705995</v>
      </c>
      <c r="AR57" s="687">
        <f t="shared" si="47"/>
        <v>38</v>
      </c>
      <c r="AS57" s="447">
        <f t="shared" si="48"/>
        <v>2597837.5</v>
      </c>
      <c r="AT57" s="447">
        <f t="shared" si="67"/>
        <v>3948.08</v>
      </c>
      <c r="AU57" s="687">
        <f t="shared" si="49"/>
        <v>21</v>
      </c>
      <c r="AV57" s="684">
        <f t="shared" si="50"/>
        <v>0.36669674925293999</v>
      </c>
      <c r="AW57" s="687">
        <f t="shared" si="51"/>
        <v>7084430.1327799996</v>
      </c>
      <c r="AX57" s="688">
        <f t="shared" si="68"/>
        <v>10766.611144042552</v>
      </c>
      <c r="AY57" s="687">
        <f t="shared" si="52"/>
        <v>3</v>
      </c>
      <c r="AZ57" s="427"/>
    </row>
    <row r="58" spans="1:52" s="708" customFormat="1" ht="15.6" customHeight="1">
      <c r="A58" s="691">
        <v>55</v>
      </c>
      <c r="B58" s="692" t="s">
        <v>126</v>
      </c>
      <c r="C58" s="692">
        <f>+'Table 8 Membership 2.1.14'!W57</f>
        <v>17790</v>
      </c>
      <c r="D58" s="693">
        <f>+'[5]ALL- TABLE 3 '!AA60-'[5]ALL- TABLE 3 '!W60-'[5]ALL- TABLE 3 '!X60-'[5]ALL- TABLE 3 '!Y60-'[5]ALL- TABLE 3 '!Z60</f>
        <v>12024</v>
      </c>
      <c r="E58" s="693">
        <f t="shared" si="54"/>
        <v>2645</v>
      </c>
      <c r="F58" s="693">
        <f>+'[6]MS6887_Total CTE T3 corrected'!M60</f>
        <v>5894</v>
      </c>
      <c r="G58" s="693">
        <f t="shared" si="55"/>
        <v>354</v>
      </c>
      <c r="H58" s="693">
        <f>+'[7]MFP Funded SWD -Table 3'!W59</f>
        <v>2130</v>
      </c>
      <c r="I58" s="693">
        <f t="shared" si="29"/>
        <v>3195</v>
      </c>
      <c r="J58" s="693">
        <f>+'[7]MFP Funded GT -Table 3'!S59</f>
        <v>653</v>
      </c>
      <c r="K58" s="693">
        <f t="shared" si="30"/>
        <v>392</v>
      </c>
      <c r="L58" s="693">
        <f t="shared" si="56"/>
        <v>0</v>
      </c>
      <c r="M58" s="694">
        <f t="shared" si="57"/>
        <v>0</v>
      </c>
      <c r="N58" s="693">
        <f t="shared" si="58"/>
        <v>0</v>
      </c>
      <c r="O58" s="693">
        <f t="shared" si="31"/>
        <v>6586</v>
      </c>
      <c r="P58" s="695">
        <f t="shared" si="59"/>
        <v>24376</v>
      </c>
      <c r="Q58" s="696">
        <f t="shared" si="32"/>
        <v>3961</v>
      </c>
      <c r="R58" s="696">
        <f t="shared" si="60"/>
        <v>96553336</v>
      </c>
      <c r="S58" s="696">
        <f>'Table 6 (Local Deduct Calc.)'!J60</f>
        <v>33859116</v>
      </c>
      <c r="T58" s="696">
        <f t="shared" si="33"/>
        <v>33859116</v>
      </c>
      <c r="U58" s="697">
        <f t="shared" si="34"/>
        <v>62694220</v>
      </c>
      <c r="V58" s="698">
        <f t="shared" si="53"/>
        <v>0.64929999999999999</v>
      </c>
      <c r="W58" s="699">
        <f t="shared" si="35"/>
        <v>0.35070000000000001</v>
      </c>
      <c r="X58" s="700">
        <f t="shared" si="61"/>
        <v>1903.2667790893761</v>
      </c>
      <c r="Y58" s="696">
        <f>'Table 7 Local Revenue'!AQ61</f>
        <v>60175861</v>
      </c>
      <c r="Z58" s="696">
        <f t="shared" si="36"/>
        <v>26316745</v>
      </c>
      <c r="AA58" s="701">
        <f t="shared" si="37"/>
        <v>0</v>
      </c>
      <c r="AB58" s="465">
        <f t="shared" si="38"/>
        <v>32828134.240000002</v>
      </c>
      <c r="AC58" s="465">
        <f t="shared" si="39"/>
        <v>26316745</v>
      </c>
      <c r="AD58" s="696">
        <f t="shared" si="40"/>
        <v>15874365.850979999</v>
      </c>
      <c r="AE58" s="702">
        <f t="shared" si="41"/>
        <v>10442379.149020001</v>
      </c>
      <c r="AF58" s="703">
        <f t="shared" si="42"/>
        <v>0.39679999999999999</v>
      </c>
      <c r="AG58" s="702">
        <f t="shared" si="43"/>
        <v>73136599.149020001</v>
      </c>
      <c r="AH58" s="465">
        <f t="shared" si="62"/>
        <v>4111</v>
      </c>
      <c r="AI58" s="702">
        <f>+'Table 3A Level 3'!O60</f>
        <v>2770174</v>
      </c>
      <c r="AJ58" s="465">
        <f t="shared" si="63"/>
        <v>155.71523327712197</v>
      </c>
      <c r="AK58" s="702">
        <f t="shared" si="44"/>
        <v>75906773.149020001</v>
      </c>
      <c r="AL58" s="465">
        <f t="shared" si="64"/>
        <v>4266.8225491298481</v>
      </c>
      <c r="AM58" s="704">
        <f>+'Table 3A Level 3'!P60</f>
        <v>16915714.600000001</v>
      </c>
      <c r="AN58" s="705">
        <f t="shared" si="65"/>
        <v>950.85523327712201</v>
      </c>
      <c r="AO58" s="702">
        <f t="shared" si="45"/>
        <v>90052313.74902001</v>
      </c>
      <c r="AP58" s="465">
        <f t="shared" si="66"/>
        <v>5061.9625491298484</v>
      </c>
      <c r="AQ58" s="703">
        <f t="shared" si="46"/>
        <v>0.59943691587458003</v>
      </c>
      <c r="AR58" s="706">
        <f t="shared" si="47"/>
        <v>45</v>
      </c>
      <c r="AS58" s="465">
        <f t="shared" si="48"/>
        <v>60175861</v>
      </c>
      <c r="AT58" s="465">
        <f t="shared" si="67"/>
        <v>3382.57</v>
      </c>
      <c r="AU58" s="706">
        <f t="shared" si="49"/>
        <v>35</v>
      </c>
      <c r="AV58" s="703">
        <f t="shared" si="50"/>
        <v>0.40056308412542002</v>
      </c>
      <c r="AW58" s="706">
        <f t="shared" si="51"/>
        <v>150228174.74902001</v>
      </c>
      <c r="AX58" s="707">
        <f t="shared" si="68"/>
        <v>8444.5292157965159</v>
      </c>
      <c r="AY58" s="706">
        <f t="shared" si="52"/>
        <v>58</v>
      </c>
      <c r="AZ58" s="427"/>
    </row>
    <row r="59" spans="1:52" s="690" customFormat="1" ht="15.6" customHeight="1">
      <c r="A59" s="673">
        <v>56</v>
      </c>
      <c r="B59" s="674" t="s">
        <v>127</v>
      </c>
      <c r="C59" s="675">
        <f>+'Table 8 Membership 2.1.14'!W58+1</f>
        <v>2886</v>
      </c>
      <c r="D59" s="675">
        <f>+'[5]ALL- TABLE 3 '!AA61-'[5]ALL- TABLE 3 '!W61-'[5]ALL- TABLE 3 '!X61-'[5]ALL- TABLE 3 '!Y61-'[5]ALL- TABLE 3 '!Z61</f>
        <v>2113</v>
      </c>
      <c r="E59" s="675">
        <f t="shared" si="54"/>
        <v>465</v>
      </c>
      <c r="F59" s="675">
        <f>+'[6]MS6887_Total CTE T3 corrected'!M61</f>
        <v>823.5</v>
      </c>
      <c r="G59" s="675">
        <f t="shared" si="55"/>
        <v>49</v>
      </c>
      <c r="H59" s="675">
        <f>+'[7]MFP Funded SWD -Table 3'!W60</f>
        <v>347</v>
      </c>
      <c r="I59" s="675">
        <f t="shared" si="29"/>
        <v>521</v>
      </c>
      <c r="J59" s="675">
        <f>+'[7]MFP Funded GT -Table 3'!S60</f>
        <v>14</v>
      </c>
      <c r="K59" s="675">
        <f t="shared" si="30"/>
        <v>8</v>
      </c>
      <c r="L59" s="676">
        <f t="shared" si="56"/>
        <v>4614</v>
      </c>
      <c r="M59" s="677">
        <f t="shared" si="57"/>
        <v>0.12304</v>
      </c>
      <c r="N59" s="675">
        <f t="shared" si="58"/>
        <v>355</v>
      </c>
      <c r="O59" s="675">
        <f t="shared" si="31"/>
        <v>1398</v>
      </c>
      <c r="P59" s="675">
        <f t="shared" si="59"/>
        <v>4284</v>
      </c>
      <c r="Q59" s="678">
        <f t="shared" si="32"/>
        <v>3961</v>
      </c>
      <c r="R59" s="678">
        <f t="shared" si="60"/>
        <v>16968924</v>
      </c>
      <c r="S59" s="678">
        <f>'Table 6 (Local Deduct Calc.)'!J61</f>
        <v>4825455.5</v>
      </c>
      <c r="T59" s="678">
        <f t="shared" si="33"/>
        <v>4825455.5</v>
      </c>
      <c r="U59" s="679">
        <f t="shared" si="34"/>
        <v>12143468.5</v>
      </c>
      <c r="V59" s="680">
        <f t="shared" si="53"/>
        <v>0.71560000000000001</v>
      </c>
      <c r="W59" s="680">
        <f t="shared" si="35"/>
        <v>0.28439999999999999</v>
      </c>
      <c r="X59" s="681">
        <f t="shared" si="61"/>
        <v>1672.0220027720027</v>
      </c>
      <c r="Y59" s="678">
        <f>'Table 7 Local Revenue'!AQ62</f>
        <v>8582781.5</v>
      </c>
      <c r="Z59" s="678">
        <f t="shared" si="36"/>
        <v>3757326</v>
      </c>
      <c r="AA59" s="682">
        <f t="shared" si="37"/>
        <v>0</v>
      </c>
      <c r="AB59" s="447">
        <f t="shared" si="38"/>
        <v>5769434.1600000001</v>
      </c>
      <c r="AC59" s="447">
        <f t="shared" si="39"/>
        <v>3757326</v>
      </c>
      <c r="AD59" s="678">
        <f t="shared" si="40"/>
        <v>1837963.6447679999</v>
      </c>
      <c r="AE59" s="683">
        <f t="shared" si="41"/>
        <v>1919362.3552320001</v>
      </c>
      <c r="AF59" s="684">
        <f t="shared" si="42"/>
        <v>0.51080000000000003</v>
      </c>
      <c r="AG59" s="683">
        <f t="shared" si="43"/>
        <v>14062830.855232</v>
      </c>
      <c r="AH59" s="447">
        <f t="shared" si="62"/>
        <v>4873</v>
      </c>
      <c r="AI59" s="683">
        <f>+'Table 3A Level 3'!O61</f>
        <v>449394</v>
      </c>
      <c r="AJ59" s="447">
        <f t="shared" si="63"/>
        <v>155.71517671517671</v>
      </c>
      <c r="AK59" s="683">
        <f t="shared" si="44"/>
        <v>14512224.855232</v>
      </c>
      <c r="AL59" s="447">
        <f t="shared" si="64"/>
        <v>5028.4909408288286</v>
      </c>
      <c r="AM59" s="685">
        <f>+'Table 3A Level 3'!P61</f>
        <v>2223302.7600000002</v>
      </c>
      <c r="AN59" s="686">
        <f t="shared" si="65"/>
        <v>770.37517671517685</v>
      </c>
      <c r="AO59" s="683">
        <f>AG59+AM59</f>
        <v>16286133.615232</v>
      </c>
      <c r="AP59" s="447">
        <f t="shared" si="66"/>
        <v>5643.1509408288284</v>
      </c>
      <c r="AQ59" s="684">
        <f t="shared" si="46"/>
        <v>0.65487913484641247</v>
      </c>
      <c r="AR59" s="687">
        <f t="shared" si="47"/>
        <v>28</v>
      </c>
      <c r="AS59" s="447">
        <f t="shared" si="48"/>
        <v>8582781.5</v>
      </c>
      <c r="AT59" s="447">
        <f t="shared" si="67"/>
        <v>2973.94</v>
      </c>
      <c r="AU59" s="687">
        <f t="shared" si="49"/>
        <v>50</v>
      </c>
      <c r="AV59" s="684">
        <f t="shared" si="50"/>
        <v>0.34512086515358764</v>
      </c>
      <c r="AW59" s="687">
        <f t="shared" si="51"/>
        <v>24868915.115231998</v>
      </c>
      <c r="AX59" s="688">
        <f t="shared" si="68"/>
        <v>8617.0877045155921</v>
      </c>
      <c r="AY59" s="687">
        <f t="shared" si="52"/>
        <v>54</v>
      </c>
      <c r="AZ59" s="427"/>
    </row>
    <row r="60" spans="1:52" s="690" customFormat="1" ht="15.6" customHeight="1">
      <c r="A60" s="673">
        <v>57</v>
      </c>
      <c r="B60" s="674" t="s">
        <v>128</v>
      </c>
      <c r="C60" s="674">
        <f>+'Table 8 Membership 2.1.14'!W59</f>
        <v>9125</v>
      </c>
      <c r="D60" s="675">
        <f>+'[5]ALL- TABLE 3 '!AA62-'[5]ALL- TABLE 3 '!W62-'[5]ALL- TABLE 3 '!X62-'[5]ALL- TABLE 3 '!Y62-'[5]ALL- TABLE 3 '!Z62</f>
        <v>5352</v>
      </c>
      <c r="E60" s="675">
        <f t="shared" si="54"/>
        <v>1177</v>
      </c>
      <c r="F60" s="675">
        <f>+'[6]MS6887_Total CTE T3 corrected'!M62</f>
        <v>3280</v>
      </c>
      <c r="G60" s="675">
        <f t="shared" si="55"/>
        <v>197</v>
      </c>
      <c r="H60" s="675">
        <f>+'[7]MFP Funded SWD -Table 3'!W61</f>
        <v>1070</v>
      </c>
      <c r="I60" s="675">
        <f t="shared" si="29"/>
        <v>1605</v>
      </c>
      <c r="J60" s="675">
        <f>+'[7]MFP Funded GT -Table 3'!S61</f>
        <v>180</v>
      </c>
      <c r="K60" s="675">
        <f t="shared" si="30"/>
        <v>108</v>
      </c>
      <c r="L60" s="675">
        <f t="shared" si="56"/>
        <v>0</v>
      </c>
      <c r="M60" s="677">
        <f t="shared" si="57"/>
        <v>0</v>
      </c>
      <c r="N60" s="675">
        <f t="shared" si="58"/>
        <v>0</v>
      </c>
      <c r="O60" s="675">
        <f t="shared" si="31"/>
        <v>3087</v>
      </c>
      <c r="P60" s="675">
        <f t="shared" si="59"/>
        <v>12212</v>
      </c>
      <c r="Q60" s="678">
        <f t="shared" si="32"/>
        <v>3961</v>
      </c>
      <c r="R60" s="678">
        <f t="shared" si="60"/>
        <v>48371732</v>
      </c>
      <c r="S60" s="678">
        <f>'Table 6 (Local Deduct Calc.)'!J62</f>
        <v>14265550.5</v>
      </c>
      <c r="T60" s="678">
        <f t="shared" si="33"/>
        <v>14265550.5</v>
      </c>
      <c r="U60" s="679">
        <f t="shared" si="34"/>
        <v>34106181.5</v>
      </c>
      <c r="V60" s="680">
        <f t="shared" si="53"/>
        <v>0.70509999999999995</v>
      </c>
      <c r="W60" s="680">
        <f t="shared" si="35"/>
        <v>0.2949</v>
      </c>
      <c r="X60" s="681">
        <f t="shared" si="61"/>
        <v>1563.348</v>
      </c>
      <c r="Y60" s="678">
        <f>'Table 7 Local Revenue'!AQ63</f>
        <v>27831859.5</v>
      </c>
      <c r="Z60" s="678">
        <f t="shared" si="36"/>
        <v>13566309</v>
      </c>
      <c r="AA60" s="682">
        <f t="shared" si="37"/>
        <v>0</v>
      </c>
      <c r="AB60" s="447">
        <f t="shared" si="38"/>
        <v>16446388.880000001</v>
      </c>
      <c r="AC60" s="447">
        <f t="shared" si="39"/>
        <v>13566309</v>
      </c>
      <c r="AD60" s="678">
        <f t="shared" si="40"/>
        <v>6881211.7814520001</v>
      </c>
      <c r="AE60" s="683">
        <f t="shared" si="41"/>
        <v>6685097.2185479999</v>
      </c>
      <c r="AF60" s="684">
        <f t="shared" si="42"/>
        <v>0.49280000000000002</v>
      </c>
      <c r="AG60" s="683">
        <f t="shared" si="43"/>
        <v>40791278.718548</v>
      </c>
      <c r="AH60" s="447">
        <f t="shared" si="62"/>
        <v>4470</v>
      </c>
      <c r="AI60" s="683">
        <f>+'Table 3A Level 3'!O62</f>
        <v>1420901</v>
      </c>
      <c r="AJ60" s="447">
        <f t="shared" si="63"/>
        <v>155.71517808219178</v>
      </c>
      <c r="AK60" s="683">
        <f t="shared" si="44"/>
        <v>42212179.718548</v>
      </c>
      <c r="AL60" s="447">
        <f t="shared" si="64"/>
        <v>4625.9922979230687</v>
      </c>
      <c r="AM60" s="685">
        <f>+'Table 3A Level 3'!P62</f>
        <v>8397054.75</v>
      </c>
      <c r="AN60" s="686">
        <f t="shared" si="65"/>
        <v>920.22517808219175</v>
      </c>
      <c r="AO60" s="683">
        <f t="shared" si="45"/>
        <v>49188333.468548</v>
      </c>
      <c r="AP60" s="447">
        <f t="shared" si="66"/>
        <v>5390.5022979230689</v>
      </c>
      <c r="AQ60" s="684">
        <f t="shared" si="46"/>
        <v>0.6386420440238908</v>
      </c>
      <c r="AR60" s="687">
        <f t="shared" si="47"/>
        <v>33</v>
      </c>
      <c r="AS60" s="447">
        <f t="shared" si="48"/>
        <v>27831859.5</v>
      </c>
      <c r="AT60" s="447">
        <f t="shared" si="67"/>
        <v>3050.07</v>
      </c>
      <c r="AU60" s="687">
        <f t="shared" si="49"/>
        <v>48</v>
      </c>
      <c r="AV60" s="684">
        <f t="shared" si="50"/>
        <v>0.36135795597610915</v>
      </c>
      <c r="AW60" s="687">
        <f t="shared" si="51"/>
        <v>77020192.968548</v>
      </c>
      <c r="AX60" s="688">
        <f t="shared" si="68"/>
        <v>8440.5690924436167</v>
      </c>
      <c r="AY60" s="687">
        <f t="shared" si="52"/>
        <v>59</v>
      </c>
      <c r="AZ60" s="427"/>
    </row>
    <row r="61" spans="1:52" s="690" customFormat="1" ht="15.6" customHeight="1">
      <c r="A61" s="673">
        <v>58</v>
      </c>
      <c r="B61" s="674" t="s">
        <v>129</v>
      </c>
      <c r="C61" s="674">
        <f>+'Table 8 Membership 2.1.14'!W60</f>
        <v>9009</v>
      </c>
      <c r="D61" s="675">
        <f>+'[5]ALL- TABLE 3 '!AA63-'[5]ALL- TABLE 3 '!W63-'[5]ALL- TABLE 3 '!X63-'[5]ALL- TABLE 3 '!Y63-'[5]ALL- TABLE 3 '!Z63</f>
        <v>5191</v>
      </c>
      <c r="E61" s="675">
        <f t="shared" si="54"/>
        <v>1142</v>
      </c>
      <c r="F61" s="675">
        <f>+'[6]MS6887_Total CTE T3 corrected'!M63</f>
        <v>3124</v>
      </c>
      <c r="G61" s="675">
        <f t="shared" si="55"/>
        <v>187</v>
      </c>
      <c r="H61" s="675">
        <f>+'[7]MFP Funded SWD -Table 3'!W62</f>
        <v>1052</v>
      </c>
      <c r="I61" s="675">
        <f t="shared" si="29"/>
        <v>1578</v>
      </c>
      <c r="J61" s="675">
        <f>+'[7]MFP Funded GT -Table 3'!S62</f>
        <v>242</v>
      </c>
      <c r="K61" s="675">
        <f t="shared" si="30"/>
        <v>145</v>
      </c>
      <c r="L61" s="675">
        <f t="shared" si="56"/>
        <v>0</v>
      </c>
      <c r="M61" s="677">
        <f t="shared" si="57"/>
        <v>0</v>
      </c>
      <c r="N61" s="675">
        <f t="shared" si="58"/>
        <v>0</v>
      </c>
      <c r="O61" s="675">
        <f t="shared" si="31"/>
        <v>3052</v>
      </c>
      <c r="P61" s="675">
        <f t="shared" si="59"/>
        <v>12061</v>
      </c>
      <c r="Q61" s="678">
        <f t="shared" si="32"/>
        <v>3961</v>
      </c>
      <c r="R61" s="678">
        <f t="shared" si="60"/>
        <v>47773621</v>
      </c>
      <c r="S61" s="678">
        <f>'Table 6 (Local Deduct Calc.)'!J63</f>
        <v>7431662</v>
      </c>
      <c r="T61" s="678">
        <f t="shared" si="33"/>
        <v>7431662</v>
      </c>
      <c r="U61" s="679">
        <f t="shared" si="34"/>
        <v>40341959</v>
      </c>
      <c r="V61" s="680">
        <f t="shared" si="53"/>
        <v>0.84440000000000004</v>
      </c>
      <c r="W61" s="680">
        <f t="shared" si="35"/>
        <v>0.15559999999999999</v>
      </c>
      <c r="X61" s="681">
        <f t="shared" si="61"/>
        <v>824.91530691530693</v>
      </c>
      <c r="Y61" s="678">
        <f>'Table 7 Local Revenue'!AQ64</f>
        <v>20217963</v>
      </c>
      <c r="Z61" s="678">
        <f t="shared" si="36"/>
        <v>12786301</v>
      </c>
      <c r="AA61" s="682">
        <f t="shared" si="37"/>
        <v>0</v>
      </c>
      <c r="AB61" s="447">
        <f t="shared" si="38"/>
        <v>16243031.140000001</v>
      </c>
      <c r="AC61" s="447">
        <f t="shared" si="39"/>
        <v>12786301</v>
      </c>
      <c r="AD61" s="678">
        <f t="shared" si="40"/>
        <v>3422023.3092319998</v>
      </c>
      <c r="AE61" s="683">
        <f t="shared" si="41"/>
        <v>9364277.6907679997</v>
      </c>
      <c r="AF61" s="684">
        <f t="shared" si="42"/>
        <v>0.73240000000000005</v>
      </c>
      <c r="AG61" s="683">
        <f t="shared" si="43"/>
        <v>49706236.690768003</v>
      </c>
      <c r="AH61" s="447">
        <f t="shared" si="62"/>
        <v>5517</v>
      </c>
      <c r="AI61" s="683">
        <f>+'Table 3A Level 3'!O63</f>
        <v>1402838</v>
      </c>
      <c r="AJ61" s="447">
        <f t="shared" si="63"/>
        <v>155.71517371517371</v>
      </c>
      <c r="AK61" s="683">
        <f t="shared" si="44"/>
        <v>51109074.690768003</v>
      </c>
      <c r="AL61" s="447">
        <f t="shared" si="64"/>
        <v>5673.1129637882123</v>
      </c>
      <c r="AM61" s="685">
        <f>+'Table 3A Level 3'!P63</f>
        <v>7682471.3599999994</v>
      </c>
      <c r="AN61" s="686">
        <f t="shared" si="65"/>
        <v>852.75517371517367</v>
      </c>
      <c r="AO61" s="683">
        <f t="shared" si="45"/>
        <v>57388708.050768003</v>
      </c>
      <c r="AP61" s="447">
        <f t="shared" si="66"/>
        <v>6370.1529637882122</v>
      </c>
      <c r="AQ61" s="684">
        <f t="shared" si="46"/>
        <v>0.73948163571178049</v>
      </c>
      <c r="AR61" s="687">
        <f t="shared" si="47"/>
        <v>5</v>
      </c>
      <c r="AS61" s="447">
        <f t="shared" si="48"/>
        <v>20217963</v>
      </c>
      <c r="AT61" s="447">
        <f t="shared" si="67"/>
        <v>2244.1999999999998</v>
      </c>
      <c r="AU61" s="687">
        <f t="shared" si="49"/>
        <v>62</v>
      </c>
      <c r="AV61" s="684">
        <f t="shared" si="50"/>
        <v>0.26051836428821956</v>
      </c>
      <c r="AW61" s="687">
        <f t="shared" si="51"/>
        <v>77606671.050768003</v>
      </c>
      <c r="AX61" s="688">
        <f t="shared" si="68"/>
        <v>8614.3491009843492</v>
      </c>
      <c r="AY61" s="687">
        <f t="shared" si="52"/>
        <v>55</v>
      </c>
      <c r="AZ61" s="427"/>
    </row>
    <row r="62" spans="1:52" s="690" customFormat="1" ht="15.6" customHeight="1">
      <c r="A62" s="673">
        <v>59</v>
      </c>
      <c r="B62" s="674" t="s">
        <v>130</v>
      </c>
      <c r="C62" s="674">
        <f>+'Table 8 Membership 2.1.14'!W61</f>
        <v>5149</v>
      </c>
      <c r="D62" s="675">
        <f>+'[5]ALL- TABLE 3 '!AA64-'[5]ALL- TABLE 3 '!W64-'[5]ALL- TABLE 3 '!X64-'[5]ALL- TABLE 3 '!Y64-'[5]ALL- TABLE 3 '!Z64</f>
        <v>4339</v>
      </c>
      <c r="E62" s="675">
        <f t="shared" si="54"/>
        <v>955</v>
      </c>
      <c r="F62" s="675">
        <f>+'[6]MS6887_Total CTE T3 corrected'!M64</f>
        <v>2255.5</v>
      </c>
      <c r="G62" s="675">
        <f t="shared" si="55"/>
        <v>135</v>
      </c>
      <c r="H62" s="675">
        <f>+'[7]MFP Funded SWD -Table 3'!W63</f>
        <v>830</v>
      </c>
      <c r="I62" s="675">
        <f t="shared" si="29"/>
        <v>1245</v>
      </c>
      <c r="J62" s="675">
        <f>+'[7]MFP Funded GT -Table 3'!S63</f>
        <v>341</v>
      </c>
      <c r="K62" s="675">
        <f t="shared" si="30"/>
        <v>205</v>
      </c>
      <c r="L62" s="675">
        <f t="shared" si="56"/>
        <v>2351</v>
      </c>
      <c r="M62" s="677">
        <f t="shared" si="57"/>
        <v>6.2689999999999996E-2</v>
      </c>
      <c r="N62" s="675">
        <f t="shared" si="58"/>
        <v>323</v>
      </c>
      <c r="O62" s="675">
        <f t="shared" si="31"/>
        <v>2863</v>
      </c>
      <c r="P62" s="675">
        <f t="shared" si="59"/>
        <v>8012</v>
      </c>
      <c r="Q62" s="678">
        <f t="shared" si="32"/>
        <v>3961</v>
      </c>
      <c r="R62" s="678">
        <f t="shared" si="60"/>
        <v>31735532</v>
      </c>
      <c r="S62" s="678">
        <f>'Table 6 (Local Deduct Calc.)'!J64</f>
        <v>3294361</v>
      </c>
      <c r="T62" s="678">
        <f t="shared" si="33"/>
        <v>3294361</v>
      </c>
      <c r="U62" s="679">
        <f t="shared" si="34"/>
        <v>28441171</v>
      </c>
      <c r="V62" s="680">
        <f t="shared" si="53"/>
        <v>0.8962</v>
      </c>
      <c r="W62" s="680">
        <f t="shared" si="35"/>
        <v>0.1038</v>
      </c>
      <c r="X62" s="681">
        <f t="shared" si="61"/>
        <v>639.80598174402792</v>
      </c>
      <c r="Y62" s="678">
        <f>'Table 7 Local Revenue'!AQ65</f>
        <v>9202657</v>
      </c>
      <c r="Z62" s="678">
        <f t="shared" si="36"/>
        <v>5908296</v>
      </c>
      <c r="AA62" s="682">
        <f t="shared" si="37"/>
        <v>0</v>
      </c>
      <c r="AB62" s="447">
        <f t="shared" si="38"/>
        <v>10790080.880000001</v>
      </c>
      <c r="AC62" s="447">
        <f t="shared" si="39"/>
        <v>5908296</v>
      </c>
      <c r="AD62" s="678">
        <f t="shared" si="40"/>
        <v>1054843.5346560001</v>
      </c>
      <c r="AE62" s="683">
        <f t="shared" si="41"/>
        <v>4853452.4653439997</v>
      </c>
      <c r="AF62" s="684">
        <f t="shared" si="42"/>
        <v>0.82150000000000001</v>
      </c>
      <c r="AG62" s="683">
        <f t="shared" si="43"/>
        <v>33294623.465344001</v>
      </c>
      <c r="AH62" s="447">
        <f t="shared" si="62"/>
        <v>6466</v>
      </c>
      <c r="AI62" s="683">
        <f>+'Table 3A Level 3'!O64</f>
        <v>801778</v>
      </c>
      <c r="AJ62" s="447">
        <f t="shared" si="63"/>
        <v>155.71528452126626</v>
      </c>
      <c r="AK62" s="683">
        <f t="shared" si="44"/>
        <v>34096401.465343997</v>
      </c>
      <c r="AL62" s="447">
        <f t="shared" si="64"/>
        <v>6621.946293521848</v>
      </c>
      <c r="AM62" s="685">
        <f>+'Table 3A Level 3'!P64</f>
        <v>4352116.4800000004</v>
      </c>
      <c r="AN62" s="686">
        <f t="shared" si="65"/>
        <v>845.23528452126641</v>
      </c>
      <c r="AO62" s="683">
        <f t="shared" si="45"/>
        <v>37646739.945344001</v>
      </c>
      <c r="AP62" s="447">
        <f t="shared" si="66"/>
        <v>7311.4662935218494</v>
      </c>
      <c r="AQ62" s="684">
        <f t="shared" si="46"/>
        <v>0.803569360546175</v>
      </c>
      <c r="AR62" s="687">
        <f t="shared" si="47"/>
        <v>1</v>
      </c>
      <c r="AS62" s="447">
        <f t="shared" si="48"/>
        <v>9202657</v>
      </c>
      <c r="AT62" s="447">
        <f t="shared" si="67"/>
        <v>1787.27</v>
      </c>
      <c r="AU62" s="687">
        <f t="shared" si="49"/>
        <v>68</v>
      </c>
      <c r="AV62" s="684">
        <f t="shared" si="50"/>
        <v>0.19643063945382505</v>
      </c>
      <c r="AW62" s="687">
        <f t="shared" si="51"/>
        <v>46849396.945344001</v>
      </c>
      <c r="AX62" s="688">
        <f t="shared" si="68"/>
        <v>9098.7370257028542</v>
      </c>
      <c r="AY62" s="687">
        <f t="shared" si="52"/>
        <v>35</v>
      </c>
      <c r="AZ62" s="427"/>
    </row>
    <row r="63" spans="1:52" s="708" customFormat="1" ht="15.6" customHeight="1">
      <c r="A63" s="691">
        <v>60</v>
      </c>
      <c r="B63" s="692" t="s">
        <v>131</v>
      </c>
      <c r="C63" s="692">
        <f>+'Table 8 Membership 2.1.14'!W62</f>
        <v>6441</v>
      </c>
      <c r="D63" s="693">
        <f>+'[5]ALL- TABLE 3 '!AA65-'[5]ALL- TABLE 3 '!W65-'[5]ALL- TABLE 3 '!X65-'[5]ALL- TABLE 3 '!Y65-'[5]ALL- TABLE 3 '!Z65</f>
        <v>4464</v>
      </c>
      <c r="E63" s="693">
        <f t="shared" si="54"/>
        <v>982</v>
      </c>
      <c r="F63" s="693">
        <f>+'[6]MS6887_Total CTE T3 corrected'!M65</f>
        <v>2642.5</v>
      </c>
      <c r="G63" s="693">
        <f t="shared" si="55"/>
        <v>159</v>
      </c>
      <c r="H63" s="693">
        <f>+'[7]MFP Funded SWD -Table 3'!W64</f>
        <v>738</v>
      </c>
      <c r="I63" s="693">
        <f t="shared" si="29"/>
        <v>1107</v>
      </c>
      <c r="J63" s="693">
        <f>+'[7]MFP Funded GT -Table 3'!S64</f>
        <v>305</v>
      </c>
      <c r="K63" s="693">
        <f t="shared" si="30"/>
        <v>183</v>
      </c>
      <c r="L63" s="693">
        <f t="shared" si="56"/>
        <v>1059</v>
      </c>
      <c r="M63" s="694">
        <f t="shared" si="57"/>
        <v>2.8240000000000001E-2</v>
      </c>
      <c r="N63" s="693">
        <f t="shared" si="58"/>
        <v>182</v>
      </c>
      <c r="O63" s="693">
        <f t="shared" si="31"/>
        <v>2613</v>
      </c>
      <c r="P63" s="695">
        <f t="shared" si="59"/>
        <v>9054</v>
      </c>
      <c r="Q63" s="696">
        <f t="shared" si="32"/>
        <v>3961</v>
      </c>
      <c r="R63" s="696">
        <f t="shared" si="60"/>
        <v>35862894</v>
      </c>
      <c r="S63" s="696">
        <f>'Table 6 (Local Deduct Calc.)'!J65</f>
        <v>9410840</v>
      </c>
      <c r="T63" s="696">
        <f t="shared" si="33"/>
        <v>9410840</v>
      </c>
      <c r="U63" s="697">
        <f t="shared" si="34"/>
        <v>26452054</v>
      </c>
      <c r="V63" s="698">
        <f t="shared" si="53"/>
        <v>0.73760000000000003</v>
      </c>
      <c r="W63" s="699">
        <f t="shared" si="35"/>
        <v>0.26240000000000002</v>
      </c>
      <c r="X63" s="700">
        <f t="shared" si="61"/>
        <v>1461.0836826579723</v>
      </c>
      <c r="Y63" s="696">
        <f>'Table 7 Local Revenue'!AQ66</f>
        <v>25478629</v>
      </c>
      <c r="Z63" s="696">
        <f t="shared" si="36"/>
        <v>16067789</v>
      </c>
      <c r="AA63" s="701">
        <f t="shared" si="37"/>
        <v>0</v>
      </c>
      <c r="AB63" s="465">
        <f t="shared" si="38"/>
        <v>12193383.960000001</v>
      </c>
      <c r="AC63" s="465">
        <f t="shared" si="39"/>
        <v>12193383.960000001</v>
      </c>
      <c r="AD63" s="696">
        <f t="shared" si="40"/>
        <v>5503215.5958988806</v>
      </c>
      <c r="AE63" s="702">
        <f t="shared" si="41"/>
        <v>6690168.3641011203</v>
      </c>
      <c r="AF63" s="703">
        <f t="shared" si="42"/>
        <v>0.54869999999999997</v>
      </c>
      <c r="AG63" s="702">
        <f t="shared" si="43"/>
        <v>33142222.364101119</v>
      </c>
      <c r="AH63" s="465">
        <f t="shared" si="62"/>
        <v>5146</v>
      </c>
      <c r="AI63" s="702">
        <f>+'Table 3A Level 3'!O65</f>
        <v>1002962</v>
      </c>
      <c r="AJ63" s="465">
        <f t="shared" si="63"/>
        <v>155.7152616053408</v>
      </c>
      <c r="AK63" s="702">
        <f t="shared" si="44"/>
        <v>34145184.364101119</v>
      </c>
      <c r="AL63" s="465">
        <f t="shared" si="64"/>
        <v>5301.224090063828</v>
      </c>
      <c r="AM63" s="704">
        <f>+'Table 3A Level 3'!P65</f>
        <v>4829173.6399999997</v>
      </c>
      <c r="AN63" s="705">
        <f t="shared" si="65"/>
        <v>749.75526160534071</v>
      </c>
      <c r="AO63" s="702">
        <f t="shared" si="45"/>
        <v>37971396.00410112</v>
      </c>
      <c r="AP63" s="465">
        <f t="shared" si="66"/>
        <v>5895.2640900638289</v>
      </c>
      <c r="AQ63" s="703">
        <f t="shared" si="46"/>
        <v>0.6373646808372585</v>
      </c>
      <c r="AR63" s="706">
        <f t="shared" si="47"/>
        <v>34</v>
      </c>
      <c r="AS63" s="465">
        <f t="shared" si="48"/>
        <v>21604223.960000001</v>
      </c>
      <c r="AT63" s="465">
        <f t="shared" si="67"/>
        <v>3354.17</v>
      </c>
      <c r="AU63" s="706">
        <f t="shared" si="49"/>
        <v>37</v>
      </c>
      <c r="AV63" s="703">
        <f t="shared" si="50"/>
        <v>0.36263531916274144</v>
      </c>
      <c r="AW63" s="706">
        <f t="shared" si="51"/>
        <v>59575619.964101121</v>
      </c>
      <c r="AX63" s="707">
        <f t="shared" si="68"/>
        <v>9249.4364173422018</v>
      </c>
      <c r="AY63" s="706">
        <f t="shared" si="52"/>
        <v>26</v>
      </c>
      <c r="AZ63" s="427"/>
    </row>
    <row r="64" spans="1:52" s="690" customFormat="1" ht="15.6" customHeight="1">
      <c r="A64" s="673">
        <v>61</v>
      </c>
      <c r="B64" s="674" t="s">
        <v>132</v>
      </c>
      <c r="C64" s="675">
        <f>+'Table 8 Membership 2.1.14'!W63</f>
        <v>3621</v>
      </c>
      <c r="D64" s="675">
        <f>+'[5]ALL- TABLE 3 '!AA66-'[5]ALL- TABLE 3 '!W66-'[5]ALL- TABLE 3 '!X66-'[5]ALL- TABLE 3 '!Y66-'[5]ALL- TABLE 3 '!Z66</f>
        <v>2520</v>
      </c>
      <c r="E64" s="675">
        <f t="shared" si="54"/>
        <v>554</v>
      </c>
      <c r="F64" s="675">
        <f>+'[6]MS6887_Total CTE T3 corrected'!M66</f>
        <v>1173</v>
      </c>
      <c r="G64" s="675">
        <f t="shared" si="55"/>
        <v>70</v>
      </c>
      <c r="H64" s="675">
        <f>+'[7]MFP Funded SWD -Table 3'!W65</f>
        <v>367</v>
      </c>
      <c r="I64" s="675">
        <f t="shared" si="29"/>
        <v>551</v>
      </c>
      <c r="J64" s="675">
        <f>+'[7]MFP Funded GT -Table 3'!S65</f>
        <v>153</v>
      </c>
      <c r="K64" s="675">
        <f t="shared" si="30"/>
        <v>92</v>
      </c>
      <c r="L64" s="676">
        <f t="shared" si="56"/>
        <v>3879</v>
      </c>
      <c r="M64" s="677">
        <f t="shared" si="57"/>
        <v>0.10344</v>
      </c>
      <c r="N64" s="675">
        <f t="shared" si="58"/>
        <v>375</v>
      </c>
      <c r="O64" s="675">
        <f t="shared" si="31"/>
        <v>1642</v>
      </c>
      <c r="P64" s="675">
        <f t="shared" si="59"/>
        <v>5263</v>
      </c>
      <c r="Q64" s="678">
        <f t="shared" si="32"/>
        <v>3961</v>
      </c>
      <c r="R64" s="678">
        <f t="shared" si="60"/>
        <v>20846743</v>
      </c>
      <c r="S64" s="678">
        <f>'Table 6 (Local Deduct Calc.)'!J66</f>
        <v>11460868</v>
      </c>
      <c r="T64" s="678">
        <f t="shared" si="33"/>
        <v>11460868</v>
      </c>
      <c r="U64" s="679">
        <f t="shared" si="34"/>
        <v>9385875</v>
      </c>
      <c r="V64" s="680">
        <f t="shared" si="53"/>
        <v>0.45019999999999999</v>
      </c>
      <c r="W64" s="680">
        <f t="shared" si="35"/>
        <v>0.54979999999999996</v>
      </c>
      <c r="X64" s="681">
        <f t="shared" si="61"/>
        <v>3165.1112952223143</v>
      </c>
      <c r="Y64" s="678">
        <f>'Table 7 Local Revenue'!AQ67</f>
        <v>24348453</v>
      </c>
      <c r="Z64" s="678">
        <f t="shared" si="36"/>
        <v>12887585</v>
      </c>
      <c r="AA64" s="682">
        <f t="shared" si="37"/>
        <v>0</v>
      </c>
      <c r="AB64" s="447">
        <f t="shared" si="38"/>
        <v>7087892.6200000001</v>
      </c>
      <c r="AC64" s="447">
        <f t="shared" si="39"/>
        <v>7087892.6200000001</v>
      </c>
      <c r="AD64" s="678">
        <f t="shared" si="40"/>
        <v>6702708.1834587194</v>
      </c>
      <c r="AE64" s="683">
        <f t="shared" si="41"/>
        <v>385184.43654128071</v>
      </c>
      <c r="AF64" s="684">
        <f t="shared" si="42"/>
        <v>5.4300000000000001E-2</v>
      </c>
      <c r="AG64" s="683">
        <f t="shared" si="43"/>
        <v>9771059.4365412816</v>
      </c>
      <c r="AH64" s="447">
        <f t="shared" si="62"/>
        <v>2698</v>
      </c>
      <c r="AI64" s="683">
        <f>+'Table 3A Level 3'!O66</f>
        <v>563845</v>
      </c>
      <c r="AJ64" s="447">
        <f t="shared" si="63"/>
        <v>155.71527202430269</v>
      </c>
      <c r="AK64" s="683">
        <f t="shared" si="44"/>
        <v>10334904.436541282</v>
      </c>
      <c r="AL64" s="447">
        <f t="shared" si="64"/>
        <v>2854.1575356369185</v>
      </c>
      <c r="AM64" s="685">
        <f>+'Table 3A Level 3'!P66</f>
        <v>3582708.9099999997</v>
      </c>
      <c r="AN64" s="686">
        <f t="shared" si="65"/>
        <v>989.42527202430256</v>
      </c>
      <c r="AO64" s="683">
        <f t="shared" si="45"/>
        <v>13353768.346541282</v>
      </c>
      <c r="AP64" s="447">
        <f t="shared" si="66"/>
        <v>3687.8675356369185</v>
      </c>
      <c r="AQ64" s="684">
        <f t="shared" si="46"/>
        <v>0.41858024360847507</v>
      </c>
      <c r="AR64" s="687">
        <f t="shared" si="47"/>
        <v>62</v>
      </c>
      <c r="AS64" s="447">
        <f t="shared" si="48"/>
        <v>18548760.620000001</v>
      </c>
      <c r="AT64" s="447">
        <f t="shared" si="67"/>
        <v>5122.55</v>
      </c>
      <c r="AU64" s="687">
        <f t="shared" si="49"/>
        <v>8</v>
      </c>
      <c r="AV64" s="684">
        <f t="shared" si="50"/>
        <v>0.58141975639152499</v>
      </c>
      <c r="AW64" s="687">
        <f t="shared" si="51"/>
        <v>31902528.966541283</v>
      </c>
      <c r="AX64" s="688">
        <f t="shared" si="68"/>
        <v>8810.4194881362291</v>
      </c>
      <c r="AY64" s="687">
        <f t="shared" si="52"/>
        <v>50</v>
      </c>
      <c r="AZ64" s="427"/>
    </row>
    <row r="65" spans="1:52" s="690" customFormat="1" ht="15.6" customHeight="1">
      <c r="A65" s="673">
        <v>62</v>
      </c>
      <c r="B65" s="674" t="s">
        <v>133</v>
      </c>
      <c r="C65" s="674">
        <f>+'Table 8 Membership 2.1.14'!W64</f>
        <v>2124</v>
      </c>
      <c r="D65" s="675">
        <f>+'[5]ALL- TABLE 3 '!AA67-'[5]ALL- TABLE 3 '!W67-'[5]ALL- TABLE 3 '!X67-'[5]ALL- TABLE 3 '!Y67-'[5]ALL- TABLE 3 '!Z67</f>
        <v>1624</v>
      </c>
      <c r="E65" s="675">
        <f t="shared" si="54"/>
        <v>357</v>
      </c>
      <c r="F65" s="675">
        <f>+'[6]MS6887_Total CTE T3 corrected'!M67</f>
        <v>643</v>
      </c>
      <c r="G65" s="675">
        <f t="shared" si="55"/>
        <v>39</v>
      </c>
      <c r="H65" s="675">
        <f>+'[7]MFP Funded SWD -Table 3'!W66</f>
        <v>235</v>
      </c>
      <c r="I65" s="675">
        <f t="shared" si="29"/>
        <v>353</v>
      </c>
      <c r="J65" s="675">
        <f>+'[7]MFP Funded GT -Table 3'!S66</f>
        <v>16</v>
      </c>
      <c r="K65" s="675">
        <f t="shared" si="30"/>
        <v>10</v>
      </c>
      <c r="L65" s="675">
        <f t="shared" si="56"/>
        <v>5376</v>
      </c>
      <c r="M65" s="677">
        <f t="shared" si="57"/>
        <v>0.14335999999999999</v>
      </c>
      <c r="N65" s="675">
        <f t="shared" si="58"/>
        <v>304</v>
      </c>
      <c r="O65" s="675">
        <f t="shared" si="31"/>
        <v>1063</v>
      </c>
      <c r="P65" s="675">
        <f t="shared" si="59"/>
        <v>3187</v>
      </c>
      <c r="Q65" s="678">
        <f t="shared" si="32"/>
        <v>3961</v>
      </c>
      <c r="R65" s="678">
        <f t="shared" si="60"/>
        <v>12623707</v>
      </c>
      <c r="S65" s="678">
        <f>'Table 6 (Local Deduct Calc.)'!J67</f>
        <v>2054936</v>
      </c>
      <c r="T65" s="678">
        <f t="shared" si="33"/>
        <v>2054936</v>
      </c>
      <c r="U65" s="679">
        <f t="shared" si="34"/>
        <v>10568771</v>
      </c>
      <c r="V65" s="680">
        <f t="shared" si="53"/>
        <v>0.83720000000000006</v>
      </c>
      <c r="W65" s="680">
        <f t="shared" si="35"/>
        <v>0.1628</v>
      </c>
      <c r="X65" s="681">
        <f t="shared" si="61"/>
        <v>967.48399246704332</v>
      </c>
      <c r="Y65" s="678">
        <f>'Table 7 Local Revenue'!AQ68</f>
        <v>4324948</v>
      </c>
      <c r="Z65" s="678">
        <f t="shared" si="36"/>
        <v>2270012</v>
      </c>
      <c r="AA65" s="682">
        <f t="shared" si="37"/>
        <v>0</v>
      </c>
      <c r="AB65" s="447">
        <f t="shared" si="38"/>
        <v>4292060.38</v>
      </c>
      <c r="AC65" s="447">
        <f t="shared" si="39"/>
        <v>2270012</v>
      </c>
      <c r="AD65" s="678">
        <f t="shared" si="40"/>
        <v>635639.680192</v>
      </c>
      <c r="AE65" s="683">
        <f t="shared" si="41"/>
        <v>1634372.319808</v>
      </c>
      <c r="AF65" s="684">
        <f t="shared" si="42"/>
        <v>0.72</v>
      </c>
      <c r="AG65" s="683">
        <f t="shared" si="43"/>
        <v>12203143.319808001</v>
      </c>
      <c r="AH65" s="447">
        <f t="shared" si="62"/>
        <v>5745</v>
      </c>
      <c r="AI65" s="683">
        <f>+'Table 3A Level 3'!O67</f>
        <v>330739</v>
      </c>
      <c r="AJ65" s="447">
        <f t="shared" si="63"/>
        <v>155.71516007532958</v>
      </c>
      <c r="AK65" s="683">
        <f t="shared" si="44"/>
        <v>12533882.319808001</v>
      </c>
      <c r="AL65" s="447">
        <f t="shared" si="64"/>
        <v>5901.074538516008</v>
      </c>
      <c r="AM65" s="685">
        <f>+'Table 3A Level 3'!P67</f>
        <v>1426892.9200000002</v>
      </c>
      <c r="AN65" s="686">
        <f t="shared" si="65"/>
        <v>671.79516007532959</v>
      </c>
      <c r="AO65" s="683">
        <f t="shared" si="45"/>
        <v>13630036.239808001</v>
      </c>
      <c r="AP65" s="447">
        <f t="shared" si="66"/>
        <v>6417.154538516008</v>
      </c>
      <c r="AQ65" s="684">
        <f t="shared" si="46"/>
        <v>0.759122706974526</v>
      </c>
      <c r="AR65" s="687">
        <f t="shared" si="47"/>
        <v>3</v>
      </c>
      <c r="AS65" s="447">
        <f t="shared" si="48"/>
        <v>4324948</v>
      </c>
      <c r="AT65" s="447">
        <f t="shared" si="67"/>
        <v>2036.23</v>
      </c>
      <c r="AU65" s="687">
        <f t="shared" si="49"/>
        <v>67</v>
      </c>
      <c r="AV65" s="684">
        <f t="shared" si="50"/>
        <v>0.24087729302547403</v>
      </c>
      <c r="AW65" s="687">
        <f t="shared" si="51"/>
        <v>17954984.239808001</v>
      </c>
      <c r="AX65" s="688">
        <f t="shared" si="68"/>
        <v>8453.3824104557443</v>
      </c>
      <c r="AY65" s="687">
        <f t="shared" si="52"/>
        <v>57</v>
      </c>
      <c r="AZ65" s="427"/>
    </row>
    <row r="66" spans="1:52" s="690" customFormat="1" ht="15.6" customHeight="1">
      <c r="A66" s="673">
        <v>63</v>
      </c>
      <c r="B66" s="674" t="s">
        <v>134</v>
      </c>
      <c r="C66" s="674">
        <f>+'Table 8 Membership 2.1.14'!W65</f>
        <v>2038</v>
      </c>
      <c r="D66" s="675">
        <f>+'[5]ALL- TABLE 3 '!AA68-'[5]ALL- TABLE 3 '!W68-'[5]ALL- TABLE 3 '!X68-'[5]ALL- TABLE 3 '!Y68-'[5]ALL- TABLE 3 '!Z68</f>
        <v>1067</v>
      </c>
      <c r="E66" s="675">
        <f t="shared" si="54"/>
        <v>235</v>
      </c>
      <c r="F66" s="675">
        <f>+'[6]MS6887_Total CTE T3 corrected'!M68</f>
        <v>431</v>
      </c>
      <c r="G66" s="675">
        <f t="shared" si="55"/>
        <v>26</v>
      </c>
      <c r="H66" s="675">
        <f>+'[7]MFP Funded SWD -Table 3'!W67</f>
        <v>264</v>
      </c>
      <c r="I66" s="675">
        <f t="shared" si="29"/>
        <v>396</v>
      </c>
      <c r="J66" s="675">
        <f>+'[7]MFP Funded GT -Table 3'!S67</f>
        <v>143</v>
      </c>
      <c r="K66" s="675">
        <f t="shared" si="30"/>
        <v>86</v>
      </c>
      <c r="L66" s="675">
        <f t="shared" si="56"/>
        <v>5462</v>
      </c>
      <c r="M66" s="677">
        <f t="shared" si="57"/>
        <v>0.14565</v>
      </c>
      <c r="N66" s="675">
        <f t="shared" si="58"/>
        <v>297</v>
      </c>
      <c r="O66" s="675">
        <f t="shared" si="31"/>
        <v>1040</v>
      </c>
      <c r="P66" s="675">
        <f t="shared" si="59"/>
        <v>3078</v>
      </c>
      <c r="Q66" s="678">
        <f t="shared" si="32"/>
        <v>3961</v>
      </c>
      <c r="R66" s="678">
        <f t="shared" si="60"/>
        <v>12191958</v>
      </c>
      <c r="S66" s="678">
        <f>'Table 6 (Local Deduct Calc.)'!J68</f>
        <v>6222252.5</v>
      </c>
      <c r="T66" s="678">
        <f t="shared" si="33"/>
        <v>6222252.5</v>
      </c>
      <c r="U66" s="679">
        <f t="shared" si="34"/>
        <v>5969705.5</v>
      </c>
      <c r="V66" s="680">
        <f t="shared" si="53"/>
        <v>0.48959999999999998</v>
      </c>
      <c r="W66" s="680">
        <f t="shared" si="35"/>
        <v>0.51039999999999996</v>
      </c>
      <c r="X66" s="681">
        <f t="shared" si="61"/>
        <v>3053.1170264965654</v>
      </c>
      <c r="Y66" s="678">
        <f>'Table 7 Local Revenue'!AQ69</f>
        <v>15057097.5</v>
      </c>
      <c r="Z66" s="678">
        <f t="shared" si="36"/>
        <v>8834845</v>
      </c>
      <c r="AA66" s="682">
        <f t="shared" si="37"/>
        <v>0</v>
      </c>
      <c r="AB66" s="447">
        <f t="shared" si="38"/>
        <v>4145265.72</v>
      </c>
      <c r="AC66" s="447">
        <f t="shared" si="39"/>
        <v>4145265.72</v>
      </c>
      <c r="AD66" s="678">
        <f t="shared" si="40"/>
        <v>3639079.0323993596</v>
      </c>
      <c r="AE66" s="683">
        <f t="shared" si="41"/>
        <v>506186.68760064058</v>
      </c>
      <c r="AF66" s="684">
        <f t="shared" si="42"/>
        <v>0.1221</v>
      </c>
      <c r="AG66" s="683">
        <f t="shared" si="43"/>
        <v>6475892.1876006406</v>
      </c>
      <c r="AH66" s="447">
        <f t="shared" si="62"/>
        <v>3178</v>
      </c>
      <c r="AI66" s="683">
        <f>+'Table 3A Level 3'!O68</f>
        <v>1929597</v>
      </c>
      <c r="AJ66" s="447">
        <f t="shared" si="63"/>
        <v>946.80912659470073</v>
      </c>
      <c r="AK66" s="683">
        <f t="shared" si="44"/>
        <v>8405489.1876006406</v>
      </c>
      <c r="AL66" s="447">
        <f t="shared" si="64"/>
        <v>4124.3813481848092</v>
      </c>
      <c r="AM66" s="685">
        <f>+'Table 3A Level 3'!P68</f>
        <v>3471935.0199999996</v>
      </c>
      <c r="AN66" s="686">
        <f t="shared" si="65"/>
        <v>1703.5991265947005</v>
      </c>
      <c r="AO66" s="683">
        <f t="shared" si="45"/>
        <v>9947827.2076006401</v>
      </c>
      <c r="AP66" s="447">
        <f t="shared" si="66"/>
        <v>4881.1713481848083</v>
      </c>
      <c r="AQ66" s="684">
        <f t="shared" si="46"/>
        <v>0.48967059128049173</v>
      </c>
      <c r="AR66" s="687">
        <f t="shared" si="47"/>
        <v>56</v>
      </c>
      <c r="AS66" s="447">
        <f t="shared" si="48"/>
        <v>10367518.220000001</v>
      </c>
      <c r="AT66" s="447">
        <f t="shared" si="67"/>
        <v>5087.1000000000004</v>
      </c>
      <c r="AU66" s="687">
        <f t="shared" si="49"/>
        <v>10</v>
      </c>
      <c r="AV66" s="684">
        <f t="shared" si="50"/>
        <v>0.51032940871950827</v>
      </c>
      <c r="AW66" s="687">
        <f t="shared" si="51"/>
        <v>20315345.427600641</v>
      </c>
      <c r="AX66" s="688">
        <f t="shared" si="68"/>
        <v>9968.275479686281</v>
      </c>
      <c r="AY66" s="687">
        <f t="shared" si="52"/>
        <v>8</v>
      </c>
      <c r="AZ66" s="427"/>
    </row>
    <row r="67" spans="1:52" s="690" customFormat="1" ht="15.6" customHeight="1">
      <c r="A67" s="673">
        <v>64</v>
      </c>
      <c r="B67" s="674" t="s">
        <v>135</v>
      </c>
      <c r="C67" s="674">
        <f>+'Table 8 Membership 2.1.14'!W66</f>
        <v>2354</v>
      </c>
      <c r="D67" s="675">
        <f>+'[5]ALL- TABLE 3 '!AA69-'[5]ALL- TABLE 3 '!W69-'[5]ALL- TABLE 3 '!X69-'[5]ALL- TABLE 3 '!Y69-'[5]ALL- TABLE 3 '!Z69</f>
        <v>1679</v>
      </c>
      <c r="E67" s="675">
        <f t="shared" si="54"/>
        <v>369</v>
      </c>
      <c r="F67" s="675">
        <f>+'[6]MS6887_Total CTE T3 corrected'!M69</f>
        <v>1210</v>
      </c>
      <c r="G67" s="675">
        <f t="shared" si="55"/>
        <v>73</v>
      </c>
      <c r="H67" s="675">
        <f>+'[7]MFP Funded SWD -Table 3'!W68</f>
        <v>338</v>
      </c>
      <c r="I67" s="675">
        <f t="shared" si="29"/>
        <v>507</v>
      </c>
      <c r="J67" s="675">
        <f>+'[7]MFP Funded GT -Table 3'!S68</f>
        <v>65</v>
      </c>
      <c r="K67" s="675">
        <f t="shared" si="30"/>
        <v>39</v>
      </c>
      <c r="L67" s="675">
        <f t="shared" si="56"/>
        <v>5146</v>
      </c>
      <c r="M67" s="677">
        <f t="shared" si="57"/>
        <v>0.13722999999999999</v>
      </c>
      <c r="N67" s="675">
        <f t="shared" si="58"/>
        <v>323</v>
      </c>
      <c r="O67" s="675">
        <f t="shared" si="31"/>
        <v>1311</v>
      </c>
      <c r="P67" s="675">
        <f t="shared" si="59"/>
        <v>3665</v>
      </c>
      <c r="Q67" s="678">
        <f t="shared" si="32"/>
        <v>3961</v>
      </c>
      <c r="R67" s="678">
        <f t="shared" si="60"/>
        <v>14517065</v>
      </c>
      <c r="S67" s="678">
        <f>'Table 6 (Local Deduct Calc.)'!J69</f>
        <v>2972578</v>
      </c>
      <c r="T67" s="678">
        <f t="shared" si="33"/>
        <v>2972578</v>
      </c>
      <c r="U67" s="679">
        <f t="shared" si="34"/>
        <v>11544487</v>
      </c>
      <c r="V67" s="680">
        <f t="shared" si="53"/>
        <v>0.79520000000000002</v>
      </c>
      <c r="W67" s="680">
        <f t="shared" si="35"/>
        <v>0.20480000000000001</v>
      </c>
      <c r="X67" s="681">
        <f t="shared" si="61"/>
        <v>1262.7774001699236</v>
      </c>
      <c r="Y67" s="678">
        <f>'Table 7 Local Revenue'!AQ70</f>
        <v>7398667</v>
      </c>
      <c r="Z67" s="678">
        <f t="shared" si="36"/>
        <v>4426089</v>
      </c>
      <c r="AA67" s="682">
        <f t="shared" si="37"/>
        <v>0</v>
      </c>
      <c r="AB67" s="447">
        <f t="shared" si="38"/>
        <v>4935802.1000000006</v>
      </c>
      <c r="AC67" s="447">
        <f t="shared" si="39"/>
        <v>4426089</v>
      </c>
      <c r="AD67" s="678">
        <f t="shared" si="40"/>
        <v>1559116.4067840001</v>
      </c>
      <c r="AE67" s="683">
        <f t="shared" si="41"/>
        <v>2866972.5932160001</v>
      </c>
      <c r="AF67" s="684">
        <f t="shared" si="42"/>
        <v>0.64770000000000005</v>
      </c>
      <c r="AG67" s="683">
        <f t="shared" si="43"/>
        <v>14411459.593216</v>
      </c>
      <c r="AH67" s="447">
        <f t="shared" si="62"/>
        <v>6122</v>
      </c>
      <c r="AI67" s="683">
        <f>+'Table 3A Level 3'!O69</f>
        <v>366554</v>
      </c>
      <c r="AJ67" s="447">
        <f t="shared" si="63"/>
        <v>155.71537807986405</v>
      </c>
      <c r="AK67" s="683">
        <f t="shared" si="44"/>
        <v>14778013.593216</v>
      </c>
      <c r="AL67" s="447">
        <f t="shared" si="64"/>
        <v>6277.8307532778254</v>
      </c>
      <c r="AM67" s="685">
        <f>+'Table 3A Level 3'!P69</f>
        <v>1761675.64</v>
      </c>
      <c r="AN67" s="686">
        <f t="shared" si="65"/>
        <v>748.37537807986405</v>
      </c>
      <c r="AO67" s="683">
        <f t="shared" si="45"/>
        <v>16173135.233216001</v>
      </c>
      <c r="AP67" s="447">
        <f t="shared" si="66"/>
        <v>6870.4907532778252</v>
      </c>
      <c r="AQ67" s="684">
        <f t="shared" si="46"/>
        <v>0.68612213326759408</v>
      </c>
      <c r="AR67" s="687">
        <f t="shared" si="47"/>
        <v>21</v>
      </c>
      <c r="AS67" s="447">
        <f t="shared" si="48"/>
        <v>7398667</v>
      </c>
      <c r="AT67" s="447">
        <f t="shared" si="67"/>
        <v>3143.02</v>
      </c>
      <c r="AU67" s="687">
        <f t="shared" si="49"/>
        <v>46</v>
      </c>
      <c r="AV67" s="684">
        <f t="shared" si="50"/>
        <v>0.31387786673240586</v>
      </c>
      <c r="AW67" s="687">
        <f t="shared" si="51"/>
        <v>23571802.233216003</v>
      </c>
      <c r="AX67" s="688">
        <f t="shared" si="68"/>
        <v>10013.509869675447</v>
      </c>
      <c r="AY67" s="687">
        <f t="shared" si="52"/>
        <v>7</v>
      </c>
      <c r="AZ67" s="427"/>
    </row>
    <row r="68" spans="1:52" s="690" customFormat="1" ht="15.6" customHeight="1">
      <c r="A68" s="691">
        <v>65</v>
      </c>
      <c r="B68" s="692" t="s">
        <v>136</v>
      </c>
      <c r="C68" s="692">
        <f>+'Table 8 Membership 2.1.14'!W67</f>
        <v>8176</v>
      </c>
      <c r="D68" s="693">
        <f>+'[5]ALL- TABLE 3 '!AA70-'[5]ALL- TABLE 3 '!W70-'[5]ALL- TABLE 3 '!X70-'[5]ALL- TABLE 3 '!Y70-'[5]ALL- TABLE 3 '!Z70</f>
        <v>6623</v>
      </c>
      <c r="E68" s="693">
        <f t="shared" ref="E68:E72" si="69">ROUND($D$1*D68,0)</f>
        <v>1457</v>
      </c>
      <c r="F68" s="693">
        <f>+'[6]MS6887_Total CTE T3 corrected'!M70</f>
        <v>2298</v>
      </c>
      <c r="G68" s="693">
        <f t="shared" ref="G68:G72" si="70">ROUND($F$1*F68,0)</f>
        <v>138</v>
      </c>
      <c r="H68" s="693">
        <f>+'[7]MFP Funded SWD -Table 3'!W69</f>
        <v>1303</v>
      </c>
      <c r="I68" s="693">
        <f t="shared" si="29"/>
        <v>1955</v>
      </c>
      <c r="J68" s="693">
        <f>+'[7]MFP Funded GT -Table 3'!S69</f>
        <v>579</v>
      </c>
      <c r="K68" s="693">
        <f t="shared" si="30"/>
        <v>347</v>
      </c>
      <c r="L68" s="693">
        <f t="shared" si="56"/>
        <v>0</v>
      </c>
      <c r="M68" s="694">
        <f>ROUND(L68/$M$1,5)</f>
        <v>0</v>
      </c>
      <c r="N68" s="693">
        <f t="shared" ref="N68:N72" si="71" xml:space="preserve"> ROUND(C68*M68,0)</f>
        <v>0</v>
      </c>
      <c r="O68" s="693">
        <f t="shared" si="31"/>
        <v>3897</v>
      </c>
      <c r="P68" s="695">
        <f t="shared" ref="P68:P72" si="72">O68+C68</f>
        <v>12073</v>
      </c>
      <c r="Q68" s="696">
        <f t="shared" si="32"/>
        <v>3961</v>
      </c>
      <c r="R68" s="696">
        <f>ROUND(P68*Q68,0)</f>
        <v>47821153</v>
      </c>
      <c r="S68" s="696">
        <f>'Table 6 (Local Deduct Calc.)'!J70</f>
        <v>16602031</v>
      </c>
      <c r="T68" s="696">
        <f t="shared" si="33"/>
        <v>16602031</v>
      </c>
      <c r="U68" s="697">
        <f t="shared" si="34"/>
        <v>31219122</v>
      </c>
      <c r="V68" s="698">
        <f t="shared" si="53"/>
        <v>0.65280000000000005</v>
      </c>
      <c r="W68" s="699">
        <f t="shared" si="35"/>
        <v>0.34720000000000001</v>
      </c>
      <c r="X68" s="700">
        <f t="shared" ref="X68:X73" si="73">T68/C68</f>
        <v>2030.581090998043</v>
      </c>
      <c r="Y68" s="696">
        <f>'Table 7 Local Revenue'!AQ71</f>
        <v>39703600</v>
      </c>
      <c r="Z68" s="696">
        <f t="shared" si="36"/>
        <v>23101569</v>
      </c>
      <c r="AA68" s="701">
        <f t="shared" si="37"/>
        <v>0</v>
      </c>
      <c r="AB68" s="465">
        <f t="shared" si="38"/>
        <v>16259192.020000001</v>
      </c>
      <c r="AC68" s="465">
        <f t="shared" si="39"/>
        <v>16259192.020000001</v>
      </c>
      <c r="AD68" s="696">
        <f t="shared" si="40"/>
        <v>9709729.3272716813</v>
      </c>
      <c r="AE68" s="702">
        <f t="shared" si="41"/>
        <v>6549462.6927283201</v>
      </c>
      <c r="AF68" s="703">
        <f t="shared" si="42"/>
        <v>0.40279999999999999</v>
      </c>
      <c r="AG68" s="702">
        <f t="shared" si="43"/>
        <v>37768584.692728318</v>
      </c>
      <c r="AH68" s="465">
        <f t="shared" ref="AH68:AH73" si="74">ROUND(AG68/C68,0)</f>
        <v>4619</v>
      </c>
      <c r="AI68" s="702">
        <f>+'Table 3A Level 3'!O70</f>
        <v>1273128</v>
      </c>
      <c r="AJ68" s="465">
        <f t="shared" ref="AJ68:AJ73" si="75">AI68/C68</f>
        <v>155.71526418786692</v>
      </c>
      <c r="AK68" s="702">
        <f t="shared" si="44"/>
        <v>39041712.692728318</v>
      </c>
      <c r="AL68" s="465">
        <f t="shared" ref="AL68:AL73" si="76">AK68/C68</f>
        <v>4775.1605543943642</v>
      </c>
      <c r="AM68" s="704">
        <f>+'Table 3A Level 3'!P70</f>
        <v>8052013.1200000001</v>
      </c>
      <c r="AN68" s="705">
        <f t="shared" ref="AN68:AN73" si="77">AM68/C68</f>
        <v>984.83526418786698</v>
      </c>
      <c r="AO68" s="702">
        <f t="shared" si="45"/>
        <v>45820597.812728316</v>
      </c>
      <c r="AP68" s="465">
        <f t="shared" ref="AP68:AP73" si="78">AO68/C68</f>
        <v>5604.2805543943632</v>
      </c>
      <c r="AQ68" s="703">
        <f t="shared" si="46"/>
        <v>0.58235304327971127</v>
      </c>
      <c r="AR68" s="706">
        <f t="shared" si="47"/>
        <v>46</v>
      </c>
      <c r="AS68" s="465">
        <f t="shared" si="48"/>
        <v>32861223.02</v>
      </c>
      <c r="AT68" s="465">
        <f t="shared" ref="AT68:AT73" si="79">ROUND(AS68/C68,2)</f>
        <v>4019.23</v>
      </c>
      <c r="AU68" s="706">
        <f t="shared" si="49"/>
        <v>20</v>
      </c>
      <c r="AV68" s="703">
        <f t="shared" si="50"/>
        <v>0.41764695672028879</v>
      </c>
      <c r="AW68" s="706">
        <f t="shared" si="51"/>
        <v>78681820.832728311</v>
      </c>
      <c r="AX68" s="707">
        <f t="shared" ref="AX68:AX73" si="80">AW68/C68</f>
        <v>9623.5103758229343</v>
      </c>
      <c r="AY68" s="706">
        <f t="shared" si="52"/>
        <v>16</v>
      </c>
      <c r="AZ68" s="427"/>
    </row>
    <row r="69" spans="1:52" s="690" customFormat="1" ht="15.6" customHeight="1">
      <c r="A69" s="673">
        <v>66</v>
      </c>
      <c r="B69" s="674" t="s">
        <v>137</v>
      </c>
      <c r="C69" s="675">
        <f>+'Table 8 Membership 2.1.14'!W68</f>
        <v>2023</v>
      </c>
      <c r="D69" s="675">
        <f>+'[5]ALL- TABLE 3 '!AA71-'[5]ALL- TABLE 3 '!W71-'[5]ALL- TABLE 3 '!X71-'[5]ALL- TABLE 3 '!Y71-'[5]ALL- TABLE 3 '!Z71</f>
        <v>1905</v>
      </c>
      <c r="E69" s="675">
        <f t="shared" si="69"/>
        <v>419</v>
      </c>
      <c r="F69" s="675">
        <f>+'[6]MS6887_Total CTE T3 corrected'!M71</f>
        <v>636</v>
      </c>
      <c r="G69" s="675">
        <f t="shared" si="70"/>
        <v>38</v>
      </c>
      <c r="H69" s="675">
        <f>+'[7]MFP Funded SWD -Table 3'!W70</f>
        <v>481</v>
      </c>
      <c r="I69" s="675">
        <f t="shared" ref="I69:I72" si="81">ROUND($H$1*H69,0)</f>
        <v>722</v>
      </c>
      <c r="J69" s="675">
        <f>+'[7]MFP Funded GT -Table 3'!S70</f>
        <v>123</v>
      </c>
      <c r="K69" s="675">
        <f t="shared" ref="K69:K72" si="82">ROUND($J$1*J69,0)</f>
        <v>74</v>
      </c>
      <c r="L69" s="676">
        <f t="shared" si="56"/>
        <v>5477</v>
      </c>
      <c r="M69" s="677">
        <f>ROUND(L69/$M$1,5)</f>
        <v>0.14605000000000001</v>
      </c>
      <c r="N69" s="675">
        <f t="shared" si="71"/>
        <v>295</v>
      </c>
      <c r="O69" s="675">
        <f t="shared" ref="O69:O72" si="83">E69+G69+I69+K69+N69</f>
        <v>1548</v>
      </c>
      <c r="P69" s="675">
        <f t="shared" si="72"/>
        <v>3571</v>
      </c>
      <c r="Q69" s="678">
        <f>$Q$1</f>
        <v>3961</v>
      </c>
      <c r="R69" s="678">
        <f>ROUND(P69*Q69,0)</f>
        <v>14144731</v>
      </c>
      <c r="S69" s="678">
        <f>'Table 6 (Local Deduct Calc.)'!J71</f>
        <v>3459273</v>
      </c>
      <c r="T69" s="678">
        <f>IF((S69&gt;R69*$T$1),R69*$T$1,S69)</f>
        <v>3459273</v>
      </c>
      <c r="U69" s="679">
        <f>R69-T69</f>
        <v>10685458</v>
      </c>
      <c r="V69" s="680">
        <f>ROUND(U69/R69,4)</f>
        <v>0.75539999999999996</v>
      </c>
      <c r="W69" s="680">
        <f>ROUND(T69/R69,4)</f>
        <v>0.24460000000000001</v>
      </c>
      <c r="X69" s="681">
        <f t="shared" si="73"/>
        <v>1709.9718240237271</v>
      </c>
      <c r="Y69" s="678">
        <f>'Table 7 Local Revenue'!AQ72</f>
        <v>7392583</v>
      </c>
      <c r="Z69" s="678">
        <f>IF(Y69-T69&gt;0,Y69-T69,0)</f>
        <v>3933310</v>
      </c>
      <c r="AA69" s="682">
        <f>IF(Y69-T69&lt;0,Y69-T69,0)</f>
        <v>0</v>
      </c>
      <c r="AB69" s="447">
        <f>R69*$AB$1</f>
        <v>4809208.54</v>
      </c>
      <c r="AC69" s="447">
        <f>IF(Z69&lt;AB69,Z69,AB69)</f>
        <v>3933310</v>
      </c>
      <c r="AD69" s="678">
        <f>IF(AC69&gt;0,AC69*(W69*$AD$1),0)</f>
        <v>1654790.7167200001</v>
      </c>
      <c r="AE69" s="683">
        <f>IF(AC69-AD69&gt;AC69*$AE$1,AC69-AD69,AC69*$AE$1)</f>
        <v>2278519.2832800001</v>
      </c>
      <c r="AF69" s="684">
        <f>IF(AC69=0,0,ROUND(AE69/AC69,4))</f>
        <v>0.57930000000000004</v>
      </c>
      <c r="AG69" s="683">
        <f>U69+AE69</f>
        <v>12963977.28328</v>
      </c>
      <c r="AH69" s="447">
        <f t="shared" si="74"/>
        <v>6408</v>
      </c>
      <c r="AI69" s="683">
        <f>+'Table 3A Level 3'!O71</f>
        <v>315012</v>
      </c>
      <c r="AJ69" s="447">
        <f t="shared" si="75"/>
        <v>155.71527434503213</v>
      </c>
      <c r="AK69" s="683">
        <f>AI69+AG69</f>
        <v>13278989.28328</v>
      </c>
      <c r="AL69" s="447">
        <f t="shared" si="76"/>
        <v>6564.0085433910035</v>
      </c>
      <c r="AM69" s="685">
        <f>+'Table 3A Level 3'!P71</f>
        <v>1791923.38</v>
      </c>
      <c r="AN69" s="686">
        <f t="shared" si="77"/>
        <v>885.77527434503213</v>
      </c>
      <c r="AO69" s="683">
        <f>AG69+AM69</f>
        <v>14755900.663279999</v>
      </c>
      <c r="AP69" s="447">
        <f t="shared" si="78"/>
        <v>7294.068543391003</v>
      </c>
      <c r="AQ69" s="684">
        <f t="shared" ref="AQ69:AQ73" si="84">AO69/AW69</f>
        <v>0.66622622512726803</v>
      </c>
      <c r="AR69" s="687">
        <f>RANK(AQ69,$AQ$4:$AQ$72)</f>
        <v>27</v>
      </c>
      <c r="AS69" s="447">
        <f>ROUND(AC69+T69,2)</f>
        <v>7392583</v>
      </c>
      <c r="AT69" s="447">
        <f t="shared" si="79"/>
        <v>3654.27</v>
      </c>
      <c r="AU69" s="687">
        <f>RANK(AT69,$AT$4:$AT$72)</f>
        <v>26</v>
      </c>
      <c r="AV69" s="684">
        <f>AS69/AW69</f>
        <v>0.33377377487273197</v>
      </c>
      <c r="AW69" s="687">
        <f t="shared" ref="AW69:AW72" si="85">AO69+AS69</f>
        <v>22148483.663279999</v>
      </c>
      <c r="AX69" s="688">
        <f t="shared" si="80"/>
        <v>10948.335968007908</v>
      </c>
      <c r="AY69" s="687">
        <f>RANK(AX69,$AX$4:$AX$72)</f>
        <v>2</v>
      </c>
      <c r="AZ69" s="427"/>
    </row>
    <row r="70" spans="1:52" s="690" customFormat="1" ht="15.6" customHeight="1">
      <c r="A70" s="673">
        <v>67</v>
      </c>
      <c r="B70" s="674" t="s">
        <v>28</v>
      </c>
      <c r="C70" s="674">
        <f>+'Table 8 Membership 2.1.14'!W69</f>
        <v>5261</v>
      </c>
      <c r="D70" s="675">
        <f>+'[5]ALL- TABLE 3 '!AA72-'[5]ALL- TABLE 3 '!W72-'[5]ALL- TABLE 3 '!X72-'[5]ALL- TABLE 3 '!Y72-'[5]ALL- TABLE 3 '!Z72</f>
        <v>2361</v>
      </c>
      <c r="E70" s="675">
        <f t="shared" si="69"/>
        <v>519</v>
      </c>
      <c r="F70" s="675">
        <f>+'[6]MS6887_Total CTE T3 corrected'!M72</f>
        <v>1513.5</v>
      </c>
      <c r="G70" s="675">
        <f t="shared" si="70"/>
        <v>91</v>
      </c>
      <c r="H70" s="675">
        <f>+'[7]MFP Funded SWD -Table 3'!W71</f>
        <v>439</v>
      </c>
      <c r="I70" s="675">
        <f t="shared" si="81"/>
        <v>659</v>
      </c>
      <c r="J70" s="675">
        <f>+'[7]MFP Funded GT -Table 3'!S71</f>
        <v>467</v>
      </c>
      <c r="K70" s="675">
        <f t="shared" si="82"/>
        <v>280</v>
      </c>
      <c r="L70" s="675">
        <f t="shared" si="56"/>
        <v>2239</v>
      </c>
      <c r="M70" s="677">
        <f>ROUND(L70/$M$1,5)</f>
        <v>5.9709999999999999E-2</v>
      </c>
      <c r="N70" s="675">
        <f t="shared" si="71"/>
        <v>314</v>
      </c>
      <c r="O70" s="675">
        <f t="shared" si="83"/>
        <v>1863</v>
      </c>
      <c r="P70" s="675">
        <f t="shared" si="72"/>
        <v>7124</v>
      </c>
      <c r="Q70" s="678">
        <f>$Q$1</f>
        <v>3961</v>
      </c>
      <c r="R70" s="678">
        <f>ROUND(P70*Q70,0)</f>
        <v>28218164</v>
      </c>
      <c r="S70" s="678">
        <f>'Table 6 (Local Deduct Calc.)'!J72</f>
        <v>7681377</v>
      </c>
      <c r="T70" s="678">
        <f>IF((S70&gt;R70*$T$1),R70*$T$1,S70)</f>
        <v>7681377</v>
      </c>
      <c r="U70" s="679">
        <f>R70-T70</f>
        <v>20536787</v>
      </c>
      <c r="V70" s="680">
        <f>ROUND(U70/R70,4)</f>
        <v>0.7278</v>
      </c>
      <c r="W70" s="680">
        <f>ROUND(T70/R70,4)</f>
        <v>0.2722</v>
      </c>
      <c r="X70" s="681">
        <f t="shared" si="73"/>
        <v>1460.0602547044289</v>
      </c>
      <c r="Y70" s="678">
        <f>'Table 7 Local Revenue'!AQ73</f>
        <v>26843348</v>
      </c>
      <c r="Z70" s="678">
        <f>IF(Y70-T70&gt;0,Y70-T70,0)</f>
        <v>19161971</v>
      </c>
      <c r="AA70" s="682">
        <f>IF(Y70-T70&lt;0,Y70-T70,0)</f>
        <v>0</v>
      </c>
      <c r="AB70" s="447">
        <f>R70*$AB$1</f>
        <v>9594175.7599999998</v>
      </c>
      <c r="AC70" s="447">
        <f>IF(Z70&lt;AB70,Z70,AB70)</f>
        <v>9594175.7599999998</v>
      </c>
      <c r="AD70" s="678">
        <f>IF(AC70&gt;0,AC70*(W70*$AD$1),0)</f>
        <v>4491839.5840198398</v>
      </c>
      <c r="AE70" s="683">
        <f>IF(AC70-AD70&gt;AC70*$AE$1,AC70-AD70,AC70*$AE$1)</f>
        <v>5102336.17598016</v>
      </c>
      <c r="AF70" s="684">
        <f>IF(AC70=0,0,ROUND(AE70/AC70,4))</f>
        <v>0.53180000000000005</v>
      </c>
      <c r="AG70" s="683">
        <f>U70+AE70</f>
        <v>25639123.175980158</v>
      </c>
      <c r="AH70" s="447">
        <f t="shared" si="74"/>
        <v>4873</v>
      </c>
      <c r="AI70" s="683">
        <f>+'Table 3A Level 3'!O72</f>
        <v>819218</v>
      </c>
      <c r="AJ70" s="447">
        <f t="shared" si="75"/>
        <v>155.71526325793576</v>
      </c>
      <c r="AK70" s="683">
        <f>AI70+AG70</f>
        <v>26458341.175980158</v>
      </c>
      <c r="AL70" s="447">
        <f t="shared" si="76"/>
        <v>5029.1467736134118</v>
      </c>
      <c r="AM70" s="685">
        <f>+'Table 3A Level 3'!P72</f>
        <v>4584042.21</v>
      </c>
      <c r="AN70" s="686">
        <f t="shared" si="77"/>
        <v>871.32526325793572</v>
      </c>
      <c r="AO70" s="683">
        <f>AG70+AM70</f>
        <v>30223165.385980159</v>
      </c>
      <c r="AP70" s="447">
        <f t="shared" si="78"/>
        <v>5744.7567736134115</v>
      </c>
      <c r="AQ70" s="684">
        <f t="shared" si="84"/>
        <v>0.6362943373144051</v>
      </c>
      <c r="AR70" s="687">
        <f>RANK(AQ70,$AQ$4:$AQ$72)</f>
        <v>36</v>
      </c>
      <c r="AS70" s="447">
        <f>ROUND(AC70+T70,2)</f>
        <v>17275552.760000002</v>
      </c>
      <c r="AT70" s="447">
        <f t="shared" si="79"/>
        <v>3283.7</v>
      </c>
      <c r="AU70" s="687">
        <f>RANK(AT70,$AT$4:$AT$72)</f>
        <v>41</v>
      </c>
      <c r="AV70" s="684">
        <f>AS70/AW70</f>
        <v>0.36370566268559479</v>
      </c>
      <c r="AW70" s="687">
        <f t="shared" si="85"/>
        <v>47498718.145980164</v>
      </c>
      <c r="AX70" s="688">
        <f t="shared" si="80"/>
        <v>9028.4581155636115</v>
      </c>
      <c r="AY70" s="687">
        <f>RANK(AX70,$AX$4:$AX$72)</f>
        <v>38</v>
      </c>
      <c r="AZ70" s="427"/>
    </row>
    <row r="71" spans="1:52" ht="15.6" customHeight="1">
      <c r="A71" s="673">
        <v>68</v>
      </c>
      <c r="B71" s="674" t="s">
        <v>27</v>
      </c>
      <c r="C71" s="674">
        <f>+'Table 8 Membership 2.1.14'!W70</f>
        <v>1609</v>
      </c>
      <c r="D71" s="675">
        <f>+'[5]ALL- TABLE 3 '!AA73-'[5]ALL- TABLE 3 '!W73-'[5]ALL- TABLE 3 '!X73-'[5]ALL- TABLE 3 '!Y73-'[5]ALL- TABLE 3 '!Z73</f>
        <v>1334</v>
      </c>
      <c r="E71" s="675">
        <f t="shared" si="69"/>
        <v>293</v>
      </c>
      <c r="F71" s="675">
        <f>+'[6]MS6887_Total CTE T3 corrected'!M73</f>
        <v>578</v>
      </c>
      <c r="G71" s="675">
        <f t="shared" si="70"/>
        <v>35</v>
      </c>
      <c r="H71" s="675">
        <f>+'[7]MFP Funded SWD -Table 3'!W72</f>
        <v>230</v>
      </c>
      <c r="I71" s="675">
        <f t="shared" si="81"/>
        <v>345</v>
      </c>
      <c r="J71" s="675">
        <f>+'[7]MFP Funded GT -Table 3'!S72</f>
        <v>11</v>
      </c>
      <c r="K71" s="675">
        <f t="shared" si="82"/>
        <v>7</v>
      </c>
      <c r="L71" s="675">
        <f t="shared" si="56"/>
        <v>5891</v>
      </c>
      <c r="M71" s="677">
        <f>ROUND(L71/$M$1,5)</f>
        <v>0.15709000000000001</v>
      </c>
      <c r="N71" s="675">
        <f t="shared" si="71"/>
        <v>253</v>
      </c>
      <c r="O71" s="675">
        <f t="shared" si="83"/>
        <v>933</v>
      </c>
      <c r="P71" s="675">
        <f t="shared" si="72"/>
        <v>2542</v>
      </c>
      <c r="Q71" s="678">
        <f>$Q$1</f>
        <v>3961</v>
      </c>
      <c r="R71" s="678">
        <f>ROUND(P71*Q71,0)</f>
        <v>10068862</v>
      </c>
      <c r="S71" s="678">
        <f>'Table 6 (Local Deduct Calc.)'!J73</f>
        <v>1955639</v>
      </c>
      <c r="T71" s="678">
        <f>IF((S71&gt;R71*$T$1),R71*$T$1,S71)</f>
        <v>1955639</v>
      </c>
      <c r="U71" s="679">
        <f>R71-T71</f>
        <v>8113223</v>
      </c>
      <c r="V71" s="680">
        <f>ROUND(U71/R71,4)</f>
        <v>0.80579999999999996</v>
      </c>
      <c r="W71" s="680">
        <f>ROUND(T71/R71,4)</f>
        <v>0.19420000000000001</v>
      </c>
      <c r="X71" s="681">
        <f t="shared" si="73"/>
        <v>1215.4375388440026</v>
      </c>
      <c r="Y71" s="678">
        <f>'Table 7 Local Revenue'!AQ74</f>
        <v>4835631</v>
      </c>
      <c r="Z71" s="678">
        <f>IF(Y71-T71&gt;0,Y71-T71,0)</f>
        <v>2879992</v>
      </c>
      <c r="AA71" s="682">
        <f>IF(Y71-T71&lt;0,Y71-T71,0)</f>
        <v>0</v>
      </c>
      <c r="AB71" s="447">
        <f>R71*$AB$1</f>
        <v>3423413.08</v>
      </c>
      <c r="AC71" s="447">
        <f>IF(Z71&lt;AB71,Z71,AB71)</f>
        <v>2879992</v>
      </c>
      <c r="AD71" s="678">
        <f>IF(AC71&gt;0,AC71*(W71*$AD$1),0)</f>
        <v>961986.44780799991</v>
      </c>
      <c r="AE71" s="683">
        <f>IF(AC71-AD71&gt;AC71*$AE$1,AC71-AD71,AC71*$AE$1)</f>
        <v>1918005.5521920002</v>
      </c>
      <c r="AF71" s="684">
        <f>IF(AC71=0,0,ROUND(AE71/AC71,4))</f>
        <v>0.66600000000000004</v>
      </c>
      <c r="AG71" s="683">
        <f>U71+AE71</f>
        <v>10031228.552192001</v>
      </c>
      <c r="AH71" s="447">
        <f t="shared" si="74"/>
        <v>6234</v>
      </c>
      <c r="AI71" s="683">
        <f>+'Table 3A Level 3'!O73</f>
        <v>250546</v>
      </c>
      <c r="AJ71" s="447">
        <f t="shared" si="75"/>
        <v>155.71535114978246</v>
      </c>
      <c r="AK71" s="683">
        <f>AI71+AG71</f>
        <v>10281774.552192001</v>
      </c>
      <c r="AL71" s="447">
        <f t="shared" si="76"/>
        <v>6390.1644202560601</v>
      </c>
      <c r="AM71" s="685">
        <f>+'Table 3A Level 3'!P73</f>
        <v>1535654.3</v>
      </c>
      <c r="AN71" s="686">
        <f t="shared" si="77"/>
        <v>954.41535114978251</v>
      </c>
      <c r="AO71" s="683">
        <f>AG71+AM71</f>
        <v>11566882.852192001</v>
      </c>
      <c r="AP71" s="447">
        <f t="shared" si="78"/>
        <v>7188.8644202560608</v>
      </c>
      <c r="AQ71" s="684">
        <f t="shared" si="84"/>
        <v>0.7051896408333912</v>
      </c>
      <c r="AR71" s="687">
        <f>RANK(AQ71,$AQ$4:$AQ$72)</f>
        <v>14</v>
      </c>
      <c r="AS71" s="447">
        <f>ROUND(AC71+T71,2)</f>
        <v>4835631</v>
      </c>
      <c r="AT71" s="447">
        <f t="shared" si="79"/>
        <v>3005.36</v>
      </c>
      <c r="AU71" s="687">
        <f>RANK(AT71,$AT$4:$AT$72)</f>
        <v>49</v>
      </c>
      <c r="AV71" s="684">
        <f>AS71/AW71</f>
        <v>0.2948103591666088</v>
      </c>
      <c r="AW71" s="687">
        <f t="shared" si="85"/>
        <v>16402513.852192001</v>
      </c>
      <c r="AX71" s="688">
        <f t="shared" si="80"/>
        <v>10194.22862162337</v>
      </c>
      <c r="AY71" s="687">
        <f>RANK(AX71,$AX$4:$AX$72)</f>
        <v>6</v>
      </c>
    </row>
    <row r="72" spans="1:52" ht="15.6" customHeight="1">
      <c r="A72" s="673">
        <v>69</v>
      </c>
      <c r="B72" s="674" t="s">
        <v>147</v>
      </c>
      <c r="C72" s="674">
        <f>+'Table 8 Membership 2.1.14'!W71</f>
        <v>4313</v>
      </c>
      <c r="D72" s="675">
        <f>+'[5]ALL- TABLE 3 '!AA74-'[5]ALL- TABLE 3 '!W74-'[5]ALL- TABLE 3 '!X74-'[5]ALL- TABLE 3 '!Y74-'[5]ALL- TABLE 3 '!Z74</f>
        <v>2162</v>
      </c>
      <c r="E72" s="675">
        <f t="shared" si="69"/>
        <v>476</v>
      </c>
      <c r="F72" s="675">
        <f>+'[6]MS6887_Total CTE T3 corrected'!M74</f>
        <v>1288.5</v>
      </c>
      <c r="G72" s="675">
        <f t="shared" si="70"/>
        <v>77</v>
      </c>
      <c r="H72" s="675">
        <f>+'[7]MFP Funded SWD -Table 3'!W73</f>
        <v>299</v>
      </c>
      <c r="I72" s="675">
        <f t="shared" si="81"/>
        <v>449</v>
      </c>
      <c r="J72" s="675">
        <f>+'[7]MFP Funded GT -Table 3'!S73</f>
        <v>308</v>
      </c>
      <c r="K72" s="675">
        <f t="shared" si="82"/>
        <v>185</v>
      </c>
      <c r="L72" s="675">
        <f t="shared" si="56"/>
        <v>3187</v>
      </c>
      <c r="M72" s="677">
        <f>ROUND(L72/$M$1,5)</f>
        <v>8.4989999999999996E-2</v>
      </c>
      <c r="N72" s="675">
        <f t="shared" si="71"/>
        <v>367</v>
      </c>
      <c r="O72" s="675">
        <f t="shared" si="83"/>
        <v>1554</v>
      </c>
      <c r="P72" s="675">
        <f t="shared" si="72"/>
        <v>5867</v>
      </c>
      <c r="Q72" s="678">
        <f>$Q$1</f>
        <v>3961</v>
      </c>
      <c r="R72" s="678">
        <f>ROUND(P72*Q72,0)</f>
        <v>23239187</v>
      </c>
      <c r="S72" s="678">
        <f>'Table 6 (Local Deduct Calc.)'!J74</f>
        <v>4499913</v>
      </c>
      <c r="T72" s="678">
        <f>IF((S72&gt;R72*$T$1),R72*$T$1,S72)</f>
        <v>4499913</v>
      </c>
      <c r="U72" s="679">
        <f>R72-T72</f>
        <v>18739274</v>
      </c>
      <c r="V72" s="680">
        <f>ROUND(U72/R72,4)</f>
        <v>0.80640000000000001</v>
      </c>
      <c r="W72" s="680">
        <f>ROUND(T72/R72,4)</f>
        <v>0.19359999999999999</v>
      </c>
      <c r="X72" s="681">
        <f t="shared" si="73"/>
        <v>1043.3371203338743</v>
      </c>
      <c r="Y72" s="678">
        <f>'Table 7 Local Revenue'!AQ75</f>
        <v>14533117</v>
      </c>
      <c r="Z72" s="678">
        <f>IF(Y72-T72&gt;0,Y72-T72,0)</f>
        <v>10033204</v>
      </c>
      <c r="AA72" s="682">
        <f>IF(Y72-T72&lt;0,Y72-T72,0)</f>
        <v>0</v>
      </c>
      <c r="AB72" s="447">
        <f>R72*$AB$1</f>
        <v>7901323.580000001</v>
      </c>
      <c r="AC72" s="447">
        <f>IF(Z72&lt;AB72,Z72,AB72)</f>
        <v>7901323.580000001</v>
      </c>
      <c r="AD72" s="678">
        <f>IF(AC72&gt;0,AC72*(W72*$AD$1),0)</f>
        <v>2631077.5415513604</v>
      </c>
      <c r="AE72" s="683">
        <f>IF(AC72-AD72&gt;AC72*$AE$1,AC72-AD72,AC72*$AE$1)</f>
        <v>5270246.0384486411</v>
      </c>
      <c r="AF72" s="684">
        <f>IF(AC72=0,0,ROUND(AE72/AC72,4))</f>
        <v>0.66700000000000004</v>
      </c>
      <c r="AG72" s="683">
        <f>U72+AE72</f>
        <v>24009520.038448639</v>
      </c>
      <c r="AH72" s="447">
        <f t="shared" si="74"/>
        <v>5567</v>
      </c>
      <c r="AI72" s="683">
        <f>+'Table 3A Level 3'!O74</f>
        <v>671600</v>
      </c>
      <c r="AJ72" s="447">
        <f t="shared" si="75"/>
        <v>155.71527938789706</v>
      </c>
      <c r="AK72" s="683">
        <f>AI72+AG72</f>
        <v>24681120.038448639</v>
      </c>
      <c r="AL72" s="447">
        <f t="shared" si="76"/>
        <v>5722.4947921281337</v>
      </c>
      <c r="AM72" s="685">
        <f>+'Table 3A Level 3'!P74</f>
        <v>3715154.71</v>
      </c>
      <c r="AN72" s="686">
        <f t="shared" si="77"/>
        <v>861.38527938789707</v>
      </c>
      <c r="AO72" s="683">
        <f>AG72+AM72</f>
        <v>27724674.74844864</v>
      </c>
      <c r="AP72" s="447">
        <f t="shared" si="78"/>
        <v>6428.1647921281337</v>
      </c>
      <c r="AQ72" s="684">
        <f t="shared" si="84"/>
        <v>0.69094193329366904</v>
      </c>
      <c r="AR72" s="687">
        <f>RANK(AQ72,$AQ$4:$AQ$72)</f>
        <v>18</v>
      </c>
      <c r="AS72" s="447">
        <f>ROUND(AC72+T72,2)</f>
        <v>12401236.58</v>
      </c>
      <c r="AT72" s="447">
        <f t="shared" si="79"/>
        <v>2875.32</v>
      </c>
      <c r="AU72" s="687">
        <f>RANK(AT72,$AT$4:$AT$72)</f>
        <v>54</v>
      </c>
      <c r="AV72" s="684">
        <f>AS72/AW72</f>
        <v>0.30905806670633096</v>
      </c>
      <c r="AW72" s="687">
        <f t="shared" si="85"/>
        <v>40125911.328448638</v>
      </c>
      <c r="AX72" s="688">
        <f t="shared" si="80"/>
        <v>9303.4804842218036</v>
      </c>
      <c r="AY72" s="687">
        <f>RANK(AX72,$AX$4:$AX$72)</f>
        <v>22</v>
      </c>
    </row>
    <row r="73" spans="1:52" ht="15.6" customHeight="1" thickBot="1">
      <c r="A73" s="711"/>
      <c r="B73" s="712" t="s">
        <v>70</v>
      </c>
      <c r="C73" s="713">
        <f>SUM(C4:C72)</f>
        <v>678570</v>
      </c>
      <c r="D73" s="713">
        <f>SUM(D4:D72)</f>
        <v>461557</v>
      </c>
      <c r="E73" s="713">
        <f t="shared" ref="E73:L73" si="86">SUM(E4:E72)</f>
        <v>101540</v>
      </c>
      <c r="F73" s="713">
        <f t="shared" si="86"/>
        <v>220622</v>
      </c>
      <c r="G73" s="713">
        <f t="shared" si="86"/>
        <v>13240</v>
      </c>
      <c r="H73" s="713">
        <f t="shared" si="86"/>
        <v>82279</v>
      </c>
      <c r="I73" s="713">
        <f t="shared" si="86"/>
        <v>123435</v>
      </c>
      <c r="J73" s="713">
        <f t="shared" si="86"/>
        <v>29521</v>
      </c>
      <c r="K73" s="713">
        <f t="shared" si="86"/>
        <v>17713</v>
      </c>
      <c r="L73" s="713">
        <f t="shared" si="86"/>
        <v>181775</v>
      </c>
      <c r="M73" s="713"/>
      <c r="N73" s="713">
        <f>SUM(N4:N72)</f>
        <v>13162</v>
      </c>
      <c r="O73" s="713">
        <f>SUM(O4:O72)</f>
        <v>269090</v>
      </c>
      <c r="P73" s="713">
        <f>SUM(P4:P72)</f>
        <v>947660</v>
      </c>
      <c r="Q73" s="714">
        <f>$Q$1</f>
        <v>3961</v>
      </c>
      <c r="R73" s="714">
        <f>SUM(R4:R72)</f>
        <v>3753681260</v>
      </c>
      <c r="S73" s="714">
        <f>SUM(S4:S72)</f>
        <v>1322620352.5</v>
      </c>
      <c r="T73" s="714">
        <f>SUM(T4:T72)</f>
        <v>1313738973</v>
      </c>
      <c r="U73" s="715">
        <f>SUM(U4:U72)</f>
        <v>2439942287</v>
      </c>
      <c r="V73" s="716">
        <f>ROUND(U73/R73,4)</f>
        <v>0.65</v>
      </c>
      <c r="W73" s="717">
        <f>ROUND(T73/R73,4)</f>
        <v>0.35</v>
      </c>
      <c r="X73" s="718">
        <f t="shared" si="73"/>
        <v>1936.0404571378044</v>
      </c>
      <c r="Y73" s="714">
        <f t="shared" ref="Y73:AE73" si="87">SUM(Y4:Y72)</f>
        <v>3227058931.5</v>
      </c>
      <c r="Z73" s="714">
        <f t="shared" si="87"/>
        <v>1911907242.5</v>
      </c>
      <c r="AA73" s="714">
        <f t="shared" si="87"/>
        <v>0</v>
      </c>
      <c r="AB73" s="719">
        <f t="shared" si="87"/>
        <v>1276251628.4000001</v>
      </c>
      <c r="AC73" s="719">
        <f t="shared" si="87"/>
        <v>1175854531.9599998</v>
      </c>
      <c r="AD73" s="720">
        <f t="shared" si="87"/>
        <v>730617926.78662801</v>
      </c>
      <c r="AE73" s="721">
        <f t="shared" si="87"/>
        <v>455353340.86032325</v>
      </c>
      <c r="AF73" s="722">
        <f>IF(AC73=0,0,ROUND(AE73/AC73,4))</f>
        <v>0.38729999999999998</v>
      </c>
      <c r="AG73" s="723">
        <f>SUM(AG4:AG72)</f>
        <v>2895295627.8603234</v>
      </c>
      <c r="AH73" s="724">
        <f t="shared" si="74"/>
        <v>4267</v>
      </c>
      <c r="AI73" s="723">
        <f>SUM(AI4:AI72)</f>
        <v>144649938</v>
      </c>
      <c r="AJ73" s="725">
        <f t="shared" si="75"/>
        <v>213.16877846058622</v>
      </c>
      <c r="AK73" s="723">
        <f>SUM(AK4:AK72)</f>
        <v>3039945565.8603234</v>
      </c>
      <c r="AL73" s="725">
        <f t="shared" si="76"/>
        <v>4479.9292126977662</v>
      </c>
      <c r="AM73" s="723">
        <f>SUM(AM4:AM72)</f>
        <v>622802802.64030635</v>
      </c>
      <c r="AN73" s="725">
        <f t="shared" si="77"/>
        <v>917.8165887680068</v>
      </c>
      <c r="AO73" s="723">
        <f>SUM(AO4:AO72)</f>
        <v>3518098430.5006294</v>
      </c>
      <c r="AP73" s="725">
        <f t="shared" si="78"/>
        <v>5184.5770230051867</v>
      </c>
      <c r="AQ73" s="726">
        <f t="shared" si="84"/>
        <v>0.58559900678910004</v>
      </c>
      <c r="AR73" s="724"/>
      <c r="AS73" s="724">
        <f>SUM(AS4:AS72)</f>
        <v>2489593504.9600005</v>
      </c>
      <c r="AT73" s="725">
        <f t="shared" si="79"/>
        <v>3668.88</v>
      </c>
      <c r="AU73" s="725"/>
      <c r="AV73" s="722">
        <f>AS73/AW73</f>
        <v>0.4144009932109004</v>
      </c>
      <c r="AW73" s="725">
        <f>SUM(AW4:AW72)</f>
        <v>6007691935.4606276</v>
      </c>
      <c r="AX73" s="714">
        <f t="shared" si="80"/>
        <v>8853.4593858564731</v>
      </c>
      <c r="AY73" s="725"/>
    </row>
    <row r="74" spans="1:52" ht="13.5" thickTop="1">
      <c r="A74" s="728"/>
      <c r="B74" s="497"/>
      <c r="C74" s="734"/>
      <c r="D74" s="734"/>
      <c r="E74" s="734"/>
      <c r="F74" s="734"/>
      <c r="G74" s="734"/>
      <c r="H74" s="734"/>
      <c r="I74" s="734"/>
      <c r="J74" s="734"/>
      <c r="K74" s="734"/>
      <c r="S74" s="735"/>
      <c r="T74" s="735"/>
      <c r="U74" s="735"/>
      <c r="Z74" s="736"/>
    </row>
    <row r="75" spans="1:52" ht="21" hidden="1" thickBot="1">
      <c r="A75" s="728"/>
      <c r="B75" s="497"/>
      <c r="C75" s="528"/>
      <c r="D75" s="731"/>
      <c r="E75" s="733"/>
      <c r="F75" s="733"/>
      <c r="G75" s="733"/>
      <c r="H75" s="733"/>
      <c r="I75" s="733"/>
      <c r="J75" s="733"/>
      <c r="K75" s="733"/>
      <c r="S75" s="735"/>
      <c r="T75" s="735"/>
      <c r="U75" s="735"/>
      <c r="Z75" s="737">
        <v>1412716</v>
      </c>
      <c r="AG75" s="730">
        <f>AE73+U73</f>
        <v>2895295627.8603234</v>
      </c>
      <c r="AI75" s="738">
        <f>+'Table 3A Level 3'!O75</f>
        <v>144649938</v>
      </c>
      <c r="AJ75" s="425"/>
      <c r="AK75" s="732">
        <f>AI73+AG73</f>
        <v>3039945565.8603234</v>
      </c>
      <c r="AL75" s="732"/>
      <c r="AM75" s="732">
        <f>+'Table 3A Level 3'!P75</f>
        <v>622802802.64030635</v>
      </c>
      <c r="AN75" s="732"/>
      <c r="AO75" s="723">
        <f>AG73+AM73</f>
        <v>3518098430.5006299</v>
      </c>
      <c r="AP75" s="732"/>
      <c r="AQ75" s="732"/>
      <c r="AR75" s="732"/>
      <c r="AS75" s="425"/>
      <c r="AT75" s="732"/>
      <c r="AU75" s="732"/>
      <c r="AV75" s="732"/>
      <c r="AW75" s="725">
        <f>AS73+AO73</f>
        <v>6007691935.4606304</v>
      </c>
    </row>
    <row r="76" spans="1:52" ht="13.5" customHeight="1">
      <c r="A76" s="728"/>
      <c r="B76" s="497"/>
      <c r="C76" s="497"/>
      <c r="D76" s="739"/>
      <c r="E76" s="497"/>
      <c r="F76" s="497"/>
      <c r="G76" s="497"/>
      <c r="H76" s="497"/>
      <c r="I76" s="497"/>
      <c r="J76" s="497"/>
      <c r="K76" s="497"/>
      <c r="S76" s="735"/>
      <c r="T76" s="735"/>
      <c r="U76" s="735"/>
      <c r="Z76" s="736"/>
    </row>
  </sheetData>
  <mergeCells count="6">
    <mergeCell ref="AM1:AP1"/>
    <mergeCell ref="AI1:AL1"/>
    <mergeCell ref="D1:E1"/>
    <mergeCell ref="F1:G1"/>
    <mergeCell ref="H1:I1"/>
    <mergeCell ref="J1:K1"/>
  </mergeCells>
  <phoneticPr fontId="0" type="noConversion"/>
  <printOptions horizontalCentered="1"/>
  <pageMargins left="0.25" right="0.25" top="0.98" bottom="0.42" header="0.27" footer="0.16"/>
  <pageSetup paperSize="5" scale="72" firstPageNumber="18" fitToWidth="14" orientation="portrait" r:id="rId1"/>
  <headerFooter alignWithMargins="0">
    <oddHeader xml:space="preserve">&amp;L&amp;"Arial,Bold"&amp;16&amp;K000000TABLE 3: FY2014-15 Budget Letter 
LEVEL 1 BASE PER PUPIL AND LEVEL 2 LOCAL INCENTIVE </oddHeader>
    <oddFooter>&amp;R&amp;12&amp;P</oddFooter>
  </headerFooter>
  <colBreaks count="4" manualBreakCount="4">
    <brk id="11" max="72" man="1"/>
    <brk id="18" max="72" man="1"/>
    <brk id="25" max="72" man="1"/>
    <brk id="34" max="72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S85"/>
  <sheetViews>
    <sheetView view="pageBreakPreview" topLeftCell="A3" zoomScale="80" zoomScaleNormal="85" zoomScaleSheetLayoutView="80" workbookViewId="0">
      <pane xSplit="2" ySplit="4" topLeftCell="C7" activePane="bottomRight" state="frozen"/>
      <selection activeCell="C12" sqref="C12"/>
      <selection pane="topRight" activeCell="C12" sqref="C12"/>
      <selection pane="bottomLeft" activeCell="C12" sqref="C12"/>
      <selection pane="bottomRight" activeCell="C7" sqref="C7"/>
    </sheetView>
  </sheetViews>
  <sheetFormatPr defaultColWidth="8.85546875" defaultRowHeight="12.75"/>
  <cols>
    <col min="1" max="1" width="4.7109375" style="427" customWidth="1"/>
    <col min="2" max="2" width="18.5703125" style="427" customWidth="1"/>
    <col min="3" max="3" width="16" style="427" customWidth="1"/>
    <col min="4" max="4" width="14.85546875" style="427" customWidth="1"/>
    <col min="5" max="5" width="15.7109375" style="427" customWidth="1"/>
    <col min="6" max="6" width="15.28515625" style="427" customWidth="1"/>
    <col min="7" max="7" width="9" style="427" customWidth="1"/>
    <col min="8" max="8" width="15.85546875" style="427" customWidth="1"/>
    <col min="9" max="9" width="10.42578125" style="427" bestFit="1" customWidth="1"/>
    <col min="10" max="10" width="13.140625" style="427" bestFit="1" customWidth="1"/>
    <col min="11" max="11" width="10.42578125" style="427" bestFit="1" customWidth="1"/>
    <col min="12" max="12" width="13" style="427" customWidth="1"/>
    <col min="13" max="15" width="8.28515625" style="427" bestFit="1" customWidth="1"/>
    <col min="16" max="16" width="11.7109375" style="427" bestFit="1" customWidth="1"/>
    <col min="17" max="17" width="15.42578125" style="427" customWidth="1"/>
    <col min="18" max="18" width="7.85546875" style="427" customWidth="1"/>
    <col min="19" max="19" width="17.140625" style="427" bestFit="1" customWidth="1"/>
    <col min="20" max="21" width="10.7109375" style="427" customWidth="1"/>
    <col min="22" max="22" width="9.140625" style="427" customWidth="1"/>
    <col min="23" max="23" width="16.5703125" style="427" bestFit="1" customWidth="1"/>
    <col min="24" max="24" width="13" style="427" bestFit="1" customWidth="1"/>
    <col min="25" max="25" width="12.85546875" style="427" customWidth="1"/>
    <col min="26" max="26" width="14.42578125" style="427" customWidth="1"/>
    <col min="27" max="27" width="12.85546875" style="427" customWidth="1"/>
    <col min="28" max="30" width="10.7109375" style="427" customWidth="1"/>
    <col min="31" max="31" width="16.140625" style="427" customWidth="1"/>
    <col min="32" max="32" width="10.5703125" style="427" customWidth="1"/>
    <col min="33" max="33" width="16.42578125" style="427" bestFit="1" customWidth="1"/>
    <col min="34" max="34" width="15.42578125" style="427" bestFit="1" customWidth="1"/>
    <col min="35" max="35" width="18.42578125" style="427" customWidth="1"/>
    <col min="36" max="36" width="16.85546875" style="427" bestFit="1" customWidth="1"/>
    <col min="37" max="37" width="17.42578125" style="427" bestFit="1" customWidth="1"/>
    <col min="38" max="38" width="12.28515625" style="427" bestFit="1" customWidth="1"/>
    <col min="39" max="39" width="20.140625" style="427" bestFit="1" customWidth="1"/>
    <col min="40" max="41" width="13.42578125" style="427" bestFit="1" customWidth="1"/>
    <col min="42" max="42" width="23.85546875" style="427" customWidth="1"/>
    <col min="43" max="43" width="19.140625" style="427" bestFit="1" customWidth="1"/>
    <col min="44" max="44" width="14.42578125" style="427" bestFit="1" customWidth="1"/>
    <col min="45" max="45" width="10.42578125" style="427" bestFit="1" customWidth="1"/>
    <col min="46" max="16384" width="8.85546875" style="427"/>
  </cols>
  <sheetData>
    <row r="1" spans="1:44" ht="20.25" hidden="1">
      <c r="A1" s="418" t="s">
        <v>145</v>
      </c>
      <c r="B1" s="419"/>
      <c r="C1" s="420"/>
      <c r="D1" s="421"/>
      <c r="E1" s="421"/>
      <c r="F1" s="421"/>
      <c r="G1" s="421"/>
      <c r="H1" s="421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3"/>
      <c r="AF1" s="424"/>
      <c r="AG1" s="425"/>
      <c r="AH1" s="425"/>
      <c r="AI1" s="425"/>
      <c r="AJ1" s="425"/>
      <c r="AK1" s="425"/>
      <c r="AL1" s="425"/>
      <c r="AM1" s="425"/>
      <c r="AN1" s="425"/>
      <c r="AO1" s="425"/>
      <c r="AP1" s="426"/>
      <c r="AQ1" s="425"/>
    </row>
    <row r="2" spans="1:44" ht="40.5" hidden="1">
      <c r="A2" s="418"/>
      <c r="C2" s="1631" t="s">
        <v>22</v>
      </c>
      <c r="D2" s="1632"/>
      <c r="E2" s="428"/>
      <c r="F2" s="428"/>
      <c r="G2" s="428"/>
      <c r="H2" s="428"/>
      <c r="I2" s="419" t="s">
        <v>35</v>
      </c>
      <c r="J2" s="419" t="s">
        <v>36</v>
      </c>
      <c r="K2" s="419" t="s">
        <v>37</v>
      </c>
      <c r="L2" s="419" t="s">
        <v>38</v>
      </c>
      <c r="M2" s="419" t="s">
        <v>39</v>
      </c>
      <c r="N2" s="419" t="s">
        <v>40</v>
      </c>
      <c r="O2" s="419" t="s">
        <v>41</v>
      </c>
      <c r="P2" s="419" t="s">
        <v>42</v>
      </c>
      <c r="Q2" s="428" t="s">
        <v>20</v>
      </c>
      <c r="R2" s="419" t="s">
        <v>43</v>
      </c>
      <c r="S2" s="419" t="s">
        <v>44</v>
      </c>
      <c r="T2" s="419" t="s">
        <v>45</v>
      </c>
      <c r="U2" s="419" t="s">
        <v>46</v>
      </c>
      <c r="V2" s="419" t="s">
        <v>47</v>
      </c>
      <c r="W2" s="419" t="s">
        <v>48</v>
      </c>
      <c r="X2" s="428" t="s">
        <v>21</v>
      </c>
      <c r="Y2" s="428" t="s">
        <v>29</v>
      </c>
      <c r="Z2" s="428" t="s">
        <v>30</v>
      </c>
      <c r="AA2" s="428" t="s">
        <v>31</v>
      </c>
      <c r="AB2" s="428" t="s">
        <v>32</v>
      </c>
      <c r="AC2" s="428" t="s">
        <v>33</v>
      </c>
      <c r="AD2" s="428" t="s">
        <v>23</v>
      </c>
      <c r="AE2" s="429"/>
      <c r="AF2" s="430" t="s">
        <v>59</v>
      </c>
      <c r="AG2" s="430" t="s">
        <v>60</v>
      </c>
      <c r="AH2" s="431" t="s">
        <v>141</v>
      </c>
      <c r="AI2" s="431"/>
      <c r="AJ2" s="432"/>
      <c r="AK2" s="432" t="s">
        <v>24</v>
      </c>
      <c r="AL2" s="433"/>
      <c r="AM2" s="433"/>
      <c r="AN2" s="428" t="s">
        <v>25</v>
      </c>
      <c r="AO2" s="428" t="s">
        <v>26</v>
      </c>
      <c r="AP2" s="434" t="s">
        <v>63</v>
      </c>
      <c r="AQ2" s="435" t="s">
        <v>19</v>
      </c>
      <c r="AR2" s="434" t="s">
        <v>64</v>
      </c>
    </row>
    <row r="3" spans="1:44" ht="39.75" customHeight="1">
      <c r="A3" s="1356" t="s">
        <v>140</v>
      </c>
      <c r="B3" s="1356" t="s">
        <v>1</v>
      </c>
      <c r="C3" s="1635" t="s">
        <v>468</v>
      </c>
      <c r="D3" s="1636"/>
      <c r="E3" s="1637"/>
      <c r="F3" s="1637"/>
      <c r="G3" s="1637"/>
      <c r="H3" s="1638"/>
      <c r="I3" s="1633" t="s">
        <v>2</v>
      </c>
      <c r="J3" s="1634"/>
      <c r="K3" s="1627" t="s">
        <v>49</v>
      </c>
      <c r="L3" s="1628"/>
      <c r="M3" s="1628"/>
      <c r="N3" s="1628"/>
      <c r="O3" s="1628"/>
      <c r="P3" s="1629"/>
      <c r="Q3" s="1624" t="s">
        <v>153</v>
      </c>
      <c r="R3" s="1627" t="s">
        <v>50</v>
      </c>
      <c r="S3" s="1628"/>
      <c r="T3" s="1628"/>
      <c r="U3" s="1628"/>
      <c r="V3" s="1628"/>
      <c r="W3" s="1629"/>
      <c r="X3" s="1624" t="s">
        <v>51</v>
      </c>
      <c r="Y3" s="1627" t="s">
        <v>34</v>
      </c>
      <c r="Z3" s="1628"/>
      <c r="AA3" s="1628"/>
      <c r="AB3" s="1628"/>
      <c r="AC3" s="1628"/>
      <c r="AD3" s="1628"/>
      <c r="AE3" s="1624" t="s">
        <v>469</v>
      </c>
      <c r="AF3" s="1627" t="s">
        <v>61</v>
      </c>
      <c r="AG3" s="1628"/>
      <c r="AH3" s="1628"/>
      <c r="AI3" s="1624" t="s">
        <v>470</v>
      </c>
      <c r="AJ3" s="1627" t="s">
        <v>71</v>
      </c>
      <c r="AK3" s="1628"/>
      <c r="AL3" s="1628"/>
      <c r="AM3" s="1628"/>
      <c r="AN3" s="1628"/>
      <c r="AO3" s="1629"/>
      <c r="AP3" s="1643" t="s">
        <v>471</v>
      </c>
      <c r="AQ3" s="1642" t="s">
        <v>159</v>
      </c>
      <c r="AR3" s="1639" t="s">
        <v>166</v>
      </c>
    </row>
    <row r="4" spans="1:44" ht="71.25" customHeight="1">
      <c r="A4" s="1612"/>
      <c r="B4" s="1612"/>
      <c r="C4" s="1360" t="s">
        <v>472</v>
      </c>
      <c r="D4" s="1360" t="s">
        <v>473</v>
      </c>
      <c r="E4" s="1356" t="s">
        <v>474</v>
      </c>
      <c r="F4" s="1360" t="s">
        <v>476</v>
      </c>
      <c r="G4" s="1360" t="s">
        <v>148</v>
      </c>
      <c r="H4" s="545" t="s">
        <v>475</v>
      </c>
      <c r="I4" s="1360" t="s">
        <v>6</v>
      </c>
      <c r="J4" s="1360" t="s">
        <v>52</v>
      </c>
      <c r="K4" s="1360" t="s">
        <v>6</v>
      </c>
      <c r="L4" s="1360" t="s">
        <v>52</v>
      </c>
      <c r="M4" s="1360" t="s">
        <v>53</v>
      </c>
      <c r="N4" s="1360" t="s">
        <v>54</v>
      </c>
      <c r="O4" s="1360" t="s">
        <v>55</v>
      </c>
      <c r="P4" s="1360" t="s">
        <v>158</v>
      </c>
      <c r="Q4" s="1625"/>
      <c r="R4" s="1360" t="s">
        <v>6</v>
      </c>
      <c r="S4" s="1360" t="s">
        <v>11</v>
      </c>
      <c r="T4" s="1360" t="s">
        <v>7</v>
      </c>
      <c r="U4" s="1360" t="s">
        <v>8</v>
      </c>
      <c r="V4" s="1360" t="s">
        <v>9</v>
      </c>
      <c r="W4" s="1360" t="s">
        <v>10</v>
      </c>
      <c r="X4" s="1625"/>
      <c r="Y4" s="1360" t="s">
        <v>16</v>
      </c>
      <c r="Z4" s="1360" t="s">
        <v>15</v>
      </c>
      <c r="AA4" s="1360" t="s">
        <v>14</v>
      </c>
      <c r="AB4" s="1360" t="s">
        <v>13</v>
      </c>
      <c r="AC4" s="1360" t="s">
        <v>12</v>
      </c>
      <c r="AD4" s="1360" t="s">
        <v>17</v>
      </c>
      <c r="AE4" s="1625"/>
      <c r="AF4" s="1630" t="s">
        <v>3</v>
      </c>
      <c r="AG4" s="1630" t="s">
        <v>4</v>
      </c>
      <c r="AH4" s="1630" t="s">
        <v>5</v>
      </c>
      <c r="AI4" s="1625"/>
      <c r="AJ4" s="1630" t="s">
        <v>556</v>
      </c>
      <c r="AK4" s="1630" t="s">
        <v>467</v>
      </c>
      <c r="AL4" s="1630" t="s">
        <v>146</v>
      </c>
      <c r="AM4" s="436" t="s">
        <v>69</v>
      </c>
      <c r="AN4" s="1630" t="s">
        <v>72</v>
      </c>
      <c r="AO4" s="1630" t="s">
        <v>18</v>
      </c>
      <c r="AP4" s="1644"/>
      <c r="AQ4" s="1640"/>
      <c r="AR4" s="1640"/>
    </row>
    <row r="5" spans="1:44" s="438" customFormat="1" ht="16.5" customHeight="1">
      <c r="A5" s="1613"/>
      <c r="B5" s="1613"/>
      <c r="C5" s="1360"/>
      <c r="D5" s="1360"/>
      <c r="E5" s="1357"/>
      <c r="F5" s="1360"/>
      <c r="G5" s="1360"/>
      <c r="H5" s="437">
        <v>0.1</v>
      </c>
      <c r="I5" s="1360"/>
      <c r="J5" s="1360"/>
      <c r="K5" s="1360"/>
      <c r="L5" s="1360"/>
      <c r="M5" s="1360"/>
      <c r="N5" s="1360"/>
      <c r="O5" s="1360"/>
      <c r="P5" s="1360"/>
      <c r="Q5" s="1626"/>
      <c r="R5" s="1360"/>
      <c r="S5" s="1360"/>
      <c r="T5" s="1360"/>
      <c r="U5" s="1360"/>
      <c r="V5" s="1360"/>
      <c r="W5" s="1360"/>
      <c r="X5" s="1626"/>
      <c r="Y5" s="1360"/>
      <c r="Z5" s="1360"/>
      <c r="AA5" s="1360"/>
      <c r="AB5" s="1360"/>
      <c r="AC5" s="1360"/>
      <c r="AD5" s="1360"/>
      <c r="AE5" s="1626"/>
      <c r="AF5" s="1630"/>
      <c r="AG5" s="1630"/>
      <c r="AH5" s="1630"/>
      <c r="AI5" s="1626"/>
      <c r="AJ5" s="1630"/>
      <c r="AK5" s="1630"/>
      <c r="AL5" s="1630"/>
      <c r="AM5" s="437">
        <v>0.15</v>
      </c>
      <c r="AN5" s="1630"/>
      <c r="AO5" s="1630"/>
      <c r="AP5" s="1645"/>
      <c r="AQ5" s="1641"/>
      <c r="AR5" s="1641"/>
    </row>
    <row r="6" spans="1:44">
      <c r="A6" s="439"/>
      <c r="B6" s="1221"/>
      <c r="C6" s="440">
        <v>1</v>
      </c>
      <c r="D6" s="441">
        <f>C6+1</f>
        <v>2</v>
      </c>
      <c r="E6" s="441">
        <v>3</v>
      </c>
      <c r="F6" s="442" t="s">
        <v>150</v>
      </c>
      <c r="G6" s="442" t="s">
        <v>151</v>
      </c>
      <c r="H6" s="443" t="s">
        <v>152</v>
      </c>
      <c r="I6" s="444">
        <f>E6+1</f>
        <v>4</v>
      </c>
      <c r="J6" s="441">
        <f t="shared" ref="J6:AR6" si="0">I6+1</f>
        <v>5</v>
      </c>
      <c r="K6" s="441">
        <f t="shared" si="0"/>
        <v>6</v>
      </c>
      <c r="L6" s="441">
        <f t="shared" si="0"/>
        <v>7</v>
      </c>
      <c r="M6" s="441">
        <f t="shared" si="0"/>
        <v>8</v>
      </c>
      <c r="N6" s="441">
        <f t="shared" si="0"/>
        <v>9</v>
      </c>
      <c r="O6" s="441">
        <f t="shared" si="0"/>
        <v>10</v>
      </c>
      <c r="P6" s="441">
        <f t="shared" si="0"/>
        <v>11</v>
      </c>
      <c r="Q6" s="441">
        <f t="shared" si="0"/>
        <v>12</v>
      </c>
      <c r="R6" s="441">
        <f t="shared" si="0"/>
        <v>13</v>
      </c>
      <c r="S6" s="441">
        <f t="shared" si="0"/>
        <v>14</v>
      </c>
      <c r="T6" s="441">
        <f t="shared" si="0"/>
        <v>15</v>
      </c>
      <c r="U6" s="441">
        <f t="shared" si="0"/>
        <v>16</v>
      </c>
      <c r="V6" s="441">
        <f t="shared" si="0"/>
        <v>17</v>
      </c>
      <c r="W6" s="441">
        <f t="shared" si="0"/>
        <v>18</v>
      </c>
      <c r="X6" s="441">
        <f t="shared" si="0"/>
        <v>19</v>
      </c>
      <c r="Y6" s="441">
        <f t="shared" si="0"/>
        <v>20</v>
      </c>
      <c r="Z6" s="441">
        <f t="shared" si="0"/>
        <v>21</v>
      </c>
      <c r="AA6" s="441">
        <f t="shared" si="0"/>
        <v>22</v>
      </c>
      <c r="AB6" s="441">
        <f t="shared" si="0"/>
        <v>23</v>
      </c>
      <c r="AC6" s="441">
        <f t="shared" si="0"/>
        <v>24</v>
      </c>
      <c r="AD6" s="441">
        <f t="shared" si="0"/>
        <v>25</v>
      </c>
      <c r="AE6" s="441">
        <f t="shared" si="0"/>
        <v>26</v>
      </c>
      <c r="AF6" s="441">
        <f t="shared" si="0"/>
        <v>27</v>
      </c>
      <c r="AG6" s="441">
        <f t="shared" si="0"/>
        <v>28</v>
      </c>
      <c r="AH6" s="441">
        <f t="shared" si="0"/>
        <v>29</v>
      </c>
      <c r="AI6" s="441">
        <f t="shared" si="0"/>
        <v>30</v>
      </c>
      <c r="AJ6" s="441">
        <f t="shared" si="0"/>
        <v>31</v>
      </c>
      <c r="AK6" s="441">
        <f t="shared" si="0"/>
        <v>32</v>
      </c>
      <c r="AL6" s="441">
        <f t="shared" si="0"/>
        <v>33</v>
      </c>
      <c r="AM6" s="441">
        <f t="shared" si="0"/>
        <v>34</v>
      </c>
      <c r="AN6" s="441">
        <f t="shared" si="0"/>
        <v>35</v>
      </c>
      <c r="AO6" s="441">
        <f t="shared" si="0"/>
        <v>36</v>
      </c>
      <c r="AP6" s="441">
        <f t="shared" si="0"/>
        <v>37</v>
      </c>
      <c r="AQ6" s="441">
        <f t="shared" si="0"/>
        <v>38</v>
      </c>
      <c r="AR6" s="444">
        <f t="shared" si="0"/>
        <v>39</v>
      </c>
    </row>
    <row r="7" spans="1:44">
      <c r="A7" s="445">
        <v>1</v>
      </c>
      <c r="B7" s="446" t="s">
        <v>73</v>
      </c>
      <c r="C7" s="447">
        <v>379079961</v>
      </c>
      <c r="D7" s="447">
        <v>83701941</v>
      </c>
      <c r="E7" s="447">
        <f>C7-D7</f>
        <v>295378020</v>
      </c>
      <c r="F7" s="447">
        <v>290512798</v>
      </c>
      <c r="G7" s="448">
        <f>(E7-F7)/F7</f>
        <v>1.6747014360448245E-2</v>
      </c>
      <c r="H7" s="449">
        <f t="shared" ref="H7:H38" si="1">IF((E7-F7)/F7&gt;$H$5,F7*(1+$H$5),E7)</f>
        <v>295378020</v>
      </c>
      <c r="I7" s="450">
        <v>5.15</v>
      </c>
      <c r="J7" s="451">
        <v>1599928</v>
      </c>
      <c r="K7" s="450">
        <v>20.059999999999999</v>
      </c>
      <c r="L7" s="451">
        <v>6060530</v>
      </c>
      <c r="M7" s="452">
        <v>10</v>
      </c>
      <c r="N7" s="452">
        <v>13.45</v>
      </c>
      <c r="O7" s="452">
        <v>2</v>
      </c>
      <c r="P7" s="451">
        <v>1047329</v>
      </c>
      <c r="Q7" s="447">
        <f>J7+L7+P7</f>
        <v>8707787</v>
      </c>
      <c r="R7" s="453">
        <v>0</v>
      </c>
      <c r="S7" s="451">
        <v>0</v>
      </c>
      <c r="T7" s="452">
        <v>12</v>
      </c>
      <c r="U7" s="452">
        <v>12</v>
      </c>
      <c r="V7" s="452">
        <v>1</v>
      </c>
      <c r="W7" s="451">
        <v>483598</v>
      </c>
      <c r="X7" s="447">
        <f>S7+W7</f>
        <v>483598</v>
      </c>
      <c r="Y7" s="454">
        <f>I7+K7+R7</f>
        <v>25.21</v>
      </c>
      <c r="Z7" s="447">
        <f>J7+L7+S7</f>
        <v>7660458</v>
      </c>
      <c r="AA7" s="447">
        <f>P7+W7</f>
        <v>1530927</v>
      </c>
      <c r="AB7" s="455">
        <f t="shared" ref="AB7:AB38" si="2">ROUND((X7/E7)*1000,2)</f>
        <v>1.64</v>
      </c>
      <c r="AC7" s="456">
        <f t="shared" ref="AC7:AC38" si="3">ROUND((Q7/E7)*1000,2)</f>
        <v>29.48</v>
      </c>
      <c r="AD7" s="457">
        <f t="shared" ref="AD7:AD38" si="4">ROUND((AE7/E7)*1000,2)</f>
        <v>31.12</v>
      </c>
      <c r="AE7" s="458">
        <f>X7+Q7</f>
        <v>9191385</v>
      </c>
      <c r="AF7" s="459">
        <v>1.4999999999999999E-2</v>
      </c>
      <c r="AG7" s="227">
        <v>11807323</v>
      </c>
      <c r="AH7" s="227">
        <v>0</v>
      </c>
      <c r="AI7" s="460">
        <f>AG7+AH7</f>
        <v>11807323</v>
      </c>
      <c r="AJ7" s="458">
        <v>757979467</v>
      </c>
      <c r="AK7" s="458">
        <f t="shared" ref="AK7:AK17" si="5">ROUND(AI7/AF7,0)</f>
        <v>787154867</v>
      </c>
      <c r="AL7" s="461">
        <f>(AK7-AJ7)/AJ7</f>
        <v>3.8491016274455364E-2</v>
      </c>
      <c r="AM7" s="462">
        <f>IF((AK7-AJ7)/AJ7&gt;$AM$5,AJ7*(1+$AM$5),AK7)</f>
        <v>787154867</v>
      </c>
      <c r="AN7" s="448">
        <f t="shared" ref="AN7:AN38" si="6">AG7/AK7</f>
        <v>1.4999999993648009E-2</v>
      </c>
      <c r="AO7" s="448">
        <f t="shared" ref="AO7:AO38" si="7">AH7/AK7</f>
        <v>0</v>
      </c>
      <c r="AP7" s="458">
        <v>498512.5</v>
      </c>
      <c r="AQ7" s="458">
        <f t="shared" ref="AQ7:AQ38" si="8">AP7+AE7+AI7</f>
        <v>21497220.5</v>
      </c>
      <c r="AR7" s="458">
        <f>ROUND(AQ7/'Table 3 Levels 1&amp;2'!C4,2)</f>
        <v>2217.12</v>
      </c>
    </row>
    <row r="8" spans="1:44">
      <c r="A8" s="445">
        <v>2</v>
      </c>
      <c r="B8" s="446" t="s">
        <v>74</v>
      </c>
      <c r="C8" s="447">
        <v>110092845</v>
      </c>
      <c r="D8" s="447">
        <v>26254850</v>
      </c>
      <c r="E8" s="447">
        <f t="shared" ref="E8:E71" si="9">C8-D8</f>
        <v>83837995</v>
      </c>
      <c r="F8" s="447">
        <v>77481772</v>
      </c>
      <c r="G8" s="448">
        <f t="shared" ref="G8:G71" si="10">(E8-F8)/F8</f>
        <v>8.2035075294870641E-2</v>
      </c>
      <c r="H8" s="449">
        <f t="shared" si="1"/>
        <v>83837995</v>
      </c>
      <c r="I8" s="450">
        <v>4.28</v>
      </c>
      <c r="J8" s="451">
        <v>341959</v>
      </c>
      <c r="K8" s="450">
        <v>5.15</v>
      </c>
      <c r="L8" s="451">
        <v>444909</v>
      </c>
      <c r="M8" s="452">
        <v>12.89</v>
      </c>
      <c r="N8" s="452">
        <v>90.06</v>
      </c>
      <c r="O8" s="452">
        <v>6</v>
      </c>
      <c r="P8" s="451">
        <v>1672210</v>
      </c>
      <c r="Q8" s="447">
        <f t="shared" ref="Q8:Q71" si="11">J8+L8+P8</f>
        <v>2459078</v>
      </c>
      <c r="R8" s="452">
        <v>0</v>
      </c>
      <c r="S8" s="451">
        <v>0</v>
      </c>
      <c r="T8" s="452">
        <v>21.8</v>
      </c>
      <c r="U8" s="452">
        <v>36</v>
      </c>
      <c r="V8" s="452">
        <v>4</v>
      </c>
      <c r="W8" s="451">
        <v>1562832</v>
      </c>
      <c r="X8" s="447">
        <f t="shared" ref="X8:X71" si="12">S8+W8</f>
        <v>1562832</v>
      </c>
      <c r="Y8" s="454">
        <f t="shared" ref="Y8:Y71" si="13">I8+K8+R8</f>
        <v>9.43</v>
      </c>
      <c r="Z8" s="447">
        <f t="shared" ref="Z8:Z71" si="14">J8+L8+S8</f>
        <v>786868</v>
      </c>
      <c r="AA8" s="447">
        <f t="shared" ref="AA8:AA71" si="15">P8+W8</f>
        <v>3235042</v>
      </c>
      <c r="AB8" s="455">
        <f t="shared" si="2"/>
        <v>18.64</v>
      </c>
      <c r="AC8" s="456">
        <f t="shared" si="3"/>
        <v>29.33</v>
      </c>
      <c r="AD8" s="457">
        <f t="shared" si="4"/>
        <v>47.97</v>
      </c>
      <c r="AE8" s="458">
        <f t="shared" ref="AE8:AE71" si="16">X8+Q8</f>
        <v>4021910</v>
      </c>
      <c r="AF8" s="459">
        <v>0.03</v>
      </c>
      <c r="AG8" s="227">
        <v>7341075</v>
      </c>
      <c r="AH8" s="227">
        <v>0</v>
      </c>
      <c r="AI8" s="460">
        <f t="shared" ref="AI8:AI71" si="17">AG8+AH8</f>
        <v>7341075</v>
      </c>
      <c r="AJ8" s="458">
        <v>239069633</v>
      </c>
      <c r="AK8" s="458">
        <f t="shared" si="5"/>
        <v>244702500</v>
      </c>
      <c r="AL8" s="461">
        <f t="shared" ref="AL8:AL71" si="18">(AK8-AJ8)/AJ8</f>
        <v>2.356161646008801E-2</v>
      </c>
      <c r="AM8" s="462">
        <f t="shared" ref="AM8:AM71" si="19">IF((AK8-AJ8)/AJ8&gt;$AM$5,AJ8*(1+$AM$5),AK8)</f>
        <v>244702500</v>
      </c>
      <c r="AN8" s="448">
        <f t="shared" si="6"/>
        <v>0.03</v>
      </c>
      <c r="AO8" s="448">
        <f t="shared" si="7"/>
        <v>0</v>
      </c>
      <c r="AP8" s="458">
        <v>101185</v>
      </c>
      <c r="AQ8" s="458">
        <f t="shared" si="8"/>
        <v>11464170</v>
      </c>
      <c r="AR8" s="458">
        <f>ROUND(AQ8/'Table 3 Levels 1&amp;2'!C5,2)</f>
        <v>2805.03</v>
      </c>
    </row>
    <row r="9" spans="1:44">
      <c r="A9" s="445">
        <v>3</v>
      </c>
      <c r="B9" s="446" t="s">
        <v>75</v>
      </c>
      <c r="C9" s="447">
        <v>1153499800</v>
      </c>
      <c r="D9" s="447">
        <v>201515874</v>
      </c>
      <c r="E9" s="447">
        <f t="shared" si="9"/>
        <v>951983926</v>
      </c>
      <c r="F9" s="447">
        <v>875112560</v>
      </c>
      <c r="G9" s="448">
        <f t="shared" si="10"/>
        <v>8.784168975931507E-2</v>
      </c>
      <c r="H9" s="449">
        <f t="shared" si="1"/>
        <v>951983926</v>
      </c>
      <c r="I9" s="450">
        <v>3.61</v>
      </c>
      <c r="J9" s="451">
        <v>3488335</v>
      </c>
      <c r="K9" s="450">
        <v>42.9</v>
      </c>
      <c r="L9" s="451">
        <v>39272040</v>
      </c>
      <c r="M9" s="452">
        <v>0</v>
      </c>
      <c r="N9" s="452">
        <v>0</v>
      </c>
      <c r="O9" s="452">
        <v>0</v>
      </c>
      <c r="P9" s="451">
        <v>0</v>
      </c>
      <c r="Q9" s="447">
        <f t="shared" si="11"/>
        <v>42760375</v>
      </c>
      <c r="R9" s="452">
        <v>15.08</v>
      </c>
      <c r="S9" s="451">
        <v>15926348</v>
      </c>
      <c r="T9" s="452">
        <v>0</v>
      </c>
      <c r="U9" s="452">
        <v>0</v>
      </c>
      <c r="V9" s="452">
        <v>0</v>
      </c>
      <c r="W9" s="451">
        <v>0</v>
      </c>
      <c r="X9" s="447">
        <f t="shared" si="12"/>
        <v>15926348</v>
      </c>
      <c r="Y9" s="454">
        <f t="shared" si="13"/>
        <v>61.589999999999996</v>
      </c>
      <c r="Z9" s="447">
        <f t="shared" si="14"/>
        <v>58686723</v>
      </c>
      <c r="AA9" s="447">
        <f t="shared" si="15"/>
        <v>0</v>
      </c>
      <c r="AB9" s="455">
        <f t="shared" si="2"/>
        <v>16.73</v>
      </c>
      <c r="AC9" s="456">
        <f t="shared" si="3"/>
        <v>44.92</v>
      </c>
      <c r="AD9" s="457">
        <f t="shared" si="4"/>
        <v>61.65</v>
      </c>
      <c r="AE9" s="458">
        <f t="shared" si="16"/>
        <v>58686723</v>
      </c>
      <c r="AF9" s="459">
        <v>0.02</v>
      </c>
      <c r="AG9" s="227">
        <v>59160535</v>
      </c>
      <c r="AH9" s="227">
        <v>0</v>
      </c>
      <c r="AI9" s="460">
        <f t="shared" si="17"/>
        <v>59160535</v>
      </c>
      <c r="AJ9" s="458">
        <v>2491197300</v>
      </c>
      <c r="AK9" s="458">
        <f t="shared" si="5"/>
        <v>2958026750</v>
      </c>
      <c r="AL9" s="459">
        <f t="shared" si="18"/>
        <v>0.18739160081780756</v>
      </c>
      <c r="AM9" s="458">
        <f t="shared" si="19"/>
        <v>2864876895</v>
      </c>
      <c r="AN9" s="448">
        <f t="shared" si="6"/>
        <v>0.02</v>
      </c>
      <c r="AO9" s="448">
        <f t="shared" si="7"/>
        <v>0</v>
      </c>
      <c r="AP9" s="458">
        <v>201912</v>
      </c>
      <c r="AQ9" s="458">
        <f t="shared" si="8"/>
        <v>118049170</v>
      </c>
      <c r="AR9" s="458">
        <f>ROUND(AQ9/'Table 3 Levels 1&amp;2'!C6,2)</f>
        <v>5632.65</v>
      </c>
    </row>
    <row r="10" spans="1:44">
      <c r="A10" s="445">
        <v>4</v>
      </c>
      <c r="B10" s="446" t="s">
        <v>76</v>
      </c>
      <c r="C10" s="447">
        <v>179274470</v>
      </c>
      <c r="D10" s="447">
        <v>36323068</v>
      </c>
      <c r="E10" s="447">
        <f t="shared" si="9"/>
        <v>142951402</v>
      </c>
      <c r="F10" s="447">
        <v>140247799</v>
      </c>
      <c r="G10" s="448">
        <f t="shared" si="10"/>
        <v>1.9277329264896344E-2</v>
      </c>
      <c r="H10" s="449">
        <f t="shared" si="1"/>
        <v>142951402</v>
      </c>
      <c r="I10" s="450">
        <v>5.49</v>
      </c>
      <c r="J10" s="451">
        <v>778161</v>
      </c>
      <c r="K10" s="450">
        <v>33.880000000000003</v>
      </c>
      <c r="L10" s="451">
        <v>4806138</v>
      </c>
      <c r="M10" s="452">
        <v>0</v>
      </c>
      <c r="N10" s="452">
        <v>0</v>
      </c>
      <c r="O10" s="452">
        <v>0</v>
      </c>
      <c r="P10" s="451">
        <v>0</v>
      </c>
      <c r="Q10" s="447">
        <f t="shared" si="11"/>
        <v>5584299</v>
      </c>
      <c r="R10" s="452">
        <v>0</v>
      </c>
      <c r="S10" s="451">
        <v>2229</v>
      </c>
      <c r="T10" s="452">
        <v>0</v>
      </c>
      <c r="U10" s="452">
        <v>0</v>
      </c>
      <c r="V10" s="452">
        <v>0</v>
      </c>
      <c r="W10" s="451">
        <v>0</v>
      </c>
      <c r="X10" s="447">
        <f t="shared" si="12"/>
        <v>2229</v>
      </c>
      <c r="Y10" s="454">
        <f t="shared" si="13"/>
        <v>39.370000000000005</v>
      </c>
      <c r="Z10" s="447">
        <f t="shared" si="14"/>
        <v>5586528</v>
      </c>
      <c r="AA10" s="447">
        <f t="shared" si="15"/>
        <v>0</v>
      </c>
      <c r="AB10" s="455">
        <f t="shared" si="2"/>
        <v>0.02</v>
      </c>
      <c r="AC10" s="456">
        <f t="shared" si="3"/>
        <v>39.06</v>
      </c>
      <c r="AD10" s="457">
        <f t="shared" si="4"/>
        <v>39.08</v>
      </c>
      <c r="AE10" s="458">
        <f t="shared" si="16"/>
        <v>5586528</v>
      </c>
      <c r="AF10" s="459">
        <v>0.03</v>
      </c>
      <c r="AG10" s="227">
        <v>7069565</v>
      </c>
      <c r="AH10" s="227">
        <v>0</v>
      </c>
      <c r="AI10" s="460">
        <f t="shared" si="17"/>
        <v>7069565</v>
      </c>
      <c r="AJ10" s="458">
        <v>226148633</v>
      </c>
      <c r="AK10" s="458">
        <f t="shared" si="5"/>
        <v>235652167</v>
      </c>
      <c r="AL10" s="459">
        <f t="shared" si="18"/>
        <v>4.202339794819808E-2</v>
      </c>
      <c r="AM10" s="458">
        <f t="shared" si="19"/>
        <v>235652167</v>
      </c>
      <c r="AN10" s="448">
        <f t="shared" si="6"/>
        <v>2.9999999957564576E-2</v>
      </c>
      <c r="AO10" s="448">
        <f t="shared" si="7"/>
        <v>0</v>
      </c>
      <c r="AP10" s="458">
        <v>113761.5</v>
      </c>
      <c r="AQ10" s="458">
        <f t="shared" si="8"/>
        <v>12769854.5</v>
      </c>
      <c r="AR10" s="458">
        <f>ROUND(AQ10/'Table 3 Levels 1&amp;2'!C7,2)</f>
        <v>3577.99</v>
      </c>
    </row>
    <row r="11" spans="1:44">
      <c r="A11" s="463">
        <v>5</v>
      </c>
      <c r="B11" s="464" t="s">
        <v>77</v>
      </c>
      <c r="C11" s="465">
        <v>180693494</v>
      </c>
      <c r="D11" s="465">
        <v>58834511</v>
      </c>
      <c r="E11" s="465">
        <f t="shared" si="9"/>
        <v>121858983</v>
      </c>
      <c r="F11" s="465">
        <v>100860780</v>
      </c>
      <c r="G11" s="466">
        <f t="shared" si="10"/>
        <v>0.20818997235595441</v>
      </c>
      <c r="H11" s="467">
        <f t="shared" si="1"/>
        <v>110946858.00000001</v>
      </c>
      <c r="I11" s="468">
        <v>3.62</v>
      </c>
      <c r="J11" s="469">
        <v>439500</v>
      </c>
      <c r="K11" s="468">
        <v>20</v>
      </c>
      <c r="L11" s="469">
        <v>2381812</v>
      </c>
      <c r="M11" s="470">
        <v>0</v>
      </c>
      <c r="N11" s="470">
        <v>0</v>
      </c>
      <c r="O11" s="470">
        <v>0</v>
      </c>
      <c r="P11" s="469">
        <v>0</v>
      </c>
      <c r="Q11" s="465">
        <f t="shared" si="11"/>
        <v>2821312</v>
      </c>
      <c r="R11" s="470">
        <v>0</v>
      </c>
      <c r="S11" s="469">
        <v>0</v>
      </c>
      <c r="T11" s="470">
        <v>0</v>
      </c>
      <c r="U11" s="470">
        <v>0</v>
      </c>
      <c r="V11" s="470">
        <v>1</v>
      </c>
      <c r="W11" s="469">
        <v>1</v>
      </c>
      <c r="X11" s="465">
        <f t="shared" si="12"/>
        <v>1</v>
      </c>
      <c r="Y11" s="471">
        <f t="shared" si="13"/>
        <v>23.62</v>
      </c>
      <c r="Z11" s="465">
        <f t="shared" si="14"/>
        <v>2821312</v>
      </c>
      <c r="AA11" s="465">
        <f t="shared" si="15"/>
        <v>1</v>
      </c>
      <c r="AB11" s="472">
        <f t="shared" si="2"/>
        <v>0</v>
      </c>
      <c r="AC11" s="473">
        <f t="shared" si="3"/>
        <v>23.15</v>
      </c>
      <c r="AD11" s="474">
        <f t="shared" si="4"/>
        <v>23.15</v>
      </c>
      <c r="AE11" s="475">
        <f t="shared" si="16"/>
        <v>2821313</v>
      </c>
      <c r="AF11" s="476">
        <v>1.7500000000000002E-2</v>
      </c>
      <c r="AG11" s="477">
        <v>7951403</v>
      </c>
      <c r="AH11" s="477">
        <v>0</v>
      </c>
      <c r="AI11" s="478">
        <f t="shared" si="17"/>
        <v>7951403</v>
      </c>
      <c r="AJ11" s="475">
        <v>445566380</v>
      </c>
      <c r="AK11" s="475">
        <f t="shared" si="5"/>
        <v>454365886</v>
      </c>
      <c r="AL11" s="476">
        <f t="shared" si="18"/>
        <v>1.9749034924942049E-2</v>
      </c>
      <c r="AM11" s="475">
        <f t="shared" si="19"/>
        <v>454365886</v>
      </c>
      <c r="AN11" s="466">
        <f t="shared" si="6"/>
        <v>1.7499999988995651E-2</v>
      </c>
      <c r="AO11" s="466">
        <f t="shared" si="7"/>
        <v>0</v>
      </c>
      <c r="AP11" s="475">
        <v>862477</v>
      </c>
      <c r="AQ11" s="475">
        <f t="shared" si="8"/>
        <v>11635193</v>
      </c>
      <c r="AR11" s="475">
        <f>ROUND(AQ11/'Table 3 Levels 1&amp;2'!C8,2)</f>
        <v>2059.33</v>
      </c>
    </row>
    <row r="12" spans="1:44">
      <c r="A12" s="445">
        <v>6</v>
      </c>
      <c r="B12" s="446" t="s">
        <v>78</v>
      </c>
      <c r="C12" s="447">
        <v>275131622</v>
      </c>
      <c r="D12" s="447">
        <v>52105845</v>
      </c>
      <c r="E12" s="447">
        <f t="shared" si="9"/>
        <v>223025777</v>
      </c>
      <c r="F12" s="447">
        <v>205652488</v>
      </c>
      <c r="G12" s="448">
        <f t="shared" si="10"/>
        <v>8.4478866115152471E-2</v>
      </c>
      <c r="H12" s="449">
        <f t="shared" si="1"/>
        <v>223025777</v>
      </c>
      <c r="I12" s="450">
        <v>4.8600000000000003</v>
      </c>
      <c r="J12" s="451">
        <v>1048028</v>
      </c>
      <c r="K12" s="450">
        <v>30.12</v>
      </c>
      <c r="L12" s="451">
        <v>6495265</v>
      </c>
      <c r="M12" s="452">
        <v>0</v>
      </c>
      <c r="N12" s="452">
        <v>0</v>
      </c>
      <c r="O12" s="452">
        <v>0</v>
      </c>
      <c r="P12" s="451">
        <v>0</v>
      </c>
      <c r="Q12" s="447">
        <f t="shared" si="11"/>
        <v>7543293</v>
      </c>
      <c r="R12" s="453">
        <v>17.8</v>
      </c>
      <c r="S12" s="451">
        <v>3839004</v>
      </c>
      <c r="T12" s="452">
        <v>0</v>
      </c>
      <c r="U12" s="452">
        <v>0</v>
      </c>
      <c r="V12" s="452">
        <v>0</v>
      </c>
      <c r="W12" s="451">
        <v>0</v>
      </c>
      <c r="X12" s="447">
        <f t="shared" si="12"/>
        <v>3839004</v>
      </c>
      <c r="Y12" s="454">
        <f t="shared" si="13"/>
        <v>52.78</v>
      </c>
      <c r="Z12" s="447">
        <f t="shared" si="14"/>
        <v>11382297</v>
      </c>
      <c r="AA12" s="447">
        <f t="shared" si="15"/>
        <v>0</v>
      </c>
      <c r="AB12" s="455">
        <f t="shared" si="2"/>
        <v>17.21</v>
      </c>
      <c r="AC12" s="456">
        <f t="shared" si="3"/>
        <v>33.82</v>
      </c>
      <c r="AD12" s="457">
        <f t="shared" si="4"/>
        <v>51.04</v>
      </c>
      <c r="AE12" s="458">
        <f t="shared" si="16"/>
        <v>11382297</v>
      </c>
      <c r="AF12" s="459">
        <v>0.02</v>
      </c>
      <c r="AG12" s="227">
        <v>10864481</v>
      </c>
      <c r="AH12" s="227">
        <v>0</v>
      </c>
      <c r="AI12" s="460">
        <f t="shared" si="17"/>
        <v>10864481</v>
      </c>
      <c r="AJ12" s="458">
        <v>561884400</v>
      </c>
      <c r="AK12" s="458">
        <f t="shared" si="5"/>
        <v>543224050</v>
      </c>
      <c r="AL12" s="461">
        <f t="shared" si="18"/>
        <v>-3.321030090887022E-2</v>
      </c>
      <c r="AM12" s="462">
        <f t="shared" si="19"/>
        <v>543224050</v>
      </c>
      <c r="AN12" s="448">
        <f t="shared" si="6"/>
        <v>0.02</v>
      </c>
      <c r="AO12" s="448">
        <f t="shared" si="7"/>
        <v>0</v>
      </c>
      <c r="AP12" s="458">
        <v>320094.5</v>
      </c>
      <c r="AQ12" s="458">
        <f t="shared" si="8"/>
        <v>22566872.5</v>
      </c>
      <c r="AR12" s="458">
        <f>ROUND(AQ12/'Table 3 Levels 1&amp;2'!C9,2)</f>
        <v>3830.09</v>
      </c>
    </row>
    <row r="13" spans="1:44">
      <c r="A13" s="445">
        <v>7</v>
      </c>
      <c r="B13" s="446" t="s">
        <v>79</v>
      </c>
      <c r="C13" s="447">
        <v>395115260</v>
      </c>
      <c r="D13" s="447">
        <v>15894152</v>
      </c>
      <c r="E13" s="447">
        <f t="shared" si="9"/>
        <v>379221108</v>
      </c>
      <c r="F13" s="447">
        <v>362744427</v>
      </c>
      <c r="G13" s="448">
        <f t="shared" si="10"/>
        <v>4.5422285701993706E-2</v>
      </c>
      <c r="H13" s="449">
        <f t="shared" si="1"/>
        <v>379221108</v>
      </c>
      <c r="I13" s="450">
        <v>5.49</v>
      </c>
      <c r="J13" s="451">
        <v>2122778</v>
      </c>
      <c r="K13" s="450">
        <v>47.7</v>
      </c>
      <c r="L13" s="451">
        <v>18402742</v>
      </c>
      <c r="M13" s="452">
        <v>0</v>
      </c>
      <c r="N13" s="452">
        <v>0</v>
      </c>
      <c r="O13" s="452">
        <v>0</v>
      </c>
      <c r="P13" s="451">
        <v>0</v>
      </c>
      <c r="Q13" s="447">
        <f t="shared" si="11"/>
        <v>20525520</v>
      </c>
      <c r="R13" s="452">
        <v>0</v>
      </c>
      <c r="S13" s="451">
        <v>0</v>
      </c>
      <c r="T13" s="452">
        <v>4.5999999999999996</v>
      </c>
      <c r="U13" s="452">
        <v>70</v>
      </c>
      <c r="V13" s="452">
        <v>3</v>
      </c>
      <c r="W13" s="451">
        <v>1375437</v>
      </c>
      <c r="X13" s="447">
        <f t="shared" si="12"/>
        <v>1375437</v>
      </c>
      <c r="Y13" s="454">
        <f t="shared" si="13"/>
        <v>53.190000000000005</v>
      </c>
      <c r="Z13" s="447">
        <f t="shared" si="14"/>
        <v>20525520</v>
      </c>
      <c r="AA13" s="447">
        <f t="shared" si="15"/>
        <v>1375437</v>
      </c>
      <c r="AB13" s="455">
        <f t="shared" si="2"/>
        <v>3.63</v>
      </c>
      <c r="AC13" s="456">
        <f t="shared" si="3"/>
        <v>54.13</v>
      </c>
      <c r="AD13" s="457">
        <f t="shared" si="4"/>
        <v>57.75</v>
      </c>
      <c r="AE13" s="458">
        <f t="shared" si="16"/>
        <v>21900957</v>
      </c>
      <c r="AF13" s="459">
        <v>0.02</v>
      </c>
      <c r="AG13" s="227">
        <v>4379724</v>
      </c>
      <c r="AH13" s="227">
        <v>0</v>
      </c>
      <c r="AI13" s="460">
        <f t="shared" si="17"/>
        <v>4379724</v>
      </c>
      <c r="AJ13" s="458">
        <v>391089800</v>
      </c>
      <c r="AK13" s="458">
        <f t="shared" si="5"/>
        <v>218986200</v>
      </c>
      <c r="AL13" s="461">
        <f t="shared" si="18"/>
        <v>-0.44006159199242734</v>
      </c>
      <c r="AM13" s="462">
        <f t="shared" si="19"/>
        <v>218986200</v>
      </c>
      <c r="AN13" s="448">
        <f t="shared" si="6"/>
        <v>0.02</v>
      </c>
      <c r="AO13" s="448">
        <f t="shared" si="7"/>
        <v>0</v>
      </c>
      <c r="AP13" s="458">
        <v>170485</v>
      </c>
      <c r="AQ13" s="458">
        <f t="shared" si="8"/>
        <v>26451166</v>
      </c>
      <c r="AR13" s="458">
        <f>ROUND(AQ13/'Table 3 Levels 1&amp;2'!C10,2)</f>
        <v>12078.16</v>
      </c>
    </row>
    <row r="14" spans="1:44">
      <c r="A14" s="445">
        <v>8</v>
      </c>
      <c r="B14" s="446" t="s">
        <v>80</v>
      </c>
      <c r="C14" s="447">
        <v>1092227240</v>
      </c>
      <c r="D14" s="447">
        <v>181723876</v>
      </c>
      <c r="E14" s="447">
        <f t="shared" si="9"/>
        <v>910503364</v>
      </c>
      <c r="F14" s="447">
        <v>882522656</v>
      </c>
      <c r="G14" s="448">
        <f t="shared" si="10"/>
        <v>3.1705370745745476E-2</v>
      </c>
      <c r="H14" s="449">
        <f t="shared" si="1"/>
        <v>910503364</v>
      </c>
      <c r="I14" s="450">
        <v>3.27</v>
      </c>
      <c r="J14" s="451">
        <v>2900420</v>
      </c>
      <c r="K14" s="450">
        <v>35.44</v>
      </c>
      <c r="L14" s="451">
        <v>31452399</v>
      </c>
      <c r="M14" s="452">
        <v>0</v>
      </c>
      <c r="N14" s="452">
        <v>0</v>
      </c>
      <c r="O14" s="452">
        <v>0</v>
      </c>
      <c r="P14" s="451">
        <v>0</v>
      </c>
      <c r="Q14" s="447">
        <f t="shared" si="11"/>
        <v>34352819</v>
      </c>
      <c r="R14" s="452">
        <v>0</v>
      </c>
      <c r="S14" s="451">
        <v>0</v>
      </c>
      <c r="T14" s="452">
        <v>13.55</v>
      </c>
      <c r="U14" s="452">
        <v>13.55</v>
      </c>
      <c r="V14" s="452">
        <v>1</v>
      </c>
      <c r="W14" s="451">
        <v>11870670</v>
      </c>
      <c r="X14" s="447">
        <f t="shared" si="12"/>
        <v>11870670</v>
      </c>
      <c r="Y14" s="454">
        <f t="shared" si="13"/>
        <v>38.71</v>
      </c>
      <c r="Z14" s="447">
        <f t="shared" si="14"/>
        <v>34352819</v>
      </c>
      <c r="AA14" s="447">
        <f t="shared" si="15"/>
        <v>11870670</v>
      </c>
      <c r="AB14" s="455">
        <f t="shared" si="2"/>
        <v>13.04</v>
      </c>
      <c r="AC14" s="456">
        <f t="shared" si="3"/>
        <v>37.729999999999997</v>
      </c>
      <c r="AD14" s="457">
        <f t="shared" si="4"/>
        <v>50.77</v>
      </c>
      <c r="AE14" s="458">
        <f t="shared" si="16"/>
        <v>46223489</v>
      </c>
      <c r="AF14" s="459">
        <v>1.7500000000000002E-2</v>
      </c>
      <c r="AG14" s="227">
        <v>41235031</v>
      </c>
      <c r="AH14" s="227">
        <v>0</v>
      </c>
      <c r="AI14" s="460">
        <f t="shared" si="17"/>
        <v>41235031</v>
      </c>
      <c r="AJ14" s="458">
        <v>2548680229</v>
      </c>
      <c r="AK14" s="458">
        <f t="shared" si="5"/>
        <v>2356287486</v>
      </c>
      <c r="AL14" s="459">
        <f t="shared" si="18"/>
        <v>-7.5487203459606703E-2</v>
      </c>
      <c r="AM14" s="458">
        <f t="shared" si="19"/>
        <v>2356287486</v>
      </c>
      <c r="AN14" s="448">
        <f t="shared" si="6"/>
        <v>1.7499999997878019E-2</v>
      </c>
      <c r="AO14" s="448">
        <f t="shared" si="7"/>
        <v>0</v>
      </c>
      <c r="AP14" s="458">
        <v>601391.5</v>
      </c>
      <c r="AQ14" s="458">
        <f t="shared" si="8"/>
        <v>88059911.5</v>
      </c>
      <c r="AR14" s="458">
        <f>ROUND(AQ14/'Table 3 Levels 1&amp;2'!C11,2)</f>
        <v>4084.03</v>
      </c>
    </row>
    <row r="15" spans="1:44">
      <c r="A15" s="445">
        <v>9</v>
      </c>
      <c r="B15" s="446" t="s">
        <v>81</v>
      </c>
      <c r="C15" s="447">
        <v>1974937310</v>
      </c>
      <c r="D15" s="447">
        <v>347726690</v>
      </c>
      <c r="E15" s="447">
        <f t="shared" si="9"/>
        <v>1627210620</v>
      </c>
      <c r="F15" s="447">
        <v>1541689220</v>
      </c>
      <c r="G15" s="448">
        <f t="shared" si="10"/>
        <v>5.5472529022418671E-2</v>
      </c>
      <c r="H15" s="449">
        <f t="shared" si="1"/>
        <v>1627210620</v>
      </c>
      <c r="I15" s="450">
        <v>7.85</v>
      </c>
      <c r="J15" s="451">
        <v>12586371</v>
      </c>
      <c r="K15" s="450">
        <v>61.81</v>
      </c>
      <c r="L15" s="451">
        <v>99101993</v>
      </c>
      <c r="M15" s="452">
        <v>0</v>
      </c>
      <c r="N15" s="452">
        <v>0</v>
      </c>
      <c r="O15" s="452">
        <v>0</v>
      </c>
      <c r="P15" s="451">
        <v>0</v>
      </c>
      <c r="Q15" s="447">
        <f t="shared" si="11"/>
        <v>111688364</v>
      </c>
      <c r="R15" s="452">
        <v>6</v>
      </c>
      <c r="S15" s="451">
        <v>9749726</v>
      </c>
      <c r="T15" s="452">
        <v>0</v>
      </c>
      <c r="U15" s="452">
        <v>0</v>
      </c>
      <c r="V15" s="452">
        <v>0</v>
      </c>
      <c r="W15" s="451">
        <v>0</v>
      </c>
      <c r="X15" s="447">
        <f t="shared" si="12"/>
        <v>9749726</v>
      </c>
      <c r="Y15" s="454">
        <f t="shared" si="13"/>
        <v>75.66</v>
      </c>
      <c r="Z15" s="447">
        <f t="shared" si="14"/>
        <v>121438090</v>
      </c>
      <c r="AA15" s="447">
        <f t="shared" si="15"/>
        <v>0</v>
      </c>
      <c r="AB15" s="455">
        <f t="shared" si="2"/>
        <v>5.99</v>
      </c>
      <c r="AC15" s="456">
        <f t="shared" si="3"/>
        <v>68.64</v>
      </c>
      <c r="AD15" s="457">
        <f t="shared" si="4"/>
        <v>74.63</v>
      </c>
      <c r="AE15" s="458">
        <f t="shared" si="16"/>
        <v>121438090</v>
      </c>
      <c r="AF15" s="459">
        <v>1.4999999999999999E-2</v>
      </c>
      <c r="AG15" s="227">
        <v>71286828</v>
      </c>
      <c r="AH15" s="227">
        <v>0</v>
      </c>
      <c r="AI15" s="460">
        <f t="shared" si="17"/>
        <v>71286828</v>
      </c>
      <c r="AJ15" s="458">
        <v>4964855267</v>
      </c>
      <c r="AK15" s="458">
        <f t="shared" si="5"/>
        <v>4752455200</v>
      </c>
      <c r="AL15" s="459">
        <f t="shared" si="18"/>
        <v>-4.2780716773712146E-2</v>
      </c>
      <c r="AM15" s="458">
        <f t="shared" si="19"/>
        <v>4752455200</v>
      </c>
      <c r="AN15" s="448">
        <f t="shared" si="6"/>
        <v>1.4999999999999999E-2</v>
      </c>
      <c r="AO15" s="448">
        <f t="shared" si="7"/>
        <v>0</v>
      </c>
      <c r="AP15" s="458">
        <v>2449843</v>
      </c>
      <c r="AQ15" s="458">
        <f t="shared" si="8"/>
        <v>195174761</v>
      </c>
      <c r="AR15" s="458">
        <f>ROUND(AQ15/'Table 3 Levels 1&amp;2'!C12,2)</f>
        <v>4805.4799999999996</v>
      </c>
    </row>
    <row r="16" spans="1:44">
      <c r="A16" s="463">
        <v>10</v>
      </c>
      <c r="B16" s="464" t="s">
        <v>82</v>
      </c>
      <c r="C16" s="465">
        <v>1930441100</v>
      </c>
      <c r="D16" s="465">
        <v>278763765</v>
      </c>
      <c r="E16" s="465">
        <f t="shared" si="9"/>
        <v>1651677335</v>
      </c>
      <c r="F16" s="465">
        <v>1507165524</v>
      </c>
      <c r="G16" s="466">
        <f t="shared" si="10"/>
        <v>9.5883171887097912E-2</v>
      </c>
      <c r="H16" s="467">
        <f t="shared" si="1"/>
        <v>1651677335</v>
      </c>
      <c r="I16" s="468">
        <v>5.37</v>
      </c>
      <c r="J16" s="469">
        <v>8817084</v>
      </c>
      <c r="K16" s="468">
        <v>12.67</v>
      </c>
      <c r="L16" s="469">
        <v>20835738</v>
      </c>
      <c r="M16" s="470">
        <v>0</v>
      </c>
      <c r="N16" s="470">
        <v>0</v>
      </c>
      <c r="O16" s="470">
        <v>0</v>
      </c>
      <c r="P16" s="469">
        <v>28725</v>
      </c>
      <c r="Q16" s="465">
        <f t="shared" si="11"/>
        <v>29681547</v>
      </c>
      <c r="R16" s="470">
        <v>0</v>
      </c>
      <c r="S16" s="469">
        <v>0</v>
      </c>
      <c r="T16" s="470">
        <v>8.5</v>
      </c>
      <c r="U16" s="470">
        <v>24</v>
      </c>
      <c r="V16" s="470">
        <v>10</v>
      </c>
      <c r="W16" s="469">
        <v>22498169</v>
      </c>
      <c r="X16" s="465">
        <f t="shared" si="12"/>
        <v>22498169</v>
      </c>
      <c r="Y16" s="471">
        <f t="shared" si="13"/>
        <v>18.04</v>
      </c>
      <c r="Z16" s="465">
        <f t="shared" si="14"/>
        <v>29652822</v>
      </c>
      <c r="AA16" s="465">
        <f t="shared" si="15"/>
        <v>22526894</v>
      </c>
      <c r="AB16" s="472">
        <f t="shared" si="2"/>
        <v>13.62</v>
      </c>
      <c r="AC16" s="473">
        <f t="shared" si="3"/>
        <v>17.97</v>
      </c>
      <c r="AD16" s="474">
        <f t="shared" si="4"/>
        <v>31.59</v>
      </c>
      <c r="AE16" s="475">
        <f t="shared" si="16"/>
        <v>52179716</v>
      </c>
      <c r="AF16" s="476">
        <v>0.02</v>
      </c>
      <c r="AG16" s="477">
        <v>93741443</v>
      </c>
      <c r="AH16" s="477">
        <v>0</v>
      </c>
      <c r="AI16" s="478">
        <f t="shared" si="17"/>
        <v>93741443</v>
      </c>
      <c r="AJ16" s="475">
        <v>4598875350</v>
      </c>
      <c r="AK16" s="475">
        <f t="shared" si="5"/>
        <v>4687072150</v>
      </c>
      <c r="AL16" s="476">
        <f t="shared" si="18"/>
        <v>1.917790618091008E-2</v>
      </c>
      <c r="AM16" s="475">
        <f t="shared" si="19"/>
        <v>4687072150</v>
      </c>
      <c r="AN16" s="466">
        <f t="shared" si="6"/>
        <v>0.02</v>
      </c>
      <c r="AO16" s="466">
        <f t="shared" si="7"/>
        <v>0</v>
      </c>
      <c r="AP16" s="475">
        <v>1024086.5</v>
      </c>
      <c r="AQ16" s="475">
        <f t="shared" si="8"/>
        <v>146945245.5</v>
      </c>
      <c r="AR16" s="475">
        <f>ROUND(AQ16/'Table 3 Levels 1&amp;2'!C13,2)</f>
        <v>4541.37</v>
      </c>
    </row>
    <row r="17" spans="1:44">
      <c r="A17" s="445">
        <v>11</v>
      </c>
      <c r="B17" s="446" t="s">
        <v>83</v>
      </c>
      <c r="C17" s="447">
        <v>70778900</v>
      </c>
      <c r="D17" s="447">
        <v>13795500</v>
      </c>
      <c r="E17" s="447">
        <f t="shared" si="9"/>
        <v>56983400</v>
      </c>
      <c r="F17" s="447">
        <v>50985230</v>
      </c>
      <c r="G17" s="448">
        <f t="shared" si="10"/>
        <v>0.11764524745695959</v>
      </c>
      <c r="H17" s="449">
        <f t="shared" si="1"/>
        <v>56083753.000000007</v>
      </c>
      <c r="I17" s="450">
        <v>5.54</v>
      </c>
      <c r="J17" s="451">
        <v>321208</v>
      </c>
      <c r="K17" s="450">
        <v>33.549999999999997</v>
      </c>
      <c r="L17" s="451">
        <v>1928213</v>
      </c>
      <c r="M17" s="452">
        <v>0</v>
      </c>
      <c r="N17" s="452">
        <v>0</v>
      </c>
      <c r="O17" s="452">
        <v>0</v>
      </c>
      <c r="P17" s="451">
        <v>0</v>
      </c>
      <c r="Q17" s="447">
        <f t="shared" si="11"/>
        <v>2249421</v>
      </c>
      <c r="R17" s="453">
        <v>30</v>
      </c>
      <c r="S17" s="451">
        <v>1718634</v>
      </c>
      <c r="T17" s="452">
        <v>0</v>
      </c>
      <c r="U17" s="452">
        <v>0</v>
      </c>
      <c r="V17" s="452">
        <v>0</v>
      </c>
      <c r="W17" s="451">
        <v>0</v>
      </c>
      <c r="X17" s="447">
        <f t="shared" si="12"/>
        <v>1718634</v>
      </c>
      <c r="Y17" s="454">
        <f t="shared" si="13"/>
        <v>69.09</v>
      </c>
      <c r="Z17" s="447">
        <f t="shared" si="14"/>
        <v>3968055</v>
      </c>
      <c r="AA17" s="447">
        <f t="shared" si="15"/>
        <v>0</v>
      </c>
      <c r="AB17" s="455">
        <f t="shared" si="2"/>
        <v>30.16</v>
      </c>
      <c r="AC17" s="456">
        <f t="shared" si="3"/>
        <v>39.479999999999997</v>
      </c>
      <c r="AD17" s="457">
        <f t="shared" si="4"/>
        <v>69.64</v>
      </c>
      <c r="AE17" s="458">
        <f t="shared" si="16"/>
        <v>3968055</v>
      </c>
      <c r="AF17" s="459">
        <v>0.02</v>
      </c>
      <c r="AG17" s="227">
        <v>2054677</v>
      </c>
      <c r="AH17" s="227">
        <v>0</v>
      </c>
      <c r="AI17" s="460">
        <f t="shared" si="17"/>
        <v>2054677</v>
      </c>
      <c r="AJ17" s="458">
        <v>98279250</v>
      </c>
      <c r="AK17" s="458">
        <f t="shared" si="5"/>
        <v>102733850</v>
      </c>
      <c r="AL17" s="461">
        <f t="shared" si="18"/>
        <v>4.532594621957331E-2</v>
      </c>
      <c r="AM17" s="462">
        <f t="shared" si="19"/>
        <v>102733850</v>
      </c>
      <c r="AN17" s="448">
        <f t="shared" si="6"/>
        <v>0.02</v>
      </c>
      <c r="AO17" s="448">
        <f t="shared" si="7"/>
        <v>0</v>
      </c>
      <c r="AP17" s="458">
        <v>85705</v>
      </c>
      <c r="AQ17" s="458">
        <f t="shared" si="8"/>
        <v>6108437</v>
      </c>
      <c r="AR17" s="458">
        <f>ROUND(AQ17/'Table 3 Levels 1&amp;2'!C14,2)</f>
        <v>3893.2</v>
      </c>
    </row>
    <row r="18" spans="1:44">
      <c r="A18" s="445">
        <v>12</v>
      </c>
      <c r="B18" s="446" t="s">
        <v>84</v>
      </c>
      <c r="C18" s="447">
        <v>291598410</v>
      </c>
      <c r="D18" s="447">
        <v>11435148</v>
      </c>
      <c r="E18" s="447">
        <f t="shared" si="9"/>
        <v>280163262</v>
      </c>
      <c r="F18" s="447">
        <v>268450131</v>
      </c>
      <c r="G18" s="448">
        <f t="shared" si="10"/>
        <v>4.3632427953629871E-2</v>
      </c>
      <c r="H18" s="449">
        <f t="shared" si="1"/>
        <v>280163262</v>
      </c>
      <c r="I18" s="450">
        <v>4.3</v>
      </c>
      <c r="J18" s="451">
        <v>1394711</v>
      </c>
      <c r="K18" s="450">
        <v>41</v>
      </c>
      <c r="L18" s="451">
        <v>13268281</v>
      </c>
      <c r="M18" s="452">
        <v>0</v>
      </c>
      <c r="N18" s="452">
        <v>0</v>
      </c>
      <c r="O18" s="452">
        <v>0</v>
      </c>
      <c r="P18" s="451">
        <v>0</v>
      </c>
      <c r="Q18" s="447">
        <f t="shared" si="11"/>
        <v>14662992</v>
      </c>
      <c r="R18" s="452">
        <v>0</v>
      </c>
      <c r="S18" s="451">
        <v>779973</v>
      </c>
      <c r="T18" s="452">
        <v>7.25</v>
      </c>
      <c r="U18" s="452">
        <v>15.65</v>
      </c>
      <c r="V18" s="452">
        <v>2</v>
      </c>
      <c r="W18" s="451">
        <v>0</v>
      </c>
      <c r="X18" s="447">
        <f t="shared" si="12"/>
        <v>779973</v>
      </c>
      <c r="Y18" s="454">
        <f t="shared" si="13"/>
        <v>45.3</v>
      </c>
      <c r="Z18" s="447">
        <f t="shared" si="14"/>
        <v>15442965</v>
      </c>
      <c r="AA18" s="447">
        <f t="shared" si="15"/>
        <v>0</v>
      </c>
      <c r="AB18" s="455">
        <f t="shared" si="2"/>
        <v>2.78</v>
      </c>
      <c r="AC18" s="456">
        <f t="shared" si="3"/>
        <v>52.34</v>
      </c>
      <c r="AD18" s="457">
        <f t="shared" si="4"/>
        <v>55.12</v>
      </c>
      <c r="AE18" s="458">
        <f t="shared" si="16"/>
        <v>15442965</v>
      </c>
      <c r="AF18" s="459">
        <v>0</v>
      </c>
      <c r="AG18" s="227">
        <v>0</v>
      </c>
      <c r="AH18" s="227">
        <v>0</v>
      </c>
      <c r="AI18" s="460">
        <f t="shared" si="17"/>
        <v>0</v>
      </c>
      <c r="AJ18" s="458">
        <v>31303034</v>
      </c>
      <c r="AK18" s="458">
        <v>22455273.25</v>
      </c>
      <c r="AL18" s="461">
        <f t="shared" si="18"/>
        <v>-0.28264866434352659</v>
      </c>
      <c r="AM18" s="462">
        <f t="shared" si="19"/>
        <v>22455273.25</v>
      </c>
      <c r="AN18" s="448">
        <f t="shared" si="6"/>
        <v>0</v>
      </c>
      <c r="AO18" s="448">
        <f t="shared" si="7"/>
        <v>0</v>
      </c>
      <c r="AP18" s="458">
        <v>601912</v>
      </c>
      <c r="AQ18" s="458">
        <f t="shared" si="8"/>
        <v>16044877</v>
      </c>
      <c r="AR18" s="458">
        <f>ROUND(AQ18/'Table 3 Levels 1&amp;2'!C15,2)</f>
        <v>13151.54</v>
      </c>
    </row>
    <row r="19" spans="1:44">
      <c r="A19" s="445">
        <v>13</v>
      </c>
      <c r="B19" s="446" t="s">
        <v>85</v>
      </c>
      <c r="C19" s="447">
        <v>49765470</v>
      </c>
      <c r="D19" s="447">
        <v>14855156</v>
      </c>
      <c r="E19" s="447">
        <f t="shared" si="9"/>
        <v>34910314</v>
      </c>
      <c r="F19" s="447">
        <v>35320109</v>
      </c>
      <c r="G19" s="448">
        <f t="shared" si="10"/>
        <v>-1.1602314137818771E-2</v>
      </c>
      <c r="H19" s="449">
        <f t="shared" si="1"/>
        <v>34910314</v>
      </c>
      <c r="I19" s="450">
        <v>4.16</v>
      </c>
      <c r="J19" s="451">
        <v>145627</v>
      </c>
      <c r="K19" s="450">
        <v>13.27</v>
      </c>
      <c r="L19" s="451">
        <v>474685</v>
      </c>
      <c r="M19" s="452">
        <v>4.01</v>
      </c>
      <c r="N19" s="452">
        <v>5.56</v>
      </c>
      <c r="O19" s="452">
        <v>4</v>
      </c>
      <c r="P19" s="451">
        <v>154530</v>
      </c>
      <c r="Q19" s="447">
        <f t="shared" si="11"/>
        <v>774842</v>
      </c>
      <c r="R19" s="452">
        <v>0</v>
      </c>
      <c r="S19" s="451">
        <v>0</v>
      </c>
      <c r="T19" s="452">
        <v>19.7</v>
      </c>
      <c r="U19" s="452">
        <v>25</v>
      </c>
      <c r="V19" s="452">
        <v>2</v>
      </c>
      <c r="W19" s="451">
        <v>200981</v>
      </c>
      <c r="X19" s="447">
        <f t="shared" si="12"/>
        <v>200981</v>
      </c>
      <c r="Y19" s="454">
        <f t="shared" si="13"/>
        <v>17.43</v>
      </c>
      <c r="Z19" s="447">
        <f t="shared" si="14"/>
        <v>620312</v>
      </c>
      <c r="AA19" s="447">
        <f t="shared" si="15"/>
        <v>355511</v>
      </c>
      <c r="AB19" s="455">
        <f t="shared" si="2"/>
        <v>5.76</v>
      </c>
      <c r="AC19" s="456">
        <f t="shared" si="3"/>
        <v>22.2</v>
      </c>
      <c r="AD19" s="457">
        <f t="shared" si="4"/>
        <v>27.95</v>
      </c>
      <c r="AE19" s="458">
        <f t="shared" si="16"/>
        <v>975823</v>
      </c>
      <c r="AF19" s="459">
        <v>0.03</v>
      </c>
      <c r="AG19" s="227">
        <v>2985469</v>
      </c>
      <c r="AH19" s="227">
        <v>0</v>
      </c>
      <c r="AI19" s="460">
        <f t="shared" si="17"/>
        <v>2985469</v>
      </c>
      <c r="AJ19" s="458">
        <v>92401367</v>
      </c>
      <c r="AK19" s="458">
        <f t="shared" ref="AK19:AK50" si="20">ROUND(AI19/AF19,0)</f>
        <v>99515633</v>
      </c>
      <c r="AL19" s="459">
        <f t="shared" si="18"/>
        <v>7.6993081714905792E-2</v>
      </c>
      <c r="AM19" s="458">
        <f t="shared" si="19"/>
        <v>99515633</v>
      </c>
      <c r="AN19" s="448">
        <f t="shared" si="6"/>
        <v>3.0000000100486725E-2</v>
      </c>
      <c r="AO19" s="448">
        <f t="shared" si="7"/>
        <v>0</v>
      </c>
      <c r="AP19" s="458">
        <v>109483</v>
      </c>
      <c r="AQ19" s="458">
        <f t="shared" si="8"/>
        <v>4070775</v>
      </c>
      <c r="AR19" s="458">
        <f>ROUND(AQ19/'Table 3 Levels 1&amp;2'!C16,2)</f>
        <v>2737.58</v>
      </c>
    </row>
    <row r="20" spans="1:44">
      <c r="A20" s="445">
        <v>14</v>
      </c>
      <c r="B20" s="446" t="s">
        <v>86</v>
      </c>
      <c r="C20" s="447">
        <v>160024314</v>
      </c>
      <c r="D20" s="447">
        <v>19707692</v>
      </c>
      <c r="E20" s="447">
        <f t="shared" si="9"/>
        <v>140316622</v>
      </c>
      <c r="F20" s="447">
        <v>140151934</v>
      </c>
      <c r="G20" s="448">
        <f t="shared" si="10"/>
        <v>1.1750676233979048E-3</v>
      </c>
      <c r="H20" s="449">
        <f t="shared" si="1"/>
        <v>140316622</v>
      </c>
      <c r="I20" s="450">
        <v>5.29</v>
      </c>
      <c r="J20" s="451">
        <v>741350</v>
      </c>
      <c r="K20" s="450">
        <v>10.3</v>
      </c>
      <c r="L20" s="451">
        <v>1442968</v>
      </c>
      <c r="M20" s="452">
        <v>3.33</v>
      </c>
      <c r="N20" s="452">
        <v>11.88</v>
      </c>
      <c r="O20" s="452">
        <v>4</v>
      </c>
      <c r="P20" s="451">
        <v>639210</v>
      </c>
      <c r="Q20" s="447">
        <f t="shared" si="11"/>
        <v>2823528</v>
      </c>
      <c r="R20" s="452">
        <v>0</v>
      </c>
      <c r="S20" s="451">
        <v>0</v>
      </c>
      <c r="T20" s="452">
        <v>13</v>
      </c>
      <c r="U20" s="452">
        <v>16.5</v>
      </c>
      <c r="V20" s="452">
        <v>2</v>
      </c>
      <c r="W20" s="451">
        <v>1098978</v>
      </c>
      <c r="X20" s="447">
        <f t="shared" si="12"/>
        <v>1098978</v>
      </c>
      <c r="Y20" s="454">
        <f t="shared" si="13"/>
        <v>15.59</v>
      </c>
      <c r="Z20" s="447">
        <f t="shared" si="14"/>
        <v>2184318</v>
      </c>
      <c r="AA20" s="447">
        <f t="shared" si="15"/>
        <v>1738188</v>
      </c>
      <c r="AB20" s="455">
        <f t="shared" si="2"/>
        <v>7.83</v>
      </c>
      <c r="AC20" s="456">
        <f t="shared" si="3"/>
        <v>20.12</v>
      </c>
      <c r="AD20" s="457">
        <f t="shared" si="4"/>
        <v>27.95</v>
      </c>
      <c r="AE20" s="458">
        <f t="shared" si="16"/>
        <v>3922506</v>
      </c>
      <c r="AF20" s="459">
        <v>0.02</v>
      </c>
      <c r="AG20" s="227">
        <v>3579591</v>
      </c>
      <c r="AH20" s="227">
        <v>0</v>
      </c>
      <c r="AI20" s="460">
        <f t="shared" si="17"/>
        <v>3579591</v>
      </c>
      <c r="AJ20" s="458">
        <v>177461800</v>
      </c>
      <c r="AK20" s="458">
        <f t="shared" si="20"/>
        <v>178979550</v>
      </c>
      <c r="AL20" s="459">
        <f t="shared" si="18"/>
        <v>8.5525448293660954E-3</v>
      </c>
      <c r="AM20" s="458">
        <f t="shared" si="19"/>
        <v>178979550</v>
      </c>
      <c r="AN20" s="448">
        <f t="shared" si="6"/>
        <v>0.02</v>
      </c>
      <c r="AO20" s="448">
        <f t="shared" si="7"/>
        <v>0</v>
      </c>
      <c r="AP20" s="458">
        <v>170753.5</v>
      </c>
      <c r="AQ20" s="458">
        <f t="shared" si="8"/>
        <v>7672850.5</v>
      </c>
      <c r="AR20" s="458">
        <f>ROUND(AQ20/'Table 3 Levels 1&amp;2'!C17,2)</f>
        <v>4567.17</v>
      </c>
    </row>
    <row r="21" spans="1:44">
      <c r="A21" s="463">
        <v>15</v>
      </c>
      <c r="B21" s="464" t="s">
        <v>87</v>
      </c>
      <c r="C21" s="465">
        <v>162952440</v>
      </c>
      <c r="D21" s="465">
        <v>28505628</v>
      </c>
      <c r="E21" s="465">
        <f t="shared" si="9"/>
        <v>134446812</v>
      </c>
      <c r="F21" s="465">
        <v>132017810</v>
      </c>
      <c r="G21" s="466">
        <f t="shared" si="10"/>
        <v>1.8399047825441127E-2</v>
      </c>
      <c r="H21" s="467">
        <f t="shared" si="1"/>
        <v>134446812</v>
      </c>
      <c r="I21" s="468">
        <v>2.84</v>
      </c>
      <c r="J21" s="469">
        <v>383882</v>
      </c>
      <c r="K21" s="468">
        <v>35.46</v>
      </c>
      <c r="L21" s="469">
        <v>4792555</v>
      </c>
      <c r="M21" s="470">
        <v>0</v>
      </c>
      <c r="N21" s="470">
        <v>0</v>
      </c>
      <c r="O21" s="470">
        <v>0</v>
      </c>
      <c r="P21" s="469">
        <v>0</v>
      </c>
      <c r="Q21" s="465">
        <f t="shared" si="11"/>
        <v>5176437</v>
      </c>
      <c r="R21" s="470"/>
      <c r="S21" s="469"/>
      <c r="T21" s="470"/>
      <c r="U21" s="470"/>
      <c r="V21" s="470"/>
      <c r="W21" s="469"/>
      <c r="X21" s="465">
        <f t="shared" si="12"/>
        <v>0</v>
      </c>
      <c r="Y21" s="471">
        <f t="shared" si="13"/>
        <v>38.299999999999997</v>
      </c>
      <c r="Z21" s="465">
        <f t="shared" si="14"/>
        <v>5176437</v>
      </c>
      <c r="AA21" s="465">
        <f t="shared" si="15"/>
        <v>0</v>
      </c>
      <c r="AB21" s="472">
        <f t="shared" si="2"/>
        <v>0</v>
      </c>
      <c r="AC21" s="473">
        <f t="shared" si="3"/>
        <v>38.5</v>
      </c>
      <c r="AD21" s="474">
        <f t="shared" si="4"/>
        <v>38.5</v>
      </c>
      <c r="AE21" s="475">
        <f t="shared" si="16"/>
        <v>5176437</v>
      </c>
      <c r="AF21" s="476">
        <v>0.02</v>
      </c>
      <c r="AG21" s="477">
        <v>5211856</v>
      </c>
      <c r="AH21" s="477">
        <v>0</v>
      </c>
      <c r="AI21" s="478">
        <f t="shared" si="17"/>
        <v>5211856</v>
      </c>
      <c r="AJ21" s="475">
        <v>248895750</v>
      </c>
      <c r="AK21" s="475">
        <f t="shared" si="20"/>
        <v>260592800</v>
      </c>
      <c r="AL21" s="476">
        <f t="shared" si="18"/>
        <v>4.6995780361858329E-2</v>
      </c>
      <c r="AM21" s="475">
        <f t="shared" si="19"/>
        <v>260592800</v>
      </c>
      <c r="AN21" s="466">
        <f t="shared" si="6"/>
        <v>0.02</v>
      </c>
      <c r="AO21" s="466">
        <f t="shared" si="7"/>
        <v>0</v>
      </c>
      <c r="AP21" s="475">
        <v>168879</v>
      </c>
      <c r="AQ21" s="475">
        <f t="shared" si="8"/>
        <v>10557172</v>
      </c>
      <c r="AR21" s="475">
        <f>ROUND(AQ21/'Table 3 Levels 1&amp;2'!C18,2)</f>
        <v>2876.61</v>
      </c>
    </row>
    <row r="22" spans="1:44">
      <c r="A22" s="445">
        <v>16</v>
      </c>
      <c r="B22" s="446" t="s">
        <v>88</v>
      </c>
      <c r="C22" s="447">
        <v>694943220</v>
      </c>
      <c r="D22" s="447">
        <v>39794273</v>
      </c>
      <c r="E22" s="447">
        <f t="shared" si="9"/>
        <v>655148947</v>
      </c>
      <c r="F22" s="447">
        <v>595761003</v>
      </c>
      <c r="G22" s="448">
        <f t="shared" si="10"/>
        <v>9.9684174863657535E-2</v>
      </c>
      <c r="H22" s="449">
        <f t="shared" si="1"/>
        <v>655148947</v>
      </c>
      <c r="I22" s="450">
        <v>5.32</v>
      </c>
      <c r="J22" s="451">
        <v>3514985</v>
      </c>
      <c r="K22" s="450">
        <v>51.34</v>
      </c>
      <c r="L22" s="451">
        <v>33941590</v>
      </c>
      <c r="M22" s="452">
        <v>0</v>
      </c>
      <c r="N22" s="452">
        <v>0</v>
      </c>
      <c r="O22" s="452">
        <v>5</v>
      </c>
      <c r="P22" s="451">
        <v>131329</v>
      </c>
      <c r="Q22" s="447">
        <f t="shared" si="11"/>
        <v>37587904</v>
      </c>
      <c r="R22" s="453">
        <v>0</v>
      </c>
      <c r="S22" s="451">
        <v>0</v>
      </c>
      <c r="T22" s="452">
        <v>0</v>
      </c>
      <c r="U22" s="452">
        <v>5</v>
      </c>
      <c r="V22" s="452">
        <v>5</v>
      </c>
      <c r="W22" s="451">
        <v>1739633</v>
      </c>
      <c r="X22" s="447">
        <f t="shared" si="12"/>
        <v>1739633</v>
      </c>
      <c r="Y22" s="454">
        <f t="shared" si="13"/>
        <v>56.660000000000004</v>
      </c>
      <c r="Z22" s="447">
        <f t="shared" si="14"/>
        <v>37456575</v>
      </c>
      <c r="AA22" s="447">
        <f t="shared" si="15"/>
        <v>1870962</v>
      </c>
      <c r="AB22" s="455">
        <f t="shared" si="2"/>
        <v>2.66</v>
      </c>
      <c r="AC22" s="456">
        <f t="shared" si="3"/>
        <v>57.37</v>
      </c>
      <c r="AD22" s="457">
        <f t="shared" si="4"/>
        <v>60.03</v>
      </c>
      <c r="AE22" s="458">
        <f t="shared" si="16"/>
        <v>39327537</v>
      </c>
      <c r="AF22" s="459">
        <v>2.5000000000000001E-2</v>
      </c>
      <c r="AG22" s="227">
        <v>19901489</v>
      </c>
      <c r="AH22" s="227">
        <v>2052525</v>
      </c>
      <c r="AI22" s="460">
        <f t="shared" si="17"/>
        <v>21954014</v>
      </c>
      <c r="AJ22" s="458">
        <v>1926367400</v>
      </c>
      <c r="AK22" s="458">
        <f t="shared" si="20"/>
        <v>878160560</v>
      </c>
      <c r="AL22" s="461">
        <f t="shared" si="18"/>
        <v>-0.54413651310752043</v>
      </c>
      <c r="AM22" s="462">
        <f t="shared" si="19"/>
        <v>878160560</v>
      </c>
      <c r="AN22" s="448">
        <f t="shared" si="6"/>
        <v>2.2662699632058175E-2</v>
      </c>
      <c r="AO22" s="448">
        <f t="shared" si="7"/>
        <v>2.3373003679418259E-3</v>
      </c>
      <c r="AP22" s="458">
        <v>589328</v>
      </c>
      <c r="AQ22" s="458">
        <f t="shared" si="8"/>
        <v>61870879</v>
      </c>
      <c r="AR22" s="458">
        <f>ROUND(AQ22/'Table 3 Levels 1&amp;2'!C19,2)</f>
        <v>12701.88</v>
      </c>
    </row>
    <row r="23" spans="1:44" s="479" customFormat="1">
      <c r="A23" s="445">
        <v>17</v>
      </c>
      <c r="B23" s="446" t="s">
        <v>89</v>
      </c>
      <c r="C23" s="447">
        <v>3754158035</v>
      </c>
      <c r="D23" s="447">
        <v>551740000</v>
      </c>
      <c r="E23" s="447">
        <f>C23-D23</f>
        <v>3202418035</v>
      </c>
      <c r="F23" s="447">
        <v>3050582980</v>
      </c>
      <c r="G23" s="448">
        <f t="shared" si="10"/>
        <v>4.9772471686706912E-2</v>
      </c>
      <c r="H23" s="449">
        <f t="shared" si="1"/>
        <v>3202418035</v>
      </c>
      <c r="I23" s="450">
        <v>5.25</v>
      </c>
      <c r="J23" s="451">
        <v>16602239</v>
      </c>
      <c r="K23" s="450">
        <v>38.200000000000003</v>
      </c>
      <c r="L23" s="451">
        <v>120800342</v>
      </c>
      <c r="M23" s="452">
        <v>0</v>
      </c>
      <c r="N23" s="452">
        <v>0</v>
      </c>
      <c r="O23" s="452">
        <v>0</v>
      </c>
      <c r="P23" s="451">
        <v>0</v>
      </c>
      <c r="Q23" s="447">
        <f>J23+L23+P23</f>
        <v>137402581</v>
      </c>
      <c r="R23" s="452">
        <v>0</v>
      </c>
      <c r="S23" s="451">
        <v>0</v>
      </c>
      <c r="T23" s="452">
        <v>0</v>
      </c>
      <c r="U23" s="452">
        <v>0</v>
      </c>
      <c r="V23" s="452">
        <v>0</v>
      </c>
      <c r="W23" s="451">
        <v>0</v>
      </c>
      <c r="X23" s="447">
        <f t="shared" si="12"/>
        <v>0</v>
      </c>
      <c r="Y23" s="454">
        <f t="shared" si="13"/>
        <v>43.45</v>
      </c>
      <c r="Z23" s="447">
        <f t="shared" si="14"/>
        <v>137402581</v>
      </c>
      <c r="AA23" s="447">
        <f t="shared" si="15"/>
        <v>0</v>
      </c>
      <c r="AB23" s="455">
        <f t="shared" si="2"/>
        <v>0</v>
      </c>
      <c r="AC23" s="456">
        <f t="shared" si="3"/>
        <v>42.91</v>
      </c>
      <c r="AD23" s="457">
        <f t="shared" si="4"/>
        <v>42.91</v>
      </c>
      <c r="AE23" s="458">
        <f t="shared" si="16"/>
        <v>137402581</v>
      </c>
      <c r="AF23" s="459">
        <v>0.02</v>
      </c>
      <c r="AG23" s="227">
        <v>164449406</v>
      </c>
      <c r="AH23" s="227">
        <v>0</v>
      </c>
      <c r="AI23" s="460">
        <f t="shared" si="17"/>
        <v>164449406</v>
      </c>
      <c r="AJ23" s="458">
        <v>7897815800</v>
      </c>
      <c r="AK23" s="458">
        <f t="shared" si="20"/>
        <v>8222470300</v>
      </c>
      <c r="AL23" s="461">
        <f t="shared" si="18"/>
        <v>4.1106871598600714E-2</v>
      </c>
      <c r="AM23" s="462">
        <f t="shared" si="19"/>
        <v>8222470300</v>
      </c>
      <c r="AN23" s="448">
        <f t="shared" si="6"/>
        <v>0.02</v>
      </c>
      <c r="AO23" s="448">
        <f t="shared" si="7"/>
        <v>0</v>
      </c>
      <c r="AP23" s="458">
        <v>4089910.5</v>
      </c>
      <c r="AQ23" s="458">
        <f t="shared" si="8"/>
        <v>305941897.5</v>
      </c>
      <c r="AR23" s="458">
        <f>ROUND(AQ23/'Table 3 Levels 1&amp;2'!C20,2)</f>
        <v>7055.2</v>
      </c>
    </row>
    <row r="24" spans="1:44">
      <c r="A24" s="445">
        <v>18</v>
      </c>
      <c r="B24" s="446" t="s">
        <v>90</v>
      </c>
      <c r="C24" s="447">
        <v>43329935</v>
      </c>
      <c r="D24" s="447">
        <v>5710668</v>
      </c>
      <c r="E24" s="447">
        <f t="shared" si="9"/>
        <v>37619267</v>
      </c>
      <c r="F24" s="447">
        <v>36585559</v>
      </c>
      <c r="G24" s="448">
        <f t="shared" si="10"/>
        <v>2.8254536168218724E-2</v>
      </c>
      <c r="H24" s="449">
        <f t="shared" si="1"/>
        <v>37619267</v>
      </c>
      <c r="I24" s="450">
        <v>8.15</v>
      </c>
      <c r="J24" s="451">
        <v>306621</v>
      </c>
      <c r="K24" s="450">
        <v>8.19</v>
      </c>
      <c r="L24" s="451">
        <v>416054</v>
      </c>
      <c r="M24" s="452">
        <v>0</v>
      </c>
      <c r="N24" s="452">
        <v>0</v>
      </c>
      <c r="O24" s="452">
        <v>0</v>
      </c>
      <c r="P24" s="451">
        <v>0</v>
      </c>
      <c r="Q24" s="447">
        <f t="shared" si="11"/>
        <v>722675</v>
      </c>
      <c r="R24" s="452"/>
      <c r="S24" s="451"/>
      <c r="T24" s="452"/>
      <c r="U24" s="452"/>
      <c r="V24" s="452"/>
      <c r="W24" s="451"/>
      <c r="X24" s="447">
        <f t="shared" si="12"/>
        <v>0</v>
      </c>
      <c r="Y24" s="454">
        <f t="shared" si="13"/>
        <v>16.34</v>
      </c>
      <c r="Z24" s="447">
        <f t="shared" si="14"/>
        <v>722675</v>
      </c>
      <c r="AA24" s="447">
        <f t="shared" si="15"/>
        <v>0</v>
      </c>
      <c r="AB24" s="455">
        <f t="shared" si="2"/>
        <v>0</v>
      </c>
      <c r="AC24" s="456">
        <f t="shared" si="3"/>
        <v>19.21</v>
      </c>
      <c r="AD24" s="457">
        <f t="shared" si="4"/>
        <v>19.21</v>
      </c>
      <c r="AE24" s="458">
        <f t="shared" si="16"/>
        <v>722675</v>
      </c>
      <c r="AF24" s="459">
        <v>0.03</v>
      </c>
      <c r="AG24" s="227">
        <v>2589137</v>
      </c>
      <c r="AH24" s="227">
        <v>0</v>
      </c>
      <c r="AI24" s="460">
        <f t="shared" si="17"/>
        <v>2589137</v>
      </c>
      <c r="AJ24" s="458">
        <v>61168833</v>
      </c>
      <c r="AK24" s="458">
        <f t="shared" si="20"/>
        <v>86304567</v>
      </c>
      <c r="AL24" s="459">
        <f t="shared" si="18"/>
        <v>0.41092387687043169</v>
      </c>
      <c r="AM24" s="458">
        <f t="shared" si="19"/>
        <v>70344157.949999988</v>
      </c>
      <c r="AN24" s="448">
        <f t="shared" si="6"/>
        <v>2.9999999884131278E-2</v>
      </c>
      <c r="AO24" s="448">
        <f t="shared" si="7"/>
        <v>0</v>
      </c>
      <c r="AP24" s="458">
        <v>146695.5</v>
      </c>
      <c r="AQ24" s="458">
        <f t="shared" si="8"/>
        <v>3458507.5</v>
      </c>
      <c r="AR24" s="458">
        <f>ROUND(AQ24/'Table 3 Levels 1&amp;2'!C21,2)</f>
        <v>3290.68</v>
      </c>
    </row>
    <row r="25" spans="1:44">
      <c r="A25" s="445">
        <v>19</v>
      </c>
      <c r="B25" s="446" t="s">
        <v>91</v>
      </c>
      <c r="C25" s="447">
        <v>151242920</v>
      </c>
      <c r="D25" s="447">
        <v>35280380</v>
      </c>
      <c r="E25" s="447">
        <f t="shared" si="9"/>
        <v>115962540</v>
      </c>
      <c r="F25" s="447">
        <v>108003600</v>
      </c>
      <c r="G25" s="448">
        <f t="shared" si="10"/>
        <v>7.3691432507805299E-2</v>
      </c>
      <c r="H25" s="449">
        <f t="shared" si="1"/>
        <v>115962540</v>
      </c>
      <c r="I25" s="450">
        <v>3.34</v>
      </c>
      <c r="J25" s="451">
        <v>371270</v>
      </c>
      <c r="K25" s="450">
        <v>17</v>
      </c>
      <c r="L25" s="451">
        <v>1889682</v>
      </c>
      <c r="M25" s="452">
        <v>0</v>
      </c>
      <c r="N25" s="452">
        <v>0</v>
      </c>
      <c r="O25" s="452">
        <v>0</v>
      </c>
      <c r="P25" s="451">
        <v>0</v>
      </c>
      <c r="Q25" s="447">
        <f t="shared" si="11"/>
        <v>2260952</v>
      </c>
      <c r="R25" s="452"/>
      <c r="S25" s="451"/>
      <c r="T25" s="452"/>
      <c r="U25" s="452"/>
      <c r="V25" s="452"/>
      <c r="W25" s="451"/>
      <c r="X25" s="447">
        <f t="shared" si="12"/>
        <v>0</v>
      </c>
      <c r="Y25" s="454">
        <f t="shared" si="13"/>
        <v>20.34</v>
      </c>
      <c r="Z25" s="447">
        <f t="shared" si="14"/>
        <v>2260952</v>
      </c>
      <c r="AA25" s="447">
        <f t="shared" si="15"/>
        <v>0</v>
      </c>
      <c r="AB25" s="455">
        <f t="shared" si="2"/>
        <v>0</v>
      </c>
      <c r="AC25" s="456">
        <f t="shared" si="3"/>
        <v>19.5</v>
      </c>
      <c r="AD25" s="457">
        <f t="shared" si="4"/>
        <v>19.5</v>
      </c>
      <c r="AE25" s="458">
        <f t="shared" si="16"/>
        <v>2260952</v>
      </c>
      <c r="AF25" s="459">
        <v>0.02</v>
      </c>
      <c r="AG25" s="227">
        <v>2596202</v>
      </c>
      <c r="AH25" s="227">
        <v>0</v>
      </c>
      <c r="AI25" s="460">
        <f t="shared" si="17"/>
        <v>2596202</v>
      </c>
      <c r="AJ25" s="458">
        <v>152517700</v>
      </c>
      <c r="AK25" s="458">
        <f t="shared" si="20"/>
        <v>129810100</v>
      </c>
      <c r="AL25" s="459">
        <f t="shared" si="18"/>
        <v>-0.14888501465731518</v>
      </c>
      <c r="AM25" s="458">
        <f t="shared" si="19"/>
        <v>129810100</v>
      </c>
      <c r="AN25" s="448">
        <f t="shared" si="6"/>
        <v>0.02</v>
      </c>
      <c r="AO25" s="448">
        <f t="shared" si="7"/>
        <v>0</v>
      </c>
      <c r="AP25" s="458">
        <v>108975.5</v>
      </c>
      <c r="AQ25" s="458">
        <f t="shared" si="8"/>
        <v>4966129.5</v>
      </c>
      <c r="AR25" s="458">
        <f>ROUND(AQ25/'Table 3 Levels 1&amp;2'!C22,2)</f>
        <v>2601.4299999999998</v>
      </c>
    </row>
    <row r="26" spans="1:44">
      <c r="A26" s="463">
        <v>20</v>
      </c>
      <c r="B26" s="464" t="s">
        <v>92</v>
      </c>
      <c r="C26" s="465">
        <v>283990130</v>
      </c>
      <c r="D26" s="465">
        <v>48446830</v>
      </c>
      <c r="E26" s="465">
        <f t="shared" si="9"/>
        <v>235543300</v>
      </c>
      <c r="F26" s="465">
        <v>221134640</v>
      </c>
      <c r="G26" s="466">
        <f t="shared" si="10"/>
        <v>6.5157860387680552E-2</v>
      </c>
      <c r="H26" s="467">
        <f t="shared" si="1"/>
        <v>235543300</v>
      </c>
      <c r="I26" s="468">
        <v>4.59</v>
      </c>
      <c r="J26" s="469">
        <v>995796</v>
      </c>
      <c r="K26" s="468">
        <v>10.18</v>
      </c>
      <c r="L26" s="469">
        <v>2208541</v>
      </c>
      <c r="M26" s="470">
        <v>2</v>
      </c>
      <c r="N26" s="470">
        <v>12.13</v>
      </c>
      <c r="O26" s="470">
        <v>3</v>
      </c>
      <c r="P26" s="469">
        <v>3120300</v>
      </c>
      <c r="Q26" s="465">
        <f t="shared" si="11"/>
        <v>6324637</v>
      </c>
      <c r="R26" s="470">
        <v>0</v>
      </c>
      <c r="S26" s="469">
        <v>0</v>
      </c>
      <c r="T26" s="470">
        <v>14</v>
      </c>
      <c r="U26" s="470">
        <v>14</v>
      </c>
      <c r="V26" s="470">
        <v>1</v>
      </c>
      <c r="W26" s="469">
        <v>598231</v>
      </c>
      <c r="X26" s="465">
        <f t="shared" si="12"/>
        <v>598231</v>
      </c>
      <c r="Y26" s="471">
        <f t="shared" si="13"/>
        <v>14.77</v>
      </c>
      <c r="Z26" s="465">
        <f t="shared" si="14"/>
        <v>3204337</v>
      </c>
      <c r="AA26" s="465">
        <f t="shared" si="15"/>
        <v>3718531</v>
      </c>
      <c r="AB26" s="472">
        <f t="shared" si="2"/>
        <v>2.54</v>
      </c>
      <c r="AC26" s="473">
        <f t="shared" si="3"/>
        <v>26.85</v>
      </c>
      <c r="AD26" s="474">
        <f t="shared" si="4"/>
        <v>29.39</v>
      </c>
      <c r="AE26" s="475">
        <f t="shared" si="16"/>
        <v>6922868</v>
      </c>
      <c r="AF26" s="476">
        <v>0.02</v>
      </c>
      <c r="AG26" s="477">
        <v>8341906</v>
      </c>
      <c r="AH26" s="477">
        <v>0</v>
      </c>
      <c r="AI26" s="478">
        <f t="shared" si="17"/>
        <v>8341906</v>
      </c>
      <c r="AJ26" s="475">
        <v>386464700</v>
      </c>
      <c r="AK26" s="475">
        <f t="shared" si="20"/>
        <v>417095300</v>
      </c>
      <c r="AL26" s="476">
        <f t="shared" si="18"/>
        <v>7.9258467849715644E-2</v>
      </c>
      <c r="AM26" s="475">
        <f t="shared" si="19"/>
        <v>417095300</v>
      </c>
      <c r="AN26" s="466">
        <f t="shared" si="6"/>
        <v>0.02</v>
      </c>
      <c r="AO26" s="466">
        <f t="shared" si="7"/>
        <v>0</v>
      </c>
      <c r="AP26" s="475">
        <v>569300.5</v>
      </c>
      <c r="AQ26" s="475">
        <f t="shared" si="8"/>
        <v>15834074.5</v>
      </c>
      <c r="AR26" s="475">
        <f>ROUND(AQ26/'Table 3 Levels 1&amp;2'!C23,2)</f>
        <v>2704.83</v>
      </c>
    </row>
    <row r="27" spans="1:44">
      <c r="A27" s="445">
        <v>21</v>
      </c>
      <c r="B27" s="446" t="s">
        <v>93</v>
      </c>
      <c r="C27" s="447">
        <v>102754345</v>
      </c>
      <c r="D27" s="447">
        <v>28346375</v>
      </c>
      <c r="E27" s="447">
        <f t="shared" si="9"/>
        <v>74407970</v>
      </c>
      <c r="F27" s="447">
        <v>69264456</v>
      </c>
      <c r="G27" s="448">
        <f t="shared" si="10"/>
        <v>7.4259068749489635E-2</v>
      </c>
      <c r="H27" s="449">
        <f t="shared" si="1"/>
        <v>74407970</v>
      </c>
      <c r="I27" s="450">
        <v>4.5999999999999996</v>
      </c>
      <c r="J27" s="451">
        <v>489652</v>
      </c>
      <c r="K27" s="450">
        <v>20.16</v>
      </c>
      <c r="L27" s="451">
        <v>1548572</v>
      </c>
      <c r="M27" s="452">
        <v>20.16</v>
      </c>
      <c r="N27" s="452">
        <v>20.16</v>
      </c>
      <c r="O27" s="452">
        <v>0</v>
      </c>
      <c r="P27" s="451">
        <v>0</v>
      </c>
      <c r="Q27" s="447">
        <f t="shared" si="11"/>
        <v>2038224</v>
      </c>
      <c r="R27" s="453"/>
      <c r="S27" s="451"/>
      <c r="T27" s="452"/>
      <c r="U27" s="452"/>
      <c r="V27" s="452"/>
      <c r="W27" s="451"/>
      <c r="X27" s="447">
        <f t="shared" si="12"/>
        <v>0</v>
      </c>
      <c r="Y27" s="454">
        <f t="shared" si="13"/>
        <v>24.759999999999998</v>
      </c>
      <c r="Z27" s="447">
        <f t="shared" si="14"/>
        <v>2038224</v>
      </c>
      <c r="AA27" s="447">
        <f t="shared" si="15"/>
        <v>0</v>
      </c>
      <c r="AB27" s="455">
        <f t="shared" si="2"/>
        <v>0</v>
      </c>
      <c r="AC27" s="456">
        <f t="shared" si="3"/>
        <v>27.39</v>
      </c>
      <c r="AD27" s="457">
        <f t="shared" si="4"/>
        <v>27.39</v>
      </c>
      <c r="AE27" s="458">
        <f t="shared" si="16"/>
        <v>2038224</v>
      </c>
      <c r="AF27" s="459">
        <v>0.02</v>
      </c>
      <c r="AG27" s="227">
        <v>5145343</v>
      </c>
      <c r="AH27" s="227">
        <v>0</v>
      </c>
      <c r="AI27" s="460">
        <f t="shared" si="17"/>
        <v>5145343</v>
      </c>
      <c r="AJ27" s="458">
        <v>240663250</v>
      </c>
      <c r="AK27" s="458">
        <f t="shared" si="20"/>
        <v>257267150</v>
      </c>
      <c r="AL27" s="461">
        <f t="shared" si="18"/>
        <v>6.8992253698892544E-2</v>
      </c>
      <c r="AM27" s="462">
        <f t="shared" si="19"/>
        <v>257267150</v>
      </c>
      <c r="AN27" s="448">
        <f t="shared" si="6"/>
        <v>0.02</v>
      </c>
      <c r="AO27" s="448">
        <f t="shared" si="7"/>
        <v>0</v>
      </c>
      <c r="AP27" s="458">
        <v>77320</v>
      </c>
      <c r="AQ27" s="458">
        <f t="shared" si="8"/>
        <v>7260887</v>
      </c>
      <c r="AR27" s="458">
        <f>ROUND(AQ27/'Table 3 Levels 1&amp;2'!C24,2)</f>
        <v>2500.31</v>
      </c>
    </row>
    <row r="28" spans="1:44">
      <c r="A28" s="445">
        <v>22</v>
      </c>
      <c r="B28" s="446" t="s">
        <v>94</v>
      </c>
      <c r="C28" s="447">
        <v>70351786</v>
      </c>
      <c r="D28" s="447">
        <v>30134566</v>
      </c>
      <c r="E28" s="447">
        <f t="shared" si="9"/>
        <v>40217220</v>
      </c>
      <c r="F28" s="447">
        <v>37430667</v>
      </c>
      <c r="G28" s="448">
        <f t="shared" si="10"/>
        <v>7.4445721205021534E-2</v>
      </c>
      <c r="H28" s="449">
        <f t="shared" si="1"/>
        <v>40217220</v>
      </c>
      <c r="I28" s="450">
        <v>5.62</v>
      </c>
      <c r="J28" s="451">
        <v>225114</v>
      </c>
      <c r="K28" s="450">
        <v>23.27</v>
      </c>
      <c r="L28" s="451">
        <v>728433</v>
      </c>
      <c r="M28" s="452">
        <v>2</v>
      </c>
      <c r="N28" s="452">
        <v>16.18</v>
      </c>
      <c r="O28" s="452">
        <v>16</v>
      </c>
      <c r="P28" s="451">
        <v>588472</v>
      </c>
      <c r="Q28" s="447">
        <f t="shared" si="11"/>
        <v>1542019</v>
      </c>
      <c r="R28" s="452">
        <v>81</v>
      </c>
      <c r="S28" s="451">
        <v>0</v>
      </c>
      <c r="T28" s="452">
        <v>18</v>
      </c>
      <c r="U28" s="452">
        <v>38</v>
      </c>
      <c r="V28" s="452">
        <v>9</v>
      </c>
      <c r="W28" s="451">
        <v>1221362</v>
      </c>
      <c r="X28" s="447">
        <f t="shared" si="12"/>
        <v>1221362</v>
      </c>
      <c r="Y28" s="454">
        <f t="shared" si="13"/>
        <v>109.89</v>
      </c>
      <c r="Z28" s="447">
        <f t="shared" si="14"/>
        <v>953547</v>
      </c>
      <c r="AA28" s="447">
        <f t="shared" si="15"/>
        <v>1809834</v>
      </c>
      <c r="AB28" s="455">
        <f t="shared" si="2"/>
        <v>30.37</v>
      </c>
      <c r="AC28" s="456">
        <f t="shared" si="3"/>
        <v>38.340000000000003</v>
      </c>
      <c r="AD28" s="457">
        <f t="shared" si="4"/>
        <v>68.709999999999994</v>
      </c>
      <c r="AE28" s="458">
        <f t="shared" si="16"/>
        <v>2763381</v>
      </c>
      <c r="AF28" s="459">
        <v>0.02</v>
      </c>
      <c r="AG28" s="227">
        <v>2147502</v>
      </c>
      <c r="AH28" s="227">
        <v>0</v>
      </c>
      <c r="AI28" s="460">
        <f t="shared" si="17"/>
        <v>2147502</v>
      </c>
      <c r="AJ28" s="458">
        <v>102440800</v>
      </c>
      <c r="AK28" s="458">
        <f t="shared" si="20"/>
        <v>107375100</v>
      </c>
      <c r="AL28" s="461">
        <f t="shared" si="18"/>
        <v>4.8167331766249384E-2</v>
      </c>
      <c r="AM28" s="462">
        <f t="shared" si="19"/>
        <v>107375100</v>
      </c>
      <c r="AN28" s="448">
        <f t="shared" si="6"/>
        <v>0.02</v>
      </c>
      <c r="AO28" s="448">
        <f t="shared" si="7"/>
        <v>0</v>
      </c>
      <c r="AP28" s="458">
        <v>593135</v>
      </c>
      <c r="AQ28" s="458">
        <f t="shared" si="8"/>
        <v>5504018</v>
      </c>
      <c r="AR28" s="458">
        <f>ROUND(AQ28/'Table 3 Levels 1&amp;2'!C25,2)</f>
        <v>1751.2</v>
      </c>
    </row>
    <row r="29" spans="1:44">
      <c r="A29" s="445">
        <v>23</v>
      </c>
      <c r="B29" s="446" t="s">
        <v>95</v>
      </c>
      <c r="C29" s="447">
        <v>636191558</v>
      </c>
      <c r="D29" s="447">
        <v>109918682</v>
      </c>
      <c r="E29" s="447">
        <f t="shared" si="9"/>
        <v>526272876</v>
      </c>
      <c r="F29" s="447">
        <v>496990013</v>
      </c>
      <c r="G29" s="448">
        <f t="shared" si="10"/>
        <v>5.8920425429152434E-2</v>
      </c>
      <c r="H29" s="449">
        <f t="shared" si="1"/>
        <v>526272876</v>
      </c>
      <c r="I29" s="450">
        <v>4.47</v>
      </c>
      <c r="J29" s="451">
        <v>2358402</v>
      </c>
      <c r="K29" s="450">
        <v>6.15</v>
      </c>
      <c r="L29" s="451">
        <v>3242290</v>
      </c>
      <c r="M29" s="452">
        <v>0</v>
      </c>
      <c r="N29" s="452">
        <v>0</v>
      </c>
      <c r="O29" s="452">
        <v>0</v>
      </c>
      <c r="P29" s="451">
        <v>0</v>
      </c>
      <c r="Q29" s="447">
        <f t="shared" si="11"/>
        <v>5600692</v>
      </c>
      <c r="R29" s="452">
        <v>21.9</v>
      </c>
      <c r="S29" s="451">
        <v>11549081</v>
      </c>
      <c r="T29" s="452">
        <v>0</v>
      </c>
      <c r="U29" s="452">
        <v>0</v>
      </c>
      <c r="V29" s="452">
        <v>0</v>
      </c>
      <c r="W29" s="451">
        <v>0</v>
      </c>
      <c r="X29" s="447">
        <f t="shared" si="12"/>
        <v>11549081</v>
      </c>
      <c r="Y29" s="454">
        <f t="shared" si="13"/>
        <v>32.519999999999996</v>
      </c>
      <c r="Z29" s="447">
        <f t="shared" si="14"/>
        <v>17149773</v>
      </c>
      <c r="AA29" s="447">
        <f t="shared" si="15"/>
        <v>0</v>
      </c>
      <c r="AB29" s="455">
        <f t="shared" si="2"/>
        <v>21.95</v>
      </c>
      <c r="AC29" s="456">
        <f t="shared" si="3"/>
        <v>10.64</v>
      </c>
      <c r="AD29" s="457">
        <f t="shared" si="4"/>
        <v>32.590000000000003</v>
      </c>
      <c r="AE29" s="458">
        <f t="shared" si="16"/>
        <v>17149773</v>
      </c>
      <c r="AF29" s="459">
        <v>0.02</v>
      </c>
      <c r="AG29" s="227">
        <v>28987769</v>
      </c>
      <c r="AH29" s="227">
        <v>0</v>
      </c>
      <c r="AI29" s="460">
        <f t="shared" si="17"/>
        <v>28987769</v>
      </c>
      <c r="AJ29" s="458">
        <v>1424322250</v>
      </c>
      <c r="AK29" s="458">
        <f t="shared" si="20"/>
        <v>1449388450</v>
      </c>
      <c r="AL29" s="459">
        <f t="shared" si="18"/>
        <v>1.7598685971520842E-2</v>
      </c>
      <c r="AM29" s="458">
        <f t="shared" si="19"/>
        <v>1449388450</v>
      </c>
      <c r="AN29" s="448">
        <f t="shared" si="6"/>
        <v>0.02</v>
      </c>
      <c r="AO29" s="448">
        <f t="shared" si="7"/>
        <v>0</v>
      </c>
      <c r="AP29" s="458">
        <v>557578</v>
      </c>
      <c r="AQ29" s="458">
        <f t="shared" si="8"/>
        <v>46695120</v>
      </c>
      <c r="AR29" s="458">
        <f>ROUND(AQ29/'Table 3 Levels 1&amp;2'!C26,2)</f>
        <v>3449.44</v>
      </c>
    </row>
    <row r="30" spans="1:44">
      <c r="A30" s="445">
        <v>24</v>
      </c>
      <c r="B30" s="446" t="s">
        <v>96</v>
      </c>
      <c r="C30" s="447">
        <v>535974437</v>
      </c>
      <c r="D30" s="447">
        <v>45812305</v>
      </c>
      <c r="E30" s="447">
        <f t="shared" si="9"/>
        <v>490162132</v>
      </c>
      <c r="F30" s="447">
        <v>424347580</v>
      </c>
      <c r="G30" s="448">
        <f t="shared" si="10"/>
        <v>0.15509585797567174</v>
      </c>
      <c r="H30" s="449">
        <f t="shared" si="1"/>
        <v>466782338.00000006</v>
      </c>
      <c r="I30" s="450">
        <v>3.49</v>
      </c>
      <c r="J30" s="451">
        <v>1697334</v>
      </c>
      <c r="K30" s="450">
        <v>54.34</v>
      </c>
      <c r="L30" s="451">
        <v>23691868</v>
      </c>
      <c r="M30" s="452">
        <v>0</v>
      </c>
      <c r="N30" s="452">
        <v>0</v>
      </c>
      <c r="O30" s="452">
        <v>0</v>
      </c>
      <c r="P30" s="451">
        <v>0</v>
      </c>
      <c r="Q30" s="447">
        <f t="shared" si="11"/>
        <v>25389202</v>
      </c>
      <c r="R30" s="452">
        <v>0</v>
      </c>
      <c r="S30" s="451">
        <v>3100204</v>
      </c>
      <c r="T30" s="452">
        <v>0</v>
      </c>
      <c r="U30" s="452">
        <v>0</v>
      </c>
      <c r="V30" s="452">
        <v>0</v>
      </c>
      <c r="W30" s="451">
        <v>0</v>
      </c>
      <c r="X30" s="447">
        <f t="shared" si="12"/>
        <v>3100204</v>
      </c>
      <c r="Y30" s="454">
        <f t="shared" si="13"/>
        <v>57.830000000000005</v>
      </c>
      <c r="Z30" s="447">
        <f t="shared" si="14"/>
        <v>28489406</v>
      </c>
      <c r="AA30" s="447">
        <f t="shared" si="15"/>
        <v>0</v>
      </c>
      <c r="AB30" s="455">
        <f t="shared" si="2"/>
        <v>6.32</v>
      </c>
      <c r="AC30" s="456">
        <f t="shared" si="3"/>
        <v>51.8</v>
      </c>
      <c r="AD30" s="457">
        <f t="shared" si="4"/>
        <v>58.12</v>
      </c>
      <c r="AE30" s="458">
        <f t="shared" si="16"/>
        <v>28489406</v>
      </c>
      <c r="AF30" s="459">
        <v>0.02</v>
      </c>
      <c r="AG30" s="227">
        <v>21041895</v>
      </c>
      <c r="AH30" s="227">
        <v>0</v>
      </c>
      <c r="AI30" s="460">
        <f t="shared" si="17"/>
        <v>21041895</v>
      </c>
      <c r="AJ30" s="458">
        <v>933176000</v>
      </c>
      <c r="AK30" s="458">
        <f t="shared" si="20"/>
        <v>1052094750</v>
      </c>
      <c r="AL30" s="459">
        <f t="shared" si="18"/>
        <v>0.1274344282321877</v>
      </c>
      <c r="AM30" s="458">
        <f t="shared" si="19"/>
        <v>1052094750</v>
      </c>
      <c r="AN30" s="448">
        <f t="shared" si="6"/>
        <v>0.02</v>
      </c>
      <c r="AO30" s="448">
        <f t="shared" si="7"/>
        <v>0</v>
      </c>
      <c r="AP30" s="458">
        <v>138588.5</v>
      </c>
      <c r="AQ30" s="458">
        <f t="shared" si="8"/>
        <v>49669889.5</v>
      </c>
      <c r="AR30" s="458">
        <f>ROUND(AQ30/'Table 3 Levels 1&amp;2'!C27,2)</f>
        <v>10818.97</v>
      </c>
    </row>
    <row r="31" spans="1:44">
      <c r="A31" s="463">
        <v>25</v>
      </c>
      <c r="B31" s="464" t="s">
        <v>97</v>
      </c>
      <c r="C31" s="465">
        <v>258353690</v>
      </c>
      <c r="D31" s="465">
        <v>19540260</v>
      </c>
      <c r="E31" s="465">
        <f t="shared" si="9"/>
        <v>238813430</v>
      </c>
      <c r="F31" s="465">
        <v>234609150</v>
      </c>
      <c r="G31" s="466">
        <f t="shared" si="10"/>
        <v>1.7920358178698487E-2</v>
      </c>
      <c r="H31" s="467">
        <f t="shared" si="1"/>
        <v>238813430</v>
      </c>
      <c r="I31" s="468">
        <v>4.6500000000000004</v>
      </c>
      <c r="J31" s="469">
        <v>1146264</v>
      </c>
      <c r="K31" s="468">
        <v>20.16</v>
      </c>
      <c r="L31" s="469">
        <v>4974801</v>
      </c>
      <c r="M31" s="470">
        <v>0</v>
      </c>
      <c r="N31" s="470">
        <v>0</v>
      </c>
      <c r="O31" s="470">
        <v>0</v>
      </c>
      <c r="P31" s="469">
        <v>0</v>
      </c>
      <c r="Q31" s="465">
        <f t="shared" si="11"/>
        <v>6121065</v>
      </c>
      <c r="R31" s="470">
        <v>7</v>
      </c>
      <c r="S31" s="469">
        <v>380945</v>
      </c>
      <c r="T31" s="470">
        <v>0</v>
      </c>
      <c r="U31" s="470">
        <v>0</v>
      </c>
      <c r="V31" s="470">
        <v>0</v>
      </c>
      <c r="W31" s="469">
        <v>0</v>
      </c>
      <c r="X31" s="465">
        <f t="shared" si="12"/>
        <v>380945</v>
      </c>
      <c r="Y31" s="471">
        <f t="shared" si="13"/>
        <v>31.810000000000002</v>
      </c>
      <c r="Z31" s="465">
        <f t="shared" si="14"/>
        <v>6502010</v>
      </c>
      <c r="AA31" s="465">
        <f t="shared" si="15"/>
        <v>0</v>
      </c>
      <c r="AB31" s="472">
        <f t="shared" si="2"/>
        <v>1.6</v>
      </c>
      <c r="AC31" s="473">
        <f t="shared" si="3"/>
        <v>25.63</v>
      </c>
      <c r="AD31" s="474">
        <f t="shared" si="4"/>
        <v>27.23</v>
      </c>
      <c r="AE31" s="475">
        <f t="shared" si="16"/>
        <v>6502010</v>
      </c>
      <c r="AF31" s="476">
        <v>0.03</v>
      </c>
      <c r="AG31" s="477">
        <v>5249322</v>
      </c>
      <c r="AH31" s="477">
        <v>0</v>
      </c>
      <c r="AI31" s="478">
        <f t="shared" si="17"/>
        <v>5249322</v>
      </c>
      <c r="AJ31" s="475">
        <v>202203800</v>
      </c>
      <c r="AK31" s="475">
        <f t="shared" si="20"/>
        <v>174977400</v>
      </c>
      <c r="AL31" s="476">
        <f t="shared" si="18"/>
        <v>-0.13464831026914431</v>
      </c>
      <c r="AM31" s="475">
        <f t="shared" si="19"/>
        <v>174977400</v>
      </c>
      <c r="AN31" s="466">
        <f t="shared" si="6"/>
        <v>0.03</v>
      </c>
      <c r="AO31" s="466">
        <f t="shared" si="7"/>
        <v>0</v>
      </c>
      <c r="AP31" s="475">
        <v>97597</v>
      </c>
      <c r="AQ31" s="475">
        <f t="shared" si="8"/>
        <v>11848929</v>
      </c>
      <c r="AR31" s="475">
        <f>ROUND(AQ31/'Table 3 Levels 1&amp;2'!C28,2)</f>
        <v>5180.99</v>
      </c>
    </row>
    <row r="32" spans="1:44" s="479" customFormat="1">
      <c r="A32" s="445">
        <v>26</v>
      </c>
      <c r="B32" s="446" t="s">
        <v>98</v>
      </c>
      <c r="C32" s="447">
        <v>4089295257</v>
      </c>
      <c r="D32" s="447">
        <v>751270880</v>
      </c>
      <c r="E32" s="447">
        <f t="shared" si="9"/>
        <v>3338024377</v>
      </c>
      <c r="F32" s="447">
        <v>3247560992</v>
      </c>
      <c r="G32" s="448">
        <f t="shared" si="10"/>
        <v>2.7855792461741701E-2</v>
      </c>
      <c r="H32" s="449">
        <f t="shared" si="1"/>
        <v>3338024377</v>
      </c>
      <c r="I32" s="450">
        <v>2.91</v>
      </c>
      <c r="J32" s="451">
        <v>9623392</v>
      </c>
      <c r="K32" s="450">
        <v>20</v>
      </c>
      <c r="L32" s="451">
        <v>66048514</v>
      </c>
      <c r="M32" s="452">
        <v>0</v>
      </c>
      <c r="N32" s="452">
        <v>0</v>
      </c>
      <c r="O32" s="452">
        <v>0</v>
      </c>
      <c r="P32" s="451">
        <v>0</v>
      </c>
      <c r="Q32" s="447">
        <f t="shared" si="11"/>
        <v>75671906</v>
      </c>
      <c r="R32" s="453">
        <v>0</v>
      </c>
      <c r="S32" s="451">
        <v>0</v>
      </c>
      <c r="T32" s="452">
        <v>0</v>
      </c>
      <c r="U32" s="452">
        <v>0</v>
      </c>
      <c r="V32" s="452">
        <v>0</v>
      </c>
      <c r="W32" s="451">
        <v>0</v>
      </c>
      <c r="X32" s="447">
        <f t="shared" si="12"/>
        <v>0</v>
      </c>
      <c r="Y32" s="454">
        <f t="shared" si="13"/>
        <v>22.91</v>
      </c>
      <c r="Z32" s="447">
        <f t="shared" si="14"/>
        <v>75671906</v>
      </c>
      <c r="AA32" s="447">
        <f t="shared" si="15"/>
        <v>0</v>
      </c>
      <c r="AB32" s="455">
        <f t="shared" si="2"/>
        <v>0</v>
      </c>
      <c r="AC32" s="456">
        <f t="shared" si="3"/>
        <v>22.67</v>
      </c>
      <c r="AD32" s="457">
        <f t="shared" si="4"/>
        <v>22.67</v>
      </c>
      <c r="AE32" s="458">
        <f t="shared" si="16"/>
        <v>75671906</v>
      </c>
      <c r="AF32" s="459">
        <v>0.02</v>
      </c>
      <c r="AG32" s="227">
        <v>156354593</v>
      </c>
      <c r="AH32" s="227">
        <v>25045935</v>
      </c>
      <c r="AI32" s="460">
        <f t="shared" si="17"/>
        <v>181400528</v>
      </c>
      <c r="AJ32" s="458">
        <v>8540097500</v>
      </c>
      <c r="AK32" s="458">
        <f t="shared" si="20"/>
        <v>9070026400</v>
      </c>
      <c r="AL32" s="461">
        <f t="shared" si="18"/>
        <v>6.2051855965344661E-2</v>
      </c>
      <c r="AM32" s="462">
        <f t="shared" si="19"/>
        <v>9070026400</v>
      </c>
      <c r="AN32" s="448">
        <f t="shared" si="6"/>
        <v>1.723860395819796E-2</v>
      </c>
      <c r="AO32" s="448">
        <f t="shared" si="7"/>
        <v>2.7613960418020394E-3</v>
      </c>
      <c r="AP32" s="458">
        <v>2553626.5</v>
      </c>
      <c r="AQ32" s="458">
        <f t="shared" si="8"/>
        <v>259626060.5</v>
      </c>
      <c r="AR32" s="458">
        <f>ROUND(AQ32/'Table 3 Levels 1&amp;2'!C29,2)</f>
        <v>5714.99</v>
      </c>
    </row>
    <row r="33" spans="1:44">
      <c r="A33" s="445">
        <v>27</v>
      </c>
      <c r="B33" s="446" t="s">
        <v>99</v>
      </c>
      <c r="C33" s="447">
        <v>237086416</v>
      </c>
      <c r="D33" s="447">
        <v>47280313</v>
      </c>
      <c r="E33" s="447">
        <f t="shared" si="9"/>
        <v>189806103</v>
      </c>
      <c r="F33" s="447">
        <v>177777062</v>
      </c>
      <c r="G33" s="448">
        <f t="shared" si="10"/>
        <v>6.7663628055682462E-2</v>
      </c>
      <c r="H33" s="449">
        <f t="shared" si="1"/>
        <v>189806103</v>
      </c>
      <c r="I33" s="450">
        <v>6.48</v>
      </c>
      <c r="J33" s="451">
        <v>1353983</v>
      </c>
      <c r="K33" s="450">
        <v>10.77</v>
      </c>
      <c r="L33" s="451">
        <v>2249787</v>
      </c>
      <c r="M33" s="452">
        <v>3.95</v>
      </c>
      <c r="N33" s="452">
        <v>17.3</v>
      </c>
      <c r="O33" s="452">
        <v>7</v>
      </c>
      <c r="P33" s="451">
        <v>2210395</v>
      </c>
      <c r="Q33" s="447">
        <f t="shared" si="11"/>
        <v>5814165</v>
      </c>
      <c r="R33" s="452">
        <v>0</v>
      </c>
      <c r="S33" s="451">
        <v>0</v>
      </c>
      <c r="T33" s="452">
        <v>3</v>
      </c>
      <c r="U33" s="452">
        <v>15.5</v>
      </c>
      <c r="V33" s="452">
        <v>7</v>
      </c>
      <c r="W33" s="451">
        <v>2205475</v>
      </c>
      <c r="X33" s="447">
        <f t="shared" si="12"/>
        <v>2205475</v>
      </c>
      <c r="Y33" s="454">
        <f t="shared" si="13"/>
        <v>17.25</v>
      </c>
      <c r="Z33" s="447">
        <f t="shared" si="14"/>
        <v>3603770</v>
      </c>
      <c r="AA33" s="447">
        <f t="shared" si="15"/>
        <v>4415870</v>
      </c>
      <c r="AB33" s="455">
        <f t="shared" si="2"/>
        <v>11.62</v>
      </c>
      <c r="AC33" s="456">
        <f t="shared" si="3"/>
        <v>30.63</v>
      </c>
      <c r="AD33" s="457">
        <f t="shared" si="4"/>
        <v>42.25</v>
      </c>
      <c r="AE33" s="458">
        <f t="shared" si="16"/>
        <v>8019640</v>
      </c>
      <c r="AF33" s="459">
        <v>2.5000000000000001E-2</v>
      </c>
      <c r="AG33" s="227">
        <v>9298997</v>
      </c>
      <c r="AH33" s="227">
        <v>1316832</v>
      </c>
      <c r="AI33" s="460">
        <f t="shared" si="17"/>
        <v>10615829</v>
      </c>
      <c r="AJ33" s="458">
        <v>418083000</v>
      </c>
      <c r="AK33" s="458">
        <f t="shared" si="20"/>
        <v>424633160</v>
      </c>
      <c r="AL33" s="461">
        <f t="shared" si="18"/>
        <v>1.566712829749117E-2</v>
      </c>
      <c r="AM33" s="462">
        <f t="shared" si="19"/>
        <v>424633160</v>
      </c>
      <c r="AN33" s="448">
        <f t="shared" si="6"/>
        <v>2.1898895036836029E-2</v>
      </c>
      <c r="AO33" s="448">
        <f t="shared" si="7"/>
        <v>3.1011049631639695E-3</v>
      </c>
      <c r="AP33" s="458">
        <v>346454</v>
      </c>
      <c r="AQ33" s="458">
        <f t="shared" si="8"/>
        <v>18981923</v>
      </c>
      <c r="AR33" s="458">
        <f>ROUND(AQ33/'Table 3 Levels 1&amp;2'!C30,2)</f>
        <v>3367.38</v>
      </c>
    </row>
    <row r="34" spans="1:44">
      <c r="A34" s="445">
        <v>28</v>
      </c>
      <c r="B34" s="446" t="s">
        <v>100</v>
      </c>
      <c r="C34" s="447">
        <v>2123625080</v>
      </c>
      <c r="D34" s="447">
        <v>355651998</v>
      </c>
      <c r="E34" s="447">
        <f t="shared" si="9"/>
        <v>1767973082</v>
      </c>
      <c r="F34" s="447">
        <v>1643740403</v>
      </c>
      <c r="G34" s="448">
        <f t="shared" si="10"/>
        <v>7.5579257389586721E-2</v>
      </c>
      <c r="H34" s="449">
        <f t="shared" si="1"/>
        <v>1767973082</v>
      </c>
      <c r="I34" s="450">
        <v>4.59</v>
      </c>
      <c r="J34" s="451">
        <v>7861651</v>
      </c>
      <c r="K34" s="450">
        <v>28.97</v>
      </c>
      <c r="L34" s="451">
        <v>49688686</v>
      </c>
      <c r="M34" s="452">
        <v>0</v>
      </c>
      <c r="N34" s="452">
        <v>0</v>
      </c>
      <c r="O34" s="452">
        <v>0</v>
      </c>
      <c r="P34" s="451">
        <v>0</v>
      </c>
      <c r="Q34" s="447">
        <f t="shared" si="11"/>
        <v>57550337</v>
      </c>
      <c r="R34" s="452">
        <v>0</v>
      </c>
      <c r="S34" s="451">
        <v>0</v>
      </c>
      <c r="T34" s="452">
        <v>0</v>
      </c>
      <c r="U34" s="452">
        <v>0</v>
      </c>
      <c r="V34" s="452">
        <v>0</v>
      </c>
      <c r="W34" s="451">
        <v>0</v>
      </c>
      <c r="X34" s="447">
        <f t="shared" si="12"/>
        <v>0</v>
      </c>
      <c r="Y34" s="454">
        <f t="shared" si="13"/>
        <v>33.56</v>
      </c>
      <c r="Z34" s="447">
        <f t="shared" si="14"/>
        <v>57550337</v>
      </c>
      <c r="AA34" s="447">
        <f t="shared" si="15"/>
        <v>0</v>
      </c>
      <c r="AB34" s="455">
        <f t="shared" si="2"/>
        <v>0</v>
      </c>
      <c r="AC34" s="456">
        <f t="shared" si="3"/>
        <v>32.549999999999997</v>
      </c>
      <c r="AD34" s="457">
        <f t="shared" si="4"/>
        <v>32.549999999999997</v>
      </c>
      <c r="AE34" s="458">
        <f t="shared" si="16"/>
        <v>57550337</v>
      </c>
      <c r="AF34" s="459">
        <v>0.02</v>
      </c>
      <c r="AG34" s="227">
        <v>106083908</v>
      </c>
      <c r="AH34" s="227">
        <v>7480979</v>
      </c>
      <c r="AI34" s="460">
        <f t="shared" si="17"/>
        <v>113564887</v>
      </c>
      <c r="AJ34" s="458">
        <v>5318943700</v>
      </c>
      <c r="AK34" s="458">
        <f t="shared" si="20"/>
        <v>5678244350</v>
      </c>
      <c r="AL34" s="459">
        <f t="shared" si="18"/>
        <v>6.7551128619767115E-2</v>
      </c>
      <c r="AM34" s="458">
        <f t="shared" si="19"/>
        <v>5678244350</v>
      </c>
      <c r="AN34" s="448">
        <f t="shared" si="6"/>
        <v>1.8682519007833822E-2</v>
      </c>
      <c r="AO34" s="448">
        <f t="shared" si="7"/>
        <v>1.3174809921661791E-3</v>
      </c>
      <c r="AP34" s="458">
        <v>2196752</v>
      </c>
      <c r="AQ34" s="458">
        <f t="shared" si="8"/>
        <v>173311976</v>
      </c>
      <c r="AR34" s="458">
        <f>ROUND(AQ34/'Table 3 Levels 1&amp;2'!C31,2)</f>
        <v>5737.86</v>
      </c>
    </row>
    <row r="35" spans="1:44">
      <c r="A35" s="445">
        <v>29</v>
      </c>
      <c r="B35" s="446" t="s">
        <v>101</v>
      </c>
      <c r="C35" s="447">
        <v>974187580</v>
      </c>
      <c r="D35" s="447">
        <v>167126266</v>
      </c>
      <c r="E35" s="447">
        <f t="shared" si="9"/>
        <v>807061314</v>
      </c>
      <c r="F35" s="447">
        <v>749161181</v>
      </c>
      <c r="G35" s="448">
        <f t="shared" si="10"/>
        <v>7.7286616643314834E-2</v>
      </c>
      <c r="H35" s="449">
        <f t="shared" si="1"/>
        <v>807061314</v>
      </c>
      <c r="I35" s="450">
        <v>3.63</v>
      </c>
      <c r="J35" s="451">
        <v>2819334</v>
      </c>
      <c r="K35" s="450">
        <v>24.47</v>
      </c>
      <c r="L35" s="451">
        <v>19005473</v>
      </c>
      <c r="M35" s="452">
        <v>0</v>
      </c>
      <c r="N35" s="452">
        <v>0</v>
      </c>
      <c r="O35" s="452">
        <v>0</v>
      </c>
      <c r="P35" s="451">
        <v>0</v>
      </c>
      <c r="Q35" s="447">
        <f t="shared" si="11"/>
        <v>21824807</v>
      </c>
      <c r="R35" s="452">
        <v>15.2</v>
      </c>
      <c r="S35" s="451">
        <v>11805247</v>
      </c>
      <c r="T35" s="452">
        <v>0</v>
      </c>
      <c r="U35" s="452">
        <v>0</v>
      </c>
      <c r="V35" s="452">
        <v>0</v>
      </c>
      <c r="W35" s="451">
        <v>0</v>
      </c>
      <c r="X35" s="447">
        <f t="shared" si="12"/>
        <v>11805247</v>
      </c>
      <c r="Y35" s="454">
        <f t="shared" si="13"/>
        <v>43.3</v>
      </c>
      <c r="Z35" s="447">
        <f t="shared" si="14"/>
        <v>33630054</v>
      </c>
      <c r="AA35" s="447">
        <f t="shared" si="15"/>
        <v>0</v>
      </c>
      <c r="AB35" s="455">
        <f t="shared" si="2"/>
        <v>14.63</v>
      </c>
      <c r="AC35" s="456">
        <f t="shared" si="3"/>
        <v>27.04</v>
      </c>
      <c r="AD35" s="457">
        <f t="shared" si="4"/>
        <v>41.67</v>
      </c>
      <c r="AE35" s="458">
        <f t="shared" si="16"/>
        <v>33630054</v>
      </c>
      <c r="AF35" s="459">
        <v>0.02</v>
      </c>
      <c r="AG35" s="227">
        <v>32910355</v>
      </c>
      <c r="AH35" s="227">
        <v>0</v>
      </c>
      <c r="AI35" s="460">
        <f t="shared" si="17"/>
        <v>32910355</v>
      </c>
      <c r="AJ35" s="458">
        <v>1419103500</v>
      </c>
      <c r="AK35" s="458">
        <f t="shared" si="20"/>
        <v>1645517750</v>
      </c>
      <c r="AL35" s="459">
        <f t="shared" si="18"/>
        <v>0.15954738325992432</v>
      </c>
      <c r="AM35" s="458">
        <f t="shared" si="19"/>
        <v>1631969024.9999998</v>
      </c>
      <c r="AN35" s="448">
        <f t="shared" si="6"/>
        <v>0.02</v>
      </c>
      <c r="AO35" s="448">
        <f t="shared" si="7"/>
        <v>0</v>
      </c>
      <c r="AP35" s="458">
        <v>862122.5</v>
      </c>
      <c r="AQ35" s="458">
        <f t="shared" si="8"/>
        <v>67402531.5</v>
      </c>
      <c r="AR35" s="458">
        <f>ROUND(AQ35/'Table 3 Levels 1&amp;2'!C32,2)</f>
        <v>4870.83</v>
      </c>
    </row>
    <row r="36" spans="1:44">
      <c r="A36" s="463">
        <v>30</v>
      </c>
      <c r="B36" s="464" t="s">
        <v>102</v>
      </c>
      <c r="C36" s="465">
        <v>94770570</v>
      </c>
      <c r="D36" s="465">
        <v>21432636</v>
      </c>
      <c r="E36" s="465">
        <f t="shared" si="9"/>
        <v>73337934</v>
      </c>
      <c r="F36" s="465">
        <v>67108707</v>
      </c>
      <c r="G36" s="466">
        <f t="shared" si="10"/>
        <v>9.282293279767706E-2</v>
      </c>
      <c r="H36" s="467">
        <f t="shared" si="1"/>
        <v>73337934</v>
      </c>
      <c r="I36" s="468">
        <v>4.76</v>
      </c>
      <c r="J36" s="469">
        <v>429187</v>
      </c>
      <c r="K36" s="468">
        <v>41.69</v>
      </c>
      <c r="L36" s="469">
        <v>3771953</v>
      </c>
      <c r="M36" s="470">
        <v>0</v>
      </c>
      <c r="N36" s="470">
        <v>0</v>
      </c>
      <c r="O36" s="470">
        <v>0</v>
      </c>
      <c r="P36" s="469">
        <v>0</v>
      </c>
      <c r="Q36" s="465">
        <f t="shared" si="11"/>
        <v>4201140</v>
      </c>
      <c r="R36" s="470">
        <v>0</v>
      </c>
      <c r="S36" s="469">
        <v>0</v>
      </c>
      <c r="T36" s="470">
        <v>0</v>
      </c>
      <c r="U36" s="470">
        <v>0</v>
      </c>
      <c r="V36" s="470">
        <v>0</v>
      </c>
      <c r="W36" s="469">
        <v>0</v>
      </c>
      <c r="X36" s="465">
        <f t="shared" si="12"/>
        <v>0</v>
      </c>
      <c r="Y36" s="471">
        <f t="shared" si="13"/>
        <v>46.449999999999996</v>
      </c>
      <c r="Z36" s="465">
        <f t="shared" si="14"/>
        <v>4201140</v>
      </c>
      <c r="AA36" s="465">
        <f t="shared" si="15"/>
        <v>0</v>
      </c>
      <c r="AB36" s="472">
        <f t="shared" si="2"/>
        <v>0</v>
      </c>
      <c r="AC36" s="473">
        <f t="shared" si="3"/>
        <v>57.28</v>
      </c>
      <c r="AD36" s="474">
        <f t="shared" si="4"/>
        <v>57.28</v>
      </c>
      <c r="AE36" s="475">
        <f t="shared" si="16"/>
        <v>4201140</v>
      </c>
      <c r="AF36" s="476">
        <v>0.03</v>
      </c>
      <c r="AG36" s="477">
        <v>5014177</v>
      </c>
      <c r="AH36" s="477">
        <v>1426163</v>
      </c>
      <c r="AI36" s="478">
        <f t="shared" si="17"/>
        <v>6440340</v>
      </c>
      <c r="AJ36" s="475">
        <v>207830367</v>
      </c>
      <c r="AK36" s="475">
        <f t="shared" si="20"/>
        <v>214678000</v>
      </c>
      <c r="AL36" s="476">
        <f t="shared" si="18"/>
        <v>3.2948183169016876E-2</v>
      </c>
      <c r="AM36" s="475">
        <f t="shared" si="19"/>
        <v>214678000</v>
      </c>
      <c r="AN36" s="466">
        <f t="shared" si="6"/>
        <v>2.3356734271793102E-2</v>
      </c>
      <c r="AO36" s="466">
        <f t="shared" si="7"/>
        <v>6.6432657282068956E-3</v>
      </c>
      <c r="AP36" s="475">
        <v>85727.5</v>
      </c>
      <c r="AQ36" s="475">
        <f t="shared" si="8"/>
        <v>10727207.5</v>
      </c>
      <c r="AR36" s="475">
        <f>ROUND(AQ36/'Table 3 Levels 1&amp;2'!C33,2)</f>
        <v>4346.5200000000004</v>
      </c>
    </row>
    <row r="37" spans="1:44">
      <c r="A37" s="445">
        <v>31</v>
      </c>
      <c r="B37" s="446" t="s">
        <v>103</v>
      </c>
      <c r="C37" s="447">
        <v>422955540</v>
      </c>
      <c r="D37" s="447">
        <v>57253450</v>
      </c>
      <c r="E37" s="447">
        <f t="shared" si="9"/>
        <v>365702090</v>
      </c>
      <c r="F37" s="447">
        <v>354926711</v>
      </c>
      <c r="G37" s="448">
        <f t="shared" si="10"/>
        <v>3.0359447925574698E-2</v>
      </c>
      <c r="H37" s="449">
        <f t="shared" si="1"/>
        <v>365702090</v>
      </c>
      <c r="I37" s="450">
        <v>4.2300000000000004</v>
      </c>
      <c r="J37" s="451">
        <v>1575238</v>
      </c>
      <c r="K37" s="450">
        <v>28.6</v>
      </c>
      <c r="L37" s="451">
        <v>10457064</v>
      </c>
      <c r="M37" s="452">
        <v>0</v>
      </c>
      <c r="N37" s="452">
        <v>0</v>
      </c>
      <c r="O37" s="452">
        <v>4</v>
      </c>
      <c r="P37" s="451">
        <v>999022</v>
      </c>
      <c r="Q37" s="447">
        <f t="shared" si="11"/>
        <v>13031324</v>
      </c>
      <c r="R37" s="453">
        <v>0</v>
      </c>
      <c r="S37" s="451">
        <v>0</v>
      </c>
      <c r="T37" s="452">
        <v>11.77</v>
      </c>
      <c r="U37" s="452">
        <v>40</v>
      </c>
      <c r="V37" s="452">
        <v>4</v>
      </c>
      <c r="W37" s="451">
        <v>3781411</v>
      </c>
      <c r="X37" s="447">
        <f t="shared" si="12"/>
        <v>3781411</v>
      </c>
      <c r="Y37" s="454">
        <f t="shared" si="13"/>
        <v>32.83</v>
      </c>
      <c r="Z37" s="447">
        <f t="shared" si="14"/>
        <v>12032302</v>
      </c>
      <c r="AA37" s="447">
        <f t="shared" si="15"/>
        <v>4780433</v>
      </c>
      <c r="AB37" s="455">
        <f t="shared" si="2"/>
        <v>10.34</v>
      </c>
      <c r="AC37" s="456">
        <f t="shared" si="3"/>
        <v>35.630000000000003</v>
      </c>
      <c r="AD37" s="457">
        <f t="shared" si="4"/>
        <v>45.97</v>
      </c>
      <c r="AE37" s="458">
        <f t="shared" si="16"/>
        <v>16812735</v>
      </c>
      <c r="AF37" s="459">
        <v>0.02</v>
      </c>
      <c r="AG37" s="227">
        <v>14907192</v>
      </c>
      <c r="AH37" s="227">
        <v>0</v>
      </c>
      <c r="AI37" s="460">
        <f t="shared" si="17"/>
        <v>14907192</v>
      </c>
      <c r="AJ37" s="458">
        <v>717052450</v>
      </c>
      <c r="AK37" s="458">
        <f t="shared" si="20"/>
        <v>745359600</v>
      </c>
      <c r="AL37" s="461">
        <f t="shared" si="18"/>
        <v>3.9477098223428424E-2</v>
      </c>
      <c r="AM37" s="462">
        <f t="shared" si="19"/>
        <v>745359600</v>
      </c>
      <c r="AN37" s="448">
        <f t="shared" si="6"/>
        <v>0.02</v>
      </c>
      <c r="AO37" s="448">
        <f t="shared" si="7"/>
        <v>0</v>
      </c>
      <c r="AP37" s="458">
        <v>369039</v>
      </c>
      <c r="AQ37" s="458">
        <f t="shared" si="8"/>
        <v>32088966</v>
      </c>
      <c r="AR37" s="458">
        <f>ROUND(AQ37/'Table 3 Levels 1&amp;2'!C34,2)</f>
        <v>5034.3500000000004</v>
      </c>
    </row>
    <row r="38" spans="1:44">
      <c r="A38" s="445">
        <v>32</v>
      </c>
      <c r="B38" s="446" t="s">
        <v>104</v>
      </c>
      <c r="C38" s="447">
        <v>667583720</v>
      </c>
      <c r="D38" s="447">
        <v>224934420</v>
      </c>
      <c r="E38" s="447">
        <f t="shared" si="9"/>
        <v>442649300</v>
      </c>
      <c r="F38" s="447">
        <v>422388150</v>
      </c>
      <c r="G38" s="448">
        <f t="shared" si="10"/>
        <v>4.7968083384915039E-2</v>
      </c>
      <c r="H38" s="449">
        <f t="shared" si="1"/>
        <v>442649300</v>
      </c>
      <c r="I38" s="450">
        <v>3.29</v>
      </c>
      <c r="J38" s="451">
        <v>1458050</v>
      </c>
      <c r="K38" s="450">
        <v>18.91</v>
      </c>
      <c r="L38" s="451">
        <v>8384050</v>
      </c>
      <c r="M38" s="452">
        <v>0</v>
      </c>
      <c r="N38" s="452">
        <v>0</v>
      </c>
      <c r="O38" s="452">
        <v>0</v>
      </c>
      <c r="P38" s="451">
        <v>0</v>
      </c>
      <c r="Q38" s="447">
        <f t="shared" si="11"/>
        <v>9842100</v>
      </c>
      <c r="R38" s="452">
        <v>0</v>
      </c>
      <c r="S38" s="451">
        <v>0</v>
      </c>
      <c r="T38" s="452">
        <v>3.33</v>
      </c>
      <c r="U38" s="452">
        <v>43.97</v>
      </c>
      <c r="V38" s="452">
        <v>10</v>
      </c>
      <c r="W38" s="451">
        <v>5442641</v>
      </c>
      <c r="X38" s="447">
        <f t="shared" si="12"/>
        <v>5442641</v>
      </c>
      <c r="Y38" s="454">
        <f t="shared" si="13"/>
        <v>22.2</v>
      </c>
      <c r="Z38" s="447">
        <f t="shared" si="14"/>
        <v>9842100</v>
      </c>
      <c r="AA38" s="447">
        <f t="shared" si="15"/>
        <v>5442641</v>
      </c>
      <c r="AB38" s="455">
        <f t="shared" si="2"/>
        <v>12.3</v>
      </c>
      <c r="AC38" s="456">
        <f t="shared" si="3"/>
        <v>22.23</v>
      </c>
      <c r="AD38" s="457">
        <f t="shared" si="4"/>
        <v>34.53</v>
      </c>
      <c r="AE38" s="458">
        <f t="shared" si="16"/>
        <v>15284741</v>
      </c>
      <c r="AF38" s="459">
        <v>2.5000000000000001E-2</v>
      </c>
      <c r="AG38" s="227">
        <v>35812625</v>
      </c>
      <c r="AH38" s="227">
        <v>1535765</v>
      </c>
      <c r="AI38" s="460">
        <f>AG38+AH38</f>
        <v>37348390</v>
      </c>
      <c r="AJ38" s="458">
        <v>1388024080</v>
      </c>
      <c r="AK38" s="458">
        <f t="shared" si="20"/>
        <v>1493935600</v>
      </c>
      <c r="AL38" s="461">
        <f t="shared" si="18"/>
        <v>7.6303805910917621E-2</v>
      </c>
      <c r="AM38" s="462">
        <f t="shared" si="19"/>
        <v>1493935600</v>
      </c>
      <c r="AN38" s="448">
        <f t="shared" si="6"/>
        <v>2.3972000533356325E-2</v>
      </c>
      <c r="AO38" s="448">
        <f t="shared" si="7"/>
        <v>1.0279994666436759E-3</v>
      </c>
      <c r="AP38" s="458">
        <v>970462.5</v>
      </c>
      <c r="AQ38" s="458">
        <f t="shared" si="8"/>
        <v>53603593.5</v>
      </c>
      <c r="AR38" s="458">
        <f>ROUND(AQ38/'Table 3 Levels 1&amp;2'!C35,2)</f>
        <v>2129.0700000000002</v>
      </c>
    </row>
    <row r="39" spans="1:44">
      <c r="A39" s="445">
        <v>33</v>
      </c>
      <c r="B39" s="446" t="s">
        <v>105</v>
      </c>
      <c r="C39" s="447">
        <v>119718650</v>
      </c>
      <c r="D39" s="447">
        <v>10175717</v>
      </c>
      <c r="E39" s="447">
        <f t="shared" si="9"/>
        <v>109542933</v>
      </c>
      <c r="F39" s="447">
        <v>105829543</v>
      </c>
      <c r="G39" s="448">
        <f t="shared" si="10"/>
        <v>3.5088406268559622E-2</v>
      </c>
      <c r="H39" s="449">
        <f t="shared" ref="H39:H75" si="21">IF((E39-F39)/F39&gt;$H$5,F39*(1+$H$5),E39)</f>
        <v>109542933</v>
      </c>
      <c r="I39" s="450">
        <v>4.5999999999999996</v>
      </c>
      <c r="J39" s="451">
        <v>569746</v>
      </c>
      <c r="K39" s="450">
        <v>5.09</v>
      </c>
      <c r="L39" s="451">
        <v>0</v>
      </c>
      <c r="M39" s="452">
        <v>0</v>
      </c>
      <c r="N39" s="452">
        <v>0</v>
      </c>
      <c r="O39" s="452">
        <v>0</v>
      </c>
      <c r="P39" s="451">
        <v>547218</v>
      </c>
      <c r="Q39" s="447">
        <f t="shared" si="11"/>
        <v>1116964</v>
      </c>
      <c r="R39" s="452">
        <v>12</v>
      </c>
      <c r="S39" s="451">
        <v>1293951</v>
      </c>
      <c r="T39" s="452">
        <v>0</v>
      </c>
      <c r="U39" s="452">
        <v>0</v>
      </c>
      <c r="V39" s="452">
        <v>0</v>
      </c>
      <c r="W39" s="451">
        <v>0</v>
      </c>
      <c r="X39" s="447">
        <f t="shared" si="12"/>
        <v>1293951</v>
      </c>
      <c r="Y39" s="454">
        <f t="shared" si="13"/>
        <v>21.689999999999998</v>
      </c>
      <c r="Z39" s="447">
        <f t="shared" si="14"/>
        <v>1863697</v>
      </c>
      <c r="AA39" s="447">
        <f t="shared" si="15"/>
        <v>547218</v>
      </c>
      <c r="AB39" s="455">
        <f t="shared" ref="AB39:AB70" si="22">ROUND((X39/E39)*1000,2)</f>
        <v>11.81</v>
      </c>
      <c r="AC39" s="456">
        <f t="shared" ref="AC39:AC70" si="23">ROUND((Q39/E39)*1000,2)</f>
        <v>10.199999999999999</v>
      </c>
      <c r="AD39" s="457">
        <f t="shared" ref="AD39:AD70" si="24">ROUND((AE39/E39)*1000,2)</f>
        <v>22.01</v>
      </c>
      <c r="AE39" s="458">
        <f t="shared" si="16"/>
        <v>2410915</v>
      </c>
      <c r="AF39" s="459">
        <v>2.5000000000000001E-2</v>
      </c>
      <c r="AG39" s="227">
        <v>2117689</v>
      </c>
      <c r="AH39" s="227">
        <v>1411734</v>
      </c>
      <c r="AI39" s="460">
        <f t="shared" si="17"/>
        <v>3529423</v>
      </c>
      <c r="AJ39" s="458">
        <v>112188480</v>
      </c>
      <c r="AK39" s="458">
        <f t="shared" si="20"/>
        <v>141176920</v>
      </c>
      <c r="AL39" s="459">
        <f t="shared" si="18"/>
        <v>0.25839052280590663</v>
      </c>
      <c r="AM39" s="458">
        <f t="shared" si="19"/>
        <v>129016751.99999999</v>
      </c>
      <c r="AN39" s="448">
        <f t="shared" ref="AN39:AN75" si="25">AG39/AK39</f>
        <v>1.5000249332539625E-2</v>
      </c>
      <c r="AO39" s="448">
        <f t="shared" ref="AO39:AO75" si="26">AH39/AK39</f>
        <v>9.9997506674603751E-3</v>
      </c>
      <c r="AP39" s="458">
        <v>38002</v>
      </c>
      <c r="AQ39" s="458">
        <f t="shared" ref="AQ39:AQ70" si="27">AP39+AE39+AI39</f>
        <v>5978340</v>
      </c>
      <c r="AR39" s="458">
        <f>ROUND(AQ39/'Table 3 Levels 1&amp;2'!C36,2)</f>
        <v>3489.98</v>
      </c>
    </row>
    <row r="40" spans="1:44">
      <c r="A40" s="445">
        <v>34</v>
      </c>
      <c r="B40" s="446" t="s">
        <v>106</v>
      </c>
      <c r="C40" s="447">
        <v>173887620</v>
      </c>
      <c r="D40" s="447">
        <v>35910878</v>
      </c>
      <c r="E40" s="447">
        <f t="shared" si="9"/>
        <v>137976742</v>
      </c>
      <c r="F40" s="447">
        <v>152289716</v>
      </c>
      <c r="G40" s="448">
        <f t="shared" si="10"/>
        <v>-9.3985164434872273E-2</v>
      </c>
      <c r="H40" s="449">
        <f t="shared" si="21"/>
        <v>137976742</v>
      </c>
      <c r="I40" s="450">
        <v>5.96</v>
      </c>
      <c r="J40" s="451">
        <v>802619</v>
      </c>
      <c r="K40" s="450">
        <v>25.63</v>
      </c>
      <c r="L40" s="451">
        <v>3702238</v>
      </c>
      <c r="M40" s="452">
        <v>5.1100000000000003</v>
      </c>
      <c r="N40" s="452">
        <v>9.9499999999999993</v>
      </c>
      <c r="O40" s="452">
        <v>2</v>
      </c>
      <c r="P40" s="451">
        <v>509593</v>
      </c>
      <c r="Q40" s="447">
        <f t="shared" si="11"/>
        <v>5014450</v>
      </c>
      <c r="R40" s="452">
        <v>10</v>
      </c>
      <c r="S40" s="451">
        <v>1405340</v>
      </c>
      <c r="T40" s="452">
        <v>0</v>
      </c>
      <c r="U40" s="452">
        <v>0</v>
      </c>
      <c r="V40" s="452">
        <v>0</v>
      </c>
      <c r="W40" s="451">
        <v>0</v>
      </c>
      <c r="X40" s="447">
        <f t="shared" si="12"/>
        <v>1405340</v>
      </c>
      <c r="Y40" s="454">
        <f t="shared" si="13"/>
        <v>41.59</v>
      </c>
      <c r="Z40" s="447">
        <f t="shared" si="14"/>
        <v>5910197</v>
      </c>
      <c r="AA40" s="447">
        <f t="shared" si="15"/>
        <v>509593</v>
      </c>
      <c r="AB40" s="455">
        <f t="shared" si="22"/>
        <v>10.19</v>
      </c>
      <c r="AC40" s="456">
        <f t="shared" si="23"/>
        <v>36.340000000000003</v>
      </c>
      <c r="AD40" s="457">
        <f t="shared" si="24"/>
        <v>46.53</v>
      </c>
      <c r="AE40" s="458">
        <f t="shared" si="16"/>
        <v>6419790</v>
      </c>
      <c r="AF40" s="459">
        <v>0.02</v>
      </c>
      <c r="AG40" s="227">
        <v>6043034</v>
      </c>
      <c r="AH40" s="227">
        <v>0</v>
      </c>
      <c r="AI40" s="460">
        <f t="shared" si="17"/>
        <v>6043034</v>
      </c>
      <c r="AJ40" s="458">
        <v>295607700</v>
      </c>
      <c r="AK40" s="458">
        <f t="shared" si="20"/>
        <v>302151700</v>
      </c>
      <c r="AL40" s="459">
        <f t="shared" si="18"/>
        <v>2.2137447705184946E-2</v>
      </c>
      <c r="AM40" s="458">
        <f t="shared" si="19"/>
        <v>302151700</v>
      </c>
      <c r="AN40" s="448">
        <f t="shared" si="25"/>
        <v>0.02</v>
      </c>
      <c r="AO40" s="448">
        <f t="shared" si="26"/>
        <v>0</v>
      </c>
      <c r="AP40" s="458">
        <v>233351</v>
      </c>
      <c r="AQ40" s="458">
        <f t="shared" si="27"/>
        <v>12696175</v>
      </c>
      <c r="AR40" s="458">
        <f>ROUND(AQ40/'Table 3 Levels 1&amp;2'!C37,2)</f>
        <v>2883.53</v>
      </c>
    </row>
    <row r="41" spans="1:44">
      <c r="A41" s="463">
        <v>35</v>
      </c>
      <c r="B41" s="464" t="s">
        <v>107</v>
      </c>
      <c r="C41" s="465">
        <v>357019520</v>
      </c>
      <c r="D41" s="465">
        <v>51584970</v>
      </c>
      <c r="E41" s="465">
        <f t="shared" si="9"/>
        <v>305434550</v>
      </c>
      <c r="F41" s="465">
        <v>241854644</v>
      </c>
      <c r="G41" s="466">
        <f t="shared" si="10"/>
        <v>0.26288478463121839</v>
      </c>
      <c r="H41" s="467">
        <f t="shared" si="21"/>
        <v>266040108.40000004</v>
      </c>
      <c r="I41" s="468">
        <v>4.6500000000000004</v>
      </c>
      <c r="J41" s="469">
        <v>1432063</v>
      </c>
      <c r="K41" s="468">
        <v>7</v>
      </c>
      <c r="L41" s="469">
        <v>2111262</v>
      </c>
      <c r="M41" s="470">
        <v>7</v>
      </c>
      <c r="N41" s="470">
        <v>20</v>
      </c>
      <c r="O41" s="470">
        <v>5</v>
      </c>
      <c r="P41" s="469">
        <v>2628085</v>
      </c>
      <c r="Q41" s="465">
        <f t="shared" si="11"/>
        <v>6171410</v>
      </c>
      <c r="R41" s="470">
        <v>0</v>
      </c>
      <c r="S41" s="469">
        <v>0</v>
      </c>
      <c r="T41" s="470">
        <v>8</v>
      </c>
      <c r="U41" s="470">
        <v>12.5</v>
      </c>
      <c r="V41" s="470">
        <v>2</v>
      </c>
      <c r="W41" s="469">
        <v>2552083</v>
      </c>
      <c r="X41" s="465">
        <f t="shared" si="12"/>
        <v>2552083</v>
      </c>
      <c r="Y41" s="471">
        <f t="shared" si="13"/>
        <v>11.65</v>
      </c>
      <c r="Z41" s="465">
        <f t="shared" si="14"/>
        <v>3543325</v>
      </c>
      <c r="AA41" s="465">
        <f t="shared" si="15"/>
        <v>5180168</v>
      </c>
      <c r="AB41" s="472">
        <f t="shared" si="22"/>
        <v>8.36</v>
      </c>
      <c r="AC41" s="473">
        <f t="shared" si="23"/>
        <v>20.21</v>
      </c>
      <c r="AD41" s="474">
        <f t="shared" si="24"/>
        <v>28.56</v>
      </c>
      <c r="AE41" s="475">
        <f t="shared" si="16"/>
        <v>8723493</v>
      </c>
      <c r="AF41" s="476">
        <v>0.02</v>
      </c>
      <c r="AG41" s="477">
        <v>11792760</v>
      </c>
      <c r="AH41" s="477">
        <v>0</v>
      </c>
      <c r="AI41" s="478">
        <f t="shared" si="17"/>
        <v>11792760</v>
      </c>
      <c r="AJ41" s="475">
        <v>774106750</v>
      </c>
      <c r="AK41" s="475">
        <f t="shared" si="20"/>
        <v>589638000</v>
      </c>
      <c r="AL41" s="476">
        <f t="shared" si="18"/>
        <v>-0.23829885219318911</v>
      </c>
      <c r="AM41" s="475">
        <f t="shared" si="19"/>
        <v>589638000</v>
      </c>
      <c r="AN41" s="466">
        <f t="shared" si="25"/>
        <v>0.02</v>
      </c>
      <c r="AO41" s="466">
        <f t="shared" si="26"/>
        <v>0</v>
      </c>
      <c r="AP41" s="475">
        <v>606026</v>
      </c>
      <c r="AQ41" s="475">
        <f t="shared" si="27"/>
        <v>21122279</v>
      </c>
      <c r="AR41" s="475">
        <f>ROUND(AQ41/'Table 3 Levels 1&amp;2'!C38,2)</f>
        <v>3296.75</v>
      </c>
    </row>
    <row r="42" spans="1:44">
      <c r="A42" s="445">
        <v>36</v>
      </c>
      <c r="B42" s="446" t="s">
        <v>108</v>
      </c>
      <c r="C42" s="447">
        <v>3526858230</v>
      </c>
      <c r="D42" s="447">
        <v>437893609</v>
      </c>
      <c r="E42" s="447">
        <f t="shared" si="9"/>
        <v>3088964621</v>
      </c>
      <c r="F42" s="447">
        <v>2949672237</v>
      </c>
      <c r="G42" s="448">
        <f t="shared" si="10"/>
        <v>4.7223004052026139E-2</v>
      </c>
      <c r="H42" s="449">
        <f t="shared" si="21"/>
        <v>3088964621</v>
      </c>
      <c r="I42" s="450">
        <v>27.65</v>
      </c>
      <c r="J42" s="451">
        <v>82591467</v>
      </c>
      <c r="K42" s="450">
        <v>12.69</v>
      </c>
      <c r="L42" s="451">
        <v>37860736</v>
      </c>
      <c r="M42" s="452">
        <v>0</v>
      </c>
      <c r="N42" s="452">
        <v>0</v>
      </c>
      <c r="O42" s="452">
        <v>0</v>
      </c>
      <c r="P42" s="451">
        <v>0</v>
      </c>
      <c r="Q42" s="447">
        <f t="shared" si="11"/>
        <v>120452203</v>
      </c>
      <c r="R42" s="453">
        <v>4.47</v>
      </c>
      <c r="S42" s="451">
        <v>13238861</v>
      </c>
      <c r="T42" s="452">
        <v>0</v>
      </c>
      <c r="U42" s="452">
        <v>0</v>
      </c>
      <c r="V42" s="452">
        <v>0</v>
      </c>
      <c r="W42" s="451">
        <v>0</v>
      </c>
      <c r="X42" s="447">
        <f t="shared" si="12"/>
        <v>13238861</v>
      </c>
      <c r="Y42" s="454">
        <f t="shared" si="13"/>
        <v>44.809999999999995</v>
      </c>
      <c r="Z42" s="447">
        <f t="shared" si="14"/>
        <v>133691064</v>
      </c>
      <c r="AA42" s="447">
        <f t="shared" si="15"/>
        <v>0</v>
      </c>
      <c r="AB42" s="455">
        <f t="shared" si="22"/>
        <v>4.29</v>
      </c>
      <c r="AC42" s="456">
        <f t="shared" si="23"/>
        <v>38.99</v>
      </c>
      <c r="AD42" s="457">
        <f t="shared" si="24"/>
        <v>43.28</v>
      </c>
      <c r="AE42" s="458">
        <f t="shared" si="16"/>
        <v>133691064</v>
      </c>
      <c r="AF42" s="459">
        <v>1.4999999999999999E-2</v>
      </c>
      <c r="AG42" s="227">
        <v>88276668</v>
      </c>
      <c r="AH42" s="227">
        <v>19842334</v>
      </c>
      <c r="AI42" s="460">
        <f t="shared" si="17"/>
        <v>108119002</v>
      </c>
      <c r="AJ42" s="458">
        <v>6054719067</v>
      </c>
      <c r="AK42" s="458">
        <f t="shared" si="20"/>
        <v>7207933467</v>
      </c>
      <c r="AL42" s="461">
        <f t="shared" si="18"/>
        <v>0.1904653853034004</v>
      </c>
      <c r="AM42" s="462">
        <f t="shared" si="19"/>
        <v>6962926927.0499992</v>
      </c>
      <c r="AN42" s="448">
        <f t="shared" si="25"/>
        <v>1.2247153557140346E-2</v>
      </c>
      <c r="AO42" s="448">
        <f t="shared" si="26"/>
        <v>2.7528464421659733E-3</v>
      </c>
      <c r="AP42" s="458">
        <v>2455088</v>
      </c>
      <c r="AQ42" s="458">
        <f t="shared" si="27"/>
        <v>244265154</v>
      </c>
      <c r="AR42" s="458">
        <f>ROUND(AQ42/'Table 3 Levels 1&amp;2'!C39,2)</f>
        <v>5799.68</v>
      </c>
    </row>
    <row r="43" spans="1:44">
      <c r="A43" s="445">
        <v>37</v>
      </c>
      <c r="B43" s="446" t="s">
        <v>109</v>
      </c>
      <c r="C43" s="447">
        <v>747784999</v>
      </c>
      <c r="D43" s="447">
        <v>158738793</v>
      </c>
      <c r="E43" s="447">
        <f t="shared" si="9"/>
        <v>589046206</v>
      </c>
      <c r="F43" s="447">
        <v>556225024</v>
      </c>
      <c r="G43" s="448">
        <f t="shared" si="10"/>
        <v>5.9007021589880859E-2</v>
      </c>
      <c r="H43" s="449">
        <f t="shared" si="21"/>
        <v>589046206</v>
      </c>
      <c r="I43" s="450">
        <v>5.18</v>
      </c>
      <c r="J43" s="451">
        <v>3624443</v>
      </c>
      <c r="K43" s="450">
        <v>24.15</v>
      </c>
      <c r="L43" s="451">
        <v>13879685</v>
      </c>
      <c r="M43" s="452">
        <v>0</v>
      </c>
      <c r="N43" s="452">
        <v>0</v>
      </c>
      <c r="O43" s="452">
        <v>0</v>
      </c>
      <c r="P43" s="451">
        <v>0</v>
      </c>
      <c r="Q43" s="447">
        <f t="shared" si="11"/>
        <v>17504128</v>
      </c>
      <c r="R43" s="452">
        <v>0</v>
      </c>
      <c r="S43" s="451">
        <v>6524864</v>
      </c>
      <c r="T43" s="452">
        <v>30</v>
      </c>
      <c r="U43" s="452">
        <v>30</v>
      </c>
      <c r="V43" s="452">
        <v>0</v>
      </c>
      <c r="W43" s="451">
        <v>0</v>
      </c>
      <c r="X43" s="447">
        <f t="shared" si="12"/>
        <v>6524864</v>
      </c>
      <c r="Y43" s="454">
        <f t="shared" si="13"/>
        <v>29.33</v>
      </c>
      <c r="Z43" s="447">
        <f t="shared" si="14"/>
        <v>24028992</v>
      </c>
      <c r="AA43" s="447">
        <f t="shared" si="15"/>
        <v>0</v>
      </c>
      <c r="AB43" s="455">
        <f t="shared" si="22"/>
        <v>11.08</v>
      </c>
      <c r="AC43" s="456">
        <f t="shared" si="23"/>
        <v>29.72</v>
      </c>
      <c r="AD43" s="457">
        <f t="shared" si="24"/>
        <v>40.79</v>
      </c>
      <c r="AE43" s="458">
        <f t="shared" si="16"/>
        <v>24028992</v>
      </c>
      <c r="AF43" s="459">
        <v>0.03</v>
      </c>
      <c r="AG43" s="227">
        <v>34918823</v>
      </c>
      <c r="AH43" s="227">
        <v>6390257</v>
      </c>
      <c r="AI43" s="460">
        <f t="shared" si="17"/>
        <v>41309080</v>
      </c>
      <c r="AJ43" s="458">
        <v>1313425500</v>
      </c>
      <c r="AK43" s="458">
        <f t="shared" si="20"/>
        <v>1376969333</v>
      </c>
      <c r="AL43" s="461">
        <f t="shared" si="18"/>
        <v>4.83802339759659E-2</v>
      </c>
      <c r="AM43" s="462">
        <f t="shared" si="19"/>
        <v>1376969333</v>
      </c>
      <c r="AN43" s="448">
        <f t="shared" si="25"/>
        <v>2.5359187138846759E-2</v>
      </c>
      <c r="AO43" s="448">
        <f t="shared" si="26"/>
        <v>4.6408128684155671E-3</v>
      </c>
      <c r="AP43" s="458">
        <v>828091</v>
      </c>
      <c r="AQ43" s="458">
        <f t="shared" si="27"/>
        <v>66166163</v>
      </c>
      <c r="AR43" s="458">
        <f>ROUND(AQ43/'Table 3 Levels 1&amp;2'!C40,2)</f>
        <v>3396.97</v>
      </c>
    </row>
    <row r="44" spans="1:44">
      <c r="A44" s="445">
        <v>38</v>
      </c>
      <c r="B44" s="446" t="s">
        <v>110</v>
      </c>
      <c r="C44" s="447">
        <v>1007356429</v>
      </c>
      <c r="D44" s="447">
        <v>29506018</v>
      </c>
      <c r="E44" s="447">
        <f t="shared" si="9"/>
        <v>977850411</v>
      </c>
      <c r="F44" s="447">
        <v>940328297</v>
      </c>
      <c r="G44" s="448">
        <f t="shared" si="10"/>
        <v>3.9903206273500032E-2</v>
      </c>
      <c r="H44" s="449">
        <f t="shared" si="21"/>
        <v>977850411</v>
      </c>
      <c r="I44" s="450">
        <v>6.03</v>
      </c>
      <c r="J44" s="451">
        <v>6343058</v>
      </c>
      <c r="K44" s="450">
        <v>18.38</v>
      </c>
      <c r="L44" s="451">
        <v>19016841</v>
      </c>
      <c r="M44" s="452">
        <v>0</v>
      </c>
      <c r="N44" s="452">
        <v>0</v>
      </c>
      <c r="O44" s="452">
        <v>0</v>
      </c>
      <c r="P44" s="451">
        <v>0</v>
      </c>
      <c r="Q44" s="447">
        <f t="shared" si="11"/>
        <v>25359899</v>
      </c>
      <c r="R44" s="452">
        <v>0</v>
      </c>
      <c r="S44" s="451">
        <v>0</v>
      </c>
      <c r="T44" s="452">
        <v>0</v>
      </c>
      <c r="U44" s="452">
        <v>0</v>
      </c>
      <c r="V44" s="452">
        <v>0</v>
      </c>
      <c r="W44" s="451">
        <v>0</v>
      </c>
      <c r="X44" s="447">
        <f t="shared" si="12"/>
        <v>0</v>
      </c>
      <c r="Y44" s="454">
        <f t="shared" si="13"/>
        <v>24.41</v>
      </c>
      <c r="Z44" s="447">
        <f t="shared" si="14"/>
        <v>25359899</v>
      </c>
      <c r="AA44" s="447">
        <f t="shared" si="15"/>
        <v>0</v>
      </c>
      <c r="AB44" s="455">
        <f t="shared" si="22"/>
        <v>0</v>
      </c>
      <c r="AC44" s="456">
        <f t="shared" si="23"/>
        <v>25.93</v>
      </c>
      <c r="AD44" s="457">
        <f t="shared" si="24"/>
        <v>25.93</v>
      </c>
      <c r="AE44" s="458">
        <f t="shared" si="16"/>
        <v>25359899</v>
      </c>
      <c r="AF44" s="459">
        <v>0.02</v>
      </c>
      <c r="AG44" s="227">
        <v>23490808</v>
      </c>
      <c r="AH44" s="227">
        <v>0</v>
      </c>
      <c r="AI44" s="460">
        <f t="shared" si="17"/>
        <v>23490808</v>
      </c>
      <c r="AJ44" s="458">
        <v>1024939600</v>
      </c>
      <c r="AK44" s="458">
        <f t="shared" si="20"/>
        <v>1174540400</v>
      </c>
      <c r="AL44" s="459">
        <f t="shared" si="18"/>
        <v>0.14596060099541475</v>
      </c>
      <c r="AM44" s="458">
        <f t="shared" si="19"/>
        <v>1174540400</v>
      </c>
      <c r="AN44" s="448">
        <f t="shared" si="25"/>
        <v>0.02</v>
      </c>
      <c r="AO44" s="448">
        <f t="shared" si="26"/>
        <v>0</v>
      </c>
      <c r="AP44" s="458">
        <v>86727.5</v>
      </c>
      <c r="AQ44" s="458">
        <f t="shared" si="27"/>
        <v>48937434.5</v>
      </c>
      <c r="AR44" s="458">
        <f>ROUND(AQ44/'Table 3 Levels 1&amp;2'!C41,2)</f>
        <v>12632.28</v>
      </c>
    </row>
    <row r="45" spans="1:44">
      <c r="A45" s="445">
        <v>39</v>
      </c>
      <c r="B45" s="446" t="s">
        <v>111</v>
      </c>
      <c r="C45" s="447">
        <v>409209373</v>
      </c>
      <c r="D45" s="447">
        <v>38772207</v>
      </c>
      <c r="E45" s="447">
        <f t="shared" si="9"/>
        <v>370437166</v>
      </c>
      <c r="F45" s="447">
        <v>335754791</v>
      </c>
      <c r="G45" s="448">
        <f t="shared" si="10"/>
        <v>0.10329673895852166</v>
      </c>
      <c r="H45" s="449">
        <f t="shared" si="21"/>
        <v>369330270.10000002</v>
      </c>
      <c r="I45" s="450">
        <v>4.54</v>
      </c>
      <c r="J45" s="451">
        <v>1676057</v>
      </c>
      <c r="K45" s="450">
        <v>11.96</v>
      </c>
      <c r="L45" s="451">
        <v>4415330</v>
      </c>
      <c r="M45" s="452">
        <v>0</v>
      </c>
      <c r="N45" s="452">
        <v>0</v>
      </c>
      <c r="O45" s="452">
        <v>0</v>
      </c>
      <c r="P45" s="451">
        <v>0</v>
      </c>
      <c r="Q45" s="447">
        <f t="shared" si="11"/>
        <v>6091387</v>
      </c>
      <c r="R45" s="452">
        <v>0</v>
      </c>
      <c r="S45" s="451">
        <v>0</v>
      </c>
      <c r="T45" s="452">
        <v>0</v>
      </c>
      <c r="U45" s="452">
        <v>10</v>
      </c>
      <c r="V45" s="452">
        <v>1</v>
      </c>
      <c r="W45" s="451">
        <v>452359</v>
      </c>
      <c r="X45" s="447">
        <f t="shared" si="12"/>
        <v>452359</v>
      </c>
      <c r="Y45" s="454">
        <f t="shared" si="13"/>
        <v>16.5</v>
      </c>
      <c r="Z45" s="447">
        <f t="shared" si="14"/>
        <v>6091387</v>
      </c>
      <c r="AA45" s="447">
        <f t="shared" si="15"/>
        <v>452359</v>
      </c>
      <c r="AB45" s="455">
        <f t="shared" si="22"/>
        <v>1.22</v>
      </c>
      <c r="AC45" s="456">
        <f t="shared" si="23"/>
        <v>16.440000000000001</v>
      </c>
      <c r="AD45" s="457">
        <f t="shared" si="24"/>
        <v>17.66</v>
      </c>
      <c r="AE45" s="458">
        <f t="shared" si="16"/>
        <v>6543746</v>
      </c>
      <c r="AF45" s="459">
        <v>0.02</v>
      </c>
      <c r="AG45" s="227">
        <v>6099336</v>
      </c>
      <c r="AH45" s="227">
        <v>0</v>
      </c>
      <c r="AI45" s="460">
        <f t="shared" si="17"/>
        <v>6099336</v>
      </c>
      <c r="AJ45" s="458">
        <v>334485000</v>
      </c>
      <c r="AK45" s="458">
        <f t="shared" si="20"/>
        <v>304966800</v>
      </c>
      <c r="AL45" s="459">
        <f t="shared" si="18"/>
        <v>-8.8249697295842866E-2</v>
      </c>
      <c r="AM45" s="458">
        <f t="shared" si="19"/>
        <v>304966800</v>
      </c>
      <c r="AN45" s="448">
        <f t="shared" si="25"/>
        <v>0.02</v>
      </c>
      <c r="AO45" s="448">
        <f t="shared" si="26"/>
        <v>0</v>
      </c>
      <c r="AP45" s="458">
        <v>173886.5</v>
      </c>
      <c r="AQ45" s="458">
        <f t="shared" si="27"/>
        <v>12816968.5</v>
      </c>
      <c r="AR45" s="458">
        <f>ROUND(AQ45/'Table 3 Levels 1&amp;2'!C42,2)</f>
        <v>4582.3999999999996</v>
      </c>
    </row>
    <row r="46" spans="1:44">
      <c r="A46" s="463">
        <v>40</v>
      </c>
      <c r="B46" s="464" t="s">
        <v>112</v>
      </c>
      <c r="C46" s="465">
        <v>871012243</v>
      </c>
      <c r="D46" s="465">
        <v>177968212</v>
      </c>
      <c r="E46" s="465">
        <f t="shared" si="9"/>
        <v>693044031</v>
      </c>
      <c r="F46" s="465">
        <v>649813800</v>
      </c>
      <c r="G46" s="466">
        <f t="shared" si="10"/>
        <v>6.6527105149198129E-2</v>
      </c>
      <c r="H46" s="467">
        <f t="shared" si="21"/>
        <v>693044031</v>
      </c>
      <c r="I46" s="468">
        <v>4.93</v>
      </c>
      <c r="J46" s="469">
        <v>3422743</v>
      </c>
      <c r="K46" s="468">
        <v>21.64</v>
      </c>
      <c r="L46" s="469">
        <v>15231582</v>
      </c>
      <c r="M46" s="470">
        <v>4.88</v>
      </c>
      <c r="N46" s="470">
        <v>24.39</v>
      </c>
      <c r="O46" s="470">
        <v>13</v>
      </c>
      <c r="P46" s="469">
        <v>7334966</v>
      </c>
      <c r="Q46" s="465">
        <f t="shared" si="11"/>
        <v>25989291</v>
      </c>
      <c r="R46" s="470">
        <v>0</v>
      </c>
      <c r="S46" s="469">
        <v>0</v>
      </c>
      <c r="T46" s="470">
        <v>9.5</v>
      </c>
      <c r="U46" s="470">
        <v>50</v>
      </c>
      <c r="V46" s="470">
        <v>7</v>
      </c>
      <c r="W46" s="469">
        <v>8777003</v>
      </c>
      <c r="X46" s="465">
        <f t="shared" si="12"/>
        <v>8777003</v>
      </c>
      <c r="Y46" s="471">
        <f t="shared" si="13"/>
        <v>26.57</v>
      </c>
      <c r="Z46" s="465">
        <f t="shared" si="14"/>
        <v>18654325</v>
      </c>
      <c r="AA46" s="465">
        <f t="shared" si="15"/>
        <v>16111969</v>
      </c>
      <c r="AB46" s="472">
        <f t="shared" si="22"/>
        <v>12.66</v>
      </c>
      <c r="AC46" s="473">
        <f t="shared" si="23"/>
        <v>37.5</v>
      </c>
      <c r="AD46" s="474">
        <f t="shared" si="24"/>
        <v>50.16</v>
      </c>
      <c r="AE46" s="475">
        <f t="shared" si="16"/>
        <v>34766294</v>
      </c>
      <c r="AF46" s="476">
        <v>1.4999999999999999E-2</v>
      </c>
      <c r="AG46" s="477">
        <v>35665542</v>
      </c>
      <c r="AH46" s="477">
        <v>0</v>
      </c>
      <c r="AI46" s="478">
        <f t="shared" si="17"/>
        <v>35665542</v>
      </c>
      <c r="AJ46" s="475">
        <v>2390758133</v>
      </c>
      <c r="AK46" s="475">
        <f t="shared" si="20"/>
        <v>2377702800</v>
      </c>
      <c r="AL46" s="476">
        <f t="shared" si="18"/>
        <v>-5.4607502196877397E-3</v>
      </c>
      <c r="AM46" s="475">
        <f t="shared" si="19"/>
        <v>2377702800</v>
      </c>
      <c r="AN46" s="466">
        <f t="shared" si="25"/>
        <v>1.4999999999999999E-2</v>
      </c>
      <c r="AO46" s="466">
        <f t="shared" si="26"/>
        <v>0</v>
      </c>
      <c r="AP46" s="475">
        <v>853958</v>
      </c>
      <c r="AQ46" s="475">
        <f t="shared" si="27"/>
        <v>71285794</v>
      </c>
      <c r="AR46" s="475">
        <f>ROUND(AQ46/'Table 3 Levels 1&amp;2'!C43,2)</f>
        <v>3096.15</v>
      </c>
    </row>
    <row r="47" spans="1:44">
      <c r="A47" s="445">
        <v>41</v>
      </c>
      <c r="B47" s="446" t="s">
        <v>113</v>
      </c>
      <c r="C47" s="447">
        <v>224109350</v>
      </c>
      <c r="D47" s="447">
        <v>10599090</v>
      </c>
      <c r="E47" s="447">
        <f t="shared" si="9"/>
        <v>213510260</v>
      </c>
      <c r="F47" s="447">
        <v>153447950</v>
      </c>
      <c r="G47" s="448">
        <f t="shared" si="10"/>
        <v>0.39141813233738215</v>
      </c>
      <c r="H47" s="449">
        <f t="shared" si="21"/>
        <v>168792745</v>
      </c>
      <c r="I47" s="450">
        <v>4.41</v>
      </c>
      <c r="J47" s="451">
        <v>941580</v>
      </c>
      <c r="K47" s="450">
        <v>35.36</v>
      </c>
      <c r="L47" s="451">
        <v>7549723</v>
      </c>
      <c r="M47" s="452">
        <v>0</v>
      </c>
      <c r="N47" s="452">
        <v>0</v>
      </c>
      <c r="O47" s="452">
        <v>0</v>
      </c>
      <c r="P47" s="451">
        <v>0</v>
      </c>
      <c r="Q47" s="447">
        <f t="shared" si="11"/>
        <v>8491303</v>
      </c>
      <c r="R47" s="453">
        <v>3.1</v>
      </c>
      <c r="S47" s="451">
        <v>661885</v>
      </c>
      <c r="T47" s="452">
        <v>0</v>
      </c>
      <c r="U47" s="452">
        <v>0</v>
      </c>
      <c r="V47" s="452">
        <v>0</v>
      </c>
      <c r="W47" s="451">
        <v>0</v>
      </c>
      <c r="X47" s="447">
        <f t="shared" si="12"/>
        <v>661885</v>
      </c>
      <c r="Y47" s="454">
        <f t="shared" si="13"/>
        <v>42.87</v>
      </c>
      <c r="Z47" s="447">
        <f t="shared" si="14"/>
        <v>9153188</v>
      </c>
      <c r="AA47" s="447">
        <f t="shared" si="15"/>
        <v>0</v>
      </c>
      <c r="AB47" s="455">
        <f t="shared" si="22"/>
        <v>3.1</v>
      </c>
      <c r="AC47" s="456">
        <f t="shared" si="23"/>
        <v>39.770000000000003</v>
      </c>
      <c r="AD47" s="457">
        <f t="shared" si="24"/>
        <v>42.87</v>
      </c>
      <c r="AE47" s="458">
        <f t="shared" si="16"/>
        <v>9153188</v>
      </c>
      <c r="AF47" s="459">
        <v>0.02</v>
      </c>
      <c r="AG47" s="227">
        <v>3995534</v>
      </c>
      <c r="AH47" s="227">
        <v>0</v>
      </c>
      <c r="AI47" s="460">
        <f t="shared" si="17"/>
        <v>3995534</v>
      </c>
      <c r="AJ47" s="458">
        <v>466104800</v>
      </c>
      <c r="AK47" s="458">
        <f t="shared" si="20"/>
        <v>199776700</v>
      </c>
      <c r="AL47" s="461">
        <f t="shared" si="18"/>
        <v>-0.57139102622414528</v>
      </c>
      <c r="AM47" s="462">
        <f t="shared" si="19"/>
        <v>199776700</v>
      </c>
      <c r="AN47" s="448">
        <f t="shared" si="25"/>
        <v>0.02</v>
      </c>
      <c r="AO47" s="448">
        <f t="shared" si="26"/>
        <v>0</v>
      </c>
      <c r="AP47" s="458">
        <v>72333</v>
      </c>
      <c r="AQ47" s="458">
        <f t="shared" si="27"/>
        <v>13221055</v>
      </c>
      <c r="AR47" s="458">
        <f>ROUND(AQ47/'Table 3 Levels 1&amp;2'!C44,2)</f>
        <v>9111.69</v>
      </c>
    </row>
    <row r="48" spans="1:44">
      <c r="A48" s="445">
        <v>42</v>
      </c>
      <c r="B48" s="446" t="s">
        <v>114</v>
      </c>
      <c r="C48" s="447">
        <v>229647330</v>
      </c>
      <c r="D48" s="447">
        <v>27919059</v>
      </c>
      <c r="E48" s="447">
        <f t="shared" si="9"/>
        <v>201728271</v>
      </c>
      <c r="F48" s="447">
        <v>179562866</v>
      </c>
      <c r="G48" s="448">
        <f t="shared" si="10"/>
        <v>0.12344091790114332</v>
      </c>
      <c r="H48" s="449">
        <f t="shared" si="21"/>
        <v>197519152.60000002</v>
      </c>
      <c r="I48" s="450">
        <v>8.17</v>
      </c>
      <c r="J48" s="451">
        <v>1654681</v>
      </c>
      <c r="K48" s="450">
        <v>8.07</v>
      </c>
      <c r="L48" s="451">
        <v>1639435</v>
      </c>
      <c r="M48" s="452">
        <v>0</v>
      </c>
      <c r="N48" s="452">
        <v>0</v>
      </c>
      <c r="O48" s="452">
        <v>0</v>
      </c>
      <c r="P48" s="451">
        <v>0</v>
      </c>
      <c r="Q48" s="447">
        <f t="shared" si="11"/>
        <v>3294116</v>
      </c>
      <c r="R48" s="452">
        <v>0</v>
      </c>
      <c r="S48" s="451">
        <v>0</v>
      </c>
      <c r="T48" s="452">
        <v>7</v>
      </c>
      <c r="U48" s="452">
        <v>20</v>
      </c>
      <c r="V48" s="452">
        <v>4</v>
      </c>
      <c r="W48" s="451">
        <v>2293549</v>
      </c>
      <c r="X48" s="447">
        <f t="shared" si="12"/>
        <v>2293549</v>
      </c>
      <c r="Y48" s="454">
        <f t="shared" si="13"/>
        <v>16.240000000000002</v>
      </c>
      <c r="Z48" s="447">
        <f t="shared" si="14"/>
        <v>3294116</v>
      </c>
      <c r="AA48" s="447">
        <f t="shared" si="15"/>
        <v>2293549</v>
      </c>
      <c r="AB48" s="455">
        <f t="shared" si="22"/>
        <v>11.37</v>
      </c>
      <c r="AC48" s="456">
        <f t="shared" si="23"/>
        <v>16.329999999999998</v>
      </c>
      <c r="AD48" s="457">
        <f t="shared" si="24"/>
        <v>27.7</v>
      </c>
      <c r="AE48" s="458">
        <f t="shared" si="16"/>
        <v>5587665</v>
      </c>
      <c r="AF48" s="459">
        <v>0.02</v>
      </c>
      <c r="AG48" s="227">
        <v>6098883</v>
      </c>
      <c r="AH48" s="227">
        <v>0</v>
      </c>
      <c r="AI48" s="460">
        <f t="shared" si="17"/>
        <v>6098883</v>
      </c>
      <c r="AJ48" s="458">
        <v>285611050</v>
      </c>
      <c r="AK48" s="458">
        <f t="shared" si="20"/>
        <v>304944150</v>
      </c>
      <c r="AL48" s="461">
        <f t="shared" si="18"/>
        <v>6.7690308200610588E-2</v>
      </c>
      <c r="AM48" s="462">
        <f t="shared" si="19"/>
        <v>304944150</v>
      </c>
      <c r="AN48" s="448">
        <f t="shared" si="25"/>
        <v>0.02</v>
      </c>
      <c r="AO48" s="448">
        <f t="shared" si="26"/>
        <v>0</v>
      </c>
      <c r="AP48" s="458">
        <v>224338</v>
      </c>
      <c r="AQ48" s="458">
        <f t="shared" si="27"/>
        <v>11910886</v>
      </c>
      <c r="AR48" s="458">
        <f>ROUND(AQ48/'Table 3 Levels 1&amp;2'!C45,2)</f>
        <v>3671.67</v>
      </c>
    </row>
    <row r="49" spans="1:44">
      <c r="A49" s="445">
        <v>43</v>
      </c>
      <c r="B49" s="446" t="s">
        <v>115</v>
      </c>
      <c r="C49" s="447">
        <v>184362850</v>
      </c>
      <c r="D49" s="447">
        <v>32923100</v>
      </c>
      <c r="E49" s="447">
        <f t="shared" si="9"/>
        <v>151439750</v>
      </c>
      <c r="F49" s="447">
        <v>129500423</v>
      </c>
      <c r="G49" s="448">
        <f t="shared" si="10"/>
        <v>0.16941509913060285</v>
      </c>
      <c r="H49" s="449">
        <f t="shared" si="21"/>
        <v>142450465.30000001</v>
      </c>
      <c r="I49" s="450">
        <v>5.15</v>
      </c>
      <c r="J49" s="451">
        <v>793918</v>
      </c>
      <c r="K49" s="450">
        <v>8.68</v>
      </c>
      <c r="L49" s="451">
        <v>1338136</v>
      </c>
      <c r="M49" s="452">
        <v>6.63</v>
      </c>
      <c r="N49" s="452">
        <v>16.09</v>
      </c>
      <c r="O49" s="452">
        <v>7</v>
      </c>
      <c r="P49" s="451">
        <v>1481124</v>
      </c>
      <c r="Q49" s="447">
        <f t="shared" si="11"/>
        <v>3613178</v>
      </c>
      <c r="R49" s="452">
        <v>0</v>
      </c>
      <c r="S49" s="451">
        <v>0</v>
      </c>
      <c r="T49" s="452">
        <v>4.3</v>
      </c>
      <c r="U49" s="452">
        <v>30.8</v>
      </c>
      <c r="V49" s="452">
        <v>7</v>
      </c>
      <c r="W49" s="451">
        <v>1530654</v>
      </c>
      <c r="X49" s="447">
        <f t="shared" si="12"/>
        <v>1530654</v>
      </c>
      <c r="Y49" s="454">
        <f t="shared" si="13"/>
        <v>13.83</v>
      </c>
      <c r="Z49" s="447">
        <f t="shared" si="14"/>
        <v>2132054</v>
      </c>
      <c r="AA49" s="447">
        <f t="shared" si="15"/>
        <v>3011778</v>
      </c>
      <c r="AB49" s="455">
        <f t="shared" si="22"/>
        <v>10.11</v>
      </c>
      <c r="AC49" s="456">
        <f t="shared" si="23"/>
        <v>23.86</v>
      </c>
      <c r="AD49" s="457">
        <f t="shared" si="24"/>
        <v>33.97</v>
      </c>
      <c r="AE49" s="458">
        <f t="shared" si="16"/>
        <v>5143832</v>
      </c>
      <c r="AF49" s="459">
        <v>2.5000000000000001E-2</v>
      </c>
      <c r="AG49" s="227">
        <v>9215091</v>
      </c>
      <c r="AH49" s="227">
        <v>468426</v>
      </c>
      <c r="AI49" s="460">
        <f t="shared" si="17"/>
        <v>9683517</v>
      </c>
      <c r="AJ49" s="458">
        <v>676866280</v>
      </c>
      <c r="AK49" s="458">
        <f t="shared" si="20"/>
        <v>387340680</v>
      </c>
      <c r="AL49" s="459">
        <f t="shared" si="18"/>
        <v>-0.42774416240679031</v>
      </c>
      <c r="AM49" s="458">
        <f t="shared" si="19"/>
        <v>387340680</v>
      </c>
      <c r="AN49" s="448">
        <f t="shared" si="25"/>
        <v>2.3790661492100441E-2</v>
      </c>
      <c r="AO49" s="448">
        <f t="shared" si="26"/>
        <v>1.2093385078995576E-3</v>
      </c>
      <c r="AP49" s="458">
        <v>197610.5</v>
      </c>
      <c r="AQ49" s="458">
        <f t="shared" si="27"/>
        <v>15024959.5</v>
      </c>
      <c r="AR49" s="458">
        <f>ROUND(AQ49/'Table 3 Levels 1&amp;2'!C46,2)</f>
        <v>3654.82</v>
      </c>
    </row>
    <row r="50" spans="1:44">
      <c r="A50" s="445">
        <v>44</v>
      </c>
      <c r="B50" s="446" t="s">
        <v>116</v>
      </c>
      <c r="C50" s="447">
        <v>372402903</v>
      </c>
      <c r="D50" s="447">
        <v>59431584</v>
      </c>
      <c r="E50" s="447">
        <f t="shared" si="9"/>
        <v>312971319</v>
      </c>
      <c r="F50" s="447">
        <v>299901547</v>
      </c>
      <c r="G50" s="448">
        <f t="shared" si="10"/>
        <v>4.3580208674282028E-2</v>
      </c>
      <c r="H50" s="449">
        <f t="shared" si="21"/>
        <v>312971319</v>
      </c>
      <c r="I50" s="450">
        <v>3.75</v>
      </c>
      <c r="J50" s="451">
        <v>1263255</v>
      </c>
      <c r="K50" s="450">
        <v>31.25</v>
      </c>
      <c r="L50" s="451">
        <v>10527122</v>
      </c>
      <c r="M50" s="452">
        <v>0</v>
      </c>
      <c r="N50" s="452">
        <v>0</v>
      </c>
      <c r="O50" s="452">
        <v>0</v>
      </c>
      <c r="P50" s="451">
        <v>0</v>
      </c>
      <c r="Q50" s="447">
        <f t="shared" si="11"/>
        <v>11790377</v>
      </c>
      <c r="R50" s="452">
        <v>10</v>
      </c>
      <c r="S50" s="451">
        <v>3368679</v>
      </c>
      <c r="T50" s="452">
        <v>0</v>
      </c>
      <c r="U50" s="452">
        <v>0</v>
      </c>
      <c r="V50" s="452">
        <v>0</v>
      </c>
      <c r="W50" s="451">
        <v>0</v>
      </c>
      <c r="X50" s="447">
        <f t="shared" si="12"/>
        <v>3368679</v>
      </c>
      <c r="Y50" s="454">
        <f t="shared" si="13"/>
        <v>45</v>
      </c>
      <c r="Z50" s="447">
        <f t="shared" si="14"/>
        <v>15159056</v>
      </c>
      <c r="AA50" s="447">
        <f t="shared" si="15"/>
        <v>0</v>
      </c>
      <c r="AB50" s="455">
        <f t="shared" si="22"/>
        <v>10.76</v>
      </c>
      <c r="AC50" s="456">
        <f t="shared" si="23"/>
        <v>37.67</v>
      </c>
      <c r="AD50" s="457">
        <f t="shared" si="24"/>
        <v>48.44</v>
      </c>
      <c r="AE50" s="458">
        <f t="shared" si="16"/>
        <v>15159056</v>
      </c>
      <c r="AF50" s="459">
        <v>0.02</v>
      </c>
      <c r="AG50" s="227">
        <v>14948376</v>
      </c>
      <c r="AH50" s="227">
        <v>0</v>
      </c>
      <c r="AI50" s="460">
        <f t="shared" si="17"/>
        <v>14948376</v>
      </c>
      <c r="AJ50" s="458">
        <v>689157950</v>
      </c>
      <c r="AK50" s="458">
        <f t="shared" si="20"/>
        <v>747418800</v>
      </c>
      <c r="AL50" s="459">
        <f t="shared" si="18"/>
        <v>8.4539182926062162E-2</v>
      </c>
      <c r="AM50" s="458">
        <f t="shared" si="19"/>
        <v>747418800</v>
      </c>
      <c r="AN50" s="448">
        <f t="shared" si="25"/>
        <v>0.02</v>
      </c>
      <c r="AO50" s="448">
        <f t="shared" si="26"/>
        <v>0</v>
      </c>
      <c r="AP50" s="458">
        <v>51601</v>
      </c>
      <c r="AQ50" s="458">
        <f t="shared" si="27"/>
        <v>30159033</v>
      </c>
      <c r="AR50" s="458">
        <f>ROUND(AQ50/'Table 3 Levels 1&amp;2'!C47,2)</f>
        <v>4514.83</v>
      </c>
    </row>
    <row r="51" spans="1:44">
      <c r="A51" s="463">
        <v>45</v>
      </c>
      <c r="B51" s="464" t="s">
        <v>117</v>
      </c>
      <c r="C51" s="465">
        <v>1255932529</v>
      </c>
      <c r="D51" s="465">
        <v>98994895</v>
      </c>
      <c r="E51" s="465">
        <f t="shared" si="9"/>
        <v>1156937634</v>
      </c>
      <c r="F51" s="465">
        <v>1098417385</v>
      </c>
      <c r="G51" s="466">
        <f t="shared" si="10"/>
        <v>5.3276877987505633E-2</v>
      </c>
      <c r="H51" s="467">
        <f t="shared" si="21"/>
        <v>1156937634</v>
      </c>
      <c r="I51" s="468">
        <v>4.05</v>
      </c>
      <c r="J51" s="469">
        <v>4642633</v>
      </c>
      <c r="K51" s="468">
        <v>45.85</v>
      </c>
      <c r="L51" s="469">
        <v>51237810</v>
      </c>
      <c r="M51" s="470">
        <v>0</v>
      </c>
      <c r="N51" s="470">
        <v>0</v>
      </c>
      <c r="O51" s="470">
        <v>0</v>
      </c>
      <c r="P51" s="469">
        <v>0</v>
      </c>
      <c r="Q51" s="465">
        <f t="shared" si="11"/>
        <v>55880443</v>
      </c>
      <c r="R51" s="470">
        <v>5.86</v>
      </c>
      <c r="S51" s="469">
        <v>6717453</v>
      </c>
      <c r="T51" s="470">
        <v>0</v>
      </c>
      <c r="U51" s="470">
        <v>0</v>
      </c>
      <c r="V51" s="470">
        <v>0</v>
      </c>
      <c r="W51" s="469">
        <v>0</v>
      </c>
      <c r="X51" s="465">
        <f t="shared" si="12"/>
        <v>6717453</v>
      </c>
      <c r="Y51" s="471">
        <f t="shared" si="13"/>
        <v>55.76</v>
      </c>
      <c r="Z51" s="465">
        <f t="shared" si="14"/>
        <v>62597896</v>
      </c>
      <c r="AA51" s="465">
        <f t="shared" si="15"/>
        <v>0</v>
      </c>
      <c r="AB51" s="472">
        <f t="shared" si="22"/>
        <v>5.81</v>
      </c>
      <c r="AC51" s="473">
        <f t="shared" si="23"/>
        <v>48.3</v>
      </c>
      <c r="AD51" s="474">
        <f t="shared" si="24"/>
        <v>54.11</v>
      </c>
      <c r="AE51" s="475">
        <f t="shared" si="16"/>
        <v>62597896</v>
      </c>
      <c r="AF51" s="476">
        <v>0.03</v>
      </c>
      <c r="AG51" s="477">
        <v>56478404</v>
      </c>
      <c r="AH51" s="477">
        <v>1049009</v>
      </c>
      <c r="AI51" s="478">
        <f t="shared" si="17"/>
        <v>57527413</v>
      </c>
      <c r="AJ51" s="475">
        <v>1920213167</v>
      </c>
      <c r="AK51" s="475">
        <f t="shared" ref="AK51:AK75" si="28">ROUND(AI51/AF51,0)</f>
        <v>1917580433</v>
      </c>
      <c r="AL51" s="476">
        <f t="shared" si="18"/>
        <v>-1.3710634033997332E-3</v>
      </c>
      <c r="AM51" s="475">
        <f t="shared" si="19"/>
        <v>1917580433</v>
      </c>
      <c r="AN51" s="466">
        <f t="shared" si="25"/>
        <v>2.9452951765700459E-2</v>
      </c>
      <c r="AO51" s="466">
        <f t="shared" si="26"/>
        <v>5.4704823951444654E-4</v>
      </c>
      <c r="AP51" s="475">
        <v>279338</v>
      </c>
      <c r="AQ51" s="475">
        <f t="shared" si="27"/>
        <v>120404647</v>
      </c>
      <c r="AR51" s="475">
        <f>ROUND(AQ51/'Table 3 Levels 1&amp;2'!C48,2)</f>
        <v>12784.52</v>
      </c>
    </row>
    <row r="52" spans="1:44" s="479" customFormat="1">
      <c r="A52" s="445">
        <v>46</v>
      </c>
      <c r="B52" s="446" t="s">
        <v>118</v>
      </c>
      <c r="C52" s="447">
        <v>61974870</v>
      </c>
      <c r="D52" s="447">
        <v>17004260</v>
      </c>
      <c r="E52" s="447">
        <f t="shared" si="9"/>
        <v>44970610</v>
      </c>
      <c r="F52" s="447">
        <v>42500740</v>
      </c>
      <c r="G52" s="448">
        <f t="shared" si="10"/>
        <v>5.811357637537605E-2</v>
      </c>
      <c r="H52" s="449">
        <f t="shared" si="21"/>
        <v>44970610</v>
      </c>
      <c r="I52" s="450">
        <v>3.38</v>
      </c>
      <c r="J52" s="451">
        <v>148731</v>
      </c>
      <c r="K52" s="450">
        <v>14.48</v>
      </c>
      <c r="L52" s="451">
        <v>637211</v>
      </c>
      <c r="M52" s="452">
        <v>0</v>
      </c>
      <c r="N52" s="452">
        <v>0</v>
      </c>
      <c r="O52" s="452">
        <v>24</v>
      </c>
      <c r="P52" s="451">
        <v>0</v>
      </c>
      <c r="Q52" s="447">
        <f t="shared" si="11"/>
        <v>785942</v>
      </c>
      <c r="R52" s="453">
        <v>0</v>
      </c>
      <c r="S52" s="451">
        <v>0</v>
      </c>
      <c r="T52" s="452">
        <v>0</v>
      </c>
      <c r="U52" s="452">
        <v>0</v>
      </c>
      <c r="V52" s="452">
        <v>24</v>
      </c>
      <c r="W52" s="451">
        <v>0</v>
      </c>
      <c r="X52" s="447">
        <f t="shared" si="12"/>
        <v>0</v>
      </c>
      <c r="Y52" s="454">
        <f t="shared" si="13"/>
        <v>17.86</v>
      </c>
      <c r="Z52" s="447">
        <f t="shared" si="14"/>
        <v>785942</v>
      </c>
      <c r="AA52" s="447">
        <f t="shared" si="15"/>
        <v>0</v>
      </c>
      <c r="AB52" s="455">
        <f t="shared" si="22"/>
        <v>0</v>
      </c>
      <c r="AC52" s="456">
        <f t="shared" si="23"/>
        <v>17.48</v>
      </c>
      <c r="AD52" s="457">
        <f t="shared" si="24"/>
        <v>17.48</v>
      </c>
      <c r="AE52" s="458">
        <f t="shared" si="16"/>
        <v>785942</v>
      </c>
      <c r="AF52" s="459">
        <v>0.02</v>
      </c>
      <c r="AG52" s="227">
        <v>1776513</v>
      </c>
      <c r="AH52" s="227">
        <v>0</v>
      </c>
      <c r="AI52" s="460">
        <f t="shared" si="17"/>
        <v>1776513</v>
      </c>
      <c r="AJ52" s="458">
        <v>68345000</v>
      </c>
      <c r="AK52" s="458">
        <f t="shared" si="28"/>
        <v>88825650</v>
      </c>
      <c r="AL52" s="461">
        <f t="shared" si="18"/>
        <v>0.29966566683736923</v>
      </c>
      <c r="AM52" s="462">
        <f t="shared" si="19"/>
        <v>78596750</v>
      </c>
      <c r="AN52" s="448">
        <f t="shared" si="25"/>
        <v>0.02</v>
      </c>
      <c r="AO52" s="448">
        <f t="shared" si="26"/>
        <v>0</v>
      </c>
      <c r="AP52" s="458">
        <v>32506.5</v>
      </c>
      <c r="AQ52" s="458">
        <f t="shared" si="27"/>
        <v>2594961.5</v>
      </c>
      <c r="AR52" s="458">
        <f>ROUND(AQ52/'Table 3 Levels 1&amp;2'!C49,2)</f>
        <v>2492.7600000000002</v>
      </c>
    </row>
    <row r="53" spans="1:44">
      <c r="A53" s="445">
        <v>47</v>
      </c>
      <c r="B53" s="446" t="s">
        <v>119</v>
      </c>
      <c r="C53" s="447">
        <v>528213839</v>
      </c>
      <c r="D53" s="447">
        <v>38666723</v>
      </c>
      <c r="E53" s="447">
        <f t="shared" si="9"/>
        <v>489547116</v>
      </c>
      <c r="F53" s="447">
        <v>409772295</v>
      </c>
      <c r="G53" s="448">
        <f t="shared" si="10"/>
        <v>0.19468085562007065</v>
      </c>
      <c r="H53" s="449">
        <f t="shared" si="21"/>
        <v>450749524.50000006</v>
      </c>
      <c r="I53" s="450">
        <v>3.85</v>
      </c>
      <c r="J53" s="451">
        <v>1929867</v>
      </c>
      <c r="K53" s="450">
        <v>29.82</v>
      </c>
      <c r="L53" s="451">
        <v>15066298</v>
      </c>
      <c r="M53" s="452">
        <v>0</v>
      </c>
      <c r="N53" s="452">
        <v>0</v>
      </c>
      <c r="O53" s="452">
        <v>0</v>
      </c>
      <c r="P53" s="451">
        <v>0</v>
      </c>
      <c r="Q53" s="447">
        <f t="shared" si="11"/>
        <v>16996165</v>
      </c>
      <c r="R53" s="452">
        <v>10</v>
      </c>
      <c r="S53" s="451">
        <v>4893828</v>
      </c>
      <c r="T53" s="452">
        <v>0</v>
      </c>
      <c r="U53" s="452">
        <v>0</v>
      </c>
      <c r="V53" s="452">
        <v>0</v>
      </c>
      <c r="W53" s="451">
        <v>0</v>
      </c>
      <c r="X53" s="447">
        <f t="shared" si="12"/>
        <v>4893828</v>
      </c>
      <c r="Y53" s="454">
        <f t="shared" si="13"/>
        <v>43.67</v>
      </c>
      <c r="Z53" s="447">
        <f t="shared" si="14"/>
        <v>21889993</v>
      </c>
      <c r="AA53" s="447">
        <f t="shared" si="15"/>
        <v>0</v>
      </c>
      <c r="AB53" s="455">
        <f t="shared" si="22"/>
        <v>10</v>
      </c>
      <c r="AC53" s="456">
        <f t="shared" si="23"/>
        <v>34.72</v>
      </c>
      <c r="AD53" s="457">
        <f t="shared" si="24"/>
        <v>44.71</v>
      </c>
      <c r="AE53" s="458">
        <f t="shared" si="16"/>
        <v>21889993</v>
      </c>
      <c r="AF53" s="459">
        <v>2.5000000000000001E-2</v>
      </c>
      <c r="AG53" s="227">
        <v>25285692</v>
      </c>
      <c r="AH53" s="227">
        <v>0</v>
      </c>
      <c r="AI53" s="460">
        <f t="shared" si="17"/>
        <v>25285692</v>
      </c>
      <c r="AJ53" s="458">
        <v>724039040</v>
      </c>
      <c r="AK53" s="458">
        <f t="shared" si="28"/>
        <v>1011427680</v>
      </c>
      <c r="AL53" s="461">
        <f t="shared" si="18"/>
        <v>0.39692423215190165</v>
      </c>
      <c r="AM53" s="462">
        <f t="shared" si="19"/>
        <v>832644895.99999988</v>
      </c>
      <c r="AN53" s="448">
        <f t="shared" si="25"/>
        <v>2.5000000000000001E-2</v>
      </c>
      <c r="AO53" s="448">
        <f t="shared" si="26"/>
        <v>0</v>
      </c>
      <c r="AP53" s="458">
        <v>87351</v>
      </c>
      <c r="AQ53" s="458">
        <f t="shared" si="27"/>
        <v>47263036</v>
      </c>
      <c r="AR53" s="458">
        <f>ROUND(AQ53/'Table 3 Levels 1&amp;2'!C50,2)</f>
        <v>13023.71</v>
      </c>
    </row>
    <row r="54" spans="1:44">
      <c r="A54" s="445">
        <v>48</v>
      </c>
      <c r="B54" s="446" t="s">
        <v>144</v>
      </c>
      <c r="C54" s="447">
        <v>495021884</v>
      </c>
      <c r="D54" s="447">
        <v>85421449</v>
      </c>
      <c r="E54" s="447">
        <f t="shared" si="9"/>
        <v>409600435</v>
      </c>
      <c r="F54" s="447">
        <v>369188944</v>
      </c>
      <c r="G54" s="448">
        <f t="shared" si="10"/>
        <v>0.10946018741016253</v>
      </c>
      <c r="H54" s="449">
        <f t="shared" si="21"/>
        <v>406107838.40000004</v>
      </c>
      <c r="I54" s="450">
        <v>3.65</v>
      </c>
      <c r="J54" s="451">
        <v>1422397</v>
      </c>
      <c r="K54" s="450">
        <v>25.66</v>
      </c>
      <c r="L54" s="451">
        <v>10025220</v>
      </c>
      <c r="M54" s="452">
        <v>0</v>
      </c>
      <c r="N54" s="452">
        <v>0</v>
      </c>
      <c r="O54" s="452">
        <v>0</v>
      </c>
      <c r="P54" s="451">
        <v>0</v>
      </c>
      <c r="Q54" s="447">
        <f t="shared" si="11"/>
        <v>11447617</v>
      </c>
      <c r="R54" s="452">
        <v>10</v>
      </c>
      <c r="S54" s="451">
        <v>3910567</v>
      </c>
      <c r="T54" s="452">
        <v>0</v>
      </c>
      <c r="U54" s="452">
        <v>0</v>
      </c>
      <c r="V54" s="452">
        <v>0</v>
      </c>
      <c r="W54" s="451">
        <v>0</v>
      </c>
      <c r="X54" s="447">
        <f t="shared" si="12"/>
        <v>3910567</v>
      </c>
      <c r="Y54" s="454">
        <f t="shared" si="13"/>
        <v>39.31</v>
      </c>
      <c r="Z54" s="447">
        <f t="shared" si="14"/>
        <v>15358184</v>
      </c>
      <c r="AA54" s="447">
        <f t="shared" si="15"/>
        <v>0</v>
      </c>
      <c r="AB54" s="455">
        <f t="shared" si="22"/>
        <v>9.5500000000000007</v>
      </c>
      <c r="AC54" s="456">
        <f t="shared" si="23"/>
        <v>27.95</v>
      </c>
      <c r="AD54" s="457">
        <f t="shared" si="24"/>
        <v>37.5</v>
      </c>
      <c r="AE54" s="458">
        <f t="shared" si="16"/>
        <v>15358184</v>
      </c>
      <c r="AF54" s="459">
        <v>2.2499999999999999E-2</v>
      </c>
      <c r="AG54" s="227">
        <v>22563829</v>
      </c>
      <c r="AH54" s="227">
        <v>0</v>
      </c>
      <c r="AI54" s="460">
        <f t="shared" si="17"/>
        <v>22563829</v>
      </c>
      <c r="AJ54" s="458">
        <v>885708711</v>
      </c>
      <c r="AK54" s="458">
        <f t="shared" si="28"/>
        <v>1002836844</v>
      </c>
      <c r="AL54" s="459">
        <f t="shared" si="18"/>
        <v>0.13224227282100198</v>
      </c>
      <c r="AM54" s="458">
        <f t="shared" si="19"/>
        <v>1002836844</v>
      </c>
      <c r="AN54" s="448">
        <f t="shared" si="25"/>
        <v>2.250000000997171E-2</v>
      </c>
      <c r="AO54" s="448">
        <f t="shared" si="26"/>
        <v>0</v>
      </c>
      <c r="AP54" s="458">
        <v>196023</v>
      </c>
      <c r="AQ54" s="458">
        <f t="shared" si="27"/>
        <v>38118036</v>
      </c>
      <c r="AR54" s="458">
        <f>ROUND(AQ54/'Table 3 Levels 1&amp;2'!C51,2)</f>
        <v>6577.75</v>
      </c>
    </row>
    <row r="55" spans="1:44">
      <c r="A55" s="445">
        <v>49</v>
      </c>
      <c r="B55" s="446" t="s">
        <v>120</v>
      </c>
      <c r="C55" s="447">
        <v>698676910</v>
      </c>
      <c r="D55" s="447">
        <v>125897489</v>
      </c>
      <c r="E55" s="447">
        <f t="shared" si="9"/>
        <v>572779421</v>
      </c>
      <c r="F55" s="447">
        <v>536501746</v>
      </c>
      <c r="G55" s="448">
        <f t="shared" si="10"/>
        <v>6.7618931849664471E-2</v>
      </c>
      <c r="H55" s="449">
        <f t="shared" si="21"/>
        <v>572779421</v>
      </c>
      <c r="I55" s="450">
        <v>4.37</v>
      </c>
      <c r="J55" s="451">
        <v>2491833</v>
      </c>
      <c r="K55" s="450">
        <v>15.86</v>
      </c>
      <c r="L55" s="451">
        <v>9042434</v>
      </c>
      <c r="M55" s="452">
        <v>0</v>
      </c>
      <c r="N55" s="452">
        <v>0</v>
      </c>
      <c r="O55" s="452">
        <v>0</v>
      </c>
      <c r="P55" s="451">
        <v>0</v>
      </c>
      <c r="Q55" s="447">
        <f t="shared" si="11"/>
        <v>11534267</v>
      </c>
      <c r="R55" s="452">
        <v>0</v>
      </c>
      <c r="S55" s="451">
        <v>0</v>
      </c>
      <c r="T55" s="452">
        <v>0</v>
      </c>
      <c r="U55" s="452">
        <v>0</v>
      </c>
      <c r="V55" s="452">
        <v>0</v>
      </c>
      <c r="W55" s="451">
        <v>0</v>
      </c>
      <c r="X55" s="447">
        <f t="shared" si="12"/>
        <v>0</v>
      </c>
      <c r="Y55" s="454">
        <f t="shared" si="13"/>
        <v>20.23</v>
      </c>
      <c r="Z55" s="447">
        <f t="shared" si="14"/>
        <v>11534267</v>
      </c>
      <c r="AA55" s="447">
        <f t="shared" si="15"/>
        <v>0</v>
      </c>
      <c r="AB55" s="455">
        <f t="shared" si="22"/>
        <v>0</v>
      </c>
      <c r="AC55" s="456">
        <f t="shared" si="23"/>
        <v>20.14</v>
      </c>
      <c r="AD55" s="457">
        <f t="shared" si="24"/>
        <v>20.14</v>
      </c>
      <c r="AE55" s="458">
        <f t="shared" si="16"/>
        <v>11534267</v>
      </c>
      <c r="AF55" s="459">
        <v>0.02</v>
      </c>
      <c r="AG55" s="227">
        <v>23711915</v>
      </c>
      <c r="AH55" s="227">
        <v>0</v>
      </c>
      <c r="AI55" s="460">
        <f t="shared" si="17"/>
        <v>23711915</v>
      </c>
      <c r="AJ55" s="458">
        <v>1174686800</v>
      </c>
      <c r="AK55" s="458">
        <f t="shared" si="28"/>
        <v>1185595750</v>
      </c>
      <c r="AL55" s="459">
        <f t="shared" si="18"/>
        <v>9.2866881623254807E-3</v>
      </c>
      <c r="AM55" s="458">
        <f t="shared" si="19"/>
        <v>1185595750</v>
      </c>
      <c r="AN55" s="448">
        <f t="shared" si="25"/>
        <v>0.02</v>
      </c>
      <c r="AO55" s="448">
        <f t="shared" si="26"/>
        <v>0</v>
      </c>
      <c r="AP55" s="458">
        <v>404872</v>
      </c>
      <c r="AQ55" s="458">
        <f t="shared" si="27"/>
        <v>35651054</v>
      </c>
      <c r="AR55" s="458">
        <f>ROUND(AQ55/'Table 3 Levels 1&amp;2'!C52,2)</f>
        <v>2459.54</v>
      </c>
    </row>
    <row r="56" spans="1:44">
      <c r="A56" s="463">
        <v>50</v>
      </c>
      <c r="B56" s="464" t="s">
        <v>121</v>
      </c>
      <c r="C56" s="465">
        <v>364982646</v>
      </c>
      <c r="D56" s="465">
        <v>83473954</v>
      </c>
      <c r="E56" s="465">
        <f t="shared" si="9"/>
        <v>281508692</v>
      </c>
      <c r="F56" s="465">
        <v>262207197</v>
      </c>
      <c r="G56" s="466">
        <f t="shared" si="10"/>
        <v>7.3611614100737285E-2</v>
      </c>
      <c r="H56" s="467">
        <f t="shared" si="21"/>
        <v>281508692</v>
      </c>
      <c r="I56" s="468">
        <v>2.61</v>
      </c>
      <c r="J56" s="469">
        <v>863000</v>
      </c>
      <c r="K56" s="468">
        <v>9.9700000000000006</v>
      </c>
      <c r="L56" s="469">
        <v>2749432</v>
      </c>
      <c r="M56" s="470">
        <v>0</v>
      </c>
      <c r="N56" s="470">
        <v>0</v>
      </c>
      <c r="O56" s="470">
        <v>0</v>
      </c>
      <c r="P56" s="469">
        <v>0</v>
      </c>
      <c r="Q56" s="465">
        <f t="shared" si="11"/>
        <v>3612432</v>
      </c>
      <c r="R56" s="470">
        <v>21.5</v>
      </c>
      <c r="S56" s="469">
        <v>6269480</v>
      </c>
      <c r="T56" s="470">
        <v>0</v>
      </c>
      <c r="U56" s="470">
        <v>0</v>
      </c>
      <c r="V56" s="470">
        <v>0</v>
      </c>
      <c r="W56" s="469">
        <v>0</v>
      </c>
      <c r="X56" s="465">
        <f t="shared" si="12"/>
        <v>6269480</v>
      </c>
      <c r="Y56" s="471">
        <f t="shared" si="13"/>
        <v>34.08</v>
      </c>
      <c r="Z56" s="465">
        <f t="shared" si="14"/>
        <v>9881912</v>
      </c>
      <c r="AA56" s="465">
        <f t="shared" si="15"/>
        <v>0</v>
      </c>
      <c r="AB56" s="472">
        <f t="shared" si="22"/>
        <v>22.27</v>
      </c>
      <c r="AC56" s="473">
        <f t="shared" si="23"/>
        <v>12.83</v>
      </c>
      <c r="AD56" s="474">
        <f t="shared" si="24"/>
        <v>35.1</v>
      </c>
      <c r="AE56" s="475">
        <f t="shared" si="16"/>
        <v>9881912</v>
      </c>
      <c r="AF56" s="476">
        <v>0.02</v>
      </c>
      <c r="AG56" s="477">
        <v>15108947</v>
      </c>
      <c r="AH56" s="477">
        <v>0</v>
      </c>
      <c r="AI56" s="478">
        <f t="shared" si="17"/>
        <v>15108947</v>
      </c>
      <c r="AJ56" s="475">
        <v>666011450</v>
      </c>
      <c r="AK56" s="475">
        <f t="shared" si="28"/>
        <v>755447350</v>
      </c>
      <c r="AL56" s="476">
        <f t="shared" si="18"/>
        <v>0.1342858294703492</v>
      </c>
      <c r="AM56" s="475">
        <f t="shared" si="19"/>
        <v>755447350</v>
      </c>
      <c r="AN56" s="466">
        <f t="shared" si="25"/>
        <v>0.02</v>
      </c>
      <c r="AO56" s="466">
        <f t="shared" si="26"/>
        <v>0</v>
      </c>
      <c r="AP56" s="475">
        <v>454920.5</v>
      </c>
      <c r="AQ56" s="475">
        <f t="shared" si="27"/>
        <v>25445779.5</v>
      </c>
      <c r="AR56" s="475">
        <f>ROUND(AQ56/'Table 3 Levels 1&amp;2'!C53,2)</f>
        <v>3212.45</v>
      </c>
    </row>
    <row r="57" spans="1:44">
      <c r="A57" s="445">
        <v>51</v>
      </c>
      <c r="B57" s="446" t="s">
        <v>122</v>
      </c>
      <c r="C57" s="447">
        <v>815942628</v>
      </c>
      <c r="D57" s="447">
        <v>73953012</v>
      </c>
      <c r="E57" s="447">
        <f t="shared" si="9"/>
        <v>741989616</v>
      </c>
      <c r="F57" s="447">
        <v>648771449</v>
      </c>
      <c r="G57" s="448">
        <f t="shared" si="10"/>
        <v>0.14368413891160614</v>
      </c>
      <c r="H57" s="449">
        <f t="shared" si="21"/>
        <v>713648593.9000001</v>
      </c>
      <c r="I57" s="450">
        <v>8.36</v>
      </c>
      <c r="J57" s="451">
        <v>6184672</v>
      </c>
      <c r="K57" s="450">
        <v>11.18</v>
      </c>
      <c r="L57" s="451">
        <v>6633373</v>
      </c>
      <c r="M57" s="452">
        <v>11.55</v>
      </c>
      <c r="N57" s="452">
        <v>12.17</v>
      </c>
      <c r="O57" s="452">
        <v>3</v>
      </c>
      <c r="P57" s="451">
        <v>6941952</v>
      </c>
      <c r="Q57" s="447">
        <f t="shared" si="11"/>
        <v>19759997</v>
      </c>
      <c r="R57" s="453">
        <v>0</v>
      </c>
      <c r="S57" s="451">
        <v>0</v>
      </c>
      <c r="T57" s="452">
        <v>6</v>
      </c>
      <c r="U57" s="452">
        <v>10</v>
      </c>
      <c r="V57" s="452">
        <v>2</v>
      </c>
      <c r="W57" s="451">
        <v>1782395</v>
      </c>
      <c r="X57" s="447">
        <f t="shared" si="12"/>
        <v>1782395</v>
      </c>
      <c r="Y57" s="454">
        <f t="shared" si="13"/>
        <v>19.54</v>
      </c>
      <c r="Z57" s="447">
        <f t="shared" si="14"/>
        <v>12818045</v>
      </c>
      <c r="AA57" s="447">
        <f t="shared" si="15"/>
        <v>8724347</v>
      </c>
      <c r="AB57" s="455">
        <f t="shared" si="22"/>
        <v>2.4</v>
      </c>
      <c r="AC57" s="456">
        <f t="shared" si="23"/>
        <v>26.63</v>
      </c>
      <c r="AD57" s="457">
        <f t="shared" si="24"/>
        <v>29.03</v>
      </c>
      <c r="AE57" s="458">
        <f t="shared" si="16"/>
        <v>21542392</v>
      </c>
      <c r="AF57" s="459">
        <v>1.7500000000000002E-2</v>
      </c>
      <c r="AG57" s="227">
        <v>18001939</v>
      </c>
      <c r="AH57" s="227">
        <v>0</v>
      </c>
      <c r="AI57" s="460">
        <f t="shared" si="17"/>
        <v>18001939</v>
      </c>
      <c r="AJ57" s="458">
        <v>980581429</v>
      </c>
      <c r="AK57" s="458">
        <f t="shared" si="28"/>
        <v>1028682229</v>
      </c>
      <c r="AL57" s="461">
        <f t="shared" si="18"/>
        <v>4.9053345879753553E-2</v>
      </c>
      <c r="AM57" s="462">
        <f t="shared" si="19"/>
        <v>1028682229</v>
      </c>
      <c r="AN57" s="448">
        <f t="shared" si="25"/>
        <v>1.7499999992709118E-2</v>
      </c>
      <c r="AO57" s="448">
        <f t="shared" si="26"/>
        <v>0</v>
      </c>
      <c r="AP57" s="458">
        <v>479552.5</v>
      </c>
      <c r="AQ57" s="458">
        <f t="shared" si="27"/>
        <v>40023883.5</v>
      </c>
      <c r="AR57" s="458">
        <f>ROUND(AQ57/'Table 3 Levels 1&amp;2'!C54,2)</f>
        <v>4500.1000000000004</v>
      </c>
    </row>
    <row r="58" spans="1:44">
      <c r="A58" s="445">
        <v>52</v>
      </c>
      <c r="B58" s="446" t="s">
        <v>123</v>
      </c>
      <c r="C58" s="447">
        <v>2170547596</v>
      </c>
      <c r="D58" s="447">
        <v>499788758</v>
      </c>
      <c r="E58" s="447">
        <f t="shared" si="9"/>
        <v>1670758838</v>
      </c>
      <c r="F58" s="447">
        <v>1580693189</v>
      </c>
      <c r="G58" s="448">
        <f t="shared" si="10"/>
        <v>5.6978577263927209E-2</v>
      </c>
      <c r="H58" s="449">
        <f t="shared" si="21"/>
        <v>1670758838</v>
      </c>
      <c r="I58" s="450">
        <v>3.78</v>
      </c>
      <c r="J58" s="451">
        <v>6386403</v>
      </c>
      <c r="K58" s="450">
        <v>43.5</v>
      </c>
      <c r="L58" s="451">
        <v>70850420</v>
      </c>
      <c r="M58" s="452">
        <v>43.5</v>
      </c>
      <c r="N58" s="452">
        <v>43.75</v>
      </c>
      <c r="O58" s="452">
        <v>0</v>
      </c>
      <c r="P58" s="451">
        <v>0</v>
      </c>
      <c r="Q58" s="447">
        <f t="shared" si="11"/>
        <v>77236823</v>
      </c>
      <c r="R58" s="452">
        <v>20.9</v>
      </c>
      <c r="S58" s="451">
        <v>34139572</v>
      </c>
      <c r="T58" s="452">
        <v>20.9</v>
      </c>
      <c r="U58" s="452">
        <v>20.9</v>
      </c>
      <c r="V58" s="452">
        <v>0</v>
      </c>
      <c r="W58" s="451">
        <v>0</v>
      </c>
      <c r="X58" s="447">
        <f t="shared" si="12"/>
        <v>34139572</v>
      </c>
      <c r="Y58" s="454">
        <f t="shared" si="13"/>
        <v>68.180000000000007</v>
      </c>
      <c r="Z58" s="447">
        <f t="shared" si="14"/>
        <v>111376395</v>
      </c>
      <c r="AA58" s="447">
        <f t="shared" si="15"/>
        <v>0</v>
      </c>
      <c r="AB58" s="455">
        <f t="shared" si="22"/>
        <v>20.43</v>
      </c>
      <c r="AC58" s="456">
        <f t="shared" si="23"/>
        <v>46.23</v>
      </c>
      <c r="AD58" s="457">
        <f t="shared" si="24"/>
        <v>66.66</v>
      </c>
      <c r="AE58" s="458">
        <f t="shared" si="16"/>
        <v>111376395</v>
      </c>
      <c r="AF58" s="459">
        <v>0.02</v>
      </c>
      <c r="AG58" s="227">
        <v>82874124</v>
      </c>
      <c r="AH58" s="227">
        <v>0</v>
      </c>
      <c r="AI58" s="460">
        <f t="shared" si="17"/>
        <v>82874124</v>
      </c>
      <c r="AJ58" s="458">
        <v>3896125800</v>
      </c>
      <c r="AK58" s="458">
        <f t="shared" si="28"/>
        <v>4143706200</v>
      </c>
      <c r="AL58" s="461">
        <f t="shared" si="18"/>
        <v>6.3545278748442874E-2</v>
      </c>
      <c r="AM58" s="462">
        <f t="shared" si="19"/>
        <v>4143706200</v>
      </c>
      <c r="AN58" s="448">
        <f t="shared" si="25"/>
        <v>0.02</v>
      </c>
      <c r="AO58" s="448">
        <f t="shared" si="26"/>
        <v>0</v>
      </c>
      <c r="AP58" s="458">
        <v>1917347</v>
      </c>
      <c r="AQ58" s="458">
        <f t="shared" si="27"/>
        <v>196167866</v>
      </c>
      <c r="AR58" s="458">
        <f>ROUND(AQ58/'Table 3 Levels 1&amp;2'!C55,2)</f>
        <v>5269.65</v>
      </c>
    </row>
    <row r="59" spans="1:44">
      <c r="A59" s="445">
        <v>53</v>
      </c>
      <c r="B59" s="446" t="s">
        <v>124</v>
      </c>
      <c r="C59" s="447">
        <v>692711313</v>
      </c>
      <c r="D59" s="447">
        <v>186203398</v>
      </c>
      <c r="E59" s="447">
        <f t="shared" si="9"/>
        <v>506507915</v>
      </c>
      <c r="F59" s="447">
        <v>499247586</v>
      </c>
      <c r="G59" s="448">
        <f t="shared" si="10"/>
        <v>1.4542542024429539E-2</v>
      </c>
      <c r="H59" s="449">
        <f t="shared" si="21"/>
        <v>506507915</v>
      </c>
      <c r="I59" s="450">
        <v>4.0599999999999996</v>
      </c>
      <c r="J59" s="451">
        <v>2069756</v>
      </c>
      <c r="K59" s="450">
        <v>0</v>
      </c>
      <c r="L59" s="451">
        <v>0</v>
      </c>
      <c r="M59" s="452">
        <v>3</v>
      </c>
      <c r="N59" s="452">
        <v>9</v>
      </c>
      <c r="O59" s="452">
        <v>2</v>
      </c>
      <c r="P59" s="451">
        <v>2940645</v>
      </c>
      <c r="Q59" s="447">
        <f t="shared" si="11"/>
        <v>5010401</v>
      </c>
      <c r="R59" s="452">
        <v>0</v>
      </c>
      <c r="S59" s="451">
        <v>0</v>
      </c>
      <c r="T59" s="452">
        <v>1</v>
      </c>
      <c r="U59" s="452">
        <v>14</v>
      </c>
      <c r="V59" s="452">
        <v>6</v>
      </c>
      <c r="W59" s="451">
        <v>1401902</v>
      </c>
      <c r="X59" s="447">
        <f t="shared" si="12"/>
        <v>1401902</v>
      </c>
      <c r="Y59" s="454">
        <f t="shared" si="13"/>
        <v>4.0599999999999996</v>
      </c>
      <c r="Z59" s="447">
        <f t="shared" si="14"/>
        <v>2069756</v>
      </c>
      <c r="AA59" s="447">
        <f t="shared" si="15"/>
        <v>4342547</v>
      </c>
      <c r="AB59" s="455">
        <f t="shared" si="22"/>
        <v>2.77</v>
      </c>
      <c r="AC59" s="456">
        <f t="shared" si="23"/>
        <v>9.89</v>
      </c>
      <c r="AD59" s="457">
        <f t="shared" si="24"/>
        <v>12.66</v>
      </c>
      <c r="AE59" s="458">
        <f t="shared" si="16"/>
        <v>6412303</v>
      </c>
      <c r="AF59" s="459">
        <v>0.02</v>
      </c>
      <c r="AG59" s="227">
        <v>33621874</v>
      </c>
      <c r="AH59" s="227">
        <v>1107197</v>
      </c>
      <c r="AI59" s="460">
        <f t="shared" si="17"/>
        <v>34729071</v>
      </c>
      <c r="AJ59" s="458">
        <v>1673443300</v>
      </c>
      <c r="AK59" s="458">
        <f t="shared" si="28"/>
        <v>1736453550</v>
      </c>
      <c r="AL59" s="459">
        <f t="shared" si="18"/>
        <v>3.7653053437783045E-2</v>
      </c>
      <c r="AM59" s="458">
        <f t="shared" si="19"/>
        <v>1736453550</v>
      </c>
      <c r="AN59" s="448">
        <f t="shared" si="25"/>
        <v>1.9362380295171153E-2</v>
      </c>
      <c r="AO59" s="448">
        <f t="shared" si="26"/>
        <v>6.37619704828845E-4</v>
      </c>
      <c r="AP59" s="458">
        <v>278754</v>
      </c>
      <c r="AQ59" s="458">
        <f t="shared" si="27"/>
        <v>41420128</v>
      </c>
      <c r="AR59" s="458">
        <f>ROUND(AQ59/'Table 3 Levels 1&amp;2'!C56,2)</f>
        <v>2131.3200000000002</v>
      </c>
    </row>
    <row r="60" spans="1:44">
      <c r="A60" s="445">
        <v>54</v>
      </c>
      <c r="B60" s="446" t="s">
        <v>125</v>
      </c>
      <c r="C60" s="447">
        <v>53753290</v>
      </c>
      <c r="D60" s="447">
        <v>5827015</v>
      </c>
      <c r="E60" s="447">
        <f t="shared" si="9"/>
        <v>47926275</v>
      </c>
      <c r="F60" s="447">
        <v>44629015</v>
      </c>
      <c r="G60" s="448">
        <f t="shared" si="10"/>
        <v>7.3881532003339079E-2</v>
      </c>
      <c r="H60" s="449">
        <f t="shared" si="21"/>
        <v>47926275</v>
      </c>
      <c r="I60" s="450">
        <v>5.07</v>
      </c>
      <c r="J60" s="451">
        <v>243512</v>
      </c>
      <c r="K60" s="450">
        <v>30.2</v>
      </c>
      <c r="L60" s="451">
        <v>1450791</v>
      </c>
      <c r="M60" s="452">
        <v>0</v>
      </c>
      <c r="N60" s="452">
        <v>0</v>
      </c>
      <c r="O60" s="452">
        <v>0</v>
      </c>
      <c r="P60" s="451">
        <v>0</v>
      </c>
      <c r="Q60" s="447">
        <f t="shared" si="11"/>
        <v>1694303</v>
      </c>
      <c r="R60" s="452">
        <v>0</v>
      </c>
      <c r="S60" s="451">
        <v>0</v>
      </c>
      <c r="T60" s="452">
        <v>0</v>
      </c>
      <c r="U60" s="452">
        <v>0</v>
      </c>
      <c r="V60" s="452">
        <v>0</v>
      </c>
      <c r="W60" s="451">
        <v>0</v>
      </c>
      <c r="X60" s="447">
        <f t="shared" si="12"/>
        <v>0</v>
      </c>
      <c r="Y60" s="454">
        <f t="shared" si="13"/>
        <v>35.269999999999996</v>
      </c>
      <c r="Z60" s="447">
        <f t="shared" si="14"/>
        <v>1694303</v>
      </c>
      <c r="AA60" s="447">
        <f t="shared" si="15"/>
        <v>0</v>
      </c>
      <c r="AB60" s="455">
        <f t="shared" si="22"/>
        <v>0</v>
      </c>
      <c r="AC60" s="456">
        <f t="shared" si="23"/>
        <v>35.35</v>
      </c>
      <c r="AD60" s="457">
        <f t="shared" si="24"/>
        <v>35.35</v>
      </c>
      <c r="AE60" s="458">
        <f t="shared" si="16"/>
        <v>1694303</v>
      </c>
      <c r="AF60" s="459">
        <v>1.4999999999999999E-2</v>
      </c>
      <c r="AG60" s="227">
        <v>854086</v>
      </c>
      <c r="AH60" s="227">
        <v>0</v>
      </c>
      <c r="AI60" s="460">
        <f t="shared" si="17"/>
        <v>854086</v>
      </c>
      <c r="AJ60" s="458">
        <v>51149600</v>
      </c>
      <c r="AK60" s="458">
        <f t="shared" si="28"/>
        <v>56939067</v>
      </c>
      <c r="AL60" s="459">
        <f t="shared" si="18"/>
        <v>0.11318694574346623</v>
      </c>
      <c r="AM60" s="458">
        <f t="shared" si="19"/>
        <v>56939067</v>
      </c>
      <c r="AN60" s="448">
        <f t="shared" si="25"/>
        <v>1.499999991218683E-2</v>
      </c>
      <c r="AO60" s="448">
        <f t="shared" si="26"/>
        <v>0</v>
      </c>
      <c r="AP60" s="458">
        <v>49448.5</v>
      </c>
      <c r="AQ60" s="458">
        <f t="shared" si="27"/>
        <v>2597837.5</v>
      </c>
      <c r="AR60" s="458">
        <f>ROUND(AQ60/'Table 3 Levels 1&amp;2'!C57,2)</f>
        <v>3948.08</v>
      </c>
    </row>
    <row r="61" spans="1:44">
      <c r="A61" s="463">
        <v>55</v>
      </c>
      <c r="B61" s="464" t="s">
        <v>126</v>
      </c>
      <c r="C61" s="465">
        <v>989814560</v>
      </c>
      <c r="D61" s="465">
        <v>179113825</v>
      </c>
      <c r="E61" s="465">
        <f t="shared" si="9"/>
        <v>810700735</v>
      </c>
      <c r="F61" s="465">
        <v>770363925</v>
      </c>
      <c r="G61" s="466">
        <f t="shared" si="10"/>
        <v>5.2360720292035999E-2</v>
      </c>
      <c r="H61" s="467">
        <f t="shared" si="21"/>
        <v>810700735</v>
      </c>
      <c r="I61" s="468">
        <v>3.86</v>
      </c>
      <c r="J61" s="469">
        <v>3275739</v>
      </c>
      <c r="K61" s="468">
        <v>5.41</v>
      </c>
      <c r="L61" s="469">
        <v>4584728</v>
      </c>
      <c r="M61" s="470">
        <v>0</v>
      </c>
      <c r="N61" s="470">
        <v>0</v>
      </c>
      <c r="O61" s="470">
        <v>0</v>
      </c>
      <c r="P61" s="469">
        <v>0</v>
      </c>
      <c r="Q61" s="465">
        <f t="shared" si="11"/>
        <v>7860467</v>
      </c>
      <c r="R61" s="470">
        <v>0</v>
      </c>
      <c r="S61" s="469">
        <v>12995</v>
      </c>
      <c r="T61" s="470">
        <v>0</v>
      </c>
      <c r="U61" s="470">
        <v>0</v>
      </c>
      <c r="V61" s="470">
        <v>0</v>
      </c>
      <c r="W61" s="469">
        <v>0</v>
      </c>
      <c r="X61" s="465">
        <f t="shared" si="12"/>
        <v>12995</v>
      </c>
      <c r="Y61" s="471">
        <f t="shared" si="13"/>
        <v>9.27</v>
      </c>
      <c r="Z61" s="465">
        <f t="shared" si="14"/>
        <v>7873462</v>
      </c>
      <c r="AA61" s="465">
        <f t="shared" si="15"/>
        <v>0</v>
      </c>
      <c r="AB61" s="472">
        <f t="shared" si="22"/>
        <v>0.02</v>
      </c>
      <c r="AC61" s="473">
        <f t="shared" si="23"/>
        <v>9.6999999999999993</v>
      </c>
      <c r="AD61" s="474">
        <f t="shared" si="24"/>
        <v>9.7100000000000009</v>
      </c>
      <c r="AE61" s="475">
        <f t="shared" si="16"/>
        <v>7873462</v>
      </c>
      <c r="AF61" s="476">
        <v>2.0799999999999999E-2</v>
      </c>
      <c r="AG61" s="477">
        <v>51933519</v>
      </c>
      <c r="AH61" s="477">
        <v>0</v>
      </c>
      <c r="AI61" s="478">
        <f t="shared" si="17"/>
        <v>51933519</v>
      </c>
      <c r="AJ61" s="475">
        <v>2347326683</v>
      </c>
      <c r="AK61" s="475">
        <f t="shared" si="28"/>
        <v>2496803798</v>
      </c>
      <c r="AL61" s="476">
        <f t="shared" si="18"/>
        <v>6.3679723867391486E-2</v>
      </c>
      <c r="AM61" s="475">
        <f t="shared" si="19"/>
        <v>2496803798</v>
      </c>
      <c r="AN61" s="466">
        <f t="shared" si="25"/>
        <v>2.080000000064082E-2</v>
      </c>
      <c r="AO61" s="466">
        <f t="shared" si="26"/>
        <v>0</v>
      </c>
      <c r="AP61" s="475">
        <v>368880</v>
      </c>
      <c r="AQ61" s="475">
        <f t="shared" si="27"/>
        <v>60175861</v>
      </c>
      <c r="AR61" s="475">
        <f>ROUND(AQ61/'Table 3 Levels 1&amp;2'!C58,2)</f>
        <v>3382.57</v>
      </c>
    </row>
    <row r="62" spans="1:44">
      <c r="A62" s="445">
        <v>56</v>
      </c>
      <c r="B62" s="446" t="s">
        <v>127</v>
      </c>
      <c r="C62" s="447">
        <v>198914780</v>
      </c>
      <c r="D62" s="447">
        <v>34837193</v>
      </c>
      <c r="E62" s="447">
        <f t="shared" si="9"/>
        <v>164077587</v>
      </c>
      <c r="F62" s="447">
        <v>158847686</v>
      </c>
      <c r="G62" s="448">
        <f t="shared" si="10"/>
        <v>3.2923998653653662E-2</v>
      </c>
      <c r="H62" s="449">
        <f t="shared" si="21"/>
        <v>164077587</v>
      </c>
      <c r="I62" s="450">
        <v>3.55</v>
      </c>
      <c r="J62" s="451">
        <v>554649</v>
      </c>
      <c r="K62" s="450">
        <v>17.98</v>
      </c>
      <c r="L62" s="451">
        <v>2757953</v>
      </c>
      <c r="M62" s="452">
        <v>1.6</v>
      </c>
      <c r="N62" s="452">
        <v>1.64</v>
      </c>
      <c r="O62" s="452">
        <v>9</v>
      </c>
      <c r="P62" s="451">
        <v>256237</v>
      </c>
      <c r="Q62" s="447">
        <f t="shared" si="11"/>
        <v>3568839</v>
      </c>
      <c r="R62" s="453">
        <v>0</v>
      </c>
      <c r="S62" s="451">
        <v>0</v>
      </c>
      <c r="T62" s="452">
        <v>0</v>
      </c>
      <c r="U62" s="452">
        <v>0</v>
      </c>
      <c r="V62" s="452">
        <v>0</v>
      </c>
      <c r="W62" s="451">
        <v>0</v>
      </c>
      <c r="X62" s="447">
        <f t="shared" si="12"/>
        <v>0</v>
      </c>
      <c r="Y62" s="454">
        <f t="shared" si="13"/>
        <v>21.53</v>
      </c>
      <c r="Z62" s="447">
        <f t="shared" si="14"/>
        <v>3312602</v>
      </c>
      <c r="AA62" s="447">
        <f t="shared" si="15"/>
        <v>256237</v>
      </c>
      <c r="AB62" s="455">
        <f t="shared" si="22"/>
        <v>0</v>
      </c>
      <c r="AC62" s="456">
        <f t="shared" si="23"/>
        <v>21.75</v>
      </c>
      <c r="AD62" s="457">
        <f t="shared" si="24"/>
        <v>21.75</v>
      </c>
      <c r="AE62" s="458">
        <f t="shared" si="16"/>
        <v>3568839</v>
      </c>
      <c r="AF62" s="459">
        <v>0.02</v>
      </c>
      <c r="AG62" s="227">
        <v>4863215</v>
      </c>
      <c r="AH62" s="227">
        <v>0</v>
      </c>
      <c r="AI62" s="460">
        <f t="shared" si="17"/>
        <v>4863215</v>
      </c>
      <c r="AJ62" s="458">
        <v>223567800</v>
      </c>
      <c r="AK62" s="458">
        <f t="shared" si="28"/>
        <v>243160750</v>
      </c>
      <c r="AL62" s="461">
        <f t="shared" si="18"/>
        <v>8.7637620444446826E-2</v>
      </c>
      <c r="AM62" s="462">
        <f t="shared" si="19"/>
        <v>243160750</v>
      </c>
      <c r="AN62" s="448">
        <f t="shared" si="25"/>
        <v>0.02</v>
      </c>
      <c r="AO62" s="448">
        <f t="shared" si="26"/>
        <v>0</v>
      </c>
      <c r="AP62" s="458">
        <v>150727.5</v>
      </c>
      <c r="AQ62" s="458">
        <f t="shared" si="27"/>
        <v>8582781.5</v>
      </c>
      <c r="AR62" s="458">
        <f>ROUND(AQ62/'Table 3 Levels 1&amp;2'!C59,2)</f>
        <v>2973.94</v>
      </c>
    </row>
    <row r="63" spans="1:44">
      <c r="A63" s="445">
        <v>57</v>
      </c>
      <c r="B63" s="446" t="s">
        <v>128</v>
      </c>
      <c r="C63" s="447">
        <v>403035940</v>
      </c>
      <c r="D63" s="447">
        <v>92030880</v>
      </c>
      <c r="E63" s="447">
        <f t="shared" si="9"/>
        <v>311005060</v>
      </c>
      <c r="F63" s="447">
        <v>310522580</v>
      </c>
      <c r="G63" s="448">
        <f t="shared" si="10"/>
        <v>1.5537678451596015E-3</v>
      </c>
      <c r="H63" s="449">
        <f t="shared" si="21"/>
        <v>311005060</v>
      </c>
      <c r="I63" s="450">
        <v>4.6500000000000004</v>
      </c>
      <c r="J63" s="451">
        <v>1564877</v>
      </c>
      <c r="K63" s="450">
        <v>35</v>
      </c>
      <c r="L63" s="451">
        <v>11392856</v>
      </c>
      <c r="M63" s="452">
        <v>0</v>
      </c>
      <c r="N63" s="452">
        <v>0</v>
      </c>
      <c r="O63" s="452">
        <v>0</v>
      </c>
      <c r="P63" s="451">
        <v>0</v>
      </c>
      <c r="Q63" s="447">
        <f t="shared" si="11"/>
        <v>12957733</v>
      </c>
      <c r="R63" s="452">
        <v>0</v>
      </c>
      <c r="S63" s="451">
        <v>0</v>
      </c>
      <c r="T63" s="452">
        <v>0</v>
      </c>
      <c r="U63" s="452">
        <v>0</v>
      </c>
      <c r="V63" s="452">
        <v>0</v>
      </c>
      <c r="W63" s="451">
        <v>0</v>
      </c>
      <c r="X63" s="447">
        <f t="shared" si="12"/>
        <v>0</v>
      </c>
      <c r="Y63" s="454">
        <f t="shared" si="13"/>
        <v>39.65</v>
      </c>
      <c r="Z63" s="447">
        <f t="shared" si="14"/>
        <v>12957733</v>
      </c>
      <c r="AA63" s="447">
        <f t="shared" si="15"/>
        <v>0</v>
      </c>
      <c r="AB63" s="455">
        <f t="shared" si="22"/>
        <v>0</v>
      </c>
      <c r="AC63" s="456">
        <f t="shared" si="23"/>
        <v>41.66</v>
      </c>
      <c r="AD63" s="457">
        <f t="shared" si="24"/>
        <v>41.66</v>
      </c>
      <c r="AE63" s="458">
        <f t="shared" si="16"/>
        <v>12957733</v>
      </c>
      <c r="AF63" s="459">
        <v>1.4999999999999999E-2</v>
      </c>
      <c r="AG63" s="227">
        <v>12408381</v>
      </c>
      <c r="AH63" s="227">
        <v>0</v>
      </c>
      <c r="AI63" s="460">
        <f t="shared" si="17"/>
        <v>12408381</v>
      </c>
      <c r="AJ63" s="458">
        <v>752700200</v>
      </c>
      <c r="AK63" s="458">
        <f t="shared" si="28"/>
        <v>827225400</v>
      </c>
      <c r="AL63" s="461">
        <f t="shared" si="18"/>
        <v>9.901046924127295E-2</v>
      </c>
      <c r="AM63" s="462">
        <f t="shared" si="19"/>
        <v>827225400</v>
      </c>
      <c r="AN63" s="448">
        <f t="shared" si="25"/>
        <v>1.4999999999999999E-2</v>
      </c>
      <c r="AO63" s="448">
        <f t="shared" si="26"/>
        <v>0</v>
      </c>
      <c r="AP63" s="458">
        <v>2465745.5</v>
      </c>
      <c r="AQ63" s="458">
        <f t="shared" si="27"/>
        <v>27831859.5</v>
      </c>
      <c r="AR63" s="458">
        <f>ROUND(AQ63/'Table 3 Levels 1&amp;2'!C60,2)</f>
        <v>3050.07</v>
      </c>
    </row>
    <row r="64" spans="1:44">
      <c r="A64" s="445">
        <v>58</v>
      </c>
      <c r="B64" s="446" t="s">
        <v>129</v>
      </c>
      <c r="C64" s="447">
        <v>176007330</v>
      </c>
      <c r="D64" s="447">
        <v>47592300</v>
      </c>
      <c r="E64" s="447">
        <f t="shared" si="9"/>
        <v>128415030</v>
      </c>
      <c r="F64" s="447">
        <v>120655413</v>
      </c>
      <c r="G64" s="448">
        <f t="shared" si="10"/>
        <v>6.431221614566103E-2</v>
      </c>
      <c r="H64" s="449">
        <f t="shared" si="21"/>
        <v>128415030</v>
      </c>
      <c r="I64" s="450">
        <v>4.18</v>
      </c>
      <c r="J64" s="451">
        <v>553075</v>
      </c>
      <c r="K64" s="450">
        <v>8.1199999999999992</v>
      </c>
      <c r="L64" s="451">
        <v>1074279</v>
      </c>
      <c r="M64" s="452">
        <v>10.39</v>
      </c>
      <c r="N64" s="452">
        <v>18.77</v>
      </c>
      <c r="O64" s="452">
        <v>9</v>
      </c>
      <c r="P64" s="451">
        <v>2016722</v>
      </c>
      <c r="Q64" s="447">
        <f t="shared" si="11"/>
        <v>3644076</v>
      </c>
      <c r="R64" s="452">
        <v>0</v>
      </c>
      <c r="S64" s="451">
        <v>0</v>
      </c>
      <c r="T64" s="452">
        <v>8.36</v>
      </c>
      <c r="U64" s="452">
        <v>46.91</v>
      </c>
      <c r="V64" s="452">
        <v>9</v>
      </c>
      <c r="W64" s="451">
        <v>4021575</v>
      </c>
      <c r="X64" s="447">
        <f t="shared" si="12"/>
        <v>4021575</v>
      </c>
      <c r="Y64" s="454">
        <f t="shared" si="13"/>
        <v>12.299999999999999</v>
      </c>
      <c r="Z64" s="447">
        <f t="shared" si="14"/>
        <v>1627354</v>
      </c>
      <c r="AA64" s="447">
        <f t="shared" si="15"/>
        <v>6038297</v>
      </c>
      <c r="AB64" s="455">
        <f t="shared" si="22"/>
        <v>31.32</v>
      </c>
      <c r="AC64" s="456">
        <f t="shared" si="23"/>
        <v>28.38</v>
      </c>
      <c r="AD64" s="457">
        <f t="shared" si="24"/>
        <v>59.69</v>
      </c>
      <c r="AE64" s="458">
        <f t="shared" si="16"/>
        <v>7665651</v>
      </c>
      <c r="AF64" s="459">
        <v>0.02</v>
      </c>
      <c r="AG64" s="227">
        <v>12110628</v>
      </c>
      <c r="AH64" s="227">
        <v>0</v>
      </c>
      <c r="AI64" s="460">
        <f t="shared" si="17"/>
        <v>12110628</v>
      </c>
      <c r="AJ64" s="458">
        <v>612309350</v>
      </c>
      <c r="AK64" s="458">
        <f t="shared" si="28"/>
        <v>605531400</v>
      </c>
      <c r="AL64" s="459">
        <f t="shared" si="18"/>
        <v>-1.1069486363388049E-2</v>
      </c>
      <c r="AM64" s="458">
        <f t="shared" si="19"/>
        <v>605531400</v>
      </c>
      <c r="AN64" s="448">
        <f t="shared" si="25"/>
        <v>0.02</v>
      </c>
      <c r="AO64" s="448">
        <f t="shared" si="26"/>
        <v>0</v>
      </c>
      <c r="AP64" s="458">
        <v>441684</v>
      </c>
      <c r="AQ64" s="458">
        <f t="shared" si="27"/>
        <v>20217963</v>
      </c>
      <c r="AR64" s="458">
        <f>ROUND(AQ64/'Table 3 Levels 1&amp;2'!C61,2)</f>
        <v>2244.1999999999998</v>
      </c>
    </row>
    <row r="65" spans="1:45">
      <c r="A65" s="445">
        <v>59</v>
      </c>
      <c r="B65" s="446" t="s">
        <v>130</v>
      </c>
      <c r="C65" s="447">
        <v>126028200</v>
      </c>
      <c r="D65" s="447">
        <v>42107655</v>
      </c>
      <c r="E65" s="447">
        <f t="shared" si="9"/>
        <v>83920545</v>
      </c>
      <c r="F65" s="447">
        <v>82288265</v>
      </c>
      <c r="G65" s="448">
        <f t="shared" si="10"/>
        <v>1.9836121225790822E-2</v>
      </c>
      <c r="H65" s="449">
        <f t="shared" si="21"/>
        <v>83920545</v>
      </c>
      <c r="I65" s="450">
        <v>3.91</v>
      </c>
      <c r="J65" s="451">
        <v>393536</v>
      </c>
      <c r="K65" s="450">
        <v>15.07</v>
      </c>
      <c r="L65" s="451">
        <v>1516773</v>
      </c>
      <c r="M65" s="452">
        <v>5.19</v>
      </c>
      <c r="N65" s="452">
        <v>5.19</v>
      </c>
      <c r="O65" s="452">
        <v>1</v>
      </c>
      <c r="P65" s="451">
        <v>22710</v>
      </c>
      <c r="Q65" s="447">
        <f t="shared" si="11"/>
        <v>1933019</v>
      </c>
      <c r="R65" s="452">
        <v>0</v>
      </c>
      <c r="S65" s="451">
        <v>0</v>
      </c>
      <c r="T65" s="452">
        <v>14.5</v>
      </c>
      <c r="U65" s="452">
        <v>28.5</v>
      </c>
      <c r="V65" s="452">
        <v>3</v>
      </c>
      <c r="W65" s="451">
        <v>2776053</v>
      </c>
      <c r="X65" s="447">
        <f t="shared" si="12"/>
        <v>2776053</v>
      </c>
      <c r="Y65" s="454">
        <f t="shared" si="13"/>
        <v>18.98</v>
      </c>
      <c r="Z65" s="447">
        <f t="shared" si="14"/>
        <v>1910309</v>
      </c>
      <c r="AA65" s="447">
        <f t="shared" si="15"/>
        <v>2798763</v>
      </c>
      <c r="AB65" s="455">
        <f t="shared" si="22"/>
        <v>33.08</v>
      </c>
      <c r="AC65" s="456">
        <f t="shared" si="23"/>
        <v>23.03</v>
      </c>
      <c r="AD65" s="457">
        <f t="shared" si="24"/>
        <v>56.11</v>
      </c>
      <c r="AE65" s="458">
        <f t="shared" si="16"/>
        <v>4709072</v>
      </c>
      <c r="AF65" s="459">
        <v>0.02</v>
      </c>
      <c r="AG65" s="227">
        <v>4328937</v>
      </c>
      <c r="AH65" s="227">
        <v>0</v>
      </c>
      <c r="AI65" s="460">
        <f t="shared" si="17"/>
        <v>4328937</v>
      </c>
      <c r="AJ65" s="458">
        <v>206767950</v>
      </c>
      <c r="AK65" s="458">
        <f t="shared" si="28"/>
        <v>216446850</v>
      </c>
      <c r="AL65" s="459">
        <f t="shared" si="18"/>
        <v>4.6810446203098689E-2</v>
      </c>
      <c r="AM65" s="458">
        <f t="shared" si="19"/>
        <v>216446850</v>
      </c>
      <c r="AN65" s="448">
        <f t="shared" si="25"/>
        <v>0.02</v>
      </c>
      <c r="AO65" s="448">
        <f t="shared" si="26"/>
        <v>0</v>
      </c>
      <c r="AP65" s="458">
        <v>164648</v>
      </c>
      <c r="AQ65" s="458">
        <f t="shared" si="27"/>
        <v>9202657</v>
      </c>
      <c r="AR65" s="458">
        <f>ROUND(AQ65/'Table 3 Levels 1&amp;2'!C62,2)</f>
        <v>1787.27</v>
      </c>
    </row>
    <row r="66" spans="1:45">
      <c r="A66" s="463">
        <v>60</v>
      </c>
      <c r="B66" s="464" t="s">
        <v>131</v>
      </c>
      <c r="C66" s="465">
        <v>289384810</v>
      </c>
      <c r="D66" s="465">
        <v>53015039</v>
      </c>
      <c r="E66" s="465">
        <f t="shared" si="9"/>
        <v>236369771</v>
      </c>
      <c r="F66" s="465">
        <v>234473401</v>
      </c>
      <c r="G66" s="466">
        <f t="shared" si="10"/>
        <v>8.0877830573200075E-3</v>
      </c>
      <c r="H66" s="467">
        <f t="shared" si="21"/>
        <v>236369771</v>
      </c>
      <c r="I66" s="468">
        <v>4.08</v>
      </c>
      <c r="J66" s="469">
        <v>962441</v>
      </c>
      <c r="K66" s="468">
        <v>11.31</v>
      </c>
      <c r="L66" s="469">
        <v>2667943</v>
      </c>
      <c r="M66" s="470">
        <v>7.09</v>
      </c>
      <c r="N66" s="470">
        <v>25</v>
      </c>
      <c r="O66" s="470">
        <v>3</v>
      </c>
      <c r="P66" s="469">
        <v>1525868</v>
      </c>
      <c r="Q66" s="465">
        <f t="shared" si="11"/>
        <v>5156252</v>
      </c>
      <c r="R66" s="470">
        <v>0</v>
      </c>
      <c r="S66" s="469">
        <v>0</v>
      </c>
      <c r="T66" s="470">
        <v>16</v>
      </c>
      <c r="U66" s="470">
        <v>42</v>
      </c>
      <c r="V66" s="470">
        <v>7</v>
      </c>
      <c r="W66" s="469">
        <v>6260777</v>
      </c>
      <c r="X66" s="465">
        <f t="shared" si="12"/>
        <v>6260777</v>
      </c>
      <c r="Y66" s="471">
        <f t="shared" si="13"/>
        <v>15.39</v>
      </c>
      <c r="Z66" s="465">
        <f t="shared" si="14"/>
        <v>3630384</v>
      </c>
      <c r="AA66" s="465">
        <f t="shared" si="15"/>
        <v>7786645</v>
      </c>
      <c r="AB66" s="472">
        <f t="shared" si="22"/>
        <v>26.49</v>
      </c>
      <c r="AC66" s="473">
        <f t="shared" si="23"/>
        <v>21.81</v>
      </c>
      <c r="AD66" s="474">
        <f t="shared" si="24"/>
        <v>48.3</v>
      </c>
      <c r="AE66" s="475">
        <f t="shared" si="16"/>
        <v>11417029</v>
      </c>
      <c r="AF66" s="476">
        <v>2.1299999999999999E-2</v>
      </c>
      <c r="AG66" s="477">
        <v>13756234</v>
      </c>
      <c r="AH66" s="477">
        <v>0</v>
      </c>
      <c r="AI66" s="478">
        <f t="shared" si="17"/>
        <v>13756234</v>
      </c>
      <c r="AJ66" s="475">
        <v>681713850</v>
      </c>
      <c r="AK66" s="475">
        <f t="shared" si="28"/>
        <v>645832582</v>
      </c>
      <c r="AL66" s="476">
        <f t="shared" si="18"/>
        <v>-5.2633913774819158E-2</v>
      </c>
      <c r="AM66" s="475">
        <f t="shared" si="19"/>
        <v>645832582</v>
      </c>
      <c r="AN66" s="466">
        <f t="shared" si="25"/>
        <v>2.1300000005264521E-2</v>
      </c>
      <c r="AO66" s="466">
        <f t="shared" si="26"/>
        <v>0</v>
      </c>
      <c r="AP66" s="475">
        <v>305366</v>
      </c>
      <c r="AQ66" s="475">
        <f t="shared" si="27"/>
        <v>25478629</v>
      </c>
      <c r="AR66" s="475">
        <f>ROUND(AQ66/'Table 3 Levels 1&amp;2'!C63,2)</f>
        <v>3955.69</v>
      </c>
    </row>
    <row r="67" spans="1:45">
      <c r="A67" s="445">
        <v>61</v>
      </c>
      <c r="B67" s="446" t="s">
        <v>132</v>
      </c>
      <c r="C67" s="447">
        <v>429102270</v>
      </c>
      <c r="D67" s="447">
        <v>40448503</v>
      </c>
      <c r="E67" s="447">
        <f t="shared" si="9"/>
        <v>388653767</v>
      </c>
      <c r="F67" s="447">
        <v>352890497</v>
      </c>
      <c r="G67" s="448">
        <f t="shared" si="10"/>
        <v>0.10134381714450078</v>
      </c>
      <c r="H67" s="449">
        <f t="shared" si="21"/>
        <v>388179546.70000005</v>
      </c>
      <c r="I67" s="450">
        <v>4.3899999999999997</v>
      </c>
      <c r="J67" s="451">
        <v>1702216</v>
      </c>
      <c r="K67" s="450">
        <v>27</v>
      </c>
      <c r="L67" s="451">
        <v>10469208</v>
      </c>
      <c r="M67" s="452">
        <v>0</v>
      </c>
      <c r="N67" s="452">
        <v>0</v>
      </c>
      <c r="O67" s="452">
        <v>0</v>
      </c>
      <c r="P67" s="451">
        <v>0</v>
      </c>
      <c r="Q67" s="447">
        <f t="shared" si="11"/>
        <v>12171424</v>
      </c>
      <c r="R67" s="453">
        <v>0</v>
      </c>
      <c r="S67" s="451">
        <v>0</v>
      </c>
      <c r="T67" s="452">
        <v>0</v>
      </c>
      <c r="U67" s="452">
        <v>0</v>
      </c>
      <c r="V67" s="452">
        <v>0</v>
      </c>
      <c r="W67" s="451">
        <v>0</v>
      </c>
      <c r="X67" s="447">
        <f t="shared" si="12"/>
        <v>0</v>
      </c>
      <c r="Y67" s="454">
        <f t="shared" si="13"/>
        <v>31.39</v>
      </c>
      <c r="Z67" s="447">
        <f t="shared" si="14"/>
        <v>12171424</v>
      </c>
      <c r="AA67" s="447">
        <f t="shared" si="15"/>
        <v>0</v>
      </c>
      <c r="AB67" s="455">
        <f t="shared" si="22"/>
        <v>0</v>
      </c>
      <c r="AC67" s="456">
        <f t="shared" si="23"/>
        <v>31.32</v>
      </c>
      <c r="AD67" s="457">
        <f t="shared" si="24"/>
        <v>31.32</v>
      </c>
      <c r="AE67" s="458">
        <f t="shared" si="16"/>
        <v>12171424</v>
      </c>
      <c r="AF67" s="459">
        <v>0.02</v>
      </c>
      <c r="AG67" s="227">
        <v>11956789</v>
      </c>
      <c r="AH67" s="227">
        <v>0</v>
      </c>
      <c r="AI67" s="460">
        <f t="shared" si="17"/>
        <v>11956789</v>
      </c>
      <c r="AJ67" s="458">
        <v>591763250</v>
      </c>
      <c r="AK67" s="458">
        <f t="shared" si="28"/>
        <v>597839450</v>
      </c>
      <c r="AL67" s="461">
        <f t="shared" si="18"/>
        <v>1.0267957667192074E-2</v>
      </c>
      <c r="AM67" s="462">
        <f t="shared" si="19"/>
        <v>597839450</v>
      </c>
      <c r="AN67" s="448">
        <f t="shared" si="25"/>
        <v>0.02</v>
      </c>
      <c r="AO67" s="448">
        <f t="shared" si="26"/>
        <v>0</v>
      </c>
      <c r="AP67" s="458">
        <v>220240</v>
      </c>
      <c r="AQ67" s="458">
        <f t="shared" si="27"/>
        <v>24348453</v>
      </c>
      <c r="AR67" s="458">
        <f>ROUND(AQ67/'Table 3 Levels 1&amp;2'!C64,2)</f>
        <v>6724.23</v>
      </c>
    </row>
    <row r="68" spans="1:45">
      <c r="A68" s="445">
        <v>62</v>
      </c>
      <c r="B68" s="446" t="s">
        <v>133</v>
      </c>
      <c r="C68" s="447">
        <v>70816700</v>
      </c>
      <c r="D68" s="447">
        <v>17079270</v>
      </c>
      <c r="E68" s="447">
        <f t="shared" si="9"/>
        <v>53737430</v>
      </c>
      <c r="F68" s="447">
        <v>52777324</v>
      </c>
      <c r="G68" s="448">
        <f t="shared" si="10"/>
        <v>1.8191638515056202E-2</v>
      </c>
      <c r="H68" s="449">
        <f t="shared" si="21"/>
        <v>53737430</v>
      </c>
      <c r="I68" s="450">
        <v>7.05</v>
      </c>
      <c r="J68" s="451">
        <f>450225+89220</f>
        <v>539445</v>
      </c>
      <c r="K68" s="450">
        <v>17.54</v>
      </c>
      <c r="L68" s="451">
        <v>319625</v>
      </c>
      <c r="M68" s="452">
        <v>4.57</v>
      </c>
      <c r="N68" s="452">
        <v>4.57</v>
      </c>
      <c r="O68" s="452">
        <v>1</v>
      </c>
      <c r="P68" s="451">
        <v>713716</v>
      </c>
      <c r="Q68" s="447">
        <f t="shared" si="11"/>
        <v>1572786</v>
      </c>
      <c r="R68" s="452"/>
      <c r="S68" s="451"/>
      <c r="T68" s="452"/>
      <c r="U68" s="452"/>
      <c r="V68" s="452"/>
      <c r="W68" s="451"/>
      <c r="X68" s="447">
        <f t="shared" si="12"/>
        <v>0</v>
      </c>
      <c r="Y68" s="454">
        <f t="shared" si="13"/>
        <v>24.59</v>
      </c>
      <c r="Z68" s="447">
        <f>J68+L68+S68</f>
        <v>859070</v>
      </c>
      <c r="AA68" s="447">
        <f t="shared" si="15"/>
        <v>713716</v>
      </c>
      <c r="AB68" s="455">
        <f t="shared" si="22"/>
        <v>0</v>
      </c>
      <c r="AC68" s="456">
        <f t="shared" si="23"/>
        <v>29.27</v>
      </c>
      <c r="AD68" s="457">
        <f t="shared" si="24"/>
        <v>29.27</v>
      </c>
      <c r="AE68" s="458">
        <f t="shared" si="16"/>
        <v>1572786</v>
      </c>
      <c r="AF68" s="459">
        <v>0.02</v>
      </c>
      <c r="AG68" s="227">
        <v>2653949</v>
      </c>
      <c r="AH68" s="227">
        <v>0</v>
      </c>
      <c r="AI68" s="460">
        <f t="shared" si="17"/>
        <v>2653949</v>
      </c>
      <c r="AJ68" s="458">
        <v>120435000</v>
      </c>
      <c r="AK68" s="458">
        <f t="shared" si="28"/>
        <v>132697450</v>
      </c>
      <c r="AL68" s="461">
        <f t="shared" si="18"/>
        <v>0.10181799310831569</v>
      </c>
      <c r="AM68" s="462">
        <f t="shared" si="19"/>
        <v>132697450</v>
      </c>
      <c r="AN68" s="448">
        <f t="shared" si="25"/>
        <v>0.02</v>
      </c>
      <c r="AO68" s="448">
        <f t="shared" si="26"/>
        <v>0</v>
      </c>
      <c r="AP68" s="458">
        <v>98213</v>
      </c>
      <c r="AQ68" s="458">
        <f t="shared" si="27"/>
        <v>4324948</v>
      </c>
      <c r="AR68" s="458">
        <f>ROUND(AQ68/'Table 3 Levels 1&amp;2'!C65,2)</f>
        <v>2036.23</v>
      </c>
    </row>
    <row r="69" spans="1:45">
      <c r="A69" s="445">
        <v>63</v>
      </c>
      <c r="B69" s="446" t="s">
        <v>134</v>
      </c>
      <c r="C69" s="447">
        <v>289724029</v>
      </c>
      <c r="D69" s="447">
        <v>17112463</v>
      </c>
      <c r="E69" s="447">
        <f t="shared" si="9"/>
        <v>272611566</v>
      </c>
      <c r="F69" s="447">
        <v>268313413</v>
      </c>
      <c r="G69" s="448">
        <f t="shared" si="10"/>
        <v>1.6019150708652796E-2</v>
      </c>
      <c r="H69" s="449">
        <f t="shared" si="21"/>
        <v>272611566</v>
      </c>
      <c r="I69" s="450">
        <v>4.46</v>
      </c>
      <c r="J69" s="451">
        <v>1169443</v>
      </c>
      <c r="K69" s="450">
        <v>29.5</v>
      </c>
      <c r="L69" s="451">
        <v>7832903</v>
      </c>
      <c r="M69" s="452">
        <v>0</v>
      </c>
      <c r="N69" s="452">
        <v>0</v>
      </c>
      <c r="O69" s="452">
        <v>0</v>
      </c>
      <c r="P69" s="451">
        <v>0</v>
      </c>
      <c r="Q69" s="447">
        <f t="shared" si="11"/>
        <v>9002346</v>
      </c>
      <c r="R69" s="452">
        <v>2</v>
      </c>
      <c r="S69" s="451">
        <v>524925</v>
      </c>
      <c r="T69" s="452">
        <v>0</v>
      </c>
      <c r="U69" s="452">
        <v>0</v>
      </c>
      <c r="V69" s="452">
        <v>0</v>
      </c>
      <c r="W69" s="451">
        <v>0</v>
      </c>
      <c r="X69" s="447">
        <f t="shared" si="12"/>
        <v>524925</v>
      </c>
      <c r="Y69" s="454">
        <f t="shared" si="13"/>
        <v>35.96</v>
      </c>
      <c r="Z69" s="447">
        <f t="shared" si="14"/>
        <v>9527271</v>
      </c>
      <c r="AA69" s="447">
        <f t="shared" si="15"/>
        <v>0</v>
      </c>
      <c r="AB69" s="455">
        <f t="shared" si="22"/>
        <v>1.93</v>
      </c>
      <c r="AC69" s="456">
        <f t="shared" si="23"/>
        <v>33.020000000000003</v>
      </c>
      <c r="AD69" s="457">
        <f t="shared" si="24"/>
        <v>34.950000000000003</v>
      </c>
      <c r="AE69" s="458">
        <f t="shared" si="16"/>
        <v>9527271</v>
      </c>
      <c r="AF69" s="459">
        <v>2.5000000000000001E-2</v>
      </c>
      <c r="AG69" s="227">
        <v>5475976</v>
      </c>
      <c r="AH69" s="227">
        <v>0</v>
      </c>
      <c r="AI69" s="460">
        <f t="shared" si="17"/>
        <v>5475976</v>
      </c>
      <c r="AJ69" s="458">
        <v>178050440</v>
      </c>
      <c r="AK69" s="458">
        <f t="shared" si="28"/>
        <v>219039040</v>
      </c>
      <c r="AL69" s="459">
        <f t="shared" si="18"/>
        <v>0.23020779954264645</v>
      </c>
      <c r="AM69" s="458">
        <f t="shared" si="19"/>
        <v>204758005.99999997</v>
      </c>
      <c r="AN69" s="448">
        <f t="shared" si="25"/>
        <v>2.5000000000000001E-2</v>
      </c>
      <c r="AO69" s="448">
        <f t="shared" si="26"/>
        <v>0</v>
      </c>
      <c r="AP69" s="458">
        <v>53850.5</v>
      </c>
      <c r="AQ69" s="458">
        <f t="shared" si="27"/>
        <v>15057097.5</v>
      </c>
      <c r="AR69" s="458">
        <f>ROUND(AQ69/'Table 3 Levels 1&amp;2'!C66,2)</f>
        <v>7388.17</v>
      </c>
    </row>
    <row r="70" spans="1:45">
      <c r="A70" s="445">
        <v>64</v>
      </c>
      <c r="B70" s="446" t="s">
        <v>135</v>
      </c>
      <c r="C70" s="447">
        <v>81765406</v>
      </c>
      <c r="D70" s="447">
        <v>16923888</v>
      </c>
      <c r="E70" s="447">
        <f t="shared" si="9"/>
        <v>64841518</v>
      </c>
      <c r="F70" s="447">
        <v>63270868</v>
      </c>
      <c r="G70" s="448">
        <f t="shared" si="10"/>
        <v>2.482422084046642E-2</v>
      </c>
      <c r="H70" s="449">
        <f t="shared" si="21"/>
        <v>64841518</v>
      </c>
      <c r="I70" s="450">
        <v>4.88</v>
      </c>
      <c r="J70" s="451">
        <v>332413</v>
      </c>
      <c r="K70" s="450">
        <v>15.64</v>
      </c>
      <c r="L70" s="451">
        <v>1068021</v>
      </c>
      <c r="M70" s="452">
        <v>3</v>
      </c>
      <c r="N70" s="452">
        <v>3.12</v>
      </c>
      <c r="O70" s="452">
        <v>2</v>
      </c>
      <c r="P70" s="451">
        <v>190748</v>
      </c>
      <c r="Q70" s="447">
        <f t="shared" si="11"/>
        <v>1591182</v>
      </c>
      <c r="R70" s="452">
        <v>0</v>
      </c>
      <c r="S70" s="451">
        <v>0</v>
      </c>
      <c r="T70" s="452">
        <v>16</v>
      </c>
      <c r="U70" s="452">
        <v>45</v>
      </c>
      <c r="V70" s="452">
        <v>4</v>
      </c>
      <c r="W70" s="451">
        <v>1650471</v>
      </c>
      <c r="X70" s="447">
        <f t="shared" si="12"/>
        <v>1650471</v>
      </c>
      <c r="Y70" s="454">
        <f t="shared" si="13"/>
        <v>20.52</v>
      </c>
      <c r="Z70" s="447">
        <f t="shared" si="14"/>
        <v>1400434</v>
      </c>
      <c r="AA70" s="447">
        <f t="shared" si="15"/>
        <v>1841219</v>
      </c>
      <c r="AB70" s="455">
        <f t="shared" si="22"/>
        <v>25.45</v>
      </c>
      <c r="AC70" s="456">
        <f t="shared" si="23"/>
        <v>24.54</v>
      </c>
      <c r="AD70" s="457">
        <f t="shared" si="24"/>
        <v>49.99</v>
      </c>
      <c r="AE70" s="458">
        <f t="shared" si="16"/>
        <v>3241653</v>
      </c>
      <c r="AF70" s="459">
        <v>0.02</v>
      </c>
      <c r="AG70" s="227">
        <v>3775345</v>
      </c>
      <c r="AH70" s="227">
        <v>0</v>
      </c>
      <c r="AI70" s="460">
        <f t="shared" si="17"/>
        <v>3775345</v>
      </c>
      <c r="AJ70" s="458">
        <v>183578400</v>
      </c>
      <c r="AK70" s="458">
        <f t="shared" si="28"/>
        <v>188767250</v>
      </c>
      <c r="AL70" s="459">
        <f t="shared" si="18"/>
        <v>2.8265035537949998E-2</v>
      </c>
      <c r="AM70" s="458">
        <f t="shared" si="19"/>
        <v>188767250</v>
      </c>
      <c r="AN70" s="448">
        <f t="shared" si="25"/>
        <v>0.02</v>
      </c>
      <c r="AO70" s="448">
        <f t="shared" si="26"/>
        <v>0</v>
      </c>
      <c r="AP70" s="458">
        <v>381669</v>
      </c>
      <c r="AQ70" s="458">
        <f t="shared" si="27"/>
        <v>7398667</v>
      </c>
      <c r="AR70" s="458">
        <f>ROUND(AQ70/'Table 3 Levels 1&amp;2'!C67,2)</f>
        <v>3143.02</v>
      </c>
    </row>
    <row r="71" spans="1:45">
      <c r="A71" s="463">
        <v>65</v>
      </c>
      <c r="B71" s="464" t="s">
        <v>136</v>
      </c>
      <c r="C71" s="465">
        <v>390660992</v>
      </c>
      <c r="D71" s="465">
        <v>46410360</v>
      </c>
      <c r="E71" s="465">
        <f t="shared" si="9"/>
        <v>344250632</v>
      </c>
      <c r="F71" s="465">
        <v>341110740</v>
      </c>
      <c r="G71" s="466">
        <f t="shared" si="10"/>
        <v>9.2049051284635603E-3</v>
      </c>
      <c r="H71" s="467">
        <f t="shared" si="21"/>
        <v>344250632</v>
      </c>
      <c r="I71" s="468">
        <v>7.07</v>
      </c>
      <c r="J71" s="469">
        <v>2443141</v>
      </c>
      <c r="K71" s="468">
        <v>20.56</v>
      </c>
      <c r="L71" s="469">
        <v>7096742</v>
      </c>
      <c r="M71" s="470">
        <v>0</v>
      </c>
      <c r="N71" s="470">
        <v>0</v>
      </c>
      <c r="O71" s="470">
        <v>0</v>
      </c>
      <c r="P71" s="469">
        <v>0</v>
      </c>
      <c r="Q71" s="465">
        <f t="shared" si="11"/>
        <v>9539883</v>
      </c>
      <c r="R71" s="470">
        <v>10</v>
      </c>
      <c r="S71" s="469">
        <v>3462063</v>
      </c>
      <c r="T71" s="470">
        <v>0</v>
      </c>
      <c r="U71" s="470">
        <v>0</v>
      </c>
      <c r="V71" s="470">
        <v>0</v>
      </c>
      <c r="W71" s="469">
        <v>0</v>
      </c>
      <c r="X71" s="465">
        <f t="shared" si="12"/>
        <v>3462063</v>
      </c>
      <c r="Y71" s="471">
        <f t="shared" si="13"/>
        <v>37.629999999999995</v>
      </c>
      <c r="Z71" s="465">
        <f t="shared" si="14"/>
        <v>13001946</v>
      </c>
      <c r="AA71" s="465">
        <f t="shared" si="15"/>
        <v>0</v>
      </c>
      <c r="AB71" s="472">
        <f t="shared" ref="AB71:AB76" si="29">ROUND((X71/E71)*1000,2)</f>
        <v>10.06</v>
      </c>
      <c r="AC71" s="473">
        <f t="shared" ref="AC71:AC76" si="30">ROUND((Q71/E71)*1000,2)</f>
        <v>27.71</v>
      </c>
      <c r="AD71" s="474">
        <f t="shared" ref="AD71:AD76" si="31">ROUND((AE71/E71)*1000,2)</f>
        <v>37.770000000000003</v>
      </c>
      <c r="AE71" s="475">
        <f t="shared" si="16"/>
        <v>13001946</v>
      </c>
      <c r="AF71" s="476">
        <v>0.02</v>
      </c>
      <c r="AG71" s="477">
        <v>26408099</v>
      </c>
      <c r="AH71" s="477">
        <v>0</v>
      </c>
      <c r="AI71" s="478">
        <f t="shared" si="17"/>
        <v>26408099</v>
      </c>
      <c r="AJ71" s="475">
        <v>1288413800</v>
      </c>
      <c r="AK71" s="475">
        <f t="shared" si="28"/>
        <v>1320404950</v>
      </c>
      <c r="AL71" s="476">
        <f t="shared" si="18"/>
        <v>2.4829872204100888E-2</v>
      </c>
      <c r="AM71" s="475">
        <f t="shared" si="19"/>
        <v>1320404950</v>
      </c>
      <c r="AN71" s="466">
        <f t="shared" si="25"/>
        <v>0.02</v>
      </c>
      <c r="AO71" s="466">
        <f t="shared" si="26"/>
        <v>0</v>
      </c>
      <c r="AP71" s="475">
        <v>293555</v>
      </c>
      <c r="AQ71" s="475">
        <f>AP71+AE71+AI71</f>
        <v>39703600</v>
      </c>
      <c r="AR71" s="475">
        <f>ROUND(AQ71/'Table 3 Levels 1&amp;2'!C68,2)</f>
        <v>4856.12</v>
      </c>
    </row>
    <row r="72" spans="1:45">
      <c r="A72" s="445">
        <v>66</v>
      </c>
      <c r="B72" s="446" t="s">
        <v>137</v>
      </c>
      <c r="C72" s="447">
        <v>95042550</v>
      </c>
      <c r="D72" s="447">
        <v>20620970</v>
      </c>
      <c r="E72" s="447">
        <f>C72-D72</f>
        <v>74421580</v>
      </c>
      <c r="F72" s="447">
        <v>76320120</v>
      </c>
      <c r="G72" s="448">
        <f>(E72-F72)/F72</f>
        <v>-2.4876009104807487E-2</v>
      </c>
      <c r="H72" s="449">
        <f t="shared" si="21"/>
        <v>74421580</v>
      </c>
      <c r="I72" s="450">
        <v>6.44</v>
      </c>
      <c r="J72" s="451">
        <v>468046</v>
      </c>
      <c r="K72" s="450">
        <v>56.37</v>
      </c>
      <c r="L72" s="451">
        <v>4205105</v>
      </c>
      <c r="M72" s="452">
        <v>0</v>
      </c>
      <c r="N72" s="452">
        <v>0</v>
      </c>
      <c r="O72" s="452">
        <v>0</v>
      </c>
      <c r="P72" s="451">
        <v>0</v>
      </c>
      <c r="Q72" s="447">
        <f>J72+L72+P72</f>
        <v>4673151</v>
      </c>
      <c r="R72" s="453"/>
      <c r="S72" s="451"/>
      <c r="T72" s="452"/>
      <c r="U72" s="452"/>
      <c r="V72" s="452"/>
      <c r="W72" s="451"/>
      <c r="X72" s="447">
        <f>S72+W72</f>
        <v>0</v>
      </c>
      <c r="Y72" s="454">
        <f t="shared" ref="Y72:Z74" si="32">I72+K72+R72</f>
        <v>62.809999999999995</v>
      </c>
      <c r="Z72" s="447">
        <f t="shared" si="32"/>
        <v>4673151</v>
      </c>
      <c r="AA72" s="447">
        <f>P72+W72</f>
        <v>0</v>
      </c>
      <c r="AB72" s="455">
        <f t="shared" si="29"/>
        <v>0</v>
      </c>
      <c r="AC72" s="456">
        <f t="shared" si="30"/>
        <v>62.79</v>
      </c>
      <c r="AD72" s="457">
        <f t="shared" si="31"/>
        <v>62.79</v>
      </c>
      <c r="AE72" s="458">
        <f>X72+Q72</f>
        <v>4673151</v>
      </c>
      <c r="AF72" s="459">
        <v>0.01</v>
      </c>
      <c r="AG72" s="227">
        <v>2506955</v>
      </c>
      <c r="AH72" s="227">
        <v>0</v>
      </c>
      <c r="AI72" s="460">
        <f>AG72+AH72</f>
        <v>2506955</v>
      </c>
      <c r="AJ72" s="458">
        <v>241500900</v>
      </c>
      <c r="AK72" s="458">
        <f t="shared" si="28"/>
        <v>250695500</v>
      </c>
      <c r="AL72" s="461">
        <f>(AK72-AJ72)/AJ72</f>
        <v>3.8072735960818366E-2</v>
      </c>
      <c r="AM72" s="462">
        <f>IF((AK72-AJ72)/AJ72&gt;$AM$5,AJ72*(1+$AM$5),AK72)</f>
        <v>250695500</v>
      </c>
      <c r="AN72" s="448">
        <f t="shared" si="25"/>
        <v>0.01</v>
      </c>
      <c r="AO72" s="448">
        <f t="shared" si="26"/>
        <v>0</v>
      </c>
      <c r="AP72" s="458">
        <v>212477</v>
      </c>
      <c r="AQ72" s="458">
        <f>AP72+AE72+AI72</f>
        <v>7392583</v>
      </c>
      <c r="AR72" s="458">
        <f>ROUND(AQ72/'Table 3 Levels 1&amp;2'!C69,2)</f>
        <v>3654.27</v>
      </c>
    </row>
    <row r="73" spans="1:45" s="479" customFormat="1">
      <c r="A73" s="445">
        <v>67</v>
      </c>
      <c r="B73" s="446" t="s">
        <v>28</v>
      </c>
      <c r="C73" s="447">
        <v>251601025</v>
      </c>
      <c r="D73" s="447">
        <v>39922250</v>
      </c>
      <c r="E73" s="447">
        <f>C73-D73</f>
        <v>211678775</v>
      </c>
      <c r="F73" s="447">
        <v>197901490</v>
      </c>
      <c r="G73" s="448">
        <f>(E73-F73)/F73</f>
        <v>6.9616883632356685E-2</v>
      </c>
      <c r="H73" s="449">
        <f t="shared" si="21"/>
        <v>211678775</v>
      </c>
      <c r="I73" s="450">
        <v>5</v>
      </c>
      <c r="J73" s="451">
        <v>1047095</v>
      </c>
      <c r="K73" s="450">
        <v>38.200000000000003</v>
      </c>
      <c r="L73" s="451">
        <v>7999601</v>
      </c>
      <c r="M73" s="452">
        <v>0</v>
      </c>
      <c r="N73" s="452">
        <v>0</v>
      </c>
      <c r="O73" s="452">
        <v>4</v>
      </c>
      <c r="P73" s="451">
        <v>0</v>
      </c>
      <c r="Q73" s="447">
        <f>J73+L73+P73</f>
        <v>9046696</v>
      </c>
      <c r="R73" s="452">
        <v>36</v>
      </c>
      <c r="S73" s="451">
        <v>7534607</v>
      </c>
      <c r="T73" s="452">
        <v>0</v>
      </c>
      <c r="U73" s="452">
        <v>0</v>
      </c>
      <c r="V73" s="452">
        <v>4</v>
      </c>
      <c r="W73" s="451">
        <v>0</v>
      </c>
      <c r="X73" s="447">
        <f>S73+W73</f>
        <v>7534607</v>
      </c>
      <c r="Y73" s="454">
        <f t="shared" si="32"/>
        <v>79.2</v>
      </c>
      <c r="Z73" s="447">
        <f t="shared" si="32"/>
        <v>16581303</v>
      </c>
      <c r="AA73" s="447">
        <f>P73+W73</f>
        <v>0</v>
      </c>
      <c r="AB73" s="455">
        <f t="shared" si="29"/>
        <v>35.590000000000003</v>
      </c>
      <c r="AC73" s="456">
        <f t="shared" si="30"/>
        <v>42.74</v>
      </c>
      <c r="AD73" s="457">
        <f t="shared" si="31"/>
        <v>78.33</v>
      </c>
      <c r="AE73" s="458">
        <f>X73+Q73</f>
        <v>16581303</v>
      </c>
      <c r="AF73" s="459">
        <v>0.02</v>
      </c>
      <c r="AG73" s="227">
        <v>10177401</v>
      </c>
      <c r="AH73" s="227">
        <v>0</v>
      </c>
      <c r="AI73" s="460">
        <f>AG73+AH73</f>
        <v>10177401</v>
      </c>
      <c r="AJ73" s="458">
        <v>530492300</v>
      </c>
      <c r="AK73" s="458">
        <f t="shared" si="28"/>
        <v>508870050</v>
      </c>
      <c r="AL73" s="461">
        <f>(AK73-AJ73)/AJ73</f>
        <v>-4.0758838535450939E-2</v>
      </c>
      <c r="AM73" s="462">
        <f>IF((AK73-AJ73)/AJ73&gt;$AM$5,AJ73*(1+$AM$5),AK73)</f>
        <v>508870050</v>
      </c>
      <c r="AN73" s="448">
        <f t="shared" si="25"/>
        <v>0.02</v>
      </c>
      <c r="AO73" s="448">
        <f t="shared" si="26"/>
        <v>0</v>
      </c>
      <c r="AP73" s="458">
        <v>84644</v>
      </c>
      <c r="AQ73" s="458">
        <f>AP73+AE73+AI73</f>
        <v>26843348</v>
      </c>
      <c r="AR73" s="458">
        <f>ROUND(AQ73/'Table 3 Levels 1&amp;2'!C70,2)</f>
        <v>5102.33</v>
      </c>
    </row>
    <row r="74" spans="1:45" s="479" customFormat="1">
      <c r="A74" s="445">
        <v>68</v>
      </c>
      <c r="B74" s="446" t="s">
        <v>27</v>
      </c>
      <c r="C74" s="447">
        <v>64906000</v>
      </c>
      <c r="D74" s="447">
        <v>21685250</v>
      </c>
      <c r="E74" s="447">
        <f>C74-D74</f>
        <v>43220750</v>
      </c>
      <c r="F74" s="447">
        <v>40867730</v>
      </c>
      <c r="G74" s="448">
        <f>(E74-F74)/F74</f>
        <v>5.7576479045936733E-2</v>
      </c>
      <c r="H74" s="449">
        <f t="shared" si="21"/>
        <v>43220750</v>
      </c>
      <c r="I74" s="450">
        <v>5</v>
      </c>
      <c r="J74" s="451">
        <v>215217</v>
      </c>
      <c r="K74" s="450">
        <v>38.200000000000003</v>
      </c>
      <c r="L74" s="451">
        <v>1602588</v>
      </c>
      <c r="M74" s="452">
        <v>0</v>
      </c>
      <c r="N74" s="452">
        <v>0</v>
      </c>
      <c r="O74" s="452">
        <v>0</v>
      </c>
      <c r="P74" s="451">
        <v>0</v>
      </c>
      <c r="Q74" s="447">
        <f>J74+L74+P74</f>
        <v>1817805</v>
      </c>
      <c r="R74" s="452">
        <v>0</v>
      </c>
      <c r="S74" s="451">
        <v>0</v>
      </c>
      <c r="T74" s="452">
        <v>0</v>
      </c>
      <c r="U74" s="452">
        <v>0</v>
      </c>
      <c r="V74" s="452">
        <v>0</v>
      </c>
      <c r="W74" s="451">
        <v>0</v>
      </c>
      <c r="X74" s="447">
        <f>S74+W74</f>
        <v>0</v>
      </c>
      <c r="Y74" s="454">
        <f t="shared" si="32"/>
        <v>43.2</v>
      </c>
      <c r="Z74" s="447">
        <f t="shared" si="32"/>
        <v>1817805</v>
      </c>
      <c r="AA74" s="447">
        <f>P74+W74</f>
        <v>0</v>
      </c>
      <c r="AB74" s="455">
        <f t="shared" si="29"/>
        <v>0</v>
      </c>
      <c r="AC74" s="456">
        <f t="shared" si="30"/>
        <v>42.06</v>
      </c>
      <c r="AD74" s="457">
        <f t="shared" si="31"/>
        <v>42.06</v>
      </c>
      <c r="AE74" s="458">
        <f>X74+Q74</f>
        <v>1817805</v>
      </c>
      <c r="AF74" s="459">
        <v>0.02</v>
      </c>
      <c r="AG74" s="227">
        <v>2971848</v>
      </c>
      <c r="AH74" s="227">
        <v>0</v>
      </c>
      <c r="AI74" s="460">
        <f>AG74+AH74</f>
        <v>2971848</v>
      </c>
      <c r="AJ74" s="458">
        <v>153223850</v>
      </c>
      <c r="AK74" s="458">
        <f t="shared" si="28"/>
        <v>148592400</v>
      </c>
      <c r="AL74" s="459">
        <f>(AK74-AJ74)/AJ74</f>
        <v>-3.0226691210278295E-2</v>
      </c>
      <c r="AM74" s="458">
        <f>IF((AK74-AJ74)/AJ74&gt;$AM$5,AJ74*(1+$AM$5),AK74)</f>
        <v>148592400</v>
      </c>
      <c r="AN74" s="448">
        <f t="shared" si="25"/>
        <v>0.02</v>
      </c>
      <c r="AO74" s="448">
        <f t="shared" si="26"/>
        <v>0</v>
      </c>
      <c r="AP74" s="458">
        <v>45978</v>
      </c>
      <c r="AQ74" s="458">
        <f>AP74+AE74+AI74</f>
        <v>4835631</v>
      </c>
      <c r="AR74" s="458">
        <f>ROUND(AQ74/'Table 3 Levels 1&amp;2'!C71,2)</f>
        <v>3005.36</v>
      </c>
    </row>
    <row r="75" spans="1:45" s="497" customFormat="1">
      <c r="A75" s="480">
        <v>69</v>
      </c>
      <c r="B75" s="481" t="s">
        <v>147</v>
      </c>
      <c r="C75" s="482">
        <v>185369270</v>
      </c>
      <c r="D75" s="483">
        <v>64125650</v>
      </c>
      <c r="E75" s="483">
        <f>C75-D75</f>
        <v>121243620</v>
      </c>
      <c r="F75" s="483">
        <v>109834740</v>
      </c>
      <c r="G75" s="484">
        <f>(E75-F75)/F75</f>
        <v>0.10387314614665633</v>
      </c>
      <c r="H75" s="485">
        <f t="shared" si="21"/>
        <v>120818214.00000001</v>
      </c>
      <c r="I75" s="486">
        <v>4.58</v>
      </c>
      <c r="J75" s="482">
        <v>503278</v>
      </c>
      <c r="K75" s="486">
        <v>35.21</v>
      </c>
      <c r="L75" s="482">
        <v>3875751</v>
      </c>
      <c r="M75" s="487">
        <v>0</v>
      </c>
      <c r="N75" s="487">
        <v>0</v>
      </c>
      <c r="O75" s="488">
        <v>0</v>
      </c>
      <c r="P75" s="482">
        <v>0</v>
      </c>
      <c r="Q75" s="489">
        <f>J75+L75+P75</f>
        <v>4379029</v>
      </c>
      <c r="R75" s="470">
        <v>23.65</v>
      </c>
      <c r="S75" s="482">
        <v>2817519</v>
      </c>
      <c r="T75" s="487">
        <v>0</v>
      </c>
      <c r="U75" s="487">
        <v>0</v>
      </c>
      <c r="V75" s="488">
        <v>0</v>
      </c>
      <c r="W75" s="482">
        <v>0</v>
      </c>
      <c r="X75" s="489">
        <f>S75+W75</f>
        <v>2817519</v>
      </c>
      <c r="Y75" s="486">
        <f>I75+K75+R75</f>
        <v>63.44</v>
      </c>
      <c r="Z75" s="482">
        <f>J75+L75+S75</f>
        <v>7196548</v>
      </c>
      <c r="AA75" s="482">
        <f>P75+W75</f>
        <v>0</v>
      </c>
      <c r="AB75" s="490">
        <f t="shared" si="29"/>
        <v>23.24</v>
      </c>
      <c r="AC75" s="491">
        <f t="shared" si="30"/>
        <v>36.119999999999997</v>
      </c>
      <c r="AD75" s="492">
        <f t="shared" si="31"/>
        <v>59.36</v>
      </c>
      <c r="AE75" s="482">
        <f>X75+Q75</f>
        <v>7196548</v>
      </c>
      <c r="AF75" s="493">
        <v>2.5000000000000001E-2</v>
      </c>
      <c r="AG75" s="494">
        <v>5704911</v>
      </c>
      <c r="AH75" s="494">
        <v>1425843</v>
      </c>
      <c r="AI75" s="495">
        <f>AG75+AH75</f>
        <v>7130754</v>
      </c>
      <c r="AJ75" s="482">
        <v>292941480</v>
      </c>
      <c r="AK75" s="482">
        <f t="shared" si="28"/>
        <v>285230160</v>
      </c>
      <c r="AL75" s="493">
        <f>(AK75-AJ75)/AJ75</f>
        <v>-2.6323755857313207E-2</v>
      </c>
      <c r="AM75" s="482">
        <f>IF((AK75-AJ75)/AJ75&gt;$AM$5,AJ75*(1+$AM$5),AK75)</f>
        <v>285230160</v>
      </c>
      <c r="AN75" s="496">
        <f t="shared" si="25"/>
        <v>2.0001079128518527E-2</v>
      </c>
      <c r="AO75" s="496">
        <f t="shared" si="26"/>
        <v>4.9989208714814734E-3</v>
      </c>
      <c r="AP75" s="482">
        <v>205815</v>
      </c>
      <c r="AQ75" s="482">
        <f>AP75+AE75+AI75</f>
        <v>14533117</v>
      </c>
      <c r="AR75" s="482">
        <f>ROUND(AQ75/'Table 3 Levels 1&amp;2'!C72,2)</f>
        <v>3369.61</v>
      </c>
    </row>
    <row r="76" spans="1:45" s="514" customFormat="1" ht="13.5" thickBot="1">
      <c r="A76" s="498"/>
      <c r="B76" s="499" t="s">
        <v>70</v>
      </c>
      <c r="C76" s="500">
        <f>SUM(C7:C75)</f>
        <v>42949707719</v>
      </c>
      <c r="D76" s="500">
        <f>SUM(D7:D75)</f>
        <v>6930497684</v>
      </c>
      <c r="E76" s="500">
        <f>SUM(E7:E75)</f>
        <v>36019210035</v>
      </c>
      <c r="F76" s="501">
        <f>SUM(F7:F75)</f>
        <v>33914836668</v>
      </c>
      <c r="G76" s="502">
        <f>(E76-F76)/F76</f>
        <v>6.204875428415553E-2</v>
      </c>
      <c r="H76" s="503">
        <f>SUM(H7:H75)</f>
        <v>35814070376.900002</v>
      </c>
      <c r="I76" s="504">
        <v>5.09</v>
      </c>
      <c r="J76" s="500">
        <f>SUM(J7:J75)</f>
        <v>237160899</v>
      </c>
      <c r="K76" s="505">
        <v>24.24</v>
      </c>
      <c r="L76" s="500">
        <f>SUM(L7:L75)</f>
        <v>957637123</v>
      </c>
      <c r="M76" s="505">
        <v>0</v>
      </c>
      <c r="N76" s="505">
        <v>90.06</v>
      </c>
      <c r="O76" s="505">
        <f>SUM(O7:O75)</f>
        <v>136</v>
      </c>
      <c r="P76" s="500">
        <f>SUM(P7:P75)</f>
        <v>37701106</v>
      </c>
      <c r="Q76" s="500">
        <f>SUM(Q7:Q75)</f>
        <v>1232499128</v>
      </c>
      <c r="R76" s="506">
        <v>5.92</v>
      </c>
      <c r="S76" s="507">
        <f>SUM(S7:S75)</f>
        <v>155627980</v>
      </c>
      <c r="T76" s="506">
        <v>0</v>
      </c>
      <c r="U76" s="506">
        <v>70</v>
      </c>
      <c r="V76" s="506">
        <f>SUM(V7:V75)</f>
        <v>142</v>
      </c>
      <c r="W76" s="507">
        <f>SUM(W7:W75)</f>
        <v>87578240</v>
      </c>
      <c r="X76" s="500">
        <f>SUM(X7:X75)</f>
        <v>243206220</v>
      </c>
      <c r="Y76" s="505">
        <v>35.25</v>
      </c>
      <c r="Z76" s="500">
        <f>SUM(Z7:Z75)</f>
        <v>1350426002</v>
      </c>
      <c r="AA76" s="500">
        <f>SUM(AA7:AA75)</f>
        <v>125279346</v>
      </c>
      <c r="AB76" s="508">
        <f t="shared" si="29"/>
        <v>6.75</v>
      </c>
      <c r="AC76" s="509">
        <f t="shared" si="30"/>
        <v>34.22</v>
      </c>
      <c r="AD76" s="510">
        <f t="shared" si="31"/>
        <v>40.97</v>
      </c>
      <c r="AE76" s="500">
        <f>SUM(AE7:AE75)</f>
        <v>1475705348</v>
      </c>
      <c r="AF76" s="511">
        <f>ROUND(AI76/AK76,4)</f>
        <v>1.9800000000000002E-2</v>
      </c>
      <c r="AG76" s="512">
        <f>SUM(AG7:AG75)</f>
        <v>1643472873</v>
      </c>
      <c r="AH76" s="512">
        <f>SUM(AH7:AH75)</f>
        <v>70552999</v>
      </c>
      <c r="AI76" s="501">
        <f>SUM(AI7:AI75)</f>
        <v>1714025872</v>
      </c>
      <c r="AJ76" s="501">
        <f>SUM(AJ7:AJ75)</f>
        <v>84073022650</v>
      </c>
      <c r="AK76" s="501">
        <f>SUM(AK7:AK75)</f>
        <v>86678734432.25</v>
      </c>
      <c r="AL76" s="511">
        <f>(AK76-AJ76)/AJ76</f>
        <v>3.0993435231866259E-2</v>
      </c>
      <c r="AM76" s="501">
        <f>SUM(AM7:AM75)</f>
        <v>86095616017.25</v>
      </c>
      <c r="AN76" s="513">
        <f>ROUND(AG76/$AK76,4)</f>
        <v>1.9E-2</v>
      </c>
      <c r="AO76" s="513">
        <f>ROUND(AH76/$AK76,4)</f>
        <v>8.0000000000000004E-4</v>
      </c>
      <c r="AP76" s="507">
        <f>SUM(AP7:AP75)</f>
        <v>37327711.5</v>
      </c>
      <c r="AQ76" s="500">
        <f>SUM(AQ7:AQ75)</f>
        <v>3227058931.5</v>
      </c>
      <c r="AR76" s="500">
        <f>ROUND(AQ76/'Table 3 Levels 1&amp;2'!C73,2)</f>
        <v>4755.68</v>
      </c>
    </row>
    <row r="77" spans="1:45" ht="13.5" thickTop="1">
      <c r="I77" s="479"/>
      <c r="AF77" s="493"/>
      <c r="AG77" s="515"/>
      <c r="AH77" s="515"/>
      <c r="AI77" s="516"/>
    </row>
    <row r="78" spans="1:45" hidden="1">
      <c r="D78" s="517"/>
      <c r="J78" s="518" t="s">
        <v>557</v>
      </c>
      <c r="L78" s="518"/>
      <c r="Q78" s="519">
        <f>J76+L76+P76</f>
        <v>1232499128</v>
      </c>
      <c r="S78" s="518"/>
      <c r="W78" s="518"/>
      <c r="X78" s="519">
        <f>S76+W76</f>
        <v>243206220</v>
      </c>
      <c r="AF78" s="520"/>
      <c r="AG78" s="521"/>
      <c r="AH78" s="515"/>
      <c r="AI78" s="522" t="s">
        <v>558</v>
      </c>
      <c r="AO78" s="515"/>
    </row>
    <row r="79" spans="1:45" hidden="1">
      <c r="E79" s="519"/>
      <c r="J79" s="523"/>
      <c r="L79" s="518"/>
      <c r="AD79" s="524"/>
      <c r="AF79" s="520"/>
      <c r="AG79" s="515"/>
      <c r="AH79" s="515"/>
      <c r="AI79" s="525"/>
      <c r="AJ79" s="526"/>
      <c r="AK79" s="526"/>
      <c r="AL79" s="526"/>
      <c r="AM79" s="526"/>
      <c r="AQ79" s="526"/>
    </row>
    <row r="80" spans="1:45" s="479" customFormat="1" hidden="1">
      <c r="A80" s="527"/>
      <c r="B80" s="528"/>
      <c r="C80" s="427"/>
      <c r="D80" s="427"/>
      <c r="E80" s="427"/>
      <c r="F80" s="427"/>
      <c r="G80" s="427"/>
      <c r="H80" s="427"/>
      <c r="I80" s="427"/>
      <c r="J80" s="518"/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  <c r="X80" s="427"/>
      <c r="Y80" s="427"/>
      <c r="Z80" s="427"/>
      <c r="AA80" s="427"/>
      <c r="AB80" s="427"/>
      <c r="AC80" s="427"/>
      <c r="AD80" s="427"/>
      <c r="AE80" s="529"/>
      <c r="AF80" s="530"/>
      <c r="AG80" s="531"/>
      <c r="AH80" s="532"/>
      <c r="AI80" s="533"/>
      <c r="AJ80" s="534"/>
      <c r="AK80" s="534"/>
      <c r="AL80" s="530"/>
      <c r="AM80" s="534"/>
      <c r="AN80" s="532"/>
      <c r="AO80" s="532"/>
      <c r="AP80" s="534"/>
      <c r="AQ80" s="534"/>
      <c r="AR80" s="534"/>
      <c r="AS80" s="535"/>
    </row>
    <row r="81" spans="31:45" hidden="1">
      <c r="AE81" s="529"/>
      <c r="AF81" s="529"/>
      <c r="AG81" s="536"/>
      <c r="AH81" s="529"/>
      <c r="AI81" s="536">
        <f>AI76-AI80</f>
        <v>1714025872</v>
      </c>
      <c r="AJ81" s="529"/>
      <c r="AK81" s="529"/>
      <c r="AL81" s="529"/>
      <c r="AM81" s="537"/>
      <c r="AN81" s="529"/>
      <c r="AO81" s="529"/>
      <c r="AP81" s="529"/>
      <c r="AQ81" s="529"/>
      <c r="AR81" s="529"/>
      <c r="AS81" s="529"/>
    </row>
    <row r="82" spans="31:45" hidden="1">
      <c r="AE82" s="529"/>
      <c r="AF82" s="529"/>
      <c r="AG82" s="536"/>
      <c r="AH82" s="529"/>
      <c r="AI82" s="536"/>
      <c r="AJ82" s="529"/>
      <c r="AK82" s="529"/>
      <c r="AL82" s="529"/>
      <c r="AM82" s="538"/>
      <c r="AN82" s="529"/>
      <c r="AO82" s="529"/>
      <c r="AP82" s="529"/>
      <c r="AQ82" s="529"/>
      <c r="AR82" s="529"/>
      <c r="AS82" s="529"/>
    </row>
    <row r="83" spans="31:45">
      <c r="AE83" s="529"/>
      <c r="AF83" s="529"/>
      <c r="AG83" s="529"/>
      <c r="AH83" s="529"/>
      <c r="AI83" s="529"/>
      <c r="AJ83" s="529"/>
      <c r="AK83" s="529"/>
      <c r="AL83" s="529"/>
      <c r="AM83" s="529"/>
      <c r="AN83" s="529"/>
      <c r="AO83" s="529"/>
      <c r="AP83" s="529"/>
      <c r="AQ83" s="529"/>
      <c r="AR83" s="529"/>
      <c r="AS83" s="529"/>
    </row>
    <row r="84" spans="31:45">
      <c r="AE84" s="529"/>
      <c r="AF84" s="529"/>
      <c r="AG84" s="529"/>
      <c r="AH84" s="529"/>
      <c r="AI84" s="529"/>
      <c r="AJ84" s="529"/>
      <c r="AK84" s="529"/>
      <c r="AL84" s="529"/>
      <c r="AM84" s="529"/>
      <c r="AN84" s="529"/>
      <c r="AO84" s="529"/>
      <c r="AP84" s="529"/>
      <c r="AQ84" s="529"/>
      <c r="AR84" s="529"/>
      <c r="AS84" s="529"/>
    </row>
    <row r="85" spans="31:45">
      <c r="AE85" s="529"/>
      <c r="AF85" s="529"/>
      <c r="AG85" s="529"/>
      <c r="AH85" s="529"/>
      <c r="AI85" s="529"/>
      <c r="AJ85" s="529"/>
      <c r="AK85" s="529"/>
      <c r="AL85" s="529"/>
      <c r="AM85" s="529"/>
      <c r="AN85" s="529"/>
      <c r="AO85" s="529"/>
      <c r="AP85" s="529"/>
      <c r="AQ85" s="529"/>
      <c r="AR85" s="529"/>
      <c r="AS85" s="529"/>
    </row>
  </sheetData>
  <mergeCells count="50">
    <mergeCell ref="AR3:AR5"/>
    <mergeCell ref="AQ3:AQ5"/>
    <mergeCell ref="AI3:AI5"/>
    <mergeCell ref="AE3:AE5"/>
    <mergeCell ref="AJ4:AJ5"/>
    <mergeCell ref="AK4:AK5"/>
    <mergeCell ref="AF4:AF5"/>
    <mergeCell ref="AG4:AG5"/>
    <mergeCell ref="AH4:AH5"/>
    <mergeCell ref="AO4:AO5"/>
    <mergeCell ref="AP3:AP5"/>
    <mergeCell ref="AF3:AH3"/>
    <mergeCell ref="J4:J5"/>
    <mergeCell ref="S4:S5"/>
    <mergeCell ref="M4:M5"/>
    <mergeCell ref="N4:N5"/>
    <mergeCell ref="V4:V5"/>
    <mergeCell ref="W4:W5"/>
    <mergeCell ref="C2:D2"/>
    <mergeCell ref="I3:J3"/>
    <mergeCell ref="K3:P3"/>
    <mergeCell ref="C3:H3"/>
    <mergeCell ref="P4:P5"/>
    <mergeCell ref="R4:R5"/>
    <mergeCell ref="Q3:Q5"/>
    <mergeCell ref="R3:W3"/>
    <mergeCell ref="T4:T5"/>
    <mergeCell ref="U4:U5"/>
    <mergeCell ref="K4:K5"/>
    <mergeCell ref="L4:L5"/>
    <mergeCell ref="G4:G5"/>
    <mergeCell ref="I4:I5"/>
    <mergeCell ref="O4:O5"/>
    <mergeCell ref="A3:A5"/>
    <mergeCell ref="B3:B5"/>
    <mergeCell ref="C4:C5"/>
    <mergeCell ref="D4:D5"/>
    <mergeCell ref="F4:F5"/>
    <mergeCell ref="E4:E5"/>
    <mergeCell ref="X3:X5"/>
    <mergeCell ref="Y3:AD3"/>
    <mergeCell ref="AJ3:AO3"/>
    <mergeCell ref="AC4:AC5"/>
    <mergeCell ref="AD4:AD5"/>
    <mergeCell ref="AL4:AL5"/>
    <mergeCell ref="AN4:AN5"/>
    <mergeCell ref="Y4:Y5"/>
    <mergeCell ref="Z4:Z5"/>
    <mergeCell ref="AA4:AA5"/>
    <mergeCell ref="AB4:AB5"/>
  </mergeCells>
  <phoneticPr fontId="0" type="noConversion"/>
  <conditionalFormatting sqref="H7:H11 H75">
    <cfRule type="expression" dxfId="55" priority="56">
      <formula>G7&gt;$H$5</formula>
    </cfRule>
  </conditionalFormatting>
  <conditionalFormatting sqref="G7:G11 G75">
    <cfRule type="expression" dxfId="54" priority="55">
      <formula>G7&gt;$H$5</formula>
    </cfRule>
  </conditionalFormatting>
  <conditionalFormatting sqref="AL7:AL11 AL75">
    <cfRule type="expression" dxfId="53" priority="54">
      <formula>AL7&gt;$AM$5</formula>
    </cfRule>
  </conditionalFormatting>
  <conditionalFormatting sqref="AM7:AM11 AM75">
    <cfRule type="expression" dxfId="52" priority="53">
      <formula>AL7&gt;$AM$5</formula>
    </cfRule>
  </conditionalFormatting>
  <conditionalFormatting sqref="H12:H16">
    <cfRule type="expression" dxfId="51" priority="52">
      <formula>G12&gt;$H$5</formula>
    </cfRule>
  </conditionalFormatting>
  <conditionalFormatting sqref="G12:G16">
    <cfRule type="expression" dxfId="50" priority="51">
      <formula>G12&gt;$H$5</formula>
    </cfRule>
  </conditionalFormatting>
  <conditionalFormatting sqref="AL12:AL16">
    <cfRule type="expression" dxfId="49" priority="50">
      <formula>AL12&gt;$AM$5</formula>
    </cfRule>
  </conditionalFormatting>
  <conditionalFormatting sqref="AM12:AM16">
    <cfRule type="expression" dxfId="48" priority="49">
      <formula>AL12&gt;$AM$5</formula>
    </cfRule>
  </conditionalFormatting>
  <conditionalFormatting sqref="H17:H21">
    <cfRule type="expression" dxfId="47" priority="48">
      <formula>G17&gt;$H$5</formula>
    </cfRule>
  </conditionalFormatting>
  <conditionalFormatting sqref="G17:G21">
    <cfRule type="expression" dxfId="46" priority="47">
      <formula>G17&gt;$H$5</formula>
    </cfRule>
  </conditionalFormatting>
  <conditionalFormatting sqref="AL17:AL21">
    <cfRule type="expression" dxfId="45" priority="46">
      <formula>AL17&gt;$AM$5</formula>
    </cfRule>
  </conditionalFormatting>
  <conditionalFormatting sqref="AM17:AM21">
    <cfRule type="expression" dxfId="44" priority="45">
      <formula>AL17&gt;$AM$5</formula>
    </cfRule>
  </conditionalFormatting>
  <conditionalFormatting sqref="H22:H26">
    <cfRule type="expression" dxfId="43" priority="44">
      <formula>G22&gt;$H$5</formula>
    </cfRule>
  </conditionalFormatting>
  <conditionalFormatting sqref="G22:G26">
    <cfRule type="expression" dxfId="42" priority="43">
      <formula>G22&gt;$H$5</formula>
    </cfRule>
  </conditionalFormatting>
  <conditionalFormatting sqref="AL22:AL26">
    <cfRule type="expression" dxfId="41" priority="42">
      <formula>AL22&gt;$AM$5</formula>
    </cfRule>
  </conditionalFormatting>
  <conditionalFormatting sqref="AM22:AM26">
    <cfRule type="expression" dxfId="40" priority="41">
      <formula>AL22&gt;$AM$5</formula>
    </cfRule>
  </conditionalFormatting>
  <conditionalFormatting sqref="H27:H31">
    <cfRule type="expression" dxfId="39" priority="40">
      <formula>G27&gt;$H$5</formula>
    </cfRule>
  </conditionalFormatting>
  <conditionalFormatting sqref="G27:G31">
    <cfRule type="expression" dxfId="38" priority="39">
      <formula>G27&gt;$H$5</formula>
    </cfRule>
  </conditionalFormatting>
  <conditionalFormatting sqref="AL27:AL31">
    <cfRule type="expression" dxfId="37" priority="38">
      <formula>AL27&gt;$AM$5</formula>
    </cfRule>
  </conditionalFormatting>
  <conditionalFormatting sqref="AM27:AM31">
    <cfRule type="expression" dxfId="36" priority="37">
      <formula>AL27&gt;$AM$5</formula>
    </cfRule>
  </conditionalFormatting>
  <conditionalFormatting sqref="H32:H36">
    <cfRule type="expression" dxfId="35" priority="36">
      <formula>G32&gt;$H$5</formula>
    </cfRule>
  </conditionalFormatting>
  <conditionalFormatting sqref="G32:G36">
    <cfRule type="expression" dxfId="34" priority="35">
      <formula>G32&gt;$H$5</formula>
    </cfRule>
  </conditionalFormatting>
  <conditionalFormatting sqref="AL32:AL36">
    <cfRule type="expression" dxfId="33" priority="34">
      <formula>AL32&gt;$AM$5</formula>
    </cfRule>
  </conditionalFormatting>
  <conditionalFormatting sqref="AM32:AM36">
    <cfRule type="expression" dxfId="32" priority="33">
      <formula>AL32&gt;$AM$5</formula>
    </cfRule>
  </conditionalFormatting>
  <conditionalFormatting sqref="H37:H41">
    <cfRule type="expression" dxfId="31" priority="32">
      <formula>G37&gt;$H$5</formula>
    </cfRule>
  </conditionalFormatting>
  <conditionalFormatting sqref="G37:G41">
    <cfRule type="expression" dxfId="30" priority="31">
      <formula>G37&gt;$H$5</formula>
    </cfRule>
  </conditionalFormatting>
  <conditionalFormatting sqref="AL37:AL41">
    <cfRule type="expression" dxfId="29" priority="30">
      <formula>AL37&gt;$AM$5</formula>
    </cfRule>
  </conditionalFormatting>
  <conditionalFormatting sqref="AM37:AM41">
    <cfRule type="expression" dxfId="28" priority="29">
      <formula>AL37&gt;$AM$5</formula>
    </cfRule>
  </conditionalFormatting>
  <conditionalFormatting sqref="H42:H46">
    <cfRule type="expression" dxfId="27" priority="28">
      <formula>G42&gt;$H$5</formula>
    </cfRule>
  </conditionalFormatting>
  <conditionalFormatting sqref="G42:G46">
    <cfRule type="expression" dxfId="26" priority="27">
      <formula>G42&gt;$H$5</formula>
    </cfRule>
  </conditionalFormatting>
  <conditionalFormatting sqref="AL42:AL46">
    <cfRule type="expression" dxfId="25" priority="26">
      <formula>AL42&gt;$AM$5</formula>
    </cfRule>
  </conditionalFormatting>
  <conditionalFormatting sqref="AM42:AM46">
    <cfRule type="expression" dxfId="24" priority="25">
      <formula>AL42&gt;$AM$5</formula>
    </cfRule>
  </conditionalFormatting>
  <conditionalFormatting sqref="H47:H51">
    <cfRule type="expression" dxfId="23" priority="24">
      <formula>G47&gt;$H$5</formula>
    </cfRule>
  </conditionalFormatting>
  <conditionalFormatting sqref="G47:G51">
    <cfRule type="expression" dxfId="22" priority="23">
      <formula>G47&gt;$H$5</formula>
    </cfRule>
  </conditionalFormatting>
  <conditionalFormatting sqref="AL47:AL51">
    <cfRule type="expression" dxfId="21" priority="22">
      <formula>AL47&gt;$AM$5</formula>
    </cfRule>
  </conditionalFormatting>
  <conditionalFormatting sqref="AM47:AM51">
    <cfRule type="expression" dxfId="20" priority="21">
      <formula>AL47&gt;$AM$5</formula>
    </cfRule>
  </conditionalFormatting>
  <conditionalFormatting sqref="H52:H56">
    <cfRule type="expression" dxfId="19" priority="20">
      <formula>G52&gt;$H$5</formula>
    </cfRule>
  </conditionalFormatting>
  <conditionalFormatting sqref="G52:G56">
    <cfRule type="expression" dxfId="18" priority="19">
      <formula>G52&gt;$H$5</formula>
    </cfRule>
  </conditionalFormatting>
  <conditionalFormatting sqref="AL52:AL56">
    <cfRule type="expression" dxfId="17" priority="18">
      <formula>AL52&gt;$AM$5</formula>
    </cfRule>
  </conditionalFormatting>
  <conditionalFormatting sqref="AM52:AM56">
    <cfRule type="expression" dxfId="16" priority="17">
      <formula>AL52&gt;$AM$5</formula>
    </cfRule>
  </conditionalFormatting>
  <conditionalFormatting sqref="H57:H61">
    <cfRule type="expression" dxfId="15" priority="16">
      <formula>G57&gt;$H$5</formula>
    </cfRule>
  </conditionalFormatting>
  <conditionalFormatting sqref="G57:G61">
    <cfRule type="expression" dxfId="14" priority="15">
      <formula>G57&gt;$H$5</formula>
    </cfRule>
  </conditionalFormatting>
  <conditionalFormatting sqref="AL57:AL61">
    <cfRule type="expression" dxfId="13" priority="14">
      <formula>AL57&gt;$AM$5</formula>
    </cfRule>
  </conditionalFormatting>
  <conditionalFormatting sqref="AM57:AM61">
    <cfRule type="expression" dxfId="12" priority="13">
      <formula>AL57&gt;$AM$5</formula>
    </cfRule>
  </conditionalFormatting>
  <conditionalFormatting sqref="H62:H66">
    <cfRule type="expression" dxfId="11" priority="12">
      <formula>G62&gt;$H$5</formula>
    </cfRule>
  </conditionalFormatting>
  <conditionalFormatting sqref="G62:G66">
    <cfRule type="expression" dxfId="10" priority="11">
      <formula>G62&gt;$H$5</formula>
    </cfRule>
  </conditionalFormatting>
  <conditionalFormatting sqref="AL62:AL66">
    <cfRule type="expression" dxfId="9" priority="10">
      <formula>AL62&gt;$AM$5</formula>
    </cfRule>
  </conditionalFormatting>
  <conditionalFormatting sqref="AM62:AM66">
    <cfRule type="expression" dxfId="8" priority="9">
      <formula>AL62&gt;$AM$5</formula>
    </cfRule>
  </conditionalFormatting>
  <conditionalFormatting sqref="H67:H71">
    <cfRule type="expression" dxfId="7" priority="8">
      <formula>G67&gt;$H$5</formula>
    </cfRule>
  </conditionalFormatting>
  <conditionalFormatting sqref="G67:G71">
    <cfRule type="expression" dxfId="6" priority="7">
      <formula>G67&gt;$H$5</formula>
    </cfRule>
  </conditionalFormatting>
  <conditionalFormatting sqref="AL67:AL71">
    <cfRule type="expression" dxfId="5" priority="6">
      <formula>AL67&gt;$AM$5</formula>
    </cfRule>
  </conditionalFormatting>
  <conditionalFormatting sqref="AM67:AM71">
    <cfRule type="expression" dxfId="4" priority="5">
      <formula>AL67&gt;$AM$5</formula>
    </cfRule>
  </conditionalFormatting>
  <conditionalFormatting sqref="H72:H74">
    <cfRule type="expression" dxfId="3" priority="4">
      <formula>G72&gt;$H$5</formula>
    </cfRule>
  </conditionalFormatting>
  <conditionalFormatting sqref="G72:G74">
    <cfRule type="expression" dxfId="2" priority="3">
      <formula>G72&gt;$H$5</formula>
    </cfRule>
  </conditionalFormatting>
  <conditionalFormatting sqref="AL72:AL74">
    <cfRule type="expression" dxfId="1" priority="2">
      <formula>AL72&gt;$AM$5</formula>
    </cfRule>
  </conditionalFormatting>
  <conditionalFormatting sqref="AM72:AM74">
    <cfRule type="expression" dxfId="0" priority="1">
      <formula>AL72&gt;$AM$5</formula>
    </cfRule>
  </conditionalFormatting>
  <printOptions horizontalCentered="1"/>
  <pageMargins left="0.19" right="0.19" top="1.02" bottom="0.35" header="0.35" footer="0.27"/>
  <pageSetup paperSize="5" scale="80" firstPageNumber="97" fitToWidth="0" orientation="portrait" r:id="rId1"/>
  <headerFooter alignWithMargins="0">
    <oddHeader xml:space="preserve">&amp;L&amp;"Arial,Bold"&amp;18&amp;K000000Table 7: FY2014-15 Budget Letter &amp;20
&amp;18FY2012-2013 Local Property and Sales Tax Revenues </oddHeader>
    <oddFooter>&amp;R&amp;12&amp;P</oddFooter>
  </headerFooter>
  <colBreaks count="6" manualBreakCount="6">
    <brk id="8" min="2" max="76" man="1"/>
    <brk id="17" min="2" max="76" man="1"/>
    <brk id="24" min="2" max="76" man="1"/>
    <brk id="31" min="2" max="76" man="1"/>
    <brk id="35" min="2" max="76" man="1"/>
    <brk id="41" min="2" max="76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7"/>
  <sheetViews>
    <sheetView view="pageBreakPreview" zoomScale="70" zoomScaleNormal="100" zoomScaleSheetLayoutView="70" workbookViewId="0">
      <pane xSplit="2" ySplit="2" topLeftCell="C3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6.85546875" style="1289" customWidth="1"/>
    <col min="2" max="2" width="31.28515625" style="1289" bestFit="1" customWidth="1"/>
    <col min="3" max="3" width="12.140625" style="1289" customWidth="1"/>
    <col min="4" max="4" width="8.42578125" style="1289" customWidth="1"/>
    <col min="5" max="5" width="8.28515625" style="1289" customWidth="1"/>
    <col min="6" max="6" width="9.7109375" style="1289" customWidth="1"/>
    <col min="7" max="21" width="10.42578125" style="1289" customWidth="1"/>
    <col min="22" max="22" width="9.85546875" style="1289" bestFit="1" customWidth="1"/>
    <col min="23" max="23" width="9.5703125" style="1289" bestFit="1" customWidth="1"/>
    <col min="24" max="25" width="9.28515625" style="1289" customWidth="1"/>
    <col min="26" max="26" width="12.28515625" style="1289" bestFit="1" customWidth="1"/>
    <col min="27" max="29" width="9.28515625" style="1289" customWidth="1"/>
    <col min="30" max="30" width="12.140625" style="1289" bestFit="1" customWidth="1"/>
    <col min="31" max="31" width="9.85546875" style="1289" bestFit="1" customWidth="1"/>
    <col min="32" max="33" width="9.85546875" style="1289" customWidth="1"/>
    <col min="34" max="34" width="10.140625" style="1289" bestFit="1" customWidth="1"/>
    <col min="35" max="35" width="10" style="1289" bestFit="1" customWidth="1"/>
    <col min="36" max="36" width="12" style="1289" customWidth="1"/>
    <col min="37" max="48" width="8.85546875" style="1289" customWidth="1"/>
    <col min="49" max="16384" width="8.85546875" style="1289"/>
  </cols>
  <sheetData>
    <row r="1" spans="1:36" s="1284" customFormat="1">
      <c r="A1" s="1646" t="s">
        <v>616</v>
      </c>
      <c r="B1" s="1646"/>
      <c r="C1" s="1273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  <c r="O1" s="1274"/>
      <c r="P1" s="1274"/>
      <c r="Q1" s="1274"/>
      <c r="R1" s="1282"/>
      <c r="S1" s="1282"/>
      <c r="T1" s="1282"/>
      <c r="U1" s="1282"/>
      <c r="V1" s="1282"/>
      <c r="W1" s="1283"/>
      <c r="AH1" s="1274"/>
      <c r="AI1" s="1274"/>
      <c r="AJ1" s="1274"/>
    </row>
    <row r="2" spans="1:36" ht="116.25" customHeight="1">
      <c r="A2" s="980" t="s">
        <v>140</v>
      </c>
      <c r="B2" s="980" t="s">
        <v>162</v>
      </c>
      <c r="C2" s="980" t="s">
        <v>623</v>
      </c>
      <c r="D2" s="981" t="s">
        <v>284</v>
      </c>
      <c r="E2" s="981" t="s">
        <v>285</v>
      </c>
      <c r="F2" s="981" t="s">
        <v>286</v>
      </c>
      <c r="G2" s="1285" t="s">
        <v>290</v>
      </c>
      <c r="H2" s="1285" t="s">
        <v>291</v>
      </c>
      <c r="I2" s="1285" t="s">
        <v>292</v>
      </c>
      <c r="J2" s="1285" t="s">
        <v>293</v>
      </c>
      <c r="K2" s="1285" t="s">
        <v>294</v>
      </c>
      <c r="L2" s="1285" t="s">
        <v>295</v>
      </c>
      <c r="M2" s="1285" t="s">
        <v>296</v>
      </c>
      <c r="N2" s="1285" t="s">
        <v>297</v>
      </c>
      <c r="O2" s="1285" t="s">
        <v>298</v>
      </c>
      <c r="P2" s="1285" t="s">
        <v>299</v>
      </c>
      <c r="Q2" s="1285" t="s">
        <v>565</v>
      </c>
      <c r="R2" s="1285" t="s">
        <v>566</v>
      </c>
      <c r="S2" s="1285" t="s">
        <v>567</v>
      </c>
      <c r="T2" s="1285" t="s">
        <v>568</v>
      </c>
      <c r="U2" s="1285" t="s">
        <v>569</v>
      </c>
      <c r="V2" s="1285" t="s">
        <v>570</v>
      </c>
      <c r="W2" s="1286" t="s">
        <v>617</v>
      </c>
      <c r="X2" s="1285" t="s">
        <v>646</v>
      </c>
      <c r="Y2" s="1285" t="s">
        <v>647</v>
      </c>
      <c r="Z2" s="1285" t="s">
        <v>648</v>
      </c>
      <c r="AA2" s="1285" t="s">
        <v>287</v>
      </c>
      <c r="AB2" s="1285" t="s">
        <v>288</v>
      </c>
      <c r="AC2" s="1285" t="s">
        <v>289</v>
      </c>
      <c r="AD2" s="1285" t="s">
        <v>649</v>
      </c>
      <c r="AE2" s="1285" t="s">
        <v>645</v>
      </c>
      <c r="AF2" s="1285" t="s">
        <v>300</v>
      </c>
      <c r="AG2" s="1285" t="s">
        <v>301</v>
      </c>
      <c r="AH2" s="1287" t="s">
        <v>302</v>
      </c>
      <c r="AI2" s="1288" t="s">
        <v>303</v>
      </c>
      <c r="AJ2" s="1287" t="s">
        <v>650</v>
      </c>
    </row>
    <row r="3" spans="1:36" ht="12.75" customHeight="1">
      <c r="A3" s="1275" t="s">
        <v>174</v>
      </c>
      <c r="B3" s="1275" t="s">
        <v>304</v>
      </c>
      <c r="C3" s="1276">
        <v>9664</v>
      </c>
      <c r="D3" s="1276"/>
      <c r="E3" s="1276"/>
      <c r="F3" s="1276"/>
      <c r="G3" s="1276"/>
      <c r="H3" s="1276"/>
      <c r="I3" s="1276"/>
      <c r="J3" s="1276">
        <v>18</v>
      </c>
      <c r="K3" s="1276"/>
      <c r="L3" s="1276">
        <v>14</v>
      </c>
      <c r="M3" s="1276"/>
      <c r="N3" s="1276"/>
      <c r="O3" s="1276"/>
      <c r="P3" s="1276"/>
      <c r="Q3" s="1276"/>
      <c r="R3" s="1276"/>
      <c r="S3" s="1276"/>
      <c r="T3" s="1276"/>
      <c r="U3" s="1276"/>
      <c r="V3" s="1276"/>
      <c r="W3" s="1276">
        <f t="shared" ref="W3:W34" si="0">SUM(C3:V3)</f>
        <v>9696</v>
      </c>
      <c r="X3" s="1276"/>
      <c r="Y3" s="1276"/>
      <c r="Z3" s="1276"/>
      <c r="AA3" s="1276"/>
      <c r="AB3" s="1276"/>
      <c r="AC3" s="1276"/>
      <c r="AD3" s="1276"/>
      <c r="AE3" s="1276"/>
      <c r="AF3" s="1276">
        <v>7</v>
      </c>
      <c r="AG3" s="1276"/>
      <c r="AH3" s="1276"/>
      <c r="AI3" s="1276"/>
      <c r="AJ3" s="1276">
        <f t="shared" ref="AJ3:AJ34" si="1">SUM(W3:AI3)</f>
        <v>9703</v>
      </c>
    </row>
    <row r="4" spans="1:36" ht="12.75" customHeight="1">
      <c r="A4" s="1277" t="s">
        <v>305</v>
      </c>
      <c r="B4" s="1277" t="s">
        <v>306</v>
      </c>
      <c r="C4" s="1278">
        <v>4070</v>
      </c>
      <c r="D4" s="1278"/>
      <c r="E4" s="1278"/>
      <c r="F4" s="1278"/>
      <c r="G4" s="1278"/>
      <c r="H4" s="1278"/>
      <c r="I4" s="1278"/>
      <c r="J4" s="1278">
        <v>8</v>
      </c>
      <c r="K4" s="1278"/>
      <c r="L4" s="1278">
        <v>9</v>
      </c>
      <c r="M4" s="1278"/>
      <c r="N4" s="1278"/>
      <c r="O4" s="1278"/>
      <c r="P4" s="1278"/>
      <c r="Q4" s="1278"/>
      <c r="R4" s="1278"/>
      <c r="S4" s="1278"/>
      <c r="T4" s="1278"/>
      <c r="U4" s="1278"/>
      <c r="V4" s="1278"/>
      <c r="W4" s="1278">
        <f t="shared" si="0"/>
        <v>4087</v>
      </c>
      <c r="X4" s="1278"/>
      <c r="Y4" s="1278"/>
      <c r="Z4" s="1278"/>
      <c r="AA4" s="1278"/>
      <c r="AB4" s="1278"/>
      <c r="AC4" s="1278"/>
      <c r="AD4" s="1278"/>
      <c r="AE4" s="1278"/>
      <c r="AF4" s="1278">
        <v>1</v>
      </c>
      <c r="AG4" s="1278"/>
      <c r="AH4" s="1278"/>
      <c r="AI4" s="1278"/>
      <c r="AJ4" s="1278">
        <f t="shared" si="1"/>
        <v>4088</v>
      </c>
    </row>
    <row r="5" spans="1:36" ht="12.75" customHeight="1">
      <c r="A5" s="1277" t="s">
        <v>175</v>
      </c>
      <c r="B5" s="1277" t="s">
        <v>307</v>
      </c>
      <c r="C5" s="1278">
        <v>20853</v>
      </c>
      <c r="D5" s="1278"/>
      <c r="E5" s="1278"/>
      <c r="F5" s="1278"/>
      <c r="G5" s="1278"/>
      <c r="H5" s="1278"/>
      <c r="I5" s="1278"/>
      <c r="J5" s="1278">
        <v>53</v>
      </c>
      <c r="K5" s="1278"/>
      <c r="L5" s="1278">
        <v>43</v>
      </c>
      <c r="M5" s="1278"/>
      <c r="N5" s="1278"/>
      <c r="O5" s="1278"/>
      <c r="P5" s="1278"/>
      <c r="Q5" s="1278"/>
      <c r="R5" s="1278"/>
      <c r="S5" s="1278">
        <v>1</v>
      </c>
      <c r="T5" s="1278"/>
      <c r="U5" s="1278"/>
      <c r="V5" s="1278">
        <v>8</v>
      </c>
      <c r="W5" s="1278">
        <f t="shared" si="0"/>
        <v>20958</v>
      </c>
      <c r="X5" s="1278"/>
      <c r="Y5" s="1278"/>
      <c r="Z5" s="1278"/>
      <c r="AA5" s="1278"/>
      <c r="AB5" s="1278"/>
      <c r="AC5" s="1278"/>
      <c r="AD5" s="1278"/>
      <c r="AE5" s="1278">
        <v>2</v>
      </c>
      <c r="AF5" s="1278">
        <v>14</v>
      </c>
      <c r="AG5" s="1278">
        <v>1</v>
      </c>
      <c r="AH5" s="1278"/>
      <c r="AI5" s="1278"/>
      <c r="AJ5" s="1278">
        <f t="shared" si="1"/>
        <v>20975</v>
      </c>
    </row>
    <row r="6" spans="1:36" ht="12.75" customHeight="1">
      <c r="A6" s="1277" t="s">
        <v>176</v>
      </c>
      <c r="B6" s="1277" t="s">
        <v>308</v>
      </c>
      <c r="C6" s="1278">
        <v>3565</v>
      </c>
      <c r="D6" s="1278"/>
      <c r="E6" s="1278"/>
      <c r="F6" s="1278"/>
      <c r="G6" s="1278"/>
      <c r="H6" s="1278"/>
      <c r="I6" s="1278"/>
      <c r="J6" s="1278">
        <v>1</v>
      </c>
      <c r="K6" s="1278"/>
      <c r="L6" s="1278">
        <v>3</v>
      </c>
      <c r="M6" s="1278"/>
      <c r="N6" s="1278"/>
      <c r="O6" s="1278"/>
      <c r="P6" s="1278"/>
      <c r="Q6" s="1278"/>
      <c r="R6" s="1278"/>
      <c r="S6" s="1278"/>
      <c r="T6" s="1278"/>
      <c r="U6" s="1278"/>
      <c r="V6" s="1278"/>
      <c r="W6" s="1278">
        <f t="shared" si="0"/>
        <v>3569</v>
      </c>
      <c r="X6" s="1278"/>
      <c r="Y6" s="1278"/>
      <c r="Z6" s="1278"/>
      <c r="AA6" s="1278"/>
      <c r="AB6" s="1278"/>
      <c r="AC6" s="1278"/>
      <c r="AD6" s="1278"/>
      <c r="AE6" s="1278">
        <v>4</v>
      </c>
      <c r="AF6" s="1278"/>
      <c r="AG6" s="1278"/>
      <c r="AH6" s="1278"/>
      <c r="AI6" s="1278"/>
      <c r="AJ6" s="1278">
        <f t="shared" si="1"/>
        <v>3573</v>
      </c>
    </row>
    <row r="7" spans="1:36" ht="12.75" customHeight="1">
      <c r="A7" s="1279" t="s">
        <v>309</v>
      </c>
      <c r="B7" s="1279" t="s">
        <v>310</v>
      </c>
      <c r="C7" s="1280">
        <v>5610</v>
      </c>
      <c r="D7" s="1280"/>
      <c r="E7" s="1280"/>
      <c r="F7" s="1280"/>
      <c r="G7" s="1280"/>
      <c r="H7" s="1280"/>
      <c r="I7" s="1280"/>
      <c r="J7" s="1280">
        <v>28</v>
      </c>
      <c r="K7" s="1280"/>
      <c r="L7" s="1280">
        <v>12</v>
      </c>
      <c r="M7" s="1280"/>
      <c r="N7" s="1280"/>
      <c r="O7" s="1280"/>
      <c r="P7" s="1280"/>
      <c r="Q7" s="1280"/>
      <c r="R7" s="1280"/>
      <c r="S7" s="1280"/>
      <c r="T7" s="1280"/>
      <c r="U7" s="1280"/>
      <c r="V7" s="1280"/>
      <c r="W7" s="1280">
        <f t="shared" si="0"/>
        <v>5650</v>
      </c>
      <c r="X7" s="1280"/>
      <c r="Y7" s="1280"/>
      <c r="Z7" s="1280"/>
      <c r="AA7" s="1280">
        <v>709</v>
      </c>
      <c r="AB7" s="1280"/>
      <c r="AC7" s="1280"/>
      <c r="AD7" s="1280"/>
      <c r="AE7" s="1280"/>
      <c r="AF7" s="1280">
        <v>3</v>
      </c>
      <c r="AG7" s="1280"/>
      <c r="AH7" s="1280"/>
      <c r="AI7" s="1280"/>
      <c r="AJ7" s="1280">
        <f t="shared" si="1"/>
        <v>6362</v>
      </c>
    </row>
    <row r="8" spans="1:36" ht="12.75" customHeight="1">
      <c r="A8" s="1275" t="s">
        <v>177</v>
      </c>
      <c r="B8" s="1275" t="s">
        <v>311</v>
      </c>
      <c r="C8" s="1276">
        <v>5861</v>
      </c>
      <c r="D8" s="1276"/>
      <c r="E8" s="1276"/>
      <c r="F8" s="1276"/>
      <c r="G8" s="1276"/>
      <c r="H8" s="1276"/>
      <c r="I8" s="1276"/>
      <c r="J8" s="1276">
        <v>21</v>
      </c>
      <c r="K8" s="1276"/>
      <c r="L8" s="1276">
        <v>10</v>
      </c>
      <c r="M8" s="1276"/>
      <c r="N8" s="1276"/>
      <c r="O8" s="1276"/>
      <c r="P8" s="1276"/>
      <c r="Q8" s="1276"/>
      <c r="R8" s="1276"/>
      <c r="S8" s="1276"/>
      <c r="T8" s="1276"/>
      <c r="U8" s="1276"/>
      <c r="V8" s="1276"/>
      <c r="W8" s="1276">
        <f t="shared" si="0"/>
        <v>5892</v>
      </c>
      <c r="X8" s="1276"/>
      <c r="Y8" s="1276"/>
      <c r="Z8" s="1276"/>
      <c r="AA8" s="1276"/>
      <c r="AB8" s="1276"/>
      <c r="AC8" s="1276"/>
      <c r="AD8" s="1276"/>
      <c r="AE8" s="1276"/>
      <c r="AF8" s="1276">
        <v>4</v>
      </c>
      <c r="AG8" s="1276"/>
      <c r="AH8" s="1276"/>
      <c r="AI8" s="1276"/>
      <c r="AJ8" s="1276">
        <f t="shared" si="1"/>
        <v>5896</v>
      </c>
    </row>
    <row r="9" spans="1:36" ht="12.75" customHeight="1">
      <c r="A9" s="1277" t="s">
        <v>178</v>
      </c>
      <c r="B9" s="1277" t="s">
        <v>312</v>
      </c>
      <c r="C9" s="1278">
        <v>2178</v>
      </c>
      <c r="D9" s="1278"/>
      <c r="E9" s="1278"/>
      <c r="F9" s="1278"/>
      <c r="G9" s="1278"/>
      <c r="H9" s="1278"/>
      <c r="I9" s="1278"/>
      <c r="J9" s="1278">
        <v>6</v>
      </c>
      <c r="K9" s="1278"/>
      <c r="L9" s="1278">
        <v>6</v>
      </c>
      <c r="M9" s="1278"/>
      <c r="N9" s="1278"/>
      <c r="O9" s="1278"/>
      <c r="P9" s="1278"/>
      <c r="Q9" s="1278"/>
      <c r="R9" s="1278"/>
      <c r="S9" s="1278"/>
      <c r="T9" s="1278"/>
      <c r="U9" s="1278"/>
      <c r="V9" s="1278"/>
      <c r="W9" s="1278">
        <f t="shared" si="0"/>
        <v>2190</v>
      </c>
      <c r="X9" s="1278"/>
      <c r="Y9" s="1278"/>
      <c r="Z9" s="1278"/>
      <c r="AA9" s="1278"/>
      <c r="AB9" s="1278"/>
      <c r="AC9" s="1278"/>
      <c r="AD9" s="1278"/>
      <c r="AE9" s="1278"/>
      <c r="AF9" s="1278"/>
      <c r="AG9" s="1278"/>
      <c r="AH9" s="1278"/>
      <c r="AI9" s="1278"/>
      <c r="AJ9" s="1278">
        <f t="shared" si="1"/>
        <v>2190</v>
      </c>
    </row>
    <row r="10" spans="1:36" ht="12.75" customHeight="1">
      <c r="A10" s="1277" t="s">
        <v>179</v>
      </c>
      <c r="B10" s="1277" t="s">
        <v>313</v>
      </c>
      <c r="C10" s="1278">
        <v>21455</v>
      </c>
      <c r="D10" s="1278"/>
      <c r="E10" s="1278"/>
      <c r="F10" s="1278"/>
      <c r="G10" s="1278"/>
      <c r="H10" s="1278"/>
      <c r="I10" s="1278"/>
      <c r="J10" s="1278">
        <v>68</v>
      </c>
      <c r="K10" s="1278"/>
      <c r="L10" s="1278">
        <v>39</v>
      </c>
      <c r="M10" s="1278"/>
      <c r="N10" s="1278"/>
      <c r="O10" s="1278"/>
      <c r="P10" s="1278"/>
      <c r="Q10" s="1278"/>
      <c r="R10" s="1278"/>
      <c r="S10" s="1278"/>
      <c r="T10" s="1278"/>
      <c r="U10" s="1278"/>
      <c r="V10" s="1278"/>
      <c r="W10" s="1278">
        <f t="shared" si="0"/>
        <v>21562</v>
      </c>
      <c r="X10" s="1278"/>
      <c r="Y10" s="1278"/>
      <c r="Z10" s="1278"/>
      <c r="AA10" s="1278"/>
      <c r="AB10" s="1278"/>
      <c r="AC10" s="1278"/>
      <c r="AD10" s="1278"/>
      <c r="AE10" s="1278"/>
      <c r="AF10" s="1278">
        <v>12</v>
      </c>
      <c r="AG10" s="1278"/>
      <c r="AH10" s="1278"/>
      <c r="AI10" s="1278"/>
      <c r="AJ10" s="1278">
        <f t="shared" si="1"/>
        <v>21574</v>
      </c>
    </row>
    <row r="11" spans="1:36" ht="12.75" customHeight="1">
      <c r="A11" s="1277" t="s">
        <v>180</v>
      </c>
      <c r="B11" s="1277" t="s">
        <v>314</v>
      </c>
      <c r="C11" s="1278">
        <v>39798</v>
      </c>
      <c r="D11" s="1278">
        <v>508</v>
      </c>
      <c r="E11" s="1278"/>
      <c r="F11" s="1278">
        <v>143</v>
      </c>
      <c r="G11" s="1278"/>
      <c r="H11" s="1278"/>
      <c r="I11" s="1278"/>
      <c r="J11" s="1278">
        <v>101</v>
      </c>
      <c r="K11" s="1278"/>
      <c r="L11" s="1278">
        <v>65</v>
      </c>
      <c r="M11" s="1278"/>
      <c r="N11" s="1278"/>
      <c r="O11" s="1278"/>
      <c r="P11" s="1278"/>
      <c r="Q11" s="1278"/>
      <c r="R11" s="1278"/>
      <c r="S11" s="1278"/>
      <c r="T11" s="1278"/>
      <c r="U11" s="1278"/>
      <c r="V11" s="1278"/>
      <c r="W11" s="1278">
        <f t="shared" si="0"/>
        <v>40615</v>
      </c>
      <c r="X11" s="1278"/>
      <c r="Y11" s="1278"/>
      <c r="Z11" s="1278"/>
      <c r="AA11" s="1278"/>
      <c r="AB11" s="1278"/>
      <c r="AC11" s="1278"/>
      <c r="AD11" s="1278"/>
      <c r="AE11" s="1278"/>
      <c r="AF11" s="1278">
        <v>2</v>
      </c>
      <c r="AG11" s="1278"/>
      <c r="AH11" s="1278"/>
      <c r="AI11" s="1278"/>
      <c r="AJ11" s="1278">
        <f t="shared" si="1"/>
        <v>40617</v>
      </c>
    </row>
    <row r="12" spans="1:36" ht="12.75" customHeight="1">
      <c r="A12" s="1279" t="s">
        <v>181</v>
      </c>
      <c r="B12" s="1279" t="s">
        <v>315</v>
      </c>
      <c r="C12" s="1280">
        <v>30696</v>
      </c>
      <c r="D12" s="1280"/>
      <c r="E12" s="1280"/>
      <c r="F12" s="1280"/>
      <c r="G12" s="1280">
        <v>671</v>
      </c>
      <c r="H12" s="1280"/>
      <c r="I12" s="1280"/>
      <c r="J12" s="1280">
        <v>78</v>
      </c>
      <c r="K12" s="1280"/>
      <c r="L12" s="1280">
        <v>47</v>
      </c>
      <c r="M12" s="1280">
        <v>865</v>
      </c>
      <c r="N12" s="1280"/>
      <c r="O12" s="1280"/>
      <c r="P12" s="1280"/>
      <c r="Q12" s="1280"/>
      <c r="R12" s="1280"/>
      <c r="S12" s="1280"/>
      <c r="T12" s="1280"/>
      <c r="U12" s="1280"/>
      <c r="V12" s="1280"/>
      <c r="W12" s="1280">
        <f t="shared" si="0"/>
        <v>32357</v>
      </c>
      <c r="X12" s="1280"/>
      <c r="Y12" s="1280"/>
      <c r="Z12" s="1280"/>
      <c r="AA12" s="1280"/>
      <c r="AB12" s="1280"/>
      <c r="AC12" s="1280"/>
      <c r="AD12" s="1280"/>
      <c r="AE12" s="1280"/>
      <c r="AF12" s="1280">
        <v>9</v>
      </c>
      <c r="AG12" s="1280"/>
      <c r="AH12" s="1280"/>
      <c r="AI12" s="1280"/>
      <c r="AJ12" s="1280">
        <f t="shared" si="1"/>
        <v>32366</v>
      </c>
    </row>
    <row r="13" spans="1:36" ht="12.75" customHeight="1">
      <c r="A13" s="1275" t="s">
        <v>182</v>
      </c>
      <c r="B13" s="1275" t="s">
        <v>316</v>
      </c>
      <c r="C13" s="1276">
        <v>1564</v>
      </c>
      <c r="D13" s="1276"/>
      <c r="E13" s="1276"/>
      <c r="F13" s="1276"/>
      <c r="G13" s="1276"/>
      <c r="H13" s="1276"/>
      <c r="I13" s="1276"/>
      <c r="J13" s="1276">
        <v>4</v>
      </c>
      <c r="K13" s="1276"/>
      <c r="L13" s="1276">
        <v>1</v>
      </c>
      <c r="M13" s="1276"/>
      <c r="N13" s="1276"/>
      <c r="O13" s="1276"/>
      <c r="P13" s="1276"/>
      <c r="Q13" s="1276"/>
      <c r="R13" s="1276"/>
      <c r="S13" s="1276"/>
      <c r="T13" s="1276"/>
      <c r="U13" s="1276"/>
      <c r="V13" s="1276"/>
      <c r="W13" s="1276">
        <f t="shared" si="0"/>
        <v>1569</v>
      </c>
      <c r="X13" s="1276"/>
      <c r="Y13" s="1276"/>
      <c r="Z13" s="1276"/>
      <c r="AA13" s="1276"/>
      <c r="AB13" s="1276"/>
      <c r="AC13" s="1276"/>
      <c r="AD13" s="1276"/>
      <c r="AE13" s="1276"/>
      <c r="AF13" s="1276">
        <v>1</v>
      </c>
      <c r="AG13" s="1276"/>
      <c r="AH13" s="1276"/>
      <c r="AI13" s="1276"/>
      <c r="AJ13" s="1276">
        <f t="shared" si="1"/>
        <v>1570</v>
      </c>
    </row>
    <row r="14" spans="1:36" ht="12.75" customHeight="1">
      <c r="A14" s="1277" t="s">
        <v>317</v>
      </c>
      <c r="B14" s="1277" t="s">
        <v>318</v>
      </c>
      <c r="C14" s="1278">
        <v>1217</v>
      </c>
      <c r="D14" s="1278"/>
      <c r="E14" s="1278"/>
      <c r="F14" s="1278"/>
      <c r="G14" s="1278"/>
      <c r="H14" s="1278"/>
      <c r="I14" s="1278"/>
      <c r="J14" s="1278">
        <v>2</v>
      </c>
      <c r="K14" s="1278"/>
      <c r="L14" s="1278">
        <v>1</v>
      </c>
      <c r="M14" s="1278"/>
      <c r="N14" s="1278"/>
      <c r="O14" s="1278"/>
      <c r="P14" s="1278"/>
      <c r="Q14" s="1278"/>
      <c r="R14" s="1278"/>
      <c r="S14" s="1278"/>
      <c r="T14" s="1278"/>
      <c r="U14" s="1278"/>
      <c r="V14" s="1278"/>
      <c r="W14" s="1278">
        <f t="shared" si="0"/>
        <v>1220</v>
      </c>
      <c r="X14" s="1278"/>
      <c r="Y14" s="1278"/>
      <c r="Z14" s="1278"/>
      <c r="AA14" s="1278"/>
      <c r="AB14" s="1278"/>
      <c r="AC14" s="1278"/>
      <c r="AD14" s="1278"/>
      <c r="AE14" s="1278"/>
      <c r="AF14" s="1278"/>
      <c r="AG14" s="1278"/>
      <c r="AH14" s="1278"/>
      <c r="AI14" s="1278"/>
      <c r="AJ14" s="1278">
        <f t="shared" si="1"/>
        <v>1220</v>
      </c>
    </row>
    <row r="15" spans="1:36" ht="12.75" customHeight="1">
      <c r="A15" s="1277" t="s">
        <v>319</v>
      </c>
      <c r="B15" s="1277" t="s">
        <v>320</v>
      </c>
      <c r="C15" s="1278">
        <v>1430</v>
      </c>
      <c r="D15" s="1278"/>
      <c r="E15" s="1278"/>
      <c r="F15" s="1278"/>
      <c r="G15" s="1278"/>
      <c r="H15" s="1278"/>
      <c r="I15" s="1278"/>
      <c r="J15" s="1278">
        <v>7</v>
      </c>
      <c r="K15" s="1278"/>
      <c r="L15" s="1278">
        <v>9</v>
      </c>
      <c r="M15" s="1278"/>
      <c r="N15" s="1278"/>
      <c r="O15" s="1278"/>
      <c r="P15" s="1278"/>
      <c r="Q15" s="1278"/>
      <c r="R15" s="1278"/>
      <c r="S15" s="1278"/>
      <c r="T15" s="1278">
        <v>41</v>
      </c>
      <c r="U15" s="1278"/>
      <c r="V15" s="1278"/>
      <c r="W15" s="1278">
        <f t="shared" si="0"/>
        <v>1487</v>
      </c>
      <c r="X15" s="1278"/>
      <c r="Y15" s="1278"/>
      <c r="Z15" s="1278"/>
      <c r="AA15" s="1278"/>
      <c r="AB15" s="1278"/>
      <c r="AC15" s="1278"/>
      <c r="AD15" s="1278"/>
      <c r="AE15" s="1278"/>
      <c r="AF15" s="1278"/>
      <c r="AG15" s="1278"/>
      <c r="AH15" s="1278"/>
      <c r="AI15" s="1278"/>
      <c r="AJ15" s="1278">
        <f t="shared" si="1"/>
        <v>1487</v>
      </c>
    </row>
    <row r="16" spans="1:36" ht="12.75" customHeight="1">
      <c r="A16" s="1277" t="s">
        <v>321</v>
      </c>
      <c r="B16" s="1277" t="s">
        <v>322</v>
      </c>
      <c r="C16" s="1278">
        <v>1661</v>
      </c>
      <c r="D16" s="1278"/>
      <c r="E16" s="1278"/>
      <c r="F16" s="1278"/>
      <c r="G16" s="1278"/>
      <c r="H16" s="1278">
        <v>2</v>
      </c>
      <c r="I16" s="1278"/>
      <c r="J16" s="1278"/>
      <c r="K16" s="1278"/>
      <c r="L16" s="1278">
        <v>17</v>
      </c>
      <c r="M16" s="1278"/>
      <c r="N16" s="1278"/>
      <c r="O16" s="1278"/>
      <c r="P16" s="1278"/>
      <c r="Q16" s="1278"/>
      <c r="R16" s="1278"/>
      <c r="S16" s="1278"/>
      <c r="T16" s="1278"/>
      <c r="U16" s="1278"/>
      <c r="V16" s="1278"/>
      <c r="W16" s="1278">
        <f t="shared" si="0"/>
        <v>1680</v>
      </c>
      <c r="X16" s="1278"/>
      <c r="Y16" s="1278"/>
      <c r="Z16" s="1278"/>
      <c r="AA16" s="1278"/>
      <c r="AB16" s="1278">
        <v>88</v>
      </c>
      <c r="AC16" s="1278"/>
      <c r="AD16" s="1278"/>
      <c r="AE16" s="1278"/>
      <c r="AF16" s="1278"/>
      <c r="AG16" s="1278"/>
      <c r="AH16" s="1278"/>
      <c r="AI16" s="1278"/>
      <c r="AJ16" s="1278">
        <f t="shared" si="1"/>
        <v>1768</v>
      </c>
    </row>
    <row r="17" spans="1:36" ht="12.75" customHeight="1">
      <c r="A17" s="1279" t="s">
        <v>323</v>
      </c>
      <c r="B17" s="1279" t="s">
        <v>324</v>
      </c>
      <c r="C17" s="1280">
        <v>3374</v>
      </c>
      <c r="D17" s="1280"/>
      <c r="E17" s="1280"/>
      <c r="F17" s="1280"/>
      <c r="G17" s="1280"/>
      <c r="H17" s="1280"/>
      <c r="I17" s="1280"/>
      <c r="J17" s="1280">
        <v>22</v>
      </c>
      <c r="K17" s="1280"/>
      <c r="L17" s="1280">
        <v>5</v>
      </c>
      <c r="M17" s="1280"/>
      <c r="N17" s="1280"/>
      <c r="O17" s="1280"/>
      <c r="P17" s="1280"/>
      <c r="Q17" s="1280"/>
      <c r="R17" s="1280"/>
      <c r="S17" s="1280"/>
      <c r="T17" s="1280">
        <v>269</v>
      </c>
      <c r="U17" s="1280"/>
      <c r="V17" s="1280"/>
      <c r="W17" s="1280">
        <f t="shared" si="0"/>
        <v>3670</v>
      </c>
      <c r="X17" s="1280"/>
      <c r="Y17" s="1280"/>
      <c r="Z17" s="1280"/>
      <c r="AA17" s="1280"/>
      <c r="AB17" s="1280"/>
      <c r="AC17" s="1280"/>
      <c r="AD17" s="1280"/>
      <c r="AE17" s="1280"/>
      <c r="AF17" s="1280">
        <v>1</v>
      </c>
      <c r="AG17" s="1280"/>
      <c r="AH17" s="1280"/>
      <c r="AI17" s="1280"/>
      <c r="AJ17" s="1280">
        <f t="shared" si="1"/>
        <v>3671</v>
      </c>
    </row>
    <row r="18" spans="1:36" ht="12.75" customHeight="1">
      <c r="A18" s="1275" t="s">
        <v>325</v>
      </c>
      <c r="B18" s="1275" t="s">
        <v>326</v>
      </c>
      <c r="C18" s="1276">
        <v>4848</v>
      </c>
      <c r="D18" s="1276"/>
      <c r="E18" s="1276"/>
      <c r="F18" s="1276"/>
      <c r="G18" s="1276"/>
      <c r="H18" s="1276"/>
      <c r="I18" s="1276"/>
      <c r="J18" s="1276">
        <v>19</v>
      </c>
      <c r="K18" s="1276"/>
      <c r="L18" s="1276">
        <v>4</v>
      </c>
      <c r="M18" s="1276"/>
      <c r="N18" s="1276"/>
      <c r="O18" s="1276"/>
      <c r="P18" s="1276"/>
      <c r="Q18" s="1276"/>
      <c r="R18" s="1276"/>
      <c r="S18" s="1276"/>
      <c r="T18" s="1276"/>
      <c r="U18" s="1276"/>
      <c r="V18" s="1276"/>
      <c r="W18" s="1276">
        <f t="shared" si="0"/>
        <v>4871</v>
      </c>
      <c r="X18" s="1276"/>
      <c r="Y18" s="1276"/>
      <c r="Z18" s="1276"/>
      <c r="AA18" s="1276"/>
      <c r="AB18" s="1276"/>
      <c r="AC18" s="1276"/>
      <c r="AD18" s="1276"/>
      <c r="AE18" s="1276"/>
      <c r="AF18" s="1276">
        <v>2</v>
      </c>
      <c r="AG18" s="1276"/>
      <c r="AH18" s="1276"/>
      <c r="AI18" s="1276"/>
      <c r="AJ18" s="1276">
        <f t="shared" si="1"/>
        <v>4873</v>
      </c>
    </row>
    <row r="19" spans="1:36" ht="12.75" customHeight="1">
      <c r="A19" s="1277" t="s">
        <v>183</v>
      </c>
      <c r="B19" s="1277" t="s">
        <v>327</v>
      </c>
      <c r="C19" s="1278">
        <v>40250</v>
      </c>
      <c r="D19" s="1278">
        <v>530</v>
      </c>
      <c r="E19" s="1278"/>
      <c r="F19" s="1278">
        <v>1593</v>
      </c>
      <c r="G19" s="1278"/>
      <c r="H19" s="1278"/>
      <c r="I19" s="1278">
        <v>262</v>
      </c>
      <c r="J19" s="1278">
        <v>104</v>
      </c>
      <c r="K19" s="1278"/>
      <c r="L19" s="1278">
        <v>85</v>
      </c>
      <c r="M19" s="1278"/>
      <c r="N19" s="1278"/>
      <c r="O19" s="1278"/>
      <c r="P19" s="1278"/>
      <c r="Q19" s="1278"/>
      <c r="R19" s="1278"/>
      <c r="S19" s="1278">
        <v>432</v>
      </c>
      <c r="T19" s="1278"/>
      <c r="U19" s="1278"/>
      <c r="V19" s="1278">
        <v>108</v>
      </c>
      <c r="W19" s="1278">
        <f t="shared" si="0"/>
        <v>43364</v>
      </c>
      <c r="X19" s="1278"/>
      <c r="Y19" s="1278"/>
      <c r="Z19" s="1278"/>
      <c r="AA19" s="1278"/>
      <c r="AB19" s="1278"/>
      <c r="AC19" s="1278"/>
      <c r="AD19" s="1278"/>
      <c r="AE19" s="1278"/>
      <c r="AF19" s="1278">
        <v>25</v>
      </c>
      <c r="AG19" s="1278"/>
      <c r="AH19" s="1278">
        <v>1394</v>
      </c>
      <c r="AI19" s="1278">
        <v>588</v>
      </c>
      <c r="AJ19" s="1278">
        <f t="shared" si="1"/>
        <v>45371</v>
      </c>
    </row>
    <row r="20" spans="1:36" ht="12.75" customHeight="1">
      <c r="A20" s="1277" t="s">
        <v>328</v>
      </c>
      <c r="B20" s="1277" t="s">
        <v>329</v>
      </c>
      <c r="C20" s="1278">
        <v>1048</v>
      </c>
      <c r="D20" s="1278"/>
      <c r="E20" s="1278"/>
      <c r="F20" s="1278"/>
      <c r="G20" s="1278"/>
      <c r="H20" s="1278"/>
      <c r="I20" s="1278"/>
      <c r="J20" s="1278">
        <v>3</v>
      </c>
      <c r="K20" s="1278"/>
      <c r="L20" s="1278"/>
      <c r="M20" s="1278"/>
      <c r="N20" s="1278"/>
      <c r="O20" s="1278"/>
      <c r="P20" s="1278"/>
      <c r="Q20" s="1278"/>
      <c r="R20" s="1278"/>
      <c r="S20" s="1278"/>
      <c r="T20" s="1278"/>
      <c r="U20" s="1278"/>
      <c r="V20" s="1278"/>
      <c r="W20" s="1278">
        <f t="shared" si="0"/>
        <v>1051</v>
      </c>
      <c r="X20" s="1278"/>
      <c r="Y20" s="1278"/>
      <c r="Z20" s="1278"/>
      <c r="AA20" s="1278"/>
      <c r="AB20" s="1278">
        <v>11</v>
      </c>
      <c r="AC20" s="1278"/>
      <c r="AD20" s="1278"/>
      <c r="AE20" s="1278"/>
      <c r="AF20" s="1278"/>
      <c r="AG20" s="1278"/>
      <c r="AH20" s="1278"/>
      <c r="AI20" s="1278"/>
      <c r="AJ20" s="1278">
        <f t="shared" si="1"/>
        <v>1062</v>
      </c>
    </row>
    <row r="21" spans="1:36" ht="12.75" customHeight="1">
      <c r="A21" s="1277" t="s">
        <v>184</v>
      </c>
      <c r="B21" s="1277" t="s">
        <v>330</v>
      </c>
      <c r="C21" s="1278">
        <v>1884</v>
      </c>
      <c r="D21" s="1278"/>
      <c r="E21" s="1278"/>
      <c r="F21" s="1278"/>
      <c r="G21" s="1278"/>
      <c r="H21" s="1278"/>
      <c r="I21" s="1278"/>
      <c r="J21" s="1278">
        <v>14</v>
      </c>
      <c r="K21" s="1278"/>
      <c r="L21" s="1278">
        <v>6</v>
      </c>
      <c r="M21" s="1278"/>
      <c r="N21" s="1278"/>
      <c r="O21" s="1278"/>
      <c r="P21" s="1278"/>
      <c r="Q21" s="1278"/>
      <c r="R21" s="1278"/>
      <c r="S21" s="1278">
        <v>3</v>
      </c>
      <c r="T21" s="1278"/>
      <c r="U21" s="1278"/>
      <c r="V21" s="1278">
        <v>2</v>
      </c>
      <c r="W21" s="1278">
        <f t="shared" si="0"/>
        <v>1909</v>
      </c>
      <c r="X21" s="1278"/>
      <c r="Y21" s="1278"/>
      <c r="Z21" s="1278"/>
      <c r="AA21" s="1278"/>
      <c r="AB21" s="1278"/>
      <c r="AC21" s="1278"/>
      <c r="AD21" s="1278"/>
      <c r="AE21" s="1278"/>
      <c r="AF21" s="1278"/>
      <c r="AG21" s="1278"/>
      <c r="AH21" s="1278"/>
      <c r="AI21" s="1278"/>
      <c r="AJ21" s="1278">
        <f t="shared" si="1"/>
        <v>1909</v>
      </c>
    </row>
    <row r="22" spans="1:36" ht="12.75" customHeight="1">
      <c r="A22" s="1279" t="s">
        <v>331</v>
      </c>
      <c r="B22" s="1279" t="s">
        <v>332</v>
      </c>
      <c r="C22" s="1280">
        <v>5840</v>
      </c>
      <c r="D22" s="1280"/>
      <c r="E22" s="1280"/>
      <c r="F22" s="1280"/>
      <c r="G22" s="1280"/>
      <c r="H22" s="1280"/>
      <c r="I22" s="1280"/>
      <c r="J22" s="1280">
        <v>8</v>
      </c>
      <c r="K22" s="1280"/>
      <c r="L22" s="1280">
        <v>6</v>
      </c>
      <c r="M22" s="1280"/>
      <c r="N22" s="1280"/>
      <c r="O22" s="1280"/>
      <c r="P22" s="1280"/>
      <c r="Q22" s="1280"/>
      <c r="R22" s="1280"/>
      <c r="S22" s="1280"/>
      <c r="T22" s="1280"/>
      <c r="U22" s="1280"/>
      <c r="V22" s="1280"/>
      <c r="W22" s="1280">
        <f t="shared" si="0"/>
        <v>5854</v>
      </c>
      <c r="X22" s="1280"/>
      <c r="Y22" s="1280"/>
      <c r="Z22" s="1280"/>
      <c r="AA22" s="1280"/>
      <c r="AB22" s="1280"/>
      <c r="AC22" s="1280"/>
      <c r="AD22" s="1280"/>
      <c r="AE22" s="1280"/>
      <c r="AF22" s="1280">
        <v>2</v>
      </c>
      <c r="AG22" s="1280"/>
      <c r="AH22" s="1280"/>
      <c r="AI22" s="1280"/>
      <c r="AJ22" s="1280">
        <f t="shared" si="1"/>
        <v>5856</v>
      </c>
    </row>
    <row r="23" spans="1:36" ht="12.75" customHeight="1">
      <c r="A23" s="1275" t="s">
        <v>185</v>
      </c>
      <c r="B23" s="1275" t="s">
        <v>333</v>
      </c>
      <c r="C23" s="1276">
        <v>2890</v>
      </c>
      <c r="D23" s="1276"/>
      <c r="E23" s="1276"/>
      <c r="F23" s="1276"/>
      <c r="G23" s="1276"/>
      <c r="H23" s="1276"/>
      <c r="I23" s="1276"/>
      <c r="J23" s="1276">
        <v>6</v>
      </c>
      <c r="K23" s="1276"/>
      <c r="L23" s="1276">
        <v>6</v>
      </c>
      <c r="M23" s="1276"/>
      <c r="N23" s="1276"/>
      <c r="O23" s="1276"/>
      <c r="P23" s="1276"/>
      <c r="Q23" s="1276"/>
      <c r="R23" s="1276"/>
      <c r="S23" s="1276"/>
      <c r="T23" s="1276">
        <v>2</v>
      </c>
      <c r="U23" s="1276"/>
      <c r="V23" s="1276"/>
      <c r="W23" s="1276">
        <f t="shared" si="0"/>
        <v>2904</v>
      </c>
      <c r="X23" s="1276"/>
      <c r="Y23" s="1276"/>
      <c r="Z23" s="1276"/>
      <c r="AA23" s="1276"/>
      <c r="AB23" s="1276">
        <v>81</v>
      </c>
      <c r="AC23" s="1276"/>
      <c r="AD23" s="1276"/>
      <c r="AE23" s="1276"/>
      <c r="AF23" s="1276">
        <v>2</v>
      </c>
      <c r="AG23" s="1276"/>
      <c r="AH23" s="1276"/>
      <c r="AI23" s="1276"/>
      <c r="AJ23" s="1276">
        <f t="shared" si="1"/>
        <v>2987</v>
      </c>
    </row>
    <row r="24" spans="1:36" ht="12.75" customHeight="1">
      <c r="A24" s="1277" t="s">
        <v>186</v>
      </c>
      <c r="B24" s="1277" t="s">
        <v>334</v>
      </c>
      <c r="C24" s="1278">
        <v>3126</v>
      </c>
      <c r="D24" s="1278"/>
      <c r="E24" s="1278"/>
      <c r="F24" s="1278"/>
      <c r="G24" s="1278"/>
      <c r="H24" s="1278"/>
      <c r="I24" s="1278"/>
      <c r="J24" s="1278">
        <v>8</v>
      </c>
      <c r="K24" s="1278"/>
      <c r="L24" s="1278">
        <v>9</v>
      </c>
      <c r="M24" s="1278"/>
      <c r="N24" s="1278"/>
      <c r="O24" s="1278"/>
      <c r="P24" s="1278"/>
      <c r="Q24" s="1278"/>
      <c r="R24" s="1278"/>
      <c r="S24" s="1278"/>
      <c r="T24" s="1278"/>
      <c r="U24" s="1278"/>
      <c r="V24" s="1278"/>
      <c r="W24" s="1278">
        <f t="shared" si="0"/>
        <v>3143</v>
      </c>
      <c r="X24" s="1278"/>
      <c r="Y24" s="1278"/>
      <c r="Z24" s="1278"/>
      <c r="AA24" s="1278"/>
      <c r="AB24" s="1278"/>
      <c r="AC24" s="1278"/>
      <c r="AD24" s="1278"/>
      <c r="AE24" s="1278"/>
      <c r="AF24" s="1278"/>
      <c r="AG24" s="1278"/>
      <c r="AH24" s="1278"/>
      <c r="AI24" s="1278"/>
      <c r="AJ24" s="1278">
        <f t="shared" si="1"/>
        <v>3143</v>
      </c>
    </row>
    <row r="25" spans="1:36" ht="12.75" customHeight="1">
      <c r="A25" s="1277" t="s">
        <v>187</v>
      </c>
      <c r="B25" s="1277" t="s">
        <v>335</v>
      </c>
      <c r="C25" s="1278">
        <v>13494</v>
      </c>
      <c r="D25" s="1278"/>
      <c r="E25" s="1278"/>
      <c r="F25" s="1278"/>
      <c r="G25" s="1278"/>
      <c r="H25" s="1278"/>
      <c r="I25" s="1278"/>
      <c r="J25" s="1278">
        <v>19</v>
      </c>
      <c r="K25" s="1278"/>
      <c r="L25" s="1278">
        <v>24</v>
      </c>
      <c r="M25" s="1278"/>
      <c r="N25" s="1278"/>
      <c r="O25" s="1278"/>
      <c r="P25" s="1278"/>
      <c r="Q25" s="1278"/>
      <c r="R25" s="1278"/>
      <c r="S25" s="1278"/>
      <c r="T25" s="1278"/>
      <c r="U25" s="1278"/>
      <c r="V25" s="1278"/>
      <c r="W25" s="1278">
        <f t="shared" si="0"/>
        <v>13537</v>
      </c>
      <c r="X25" s="1278"/>
      <c r="Y25" s="1278">
        <v>79</v>
      </c>
      <c r="Z25" s="1278"/>
      <c r="AA25" s="1278"/>
      <c r="AB25" s="1278"/>
      <c r="AC25" s="1278"/>
      <c r="AD25" s="1278"/>
      <c r="AE25" s="1278"/>
      <c r="AF25" s="1278">
        <v>6</v>
      </c>
      <c r="AG25" s="1278"/>
      <c r="AH25" s="1278"/>
      <c r="AI25" s="1278"/>
      <c r="AJ25" s="1278">
        <f t="shared" si="1"/>
        <v>13622</v>
      </c>
    </row>
    <row r="26" spans="1:36" ht="12.75" customHeight="1">
      <c r="A26" s="1277" t="s">
        <v>188</v>
      </c>
      <c r="B26" s="1277" t="s">
        <v>336</v>
      </c>
      <c r="C26" s="1278">
        <v>4566</v>
      </c>
      <c r="D26" s="1278"/>
      <c r="E26" s="1278"/>
      <c r="F26" s="1278"/>
      <c r="G26" s="1278"/>
      <c r="H26" s="1278"/>
      <c r="I26" s="1278">
        <v>1</v>
      </c>
      <c r="J26" s="1278">
        <v>14</v>
      </c>
      <c r="K26" s="1278"/>
      <c r="L26" s="1278">
        <v>2</v>
      </c>
      <c r="M26" s="1278"/>
      <c r="N26" s="1278"/>
      <c r="O26" s="1278"/>
      <c r="P26" s="1278"/>
      <c r="Q26" s="1278"/>
      <c r="R26" s="1278"/>
      <c r="S26" s="1278">
        <v>4</v>
      </c>
      <c r="T26" s="1278"/>
      <c r="U26" s="1278"/>
      <c r="V26" s="1278">
        <v>4</v>
      </c>
      <c r="W26" s="1278">
        <f t="shared" si="0"/>
        <v>4591</v>
      </c>
      <c r="X26" s="1278"/>
      <c r="Y26" s="1278"/>
      <c r="Z26" s="1278"/>
      <c r="AA26" s="1278"/>
      <c r="AB26" s="1278"/>
      <c r="AC26" s="1278"/>
      <c r="AD26" s="1278"/>
      <c r="AE26" s="1278"/>
      <c r="AF26" s="1278">
        <v>3</v>
      </c>
      <c r="AG26" s="1278"/>
      <c r="AH26" s="1278"/>
      <c r="AI26" s="1278"/>
      <c r="AJ26" s="1278">
        <f t="shared" si="1"/>
        <v>4594</v>
      </c>
    </row>
    <row r="27" spans="1:36" ht="12.75" customHeight="1">
      <c r="A27" s="1279" t="s">
        <v>189</v>
      </c>
      <c r="B27" s="1279" t="s">
        <v>337</v>
      </c>
      <c r="C27" s="1280">
        <v>2285</v>
      </c>
      <c r="D27" s="1280"/>
      <c r="E27" s="1280"/>
      <c r="F27" s="1280"/>
      <c r="G27" s="1280"/>
      <c r="H27" s="1280"/>
      <c r="I27" s="1280"/>
      <c r="J27" s="1280">
        <v>1</v>
      </c>
      <c r="K27" s="1280"/>
      <c r="L27" s="1280">
        <v>1</v>
      </c>
      <c r="M27" s="1280"/>
      <c r="N27" s="1280"/>
      <c r="O27" s="1280"/>
      <c r="P27" s="1280"/>
      <c r="Q27" s="1280"/>
      <c r="R27" s="1280"/>
      <c r="S27" s="1280"/>
      <c r="T27" s="1280"/>
      <c r="U27" s="1280"/>
      <c r="V27" s="1280"/>
      <c r="W27" s="1280">
        <f t="shared" si="0"/>
        <v>2287</v>
      </c>
      <c r="X27" s="1280"/>
      <c r="Y27" s="1280"/>
      <c r="Z27" s="1280"/>
      <c r="AA27" s="1280"/>
      <c r="AB27" s="1280"/>
      <c r="AC27" s="1280"/>
      <c r="AD27" s="1280"/>
      <c r="AE27" s="1280"/>
      <c r="AF27" s="1280"/>
      <c r="AG27" s="1280"/>
      <c r="AH27" s="1280"/>
      <c r="AI27" s="1280"/>
      <c r="AJ27" s="1280">
        <f t="shared" si="1"/>
        <v>2287</v>
      </c>
    </row>
    <row r="28" spans="1:36" ht="12.75" customHeight="1">
      <c r="A28" s="1275" t="s">
        <v>190</v>
      </c>
      <c r="B28" s="1275" t="s">
        <v>338</v>
      </c>
      <c r="C28" s="1276">
        <v>44749</v>
      </c>
      <c r="D28" s="1276"/>
      <c r="E28" s="1276"/>
      <c r="F28" s="1276"/>
      <c r="G28" s="1276"/>
      <c r="H28" s="1276"/>
      <c r="I28" s="1276"/>
      <c r="J28" s="1276">
        <v>167</v>
      </c>
      <c r="K28" s="1276">
        <v>58</v>
      </c>
      <c r="L28" s="1276">
        <v>102</v>
      </c>
      <c r="M28" s="1276"/>
      <c r="N28" s="1276">
        <v>71</v>
      </c>
      <c r="O28" s="1276">
        <v>191</v>
      </c>
      <c r="P28" s="1276"/>
      <c r="Q28" s="1276">
        <v>91</v>
      </c>
      <c r="R28" s="1276"/>
      <c r="S28" s="1276"/>
      <c r="T28" s="1276"/>
      <c r="U28" s="1276"/>
      <c r="V28" s="1276"/>
      <c r="W28" s="1276">
        <f t="shared" si="0"/>
        <v>45429</v>
      </c>
      <c r="X28" s="1276"/>
      <c r="Y28" s="1276"/>
      <c r="Z28" s="1276">
        <v>252</v>
      </c>
      <c r="AA28" s="1276"/>
      <c r="AB28" s="1276"/>
      <c r="AC28" s="1276">
        <v>256</v>
      </c>
      <c r="AD28" s="1276">
        <v>116</v>
      </c>
      <c r="AE28" s="1276"/>
      <c r="AF28" s="1276">
        <v>6</v>
      </c>
      <c r="AG28" s="1276">
        <v>48</v>
      </c>
      <c r="AH28" s="1276"/>
      <c r="AI28" s="1276"/>
      <c r="AJ28" s="1276">
        <f t="shared" si="1"/>
        <v>46107</v>
      </c>
    </row>
    <row r="29" spans="1:36" ht="12.75" customHeight="1">
      <c r="A29" s="1277" t="s">
        <v>339</v>
      </c>
      <c r="B29" s="1277" t="s">
        <v>340</v>
      </c>
      <c r="C29" s="1278">
        <v>5620</v>
      </c>
      <c r="D29" s="1278"/>
      <c r="E29" s="1278"/>
      <c r="F29" s="1278"/>
      <c r="G29" s="1278"/>
      <c r="H29" s="1278"/>
      <c r="I29" s="1278"/>
      <c r="J29" s="1278">
        <v>12</v>
      </c>
      <c r="K29" s="1278"/>
      <c r="L29" s="1278">
        <v>5</v>
      </c>
      <c r="M29" s="1278"/>
      <c r="N29" s="1278"/>
      <c r="O29" s="1278"/>
      <c r="P29" s="1278"/>
      <c r="Q29" s="1278"/>
      <c r="R29" s="1278"/>
      <c r="S29" s="1278"/>
      <c r="T29" s="1278"/>
      <c r="U29" s="1278"/>
      <c r="V29" s="1278"/>
      <c r="W29" s="1278">
        <f t="shared" si="0"/>
        <v>5637</v>
      </c>
      <c r="X29" s="1278"/>
      <c r="Y29" s="1278"/>
      <c r="Z29" s="1278"/>
      <c r="AA29" s="1278"/>
      <c r="AB29" s="1278"/>
      <c r="AC29" s="1278"/>
      <c r="AD29" s="1278"/>
      <c r="AE29" s="1278"/>
      <c r="AF29" s="1278"/>
      <c r="AG29" s="1278"/>
      <c r="AH29" s="1278"/>
      <c r="AI29" s="1278"/>
      <c r="AJ29" s="1278">
        <f t="shared" si="1"/>
        <v>5637</v>
      </c>
    </row>
    <row r="30" spans="1:36" ht="12.75" customHeight="1">
      <c r="A30" s="1277" t="s">
        <v>191</v>
      </c>
      <c r="B30" s="1277" t="s">
        <v>341</v>
      </c>
      <c r="C30" s="1278">
        <v>30064</v>
      </c>
      <c r="D30" s="1278"/>
      <c r="E30" s="1278"/>
      <c r="F30" s="1278"/>
      <c r="G30" s="1278"/>
      <c r="H30" s="1278"/>
      <c r="I30" s="1278"/>
      <c r="J30" s="1278">
        <v>87</v>
      </c>
      <c r="K30" s="1278"/>
      <c r="L30" s="1278">
        <v>53</v>
      </c>
      <c r="M30" s="1278"/>
      <c r="N30" s="1278"/>
      <c r="O30" s="1278"/>
      <c r="P30" s="1278">
        <v>1</v>
      </c>
      <c r="Q30" s="1278"/>
      <c r="R30" s="1278"/>
      <c r="S30" s="1278"/>
      <c r="T30" s="1278"/>
      <c r="U30" s="1278"/>
      <c r="V30" s="1278"/>
      <c r="W30" s="1278">
        <f t="shared" si="0"/>
        <v>30205</v>
      </c>
      <c r="X30" s="1278"/>
      <c r="Y30" s="1278">
        <v>4</v>
      </c>
      <c r="Z30" s="1278"/>
      <c r="AA30" s="1278"/>
      <c r="AB30" s="1278"/>
      <c r="AC30" s="1278"/>
      <c r="AD30" s="1278"/>
      <c r="AE30" s="1278"/>
      <c r="AF30" s="1278">
        <v>12</v>
      </c>
      <c r="AG30" s="1278"/>
      <c r="AH30" s="1278"/>
      <c r="AI30" s="1278"/>
      <c r="AJ30" s="1278">
        <f t="shared" si="1"/>
        <v>30221</v>
      </c>
    </row>
    <row r="31" spans="1:36" ht="12.75" customHeight="1">
      <c r="A31" s="1277" t="s">
        <v>192</v>
      </c>
      <c r="B31" s="1277" t="s">
        <v>342</v>
      </c>
      <c r="C31" s="1278">
        <v>13810</v>
      </c>
      <c r="D31" s="1278"/>
      <c r="E31" s="1278"/>
      <c r="F31" s="1278"/>
      <c r="G31" s="1278"/>
      <c r="H31" s="1278"/>
      <c r="I31" s="1278"/>
      <c r="J31" s="1278">
        <v>24</v>
      </c>
      <c r="K31" s="1278"/>
      <c r="L31" s="1278">
        <v>3</v>
      </c>
      <c r="M31" s="1278"/>
      <c r="N31" s="1278">
        <v>1</v>
      </c>
      <c r="O31" s="1278"/>
      <c r="P31" s="1278"/>
      <c r="Q31" s="1278"/>
      <c r="R31" s="1278"/>
      <c r="S31" s="1278"/>
      <c r="T31" s="1278"/>
      <c r="U31" s="1278"/>
      <c r="V31" s="1278"/>
      <c r="W31" s="1278">
        <f t="shared" si="0"/>
        <v>13838</v>
      </c>
      <c r="X31" s="1278"/>
      <c r="Y31" s="1278"/>
      <c r="Z31" s="1278"/>
      <c r="AA31" s="1278"/>
      <c r="AB31" s="1278"/>
      <c r="AC31" s="1278"/>
      <c r="AD31" s="1278"/>
      <c r="AE31" s="1278">
        <v>58</v>
      </c>
      <c r="AF31" s="1278">
        <v>3</v>
      </c>
      <c r="AG31" s="1278">
        <v>1</v>
      </c>
      <c r="AH31" s="1278"/>
      <c r="AI31" s="1278"/>
      <c r="AJ31" s="1278">
        <f t="shared" si="1"/>
        <v>13900</v>
      </c>
    </row>
    <row r="32" spans="1:36" ht="12.75" customHeight="1">
      <c r="A32" s="1279" t="s">
        <v>343</v>
      </c>
      <c r="B32" s="1279" t="s">
        <v>344</v>
      </c>
      <c r="C32" s="1280">
        <v>2460</v>
      </c>
      <c r="D32" s="1280"/>
      <c r="E32" s="1280"/>
      <c r="F32" s="1280"/>
      <c r="G32" s="1280"/>
      <c r="H32" s="1280"/>
      <c r="I32" s="1280"/>
      <c r="J32" s="1280">
        <v>5</v>
      </c>
      <c r="K32" s="1280"/>
      <c r="L32" s="1280">
        <v>3</v>
      </c>
      <c r="M32" s="1280"/>
      <c r="N32" s="1280"/>
      <c r="O32" s="1280"/>
      <c r="P32" s="1280"/>
      <c r="Q32" s="1280"/>
      <c r="R32" s="1280"/>
      <c r="S32" s="1280"/>
      <c r="T32" s="1280"/>
      <c r="U32" s="1280"/>
      <c r="V32" s="1280"/>
      <c r="W32" s="1280">
        <f t="shared" si="0"/>
        <v>2468</v>
      </c>
      <c r="X32" s="1280"/>
      <c r="Y32" s="1280"/>
      <c r="Z32" s="1280"/>
      <c r="AA32" s="1280"/>
      <c r="AB32" s="1280"/>
      <c r="AC32" s="1280"/>
      <c r="AD32" s="1280"/>
      <c r="AE32" s="1280"/>
      <c r="AF32" s="1280"/>
      <c r="AG32" s="1280"/>
      <c r="AH32" s="1280"/>
      <c r="AI32" s="1280"/>
      <c r="AJ32" s="1280">
        <f t="shared" si="1"/>
        <v>2468</v>
      </c>
    </row>
    <row r="33" spans="1:36" ht="12.75" customHeight="1">
      <c r="A33" s="1275" t="s">
        <v>193</v>
      </c>
      <c r="B33" s="1275" t="s">
        <v>345</v>
      </c>
      <c r="C33" s="1276">
        <v>6354</v>
      </c>
      <c r="D33" s="1276"/>
      <c r="E33" s="1276"/>
      <c r="F33" s="1276"/>
      <c r="G33" s="1276"/>
      <c r="H33" s="1276">
        <v>12</v>
      </c>
      <c r="I33" s="1276"/>
      <c r="J33" s="1276">
        <v>5</v>
      </c>
      <c r="K33" s="1276"/>
      <c r="L33" s="1276">
        <v>3</v>
      </c>
      <c r="M33" s="1276"/>
      <c r="N33" s="1276"/>
      <c r="O33" s="1276"/>
      <c r="P33" s="1276"/>
      <c r="Q33" s="1276"/>
      <c r="R33" s="1276"/>
      <c r="S33" s="1276"/>
      <c r="T33" s="1276"/>
      <c r="U33" s="1276"/>
      <c r="V33" s="1276"/>
      <c r="W33" s="1276">
        <f t="shared" si="0"/>
        <v>6374</v>
      </c>
      <c r="X33" s="1276"/>
      <c r="Y33" s="1276"/>
      <c r="Z33" s="1276"/>
      <c r="AA33" s="1276"/>
      <c r="AB33" s="1276"/>
      <c r="AC33" s="1276"/>
      <c r="AD33" s="1276"/>
      <c r="AE33" s="1276"/>
      <c r="AF33" s="1276">
        <v>3</v>
      </c>
      <c r="AG33" s="1276"/>
      <c r="AH33" s="1276"/>
      <c r="AI33" s="1276"/>
      <c r="AJ33" s="1276">
        <f t="shared" si="1"/>
        <v>6377</v>
      </c>
    </row>
    <row r="34" spans="1:36" ht="12.75" customHeight="1">
      <c r="A34" s="1277" t="s">
        <v>194</v>
      </c>
      <c r="B34" s="1277" t="s">
        <v>346</v>
      </c>
      <c r="C34" s="1278">
        <v>25019</v>
      </c>
      <c r="D34" s="1278"/>
      <c r="E34" s="1278"/>
      <c r="F34" s="1278"/>
      <c r="G34" s="1278"/>
      <c r="H34" s="1278"/>
      <c r="I34" s="1278"/>
      <c r="J34" s="1278">
        <v>79</v>
      </c>
      <c r="K34" s="1278"/>
      <c r="L34" s="1278">
        <v>73</v>
      </c>
      <c r="M34" s="1278"/>
      <c r="N34" s="1278"/>
      <c r="O34" s="1278"/>
      <c r="P34" s="1278"/>
      <c r="Q34" s="1278"/>
      <c r="R34" s="1278"/>
      <c r="S34" s="1278">
        <v>1</v>
      </c>
      <c r="T34" s="1278"/>
      <c r="U34" s="1278"/>
      <c r="V34" s="1278">
        <v>5</v>
      </c>
      <c r="W34" s="1278">
        <f t="shared" si="0"/>
        <v>25177</v>
      </c>
      <c r="X34" s="1278"/>
      <c r="Y34" s="1278"/>
      <c r="Z34" s="1278"/>
      <c r="AA34" s="1278"/>
      <c r="AB34" s="1278"/>
      <c r="AC34" s="1278"/>
      <c r="AD34" s="1278"/>
      <c r="AE34" s="1278"/>
      <c r="AF34" s="1278">
        <v>17</v>
      </c>
      <c r="AG34" s="1278">
        <v>1</v>
      </c>
      <c r="AH34" s="1278"/>
      <c r="AI34" s="1278"/>
      <c r="AJ34" s="1278">
        <f t="shared" si="1"/>
        <v>25195</v>
      </c>
    </row>
    <row r="35" spans="1:36" ht="12.75" customHeight="1">
      <c r="A35" s="1277" t="s">
        <v>347</v>
      </c>
      <c r="B35" s="1277" t="s">
        <v>348</v>
      </c>
      <c r="C35" s="1278">
        <v>1417</v>
      </c>
      <c r="D35" s="1278"/>
      <c r="E35" s="1278"/>
      <c r="F35" s="1278"/>
      <c r="G35" s="1278"/>
      <c r="H35" s="1278"/>
      <c r="I35" s="1278"/>
      <c r="J35" s="1278">
        <v>2</v>
      </c>
      <c r="K35" s="1278"/>
      <c r="L35" s="1278"/>
      <c r="M35" s="1278"/>
      <c r="N35" s="1278"/>
      <c r="O35" s="1278"/>
      <c r="P35" s="1278"/>
      <c r="Q35" s="1278"/>
      <c r="R35" s="1278">
        <v>294</v>
      </c>
      <c r="S35" s="1278"/>
      <c r="T35" s="1278"/>
      <c r="U35" s="1278"/>
      <c r="V35" s="1278"/>
      <c r="W35" s="1278">
        <f t="shared" ref="W35:W66" si="2">SUM(C35:V35)</f>
        <v>1713</v>
      </c>
      <c r="X35" s="1278"/>
      <c r="Y35" s="1278"/>
      <c r="Z35" s="1278"/>
      <c r="AA35" s="1278"/>
      <c r="AB35" s="1278">
        <v>211</v>
      </c>
      <c r="AC35" s="1278"/>
      <c r="AD35" s="1278"/>
      <c r="AE35" s="1278"/>
      <c r="AF35" s="1278"/>
      <c r="AG35" s="1278"/>
      <c r="AH35" s="1278"/>
      <c r="AI35" s="1278"/>
      <c r="AJ35" s="1278">
        <f t="shared" ref="AJ35:AJ66" si="3">SUM(W35:AI35)</f>
        <v>1924</v>
      </c>
    </row>
    <row r="36" spans="1:36" ht="12.75" customHeight="1">
      <c r="A36" s="1277" t="s">
        <v>195</v>
      </c>
      <c r="B36" s="1277" t="s">
        <v>349</v>
      </c>
      <c r="C36" s="1278">
        <v>4375</v>
      </c>
      <c r="D36" s="1278"/>
      <c r="E36" s="1278"/>
      <c r="F36" s="1278"/>
      <c r="G36" s="1278"/>
      <c r="H36" s="1278"/>
      <c r="I36" s="1278"/>
      <c r="J36" s="1278">
        <v>24</v>
      </c>
      <c r="K36" s="1278"/>
      <c r="L36" s="1278">
        <v>4</v>
      </c>
      <c r="M36" s="1278"/>
      <c r="N36" s="1278"/>
      <c r="O36" s="1278"/>
      <c r="P36" s="1278"/>
      <c r="Q36" s="1278"/>
      <c r="R36" s="1278"/>
      <c r="S36" s="1278"/>
      <c r="T36" s="1278"/>
      <c r="U36" s="1278"/>
      <c r="V36" s="1278"/>
      <c r="W36" s="1278">
        <f t="shared" si="2"/>
        <v>4403</v>
      </c>
      <c r="X36" s="1278">
        <v>4</v>
      </c>
      <c r="Y36" s="1278"/>
      <c r="Z36" s="1278"/>
      <c r="AA36" s="1278"/>
      <c r="AB36" s="1278">
        <v>2</v>
      </c>
      <c r="AC36" s="1278"/>
      <c r="AD36" s="1278"/>
      <c r="AE36" s="1278"/>
      <c r="AF36" s="1278">
        <v>1</v>
      </c>
      <c r="AG36" s="1278"/>
      <c r="AH36" s="1278"/>
      <c r="AI36" s="1278"/>
      <c r="AJ36" s="1278">
        <f t="shared" si="3"/>
        <v>4410</v>
      </c>
    </row>
    <row r="37" spans="1:36" ht="12.75" customHeight="1">
      <c r="A37" s="1279" t="s">
        <v>196</v>
      </c>
      <c r="B37" s="1279" t="s">
        <v>350</v>
      </c>
      <c r="C37" s="1280">
        <v>6370</v>
      </c>
      <c r="D37" s="1280"/>
      <c r="E37" s="1280"/>
      <c r="F37" s="1280"/>
      <c r="G37" s="1280"/>
      <c r="H37" s="1280"/>
      <c r="I37" s="1280"/>
      <c r="J37" s="1280">
        <v>17</v>
      </c>
      <c r="K37" s="1280"/>
      <c r="L37" s="1280">
        <v>19</v>
      </c>
      <c r="M37" s="1280"/>
      <c r="N37" s="1280"/>
      <c r="O37" s="1280"/>
      <c r="P37" s="1280"/>
      <c r="Q37" s="1280"/>
      <c r="R37" s="1280"/>
      <c r="S37" s="1280"/>
      <c r="T37" s="1280">
        <v>1</v>
      </c>
      <c r="U37" s="1280"/>
      <c r="V37" s="1280"/>
      <c r="W37" s="1280">
        <f t="shared" si="2"/>
        <v>6407</v>
      </c>
      <c r="X37" s="1280"/>
      <c r="Y37" s="1280"/>
      <c r="Z37" s="1280"/>
      <c r="AA37" s="1280"/>
      <c r="AB37" s="1280"/>
      <c r="AC37" s="1280"/>
      <c r="AD37" s="1280"/>
      <c r="AE37" s="1280"/>
      <c r="AF37" s="1280">
        <v>17</v>
      </c>
      <c r="AG37" s="1280"/>
      <c r="AH37" s="1280"/>
      <c r="AI37" s="1280"/>
      <c r="AJ37" s="1280">
        <f t="shared" si="3"/>
        <v>6424</v>
      </c>
    </row>
    <row r="38" spans="1:36" ht="12.75" customHeight="1">
      <c r="A38" s="1275" t="s">
        <v>197</v>
      </c>
      <c r="B38" s="1275" t="s">
        <v>351</v>
      </c>
      <c r="C38" s="1276">
        <v>12073</v>
      </c>
      <c r="D38" s="1276"/>
      <c r="E38" s="1276">
        <v>28165</v>
      </c>
      <c r="F38" s="1276">
        <v>999</v>
      </c>
      <c r="G38" s="1276"/>
      <c r="H38" s="1276"/>
      <c r="I38" s="1276"/>
      <c r="J38" s="1276">
        <v>65</v>
      </c>
      <c r="K38" s="1276">
        <v>399</v>
      </c>
      <c r="L38" s="1276">
        <v>31</v>
      </c>
      <c r="M38" s="1276"/>
      <c r="N38" s="1276">
        <v>225</v>
      </c>
      <c r="O38" s="1276">
        <v>158</v>
      </c>
      <c r="P38" s="1276"/>
      <c r="Q38" s="1276">
        <v>2</v>
      </c>
      <c r="R38" s="1276"/>
      <c r="S38" s="1276"/>
      <c r="T38" s="1276"/>
      <c r="U38" s="1276"/>
      <c r="V38" s="1276"/>
      <c r="W38" s="1276">
        <f t="shared" si="2"/>
        <v>42117</v>
      </c>
      <c r="X38" s="1276"/>
      <c r="Y38" s="1276"/>
      <c r="Z38" s="1276">
        <v>518</v>
      </c>
      <c r="AA38" s="1276"/>
      <c r="AB38" s="1276"/>
      <c r="AC38" s="1276">
        <v>183</v>
      </c>
      <c r="AD38" s="1276">
        <v>230</v>
      </c>
      <c r="AE38" s="1276"/>
      <c r="AF38" s="1276">
        <v>2</v>
      </c>
      <c r="AG38" s="1276">
        <v>76</v>
      </c>
      <c r="AH38" s="1276"/>
      <c r="AI38" s="1276"/>
      <c r="AJ38" s="1276">
        <f t="shared" si="3"/>
        <v>43126</v>
      </c>
    </row>
    <row r="39" spans="1:36" ht="12.75" customHeight="1">
      <c r="A39" s="1277" t="s">
        <v>198</v>
      </c>
      <c r="B39" s="1277" t="s">
        <v>352</v>
      </c>
      <c r="C39" s="1278">
        <v>19389</v>
      </c>
      <c r="D39" s="1278"/>
      <c r="E39" s="1278"/>
      <c r="F39" s="1278"/>
      <c r="G39" s="1278"/>
      <c r="H39" s="1278">
        <v>3</v>
      </c>
      <c r="I39" s="1278"/>
      <c r="J39" s="1278">
        <v>54</v>
      </c>
      <c r="K39" s="1278"/>
      <c r="L39" s="1278">
        <v>30</v>
      </c>
      <c r="M39" s="1278"/>
      <c r="N39" s="1278"/>
      <c r="O39" s="1278"/>
      <c r="P39" s="1278"/>
      <c r="Q39" s="1278"/>
      <c r="R39" s="1278"/>
      <c r="S39" s="1278"/>
      <c r="T39" s="1278">
        <v>2</v>
      </c>
      <c r="U39" s="1278"/>
      <c r="V39" s="1278"/>
      <c r="W39" s="1278">
        <f t="shared" si="2"/>
        <v>19478</v>
      </c>
      <c r="X39" s="1278">
        <v>132</v>
      </c>
      <c r="Y39" s="1278"/>
      <c r="Z39" s="1278"/>
      <c r="AA39" s="1278"/>
      <c r="AB39" s="1278">
        <v>6</v>
      </c>
      <c r="AC39" s="1278"/>
      <c r="AD39" s="1278"/>
      <c r="AE39" s="1278"/>
      <c r="AF39" s="1278">
        <v>7</v>
      </c>
      <c r="AG39" s="1278"/>
      <c r="AH39" s="1278"/>
      <c r="AI39" s="1278"/>
      <c r="AJ39" s="1278">
        <f t="shared" si="3"/>
        <v>19623</v>
      </c>
    </row>
    <row r="40" spans="1:36" ht="12.75" customHeight="1">
      <c r="A40" s="1277" t="s">
        <v>199</v>
      </c>
      <c r="B40" s="1277" t="s">
        <v>353</v>
      </c>
      <c r="C40" s="1278">
        <v>3851</v>
      </c>
      <c r="D40" s="1278"/>
      <c r="E40" s="1278"/>
      <c r="F40" s="1278"/>
      <c r="G40" s="1278"/>
      <c r="H40" s="1278"/>
      <c r="I40" s="1278"/>
      <c r="J40" s="1278">
        <v>6</v>
      </c>
      <c r="K40" s="1278"/>
      <c r="L40" s="1278">
        <v>6</v>
      </c>
      <c r="M40" s="1278"/>
      <c r="N40" s="1278">
        <v>4</v>
      </c>
      <c r="O40" s="1278">
        <v>7</v>
      </c>
      <c r="P40" s="1278"/>
      <c r="Q40" s="1278"/>
      <c r="R40" s="1278"/>
      <c r="S40" s="1278"/>
      <c r="T40" s="1278"/>
      <c r="U40" s="1278"/>
      <c r="V40" s="1278"/>
      <c r="W40" s="1278">
        <f t="shared" si="2"/>
        <v>3874</v>
      </c>
      <c r="X40" s="1278"/>
      <c r="Y40" s="1278"/>
      <c r="Z40" s="1278">
        <v>1</v>
      </c>
      <c r="AA40" s="1278"/>
      <c r="AB40" s="1278"/>
      <c r="AC40" s="1278">
        <v>493</v>
      </c>
      <c r="AD40" s="1278"/>
      <c r="AE40" s="1278"/>
      <c r="AF40" s="1278">
        <v>1</v>
      </c>
      <c r="AG40" s="1278">
        <v>2</v>
      </c>
      <c r="AH40" s="1278"/>
      <c r="AI40" s="1278"/>
      <c r="AJ40" s="1278">
        <f t="shared" si="3"/>
        <v>4371</v>
      </c>
    </row>
    <row r="41" spans="1:36" ht="12.75" customHeight="1">
      <c r="A41" s="1277" t="s">
        <v>200</v>
      </c>
      <c r="B41" s="1277" t="s">
        <v>354</v>
      </c>
      <c r="C41" s="1278">
        <v>2600</v>
      </c>
      <c r="D41" s="1278"/>
      <c r="E41" s="1278"/>
      <c r="F41" s="1278">
        <v>182</v>
      </c>
      <c r="G41" s="1278"/>
      <c r="H41" s="1278"/>
      <c r="I41" s="1278"/>
      <c r="J41" s="1278">
        <v>5</v>
      </c>
      <c r="K41" s="1278"/>
      <c r="L41" s="1278">
        <v>9</v>
      </c>
      <c r="M41" s="1278"/>
      <c r="N41" s="1278"/>
      <c r="O41" s="1278"/>
      <c r="P41" s="1278"/>
      <c r="Q41" s="1278"/>
      <c r="R41" s="1278"/>
      <c r="S41" s="1278"/>
      <c r="T41" s="1278"/>
      <c r="U41" s="1278"/>
      <c r="V41" s="1278">
        <v>1</v>
      </c>
      <c r="W41" s="1278">
        <f t="shared" si="2"/>
        <v>2797</v>
      </c>
      <c r="X41" s="1278"/>
      <c r="Y41" s="1278"/>
      <c r="Z41" s="1278"/>
      <c r="AA41" s="1278">
        <v>2</v>
      </c>
      <c r="AB41" s="1278"/>
      <c r="AC41" s="1278"/>
      <c r="AD41" s="1278"/>
      <c r="AE41" s="1278"/>
      <c r="AF41" s="1278">
        <v>6</v>
      </c>
      <c r="AG41" s="1278"/>
      <c r="AH41" s="1278"/>
      <c r="AI41" s="1278"/>
      <c r="AJ41" s="1278">
        <f t="shared" si="3"/>
        <v>2805</v>
      </c>
    </row>
    <row r="42" spans="1:36" ht="12.75" customHeight="1">
      <c r="A42" s="1279" t="s">
        <v>201</v>
      </c>
      <c r="B42" s="1279" t="s">
        <v>355</v>
      </c>
      <c r="C42" s="1280">
        <v>22930</v>
      </c>
      <c r="D42" s="1280"/>
      <c r="E42" s="1280"/>
      <c r="F42" s="1280"/>
      <c r="G42" s="1280"/>
      <c r="H42" s="1280"/>
      <c r="I42" s="1280"/>
      <c r="J42" s="1280">
        <v>59</v>
      </c>
      <c r="K42" s="1280"/>
      <c r="L42" s="1280">
        <v>35</v>
      </c>
      <c r="M42" s="1280"/>
      <c r="N42" s="1280"/>
      <c r="O42" s="1280"/>
      <c r="P42" s="1280"/>
      <c r="Q42" s="1280"/>
      <c r="R42" s="1280"/>
      <c r="S42" s="1280"/>
      <c r="T42" s="1280"/>
      <c r="U42" s="1280"/>
      <c r="V42" s="1280"/>
      <c r="W42" s="1280">
        <f t="shared" si="2"/>
        <v>23024</v>
      </c>
      <c r="X42" s="1280"/>
      <c r="Y42" s="1280"/>
      <c r="Z42" s="1280"/>
      <c r="AA42" s="1280">
        <v>3</v>
      </c>
      <c r="AB42" s="1280"/>
      <c r="AC42" s="1280"/>
      <c r="AD42" s="1280"/>
      <c r="AE42" s="1280"/>
      <c r="AF42" s="1280">
        <v>16</v>
      </c>
      <c r="AG42" s="1280"/>
      <c r="AH42" s="1280"/>
      <c r="AI42" s="1280"/>
      <c r="AJ42" s="1280">
        <f t="shared" si="3"/>
        <v>23043</v>
      </c>
    </row>
    <row r="43" spans="1:36" ht="12.75" customHeight="1">
      <c r="A43" s="1275" t="s">
        <v>356</v>
      </c>
      <c r="B43" s="1275" t="s">
        <v>357</v>
      </c>
      <c r="C43" s="1276">
        <v>1451</v>
      </c>
      <c r="D43" s="1276"/>
      <c r="E43" s="1276"/>
      <c r="F43" s="1276"/>
      <c r="G43" s="1276"/>
      <c r="H43" s="1276"/>
      <c r="I43" s="1276"/>
      <c r="J43" s="1276"/>
      <c r="K43" s="1276"/>
      <c r="L43" s="1276"/>
      <c r="M43" s="1276"/>
      <c r="N43" s="1276"/>
      <c r="O43" s="1276"/>
      <c r="P43" s="1276"/>
      <c r="Q43" s="1276"/>
      <c r="R43" s="1276"/>
      <c r="S43" s="1276"/>
      <c r="T43" s="1276"/>
      <c r="U43" s="1276"/>
      <c r="V43" s="1276"/>
      <c r="W43" s="1276">
        <f t="shared" si="2"/>
        <v>1451</v>
      </c>
      <c r="X43" s="1276"/>
      <c r="Y43" s="1276"/>
      <c r="Z43" s="1276"/>
      <c r="AA43" s="1276"/>
      <c r="AB43" s="1276"/>
      <c r="AC43" s="1276"/>
      <c r="AD43" s="1276"/>
      <c r="AE43" s="1276"/>
      <c r="AF43" s="1276">
        <v>1</v>
      </c>
      <c r="AG43" s="1276"/>
      <c r="AH43" s="1276"/>
      <c r="AI43" s="1276"/>
      <c r="AJ43" s="1276">
        <f t="shared" si="3"/>
        <v>1452</v>
      </c>
    </row>
    <row r="44" spans="1:36" ht="12.75" customHeight="1">
      <c r="A44" s="1277" t="s">
        <v>202</v>
      </c>
      <c r="B44" s="1277" t="s">
        <v>358</v>
      </c>
      <c r="C44" s="1278">
        <v>3234</v>
      </c>
      <c r="D44" s="1278"/>
      <c r="E44" s="1278"/>
      <c r="F44" s="1278"/>
      <c r="G44" s="1278"/>
      <c r="H44" s="1278"/>
      <c r="I44" s="1278"/>
      <c r="J44" s="1278">
        <v>5</v>
      </c>
      <c r="K44" s="1278"/>
      <c r="L44" s="1278">
        <v>5</v>
      </c>
      <c r="M44" s="1278"/>
      <c r="N44" s="1278"/>
      <c r="O44" s="1278"/>
      <c r="P44" s="1278"/>
      <c r="Q44" s="1278"/>
      <c r="R44" s="1278"/>
      <c r="S44" s="1278"/>
      <c r="T44" s="1278"/>
      <c r="U44" s="1278"/>
      <c r="V44" s="1278"/>
      <c r="W44" s="1278">
        <f t="shared" si="2"/>
        <v>3244</v>
      </c>
      <c r="X44" s="1278">
        <v>4</v>
      </c>
      <c r="Y44" s="1278"/>
      <c r="Z44" s="1278"/>
      <c r="AA44" s="1278"/>
      <c r="AB44" s="1278">
        <v>460</v>
      </c>
      <c r="AC44" s="1278"/>
      <c r="AD44" s="1278"/>
      <c r="AE44" s="1278"/>
      <c r="AF44" s="1278"/>
      <c r="AG44" s="1278"/>
      <c r="AH44" s="1278"/>
      <c r="AI44" s="1278"/>
      <c r="AJ44" s="1278">
        <f t="shared" si="3"/>
        <v>3708</v>
      </c>
    </row>
    <row r="45" spans="1:36" ht="12.75" customHeight="1">
      <c r="A45" s="1277" t="s">
        <v>359</v>
      </c>
      <c r="B45" s="1277" t="s">
        <v>360</v>
      </c>
      <c r="C45" s="1278">
        <v>4095</v>
      </c>
      <c r="D45" s="1278"/>
      <c r="E45" s="1278"/>
      <c r="F45" s="1278"/>
      <c r="G45" s="1278"/>
      <c r="H45" s="1278"/>
      <c r="I45" s="1278"/>
      <c r="J45" s="1278">
        <v>10</v>
      </c>
      <c r="K45" s="1278"/>
      <c r="L45" s="1278">
        <v>6</v>
      </c>
      <c r="M45" s="1278"/>
      <c r="N45" s="1278"/>
      <c r="O45" s="1278"/>
      <c r="P45" s="1278"/>
      <c r="Q45" s="1278"/>
      <c r="R45" s="1278"/>
      <c r="S45" s="1278"/>
      <c r="T45" s="1278"/>
      <c r="U45" s="1278"/>
      <c r="V45" s="1278"/>
      <c r="W45" s="1278">
        <f t="shared" si="2"/>
        <v>4111</v>
      </c>
      <c r="X45" s="1278"/>
      <c r="Y45" s="1278"/>
      <c r="Z45" s="1278"/>
      <c r="AA45" s="1278"/>
      <c r="AB45" s="1278"/>
      <c r="AC45" s="1278"/>
      <c r="AD45" s="1278"/>
      <c r="AE45" s="1278"/>
      <c r="AF45" s="1278">
        <v>3</v>
      </c>
      <c r="AG45" s="1278"/>
      <c r="AH45" s="1278"/>
      <c r="AI45" s="1278"/>
      <c r="AJ45" s="1278">
        <f t="shared" si="3"/>
        <v>4114</v>
      </c>
    </row>
    <row r="46" spans="1:36" ht="12.75" customHeight="1">
      <c r="A46" s="1277" t="s">
        <v>203</v>
      </c>
      <c r="B46" s="1277" t="s">
        <v>361</v>
      </c>
      <c r="C46" s="1278">
        <v>6651</v>
      </c>
      <c r="D46" s="1278"/>
      <c r="E46" s="1278"/>
      <c r="F46" s="1278"/>
      <c r="G46" s="1278"/>
      <c r="H46" s="1278"/>
      <c r="I46" s="1278"/>
      <c r="J46" s="1278">
        <v>16</v>
      </c>
      <c r="K46" s="1278">
        <v>2</v>
      </c>
      <c r="L46" s="1278">
        <v>6</v>
      </c>
      <c r="M46" s="1278"/>
      <c r="N46" s="1278">
        <v>4</v>
      </c>
      <c r="O46" s="1278">
        <v>1</v>
      </c>
      <c r="P46" s="1278"/>
      <c r="Q46" s="1278"/>
      <c r="R46" s="1278"/>
      <c r="S46" s="1278"/>
      <c r="T46" s="1278"/>
      <c r="U46" s="1278"/>
      <c r="V46" s="1278"/>
      <c r="W46" s="1278">
        <f t="shared" si="2"/>
        <v>6680</v>
      </c>
      <c r="X46" s="1278"/>
      <c r="Y46" s="1278"/>
      <c r="Z46" s="1278">
        <v>22</v>
      </c>
      <c r="AA46" s="1278"/>
      <c r="AB46" s="1278"/>
      <c r="AC46" s="1278">
        <v>3</v>
      </c>
      <c r="AD46" s="1278"/>
      <c r="AE46" s="1278"/>
      <c r="AF46" s="1278">
        <v>2</v>
      </c>
      <c r="AG46" s="1278">
        <v>6</v>
      </c>
      <c r="AH46" s="1278"/>
      <c r="AI46" s="1278"/>
      <c r="AJ46" s="1278">
        <f t="shared" si="3"/>
        <v>6713</v>
      </c>
    </row>
    <row r="47" spans="1:36" ht="12.75" customHeight="1">
      <c r="A47" s="1279" t="s">
        <v>204</v>
      </c>
      <c r="B47" s="1279" t="s">
        <v>362</v>
      </c>
      <c r="C47" s="1280">
        <v>9391</v>
      </c>
      <c r="D47" s="1280"/>
      <c r="E47" s="1280"/>
      <c r="F47" s="1280"/>
      <c r="G47" s="1280"/>
      <c r="H47" s="1280"/>
      <c r="I47" s="1280"/>
      <c r="J47" s="1280">
        <v>11</v>
      </c>
      <c r="K47" s="1280"/>
      <c r="L47" s="1280">
        <v>13</v>
      </c>
      <c r="M47" s="1280"/>
      <c r="N47" s="1280">
        <v>2</v>
      </c>
      <c r="O47" s="1280"/>
      <c r="P47" s="1280"/>
      <c r="Q47" s="1280">
        <v>1</v>
      </c>
      <c r="R47" s="1280"/>
      <c r="S47" s="1280"/>
      <c r="T47" s="1280"/>
      <c r="U47" s="1280"/>
      <c r="V47" s="1280"/>
      <c r="W47" s="1280">
        <f t="shared" si="2"/>
        <v>9418</v>
      </c>
      <c r="X47" s="1280"/>
      <c r="Y47" s="1280"/>
      <c r="Z47" s="1280">
        <v>7</v>
      </c>
      <c r="AA47" s="1280"/>
      <c r="AB47" s="1280"/>
      <c r="AC47" s="1280"/>
      <c r="AD47" s="1280"/>
      <c r="AE47" s="1280">
        <v>2</v>
      </c>
      <c r="AF47" s="1280">
        <v>3</v>
      </c>
      <c r="AG47" s="1280">
        <v>9</v>
      </c>
      <c r="AH47" s="1280"/>
      <c r="AI47" s="1280"/>
      <c r="AJ47" s="1280">
        <f t="shared" si="3"/>
        <v>9439</v>
      </c>
    </row>
    <row r="48" spans="1:36" ht="12.75" customHeight="1">
      <c r="A48" s="1275" t="s">
        <v>205</v>
      </c>
      <c r="B48" s="1275" t="s">
        <v>363</v>
      </c>
      <c r="C48" s="1276">
        <v>718</v>
      </c>
      <c r="D48" s="1276"/>
      <c r="E48" s="1276"/>
      <c r="F48" s="1276">
        <v>309</v>
      </c>
      <c r="G48" s="1276"/>
      <c r="H48" s="1276"/>
      <c r="I48" s="1276"/>
      <c r="J48" s="1276">
        <v>8</v>
      </c>
      <c r="K48" s="1276"/>
      <c r="L48" s="1276">
        <v>6</v>
      </c>
      <c r="M48" s="1276"/>
      <c r="N48" s="1276"/>
      <c r="O48" s="1276"/>
      <c r="P48" s="1276"/>
      <c r="Q48" s="1276"/>
      <c r="R48" s="1276"/>
      <c r="S48" s="1276"/>
      <c r="T48" s="1276"/>
      <c r="U48" s="1276"/>
      <c r="V48" s="1276"/>
      <c r="W48" s="1276">
        <f t="shared" si="2"/>
        <v>1041</v>
      </c>
      <c r="X48" s="1276"/>
      <c r="Y48" s="1276"/>
      <c r="Z48" s="1276"/>
      <c r="AA48" s="1276"/>
      <c r="AB48" s="1276"/>
      <c r="AC48" s="1276"/>
      <c r="AD48" s="1276"/>
      <c r="AE48" s="1276"/>
      <c r="AF48" s="1276"/>
      <c r="AG48" s="1276"/>
      <c r="AH48" s="1276"/>
      <c r="AI48" s="1276"/>
      <c r="AJ48" s="1276">
        <f t="shared" si="3"/>
        <v>1041</v>
      </c>
    </row>
    <row r="49" spans="1:36" ht="12.75" customHeight="1">
      <c r="A49" s="1277" t="s">
        <v>206</v>
      </c>
      <c r="B49" s="1277" t="s">
        <v>364</v>
      </c>
      <c r="C49" s="1278">
        <v>3626</v>
      </c>
      <c r="D49" s="1278"/>
      <c r="E49" s="1278"/>
      <c r="F49" s="1278"/>
      <c r="G49" s="1278"/>
      <c r="H49" s="1278"/>
      <c r="I49" s="1278"/>
      <c r="J49" s="1278">
        <v>2</v>
      </c>
      <c r="K49" s="1278"/>
      <c r="L49" s="1278">
        <v>1</v>
      </c>
      <c r="M49" s="1278"/>
      <c r="N49" s="1278"/>
      <c r="O49" s="1278"/>
      <c r="P49" s="1278"/>
      <c r="Q49" s="1278"/>
      <c r="R49" s="1278"/>
      <c r="S49" s="1278"/>
      <c r="T49" s="1278"/>
      <c r="U49" s="1278"/>
      <c r="V49" s="1278"/>
      <c r="W49" s="1278">
        <f t="shared" si="2"/>
        <v>3629</v>
      </c>
      <c r="X49" s="1278"/>
      <c r="Y49" s="1278"/>
      <c r="Z49" s="1278"/>
      <c r="AA49" s="1278"/>
      <c r="AB49" s="1278"/>
      <c r="AC49" s="1278"/>
      <c r="AD49" s="1278"/>
      <c r="AE49" s="1278">
        <v>3</v>
      </c>
      <c r="AF49" s="1278">
        <v>5</v>
      </c>
      <c r="AG49" s="1278"/>
      <c r="AH49" s="1278"/>
      <c r="AI49" s="1278"/>
      <c r="AJ49" s="1278">
        <f t="shared" si="3"/>
        <v>3637</v>
      </c>
    </row>
    <row r="50" spans="1:36" ht="12.75" customHeight="1">
      <c r="A50" s="1277" t="s">
        <v>207</v>
      </c>
      <c r="B50" s="1277" t="s">
        <v>365</v>
      </c>
      <c r="C50" s="1278">
        <v>5739</v>
      </c>
      <c r="D50" s="1278"/>
      <c r="E50" s="1278"/>
      <c r="F50" s="1278"/>
      <c r="G50" s="1278"/>
      <c r="H50" s="1278"/>
      <c r="I50" s="1278"/>
      <c r="J50" s="1278">
        <v>25</v>
      </c>
      <c r="K50" s="1278">
        <v>2</v>
      </c>
      <c r="L50" s="1278">
        <v>28</v>
      </c>
      <c r="M50" s="1278"/>
      <c r="N50" s="1278"/>
      <c r="O50" s="1278"/>
      <c r="P50" s="1278"/>
      <c r="Q50" s="1278">
        <v>1</v>
      </c>
      <c r="R50" s="1278"/>
      <c r="S50" s="1278"/>
      <c r="T50" s="1278"/>
      <c r="U50" s="1278"/>
      <c r="V50" s="1278"/>
      <c r="W50" s="1278">
        <f t="shared" si="2"/>
        <v>5795</v>
      </c>
      <c r="X50" s="1278"/>
      <c r="Y50" s="1278"/>
      <c r="Z50" s="1278">
        <v>5</v>
      </c>
      <c r="AA50" s="1278"/>
      <c r="AB50" s="1278"/>
      <c r="AC50" s="1278"/>
      <c r="AD50" s="1278"/>
      <c r="AE50" s="1278"/>
      <c r="AF50" s="1278">
        <v>1</v>
      </c>
      <c r="AG50" s="1278">
        <v>1</v>
      </c>
      <c r="AH50" s="1278"/>
      <c r="AI50" s="1278"/>
      <c r="AJ50" s="1278">
        <f t="shared" si="3"/>
        <v>5802</v>
      </c>
    </row>
    <row r="51" spans="1:36" ht="12.75" customHeight="1">
      <c r="A51" s="1277" t="s">
        <v>208</v>
      </c>
      <c r="B51" s="1277" t="s">
        <v>366</v>
      </c>
      <c r="C51" s="1278">
        <v>14198</v>
      </c>
      <c r="D51" s="1278"/>
      <c r="E51" s="1278"/>
      <c r="F51" s="1278"/>
      <c r="G51" s="1278"/>
      <c r="H51" s="1278"/>
      <c r="I51" s="1278"/>
      <c r="J51" s="1278">
        <v>67</v>
      </c>
      <c r="K51" s="1278"/>
      <c r="L51" s="1278">
        <v>35</v>
      </c>
      <c r="M51" s="1278"/>
      <c r="N51" s="1278"/>
      <c r="O51" s="1278"/>
      <c r="P51" s="1278">
        <v>195</v>
      </c>
      <c r="Q51" s="1278"/>
      <c r="R51" s="1278"/>
      <c r="S51" s="1278"/>
      <c r="T51" s="1278"/>
      <c r="U51" s="1278"/>
      <c r="V51" s="1278"/>
      <c r="W51" s="1278">
        <f t="shared" si="2"/>
        <v>14495</v>
      </c>
      <c r="X51" s="1278"/>
      <c r="Y51" s="1278"/>
      <c r="Z51" s="1278"/>
      <c r="AA51" s="1278">
        <v>2</v>
      </c>
      <c r="AB51" s="1278"/>
      <c r="AC51" s="1278"/>
      <c r="AD51" s="1278"/>
      <c r="AE51" s="1278"/>
      <c r="AF51" s="1278">
        <v>7</v>
      </c>
      <c r="AG51" s="1278"/>
      <c r="AH51" s="1278"/>
      <c r="AI51" s="1278"/>
      <c r="AJ51" s="1278">
        <f>SUM(W51:AI51)</f>
        <v>14504</v>
      </c>
    </row>
    <row r="52" spans="1:36" ht="12.75" customHeight="1">
      <c r="A52" s="1279" t="s">
        <v>209</v>
      </c>
      <c r="B52" s="1279" t="s">
        <v>367</v>
      </c>
      <c r="C52" s="1280">
        <v>7891</v>
      </c>
      <c r="D52" s="1280"/>
      <c r="E52" s="1280"/>
      <c r="F52" s="1280"/>
      <c r="G52" s="1280"/>
      <c r="H52" s="1280"/>
      <c r="I52" s="1280"/>
      <c r="J52" s="1280">
        <v>24</v>
      </c>
      <c r="K52" s="1280"/>
      <c r="L52" s="1280">
        <v>6</v>
      </c>
      <c r="M52" s="1280"/>
      <c r="N52" s="1280"/>
      <c r="O52" s="1280"/>
      <c r="P52" s="1280"/>
      <c r="Q52" s="1280"/>
      <c r="R52" s="1280"/>
      <c r="S52" s="1280"/>
      <c r="T52" s="1280"/>
      <c r="U52" s="1280"/>
      <c r="V52" s="1280"/>
      <c r="W52" s="1280">
        <f t="shared" si="2"/>
        <v>7921</v>
      </c>
      <c r="X52" s="1280"/>
      <c r="Y52" s="1280"/>
      <c r="Z52" s="1280"/>
      <c r="AA52" s="1280"/>
      <c r="AB52" s="1280"/>
      <c r="AC52" s="1280"/>
      <c r="AD52" s="1280"/>
      <c r="AE52" s="1280"/>
      <c r="AF52" s="1280">
        <v>7</v>
      </c>
      <c r="AG52" s="1280"/>
      <c r="AH52" s="1280"/>
      <c r="AI52" s="1280"/>
      <c r="AJ52" s="1280">
        <f t="shared" si="3"/>
        <v>7928</v>
      </c>
    </row>
    <row r="53" spans="1:36" ht="12.75" customHeight="1">
      <c r="A53" s="1275" t="s">
        <v>210</v>
      </c>
      <c r="B53" s="1275" t="s">
        <v>368</v>
      </c>
      <c r="C53" s="1276">
        <v>8872</v>
      </c>
      <c r="D53" s="1276"/>
      <c r="E53" s="1276"/>
      <c r="F53" s="1276"/>
      <c r="G53" s="1276"/>
      <c r="H53" s="1276"/>
      <c r="I53" s="1276"/>
      <c r="J53" s="1276">
        <v>18</v>
      </c>
      <c r="K53" s="1276"/>
      <c r="L53" s="1276">
        <v>4</v>
      </c>
      <c r="M53" s="1276"/>
      <c r="N53" s="1276"/>
      <c r="O53" s="1276"/>
      <c r="P53" s="1276"/>
      <c r="Q53" s="1276"/>
      <c r="R53" s="1276"/>
      <c r="S53" s="1276"/>
      <c r="T53" s="1276"/>
      <c r="U53" s="1276"/>
      <c r="V53" s="1276"/>
      <c r="W53" s="1276">
        <f t="shared" si="2"/>
        <v>8894</v>
      </c>
      <c r="X53" s="1276"/>
      <c r="Y53" s="1276">
        <v>280</v>
      </c>
      <c r="Z53" s="1276"/>
      <c r="AA53" s="1276"/>
      <c r="AB53" s="1276"/>
      <c r="AC53" s="1276"/>
      <c r="AD53" s="1276"/>
      <c r="AE53" s="1276">
        <v>3</v>
      </c>
      <c r="AF53" s="1276">
        <v>5</v>
      </c>
      <c r="AG53" s="1276"/>
      <c r="AH53" s="1276"/>
      <c r="AI53" s="1276"/>
      <c r="AJ53" s="1276">
        <f t="shared" si="3"/>
        <v>9182</v>
      </c>
    </row>
    <row r="54" spans="1:36" ht="12.75" customHeight="1">
      <c r="A54" s="1277" t="s">
        <v>211</v>
      </c>
      <c r="B54" s="1277" t="s">
        <v>369</v>
      </c>
      <c r="C54" s="1278">
        <v>37028</v>
      </c>
      <c r="D54" s="1278"/>
      <c r="E54" s="1278"/>
      <c r="F54" s="1278"/>
      <c r="G54" s="1278"/>
      <c r="H54" s="1278"/>
      <c r="I54" s="1278"/>
      <c r="J54" s="1278">
        <v>97</v>
      </c>
      <c r="K54" s="1278"/>
      <c r="L54" s="1278">
        <v>100</v>
      </c>
      <c r="M54" s="1278"/>
      <c r="N54" s="1278">
        <v>1</v>
      </c>
      <c r="O54" s="1278"/>
      <c r="P54" s="1278"/>
      <c r="Q54" s="1278"/>
      <c r="R54" s="1278"/>
      <c r="S54" s="1278"/>
      <c r="T54" s="1278"/>
      <c r="U54" s="1278"/>
      <c r="V54" s="1278"/>
      <c r="W54" s="1278">
        <f t="shared" si="2"/>
        <v>37226</v>
      </c>
      <c r="X54" s="1278"/>
      <c r="Y54" s="1278"/>
      <c r="Z54" s="1278">
        <v>13</v>
      </c>
      <c r="AA54" s="1278"/>
      <c r="AB54" s="1278"/>
      <c r="AC54" s="1278">
        <v>1</v>
      </c>
      <c r="AD54" s="1278"/>
      <c r="AE54" s="1278"/>
      <c r="AF54" s="1278">
        <v>10</v>
      </c>
      <c r="AG54" s="1278">
        <v>26</v>
      </c>
      <c r="AH54" s="1278"/>
      <c r="AI54" s="1278"/>
      <c r="AJ54" s="1278">
        <f t="shared" si="3"/>
        <v>37276</v>
      </c>
    </row>
    <row r="55" spans="1:36" ht="12.75" customHeight="1">
      <c r="A55" s="1277" t="s">
        <v>212</v>
      </c>
      <c r="B55" s="1277" t="s">
        <v>370</v>
      </c>
      <c r="C55" s="1278">
        <v>19264</v>
      </c>
      <c r="D55" s="1278"/>
      <c r="E55" s="1278"/>
      <c r="F55" s="1278"/>
      <c r="G55" s="1278"/>
      <c r="H55" s="1278"/>
      <c r="I55" s="1278"/>
      <c r="J55" s="1278">
        <v>103</v>
      </c>
      <c r="K55" s="1278"/>
      <c r="L55" s="1278">
        <v>67</v>
      </c>
      <c r="M55" s="1278"/>
      <c r="N55" s="1278"/>
      <c r="O55" s="1278"/>
      <c r="P55" s="1278"/>
      <c r="Q55" s="1278"/>
      <c r="R55" s="1278"/>
      <c r="S55" s="1278"/>
      <c r="T55" s="1278"/>
      <c r="U55" s="1278"/>
      <c r="V55" s="1278"/>
      <c r="W55" s="1278">
        <f t="shared" si="2"/>
        <v>19434</v>
      </c>
      <c r="X55" s="1278"/>
      <c r="Y55" s="1278"/>
      <c r="Z55" s="1278"/>
      <c r="AA55" s="1278"/>
      <c r="AB55" s="1278"/>
      <c r="AC55" s="1278"/>
      <c r="AD55" s="1278"/>
      <c r="AE55" s="1278"/>
      <c r="AF55" s="1278">
        <v>6</v>
      </c>
      <c r="AG55" s="1278">
        <v>3</v>
      </c>
      <c r="AH55" s="1278"/>
      <c r="AI55" s="1278"/>
      <c r="AJ55" s="1278">
        <f t="shared" si="3"/>
        <v>19443</v>
      </c>
    </row>
    <row r="56" spans="1:36" ht="12.75" customHeight="1">
      <c r="A56" s="1277" t="s">
        <v>371</v>
      </c>
      <c r="B56" s="1277" t="s">
        <v>372</v>
      </c>
      <c r="C56" s="1278">
        <v>644</v>
      </c>
      <c r="D56" s="1278"/>
      <c r="E56" s="1278"/>
      <c r="F56" s="1278"/>
      <c r="G56" s="1278"/>
      <c r="H56" s="1278"/>
      <c r="I56" s="1278"/>
      <c r="J56" s="1278"/>
      <c r="K56" s="1278"/>
      <c r="L56" s="1278">
        <v>6</v>
      </c>
      <c r="M56" s="1278"/>
      <c r="N56" s="1278"/>
      <c r="O56" s="1278"/>
      <c r="P56" s="1278"/>
      <c r="Q56" s="1278"/>
      <c r="R56" s="1278"/>
      <c r="S56" s="1278"/>
      <c r="T56" s="1278">
        <v>8</v>
      </c>
      <c r="U56" s="1278"/>
      <c r="V56" s="1278"/>
      <c r="W56" s="1278">
        <f t="shared" si="2"/>
        <v>658</v>
      </c>
      <c r="X56" s="1278"/>
      <c r="Y56" s="1278"/>
      <c r="Z56" s="1278"/>
      <c r="AA56" s="1278"/>
      <c r="AB56" s="1278">
        <v>5</v>
      </c>
      <c r="AC56" s="1278"/>
      <c r="AD56" s="1278"/>
      <c r="AE56" s="1278"/>
      <c r="AF56" s="1278"/>
      <c r="AG56" s="1278"/>
      <c r="AH56" s="1278"/>
      <c r="AI56" s="1278"/>
      <c r="AJ56" s="1278">
        <f t="shared" si="3"/>
        <v>663</v>
      </c>
    </row>
    <row r="57" spans="1:36" ht="12.75" customHeight="1">
      <c r="A57" s="1279" t="s">
        <v>213</v>
      </c>
      <c r="B57" s="1279" t="s">
        <v>373</v>
      </c>
      <c r="C57" s="1280">
        <v>17722</v>
      </c>
      <c r="D57" s="1280"/>
      <c r="E57" s="1280"/>
      <c r="F57" s="1280"/>
      <c r="G57" s="1280"/>
      <c r="H57" s="1280"/>
      <c r="I57" s="1280"/>
      <c r="J57" s="1280">
        <v>37</v>
      </c>
      <c r="K57" s="1280"/>
      <c r="L57" s="1280">
        <v>31</v>
      </c>
      <c r="M57" s="1280"/>
      <c r="N57" s="1280"/>
      <c r="O57" s="1280"/>
      <c r="P57" s="1280"/>
      <c r="Q57" s="1280"/>
      <c r="R57" s="1280"/>
      <c r="S57" s="1280"/>
      <c r="T57" s="1280"/>
      <c r="U57" s="1280"/>
      <c r="V57" s="1280"/>
      <c r="W57" s="1280">
        <f t="shared" si="2"/>
        <v>17790</v>
      </c>
      <c r="X57" s="1280"/>
      <c r="Y57" s="1280"/>
      <c r="Z57" s="1280">
        <v>1</v>
      </c>
      <c r="AA57" s="1280"/>
      <c r="AB57" s="1280"/>
      <c r="AC57" s="1280"/>
      <c r="AD57" s="1280"/>
      <c r="AE57" s="1280">
        <v>38</v>
      </c>
      <c r="AF57" s="1280">
        <v>18</v>
      </c>
      <c r="AG57" s="1280">
        <v>1</v>
      </c>
      <c r="AH57" s="1280"/>
      <c r="AI57" s="1280"/>
      <c r="AJ57" s="1280">
        <f t="shared" si="3"/>
        <v>17848</v>
      </c>
    </row>
    <row r="58" spans="1:36" ht="12.75" customHeight="1">
      <c r="A58" s="1275" t="s">
        <v>214</v>
      </c>
      <c r="B58" s="1275" t="s">
        <v>374</v>
      </c>
      <c r="C58" s="1276">
        <v>2191</v>
      </c>
      <c r="D58" s="1276"/>
      <c r="E58" s="1276"/>
      <c r="F58" s="1276"/>
      <c r="G58" s="1276"/>
      <c r="H58" s="1276">
        <v>684</v>
      </c>
      <c r="I58" s="1276"/>
      <c r="J58" s="1276">
        <v>6</v>
      </c>
      <c r="K58" s="1276"/>
      <c r="L58" s="1276">
        <v>4</v>
      </c>
      <c r="M58" s="1276"/>
      <c r="N58" s="1276"/>
      <c r="O58" s="1276"/>
      <c r="P58" s="1276"/>
      <c r="Q58" s="1276"/>
      <c r="R58" s="1276"/>
      <c r="S58" s="1276"/>
      <c r="T58" s="1276"/>
      <c r="U58" s="1276"/>
      <c r="V58" s="1276"/>
      <c r="W58" s="1276">
        <f t="shared" si="2"/>
        <v>2885</v>
      </c>
      <c r="X58" s="1276"/>
      <c r="Y58" s="1276"/>
      <c r="Z58" s="1276"/>
      <c r="AA58" s="1276"/>
      <c r="AB58" s="1276"/>
      <c r="AC58" s="1276"/>
      <c r="AD58" s="1276"/>
      <c r="AE58" s="1276"/>
      <c r="AF58" s="1276"/>
      <c r="AG58" s="1276"/>
      <c r="AH58" s="1276"/>
      <c r="AI58" s="1276"/>
      <c r="AJ58" s="1276">
        <f t="shared" si="3"/>
        <v>2885</v>
      </c>
    </row>
    <row r="59" spans="1:36" ht="12.75" customHeight="1">
      <c r="A59" s="1277" t="s">
        <v>215</v>
      </c>
      <c r="B59" s="1277" t="s">
        <v>375</v>
      </c>
      <c r="C59" s="1278">
        <v>9095</v>
      </c>
      <c r="D59" s="1278"/>
      <c r="E59" s="1278"/>
      <c r="F59" s="1278"/>
      <c r="G59" s="1278"/>
      <c r="H59" s="1278"/>
      <c r="I59" s="1278"/>
      <c r="J59" s="1278">
        <v>23</v>
      </c>
      <c r="K59" s="1278"/>
      <c r="L59" s="1278">
        <v>7</v>
      </c>
      <c r="M59" s="1278"/>
      <c r="N59" s="1278"/>
      <c r="O59" s="1278"/>
      <c r="P59" s="1278"/>
      <c r="Q59" s="1278"/>
      <c r="R59" s="1278"/>
      <c r="S59" s="1278"/>
      <c r="T59" s="1278"/>
      <c r="U59" s="1278"/>
      <c r="V59" s="1278"/>
      <c r="W59" s="1278">
        <f t="shared" si="2"/>
        <v>9125</v>
      </c>
      <c r="X59" s="1278"/>
      <c r="Y59" s="1278"/>
      <c r="Z59" s="1278"/>
      <c r="AA59" s="1278"/>
      <c r="AB59" s="1278"/>
      <c r="AC59" s="1278"/>
      <c r="AD59" s="1278"/>
      <c r="AE59" s="1278"/>
      <c r="AF59" s="1278">
        <v>1</v>
      </c>
      <c r="AG59" s="1278"/>
      <c r="AH59" s="1278"/>
      <c r="AI59" s="1278"/>
      <c r="AJ59" s="1278">
        <f t="shared" si="3"/>
        <v>9126</v>
      </c>
    </row>
    <row r="60" spans="1:36" ht="12.75" customHeight="1">
      <c r="A60" s="1277" t="s">
        <v>376</v>
      </c>
      <c r="B60" s="1277" t="s">
        <v>377</v>
      </c>
      <c r="C60" s="1278">
        <v>8929</v>
      </c>
      <c r="D60" s="1278"/>
      <c r="E60" s="1278"/>
      <c r="F60" s="1278"/>
      <c r="G60" s="1278"/>
      <c r="H60" s="1278"/>
      <c r="I60" s="1278"/>
      <c r="J60" s="1278">
        <v>52</v>
      </c>
      <c r="K60" s="1278"/>
      <c r="L60" s="1278">
        <v>28</v>
      </c>
      <c r="M60" s="1278"/>
      <c r="N60" s="1278"/>
      <c r="O60" s="1278"/>
      <c r="P60" s="1278"/>
      <c r="Q60" s="1278"/>
      <c r="R60" s="1278"/>
      <c r="S60" s="1278"/>
      <c r="T60" s="1278"/>
      <c r="U60" s="1278"/>
      <c r="V60" s="1278"/>
      <c r="W60" s="1278">
        <f t="shared" si="2"/>
        <v>9009</v>
      </c>
      <c r="X60" s="1278"/>
      <c r="Y60" s="1278"/>
      <c r="Z60" s="1278"/>
      <c r="AA60" s="1278"/>
      <c r="AB60" s="1278"/>
      <c r="AC60" s="1278"/>
      <c r="AD60" s="1278"/>
      <c r="AE60" s="1278"/>
      <c r="AF60" s="1278">
        <v>14</v>
      </c>
      <c r="AG60" s="1278"/>
      <c r="AH60" s="1278"/>
      <c r="AI60" s="1278"/>
      <c r="AJ60" s="1278">
        <f t="shared" si="3"/>
        <v>9023</v>
      </c>
    </row>
    <row r="61" spans="1:36" s="1290" customFormat="1" ht="12.75" customHeight="1">
      <c r="A61" s="1277" t="s">
        <v>216</v>
      </c>
      <c r="B61" s="1277" t="s">
        <v>378</v>
      </c>
      <c r="C61" s="1278">
        <v>5104</v>
      </c>
      <c r="D61" s="1278"/>
      <c r="E61" s="1278"/>
      <c r="F61" s="1278"/>
      <c r="G61" s="1278"/>
      <c r="H61" s="1278"/>
      <c r="I61" s="1278"/>
      <c r="J61" s="1278">
        <v>24</v>
      </c>
      <c r="K61" s="1278"/>
      <c r="L61" s="1278">
        <v>9</v>
      </c>
      <c r="M61" s="1278"/>
      <c r="N61" s="1278"/>
      <c r="O61" s="1278"/>
      <c r="P61" s="1278"/>
      <c r="Q61" s="1278"/>
      <c r="R61" s="1278"/>
      <c r="S61" s="1278"/>
      <c r="T61" s="1278"/>
      <c r="U61" s="1278">
        <v>12</v>
      </c>
      <c r="V61" s="1278"/>
      <c r="W61" s="1278">
        <f t="shared" si="2"/>
        <v>5149</v>
      </c>
      <c r="X61" s="1278"/>
      <c r="Y61" s="1278"/>
      <c r="Z61" s="1278"/>
      <c r="AA61" s="1278"/>
      <c r="AB61" s="1278"/>
      <c r="AC61" s="1278"/>
      <c r="AD61" s="1278"/>
      <c r="AE61" s="1278"/>
      <c r="AF61" s="1278"/>
      <c r="AG61" s="1278"/>
      <c r="AH61" s="1278"/>
      <c r="AI61" s="1278"/>
      <c r="AJ61" s="1278">
        <f t="shared" si="3"/>
        <v>5149</v>
      </c>
    </row>
    <row r="62" spans="1:36" ht="12.75" customHeight="1">
      <c r="A62" s="1279" t="s">
        <v>379</v>
      </c>
      <c r="B62" s="1279" t="s">
        <v>380</v>
      </c>
      <c r="C62" s="1280">
        <v>6408</v>
      </c>
      <c r="D62" s="1280"/>
      <c r="E62" s="1280"/>
      <c r="F62" s="1280"/>
      <c r="G62" s="1280"/>
      <c r="H62" s="1280"/>
      <c r="I62" s="1280"/>
      <c r="J62" s="1280">
        <v>14</v>
      </c>
      <c r="K62" s="1280"/>
      <c r="L62" s="1280">
        <v>19</v>
      </c>
      <c r="M62" s="1280"/>
      <c r="N62" s="1280"/>
      <c r="O62" s="1280"/>
      <c r="P62" s="1280"/>
      <c r="Q62" s="1280"/>
      <c r="R62" s="1280"/>
      <c r="S62" s="1280"/>
      <c r="T62" s="1280"/>
      <c r="U62" s="1280"/>
      <c r="V62" s="1280"/>
      <c r="W62" s="1280">
        <f t="shared" si="2"/>
        <v>6441</v>
      </c>
      <c r="X62" s="1280"/>
      <c r="Y62" s="1280"/>
      <c r="Z62" s="1280"/>
      <c r="AA62" s="1280"/>
      <c r="AB62" s="1280"/>
      <c r="AC62" s="1280"/>
      <c r="AD62" s="1280"/>
      <c r="AE62" s="1280"/>
      <c r="AF62" s="1280">
        <v>4</v>
      </c>
      <c r="AG62" s="1280"/>
      <c r="AH62" s="1280"/>
      <c r="AI62" s="1280"/>
      <c r="AJ62" s="1280">
        <f t="shared" si="3"/>
        <v>6445</v>
      </c>
    </row>
    <row r="63" spans="1:36" ht="12.75" customHeight="1">
      <c r="A63" s="1275" t="s">
        <v>217</v>
      </c>
      <c r="B63" s="1275" t="s">
        <v>381</v>
      </c>
      <c r="C63" s="1276">
        <v>3603</v>
      </c>
      <c r="D63" s="1276"/>
      <c r="E63" s="1276"/>
      <c r="F63" s="1276"/>
      <c r="G63" s="1276"/>
      <c r="H63" s="1276"/>
      <c r="I63" s="1276">
        <v>1</v>
      </c>
      <c r="J63" s="1276">
        <v>6</v>
      </c>
      <c r="K63" s="1276"/>
      <c r="L63" s="1276">
        <v>10</v>
      </c>
      <c r="M63" s="1276"/>
      <c r="N63" s="1276"/>
      <c r="O63" s="1276"/>
      <c r="P63" s="1276"/>
      <c r="Q63" s="1276"/>
      <c r="R63" s="1276"/>
      <c r="S63" s="1276"/>
      <c r="T63" s="1276"/>
      <c r="U63" s="1276"/>
      <c r="V63" s="1276">
        <v>1</v>
      </c>
      <c r="W63" s="1276">
        <f t="shared" si="2"/>
        <v>3621</v>
      </c>
      <c r="X63" s="1276"/>
      <c r="Y63" s="1276"/>
      <c r="Z63" s="1276"/>
      <c r="AA63" s="1276"/>
      <c r="AB63" s="1276"/>
      <c r="AC63" s="1276"/>
      <c r="AD63" s="1276"/>
      <c r="AE63" s="1276"/>
      <c r="AF63" s="1276"/>
      <c r="AG63" s="1276"/>
      <c r="AH63" s="1276"/>
      <c r="AI63" s="1276"/>
      <c r="AJ63" s="1276">
        <f t="shared" si="3"/>
        <v>3621</v>
      </c>
    </row>
    <row r="64" spans="1:36" ht="12.75" customHeight="1">
      <c r="A64" s="1277" t="s">
        <v>382</v>
      </c>
      <c r="B64" s="1277" t="s">
        <v>383</v>
      </c>
      <c r="C64" s="1278">
        <v>2113</v>
      </c>
      <c r="D64" s="1278"/>
      <c r="E64" s="1278"/>
      <c r="F64" s="1278"/>
      <c r="G64" s="1278"/>
      <c r="H64" s="1278"/>
      <c r="I64" s="1278"/>
      <c r="J64" s="1278">
        <v>10</v>
      </c>
      <c r="K64" s="1278"/>
      <c r="L64" s="1278">
        <v>1</v>
      </c>
      <c r="M64" s="1278"/>
      <c r="N64" s="1278"/>
      <c r="O64" s="1278"/>
      <c r="P64" s="1278"/>
      <c r="Q64" s="1278"/>
      <c r="R64" s="1278"/>
      <c r="S64" s="1278"/>
      <c r="T64" s="1278"/>
      <c r="U64" s="1278"/>
      <c r="V64" s="1278"/>
      <c r="W64" s="1278">
        <f t="shared" si="2"/>
        <v>2124</v>
      </c>
      <c r="X64" s="1278"/>
      <c r="Y64" s="1278"/>
      <c r="Z64" s="1278"/>
      <c r="AA64" s="1278"/>
      <c r="AB64" s="1278">
        <v>39</v>
      </c>
      <c r="AC64" s="1278"/>
      <c r="AD64" s="1278"/>
      <c r="AE64" s="1278"/>
      <c r="AF64" s="1278">
        <v>1</v>
      </c>
      <c r="AG64" s="1278"/>
      <c r="AH64" s="1278"/>
      <c r="AI64" s="1278"/>
      <c r="AJ64" s="1278">
        <f t="shared" si="3"/>
        <v>2164</v>
      </c>
    </row>
    <row r="65" spans="1:36" ht="12.75" customHeight="1">
      <c r="A65" s="1277" t="s">
        <v>384</v>
      </c>
      <c r="B65" s="1277" t="s">
        <v>385</v>
      </c>
      <c r="C65" s="1278">
        <v>2035</v>
      </c>
      <c r="D65" s="1278"/>
      <c r="E65" s="1278"/>
      <c r="F65" s="1278"/>
      <c r="G65" s="1278"/>
      <c r="H65" s="1278"/>
      <c r="I65" s="1278"/>
      <c r="J65" s="1278">
        <v>3</v>
      </c>
      <c r="K65" s="1278"/>
      <c r="L65" s="1278"/>
      <c r="M65" s="1278"/>
      <c r="N65" s="1278"/>
      <c r="O65" s="1278"/>
      <c r="P65" s="1278"/>
      <c r="Q65" s="1278"/>
      <c r="R65" s="1278"/>
      <c r="S65" s="1278"/>
      <c r="T65" s="1278"/>
      <c r="U65" s="1278"/>
      <c r="V65" s="1278"/>
      <c r="W65" s="1278">
        <f t="shared" si="2"/>
        <v>2038</v>
      </c>
      <c r="X65" s="1278"/>
      <c r="Y65" s="1278"/>
      <c r="Z65" s="1278"/>
      <c r="AA65" s="1278"/>
      <c r="AB65" s="1278"/>
      <c r="AC65" s="1278"/>
      <c r="AD65" s="1278"/>
      <c r="AE65" s="1278"/>
      <c r="AF65" s="1278">
        <v>4</v>
      </c>
      <c r="AG65" s="1278"/>
      <c r="AH65" s="1278"/>
      <c r="AI65" s="1278"/>
      <c r="AJ65" s="1278">
        <f t="shared" si="3"/>
        <v>2042</v>
      </c>
    </row>
    <row r="66" spans="1:36" ht="12.75" customHeight="1">
      <c r="A66" s="1277" t="s">
        <v>386</v>
      </c>
      <c r="B66" s="1277" t="s">
        <v>387</v>
      </c>
      <c r="C66" s="1278">
        <v>2346</v>
      </c>
      <c r="D66" s="1278"/>
      <c r="E66" s="1278"/>
      <c r="F66" s="1278"/>
      <c r="G66" s="1278"/>
      <c r="H66" s="1278"/>
      <c r="I66" s="1278"/>
      <c r="J66" s="1278">
        <v>5</v>
      </c>
      <c r="K66" s="1278"/>
      <c r="L66" s="1278">
        <v>3</v>
      </c>
      <c r="M66" s="1278"/>
      <c r="N66" s="1278"/>
      <c r="O66" s="1278"/>
      <c r="P66" s="1278"/>
      <c r="Q66" s="1278"/>
      <c r="R66" s="1278"/>
      <c r="S66" s="1278"/>
      <c r="T66" s="1278"/>
      <c r="U66" s="1278"/>
      <c r="V66" s="1278"/>
      <c r="W66" s="1278">
        <f t="shared" si="2"/>
        <v>2354</v>
      </c>
      <c r="X66" s="1278"/>
      <c r="Y66" s="1278"/>
      <c r="Z66" s="1278"/>
      <c r="AA66" s="1278"/>
      <c r="AB66" s="1278"/>
      <c r="AC66" s="1278"/>
      <c r="AD66" s="1278"/>
      <c r="AE66" s="1278"/>
      <c r="AF66" s="1278">
        <v>1</v>
      </c>
      <c r="AG66" s="1278"/>
      <c r="AH66" s="1278"/>
      <c r="AI66" s="1278"/>
      <c r="AJ66" s="1278">
        <f t="shared" si="3"/>
        <v>2355</v>
      </c>
    </row>
    <row r="67" spans="1:36" ht="12.75" customHeight="1">
      <c r="A67" s="1279" t="s">
        <v>218</v>
      </c>
      <c r="B67" s="1279" t="s">
        <v>388</v>
      </c>
      <c r="C67" s="1280">
        <v>8173</v>
      </c>
      <c r="D67" s="1280"/>
      <c r="E67" s="1280"/>
      <c r="F67" s="1280"/>
      <c r="G67" s="1280"/>
      <c r="H67" s="1280">
        <v>3</v>
      </c>
      <c r="I67" s="1280"/>
      <c r="J67" s="1280"/>
      <c r="K67" s="1280"/>
      <c r="L67" s="1280"/>
      <c r="M67" s="1280"/>
      <c r="N67" s="1280"/>
      <c r="O67" s="1280"/>
      <c r="P67" s="1280"/>
      <c r="Q67" s="1280"/>
      <c r="R67" s="1280"/>
      <c r="S67" s="1280"/>
      <c r="T67" s="1280"/>
      <c r="U67" s="1280"/>
      <c r="V67" s="1280"/>
      <c r="W67" s="1280">
        <f t="shared" ref="W67:W72" si="4">SUM(C67:V67)</f>
        <v>8176</v>
      </c>
      <c r="X67" s="1280">
        <v>185</v>
      </c>
      <c r="Y67" s="1280"/>
      <c r="Z67" s="1280"/>
      <c r="AA67" s="1280"/>
      <c r="AB67" s="1280"/>
      <c r="AC67" s="1280"/>
      <c r="AD67" s="1280"/>
      <c r="AE67" s="1280"/>
      <c r="AF67" s="1280"/>
      <c r="AG67" s="1280"/>
      <c r="AH67" s="1280"/>
      <c r="AI67" s="1280"/>
      <c r="AJ67" s="1280">
        <f t="shared" ref="AJ67" si="5">SUM(W67:AI67)</f>
        <v>8361</v>
      </c>
    </row>
    <row r="68" spans="1:36" s="1290" customFormat="1" ht="12.75" customHeight="1">
      <c r="A68" s="1275" t="s">
        <v>219</v>
      </c>
      <c r="B68" s="1275" t="s">
        <v>389</v>
      </c>
      <c r="C68" s="1276">
        <v>1845</v>
      </c>
      <c r="D68" s="1276"/>
      <c r="E68" s="1276"/>
      <c r="F68" s="1276"/>
      <c r="G68" s="1276"/>
      <c r="H68" s="1276"/>
      <c r="I68" s="1276"/>
      <c r="J68" s="1276">
        <v>15</v>
      </c>
      <c r="K68" s="1276"/>
      <c r="L68" s="1276">
        <v>5</v>
      </c>
      <c r="M68" s="1276"/>
      <c r="N68" s="1276"/>
      <c r="O68" s="1276"/>
      <c r="P68" s="1276"/>
      <c r="Q68" s="1276"/>
      <c r="R68" s="1276"/>
      <c r="S68" s="1276"/>
      <c r="T68" s="1276"/>
      <c r="U68" s="1276">
        <v>158</v>
      </c>
      <c r="V68" s="1276"/>
      <c r="W68" s="1276">
        <f t="shared" si="4"/>
        <v>2023</v>
      </c>
      <c r="X68" s="1276"/>
      <c r="Y68" s="1276"/>
      <c r="Z68" s="1276"/>
      <c r="AA68" s="1276"/>
      <c r="AB68" s="1276"/>
      <c r="AC68" s="1276"/>
      <c r="AD68" s="1276"/>
      <c r="AE68" s="1276"/>
      <c r="AF68" s="1276"/>
      <c r="AG68" s="1276"/>
      <c r="AH68" s="1276"/>
      <c r="AI68" s="1276"/>
      <c r="AJ68" s="1276">
        <f t="shared" ref="AJ68:AJ72" si="6">SUM(W68:AI68)</f>
        <v>2023</v>
      </c>
    </row>
    <row r="69" spans="1:36" ht="12.75" customHeight="1">
      <c r="A69" s="1277" t="s">
        <v>390</v>
      </c>
      <c r="B69" s="1277" t="s">
        <v>391</v>
      </c>
      <c r="C69" s="1278">
        <v>5254</v>
      </c>
      <c r="D69" s="1278"/>
      <c r="E69" s="1278"/>
      <c r="F69" s="1278"/>
      <c r="G69" s="1278"/>
      <c r="H69" s="1278"/>
      <c r="I69" s="1278">
        <v>3</v>
      </c>
      <c r="J69" s="1278">
        <v>4</v>
      </c>
      <c r="K69" s="1278"/>
      <c r="L69" s="1278"/>
      <c r="M69" s="1278"/>
      <c r="N69" s="1278"/>
      <c r="O69" s="1278"/>
      <c r="P69" s="1278"/>
      <c r="Q69" s="1278"/>
      <c r="R69" s="1278"/>
      <c r="S69" s="1278"/>
      <c r="T69" s="1278"/>
      <c r="U69" s="1278"/>
      <c r="V69" s="1278"/>
      <c r="W69" s="1278">
        <f t="shared" si="4"/>
        <v>5261</v>
      </c>
      <c r="X69" s="1278"/>
      <c r="Y69" s="1278"/>
      <c r="Z69" s="1278"/>
      <c r="AA69" s="1278"/>
      <c r="AB69" s="1278"/>
      <c r="AC69" s="1278"/>
      <c r="AD69" s="1278"/>
      <c r="AE69" s="1278"/>
      <c r="AF69" s="1278"/>
      <c r="AG69" s="1278"/>
      <c r="AH69" s="1278"/>
      <c r="AI69" s="1278"/>
      <c r="AJ69" s="1278">
        <f t="shared" si="6"/>
        <v>5261</v>
      </c>
    </row>
    <row r="70" spans="1:36" ht="12.75" customHeight="1">
      <c r="A70" s="1277" t="s">
        <v>220</v>
      </c>
      <c r="B70" s="1277" t="s">
        <v>392</v>
      </c>
      <c r="C70" s="1278">
        <v>1597</v>
      </c>
      <c r="D70" s="1278"/>
      <c r="E70" s="1278"/>
      <c r="F70" s="1278"/>
      <c r="G70" s="1278"/>
      <c r="H70" s="1278"/>
      <c r="I70" s="1278">
        <v>7</v>
      </c>
      <c r="J70" s="1278">
        <v>5</v>
      </c>
      <c r="K70" s="1278"/>
      <c r="L70" s="1278"/>
      <c r="M70" s="1278"/>
      <c r="N70" s="1278"/>
      <c r="O70" s="1278"/>
      <c r="P70" s="1278"/>
      <c r="Q70" s="1278"/>
      <c r="R70" s="1278"/>
      <c r="S70" s="1278"/>
      <c r="T70" s="1278"/>
      <c r="U70" s="1278"/>
      <c r="V70" s="1278"/>
      <c r="W70" s="1278">
        <f t="shared" si="4"/>
        <v>1609</v>
      </c>
      <c r="X70" s="1278"/>
      <c r="Y70" s="1278"/>
      <c r="Z70" s="1278"/>
      <c r="AA70" s="1278"/>
      <c r="AB70" s="1278"/>
      <c r="AC70" s="1278"/>
      <c r="AD70" s="1278"/>
      <c r="AE70" s="1278"/>
      <c r="AF70" s="1278"/>
      <c r="AG70" s="1278"/>
      <c r="AH70" s="1278"/>
      <c r="AI70" s="1278"/>
      <c r="AJ70" s="1278">
        <f t="shared" si="6"/>
        <v>1609</v>
      </c>
    </row>
    <row r="71" spans="1:36" ht="12.75" customHeight="1">
      <c r="A71" s="1277" t="s">
        <v>393</v>
      </c>
      <c r="B71" s="1277" t="s">
        <v>394</v>
      </c>
      <c r="C71" s="1278">
        <v>4299</v>
      </c>
      <c r="D71" s="1278"/>
      <c r="E71" s="1278"/>
      <c r="F71" s="1278"/>
      <c r="G71" s="1278"/>
      <c r="H71" s="1278"/>
      <c r="I71" s="1278">
        <v>1</v>
      </c>
      <c r="J71" s="1278">
        <v>12</v>
      </c>
      <c r="K71" s="1278"/>
      <c r="L71" s="1278"/>
      <c r="M71" s="1278"/>
      <c r="N71" s="1278"/>
      <c r="O71" s="1278"/>
      <c r="P71" s="1278"/>
      <c r="Q71" s="1278"/>
      <c r="R71" s="1278"/>
      <c r="S71" s="1278"/>
      <c r="T71" s="1278"/>
      <c r="U71" s="1278"/>
      <c r="V71" s="1278">
        <v>1</v>
      </c>
      <c r="W71" s="1278">
        <f t="shared" si="4"/>
        <v>4313</v>
      </c>
      <c r="X71" s="1278"/>
      <c r="Y71" s="1278"/>
      <c r="Z71" s="1278"/>
      <c r="AA71" s="1278"/>
      <c r="AB71" s="1278"/>
      <c r="AC71" s="1278"/>
      <c r="AD71" s="1278"/>
      <c r="AE71" s="1278"/>
      <c r="AF71" s="1278"/>
      <c r="AG71" s="1278"/>
      <c r="AH71" s="1278"/>
      <c r="AI71" s="1278"/>
      <c r="AJ71" s="1278">
        <f t="shared" si="6"/>
        <v>4313</v>
      </c>
    </row>
    <row r="72" spans="1:36" ht="28.5" customHeight="1">
      <c r="A72" s="1281" t="s">
        <v>395</v>
      </c>
      <c r="B72" s="1279" t="s">
        <v>396</v>
      </c>
      <c r="C72" s="1280"/>
      <c r="D72" s="1280"/>
      <c r="E72" s="1280"/>
      <c r="F72" s="1280"/>
      <c r="G72" s="1280"/>
      <c r="H72" s="1280">
        <v>1</v>
      </c>
      <c r="I72" s="1280"/>
      <c r="J72" s="1280"/>
      <c r="K72" s="1280"/>
      <c r="L72" s="1280"/>
      <c r="M72" s="1280"/>
      <c r="N72" s="1280"/>
      <c r="O72" s="1280"/>
      <c r="P72" s="1280"/>
      <c r="Q72" s="1280"/>
      <c r="R72" s="1280"/>
      <c r="S72" s="1280"/>
      <c r="T72" s="1280"/>
      <c r="U72" s="1280"/>
      <c r="V72" s="1280"/>
      <c r="W72" s="1280">
        <f t="shared" si="4"/>
        <v>1</v>
      </c>
      <c r="X72" s="1280"/>
      <c r="Y72" s="1280"/>
      <c r="Z72" s="1280"/>
      <c r="AA72" s="1280"/>
      <c r="AB72" s="1280"/>
      <c r="AC72" s="1280"/>
      <c r="AD72" s="1280"/>
      <c r="AE72" s="1280"/>
      <c r="AF72" s="1280"/>
      <c r="AG72" s="1280"/>
      <c r="AH72" s="1280"/>
      <c r="AI72" s="1280"/>
      <c r="AJ72" s="1280">
        <f t="shared" si="6"/>
        <v>1</v>
      </c>
    </row>
    <row r="73" spans="1:36">
      <c r="A73" s="1291"/>
      <c r="B73" s="1291"/>
      <c r="C73" s="1291"/>
      <c r="D73" s="1291"/>
      <c r="E73" s="1291"/>
      <c r="F73" s="1291"/>
      <c r="G73" s="1291"/>
      <c r="H73" s="1291"/>
      <c r="I73" s="1291"/>
      <c r="J73" s="1291"/>
      <c r="K73" s="1291"/>
      <c r="L73" s="1291"/>
      <c r="M73" s="1291"/>
      <c r="N73" s="1291"/>
      <c r="O73" s="1291"/>
      <c r="P73" s="1291"/>
      <c r="Q73" s="1291"/>
      <c r="R73" s="1291"/>
      <c r="S73" s="1291"/>
      <c r="T73" s="1291"/>
      <c r="U73" s="1291"/>
      <c r="V73" s="1291"/>
      <c r="W73" s="1291"/>
      <c r="X73" s="1291"/>
      <c r="Y73" s="1291"/>
      <c r="Z73" s="1291"/>
      <c r="AA73" s="1291"/>
      <c r="AB73" s="1291"/>
      <c r="AC73" s="1291"/>
      <c r="AD73" s="1291"/>
      <c r="AE73" s="1291"/>
      <c r="AF73" s="1291"/>
      <c r="AG73" s="1291"/>
      <c r="AH73" s="1291"/>
      <c r="AI73" s="1291"/>
      <c r="AJ73" s="1291"/>
    </row>
    <row r="74" spans="1:36" ht="13.5" thickBot="1">
      <c r="A74" s="1292"/>
      <c r="B74" s="1292" t="s">
        <v>397</v>
      </c>
      <c r="C74" s="1292">
        <f>SUM(C3:C73)</f>
        <v>637824</v>
      </c>
      <c r="D74" s="1292">
        <f t="shared" ref="D74:V74" si="7">SUM(D3:D73)</f>
        <v>1038</v>
      </c>
      <c r="E74" s="1292">
        <f t="shared" si="7"/>
        <v>28165</v>
      </c>
      <c r="F74" s="1292">
        <f t="shared" si="7"/>
        <v>3226</v>
      </c>
      <c r="G74" s="1292">
        <f t="shared" si="7"/>
        <v>671</v>
      </c>
      <c r="H74" s="1292">
        <f t="shared" si="7"/>
        <v>705</v>
      </c>
      <c r="I74" s="1292">
        <f t="shared" si="7"/>
        <v>275</v>
      </c>
      <c r="J74" s="1292">
        <f t="shared" si="7"/>
        <v>1826</v>
      </c>
      <c r="K74" s="1292">
        <f t="shared" si="7"/>
        <v>461</v>
      </c>
      <c r="L74" s="1292">
        <f t="shared" si="7"/>
        <v>1200</v>
      </c>
      <c r="M74" s="1292">
        <f t="shared" si="7"/>
        <v>865</v>
      </c>
      <c r="N74" s="1292">
        <f t="shared" si="7"/>
        <v>308</v>
      </c>
      <c r="O74" s="1292">
        <f t="shared" si="7"/>
        <v>357</v>
      </c>
      <c r="P74" s="1292">
        <f t="shared" si="7"/>
        <v>196</v>
      </c>
      <c r="Q74" s="1292">
        <f t="shared" si="7"/>
        <v>95</v>
      </c>
      <c r="R74" s="1292">
        <f t="shared" si="7"/>
        <v>294</v>
      </c>
      <c r="S74" s="1292">
        <f t="shared" si="7"/>
        <v>441</v>
      </c>
      <c r="T74" s="1292">
        <f t="shared" si="7"/>
        <v>323</v>
      </c>
      <c r="U74" s="1292">
        <f t="shared" si="7"/>
        <v>170</v>
      </c>
      <c r="V74" s="1292">
        <f t="shared" si="7"/>
        <v>130</v>
      </c>
      <c r="W74" s="1292">
        <f>SUM(W3:W72)</f>
        <v>678570</v>
      </c>
      <c r="X74" s="1292">
        <f t="shared" ref="X74:AI74" si="8">SUM(X3:X73)</f>
        <v>325</v>
      </c>
      <c r="Y74" s="1292">
        <f t="shared" si="8"/>
        <v>363</v>
      </c>
      <c r="Z74" s="1292">
        <f t="shared" si="8"/>
        <v>819</v>
      </c>
      <c r="AA74" s="1292">
        <f t="shared" si="8"/>
        <v>716</v>
      </c>
      <c r="AB74" s="1292">
        <f t="shared" si="8"/>
        <v>903</v>
      </c>
      <c r="AC74" s="1292">
        <f t="shared" si="8"/>
        <v>936</v>
      </c>
      <c r="AD74" s="1292">
        <f t="shared" si="8"/>
        <v>346</v>
      </c>
      <c r="AE74" s="1292">
        <f t="shared" si="8"/>
        <v>110</v>
      </c>
      <c r="AF74" s="1292">
        <v>278</v>
      </c>
      <c r="AG74" s="1292">
        <v>175</v>
      </c>
      <c r="AH74" s="1292">
        <f t="shared" si="8"/>
        <v>1394</v>
      </c>
      <c r="AI74" s="1292">
        <f t="shared" si="8"/>
        <v>588</v>
      </c>
      <c r="AJ74" s="1292">
        <f>SUM(W74:AI74)</f>
        <v>685523</v>
      </c>
    </row>
    <row r="75" spans="1:36" ht="18.75" hidden="1" customHeight="1" thickTop="1">
      <c r="C75" s="1293"/>
      <c r="D75" s="1293"/>
      <c r="E75" s="1293"/>
      <c r="F75" s="1293"/>
      <c r="G75" s="1293"/>
      <c r="H75" s="1293"/>
      <c r="I75" s="1293"/>
      <c r="J75" s="1293"/>
      <c r="K75" s="1293"/>
      <c r="L75" s="1293"/>
      <c r="M75" s="1293"/>
      <c r="N75" s="1293"/>
      <c r="O75" s="1293"/>
      <c r="P75" s="1293"/>
      <c r="Q75" s="1293"/>
      <c r="R75" s="1293"/>
      <c r="S75" s="1293"/>
      <c r="T75" s="1293"/>
      <c r="U75" s="1293"/>
      <c r="V75" s="1293"/>
      <c r="W75" s="1293"/>
      <c r="AH75" s="1293"/>
      <c r="AI75" s="1294" t="s">
        <v>896</v>
      </c>
      <c r="AJ75" s="1293">
        <v>278.7</v>
      </c>
    </row>
    <row r="76" spans="1:36" ht="13.5" hidden="1" thickBot="1">
      <c r="B76" s="1295"/>
      <c r="C76" s="1296"/>
      <c r="D76" s="1293"/>
      <c r="E76" s="1293"/>
      <c r="F76" s="1293"/>
      <c r="G76" s="1293"/>
      <c r="H76" s="1293"/>
      <c r="I76" s="1293"/>
      <c r="J76" s="1293"/>
      <c r="K76" s="1293"/>
      <c r="L76" s="1293"/>
      <c r="M76" s="1293"/>
      <c r="N76" s="1293"/>
      <c r="O76" s="1293"/>
      <c r="P76" s="1293"/>
      <c r="Q76" s="1293"/>
      <c r="R76" s="1293"/>
      <c r="S76" s="1293"/>
      <c r="T76" s="1293"/>
      <c r="U76" s="1293"/>
      <c r="V76" s="1293"/>
      <c r="W76" s="1293"/>
      <c r="AH76" s="1293"/>
      <c r="AI76" s="1293"/>
      <c r="AJ76" s="1297">
        <f>SUM(AJ74:AJ75)</f>
        <v>685801.7</v>
      </c>
    </row>
    <row r="77" spans="1:36" ht="13.5" thickTop="1">
      <c r="B77" s="1298"/>
    </row>
  </sheetData>
  <mergeCells count="1">
    <mergeCell ref="A1:B1"/>
  </mergeCells>
  <pageMargins left="0.45" right="0.45" top="0.75" bottom="0.75" header="0.3" footer="0.3"/>
  <pageSetup paperSize="5" scale="75" orientation="portrait" r:id="rId1"/>
  <headerFooter>
    <oddHeader>&amp;L&amp;"Arial,Bold"&amp;18Table 8:  FY2014-15 Budget Letter
February 1, 2014 Student Membership</oddHeader>
    <oddFooter>&amp;R&amp;P</oddFooter>
  </headerFooter>
  <colBreaks count="1" manualBreakCount="1">
    <brk id="23" max="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R79"/>
  <sheetViews>
    <sheetView view="pageBreakPreview" zoomScale="90" zoomScaleNormal="100" zoomScaleSheetLayoutView="90" workbookViewId="0">
      <pane xSplit="2" ySplit="5" topLeftCell="C6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12.5703125" defaultRowHeight="12.75"/>
  <cols>
    <col min="1" max="1" width="4.28515625" style="425" customWidth="1"/>
    <col min="2" max="2" width="17.140625" style="425" customWidth="1"/>
    <col min="3" max="3" width="12" style="425" customWidth="1"/>
    <col min="4" max="4" width="12.7109375" style="425" customWidth="1"/>
    <col min="5" max="5" width="12.140625" style="425" customWidth="1"/>
    <col min="6" max="6" width="12.28515625" style="425" customWidth="1"/>
    <col min="7" max="7" width="13.140625" style="425" customWidth="1"/>
    <col min="8" max="8" width="12.7109375" style="425" customWidth="1"/>
    <col min="9" max="9" width="11.140625" style="425" bestFit="1" customWidth="1"/>
    <col min="10" max="10" width="11.42578125" style="425" bestFit="1" customWidth="1"/>
    <col min="11" max="11" width="8.5703125" style="425" bestFit="1" customWidth="1"/>
    <col min="12" max="12" width="13.42578125" style="425" bestFit="1" customWidth="1"/>
    <col min="13" max="14" width="13.5703125" style="425" bestFit="1" customWidth="1"/>
    <col min="15" max="15" width="13.5703125" style="425" customWidth="1"/>
    <col min="16" max="16" width="14.42578125" style="425" bestFit="1" customWidth="1"/>
    <col min="17" max="17" width="2" style="425" customWidth="1"/>
    <col min="18" max="16384" width="12.5703125" style="425"/>
  </cols>
  <sheetData>
    <row r="1" spans="1:16" ht="40.5" hidden="1">
      <c r="A1" s="1" t="s">
        <v>145</v>
      </c>
      <c r="B1" s="4"/>
      <c r="E1" s="741" t="s">
        <v>62</v>
      </c>
      <c r="F1" s="741" t="s">
        <v>57</v>
      </c>
      <c r="G1" s="741" t="s">
        <v>62</v>
      </c>
      <c r="H1" s="741" t="s">
        <v>58</v>
      </c>
      <c r="I1" s="741"/>
      <c r="J1" s="741"/>
      <c r="K1" s="741"/>
      <c r="L1" s="741"/>
      <c r="M1" s="741"/>
      <c r="N1" s="741"/>
      <c r="O1" s="742"/>
      <c r="P1" s="742"/>
    </row>
    <row r="2" spans="1:16" ht="36.6" customHeight="1">
      <c r="A2" s="1360" t="s">
        <v>140</v>
      </c>
      <c r="B2" s="1362" t="s">
        <v>162</v>
      </c>
      <c r="C2" s="1368" t="s">
        <v>610</v>
      </c>
      <c r="D2" s="1369"/>
      <c r="E2" s="1353" t="s">
        <v>559</v>
      </c>
      <c r="F2" s="1354"/>
      <c r="G2" s="1354"/>
      <c r="H2" s="1354"/>
      <c r="I2" s="1354"/>
      <c r="J2" s="1354"/>
      <c r="K2" s="1354"/>
      <c r="L2" s="1355"/>
      <c r="M2" s="1358" t="s">
        <v>244</v>
      </c>
      <c r="N2" s="1359"/>
      <c r="O2" s="1348" t="s">
        <v>606</v>
      </c>
      <c r="P2" s="1348" t="s">
        <v>612</v>
      </c>
    </row>
    <row r="3" spans="1:16" ht="104.45" customHeight="1">
      <c r="A3" s="1361"/>
      <c r="B3" s="1363"/>
      <c r="C3" s="1364" t="s">
        <v>271</v>
      </c>
      <c r="D3" s="1366" t="s">
        <v>651</v>
      </c>
      <c r="E3" s="1356" t="s">
        <v>0</v>
      </c>
      <c r="F3" s="1356" t="s">
        <v>608</v>
      </c>
      <c r="G3" s="1356" t="s">
        <v>156</v>
      </c>
      <c r="H3" s="1356" t="s">
        <v>609</v>
      </c>
      <c r="I3" s="1356" t="s">
        <v>542</v>
      </c>
      <c r="J3" s="1351" t="s">
        <v>543</v>
      </c>
      <c r="K3" s="1351" t="s">
        <v>634</v>
      </c>
      <c r="L3" s="545" t="s">
        <v>607</v>
      </c>
      <c r="M3" s="1356" t="s">
        <v>633</v>
      </c>
      <c r="N3" s="545" t="s">
        <v>242</v>
      </c>
      <c r="O3" s="1349"/>
      <c r="P3" s="1349"/>
    </row>
    <row r="4" spans="1:16" ht="25.5" customHeight="1">
      <c r="A4" s="1361"/>
      <c r="B4" s="1363"/>
      <c r="C4" s="1365"/>
      <c r="D4" s="1367"/>
      <c r="E4" s="1357"/>
      <c r="F4" s="1357"/>
      <c r="G4" s="1357"/>
      <c r="H4" s="1357"/>
      <c r="I4" s="1357"/>
      <c r="J4" s="1352"/>
      <c r="K4" s="1352"/>
      <c r="L4" s="743">
        <f>-(H75+J75)/K75</f>
        <v>55.715207211026346</v>
      </c>
      <c r="M4" s="1357"/>
      <c r="N4" s="744">
        <v>100</v>
      </c>
      <c r="O4" s="1350"/>
      <c r="P4" s="1350"/>
    </row>
    <row r="5" spans="1:16" s="745" customFormat="1" ht="14.25" customHeight="1">
      <c r="A5" s="109"/>
      <c r="B5" s="110"/>
      <c r="C5" s="8">
        <v>1</v>
      </c>
      <c r="D5" s="8">
        <f t="shared" ref="D5:E5" si="0">C5+1</f>
        <v>2</v>
      </c>
      <c r="E5" s="8">
        <f t="shared" si="0"/>
        <v>3</v>
      </c>
      <c r="F5" s="8">
        <f t="shared" ref="F5" si="1">E5+1</f>
        <v>4</v>
      </c>
      <c r="G5" s="8">
        <f t="shared" ref="G5" si="2">F5+1</f>
        <v>5</v>
      </c>
      <c r="H5" s="8">
        <f t="shared" ref="H5" si="3">G5+1</f>
        <v>6</v>
      </c>
      <c r="I5" s="8">
        <f t="shared" ref="I5" si="4">H5+1</f>
        <v>7</v>
      </c>
      <c r="J5" s="8">
        <f t="shared" ref="J5" si="5">I5+1</f>
        <v>8</v>
      </c>
      <c r="K5" s="8">
        <f t="shared" ref="K5" si="6">J5+1</f>
        <v>9</v>
      </c>
      <c r="L5" s="8">
        <f t="shared" ref="L5" si="7">K5+1</f>
        <v>10</v>
      </c>
      <c r="M5" s="8">
        <f t="shared" ref="M5" si="8">L5+1</f>
        <v>11</v>
      </c>
      <c r="N5" s="8">
        <f t="shared" ref="N5" si="9">M5+1</f>
        <v>12</v>
      </c>
      <c r="O5" s="8">
        <f t="shared" ref="O5" si="10">N5+1</f>
        <v>13</v>
      </c>
      <c r="P5" s="8">
        <f t="shared" ref="P5" si="11">O5+1</f>
        <v>14</v>
      </c>
    </row>
    <row r="6" spans="1:16" ht="15.6" customHeight="1">
      <c r="A6" s="224">
        <v>1</v>
      </c>
      <c r="B6" s="225" t="s">
        <v>73</v>
      </c>
      <c r="C6" s="253">
        <v>777.48</v>
      </c>
      <c r="D6" s="254">
        <f>'Table 8 Membership 2.1.14'!W3*'Table 3A Level 3'!C6</f>
        <v>7538446.0800000001</v>
      </c>
      <c r="E6" s="255">
        <v>0</v>
      </c>
      <c r="F6" s="255">
        <v>0</v>
      </c>
      <c r="G6" s="255">
        <f>E6-F6</f>
        <v>0</v>
      </c>
      <c r="H6" s="256">
        <f>'[8]Table 4 Level 3'!F6+'[8]Table 4 Level 3'!H6</f>
        <v>0</v>
      </c>
      <c r="I6" s="256">
        <f t="shared" ref="I6:I37" si="12">SUM(G6:H6)</f>
        <v>0</v>
      </c>
      <c r="J6" s="256">
        <f>ROUND(-I6/3,0)</f>
        <v>0</v>
      </c>
      <c r="K6" s="257">
        <f>IF(H6&lt;0,0,'Table 3 Levels 1&amp;2'!C4)</f>
        <v>9696</v>
      </c>
      <c r="L6" s="253">
        <f t="shared" ref="L6:L37" si="13">ROUND($L$4*K6,0)</f>
        <v>540215</v>
      </c>
      <c r="M6" s="257">
        <f>'Table 3 Levels 1&amp;2'!C4</f>
        <v>9696</v>
      </c>
      <c r="N6" s="253">
        <f t="shared" ref="N6:N37" si="14">ROUND(M6*$N$4,0)</f>
        <v>969600</v>
      </c>
      <c r="O6" s="253">
        <f>F6+G6+H6+J6+L6+N6</f>
        <v>1509815</v>
      </c>
      <c r="P6" s="253">
        <f>D6+F6+G6+H6+J6+L6+N6</f>
        <v>9048261.0800000001</v>
      </c>
    </row>
    <row r="7" spans="1:16" ht="15.6" customHeight="1">
      <c r="A7" s="224">
        <v>2</v>
      </c>
      <c r="B7" s="225" t="s">
        <v>74</v>
      </c>
      <c r="C7" s="253">
        <v>842.32</v>
      </c>
      <c r="D7" s="253">
        <f>'Table 8 Membership 2.1.14'!W4*'Table 3A Level 3'!C7</f>
        <v>3442561.8400000003</v>
      </c>
      <c r="E7" s="255">
        <v>0</v>
      </c>
      <c r="F7" s="255">
        <v>0</v>
      </c>
      <c r="G7" s="255">
        <f t="shared" ref="G7:G70" si="15">E7-F7</f>
        <v>0</v>
      </c>
      <c r="H7" s="256">
        <f>'[8]Table 4 Level 3'!F7+'[8]Table 4 Level 3'!H7</f>
        <v>0</v>
      </c>
      <c r="I7" s="256">
        <f t="shared" si="12"/>
        <v>0</v>
      </c>
      <c r="J7" s="256">
        <f t="shared" ref="J7:J70" si="16">ROUND(-I7/3,0)</f>
        <v>0</v>
      </c>
      <c r="K7" s="257">
        <f>IF(H7&lt;0,0,'Table 3 Levels 1&amp;2'!C5)</f>
        <v>4087</v>
      </c>
      <c r="L7" s="253">
        <f t="shared" si="13"/>
        <v>227708</v>
      </c>
      <c r="M7" s="257">
        <f>'Table 3 Levels 1&amp;2'!C5</f>
        <v>4087</v>
      </c>
      <c r="N7" s="253">
        <f t="shared" si="14"/>
        <v>408700</v>
      </c>
      <c r="O7" s="253">
        <f t="shared" ref="O7:O70" si="17">F7+G7+H7+J7+L7+N7</f>
        <v>636408</v>
      </c>
      <c r="P7" s="253">
        <f t="shared" ref="P7:P70" si="18">D7+F7+G7+H7+J7+L7+N7</f>
        <v>4078969.8400000003</v>
      </c>
    </row>
    <row r="8" spans="1:16" ht="15.6" customHeight="1">
      <c r="A8" s="224">
        <v>3</v>
      </c>
      <c r="B8" s="225" t="s">
        <v>75</v>
      </c>
      <c r="C8" s="253">
        <v>596.84</v>
      </c>
      <c r="D8" s="253">
        <f>'Table 8 Membership 2.1.14'!W5*'Table 3A Level 3'!C8</f>
        <v>12508572.720000001</v>
      </c>
      <c r="E8" s="255">
        <v>0</v>
      </c>
      <c r="F8" s="255">
        <v>0</v>
      </c>
      <c r="G8" s="255">
        <f t="shared" si="15"/>
        <v>0</v>
      </c>
      <c r="H8" s="256">
        <f>'[8]Table 4 Level 3'!F8+'[8]Table 4 Level 3'!H8</f>
        <v>0</v>
      </c>
      <c r="I8" s="256">
        <f t="shared" si="12"/>
        <v>0</v>
      </c>
      <c r="J8" s="256">
        <f t="shared" si="16"/>
        <v>0</v>
      </c>
      <c r="K8" s="257">
        <f>IF(H8&lt;0,0,'Table 3 Levels 1&amp;2'!C6)</f>
        <v>20958</v>
      </c>
      <c r="L8" s="253">
        <f t="shared" si="13"/>
        <v>1167679</v>
      </c>
      <c r="M8" s="257">
        <f>'Table 3 Levels 1&amp;2'!C6</f>
        <v>20958</v>
      </c>
      <c r="N8" s="253">
        <f t="shared" si="14"/>
        <v>2095800</v>
      </c>
      <c r="O8" s="253">
        <f t="shared" si="17"/>
        <v>3263479</v>
      </c>
      <c r="P8" s="253">
        <f t="shared" si="18"/>
        <v>15772051.720000001</v>
      </c>
    </row>
    <row r="9" spans="1:16" ht="15.6" customHeight="1">
      <c r="A9" s="224">
        <v>4</v>
      </c>
      <c r="B9" s="225" t="s">
        <v>76</v>
      </c>
      <c r="C9" s="253">
        <v>585.76</v>
      </c>
      <c r="D9" s="253">
        <f>'Table 8 Membership 2.1.14'!W6*'Table 3A Level 3'!C9</f>
        <v>2090577.44</v>
      </c>
      <c r="E9" s="255">
        <v>0</v>
      </c>
      <c r="F9" s="255">
        <v>0</v>
      </c>
      <c r="G9" s="255">
        <f t="shared" si="15"/>
        <v>0</v>
      </c>
      <c r="H9" s="256">
        <f>'[8]Table 4 Level 3'!F9+'[8]Table 4 Level 3'!H9</f>
        <v>0</v>
      </c>
      <c r="I9" s="256">
        <f t="shared" si="12"/>
        <v>0</v>
      </c>
      <c r="J9" s="256">
        <f t="shared" si="16"/>
        <v>0</v>
      </c>
      <c r="K9" s="257">
        <f>IF(H9&lt;0,0,'Table 3 Levels 1&amp;2'!C7)</f>
        <v>3569</v>
      </c>
      <c r="L9" s="253">
        <f t="shared" si="13"/>
        <v>198848</v>
      </c>
      <c r="M9" s="257">
        <f>'Table 3 Levels 1&amp;2'!C7</f>
        <v>3569</v>
      </c>
      <c r="N9" s="253">
        <f t="shared" si="14"/>
        <v>356900</v>
      </c>
      <c r="O9" s="253">
        <f t="shared" si="17"/>
        <v>555748</v>
      </c>
      <c r="P9" s="253">
        <f t="shared" si="18"/>
        <v>2646325.44</v>
      </c>
    </row>
    <row r="10" spans="1:16" ht="15.6" customHeight="1">
      <c r="A10" s="3">
        <v>5</v>
      </c>
      <c r="B10" s="7" t="s">
        <v>77</v>
      </c>
      <c r="C10" s="108">
        <v>555.91</v>
      </c>
      <c r="D10" s="108">
        <f>'Table 8 Membership 2.1.14'!W7*'Table 3A Level 3'!C10</f>
        <v>3140891.5</v>
      </c>
      <c r="E10" s="107">
        <v>0</v>
      </c>
      <c r="F10" s="107">
        <v>0</v>
      </c>
      <c r="G10" s="107">
        <f t="shared" si="15"/>
        <v>0</v>
      </c>
      <c r="H10" s="105">
        <f>'[8]Table 4 Level 3'!F10+'[8]Table 4 Level 3'!H10</f>
        <v>0</v>
      </c>
      <c r="I10" s="105">
        <f t="shared" si="12"/>
        <v>0</v>
      </c>
      <c r="J10" s="105">
        <f t="shared" si="16"/>
        <v>0</v>
      </c>
      <c r="K10" s="106">
        <f>IF(H10&lt;0,0,'Table 3 Levels 1&amp;2'!C8)</f>
        <v>5650</v>
      </c>
      <c r="L10" s="108">
        <f t="shared" si="13"/>
        <v>314791</v>
      </c>
      <c r="M10" s="106">
        <f>'Table 3 Levels 1&amp;2'!C8</f>
        <v>5650</v>
      </c>
      <c r="N10" s="108">
        <f t="shared" si="14"/>
        <v>565000</v>
      </c>
      <c r="O10" s="108">
        <f t="shared" si="17"/>
        <v>879791</v>
      </c>
      <c r="P10" s="108">
        <f t="shared" si="18"/>
        <v>4020682.5</v>
      </c>
    </row>
    <row r="11" spans="1:16" ht="15.6" customHeight="1">
      <c r="A11" s="224">
        <v>6</v>
      </c>
      <c r="B11" s="225" t="s">
        <v>78</v>
      </c>
      <c r="C11" s="253">
        <v>545.4799999999999</v>
      </c>
      <c r="D11" s="254">
        <f>'Table 8 Membership 2.1.14'!W8*'Table 3A Level 3'!C11</f>
        <v>3213968.1599999992</v>
      </c>
      <c r="E11" s="255">
        <v>0</v>
      </c>
      <c r="F11" s="255">
        <v>0</v>
      </c>
      <c r="G11" s="255">
        <f t="shared" si="15"/>
        <v>0</v>
      </c>
      <c r="H11" s="256">
        <f>'[8]Table 4 Level 3'!F11+'[8]Table 4 Level 3'!H11</f>
        <v>0</v>
      </c>
      <c r="I11" s="256">
        <f t="shared" si="12"/>
        <v>0</v>
      </c>
      <c r="J11" s="256">
        <f t="shared" si="16"/>
        <v>0</v>
      </c>
      <c r="K11" s="257">
        <f>IF(H11&lt;0,0,'Table 3 Levels 1&amp;2'!C9)</f>
        <v>5892</v>
      </c>
      <c r="L11" s="253">
        <f t="shared" si="13"/>
        <v>328274</v>
      </c>
      <c r="M11" s="257">
        <f>'Table 3 Levels 1&amp;2'!C9</f>
        <v>5892</v>
      </c>
      <c r="N11" s="253">
        <f t="shared" si="14"/>
        <v>589200</v>
      </c>
      <c r="O11" s="253">
        <f t="shared" si="17"/>
        <v>917474</v>
      </c>
      <c r="P11" s="253">
        <f t="shared" si="18"/>
        <v>4131442.1599999992</v>
      </c>
    </row>
    <row r="12" spans="1:16" ht="15.6" customHeight="1">
      <c r="A12" s="224">
        <v>7</v>
      </c>
      <c r="B12" s="225" t="s">
        <v>79</v>
      </c>
      <c r="C12" s="253">
        <v>756.91999999999985</v>
      </c>
      <c r="D12" s="253">
        <f>'Table 8 Membership 2.1.14'!W9*'Table 3A Level 3'!C12</f>
        <v>1657654.7999999996</v>
      </c>
      <c r="E12" s="255">
        <v>0</v>
      </c>
      <c r="F12" s="255">
        <v>0</v>
      </c>
      <c r="G12" s="255">
        <f t="shared" si="15"/>
        <v>0</v>
      </c>
      <c r="H12" s="256">
        <f>'[8]Table 4 Level 3'!F12+'[8]Table 4 Level 3'!H12</f>
        <v>0</v>
      </c>
      <c r="I12" s="256">
        <f t="shared" si="12"/>
        <v>0</v>
      </c>
      <c r="J12" s="256">
        <f t="shared" si="16"/>
        <v>0</v>
      </c>
      <c r="K12" s="257">
        <f>IF(H12&lt;0,0,'Table 3 Levels 1&amp;2'!C10)</f>
        <v>2190</v>
      </c>
      <c r="L12" s="253">
        <f t="shared" si="13"/>
        <v>122016</v>
      </c>
      <c r="M12" s="257">
        <f>'Table 3 Levels 1&amp;2'!C10</f>
        <v>2190</v>
      </c>
      <c r="N12" s="253">
        <f t="shared" si="14"/>
        <v>219000</v>
      </c>
      <c r="O12" s="253">
        <f t="shared" si="17"/>
        <v>341016</v>
      </c>
      <c r="P12" s="253">
        <f t="shared" si="18"/>
        <v>1998670.7999999996</v>
      </c>
    </row>
    <row r="13" spans="1:16" ht="15.6" customHeight="1">
      <c r="A13" s="224">
        <v>8</v>
      </c>
      <c r="B13" s="225" t="s">
        <v>80</v>
      </c>
      <c r="C13" s="253">
        <v>725.76</v>
      </c>
      <c r="D13" s="253">
        <f>'Table 8 Membership 2.1.14'!W10*'Table 3A Level 3'!C13</f>
        <v>15648837.119999999</v>
      </c>
      <c r="E13" s="255">
        <v>0</v>
      </c>
      <c r="F13" s="255">
        <v>0</v>
      </c>
      <c r="G13" s="255">
        <f t="shared" si="15"/>
        <v>0</v>
      </c>
      <c r="H13" s="256">
        <f>'[8]Table 4 Level 3'!F13+'[8]Table 4 Level 3'!H13</f>
        <v>0</v>
      </c>
      <c r="I13" s="256">
        <f t="shared" si="12"/>
        <v>0</v>
      </c>
      <c r="J13" s="256">
        <f t="shared" si="16"/>
        <v>0</v>
      </c>
      <c r="K13" s="257">
        <f>IF(H13&lt;0,0,'Table 3 Levels 1&amp;2'!C11)</f>
        <v>21562</v>
      </c>
      <c r="L13" s="253">
        <f t="shared" si="13"/>
        <v>1201331</v>
      </c>
      <c r="M13" s="257">
        <f>'Table 3 Levels 1&amp;2'!C11</f>
        <v>21562</v>
      </c>
      <c r="N13" s="253">
        <f t="shared" si="14"/>
        <v>2156200</v>
      </c>
      <c r="O13" s="253">
        <f t="shared" si="17"/>
        <v>3357531</v>
      </c>
      <c r="P13" s="253">
        <f t="shared" si="18"/>
        <v>19006368.119999997</v>
      </c>
    </row>
    <row r="14" spans="1:16" ht="15.6" customHeight="1">
      <c r="A14" s="224">
        <v>9</v>
      </c>
      <c r="B14" s="225" t="s">
        <v>81</v>
      </c>
      <c r="C14" s="253">
        <v>744.76</v>
      </c>
      <c r="D14" s="253">
        <f>'Table 8 Membership 2.1.14'!W11*'Table 3A Level 3'!C14</f>
        <v>30248427.399999999</v>
      </c>
      <c r="E14" s="255">
        <v>0</v>
      </c>
      <c r="F14" s="255">
        <v>0</v>
      </c>
      <c r="G14" s="255">
        <f t="shared" si="15"/>
        <v>0</v>
      </c>
      <c r="H14" s="256">
        <f>'[8]Table 4 Level 3'!F14+'[8]Table 4 Level 3'!H14</f>
        <v>0</v>
      </c>
      <c r="I14" s="256">
        <f t="shared" si="12"/>
        <v>0</v>
      </c>
      <c r="J14" s="256">
        <f t="shared" si="16"/>
        <v>0</v>
      </c>
      <c r="K14" s="257">
        <f>IF(H14&lt;0,0,'Table 3 Levels 1&amp;2'!C12)</f>
        <v>40615</v>
      </c>
      <c r="L14" s="253">
        <f t="shared" si="13"/>
        <v>2262873</v>
      </c>
      <c r="M14" s="257">
        <f>'Table 3 Levels 1&amp;2'!C12</f>
        <v>40615</v>
      </c>
      <c r="N14" s="253">
        <f t="shared" si="14"/>
        <v>4061500</v>
      </c>
      <c r="O14" s="253">
        <f t="shared" si="17"/>
        <v>6324373</v>
      </c>
      <c r="P14" s="253">
        <f t="shared" si="18"/>
        <v>36572800.399999999</v>
      </c>
    </row>
    <row r="15" spans="1:16" ht="15.6" customHeight="1">
      <c r="A15" s="3">
        <v>10</v>
      </c>
      <c r="B15" s="7" t="s">
        <v>82</v>
      </c>
      <c r="C15" s="108">
        <v>608.04000000000008</v>
      </c>
      <c r="D15" s="108">
        <f>'Table 8 Membership 2.1.14'!W12*'Table 3A Level 3'!C15</f>
        <v>19674350.280000001</v>
      </c>
      <c r="E15" s="107">
        <v>0</v>
      </c>
      <c r="F15" s="107">
        <v>0</v>
      </c>
      <c r="G15" s="107">
        <f t="shared" si="15"/>
        <v>0</v>
      </c>
      <c r="H15" s="105">
        <f>'[8]Table 4 Level 3'!F15+'[8]Table 4 Level 3'!H15</f>
        <v>0</v>
      </c>
      <c r="I15" s="105">
        <f t="shared" si="12"/>
        <v>0</v>
      </c>
      <c r="J15" s="105">
        <f t="shared" si="16"/>
        <v>0</v>
      </c>
      <c r="K15" s="106">
        <f>IF(H15&lt;0,0,'Table 3 Levels 1&amp;2'!C13)</f>
        <v>32357</v>
      </c>
      <c r="L15" s="108">
        <f t="shared" si="13"/>
        <v>1802777</v>
      </c>
      <c r="M15" s="106">
        <f>'Table 3 Levels 1&amp;2'!C13</f>
        <v>32357</v>
      </c>
      <c r="N15" s="108">
        <f t="shared" si="14"/>
        <v>3235700</v>
      </c>
      <c r="O15" s="108">
        <f t="shared" si="17"/>
        <v>5038477</v>
      </c>
      <c r="P15" s="108">
        <f t="shared" si="18"/>
        <v>24712827.280000001</v>
      </c>
    </row>
    <row r="16" spans="1:16" ht="15.6" customHeight="1">
      <c r="A16" s="224">
        <v>11</v>
      </c>
      <c r="B16" s="225" t="s">
        <v>83</v>
      </c>
      <c r="C16" s="253">
        <v>706.55</v>
      </c>
      <c r="D16" s="254">
        <f>'Table 8 Membership 2.1.14'!W13*'Table 3A Level 3'!C16</f>
        <v>1108576.95</v>
      </c>
      <c r="E16" s="255">
        <v>0</v>
      </c>
      <c r="F16" s="255">
        <v>0</v>
      </c>
      <c r="G16" s="255">
        <f t="shared" si="15"/>
        <v>0</v>
      </c>
      <c r="H16" s="256">
        <f>'[8]Table 4 Level 3'!F16+'[8]Table 4 Level 3'!H16</f>
        <v>0</v>
      </c>
      <c r="I16" s="256">
        <f t="shared" si="12"/>
        <v>0</v>
      </c>
      <c r="J16" s="256">
        <f t="shared" si="16"/>
        <v>0</v>
      </c>
      <c r="K16" s="257">
        <f>IF(H16&lt;0,0,'Table 3 Levels 1&amp;2'!C14)</f>
        <v>1569</v>
      </c>
      <c r="L16" s="253">
        <f t="shared" si="13"/>
        <v>87417</v>
      </c>
      <c r="M16" s="257">
        <f>'Table 3 Levels 1&amp;2'!C14</f>
        <v>1569</v>
      </c>
      <c r="N16" s="253">
        <f t="shared" si="14"/>
        <v>156900</v>
      </c>
      <c r="O16" s="253">
        <f t="shared" si="17"/>
        <v>244317</v>
      </c>
      <c r="P16" s="253">
        <f t="shared" si="18"/>
        <v>1352893.95</v>
      </c>
    </row>
    <row r="17" spans="1:16" ht="15.6" customHeight="1">
      <c r="A17" s="224">
        <v>12</v>
      </c>
      <c r="B17" s="225" t="s">
        <v>84</v>
      </c>
      <c r="C17" s="253">
        <v>1063.31</v>
      </c>
      <c r="D17" s="253">
        <f>'Table 8 Membership 2.1.14'!W14*'Table 3A Level 3'!C17</f>
        <v>1297238.2</v>
      </c>
      <c r="E17" s="255">
        <v>0</v>
      </c>
      <c r="F17" s="255">
        <v>0</v>
      </c>
      <c r="G17" s="255">
        <f t="shared" si="15"/>
        <v>0</v>
      </c>
      <c r="H17" s="256">
        <f>'[8]Table 4 Level 3'!F17+'[8]Table 4 Level 3'!H17</f>
        <v>0</v>
      </c>
      <c r="I17" s="256">
        <f t="shared" si="12"/>
        <v>0</v>
      </c>
      <c r="J17" s="256">
        <f t="shared" si="16"/>
        <v>0</v>
      </c>
      <c r="K17" s="257">
        <f>IF(H17&lt;0,0,'Table 3 Levels 1&amp;2'!C15)</f>
        <v>1220</v>
      </c>
      <c r="L17" s="253">
        <f t="shared" si="13"/>
        <v>67973</v>
      </c>
      <c r="M17" s="257">
        <f>'Table 3 Levels 1&amp;2'!C15</f>
        <v>1220</v>
      </c>
      <c r="N17" s="253">
        <f t="shared" si="14"/>
        <v>122000</v>
      </c>
      <c r="O17" s="253">
        <f t="shared" si="17"/>
        <v>189973</v>
      </c>
      <c r="P17" s="253">
        <f t="shared" si="18"/>
        <v>1487211.2</v>
      </c>
    </row>
    <row r="18" spans="1:16" ht="15.6" customHeight="1">
      <c r="A18" s="224">
        <v>13</v>
      </c>
      <c r="B18" s="225" t="s">
        <v>85</v>
      </c>
      <c r="C18" s="253">
        <v>749.43000000000006</v>
      </c>
      <c r="D18" s="253">
        <f>'Table 8 Membership 2.1.14'!W15*'Table 3A Level 3'!C18</f>
        <v>1114402.4100000001</v>
      </c>
      <c r="E18" s="255">
        <v>0</v>
      </c>
      <c r="F18" s="255">
        <v>0</v>
      </c>
      <c r="G18" s="255">
        <f t="shared" si="15"/>
        <v>0</v>
      </c>
      <c r="H18" s="256">
        <f>'[8]Table 4 Level 3'!F18+'[8]Table 4 Level 3'!H18</f>
        <v>0</v>
      </c>
      <c r="I18" s="256">
        <f t="shared" si="12"/>
        <v>0</v>
      </c>
      <c r="J18" s="256">
        <f t="shared" si="16"/>
        <v>0</v>
      </c>
      <c r="K18" s="257">
        <f>IF(H18&lt;0,0,'Table 3 Levels 1&amp;2'!C16)</f>
        <v>1487</v>
      </c>
      <c r="L18" s="253">
        <f t="shared" si="13"/>
        <v>82849</v>
      </c>
      <c r="M18" s="257">
        <f>'Table 3 Levels 1&amp;2'!C16</f>
        <v>1487</v>
      </c>
      <c r="N18" s="253">
        <f t="shared" si="14"/>
        <v>148700</v>
      </c>
      <c r="O18" s="253">
        <f t="shared" si="17"/>
        <v>231549</v>
      </c>
      <c r="P18" s="253">
        <f t="shared" si="18"/>
        <v>1345951.4100000001</v>
      </c>
    </row>
    <row r="19" spans="1:16" ht="15.6" customHeight="1">
      <c r="A19" s="224">
        <v>14</v>
      </c>
      <c r="B19" s="225" t="s">
        <v>86</v>
      </c>
      <c r="C19" s="253">
        <v>809.9799999999999</v>
      </c>
      <c r="D19" s="253">
        <f>'Table 8 Membership 2.1.14'!W16*'Table 3A Level 3'!C19</f>
        <v>1360766.4</v>
      </c>
      <c r="E19" s="255">
        <v>0</v>
      </c>
      <c r="F19" s="255">
        <v>0</v>
      </c>
      <c r="G19" s="255">
        <f t="shared" si="15"/>
        <v>0</v>
      </c>
      <c r="H19" s="256">
        <f>'[8]Table 4 Level 3'!F19+'[8]Table 4 Level 3'!H19</f>
        <v>0</v>
      </c>
      <c r="I19" s="256">
        <f t="shared" si="12"/>
        <v>0</v>
      </c>
      <c r="J19" s="256">
        <f t="shared" si="16"/>
        <v>0</v>
      </c>
      <c r="K19" s="257">
        <f>IF(H19&lt;0,0,'Table 3 Levels 1&amp;2'!C17)</f>
        <v>1680</v>
      </c>
      <c r="L19" s="253">
        <f t="shared" si="13"/>
        <v>93602</v>
      </c>
      <c r="M19" s="257">
        <f>'Table 3 Levels 1&amp;2'!C17</f>
        <v>1680</v>
      </c>
      <c r="N19" s="253">
        <f t="shared" si="14"/>
        <v>168000</v>
      </c>
      <c r="O19" s="253">
        <f t="shared" si="17"/>
        <v>261602</v>
      </c>
      <c r="P19" s="253">
        <f t="shared" si="18"/>
        <v>1622368.4</v>
      </c>
    </row>
    <row r="20" spans="1:16" ht="15.6" customHeight="1">
      <c r="A20" s="3">
        <v>15</v>
      </c>
      <c r="B20" s="7" t="s">
        <v>87</v>
      </c>
      <c r="C20" s="108">
        <v>553.79999999999995</v>
      </c>
      <c r="D20" s="108">
        <f>'Table 8 Membership 2.1.14'!W17*'Table 3A Level 3'!C20</f>
        <v>2032445.9999999998</v>
      </c>
      <c r="E20" s="107">
        <v>224419</v>
      </c>
      <c r="F20" s="107">
        <v>0</v>
      </c>
      <c r="G20" s="107">
        <f t="shared" si="15"/>
        <v>224419</v>
      </c>
      <c r="H20" s="105">
        <f>'[8]Table 4 Level 3'!F20+'[8]Table 4 Level 3'!H20</f>
        <v>-157094</v>
      </c>
      <c r="I20" s="105">
        <f t="shared" si="12"/>
        <v>67325</v>
      </c>
      <c r="J20" s="105">
        <f t="shared" si="16"/>
        <v>-22442</v>
      </c>
      <c r="K20" s="106">
        <f>IF(H20&lt;0,0,'Table 3 Levels 1&amp;2'!C18)</f>
        <v>0</v>
      </c>
      <c r="L20" s="108">
        <f t="shared" si="13"/>
        <v>0</v>
      </c>
      <c r="M20" s="106">
        <f>'Table 3 Levels 1&amp;2'!C18</f>
        <v>3670</v>
      </c>
      <c r="N20" s="108">
        <f t="shared" si="14"/>
        <v>367000</v>
      </c>
      <c r="O20" s="108">
        <f t="shared" si="17"/>
        <v>411883</v>
      </c>
      <c r="P20" s="108">
        <f t="shared" si="18"/>
        <v>2444329</v>
      </c>
    </row>
    <row r="21" spans="1:16" ht="15.6" customHeight="1">
      <c r="A21" s="224">
        <v>16</v>
      </c>
      <c r="B21" s="225" t="s">
        <v>88</v>
      </c>
      <c r="C21" s="253">
        <v>686.73</v>
      </c>
      <c r="D21" s="254">
        <f>'Table 8 Membership 2.1.14'!W18*'Table 3A Level 3'!C21</f>
        <v>3345061.83</v>
      </c>
      <c r="E21" s="255">
        <v>0</v>
      </c>
      <c r="F21" s="255">
        <v>0</v>
      </c>
      <c r="G21" s="255">
        <f t="shared" si="15"/>
        <v>0</v>
      </c>
      <c r="H21" s="256">
        <f>'[8]Table 4 Level 3'!F21+'[8]Table 4 Level 3'!H21</f>
        <v>0</v>
      </c>
      <c r="I21" s="256">
        <f t="shared" si="12"/>
        <v>0</v>
      </c>
      <c r="J21" s="256">
        <f t="shared" si="16"/>
        <v>0</v>
      </c>
      <c r="K21" s="257">
        <f>IF(H21&lt;0,0,'Table 3 Levels 1&amp;2'!C19)</f>
        <v>4871</v>
      </c>
      <c r="L21" s="253">
        <f t="shared" si="13"/>
        <v>271389</v>
      </c>
      <c r="M21" s="257">
        <f>'Table 3 Levels 1&amp;2'!C19</f>
        <v>4871</v>
      </c>
      <c r="N21" s="253">
        <f t="shared" si="14"/>
        <v>487100</v>
      </c>
      <c r="O21" s="253">
        <f t="shared" si="17"/>
        <v>758489</v>
      </c>
      <c r="P21" s="253">
        <f t="shared" si="18"/>
        <v>4103550.83</v>
      </c>
    </row>
    <row r="22" spans="1:16" ht="15.6" customHeight="1">
      <c r="A22" s="224">
        <v>17</v>
      </c>
      <c r="B22" s="225" t="s">
        <v>89</v>
      </c>
      <c r="C22" s="253">
        <v>801.47762416806802</v>
      </c>
      <c r="D22" s="253">
        <f>'Table 8 Membership 2.1.14'!W19*'Table 3A Level 3'!C22</f>
        <v>34755275.6944241</v>
      </c>
      <c r="E22" s="255">
        <v>25595514</v>
      </c>
      <c r="F22" s="255">
        <v>13580692</v>
      </c>
      <c r="G22" s="255">
        <f t="shared" si="15"/>
        <v>12014822</v>
      </c>
      <c r="H22" s="256">
        <f>'[8]Table 4 Level 3'!F22+'[8]Table 4 Level 3'!H22</f>
        <v>-8410375</v>
      </c>
      <c r="I22" s="256">
        <f t="shared" si="12"/>
        <v>3604447</v>
      </c>
      <c r="J22" s="256">
        <f t="shared" si="16"/>
        <v>-1201482</v>
      </c>
      <c r="K22" s="257">
        <f>IF(H22&lt;0,0,'Table 3 Levels 1&amp;2'!C20)</f>
        <v>0</v>
      </c>
      <c r="L22" s="253">
        <f t="shared" si="13"/>
        <v>0</v>
      </c>
      <c r="M22" s="257">
        <f>'Table 3 Levels 1&amp;2'!C20</f>
        <v>43364</v>
      </c>
      <c r="N22" s="253">
        <f t="shared" si="14"/>
        <v>4336400</v>
      </c>
      <c r="O22" s="253">
        <f t="shared" si="17"/>
        <v>20320057</v>
      </c>
      <c r="P22" s="253">
        <f t="shared" si="18"/>
        <v>55075332.6944241</v>
      </c>
    </row>
    <row r="23" spans="1:16" ht="15.6" customHeight="1">
      <c r="A23" s="224">
        <v>18</v>
      </c>
      <c r="B23" s="225" t="s">
        <v>90</v>
      </c>
      <c r="C23" s="253">
        <v>845.94999999999993</v>
      </c>
      <c r="D23" s="253">
        <f>'Table 8 Membership 2.1.14'!W20*'Table 3A Level 3'!C23</f>
        <v>889093.45</v>
      </c>
      <c r="E23" s="255">
        <v>0</v>
      </c>
      <c r="F23" s="255">
        <v>0</v>
      </c>
      <c r="G23" s="255">
        <f t="shared" si="15"/>
        <v>0</v>
      </c>
      <c r="H23" s="256">
        <f>'[8]Table 4 Level 3'!F23+'[8]Table 4 Level 3'!H23</f>
        <v>0</v>
      </c>
      <c r="I23" s="256">
        <f t="shared" si="12"/>
        <v>0</v>
      </c>
      <c r="J23" s="256">
        <f t="shared" si="16"/>
        <v>0</v>
      </c>
      <c r="K23" s="257">
        <f>IF(H23&lt;0,0,'Table 3 Levels 1&amp;2'!C21)</f>
        <v>1051</v>
      </c>
      <c r="L23" s="253">
        <f t="shared" si="13"/>
        <v>58557</v>
      </c>
      <c r="M23" s="257">
        <f>'Table 3 Levels 1&amp;2'!C21</f>
        <v>1051</v>
      </c>
      <c r="N23" s="253">
        <f t="shared" si="14"/>
        <v>105100</v>
      </c>
      <c r="O23" s="253">
        <f t="shared" si="17"/>
        <v>163657</v>
      </c>
      <c r="P23" s="253">
        <f t="shared" si="18"/>
        <v>1052750.45</v>
      </c>
    </row>
    <row r="24" spans="1:16" ht="15.6" customHeight="1">
      <c r="A24" s="224">
        <v>19</v>
      </c>
      <c r="B24" s="225" t="s">
        <v>91</v>
      </c>
      <c r="C24" s="253">
        <v>905.43</v>
      </c>
      <c r="D24" s="253">
        <f>'Table 8 Membership 2.1.14'!W21*'Table 3A Level 3'!C24</f>
        <v>1728465.8699999999</v>
      </c>
      <c r="E24" s="255">
        <v>0</v>
      </c>
      <c r="F24" s="255">
        <v>0</v>
      </c>
      <c r="G24" s="255">
        <f t="shared" si="15"/>
        <v>0</v>
      </c>
      <c r="H24" s="256">
        <f>'[8]Table 4 Level 3'!F24+'[8]Table 4 Level 3'!H24</f>
        <v>0</v>
      </c>
      <c r="I24" s="256">
        <f t="shared" si="12"/>
        <v>0</v>
      </c>
      <c r="J24" s="256">
        <f t="shared" si="16"/>
        <v>0</v>
      </c>
      <c r="K24" s="257">
        <f>IF(H24&lt;0,0,'Table 3 Levels 1&amp;2'!C22)</f>
        <v>1909</v>
      </c>
      <c r="L24" s="253">
        <f t="shared" si="13"/>
        <v>106360</v>
      </c>
      <c r="M24" s="257">
        <f>'Table 3 Levels 1&amp;2'!C22</f>
        <v>1909</v>
      </c>
      <c r="N24" s="253">
        <f t="shared" si="14"/>
        <v>190900</v>
      </c>
      <c r="O24" s="253">
        <f t="shared" si="17"/>
        <v>297260</v>
      </c>
      <c r="P24" s="253">
        <f t="shared" si="18"/>
        <v>2025725.8699999999</v>
      </c>
    </row>
    <row r="25" spans="1:16" ht="15.6" customHeight="1">
      <c r="A25" s="3">
        <v>20</v>
      </c>
      <c r="B25" s="7" t="s">
        <v>92</v>
      </c>
      <c r="C25" s="108">
        <v>586.16999999999996</v>
      </c>
      <c r="D25" s="108">
        <f>'Table 8 Membership 2.1.14'!W22*'Table 3A Level 3'!C25</f>
        <v>3431439.1799999997</v>
      </c>
      <c r="E25" s="107">
        <v>175620</v>
      </c>
      <c r="F25" s="107">
        <v>0</v>
      </c>
      <c r="G25" s="107">
        <f t="shared" si="15"/>
        <v>175620</v>
      </c>
      <c r="H25" s="105">
        <f>'[8]Table 4 Level 3'!F25+'[8]Table 4 Level 3'!H25</f>
        <v>-122934</v>
      </c>
      <c r="I25" s="105">
        <f t="shared" si="12"/>
        <v>52686</v>
      </c>
      <c r="J25" s="105">
        <f t="shared" si="16"/>
        <v>-17562</v>
      </c>
      <c r="K25" s="106">
        <f>IF(H25&lt;0,0,'Table 3 Levels 1&amp;2'!C23)</f>
        <v>0</v>
      </c>
      <c r="L25" s="108">
        <f t="shared" si="13"/>
        <v>0</v>
      </c>
      <c r="M25" s="106">
        <f>'Table 3 Levels 1&amp;2'!C23</f>
        <v>5854</v>
      </c>
      <c r="N25" s="108">
        <f t="shared" si="14"/>
        <v>585400</v>
      </c>
      <c r="O25" s="108">
        <f t="shared" si="17"/>
        <v>620524</v>
      </c>
      <c r="P25" s="108">
        <f t="shared" si="18"/>
        <v>4051963.1799999997</v>
      </c>
    </row>
    <row r="26" spans="1:16" ht="15.6" customHeight="1">
      <c r="A26" s="224">
        <v>21</v>
      </c>
      <c r="B26" s="225" t="s">
        <v>93</v>
      </c>
      <c r="C26" s="253">
        <v>610.35</v>
      </c>
      <c r="D26" s="254">
        <f>'Table 8 Membership 2.1.14'!W23*'Table 3A Level 3'!C26</f>
        <v>1772456.4000000001</v>
      </c>
      <c r="E26" s="255">
        <v>0</v>
      </c>
      <c r="F26" s="255">
        <v>0</v>
      </c>
      <c r="G26" s="255">
        <f t="shared" si="15"/>
        <v>0</v>
      </c>
      <c r="H26" s="256">
        <f>'[8]Table 4 Level 3'!F26+'[8]Table 4 Level 3'!H26</f>
        <v>0</v>
      </c>
      <c r="I26" s="256">
        <f t="shared" si="12"/>
        <v>0</v>
      </c>
      <c r="J26" s="256">
        <f t="shared" si="16"/>
        <v>0</v>
      </c>
      <c r="K26" s="257">
        <f>IF(H26&lt;0,0,'Table 3 Levels 1&amp;2'!C24)</f>
        <v>2904</v>
      </c>
      <c r="L26" s="253">
        <f t="shared" si="13"/>
        <v>161797</v>
      </c>
      <c r="M26" s="257">
        <f>'Table 3 Levels 1&amp;2'!C24</f>
        <v>2904</v>
      </c>
      <c r="N26" s="253">
        <f t="shared" si="14"/>
        <v>290400</v>
      </c>
      <c r="O26" s="253">
        <f t="shared" si="17"/>
        <v>452197</v>
      </c>
      <c r="P26" s="253">
        <f t="shared" si="18"/>
        <v>2224653.4000000004</v>
      </c>
    </row>
    <row r="27" spans="1:16" ht="15.6" customHeight="1">
      <c r="A27" s="224">
        <v>22</v>
      </c>
      <c r="B27" s="225" t="s">
        <v>94</v>
      </c>
      <c r="C27" s="253">
        <v>496.36</v>
      </c>
      <c r="D27" s="253">
        <f>'Table 8 Membership 2.1.14'!W24*'Table 3A Level 3'!C27</f>
        <v>1560059.48</v>
      </c>
      <c r="E27" s="255">
        <v>0</v>
      </c>
      <c r="F27" s="255">
        <v>0</v>
      </c>
      <c r="G27" s="255">
        <f t="shared" si="15"/>
        <v>0</v>
      </c>
      <c r="H27" s="256">
        <f>'[8]Table 4 Level 3'!F27+'[8]Table 4 Level 3'!H27</f>
        <v>0</v>
      </c>
      <c r="I27" s="256">
        <f t="shared" si="12"/>
        <v>0</v>
      </c>
      <c r="J27" s="256">
        <f t="shared" si="16"/>
        <v>0</v>
      </c>
      <c r="K27" s="257">
        <f>IF(H27&lt;0,0,'Table 3 Levels 1&amp;2'!C25)</f>
        <v>3143</v>
      </c>
      <c r="L27" s="253">
        <f t="shared" si="13"/>
        <v>175113</v>
      </c>
      <c r="M27" s="257">
        <f>'Table 3 Levels 1&amp;2'!C25</f>
        <v>3143</v>
      </c>
      <c r="N27" s="253">
        <f t="shared" si="14"/>
        <v>314300</v>
      </c>
      <c r="O27" s="253">
        <f t="shared" si="17"/>
        <v>489413</v>
      </c>
      <c r="P27" s="253">
        <f t="shared" si="18"/>
        <v>2049472.48</v>
      </c>
    </row>
    <row r="28" spans="1:16" ht="15.6" customHeight="1">
      <c r="A28" s="224">
        <v>23</v>
      </c>
      <c r="B28" s="225" t="s">
        <v>95</v>
      </c>
      <c r="C28" s="253">
        <v>688.58</v>
      </c>
      <c r="D28" s="253">
        <f>'Table 8 Membership 2.1.14'!W25*'Table 3A Level 3'!C28</f>
        <v>9321307.4600000009</v>
      </c>
      <c r="E28" s="255">
        <v>0</v>
      </c>
      <c r="F28" s="255">
        <v>0</v>
      </c>
      <c r="G28" s="255">
        <f t="shared" si="15"/>
        <v>0</v>
      </c>
      <c r="H28" s="256">
        <f>'[8]Table 4 Level 3'!F28+'[8]Table 4 Level 3'!H28</f>
        <v>0</v>
      </c>
      <c r="I28" s="256">
        <f t="shared" si="12"/>
        <v>0</v>
      </c>
      <c r="J28" s="256">
        <f t="shared" si="16"/>
        <v>0</v>
      </c>
      <c r="K28" s="257">
        <f>IF(H28&lt;0,0,'Table 3 Levels 1&amp;2'!C26)</f>
        <v>13537</v>
      </c>
      <c r="L28" s="253">
        <f t="shared" si="13"/>
        <v>754217</v>
      </c>
      <c r="M28" s="257">
        <f>'Table 3 Levels 1&amp;2'!C26</f>
        <v>13537</v>
      </c>
      <c r="N28" s="253">
        <f t="shared" si="14"/>
        <v>1353700</v>
      </c>
      <c r="O28" s="253">
        <f t="shared" si="17"/>
        <v>2107917</v>
      </c>
      <c r="P28" s="253">
        <f t="shared" si="18"/>
        <v>11429224.460000001</v>
      </c>
    </row>
    <row r="29" spans="1:16" ht="15.6" customHeight="1">
      <c r="A29" s="224">
        <v>24</v>
      </c>
      <c r="B29" s="225" t="s">
        <v>96</v>
      </c>
      <c r="C29" s="253">
        <v>854.24999999999989</v>
      </c>
      <c r="D29" s="253">
        <f>'Table 8 Membership 2.1.14'!W26*'Table 3A Level 3'!C29</f>
        <v>3921861.7499999995</v>
      </c>
      <c r="E29" s="255">
        <v>2421938</v>
      </c>
      <c r="F29" s="255">
        <v>1654734</v>
      </c>
      <c r="G29" s="255">
        <f t="shared" si="15"/>
        <v>767204</v>
      </c>
      <c r="H29" s="256">
        <f>'[8]Table 4 Level 3'!F29+'[8]Table 4 Level 3'!H29</f>
        <v>-537043</v>
      </c>
      <c r="I29" s="256">
        <f t="shared" si="12"/>
        <v>230161</v>
      </c>
      <c r="J29" s="256">
        <f t="shared" si="16"/>
        <v>-76720</v>
      </c>
      <c r="K29" s="257">
        <f>IF(H29&lt;0,0,'Table 3 Levels 1&amp;2'!C27)</f>
        <v>0</v>
      </c>
      <c r="L29" s="253">
        <f t="shared" si="13"/>
        <v>0</v>
      </c>
      <c r="M29" s="257">
        <f>'Table 3 Levels 1&amp;2'!C27</f>
        <v>4591</v>
      </c>
      <c r="N29" s="253">
        <f t="shared" si="14"/>
        <v>459100</v>
      </c>
      <c r="O29" s="253">
        <f t="shared" si="17"/>
        <v>2267275</v>
      </c>
      <c r="P29" s="253">
        <f t="shared" si="18"/>
        <v>6189136.75</v>
      </c>
    </row>
    <row r="30" spans="1:16" ht="15.6" customHeight="1">
      <c r="A30" s="3">
        <v>25</v>
      </c>
      <c r="B30" s="7" t="s">
        <v>97</v>
      </c>
      <c r="C30" s="108">
        <v>653.73</v>
      </c>
      <c r="D30" s="108">
        <f>'Table 8 Membership 2.1.14'!W27*'Table 3A Level 3'!C30</f>
        <v>1495080.51</v>
      </c>
      <c r="E30" s="107">
        <v>0</v>
      </c>
      <c r="F30" s="107">
        <v>0</v>
      </c>
      <c r="G30" s="107">
        <f t="shared" si="15"/>
        <v>0</v>
      </c>
      <c r="H30" s="105">
        <f>'[8]Table 4 Level 3'!F30+'[8]Table 4 Level 3'!H30</f>
        <v>0</v>
      </c>
      <c r="I30" s="105">
        <f t="shared" si="12"/>
        <v>0</v>
      </c>
      <c r="J30" s="105">
        <f t="shared" si="16"/>
        <v>0</v>
      </c>
      <c r="K30" s="106">
        <f>IF(H30&lt;0,0,'Table 3 Levels 1&amp;2'!C28)</f>
        <v>2287</v>
      </c>
      <c r="L30" s="108">
        <f t="shared" si="13"/>
        <v>127421</v>
      </c>
      <c r="M30" s="106">
        <f>'Table 3 Levels 1&amp;2'!C28</f>
        <v>2287</v>
      </c>
      <c r="N30" s="108">
        <f t="shared" si="14"/>
        <v>228700</v>
      </c>
      <c r="O30" s="108">
        <f t="shared" si="17"/>
        <v>356121</v>
      </c>
      <c r="P30" s="108">
        <f t="shared" si="18"/>
        <v>1851201.51</v>
      </c>
    </row>
    <row r="31" spans="1:16" ht="15.6" customHeight="1">
      <c r="A31" s="224">
        <v>26</v>
      </c>
      <c r="B31" s="225" t="s">
        <v>98</v>
      </c>
      <c r="C31" s="253">
        <v>836.83</v>
      </c>
      <c r="D31" s="254">
        <f>'Table 8 Membership 2.1.14'!W28*'Table 3A Level 3'!C31</f>
        <v>38016350.07</v>
      </c>
      <c r="E31" s="255">
        <v>23386991</v>
      </c>
      <c r="F31" s="255">
        <v>14897747</v>
      </c>
      <c r="G31" s="255">
        <f t="shared" si="15"/>
        <v>8489244</v>
      </c>
      <c r="H31" s="256">
        <f>'[8]Table 4 Level 3'!F31+'[8]Table 4 Level 3'!H31</f>
        <v>-5942471</v>
      </c>
      <c r="I31" s="256">
        <f t="shared" si="12"/>
        <v>2546773</v>
      </c>
      <c r="J31" s="256">
        <f t="shared" si="16"/>
        <v>-848924</v>
      </c>
      <c r="K31" s="257">
        <f>IF(H31&lt;0,0,'Table 3 Levels 1&amp;2'!C29)</f>
        <v>0</v>
      </c>
      <c r="L31" s="253">
        <f t="shared" si="13"/>
        <v>0</v>
      </c>
      <c r="M31" s="257">
        <f>'Table 3 Levels 1&amp;2'!C29</f>
        <v>45429</v>
      </c>
      <c r="N31" s="253">
        <f t="shared" si="14"/>
        <v>4542900</v>
      </c>
      <c r="O31" s="253">
        <f t="shared" si="17"/>
        <v>21138496</v>
      </c>
      <c r="P31" s="253">
        <f t="shared" si="18"/>
        <v>59154846.07</v>
      </c>
    </row>
    <row r="32" spans="1:16" ht="15.6" customHeight="1">
      <c r="A32" s="224">
        <v>27</v>
      </c>
      <c r="B32" s="225" t="s">
        <v>99</v>
      </c>
      <c r="C32" s="253">
        <v>693.06</v>
      </c>
      <c r="D32" s="253">
        <f>'Table 8 Membership 2.1.14'!W29*'Table 3A Level 3'!C32</f>
        <v>3906779.2199999997</v>
      </c>
      <c r="E32" s="255">
        <v>0</v>
      </c>
      <c r="F32" s="255">
        <v>0</v>
      </c>
      <c r="G32" s="255">
        <f t="shared" si="15"/>
        <v>0</v>
      </c>
      <c r="H32" s="256">
        <f>'[8]Table 4 Level 3'!F32+'[8]Table 4 Level 3'!H32</f>
        <v>0</v>
      </c>
      <c r="I32" s="256">
        <f t="shared" si="12"/>
        <v>0</v>
      </c>
      <c r="J32" s="256">
        <f t="shared" si="16"/>
        <v>0</v>
      </c>
      <c r="K32" s="257">
        <f>IF(H32&lt;0,0,'Table 3 Levels 1&amp;2'!C30)</f>
        <v>5637</v>
      </c>
      <c r="L32" s="253">
        <f t="shared" si="13"/>
        <v>314067</v>
      </c>
      <c r="M32" s="257">
        <f>'Table 3 Levels 1&amp;2'!C30</f>
        <v>5637</v>
      </c>
      <c r="N32" s="253">
        <f t="shared" si="14"/>
        <v>563700</v>
      </c>
      <c r="O32" s="253">
        <f t="shared" si="17"/>
        <v>877767</v>
      </c>
      <c r="P32" s="253">
        <f t="shared" si="18"/>
        <v>4784546.22</v>
      </c>
    </row>
    <row r="33" spans="1:18" ht="15.6" customHeight="1">
      <c r="A33" s="224">
        <v>28</v>
      </c>
      <c r="B33" s="225" t="s">
        <v>100</v>
      </c>
      <c r="C33" s="253">
        <v>694.4</v>
      </c>
      <c r="D33" s="253">
        <f>'Table 8 Membership 2.1.14'!W30*'Table 3A Level 3'!C33</f>
        <v>20974352</v>
      </c>
      <c r="E33" s="255">
        <v>1996377</v>
      </c>
      <c r="F33" s="255">
        <v>1996377</v>
      </c>
      <c r="G33" s="255">
        <f t="shared" si="15"/>
        <v>0</v>
      </c>
      <c r="H33" s="256">
        <f>'[8]Table 4 Level 3'!F33+'[8]Table 4 Level 3'!H33</f>
        <v>0</v>
      </c>
      <c r="I33" s="256">
        <f t="shared" si="12"/>
        <v>0</v>
      </c>
      <c r="J33" s="256">
        <f t="shared" si="16"/>
        <v>0</v>
      </c>
      <c r="K33" s="257">
        <f>IF(H33&lt;0,0,'Table 3 Levels 1&amp;2'!C31)</f>
        <v>30205</v>
      </c>
      <c r="L33" s="253">
        <f t="shared" si="13"/>
        <v>1682878</v>
      </c>
      <c r="M33" s="257">
        <f>'Table 3 Levels 1&amp;2'!C31</f>
        <v>30205</v>
      </c>
      <c r="N33" s="253">
        <f t="shared" si="14"/>
        <v>3020500</v>
      </c>
      <c r="O33" s="253">
        <f t="shared" si="17"/>
        <v>6699755</v>
      </c>
      <c r="P33" s="253">
        <f t="shared" si="18"/>
        <v>27674107</v>
      </c>
    </row>
    <row r="34" spans="1:18" ht="15.6" customHeight="1">
      <c r="A34" s="224">
        <v>29</v>
      </c>
      <c r="B34" s="225" t="s">
        <v>101</v>
      </c>
      <c r="C34" s="253">
        <v>754.94999999999993</v>
      </c>
      <c r="D34" s="253">
        <f>'Table 8 Membership 2.1.14'!W31*'Table 3A Level 3'!C34</f>
        <v>10446998.1</v>
      </c>
      <c r="E34" s="255">
        <v>0</v>
      </c>
      <c r="F34" s="255">
        <v>0</v>
      </c>
      <c r="G34" s="255">
        <f t="shared" si="15"/>
        <v>0</v>
      </c>
      <c r="H34" s="256">
        <f>'[8]Table 4 Level 3'!F34+'[8]Table 4 Level 3'!H34</f>
        <v>0</v>
      </c>
      <c r="I34" s="256">
        <f t="shared" si="12"/>
        <v>0</v>
      </c>
      <c r="J34" s="256">
        <f t="shared" si="16"/>
        <v>0</v>
      </c>
      <c r="K34" s="257">
        <f>IF(H34&lt;0,0,'Table 3 Levels 1&amp;2'!C32)</f>
        <v>13838</v>
      </c>
      <c r="L34" s="253">
        <f t="shared" si="13"/>
        <v>770987</v>
      </c>
      <c r="M34" s="257">
        <f>'Table 3 Levels 1&amp;2'!C32</f>
        <v>13838</v>
      </c>
      <c r="N34" s="253">
        <f t="shared" si="14"/>
        <v>1383800</v>
      </c>
      <c r="O34" s="253">
        <f t="shared" si="17"/>
        <v>2154787</v>
      </c>
      <c r="P34" s="253">
        <f t="shared" si="18"/>
        <v>12601785.1</v>
      </c>
    </row>
    <row r="35" spans="1:18" ht="15.6" customHeight="1">
      <c r="A35" s="3">
        <v>30</v>
      </c>
      <c r="B35" s="7" t="s">
        <v>102</v>
      </c>
      <c r="C35" s="108">
        <v>727.17</v>
      </c>
      <c r="D35" s="108">
        <f>'Table 8 Membership 2.1.14'!W32*'Table 3A Level 3'!C35</f>
        <v>1794655.5599999998</v>
      </c>
      <c r="E35" s="107">
        <v>0</v>
      </c>
      <c r="F35" s="107">
        <v>0</v>
      </c>
      <c r="G35" s="107">
        <f t="shared" si="15"/>
        <v>0</v>
      </c>
      <c r="H35" s="105">
        <f>'[8]Table 4 Level 3'!F35+'[8]Table 4 Level 3'!H35</f>
        <v>0</v>
      </c>
      <c r="I35" s="105">
        <f t="shared" si="12"/>
        <v>0</v>
      </c>
      <c r="J35" s="105">
        <f t="shared" si="16"/>
        <v>0</v>
      </c>
      <c r="K35" s="106">
        <f>IF(H35&lt;0,0,'Table 3 Levels 1&amp;2'!C33)</f>
        <v>2468</v>
      </c>
      <c r="L35" s="108">
        <f t="shared" si="13"/>
        <v>137505</v>
      </c>
      <c r="M35" s="106">
        <f>'Table 3 Levels 1&amp;2'!C33</f>
        <v>2468</v>
      </c>
      <c r="N35" s="108">
        <f t="shared" si="14"/>
        <v>246800</v>
      </c>
      <c r="O35" s="108">
        <f t="shared" si="17"/>
        <v>384305</v>
      </c>
      <c r="P35" s="108">
        <f t="shared" si="18"/>
        <v>2178960.5599999996</v>
      </c>
    </row>
    <row r="36" spans="1:18" ht="15.6" customHeight="1">
      <c r="A36" s="224">
        <v>31</v>
      </c>
      <c r="B36" s="225" t="s">
        <v>103</v>
      </c>
      <c r="C36" s="253">
        <v>620.83000000000004</v>
      </c>
      <c r="D36" s="254">
        <f>'Table 8 Membership 2.1.14'!W33*'Table 3A Level 3'!C36</f>
        <v>3957170.4200000004</v>
      </c>
      <c r="E36" s="255">
        <v>0</v>
      </c>
      <c r="F36" s="255">
        <v>0</v>
      </c>
      <c r="G36" s="255">
        <f t="shared" si="15"/>
        <v>0</v>
      </c>
      <c r="H36" s="256">
        <f>'[8]Table 4 Level 3'!F36+'[8]Table 4 Level 3'!H36</f>
        <v>0</v>
      </c>
      <c r="I36" s="256">
        <f t="shared" si="12"/>
        <v>0</v>
      </c>
      <c r="J36" s="256">
        <f t="shared" si="16"/>
        <v>0</v>
      </c>
      <c r="K36" s="257">
        <f>IF(H36&lt;0,0,'Table 3 Levels 1&amp;2'!C34)</f>
        <v>6374</v>
      </c>
      <c r="L36" s="253">
        <f t="shared" si="13"/>
        <v>355129</v>
      </c>
      <c r="M36" s="257">
        <f>'Table 3 Levels 1&amp;2'!C34</f>
        <v>6374</v>
      </c>
      <c r="N36" s="253">
        <f t="shared" si="14"/>
        <v>637400</v>
      </c>
      <c r="O36" s="253">
        <f t="shared" si="17"/>
        <v>992529</v>
      </c>
      <c r="P36" s="253">
        <f t="shared" si="18"/>
        <v>4949699.42</v>
      </c>
    </row>
    <row r="37" spans="1:18" ht="15.6" customHeight="1">
      <c r="A37" s="224">
        <v>32</v>
      </c>
      <c r="B37" s="225" t="s">
        <v>104</v>
      </c>
      <c r="C37" s="253">
        <v>559.77</v>
      </c>
      <c r="D37" s="253">
        <f>'Table 8 Membership 2.1.14'!W34*'Table 3A Level 3'!C37</f>
        <v>14093329.289999999</v>
      </c>
      <c r="E37" s="255">
        <v>0</v>
      </c>
      <c r="F37" s="255">
        <v>0</v>
      </c>
      <c r="G37" s="255">
        <f t="shared" si="15"/>
        <v>0</v>
      </c>
      <c r="H37" s="256">
        <f>'[8]Table 4 Level 3'!F37+'[8]Table 4 Level 3'!H37</f>
        <v>0</v>
      </c>
      <c r="I37" s="256">
        <f t="shared" si="12"/>
        <v>0</v>
      </c>
      <c r="J37" s="256">
        <f t="shared" si="16"/>
        <v>0</v>
      </c>
      <c r="K37" s="257">
        <f>IF(H37&lt;0,0,'Table 3 Levels 1&amp;2'!C35)</f>
        <v>25177</v>
      </c>
      <c r="L37" s="253">
        <f t="shared" si="13"/>
        <v>1402742</v>
      </c>
      <c r="M37" s="257">
        <f>'Table 3 Levels 1&amp;2'!C35</f>
        <v>25177</v>
      </c>
      <c r="N37" s="253">
        <f t="shared" si="14"/>
        <v>2517700</v>
      </c>
      <c r="O37" s="253">
        <f t="shared" si="17"/>
        <v>3920442</v>
      </c>
      <c r="P37" s="253">
        <f t="shared" si="18"/>
        <v>18013771.289999999</v>
      </c>
    </row>
    <row r="38" spans="1:18" ht="15.6" customHeight="1">
      <c r="A38" s="224">
        <v>33</v>
      </c>
      <c r="B38" s="225" t="s">
        <v>105</v>
      </c>
      <c r="C38" s="253">
        <v>655.31000000000006</v>
      </c>
      <c r="D38" s="253">
        <f>'Table 8 Membership 2.1.14'!W35*'Table 3A Level 3'!C38</f>
        <v>1122546.03</v>
      </c>
      <c r="E38" s="255">
        <v>0</v>
      </c>
      <c r="F38" s="255">
        <v>0</v>
      </c>
      <c r="G38" s="255">
        <f t="shared" si="15"/>
        <v>0</v>
      </c>
      <c r="H38" s="256">
        <f>'[8]Table 4 Level 3'!F38+'[8]Table 4 Level 3'!H38</f>
        <v>0</v>
      </c>
      <c r="I38" s="256">
        <f t="shared" ref="I38:I69" si="19">SUM(G38:H38)</f>
        <v>0</v>
      </c>
      <c r="J38" s="256">
        <f t="shared" si="16"/>
        <v>0</v>
      </c>
      <c r="K38" s="257">
        <f>IF(H38&lt;0,0,'Table 3 Levels 1&amp;2'!C36)</f>
        <v>1713</v>
      </c>
      <c r="L38" s="253">
        <f t="shared" ref="L38:L69" si="20">ROUND($L$4*K38,0)</f>
        <v>95440</v>
      </c>
      <c r="M38" s="257">
        <f>'Table 3 Levels 1&amp;2'!C36</f>
        <v>1713</v>
      </c>
      <c r="N38" s="253">
        <f t="shared" ref="N38:N69" si="21">ROUND(M38*$N$4,0)</f>
        <v>171300</v>
      </c>
      <c r="O38" s="253">
        <f t="shared" si="17"/>
        <v>266740</v>
      </c>
      <c r="P38" s="253">
        <f t="shared" si="18"/>
        <v>1389286.03</v>
      </c>
    </row>
    <row r="39" spans="1:18" ht="15.6" customHeight="1">
      <c r="A39" s="224">
        <v>34</v>
      </c>
      <c r="B39" s="225" t="s">
        <v>106</v>
      </c>
      <c r="C39" s="253">
        <v>644.11000000000013</v>
      </c>
      <c r="D39" s="253">
        <f>'Table 8 Membership 2.1.14'!W36*'Table 3A Level 3'!C39</f>
        <v>2836016.3300000005</v>
      </c>
      <c r="E39" s="255">
        <v>0</v>
      </c>
      <c r="F39" s="255">
        <v>0</v>
      </c>
      <c r="G39" s="255">
        <f t="shared" si="15"/>
        <v>0</v>
      </c>
      <c r="H39" s="256">
        <f>'[8]Table 4 Level 3'!F39+'[8]Table 4 Level 3'!H39</f>
        <v>0</v>
      </c>
      <c r="I39" s="256">
        <f t="shared" si="19"/>
        <v>0</v>
      </c>
      <c r="J39" s="256">
        <f t="shared" si="16"/>
        <v>0</v>
      </c>
      <c r="K39" s="257">
        <f>IF(H39&lt;0,0,'Table 3 Levels 1&amp;2'!C37)</f>
        <v>4403</v>
      </c>
      <c r="L39" s="253">
        <f t="shared" si="20"/>
        <v>245314</v>
      </c>
      <c r="M39" s="257">
        <f>'Table 3 Levels 1&amp;2'!C37</f>
        <v>4403</v>
      </c>
      <c r="N39" s="253">
        <f t="shared" si="21"/>
        <v>440300</v>
      </c>
      <c r="O39" s="253">
        <f t="shared" si="17"/>
        <v>685614</v>
      </c>
      <c r="P39" s="253">
        <f t="shared" si="18"/>
        <v>3521630.3300000005</v>
      </c>
    </row>
    <row r="40" spans="1:18" ht="15.6" customHeight="1">
      <c r="A40" s="3">
        <v>35</v>
      </c>
      <c r="B40" s="7" t="s">
        <v>107</v>
      </c>
      <c r="C40" s="108">
        <v>537.96</v>
      </c>
      <c r="D40" s="108">
        <f>'Table 8 Membership 2.1.14'!W37*'Table 3A Level 3'!C40</f>
        <v>3446709.72</v>
      </c>
      <c r="E40" s="107">
        <v>0</v>
      </c>
      <c r="F40" s="107">
        <v>0</v>
      </c>
      <c r="G40" s="107">
        <f t="shared" si="15"/>
        <v>0</v>
      </c>
      <c r="H40" s="105">
        <f>'[8]Table 4 Level 3'!F40+'[8]Table 4 Level 3'!H40</f>
        <v>0</v>
      </c>
      <c r="I40" s="105">
        <f t="shared" si="19"/>
        <v>0</v>
      </c>
      <c r="J40" s="105">
        <f t="shared" si="16"/>
        <v>0</v>
      </c>
      <c r="K40" s="106">
        <f>IF(H40&lt;0,0,'Table 3 Levels 1&amp;2'!C38)</f>
        <v>6407</v>
      </c>
      <c r="L40" s="108">
        <f t="shared" si="20"/>
        <v>356967</v>
      </c>
      <c r="M40" s="106">
        <f>'Table 3 Levels 1&amp;2'!C38</f>
        <v>6407</v>
      </c>
      <c r="N40" s="108">
        <f t="shared" si="21"/>
        <v>640700</v>
      </c>
      <c r="O40" s="108">
        <f t="shared" si="17"/>
        <v>997667</v>
      </c>
      <c r="P40" s="108">
        <f t="shared" si="18"/>
        <v>4444376.7200000007</v>
      </c>
    </row>
    <row r="41" spans="1:18" ht="15.6" customHeight="1">
      <c r="A41" s="224">
        <v>36</v>
      </c>
      <c r="B41" s="225" t="s">
        <v>108</v>
      </c>
      <c r="C41" s="253">
        <f>'Table 5B1_RSD_Orleans'!F6</f>
        <v>727.23177743956114</v>
      </c>
      <c r="D41" s="258">
        <f>'Table 5B1_RSD_Orleans'!G76+(('Table 8 Membership 2.1.14'!W38-'Table 8 Membership 2.1.14'!C38-'Table 8 Membership 2.1.14'!E38-'Table 8 Membership 2.1.14'!F38)*'Table 5C1A-Madison Prep'!F42)</f>
        <v>30857765.097875699</v>
      </c>
      <c r="E41" s="255">
        <v>0</v>
      </c>
      <c r="F41" s="255">
        <v>0</v>
      </c>
      <c r="G41" s="255">
        <f t="shared" si="15"/>
        <v>0</v>
      </c>
      <c r="H41" s="256">
        <f>'[8]Table 4 Level 3'!F41+'[8]Table 4 Level 3'!H41</f>
        <v>0</v>
      </c>
      <c r="I41" s="256">
        <f t="shared" si="19"/>
        <v>0</v>
      </c>
      <c r="J41" s="256">
        <f t="shared" si="16"/>
        <v>0</v>
      </c>
      <c r="K41" s="257">
        <f>IF(H41&lt;0,0,'Table 3 Levels 1&amp;2'!C39)</f>
        <v>42117</v>
      </c>
      <c r="L41" s="253">
        <f t="shared" si="20"/>
        <v>2346557</v>
      </c>
      <c r="M41" s="257">
        <f>'Table 3 Levels 1&amp;2'!C39</f>
        <v>42117</v>
      </c>
      <c r="N41" s="253">
        <f t="shared" si="21"/>
        <v>4211700</v>
      </c>
      <c r="O41" s="253">
        <f t="shared" si="17"/>
        <v>6558257</v>
      </c>
      <c r="P41" s="253">
        <f t="shared" si="18"/>
        <v>37416022.097875699</v>
      </c>
      <c r="R41" s="746"/>
    </row>
    <row r="42" spans="1:18" ht="15.6" customHeight="1">
      <c r="A42" s="224">
        <v>37</v>
      </c>
      <c r="B42" s="225" t="s">
        <v>109</v>
      </c>
      <c r="C42" s="253">
        <v>653.61</v>
      </c>
      <c r="D42" s="253">
        <f>'Table 8 Membership 2.1.14'!W39*'Table 3A Level 3'!C42</f>
        <v>12731015.58</v>
      </c>
      <c r="E42" s="255">
        <v>0</v>
      </c>
      <c r="F42" s="255">
        <v>0</v>
      </c>
      <c r="G42" s="255">
        <f t="shared" si="15"/>
        <v>0</v>
      </c>
      <c r="H42" s="256">
        <f>'[8]Table 4 Level 3'!F42+'[8]Table 4 Level 3'!H42</f>
        <v>0</v>
      </c>
      <c r="I42" s="256">
        <f t="shared" si="19"/>
        <v>0</v>
      </c>
      <c r="J42" s="256">
        <f t="shared" si="16"/>
        <v>0</v>
      </c>
      <c r="K42" s="257">
        <f>IF(H42&lt;0,0,'Table 3 Levels 1&amp;2'!C40)</f>
        <v>19478</v>
      </c>
      <c r="L42" s="253">
        <f t="shared" si="20"/>
        <v>1085221</v>
      </c>
      <c r="M42" s="257">
        <f>'Table 3 Levels 1&amp;2'!C40</f>
        <v>19478</v>
      </c>
      <c r="N42" s="253">
        <f t="shared" si="21"/>
        <v>1947800</v>
      </c>
      <c r="O42" s="253">
        <f t="shared" si="17"/>
        <v>3033021</v>
      </c>
      <c r="P42" s="253">
        <f t="shared" si="18"/>
        <v>15764036.58</v>
      </c>
      <c r="R42" s="747"/>
    </row>
    <row r="43" spans="1:18" ht="15.6" customHeight="1">
      <c r="A43" s="224">
        <v>38</v>
      </c>
      <c r="B43" s="225" t="s">
        <v>110</v>
      </c>
      <c r="C43" s="253">
        <v>829.92000000000007</v>
      </c>
      <c r="D43" s="253">
        <f>'Table 8 Membership 2.1.14'!W40*'Table 3A Level 3'!C43</f>
        <v>3215110.08</v>
      </c>
      <c r="E43" s="255">
        <v>5387703</v>
      </c>
      <c r="F43" s="255">
        <v>1258024</v>
      </c>
      <c r="G43" s="255">
        <f t="shared" si="15"/>
        <v>4129679</v>
      </c>
      <c r="H43" s="256">
        <f>'[8]Table 4 Level 3'!F43+'[8]Table 4 Level 3'!H43</f>
        <v>-2890776</v>
      </c>
      <c r="I43" s="256">
        <f t="shared" si="19"/>
        <v>1238903</v>
      </c>
      <c r="J43" s="256">
        <f t="shared" si="16"/>
        <v>-412968</v>
      </c>
      <c r="K43" s="257">
        <f>IF(H43&lt;0,0,'Table 3 Levels 1&amp;2'!C41)</f>
        <v>0</v>
      </c>
      <c r="L43" s="253">
        <f t="shared" si="20"/>
        <v>0</v>
      </c>
      <c r="M43" s="257">
        <f>'Table 3 Levels 1&amp;2'!C41</f>
        <v>3874</v>
      </c>
      <c r="N43" s="253">
        <f t="shared" si="21"/>
        <v>387400</v>
      </c>
      <c r="O43" s="253">
        <f t="shared" si="17"/>
        <v>2471359</v>
      </c>
      <c r="P43" s="253">
        <f t="shared" si="18"/>
        <v>5686469.0800000001</v>
      </c>
    </row>
    <row r="44" spans="1:18" ht="15.6" customHeight="1">
      <c r="A44" s="224">
        <v>39</v>
      </c>
      <c r="B44" s="225" t="s">
        <v>111</v>
      </c>
      <c r="C44" s="253">
        <v>779.65573042776396</v>
      </c>
      <c r="D44" s="253">
        <f>'Table 8 Membership 2.1.14'!W41*'Table 3A Level 3'!C44</f>
        <v>2180697.0780064557</v>
      </c>
      <c r="E44" s="255">
        <v>324688</v>
      </c>
      <c r="F44" s="255">
        <v>324688</v>
      </c>
      <c r="G44" s="255">
        <f t="shared" si="15"/>
        <v>0</v>
      </c>
      <c r="H44" s="256">
        <f>'[8]Table 4 Level 3'!F44+'[8]Table 4 Level 3'!H44</f>
        <v>0</v>
      </c>
      <c r="I44" s="256">
        <f t="shared" si="19"/>
        <v>0</v>
      </c>
      <c r="J44" s="256">
        <f t="shared" si="16"/>
        <v>0</v>
      </c>
      <c r="K44" s="257">
        <f>IF(H44&lt;0,0,'Table 3 Levels 1&amp;2'!C42)</f>
        <v>2797</v>
      </c>
      <c r="L44" s="253">
        <f t="shared" si="20"/>
        <v>155835</v>
      </c>
      <c r="M44" s="257">
        <f>'Table 3 Levels 1&amp;2'!C42</f>
        <v>2797</v>
      </c>
      <c r="N44" s="253">
        <f t="shared" si="21"/>
        <v>279700</v>
      </c>
      <c r="O44" s="253">
        <f t="shared" si="17"/>
        <v>760223</v>
      </c>
      <c r="P44" s="253">
        <f t="shared" si="18"/>
        <v>2940920.0780064557</v>
      </c>
    </row>
    <row r="45" spans="1:18" ht="15.6" customHeight="1">
      <c r="A45" s="3">
        <v>40</v>
      </c>
      <c r="B45" s="7" t="s">
        <v>112</v>
      </c>
      <c r="C45" s="108">
        <v>700.2700000000001</v>
      </c>
      <c r="D45" s="108">
        <f>'Table 8 Membership 2.1.14'!W42*'Table 3A Level 3'!C45</f>
        <v>16123016.480000002</v>
      </c>
      <c r="E45" s="107">
        <v>0</v>
      </c>
      <c r="F45" s="107">
        <v>0</v>
      </c>
      <c r="G45" s="107">
        <f t="shared" si="15"/>
        <v>0</v>
      </c>
      <c r="H45" s="105">
        <f>'[8]Table 4 Level 3'!F45+'[8]Table 4 Level 3'!H45</f>
        <v>0</v>
      </c>
      <c r="I45" s="105">
        <f t="shared" si="19"/>
        <v>0</v>
      </c>
      <c r="J45" s="105">
        <f t="shared" si="16"/>
        <v>0</v>
      </c>
      <c r="K45" s="106">
        <f>IF(H45&lt;0,0,'Table 3 Levels 1&amp;2'!C43)</f>
        <v>23024</v>
      </c>
      <c r="L45" s="108">
        <f t="shared" si="20"/>
        <v>1282787</v>
      </c>
      <c r="M45" s="106">
        <f>'Table 3 Levels 1&amp;2'!C43</f>
        <v>23024</v>
      </c>
      <c r="N45" s="108">
        <f t="shared" si="21"/>
        <v>2302400</v>
      </c>
      <c r="O45" s="108">
        <f t="shared" si="17"/>
        <v>3585187</v>
      </c>
      <c r="P45" s="108">
        <f t="shared" si="18"/>
        <v>19708203.480000004</v>
      </c>
    </row>
    <row r="46" spans="1:18" ht="15.6" customHeight="1">
      <c r="A46" s="224">
        <v>41</v>
      </c>
      <c r="B46" s="225" t="s">
        <v>113</v>
      </c>
      <c r="C46" s="253">
        <v>886.22</v>
      </c>
      <c r="D46" s="254">
        <f>'Table 8 Membership 2.1.14'!W43*'Table 3A Level 3'!C46</f>
        <v>1285905.22</v>
      </c>
      <c r="E46" s="255">
        <v>0</v>
      </c>
      <c r="F46" s="255">
        <v>0</v>
      </c>
      <c r="G46" s="255">
        <f t="shared" si="15"/>
        <v>0</v>
      </c>
      <c r="H46" s="256">
        <f>'[8]Table 4 Level 3'!F46+'[8]Table 4 Level 3'!H46</f>
        <v>0</v>
      </c>
      <c r="I46" s="256">
        <f t="shared" si="19"/>
        <v>0</v>
      </c>
      <c r="J46" s="256">
        <f t="shared" si="16"/>
        <v>0</v>
      </c>
      <c r="K46" s="257">
        <f>IF(H46&lt;0,0,'Table 3 Levels 1&amp;2'!C44)</f>
        <v>1451</v>
      </c>
      <c r="L46" s="253">
        <f t="shared" si="20"/>
        <v>80843</v>
      </c>
      <c r="M46" s="257">
        <f>'Table 3 Levels 1&amp;2'!C44</f>
        <v>1451</v>
      </c>
      <c r="N46" s="253">
        <f t="shared" si="21"/>
        <v>145100</v>
      </c>
      <c r="O46" s="253">
        <f t="shared" si="17"/>
        <v>225943</v>
      </c>
      <c r="P46" s="253">
        <f t="shared" si="18"/>
        <v>1511848.22</v>
      </c>
    </row>
    <row r="47" spans="1:18" ht="15.6" customHeight="1">
      <c r="A47" s="224">
        <v>42</v>
      </c>
      <c r="B47" s="225" t="s">
        <v>114</v>
      </c>
      <c r="C47" s="253">
        <v>534.28</v>
      </c>
      <c r="D47" s="253">
        <f>'Table 8 Membership 2.1.14'!W44*'Table 3A Level 3'!C47</f>
        <v>1733204.3199999998</v>
      </c>
      <c r="E47" s="255">
        <v>0</v>
      </c>
      <c r="F47" s="255">
        <v>0</v>
      </c>
      <c r="G47" s="255">
        <f t="shared" si="15"/>
        <v>0</v>
      </c>
      <c r="H47" s="256">
        <f>'[8]Table 4 Level 3'!F47+'[8]Table 4 Level 3'!H47</f>
        <v>0</v>
      </c>
      <c r="I47" s="256">
        <f t="shared" si="19"/>
        <v>0</v>
      </c>
      <c r="J47" s="256">
        <f t="shared" si="16"/>
        <v>0</v>
      </c>
      <c r="K47" s="257">
        <f>IF(H47&lt;0,0,'Table 3 Levels 1&amp;2'!C45)</f>
        <v>3244</v>
      </c>
      <c r="L47" s="253">
        <f t="shared" si="20"/>
        <v>180740</v>
      </c>
      <c r="M47" s="257">
        <f>'Table 3 Levels 1&amp;2'!C45</f>
        <v>3244</v>
      </c>
      <c r="N47" s="253">
        <f t="shared" si="21"/>
        <v>324400</v>
      </c>
      <c r="O47" s="253">
        <f t="shared" si="17"/>
        <v>505140</v>
      </c>
      <c r="P47" s="253">
        <f t="shared" si="18"/>
        <v>2238344.3199999998</v>
      </c>
    </row>
    <row r="48" spans="1:18" ht="15.6" customHeight="1">
      <c r="A48" s="224">
        <v>43</v>
      </c>
      <c r="B48" s="225" t="s">
        <v>115</v>
      </c>
      <c r="C48" s="253">
        <v>574.6099999999999</v>
      </c>
      <c r="D48" s="253">
        <f>'Table 8 Membership 2.1.14'!W45*'Table 3A Level 3'!C48</f>
        <v>2362221.7099999995</v>
      </c>
      <c r="E48" s="255">
        <v>0</v>
      </c>
      <c r="F48" s="255">
        <v>0</v>
      </c>
      <c r="G48" s="255">
        <f t="shared" si="15"/>
        <v>0</v>
      </c>
      <c r="H48" s="256">
        <f>'[8]Table 4 Level 3'!F48+'[8]Table 4 Level 3'!H48</f>
        <v>0</v>
      </c>
      <c r="I48" s="256">
        <f t="shared" si="19"/>
        <v>0</v>
      </c>
      <c r="J48" s="256">
        <f t="shared" si="16"/>
        <v>0</v>
      </c>
      <c r="K48" s="257">
        <f>IF(H48&lt;0,0,'Table 3 Levels 1&amp;2'!C46)</f>
        <v>4111</v>
      </c>
      <c r="L48" s="253">
        <f t="shared" si="20"/>
        <v>229045</v>
      </c>
      <c r="M48" s="257">
        <f>'Table 3 Levels 1&amp;2'!C46</f>
        <v>4111</v>
      </c>
      <c r="N48" s="253">
        <f t="shared" si="21"/>
        <v>411100</v>
      </c>
      <c r="O48" s="253">
        <f t="shared" si="17"/>
        <v>640145</v>
      </c>
      <c r="P48" s="253">
        <f t="shared" si="18"/>
        <v>3002366.7099999995</v>
      </c>
    </row>
    <row r="49" spans="1:18" ht="15.6" customHeight="1">
      <c r="A49" s="224">
        <v>44</v>
      </c>
      <c r="B49" s="225" t="s">
        <v>116</v>
      </c>
      <c r="C49" s="253">
        <v>663.16000000000008</v>
      </c>
      <c r="D49" s="253">
        <f>'Table 8 Membership 2.1.14'!W46*'Table 3A Level 3'!C49</f>
        <v>4429908.8000000007</v>
      </c>
      <c r="E49" s="255">
        <v>0</v>
      </c>
      <c r="F49" s="255">
        <v>0</v>
      </c>
      <c r="G49" s="255">
        <f t="shared" si="15"/>
        <v>0</v>
      </c>
      <c r="H49" s="256">
        <f>'[8]Table 4 Level 3'!F49+'[8]Table 4 Level 3'!H49</f>
        <v>0</v>
      </c>
      <c r="I49" s="256">
        <f t="shared" si="19"/>
        <v>0</v>
      </c>
      <c r="J49" s="256">
        <f t="shared" si="16"/>
        <v>0</v>
      </c>
      <c r="K49" s="257">
        <f>IF(H49&lt;0,0,'Table 3 Levels 1&amp;2'!C47)</f>
        <v>6680</v>
      </c>
      <c r="L49" s="253">
        <f t="shared" si="20"/>
        <v>372178</v>
      </c>
      <c r="M49" s="257">
        <f>'Table 3 Levels 1&amp;2'!C47</f>
        <v>6680</v>
      </c>
      <c r="N49" s="253">
        <f t="shared" si="21"/>
        <v>668000</v>
      </c>
      <c r="O49" s="253">
        <f t="shared" si="17"/>
        <v>1040178</v>
      </c>
      <c r="P49" s="253">
        <f t="shared" si="18"/>
        <v>5470086.8000000007</v>
      </c>
    </row>
    <row r="50" spans="1:18" ht="15.6" customHeight="1">
      <c r="A50" s="3">
        <v>45</v>
      </c>
      <c r="B50" s="7" t="s">
        <v>117</v>
      </c>
      <c r="C50" s="108">
        <v>753.96000000000015</v>
      </c>
      <c r="D50" s="108">
        <f>'Table 8 Membership 2.1.14'!W47*'Table 3A Level 3'!C50</f>
        <v>7100795.2800000012</v>
      </c>
      <c r="E50" s="107">
        <v>9520260</v>
      </c>
      <c r="F50" s="107">
        <v>2883682</v>
      </c>
      <c r="G50" s="107">
        <f t="shared" si="15"/>
        <v>6636578</v>
      </c>
      <c r="H50" s="105">
        <f>'[8]Table 4 Level 3'!F50+'[8]Table 4 Level 3'!H50</f>
        <v>-5023378</v>
      </c>
      <c r="I50" s="105">
        <f t="shared" si="19"/>
        <v>1613200</v>
      </c>
      <c r="J50" s="105">
        <f t="shared" si="16"/>
        <v>-537733</v>
      </c>
      <c r="K50" s="106">
        <f>IF(H50&lt;0,0,'Table 3 Levels 1&amp;2'!C48)</f>
        <v>0</v>
      </c>
      <c r="L50" s="108">
        <f t="shared" si="20"/>
        <v>0</v>
      </c>
      <c r="M50" s="106">
        <f>'Table 3 Levels 1&amp;2'!C48</f>
        <v>9418</v>
      </c>
      <c r="N50" s="108">
        <f t="shared" si="21"/>
        <v>941800</v>
      </c>
      <c r="O50" s="108">
        <f t="shared" si="17"/>
        <v>4900949</v>
      </c>
      <c r="P50" s="108">
        <f t="shared" si="18"/>
        <v>12001744.280000001</v>
      </c>
    </row>
    <row r="51" spans="1:18" ht="15.6" customHeight="1">
      <c r="A51" s="224">
        <v>46</v>
      </c>
      <c r="B51" s="225" t="s">
        <v>118</v>
      </c>
      <c r="C51" s="253">
        <v>728.06</v>
      </c>
      <c r="D51" s="254">
        <f>'Table 8 Membership 2.1.14'!W48*'Table 3A Level 3'!C51</f>
        <v>757910.46</v>
      </c>
      <c r="E51" s="255">
        <v>0</v>
      </c>
      <c r="F51" s="255">
        <v>0</v>
      </c>
      <c r="G51" s="255">
        <f t="shared" si="15"/>
        <v>0</v>
      </c>
      <c r="H51" s="256">
        <f>'[8]Table 4 Level 3'!F51+'[8]Table 4 Level 3'!H51</f>
        <v>0</v>
      </c>
      <c r="I51" s="256">
        <f t="shared" si="19"/>
        <v>0</v>
      </c>
      <c r="J51" s="256">
        <f t="shared" si="16"/>
        <v>0</v>
      </c>
      <c r="K51" s="257">
        <f>IF(H51&lt;0,0,'Table 3 Levels 1&amp;2'!C49)</f>
        <v>1041</v>
      </c>
      <c r="L51" s="253">
        <f t="shared" si="20"/>
        <v>58000</v>
      </c>
      <c r="M51" s="257">
        <f>'Table 3 Levels 1&amp;2'!C49</f>
        <v>1041</v>
      </c>
      <c r="N51" s="253">
        <f t="shared" si="21"/>
        <v>104100</v>
      </c>
      <c r="O51" s="253">
        <f t="shared" si="17"/>
        <v>162100</v>
      </c>
      <c r="P51" s="253">
        <f t="shared" si="18"/>
        <v>920010.46</v>
      </c>
    </row>
    <row r="52" spans="1:18" ht="15.6" customHeight="1">
      <c r="A52" s="224">
        <v>47</v>
      </c>
      <c r="B52" s="225" t="s">
        <v>119</v>
      </c>
      <c r="C52" s="253">
        <v>910.76</v>
      </c>
      <c r="D52" s="253">
        <f>'Table 8 Membership 2.1.14'!W49*'Table 3A Level 3'!C52</f>
        <v>3305148.04</v>
      </c>
      <c r="E52" s="255">
        <v>1851066</v>
      </c>
      <c r="F52" s="255">
        <v>1060614</v>
      </c>
      <c r="G52" s="255">
        <f t="shared" si="15"/>
        <v>790452</v>
      </c>
      <c r="H52" s="256">
        <f>'[8]Table 4 Level 3'!F52+'[8]Table 4 Level 3'!H52</f>
        <v>-553316</v>
      </c>
      <c r="I52" s="256">
        <f t="shared" si="19"/>
        <v>237136</v>
      </c>
      <c r="J52" s="256">
        <f t="shared" si="16"/>
        <v>-79045</v>
      </c>
      <c r="K52" s="257">
        <f>IF(H52&lt;0,0,'Table 3 Levels 1&amp;2'!C50)</f>
        <v>0</v>
      </c>
      <c r="L52" s="253">
        <f t="shared" si="20"/>
        <v>0</v>
      </c>
      <c r="M52" s="257">
        <f>'Table 3 Levels 1&amp;2'!C50</f>
        <v>3629</v>
      </c>
      <c r="N52" s="253">
        <f t="shared" si="21"/>
        <v>362900</v>
      </c>
      <c r="O52" s="253">
        <f t="shared" si="17"/>
        <v>1581605</v>
      </c>
      <c r="P52" s="253">
        <f t="shared" si="18"/>
        <v>4886753.04</v>
      </c>
    </row>
    <row r="53" spans="1:18" ht="15.6" customHeight="1">
      <c r="A53" s="224">
        <v>48</v>
      </c>
      <c r="B53" s="225" t="s">
        <v>144</v>
      </c>
      <c r="C53" s="253">
        <v>871.07</v>
      </c>
      <c r="D53" s="253">
        <f>'Table 8 Membership 2.1.14'!W50*'Table 3A Level 3'!C53</f>
        <v>5047850.6500000004</v>
      </c>
      <c r="E53" s="255">
        <v>0</v>
      </c>
      <c r="F53" s="255">
        <v>0</v>
      </c>
      <c r="G53" s="255">
        <f t="shared" si="15"/>
        <v>0</v>
      </c>
      <c r="H53" s="256">
        <f>'[8]Table 4 Level 3'!F53+'[8]Table 4 Level 3'!H53</f>
        <v>0</v>
      </c>
      <c r="I53" s="256">
        <f t="shared" si="19"/>
        <v>0</v>
      </c>
      <c r="J53" s="256">
        <f t="shared" si="16"/>
        <v>0</v>
      </c>
      <c r="K53" s="257">
        <f>IF(H53&lt;0,0,'Table 3 Levels 1&amp;2'!C51)</f>
        <v>5795</v>
      </c>
      <c r="L53" s="253">
        <f t="shared" si="20"/>
        <v>322870</v>
      </c>
      <c r="M53" s="257">
        <f>'Table 3 Levels 1&amp;2'!C51</f>
        <v>5795</v>
      </c>
      <c r="N53" s="253">
        <f t="shared" si="21"/>
        <v>579500</v>
      </c>
      <c r="O53" s="253">
        <f t="shared" si="17"/>
        <v>902370</v>
      </c>
      <c r="P53" s="253">
        <f t="shared" si="18"/>
        <v>5950220.6500000004</v>
      </c>
    </row>
    <row r="54" spans="1:18" ht="15.6" customHeight="1">
      <c r="A54" s="224">
        <v>49</v>
      </c>
      <c r="B54" s="225" t="s">
        <v>120</v>
      </c>
      <c r="C54" s="253">
        <v>574.43999999999994</v>
      </c>
      <c r="D54" s="253">
        <f>'Table 8 Membership 2.1.14'!W51*'Table 3A Level 3'!C54</f>
        <v>8326507.7999999989</v>
      </c>
      <c r="E54" s="255">
        <v>0</v>
      </c>
      <c r="F54" s="255">
        <v>0</v>
      </c>
      <c r="G54" s="255">
        <f t="shared" si="15"/>
        <v>0</v>
      </c>
      <c r="H54" s="256">
        <f>'[8]Table 4 Level 3'!F54+'[8]Table 4 Level 3'!H54</f>
        <v>0</v>
      </c>
      <c r="I54" s="256">
        <f t="shared" si="19"/>
        <v>0</v>
      </c>
      <c r="J54" s="256">
        <f t="shared" si="16"/>
        <v>0</v>
      </c>
      <c r="K54" s="257">
        <f>IF(H54&lt;0,0,'Table 3 Levels 1&amp;2'!C52)</f>
        <v>14495</v>
      </c>
      <c r="L54" s="253">
        <f t="shared" si="20"/>
        <v>807592</v>
      </c>
      <c r="M54" s="257">
        <f>'Table 3 Levels 1&amp;2'!C52</f>
        <v>14495</v>
      </c>
      <c r="N54" s="253">
        <f t="shared" si="21"/>
        <v>1449500</v>
      </c>
      <c r="O54" s="253">
        <f t="shared" si="17"/>
        <v>2257092</v>
      </c>
      <c r="P54" s="253">
        <f t="shared" si="18"/>
        <v>10583599.799999999</v>
      </c>
    </row>
    <row r="55" spans="1:18" ht="15.6" customHeight="1">
      <c r="A55" s="3">
        <v>50</v>
      </c>
      <c r="B55" s="7" t="s">
        <v>121</v>
      </c>
      <c r="C55" s="108">
        <v>634.46</v>
      </c>
      <c r="D55" s="108">
        <f>'Table 8 Membership 2.1.14'!W52*'Table 3A Level 3'!C55</f>
        <v>5025557.66</v>
      </c>
      <c r="E55" s="107">
        <v>0</v>
      </c>
      <c r="F55" s="107">
        <v>0</v>
      </c>
      <c r="G55" s="107">
        <f t="shared" si="15"/>
        <v>0</v>
      </c>
      <c r="H55" s="105">
        <f>'[8]Table 4 Level 3'!F55+'[8]Table 4 Level 3'!H55</f>
        <v>0</v>
      </c>
      <c r="I55" s="105">
        <f t="shared" si="19"/>
        <v>0</v>
      </c>
      <c r="J55" s="105">
        <f t="shared" si="16"/>
        <v>0</v>
      </c>
      <c r="K55" s="106">
        <f>IF(H55&lt;0,0,'Table 3 Levels 1&amp;2'!C53)</f>
        <v>7921</v>
      </c>
      <c r="L55" s="108">
        <f t="shared" si="20"/>
        <v>441320</v>
      </c>
      <c r="M55" s="106">
        <f>'Table 3 Levels 1&amp;2'!C53</f>
        <v>7921</v>
      </c>
      <c r="N55" s="108">
        <f t="shared" si="21"/>
        <v>792100</v>
      </c>
      <c r="O55" s="108">
        <f t="shared" si="17"/>
        <v>1233420</v>
      </c>
      <c r="P55" s="108">
        <f t="shared" si="18"/>
        <v>6258977.6600000001</v>
      </c>
    </row>
    <row r="56" spans="1:18" ht="15.6" customHeight="1">
      <c r="A56" s="224">
        <v>51</v>
      </c>
      <c r="B56" s="225" t="s">
        <v>122</v>
      </c>
      <c r="C56" s="253">
        <v>706.66</v>
      </c>
      <c r="D56" s="254">
        <f>'Table 8 Membership 2.1.14'!W53*'Table 3A Level 3'!C56</f>
        <v>6285034.04</v>
      </c>
      <c r="E56" s="255">
        <v>0</v>
      </c>
      <c r="F56" s="255">
        <v>0</v>
      </c>
      <c r="G56" s="255">
        <f t="shared" si="15"/>
        <v>0</v>
      </c>
      <c r="H56" s="256">
        <f>'[8]Table 4 Level 3'!F56+'[8]Table 4 Level 3'!H56</f>
        <v>0</v>
      </c>
      <c r="I56" s="256">
        <f t="shared" si="19"/>
        <v>0</v>
      </c>
      <c r="J56" s="256">
        <f t="shared" si="16"/>
        <v>0</v>
      </c>
      <c r="K56" s="257">
        <f>IF(H56&lt;0,0,'Table 3 Levels 1&amp;2'!C54)</f>
        <v>8894</v>
      </c>
      <c r="L56" s="253">
        <f t="shared" si="20"/>
        <v>495531</v>
      </c>
      <c r="M56" s="257">
        <f>'Table 3 Levels 1&amp;2'!C54</f>
        <v>8894</v>
      </c>
      <c r="N56" s="253">
        <f t="shared" si="21"/>
        <v>889400</v>
      </c>
      <c r="O56" s="253">
        <f t="shared" si="17"/>
        <v>1384931</v>
      </c>
      <c r="P56" s="253">
        <f t="shared" si="18"/>
        <v>7669965.04</v>
      </c>
    </row>
    <row r="57" spans="1:18" ht="15.6" customHeight="1">
      <c r="A57" s="224">
        <v>52</v>
      </c>
      <c r="B57" s="225" t="s">
        <v>123</v>
      </c>
      <c r="C57" s="253">
        <v>658.37</v>
      </c>
      <c r="D57" s="253">
        <f>'Table 8 Membership 2.1.14'!W54*'Table 3A Level 3'!C57</f>
        <v>24508481.620000001</v>
      </c>
      <c r="E57" s="255">
        <v>0</v>
      </c>
      <c r="F57" s="255">
        <v>0</v>
      </c>
      <c r="G57" s="255">
        <f t="shared" si="15"/>
        <v>0</v>
      </c>
      <c r="H57" s="256">
        <f>'[8]Table 4 Level 3'!F57+'[8]Table 4 Level 3'!H57</f>
        <v>0</v>
      </c>
      <c r="I57" s="256">
        <f t="shared" si="19"/>
        <v>0</v>
      </c>
      <c r="J57" s="256">
        <f t="shared" si="16"/>
        <v>0</v>
      </c>
      <c r="K57" s="257">
        <f>IF(H57&lt;0,0,'Table 3 Levels 1&amp;2'!C55)</f>
        <v>37226</v>
      </c>
      <c r="L57" s="253">
        <f t="shared" si="20"/>
        <v>2074054</v>
      </c>
      <c r="M57" s="257">
        <f>'Table 3 Levels 1&amp;2'!C55</f>
        <v>37226</v>
      </c>
      <c r="N57" s="253">
        <f t="shared" si="21"/>
        <v>3722600</v>
      </c>
      <c r="O57" s="253">
        <f t="shared" si="17"/>
        <v>5796654</v>
      </c>
      <c r="P57" s="253">
        <f t="shared" si="18"/>
        <v>30305135.620000001</v>
      </c>
    </row>
    <row r="58" spans="1:18" ht="15.6" customHeight="1">
      <c r="A58" s="224">
        <v>53</v>
      </c>
      <c r="B58" s="225" t="s">
        <v>124</v>
      </c>
      <c r="C58" s="253">
        <v>689.74</v>
      </c>
      <c r="D58" s="253">
        <f>'Table 8 Membership 2.1.14'!W55*'Table 3A Level 3'!C58</f>
        <v>13404407.16</v>
      </c>
      <c r="E58" s="255">
        <v>0</v>
      </c>
      <c r="F58" s="255">
        <v>0</v>
      </c>
      <c r="G58" s="255">
        <f t="shared" si="15"/>
        <v>0</v>
      </c>
      <c r="H58" s="256">
        <f>'[8]Table 4 Level 3'!F58+'[8]Table 4 Level 3'!H58</f>
        <v>0</v>
      </c>
      <c r="I58" s="256">
        <f t="shared" si="19"/>
        <v>0</v>
      </c>
      <c r="J58" s="256">
        <f t="shared" si="16"/>
        <v>0</v>
      </c>
      <c r="K58" s="257">
        <f>IF(H58&lt;0,0,'Table 3 Levels 1&amp;2'!C56)</f>
        <v>19434</v>
      </c>
      <c r="L58" s="253">
        <f t="shared" si="20"/>
        <v>1082769</v>
      </c>
      <c r="M58" s="257">
        <f>'Table 3 Levels 1&amp;2'!C56</f>
        <v>19434</v>
      </c>
      <c r="N58" s="253">
        <f t="shared" si="21"/>
        <v>1943400</v>
      </c>
      <c r="O58" s="253">
        <f t="shared" si="17"/>
        <v>3026169</v>
      </c>
      <c r="P58" s="253">
        <f t="shared" si="18"/>
        <v>16430576.16</v>
      </c>
    </row>
    <row r="59" spans="1:18" ht="15.6" customHeight="1">
      <c r="A59" s="224">
        <v>54</v>
      </c>
      <c r="B59" s="225" t="s">
        <v>125</v>
      </c>
      <c r="C59" s="253">
        <v>951.45</v>
      </c>
      <c r="D59" s="253">
        <f>'Table 8 Membership 2.1.14'!W56*'Table 3A Level 3'!C59</f>
        <v>626054.1</v>
      </c>
      <c r="E59" s="255">
        <v>0</v>
      </c>
      <c r="F59" s="255">
        <v>0</v>
      </c>
      <c r="G59" s="255">
        <f t="shared" si="15"/>
        <v>0</v>
      </c>
      <c r="H59" s="256">
        <f>'[8]Table 4 Level 3'!F59+'[8]Table 4 Level 3'!H59</f>
        <v>0</v>
      </c>
      <c r="I59" s="256">
        <f t="shared" si="19"/>
        <v>0</v>
      </c>
      <c r="J59" s="256">
        <f t="shared" si="16"/>
        <v>0</v>
      </c>
      <c r="K59" s="257">
        <f>IF(H59&lt;0,0,'Table 3 Levels 1&amp;2'!C57)</f>
        <v>658</v>
      </c>
      <c r="L59" s="253">
        <f t="shared" si="20"/>
        <v>36661</v>
      </c>
      <c r="M59" s="257">
        <f>'Table 3 Levels 1&amp;2'!C57</f>
        <v>658</v>
      </c>
      <c r="N59" s="253">
        <f t="shared" si="21"/>
        <v>65800</v>
      </c>
      <c r="O59" s="253">
        <f t="shared" si="17"/>
        <v>102461</v>
      </c>
      <c r="P59" s="253">
        <f t="shared" si="18"/>
        <v>728515.1</v>
      </c>
    </row>
    <row r="60" spans="1:18" ht="15.6" customHeight="1">
      <c r="A60" s="3">
        <v>55</v>
      </c>
      <c r="B60" s="7" t="s">
        <v>126</v>
      </c>
      <c r="C60" s="108">
        <v>795.14</v>
      </c>
      <c r="D60" s="108">
        <f>'Table 8 Membership 2.1.14'!W57*'Table 3A Level 3'!C60</f>
        <v>14145540.6</v>
      </c>
      <c r="E60" s="107">
        <v>0</v>
      </c>
      <c r="F60" s="107">
        <v>0</v>
      </c>
      <c r="G60" s="107">
        <f t="shared" si="15"/>
        <v>0</v>
      </c>
      <c r="H60" s="105">
        <f>'[8]Table 4 Level 3'!F60+'[8]Table 4 Level 3'!H60</f>
        <v>0</v>
      </c>
      <c r="I60" s="105">
        <f t="shared" si="19"/>
        <v>0</v>
      </c>
      <c r="J60" s="105">
        <f t="shared" si="16"/>
        <v>0</v>
      </c>
      <c r="K60" s="106">
        <f>IF(H60&lt;0,0,'Table 3 Levels 1&amp;2'!C58)</f>
        <v>17790</v>
      </c>
      <c r="L60" s="108">
        <f t="shared" si="20"/>
        <v>991174</v>
      </c>
      <c r="M60" s="106">
        <f>'Table 3 Levels 1&amp;2'!C58</f>
        <v>17790</v>
      </c>
      <c r="N60" s="108">
        <f t="shared" si="21"/>
        <v>1779000</v>
      </c>
      <c r="O60" s="108">
        <f t="shared" si="17"/>
        <v>2770174</v>
      </c>
      <c r="P60" s="108">
        <f t="shared" si="18"/>
        <v>16915714.600000001</v>
      </c>
    </row>
    <row r="61" spans="1:18" ht="15.6" customHeight="1">
      <c r="A61" s="224">
        <v>56</v>
      </c>
      <c r="B61" s="225" t="s">
        <v>127</v>
      </c>
      <c r="C61" s="253">
        <v>614.66000000000008</v>
      </c>
      <c r="D61" s="258">
        <f>('Table 8 Membership 2.1.14'!W58+1)*'Table 3A Level 3'!C61</f>
        <v>1773908.7600000002</v>
      </c>
      <c r="E61" s="255">
        <v>0</v>
      </c>
      <c r="F61" s="255">
        <v>0</v>
      </c>
      <c r="G61" s="255">
        <f t="shared" si="15"/>
        <v>0</v>
      </c>
      <c r="H61" s="256">
        <f>'[8]Table 4 Level 3'!F61+'[8]Table 4 Level 3'!H61</f>
        <v>0</v>
      </c>
      <c r="I61" s="256">
        <f t="shared" si="19"/>
        <v>0</v>
      </c>
      <c r="J61" s="256">
        <f t="shared" si="16"/>
        <v>0</v>
      </c>
      <c r="K61" s="257">
        <f>IF(H61&lt;0,0,'Table 3 Levels 1&amp;2'!C59)</f>
        <v>2886</v>
      </c>
      <c r="L61" s="253">
        <f t="shared" si="20"/>
        <v>160794</v>
      </c>
      <c r="M61" s="257">
        <f>'Table 3 Levels 1&amp;2'!C59</f>
        <v>2886</v>
      </c>
      <c r="N61" s="253">
        <f t="shared" si="21"/>
        <v>288600</v>
      </c>
      <c r="O61" s="253">
        <f t="shared" si="17"/>
        <v>449394</v>
      </c>
      <c r="P61" s="253">
        <f t="shared" si="18"/>
        <v>2223302.7600000002</v>
      </c>
      <c r="R61" s="747" t="s">
        <v>404</v>
      </c>
    </row>
    <row r="62" spans="1:18" ht="15.6" customHeight="1">
      <c r="A62" s="224">
        <v>57</v>
      </c>
      <c r="B62" s="225" t="s">
        <v>128</v>
      </c>
      <c r="C62" s="253">
        <v>764.51</v>
      </c>
      <c r="D62" s="253">
        <f>'Table 8 Membership 2.1.14'!W59*'Table 3A Level 3'!C62</f>
        <v>6976153.75</v>
      </c>
      <c r="E62" s="255">
        <v>0</v>
      </c>
      <c r="F62" s="255">
        <v>0</v>
      </c>
      <c r="G62" s="255">
        <f t="shared" si="15"/>
        <v>0</v>
      </c>
      <c r="H62" s="256">
        <f>'[8]Table 4 Level 3'!F62+'[8]Table 4 Level 3'!H62</f>
        <v>0</v>
      </c>
      <c r="I62" s="256">
        <f t="shared" si="19"/>
        <v>0</v>
      </c>
      <c r="J62" s="256">
        <f t="shared" si="16"/>
        <v>0</v>
      </c>
      <c r="K62" s="257">
        <f>IF(H62&lt;0,0,'Table 3 Levels 1&amp;2'!C60)</f>
        <v>9125</v>
      </c>
      <c r="L62" s="253">
        <f t="shared" si="20"/>
        <v>508401</v>
      </c>
      <c r="M62" s="257">
        <f>'Table 3 Levels 1&amp;2'!C60</f>
        <v>9125</v>
      </c>
      <c r="N62" s="253">
        <f t="shared" si="21"/>
        <v>912500</v>
      </c>
      <c r="O62" s="253">
        <f t="shared" si="17"/>
        <v>1420901</v>
      </c>
      <c r="P62" s="253">
        <f t="shared" si="18"/>
        <v>8397054.75</v>
      </c>
    </row>
    <row r="63" spans="1:18" ht="15.6" customHeight="1">
      <c r="A63" s="224">
        <v>58</v>
      </c>
      <c r="B63" s="225" t="s">
        <v>129</v>
      </c>
      <c r="C63" s="253">
        <v>697.04</v>
      </c>
      <c r="D63" s="253">
        <f>'Table 8 Membership 2.1.14'!W60*'Table 3A Level 3'!C63</f>
        <v>6279633.3599999994</v>
      </c>
      <c r="E63" s="255">
        <v>0</v>
      </c>
      <c r="F63" s="255">
        <v>0</v>
      </c>
      <c r="G63" s="255">
        <f t="shared" si="15"/>
        <v>0</v>
      </c>
      <c r="H63" s="256">
        <f>'[8]Table 4 Level 3'!F63+'[8]Table 4 Level 3'!H63</f>
        <v>0</v>
      </c>
      <c r="I63" s="256">
        <f t="shared" si="19"/>
        <v>0</v>
      </c>
      <c r="J63" s="256">
        <f t="shared" si="16"/>
        <v>0</v>
      </c>
      <c r="K63" s="257">
        <f>IF(H63&lt;0,0,'Table 3 Levels 1&amp;2'!C61)</f>
        <v>9009</v>
      </c>
      <c r="L63" s="253">
        <f t="shared" si="20"/>
        <v>501938</v>
      </c>
      <c r="M63" s="257">
        <f>'Table 3 Levels 1&amp;2'!C61</f>
        <v>9009</v>
      </c>
      <c r="N63" s="253">
        <f t="shared" si="21"/>
        <v>900900</v>
      </c>
      <c r="O63" s="253">
        <f t="shared" si="17"/>
        <v>1402838</v>
      </c>
      <c r="P63" s="253">
        <f t="shared" si="18"/>
        <v>7682471.3599999994</v>
      </c>
    </row>
    <row r="64" spans="1:18" ht="15.6" customHeight="1">
      <c r="A64" s="224">
        <v>59</v>
      </c>
      <c r="B64" s="225" t="s">
        <v>130</v>
      </c>
      <c r="C64" s="253">
        <v>689.52</v>
      </c>
      <c r="D64" s="253">
        <f>'Table 8 Membership 2.1.14'!W61*'Table 3A Level 3'!C64</f>
        <v>3550338.48</v>
      </c>
      <c r="E64" s="255">
        <v>0</v>
      </c>
      <c r="F64" s="255">
        <v>0</v>
      </c>
      <c r="G64" s="255">
        <f t="shared" si="15"/>
        <v>0</v>
      </c>
      <c r="H64" s="256">
        <f>'[8]Table 4 Level 3'!F64+'[8]Table 4 Level 3'!H64</f>
        <v>0</v>
      </c>
      <c r="I64" s="256">
        <f t="shared" si="19"/>
        <v>0</v>
      </c>
      <c r="J64" s="256">
        <f t="shared" si="16"/>
        <v>0</v>
      </c>
      <c r="K64" s="257">
        <f>IF(H64&lt;0,0,'Table 3 Levels 1&amp;2'!C62)</f>
        <v>5149</v>
      </c>
      <c r="L64" s="253">
        <f t="shared" si="20"/>
        <v>286878</v>
      </c>
      <c r="M64" s="257">
        <f>'Table 3 Levels 1&amp;2'!C62</f>
        <v>5149</v>
      </c>
      <c r="N64" s="253">
        <f t="shared" si="21"/>
        <v>514900</v>
      </c>
      <c r="O64" s="253">
        <f t="shared" si="17"/>
        <v>801778</v>
      </c>
      <c r="P64" s="253">
        <f t="shared" si="18"/>
        <v>4352116.4800000004</v>
      </c>
    </row>
    <row r="65" spans="1:16" ht="15.6" customHeight="1">
      <c r="A65" s="3">
        <v>60</v>
      </c>
      <c r="B65" s="7" t="s">
        <v>131</v>
      </c>
      <c r="C65" s="108">
        <v>594.04</v>
      </c>
      <c r="D65" s="108">
        <f>'Table 8 Membership 2.1.14'!W62*'Table 3A Level 3'!C65</f>
        <v>3826211.6399999997</v>
      </c>
      <c r="E65" s="107">
        <v>0</v>
      </c>
      <c r="F65" s="107">
        <v>0</v>
      </c>
      <c r="G65" s="107">
        <f t="shared" si="15"/>
        <v>0</v>
      </c>
      <c r="H65" s="105">
        <f>'[8]Table 4 Level 3'!F65+'[8]Table 4 Level 3'!H65</f>
        <v>0</v>
      </c>
      <c r="I65" s="105">
        <f t="shared" si="19"/>
        <v>0</v>
      </c>
      <c r="J65" s="105">
        <f t="shared" si="16"/>
        <v>0</v>
      </c>
      <c r="K65" s="106">
        <f>IF(H65&lt;0,0,'Table 3 Levels 1&amp;2'!C63)</f>
        <v>6441</v>
      </c>
      <c r="L65" s="108">
        <f t="shared" si="20"/>
        <v>358862</v>
      </c>
      <c r="M65" s="106">
        <f>'Table 3 Levels 1&amp;2'!C63</f>
        <v>6441</v>
      </c>
      <c r="N65" s="108">
        <f t="shared" si="21"/>
        <v>644100</v>
      </c>
      <c r="O65" s="108">
        <f t="shared" si="17"/>
        <v>1002962</v>
      </c>
      <c r="P65" s="108">
        <f t="shared" si="18"/>
        <v>4829173.6399999997</v>
      </c>
    </row>
    <row r="66" spans="1:16" ht="15.6" customHeight="1">
      <c r="A66" s="224">
        <v>61</v>
      </c>
      <c r="B66" s="225" t="s">
        <v>132</v>
      </c>
      <c r="C66" s="253">
        <v>833.70999999999992</v>
      </c>
      <c r="D66" s="254">
        <f>'Table 8 Membership 2.1.14'!W63*'Table 3A Level 3'!C66</f>
        <v>3018863.9099999997</v>
      </c>
      <c r="E66" s="255">
        <v>0</v>
      </c>
      <c r="F66" s="255">
        <v>0</v>
      </c>
      <c r="G66" s="255">
        <f t="shared" si="15"/>
        <v>0</v>
      </c>
      <c r="H66" s="256">
        <f>'[8]Table 4 Level 3'!F66+'[8]Table 4 Level 3'!H66</f>
        <v>0</v>
      </c>
      <c r="I66" s="256">
        <f t="shared" si="19"/>
        <v>0</v>
      </c>
      <c r="J66" s="256">
        <f t="shared" si="16"/>
        <v>0</v>
      </c>
      <c r="K66" s="257">
        <f>IF(H66&lt;0,0,'Table 3 Levels 1&amp;2'!C64)</f>
        <v>3621</v>
      </c>
      <c r="L66" s="253">
        <f t="shared" si="20"/>
        <v>201745</v>
      </c>
      <c r="M66" s="257">
        <f>'Table 3 Levels 1&amp;2'!C64</f>
        <v>3621</v>
      </c>
      <c r="N66" s="253">
        <f t="shared" si="21"/>
        <v>362100</v>
      </c>
      <c r="O66" s="253">
        <f t="shared" si="17"/>
        <v>563845</v>
      </c>
      <c r="P66" s="253">
        <f t="shared" si="18"/>
        <v>3582708.9099999997</v>
      </c>
    </row>
    <row r="67" spans="1:16" ht="15.6" customHeight="1">
      <c r="A67" s="224">
        <v>62</v>
      </c>
      <c r="B67" s="225" t="s">
        <v>133</v>
      </c>
      <c r="C67" s="253">
        <v>516.08000000000004</v>
      </c>
      <c r="D67" s="253">
        <f>'Table 8 Membership 2.1.14'!W64*'Table 3A Level 3'!C67</f>
        <v>1096153.9200000002</v>
      </c>
      <c r="E67" s="255">
        <v>0</v>
      </c>
      <c r="F67" s="255">
        <v>0</v>
      </c>
      <c r="G67" s="255">
        <f t="shared" si="15"/>
        <v>0</v>
      </c>
      <c r="H67" s="256">
        <f>'[8]Table 4 Level 3'!F67+'[8]Table 4 Level 3'!H67</f>
        <v>0</v>
      </c>
      <c r="I67" s="256">
        <f t="shared" si="19"/>
        <v>0</v>
      </c>
      <c r="J67" s="256">
        <f t="shared" si="16"/>
        <v>0</v>
      </c>
      <c r="K67" s="257">
        <f>IF(H67&lt;0,0,'Table 3 Levels 1&amp;2'!C65)</f>
        <v>2124</v>
      </c>
      <c r="L67" s="253">
        <f t="shared" si="20"/>
        <v>118339</v>
      </c>
      <c r="M67" s="257">
        <f>'Table 3 Levels 1&amp;2'!C65</f>
        <v>2124</v>
      </c>
      <c r="N67" s="253">
        <f t="shared" si="21"/>
        <v>212400</v>
      </c>
      <c r="O67" s="253">
        <f t="shared" si="17"/>
        <v>330739</v>
      </c>
      <c r="P67" s="253">
        <f t="shared" si="18"/>
        <v>1426892.9200000002</v>
      </c>
    </row>
    <row r="68" spans="1:16" ht="15.6" customHeight="1">
      <c r="A68" s="224">
        <v>63</v>
      </c>
      <c r="B68" s="225" t="s">
        <v>134</v>
      </c>
      <c r="C68" s="253">
        <v>756.79</v>
      </c>
      <c r="D68" s="253">
        <f>'Table 8 Membership 2.1.14'!W65*'Table 3A Level 3'!C68</f>
        <v>1542338.02</v>
      </c>
      <c r="E68" s="255">
        <v>5908357</v>
      </c>
      <c r="F68" s="255">
        <v>680156</v>
      </c>
      <c r="G68" s="255">
        <f t="shared" si="15"/>
        <v>5228201</v>
      </c>
      <c r="H68" s="256">
        <f>'[8]Table 4 Level 3'!F68+'[8]Table 4 Level 3'!H68</f>
        <v>-3659740</v>
      </c>
      <c r="I68" s="256">
        <f t="shared" si="19"/>
        <v>1568461</v>
      </c>
      <c r="J68" s="256">
        <f t="shared" si="16"/>
        <v>-522820</v>
      </c>
      <c r="K68" s="257">
        <f>IF(H68&lt;0,0,'Table 3 Levels 1&amp;2'!C66)</f>
        <v>0</v>
      </c>
      <c r="L68" s="253">
        <f t="shared" si="20"/>
        <v>0</v>
      </c>
      <c r="M68" s="257">
        <f>'Table 3 Levels 1&amp;2'!C66</f>
        <v>2038</v>
      </c>
      <c r="N68" s="253">
        <f t="shared" si="21"/>
        <v>203800</v>
      </c>
      <c r="O68" s="253">
        <f t="shared" si="17"/>
        <v>1929597</v>
      </c>
      <c r="P68" s="253">
        <f t="shared" si="18"/>
        <v>3471935.0199999996</v>
      </c>
    </row>
    <row r="69" spans="1:16" ht="15.6" customHeight="1">
      <c r="A69" s="224">
        <v>64</v>
      </c>
      <c r="B69" s="225" t="s">
        <v>135</v>
      </c>
      <c r="C69" s="253">
        <v>592.66</v>
      </c>
      <c r="D69" s="253">
        <f>'Table 8 Membership 2.1.14'!W66*'Table 3A Level 3'!C69</f>
        <v>1395121.64</v>
      </c>
      <c r="E69" s="255">
        <v>0</v>
      </c>
      <c r="F69" s="255">
        <v>0</v>
      </c>
      <c r="G69" s="255">
        <f t="shared" si="15"/>
        <v>0</v>
      </c>
      <c r="H69" s="256">
        <f>'[8]Table 4 Level 3'!F69+'[8]Table 4 Level 3'!H69</f>
        <v>0</v>
      </c>
      <c r="I69" s="256">
        <f t="shared" si="19"/>
        <v>0</v>
      </c>
      <c r="J69" s="256">
        <f t="shared" si="16"/>
        <v>0</v>
      </c>
      <c r="K69" s="257">
        <f>IF(H69&lt;0,0,'Table 3 Levels 1&amp;2'!C67)</f>
        <v>2354</v>
      </c>
      <c r="L69" s="253">
        <f t="shared" si="20"/>
        <v>131154</v>
      </c>
      <c r="M69" s="257">
        <f>'Table 3 Levels 1&amp;2'!C67</f>
        <v>2354</v>
      </c>
      <c r="N69" s="253">
        <f t="shared" si="21"/>
        <v>235400</v>
      </c>
      <c r="O69" s="253">
        <f t="shared" si="17"/>
        <v>366554</v>
      </c>
      <c r="P69" s="253">
        <f t="shared" si="18"/>
        <v>1761675.64</v>
      </c>
    </row>
    <row r="70" spans="1:16" ht="15.6" customHeight="1">
      <c r="A70" s="3">
        <v>65</v>
      </c>
      <c r="B70" s="7" t="s">
        <v>136</v>
      </c>
      <c r="C70" s="108">
        <v>829.12</v>
      </c>
      <c r="D70" s="108">
        <f>'Table 8 Membership 2.1.14'!W67*'Table 3A Level 3'!C70</f>
        <v>6778885.1200000001</v>
      </c>
      <c r="E70" s="107">
        <v>0</v>
      </c>
      <c r="F70" s="107">
        <v>0</v>
      </c>
      <c r="G70" s="107">
        <f t="shared" si="15"/>
        <v>0</v>
      </c>
      <c r="H70" s="105">
        <f>'[8]Table 4 Level 3'!F70+'[8]Table 4 Level 3'!H70</f>
        <v>0</v>
      </c>
      <c r="I70" s="105">
        <f>SUM(G70:H70)</f>
        <v>0</v>
      </c>
      <c r="J70" s="105">
        <f t="shared" si="16"/>
        <v>0</v>
      </c>
      <c r="K70" s="106">
        <f>IF(H70&lt;0,0,'Table 3 Levels 1&amp;2'!C68)</f>
        <v>8176</v>
      </c>
      <c r="L70" s="108">
        <f>ROUND($L$4*K70,0)</f>
        <v>455528</v>
      </c>
      <c r="M70" s="106">
        <f>'Table 3 Levels 1&amp;2'!C68</f>
        <v>8176</v>
      </c>
      <c r="N70" s="108">
        <f>ROUND(M70*$N$4,0)</f>
        <v>817600</v>
      </c>
      <c r="O70" s="108">
        <f t="shared" si="17"/>
        <v>1273128</v>
      </c>
      <c r="P70" s="108">
        <f t="shared" si="18"/>
        <v>8052013.1200000001</v>
      </c>
    </row>
    <row r="71" spans="1:16" ht="15.6" customHeight="1">
      <c r="A71" s="224">
        <v>66</v>
      </c>
      <c r="B71" s="225" t="s">
        <v>137</v>
      </c>
      <c r="C71" s="253">
        <v>730.06</v>
      </c>
      <c r="D71" s="254">
        <f>'Table 8 Membership 2.1.14'!W68*'Table 3A Level 3'!C71</f>
        <v>1476911.38</v>
      </c>
      <c r="E71" s="255">
        <v>0</v>
      </c>
      <c r="F71" s="255">
        <v>0</v>
      </c>
      <c r="G71" s="255">
        <f>E71-F71</f>
        <v>0</v>
      </c>
      <c r="H71" s="256">
        <f>'[8]Table 4 Level 3'!F71+'[8]Table 4 Level 3'!H71</f>
        <v>0</v>
      </c>
      <c r="I71" s="256">
        <f>SUM(G71:H71)</f>
        <v>0</v>
      </c>
      <c r="J71" s="256">
        <f t="shared" ref="J71:J74" si="22">ROUND(-I71/3,0)</f>
        <v>0</v>
      </c>
      <c r="K71" s="257">
        <f>IF(H71&lt;0,0,'Table 3 Levels 1&amp;2'!C69)</f>
        <v>2023</v>
      </c>
      <c r="L71" s="253">
        <f>ROUND($L$4*K71,0)</f>
        <v>112712</v>
      </c>
      <c r="M71" s="257">
        <f>'Table 3 Levels 1&amp;2'!C69</f>
        <v>2023</v>
      </c>
      <c r="N71" s="253">
        <f>ROUND(M71*$N$4,0)</f>
        <v>202300</v>
      </c>
      <c r="O71" s="253">
        <f t="shared" ref="O71:O74" si="23">F71+G71+H71+J71+L71+N71</f>
        <v>315012</v>
      </c>
      <c r="P71" s="253">
        <f t="shared" ref="P71:P74" si="24">D71+F71+G71+H71+J71+L71+N71</f>
        <v>1791923.38</v>
      </c>
    </row>
    <row r="72" spans="1:16" ht="15.6" customHeight="1">
      <c r="A72" s="224">
        <v>67</v>
      </c>
      <c r="B72" s="225" t="s">
        <v>28</v>
      </c>
      <c r="C72" s="253">
        <v>715.61</v>
      </c>
      <c r="D72" s="253">
        <f>'Table 8 Membership 2.1.14'!W69*'Table 3A Level 3'!C72</f>
        <v>3764824.21</v>
      </c>
      <c r="E72" s="255">
        <v>0</v>
      </c>
      <c r="F72" s="255">
        <v>0</v>
      </c>
      <c r="G72" s="255">
        <f>E72-F72</f>
        <v>0</v>
      </c>
      <c r="H72" s="256">
        <f>'[8]Table 4 Level 3'!F72+'[8]Table 4 Level 3'!H72</f>
        <v>0</v>
      </c>
      <c r="I72" s="256">
        <f>SUM(G72:H72)</f>
        <v>0</v>
      </c>
      <c r="J72" s="256">
        <f t="shared" si="22"/>
        <v>0</v>
      </c>
      <c r="K72" s="257">
        <f>IF(H72&lt;0,0,'Table 3 Levels 1&amp;2'!C70)</f>
        <v>5261</v>
      </c>
      <c r="L72" s="253">
        <f>ROUND($L$4*K72,0)</f>
        <v>293118</v>
      </c>
      <c r="M72" s="257">
        <f>'Table 3 Levels 1&amp;2'!C70</f>
        <v>5261</v>
      </c>
      <c r="N72" s="253">
        <f>ROUND(M72*$N$4,0)</f>
        <v>526100</v>
      </c>
      <c r="O72" s="253">
        <f t="shared" si="23"/>
        <v>819218</v>
      </c>
      <c r="P72" s="253">
        <f t="shared" si="24"/>
        <v>4584042.21</v>
      </c>
    </row>
    <row r="73" spans="1:16" ht="15.6" customHeight="1">
      <c r="A73" s="224">
        <v>68</v>
      </c>
      <c r="B73" s="225" t="s">
        <v>27</v>
      </c>
      <c r="C73" s="253">
        <v>798.7</v>
      </c>
      <c r="D73" s="253">
        <f>'Table 8 Membership 2.1.14'!W70*'Table 3A Level 3'!C73</f>
        <v>1285108.3</v>
      </c>
      <c r="E73" s="255">
        <v>0</v>
      </c>
      <c r="F73" s="255">
        <v>0</v>
      </c>
      <c r="G73" s="255">
        <f>E73-F73</f>
        <v>0</v>
      </c>
      <c r="H73" s="256">
        <f>'[8]Table 4 Level 3'!F73+'[8]Table 4 Level 3'!H73</f>
        <v>0</v>
      </c>
      <c r="I73" s="256">
        <f>SUM(G73:H73)</f>
        <v>0</v>
      </c>
      <c r="J73" s="256">
        <f t="shared" si="22"/>
        <v>0</v>
      </c>
      <c r="K73" s="257">
        <f>IF(H73&lt;0,0,'Table 3 Levels 1&amp;2'!C71)</f>
        <v>1609</v>
      </c>
      <c r="L73" s="253">
        <f>ROUND($L$4*K73,0)</f>
        <v>89646</v>
      </c>
      <c r="M73" s="257">
        <f>'Table 3 Levels 1&amp;2'!C71</f>
        <v>1609</v>
      </c>
      <c r="N73" s="253">
        <f>ROUND(M73*$N$4,0)</f>
        <v>160900</v>
      </c>
      <c r="O73" s="253">
        <f t="shared" si="23"/>
        <v>250546</v>
      </c>
      <c r="P73" s="253">
        <f t="shared" si="24"/>
        <v>1535654.3</v>
      </c>
    </row>
    <row r="74" spans="1:16" ht="15.6" customHeight="1">
      <c r="A74" s="2">
        <v>69</v>
      </c>
      <c r="B74" s="6" t="s">
        <v>147</v>
      </c>
      <c r="C74" s="111">
        <v>705.67</v>
      </c>
      <c r="D74" s="111">
        <f>'Table 8 Membership 2.1.14'!W71*'Table 3A Level 3'!C74</f>
        <v>3043554.71</v>
      </c>
      <c r="E74" s="259">
        <v>0</v>
      </c>
      <c r="F74" s="259">
        <v>0</v>
      </c>
      <c r="G74" s="259">
        <f>E74-F74</f>
        <v>0</v>
      </c>
      <c r="H74" s="260">
        <f>'[8]Table 4 Level 3'!F74+'[8]Table 4 Level 3'!H74</f>
        <v>0</v>
      </c>
      <c r="I74" s="260">
        <f>SUM(G74:H74)</f>
        <v>0</v>
      </c>
      <c r="J74" s="260">
        <f t="shared" si="22"/>
        <v>0</v>
      </c>
      <c r="K74" s="261">
        <f>IF(H74&lt;0,0,'Table 3 Levels 1&amp;2'!C72)</f>
        <v>4313</v>
      </c>
      <c r="L74" s="111">
        <f>ROUND($L$4*K74,0)</f>
        <v>240300</v>
      </c>
      <c r="M74" s="261">
        <f>'Table 3 Levels 1&amp;2'!C72</f>
        <v>4313</v>
      </c>
      <c r="N74" s="111">
        <f>ROUND(M74*$N$4,0)</f>
        <v>431300</v>
      </c>
      <c r="O74" s="111">
        <f t="shared" si="23"/>
        <v>671600</v>
      </c>
      <c r="P74" s="111">
        <f t="shared" si="24"/>
        <v>3715154.71</v>
      </c>
    </row>
    <row r="75" spans="1:16" s="599" customFormat="1" ht="15.6" customHeight="1" thickBot="1">
      <c r="A75" s="236"/>
      <c r="B75" s="237" t="s">
        <v>138</v>
      </c>
      <c r="C75" s="748">
        <f>D75/'Table 3 Levels 1&amp;2'!C73</f>
        <v>704.64781030742063</v>
      </c>
      <c r="D75" s="238">
        <f>SUM(D6:D74)</f>
        <v>478152864.64030641</v>
      </c>
      <c r="E75" s="262">
        <f t="shared" ref="E75:L75" si="25">SUM(E6:E74)</f>
        <v>76792933</v>
      </c>
      <c r="F75" s="262">
        <f t="shared" si="25"/>
        <v>38336714</v>
      </c>
      <c r="G75" s="262">
        <f t="shared" si="25"/>
        <v>38456219</v>
      </c>
      <c r="H75" s="263">
        <f t="shared" si="25"/>
        <v>-27297127</v>
      </c>
      <c r="I75" s="263">
        <f t="shared" si="25"/>
        <v>11159092</v>
      </c>
      <c r="J75" s="263">
        <f t="shared" si="25"/>
        <v>-3719696</v>
      </c>
      <c r="K75" s="264">
        <f t="shared" si="25"/>
        <v>556703</v>
      </c>
      <c r="L75" s="262">
        <f t="shared" si="25"/>
        <v>31016828</v>
      </c>
      <c r="M75" s="265">
        <f>SUM(M6:M74)</f>
        <v>678570</v>
      </c>
      <c r="N75" s="266">
        <f>SUM(N6:N74)</f>
        <v>67857000</v>
      </c>
      <c r="O75" s="266">
        <f>SUM(O6:O74)</f>
        <v>144649938</v>
      </c>
      <c r="P75" s="266">
        <f>SUM(P6:P74)</f>
        <v>622802802.64030635</v>
      </c>
    </row>
    <row r="76" spans="1:16" s="599" customFormat="1" ht="13.5" thickTop="1">
      <c r="A76" s="11"/>
      <c r="B76" s="12"/>
      <c r="C76" s="1345"/>
      <c r="D76" s="1346"/>
      <c r="E76" s="16"/>
      <c r="F76" s="16"/>
      <c r="G76" s="16"/>
      <c r="H76" s="17"/>
      <c r="I76" s="17"/>
      <c r="J76" s="96"/>
      <c r="K76" s="18"/>
      <c r="L76" s="16"/>
      <c r="M76" s="19"/>
      <c r="N76" s="5"/>
      <c r="O76" s="5"/>
      <c r="P76" s="5"/>
    </row>
    <row r="77" spans="1:16" s="599" customFormat="1" ht="19.149999999999999" customHeight="1">
      <c r="A77" s="11"/>
      <c r="B77" s="12"/>
      <c r="C77" s="1347"/>
      <c r="D77" s="1347"/>
      <c r="E77" s="16"/>
      <c r="F77" s="16"/>
      <c r="G77" s="16"/>
      <c r="H77" s="17"/>
      <c r="I77" s="17"/>
      <c r="J77" s="96"/>
      <c r="K77" s="18"/>
      <c r="L77" s="16"/>
      <c r="M77" s="19"/>
      <c r="N77" s="5"/>
      <c r="O77" s="5"/>
      <c r="P77" s="5"/>
    </row>
    <row r="78" spans="1:16">
      <c r="A78" s="11"/>
      <c r="B78" s="12"/>
      <c r="I78" s="422"/>
      <c r="J78" s="422"/>
      <c r="K78" s="422"/>
      <c r="L78" s="422"/>
    </row>
    <row r="79" spans="1:16">
      <c r="A79" s="422"/>
      <c r="B79" s="422"/>
    </row>
  </sheetData>
  <mergeCells count="19">
    <mergeCell ref="A2:A4"/>
    <mergeCell ref="B2:B4"/>
    <mergeCell ref="C3:C4"/>
    <mergeCell ref="D3:D4"/>
    <mergeCell ref="C2:D2"/>
    <mergeCell ref="P2:P4"/>
    <mergeCell ref="E2:L2"/>
    <mergeCell ref="M3:M4"/>
    <mergeCell ref="H3:H4"/>
    <mergeCell ref="F3:F4"/>
    <mergeCell ref="M2:N2"/>
    <mergeCell ref="I3:I4"/>
    <mergeCell ref="G3:G4"/>
    <mergeCell ref="E3:E4"/>
    <mergeCell ref="C76:D76"/>
    <mergeCell ref="C77:D77"/>
    <mergeCell ref="O2:O4"/>
    <mergeCell ref="J3:J4"/>
    <mergeCell ref="K3:K4"/>
  </mergeCells>
  <phoneticPr fontId="0" type="noConversion"/>
  <printOptions horizontalCentered="1"/>
  <pageMargins left="0.25" right="0.24" top="1.08" bottom="0.27" header="0.32" footer="0.35"/>
  <pageSetup paperSize="5" scale="73" firstPageNumber="32" orientation="portrait" r:id="rId1"/>
  <headerFooter alignWithMargins="0">
    <oddHeader>&amp;L&amp;"Arial,Bold"&amp;18&amp;K000000Table 3A:  FY2014-15 Budget Letter  &amp;20
Level 3 Legislative Allocations</oddHeader>
    <oddFooter>&amp;R&amp;12&amp;P</oddFooter>
  </headerFooter>
  <colBreaks count="2" manualBreakCount="2">
    <brk id="12" max="74" man="1"/>
    <brk id="16" max="7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6"/>
  <sheetViews>
    <sheetView view="pageBreakPreview" zoomScale="70" zoomScaleNormal="80" zoomScaleSheetLayoutView="70" workbookViewId="0">
      <pane xSplit="3" ySplit="4" topLeftCell="D5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9.140625" defaultRowHeight="12.75"/>
  <cols>
    <col min="1" max="1" width="8.42578125" style="546" hidden="1" customWidth="1"/>
    <col min="2" max="2" width="8.42578125" style="585" bestFit="1" customWidth="1"/>
    <col min="3" max="3" width="43.28515625" style="575" bestFit="1" customWidth="1"/>
    <col min="4" max="4" width="14.28515625" style="546" customWidth="1"/>
    <col min="5" max="5" width="16.7109375" style="546" customWidth="1"/>
    <col min="6" max="6" width="11.85546875" style="575" customWidth="1"/>
    <col min="7" max="7" width="10.7109375" style="575" bestFit="1" customWidth="1"/>
    <col min="8" max="8" width="13.42578125" style="546" customWidth="1"/>
    <col min="9" max="9" width="11.28515625" style="546" bestFit="1" customWidth="1"/>
    <col min="10" max="10" width="12.28515625" style="546" bestFit="1" customWidth="1"/>
    <col min="11" max="11" width="13.5703125" style="575" customWidth="1"/>
    <col min="12" max="12" width="13.7109375" style="575" customWidth="1"/>
    <col min="13" max="13" width="12.85546875" style="575" customWidth="1"/>
    <col min="14" max="14" width="13.42578125" style="575" customWidth="1"/>
    <col min="15" max="15" width="12.28515625" style="575" bestFit="1" customWidth="1"/>
    <col min="16" max="16" width="14.5703125" style="546" customWidth="1"/>
    <col min="17" max="17" width="7.7109375" style="546" customWidth="1"/>
    <col min="18" max="18" width="11.28515625" style="982" hidden="1" customWidth="1"/>
    <col min="19" max="19" width="5.7109375" style="546" customWidth="1"/>
    <col min="20" max="16384" width="9.140625" style="546"/>
  </cols>
  <sheetData>
    <row r="1" spans="1:18" ht="34.9" customHeight="1">
      <c r="B1" s="1379" t="s">
        <v>140</v>
      </c>
      <c r="C1" s="1379" t="s">
        <v>162</v>
      </c>
      <c r="D1" s="1382" t="s">
        <v>749</v>
      </c>
      <c r="E1" s="1383"/>
      <c r="F1" s="1384" t="s">
        <v>1047</v>
      </c>
      <c r="G1" s="1385"/>
      <c r="H1" s="1385"/>
      <c r="I1" s="1385"/>
      <c r="J1" s="1386"/>
      <c r="K1" s="1392" t="s">
        <v>901</v>
      </c>
      <c r="L1" s="1393"/>
      <c r="M1" s="1387" t="s">
        <v>921</v>
      </c>
      <c r="N1" s="1370" t="s">
        <v>748</v>
      </c>
      <c r="O1" s="1371"/>
      <c r="P1" s="1374" t="s">
        <v>682</v>
      </c>
    </row>
    <row r="2" spans="1:18" ht="108" customHeight="1">
      <c r="B2" s="1380"/>
      <c r="C2" s="1380"/>
      <c r="D2" s="547" t="s">
        <v>1000</v>
      </c>
      <c r="E2" s="548" t="s">
        <v>571</v>
      </c>
      <c r="F2" s="1390" t="s">
        <v>683</v>
      </c>
      <c r="G2" s="549" t="s">
        <v>572</v>
      </c>
      <c r="H2" s="1390" t="s">
        <v>684</v>
      </c>
      <c r="I2" s="549" t="s">
        <v>573</v>
      </c>
      <c r="J2" s="1390" t="s">
        <v>564</v>
      </c>
      <c r="K2" s="1372" t="s">
        <v>899</v>
      </c>
      <c r="L2" s="550" t="s">
        <v>900</v>
      </c>
      <c r="M2" s="1388"/>
      <c r="N2" s="1377" t="s">
        <v>685</v>
      </c>
      <c r="O2" s="551" t="s">
        <v>924</v>
      </c>
      <c r="P2" s="1375"/>
      <c r="R2" s="1372" t="s">
        <v>908</v>
      </c>
    </row>
    <row r="3" spans="1:18">
      <c r="B3" s="1381"/>
      <c r="C3" s="1381"/>
      <c r="D3" s="552"/>
      <c r="E3" s="553">
        <v>21000</v>
      </c>
      <c r="F3" s="1391"/>
      <c r="G3" s="554">
        <v>6000</v>
      </c>
      <c r="H3" s="1391"/>
      <c r="I3" s="554">
        <v>4000</v>
      </c>
      <c r="J3" s="1391"/>
      <c r="K3" s="1373"/>
      <c r="L3" s="539">
        <f>ROUND('Table 3 Levels 1&amp;2'!Q1*6%,0)</f>
        <v>238</v>
      </c>
      <c r="M3" s="1389"/>
      <c r="N3" s="1378"/>
      <c r="O3" s="555">
        <v>26</v>
      </c>
      <c r="P3" s="1376"/>
      <c r="R3" s="1373"/>
    </row>
    <row r="4" spans="1:18">
      <c r="B4" s="140"/>
      <c r="C4" s="146"/>
      <c r="D4" s="147">
        <v>1</v>
      </c>
      <c r="E4" s="147">
        <f>D4+1</f>
        <v>2</v>
      </c>
      <c r="F4" s="147">
        <f t="shared" ref="F4:M4" si="0">E4+1</f>
        <v>3</v>
      </c>
      <c r="G4" s="147">
        <f t="shared" si="0"/>
        <v>4</v>
      </c>
      <c r="H4" s="147">
        <f t="shared" si="0"/>
        <v>5</v>
      </c>
      <c r="I4" s="147">
        <f t="shared" si="0"/>
        <v>6</v>
      </c>
      <c r="J4" s="147">
        <f t="shared" si="0"/>
        <v>7</v>
      </c>
      <c r="K4" s="147">
        <f t="shared" ref="K4" si="1">J4+1</f>
        <v>8</v>
      </c>
      <c r="L4" s="147">
        <f t="shared" ref="L4" si="2">K4+1</f>
        <v>9</v>
      </c>
      <c r="M4" s="147">
        <f t="shared" si="0"/>
        <v>10</v>
      </c>
      <c r="N4" s="147">
        <f>M4+1</f>
        <v>11</v>
      </c>
      <c r="O4" s="147">
        <f>N4+1</f>
        <v>12</v>
      </c>
      <c r="P4" s="147">
        <f>O4+1</f>
        <v>13</v>
      </c>
    </row>
    <row r="5" spans="1:18">
      <c r="A5" s="546">
        <f>+VALUE(B5)</f>
        <v>1</v>
      </c>
      <c r="B5" s="267">
        <v>1</v>
      </c>
      <c r="C5" s="268" t="s">
        <v>73</v>
      </c>
      <c r="D5" s="556">
        <v>0</v>
      </c>
      <c r="E5" s="1209">
        <f t="shared" ref="E5:E68" si="3">ROUND($E$3*D5,0)</f>
        <v>0</v>
      </c>
      <c r="F5" s="556"/>
      <c r="G5" s="1171">
        <f>ROUND($G$3*F5,0)</f>
        <v>0</v>
      </c>
      <c r="H5" s="556"/>
      <c r="I5" s="1171">
        <f>ROUND($I$3*H5,0)</f>
        <v>0</v>
      </c>
      <c r="J5" s="1202">
        <f>G5+I5</f>
        <v>0</v>
      </c>
      <c r="K5" s="556">
        <f>'[9]Formatted for MFP'!G4</f>
        <v>175</v>
      </c>
      <c r="L5" s="1188">
        <f>IF($L$3*K5&lt;25000,25000,$L$3*K5)</f>
        <v>41650</v>
      </c>
      <c r="M5" s="1189">
        <f>IFERROR(VLOOKUP(B5,[10]Allocation_eGMS!$A$8:$E$93,5,FALSE),0)</f>
        <v>0</v>
      </c>
      <c r="N5" s="556">
        <f>'[11]7-12 by LEA'!K7</f>
        <v>3940</v>
      </c>
      <c r="O5" s="1171">
        <f t="shared" ref="O5:O36" si="4">ROUND(N5*$O$3,0)</f>
        <v>102440</v>
      </c>
      <c r="P5" s="1172">
        <f t="shared" ref="P5:P36" si="5">+L5+J5+E5+M5+O5</f>
        <v>144090</v>
      </c>
      <c r="R5" s="556">
        <f>VLOOKUP(B5,'[12]Oct 1 MFP LEA MER'!$B$6:$M$74,12,FALSE)</f>
        <v>2622</v>
      </c>
    </row>
    <row r="6" spans="1:18">
      <c r="A6" s="546">
        <f t="shared" ref="A6:A69" si="6">+VALUE(B6)</f>
        <v>2</v>
      </c>
      <c r="B6" s="269">
        <v>2</v>
      </c>
      <c r="C6" s="270" t="s">
        <v>74</v>
      </c>
      <c r="D6" s="557">
        <v>0</v>
      </c>
      <c r="E6" s="1210">
        <f t="shared" si="3"/>
        <v>0</v>
      </c>
      <c r="F6" s="557"/>
      <c r="G6" s="1173">
        <f t="shared" ref="G6:G69" si="7">ROUND($G$3*F6,0)</f>
        <v>0</v>
      </c>
      <c r="H6" s="557"/>
      <c r="I6" s="1173">
        <f t="shared" ref="I6:I69" si="8">ROUND($I$3*H6,0)</f>
        <v>0</v>
      </c>
      <c r="J6" s="1203">
        <f t="shared" ref="J6:J69" si="9">G6+I6</f>
        <v>0</v>
      </c>
      <c r="K6" s="557">
        <f>'[9]Formatted for MFP'!G5</f>
        <v>36</v>
      </c>
      <c r="L6" s="1190">
        <f t="shared" ref="L6:L69" si="10">IF($L$3*K6&lt;25000,25000,$L$3*K6)</f>
        <v>25000</v>
      </c>
      <c r="M6" s="1191">
        <f>IFERROR(VLOOKUP(B6,[10]Allocation_eGMS!$A$8:$E$93,5,FALSE),0)</f>
        <v>0</v>
      </c>
      <c r="N6" s="557">
        <f>'[11]7-12 by LEA'!K8</f>
        <v>1706</v>
      </c>
      <c r="O6" s="1173">
        <f t="shared" si="4"/>
        <v>44356</v>
      </c>
      <c r="P6" s="1174">
        <f t="shared" si="5"/>
        <v>69356</v>
      </c>
      <c r="R6" s="557">
        <f>VLOOKUP(B6,'[12]Oct 1 MFP LEA MER'!$B$6:$M$74,12,FALSE)</f>
        <v>1154</v>
      </c>
    </row>
    <row r="7" spans="1:18">
      <c r="A7" s="546">
        <f t="shared" si="6"/>
        <v>3</v>
      </c>
      <c r="B7" s="269">
        <v>3</v>
      </c>
      <c r="C7" s="270" t="s">
        <v>75</v>
      </c>
      <c r="D7" s="557">
        <v>0</v>
      </c>
      <c r="E7" s="1210">
        <f t="shared" si="3"/>
        <v>0</v>
      </c>
      <c r="F7" s="557"/>
      <c r="G7" s="1173">
        <f t="shared" si="7"/>
        <v>0</v>
      </c>
      <c r="H7" s="557"/>
      <c r="I7" s="1173">
        <f t="shared" si="8"/>
        <v>0</v>
      </c>
      <c r="J7" s="1203">
        <f t="shared" si="9"/>
        <v>0</v>
      </c>
      <c r="K7" s="557">
        <f>'[9]Formatted for MFP'!G6</f>
        <v>852</v>
      </c>
      <c r="L7" s="1190">
        <f t="shared" si="10"/>
        <v>202776</v>
      </c>
      <c r="M7" s="1191">
        <f>IFERROR(VLOOKUP(B7,[10]Allocation_eGMS!$A$8:$E$93,5,FALSE),0)</f>
        <v>225478</v>
      </c>
      <c r="N7" s="557">
        <f>'[11]7-12 by LEA'!K9</f>
        <v>9290</v>
      </c>
      <c r="O7" s="1173">
        <f t="shared" si="4"/>
        <v>241540</v>
      </c>
      <c r="P7" s="1174">
        <f t="shared" si="5"/>
        <v>669794</v>
      </c>
      <c r="R7" s="557">
        <f>VLOOKUP(B7,'[12]Oct 1 MFP LEA MER'!$B$6:$M$74,12,FALSE)</f>
        <v>6320</v>
      </c>
    </row>
    <row r="8" spans="1:18">
      <c r="A8" s="546">
        <f t="shared" si="6"/>
        <v>4</v>
      </c>
      <c r="B8" s="269">
        <v>4</v>
      </c>
      <c r="C8" s="270" t="s">
        <v>76</v>
      </c>
      <c r="D8" s="557">
        <v>4</v>
      </c>
      <c r="E8" s="1210">
        <f t="shared" si="3"/>
        <v>84000</v>
      </c>
      <c r="F8" s="557">
        <v>4</v>
      </c>
      <c r="G8" s="1173">
        <f>ROUND($G$3*F8,0)</f>
        <v>24000</v>
      </c>
      <c r="H8" s="557">
        <v>1</v>
      </c>
      <c r="I8" s="1173">
        <f t="shared" si="8"/>
        <v>4000</v>
      </c>
      <c r="J8" s="1203">
        <f t="shared" si="9"/>
        <v>28000</v>
      </c>
      <c r="K8" s="557">
        <f>'[9]Formatted for MFP'!G7</f>
        <v>224</v>
      </c>
      <c r="L8" s="1190">
        <f t="shared" si="10"/>
        <v>53312</v>
      </c>
      <c r="M8" s="1191">
        <f>IFERROR(VLOOKUP(B8,[10]Allocation_eGMS!$A$8:$E$93,5,FALSE),0)</f>
        <v>158307</v>
      </c>
      <c r="N8" s="557">
        <f>'[11]7-12 by LEA'!K10</f>
        <v>1614</v>
      </c>
      <c r="O8" s="1173">
        <f t="shared" si="4"/>
        <v>41964</v>
      </c>
      <c r="P8" s="1174">
        <f t="shared" si="5"/>
        <v>365583</v>
      </c>
      <c r="R8" s="557">
        <f>VLOOKUP(B8,'[12]Oct 1 MFP LEA MER'!$B$6:$M$74,12,FALSE)</f>
        <v>1033</v>
      </c>
    </row>
    <row r="9" spans="1:18">
      <c r="A9" s="546">
        <f t="shared" si="6"/>
        <v>5</v>
      </c>
      <c r="B9" s="141">
        <v>5</v>
      </c>
      <c r="C9" s="142" t="s">
        <v>77</v>
      </c>
      <c r="D9" s="558">
        <v>0</v>
      </c>
      <c r="E9" s="1211">
        <f t="shared" si="3"/>
        <v>0</v>
      </c>
      <c r="F9" s="558"/>
      <c r="G9" s="1175">
        <f t="shared" si="7"/>
        <v>0</v>
      </c>
      <c r="H9" s="558"/>
      <c r="I9" s="1175">
        <f t="shared" si="8"/>
        <v>0</v>
      </c>
      <c r="J9" s="1204">
        <f t="shared" si="9"/>
        <v>0</v>
      </c>
      <c r="K9" s="558">
        <f>'[9]Formatted for MFP'!G8</f>
        <v>229</v>
      </c>
      <c r="L9" s="1192">
        <f t="shared" si="10"/>
        <v>54502</v>
      </c>
      <c r="M9" s="1193">
        <f>IFERROR(VLOOKUP(B9,[10]Allocation_eGMS!$A$8:$E$93,5,FALSE),0)</f>
        <v>5001</v>
      </c>
      <c r="N9" s="558">
        <f>'[11]7-12 by LEA'!K11</f>
        <v>2452</v>
      </c>
      <c r="O9" s="1175">
        <f t="shared" si="4"/>
        <v>63752</v>
      </c>
      <c r="P9" s="1176">
        <f t="shared" si="5"/>
        <v>123255</v>
      </c>
      <c r="R9" s="558">
        <f>VLOOKUP(B9,'[12]Oct 1 MFP LEA MER'!$B$6:$M$74,12,FALSE)</f>
        <v>1596</v>
      </c>
    </row>
    <row r="10" spans="1:18">
      <c r="A10" s="546">
        <f t="shared" si="6"/>
        <v>6</v>
      </c>
      <c r="B10" s="267">
        <v>6</v>
      </c>
      <c r="C10" s="268" t="s">
        <v>78</v>
      </c>
      <c r="D10" s="556">
        <v>0</v>
      </c>
      <c r="E10" s="1209">
        <f t="shared" si="3"/>
        <v>0</v>
      </c>
      <c r="F10" s="556"/>
      <c r="G10" s="1171">
        <f t="shared" si="7"/>
        <v>0</v>
      </c>
      <c r="H10" s="556"/>
      <c r="I10" s="1171">
        <f t="shared" si="8"/>
        <v>0</v>
      </c>
      <c r="J10" s="1202">
        <f t="shared" si="9"/>
        <v>0</v>
      </c>
      <c r="K10" s="556">
        <f>'[9]Formatted for MFP'!G9</f>
        <v>41</v>
      </c>
      <c r="L10" s="1188">
        <f t="shared" si="10"/>
        <v>25000</v>
      </c>
      <c r="M10" s="1189">
        <f>IFERROR(VLOOKUP(B10,[10]Allocation_eGMS!$A$8:$E$93,5,FALSE),0)</f>
        <v>14231</v>
      </c>
      <c r="N10" s="556">
        <f>'[11]7-12 by LEA'!K12</f>
        <v>2712</v>
      </c>
      <c r="O10" s="1171">
        <f t="shared" si="4"/>
        <v>70512</v>
      </c>
      <c r="P10" s="1172">
        <f t="shared" si="5"/>
        <v>109743</v>
      </c>
      <c r="R10" s="556">
        <f>VLOOKUP(B10,'[12]Oct 1 MFP LEA MER'!$B$6:$M$74,12,FALSE)</f>
        <v>1754</v>
      </c>
    </row>
    <row r="11" spans="1:18">
      <c r="A11" s="546">
        <f t="shared" si="6"/>
        <v>7</v>
      </c>
      <c r="B11" s="269">
        <v>7</v>
      </c>
      <c r="C11" s="270" t="s">
        <v>79</v>
      </c>
      <c r="D11" s="557">
        <v>0</v>
      </c>
      <c r="E11" s="1210">
        <f t="shared" si="3"/>
        <v>0</v>
      </c>
      <c r="F11" s="557"/>
      <c r="G11" s="1173">
        <f t="shared" si="7"/>
        <v>0</v>
      </c>
      <c r="H11" s="557"/>
      <c r="I11" s="1173">
        <f t="shared" si="8"/>
        <v>0</v>
      </c>
      <c r="J11" s="1203">
        <f t="shared" si="9"/>
        <v>0</v>
      </c>
      <c r="K11" s="557">
        <f>'[9]Formatted for MFP'!G10</f>
        <v>61</v>
      </c>
      <c r="L11" s="1190">
        <f t="shared" si="10"/>
        <v>25000</v>
      </c>
      <c r="M11" s="1191">
        <f>IFERROR(VLOOKUP(B11,[10]Allocation_eGMS!$A$8:$E$93,5,FALSE),0)</f>
        <v>11141</v>
      </c>
      <c r="N11" s="557">
        <f>'[11]7-12 by LEA'!K13</f>
        <v>921</v>
      </c>
      <c r="O11" s="1173">
        <f t="shared" si="4"/>
        <v>23946</v>
      </c>
      <c r="P11" s="1174">
        <f t="shared" si="5"/>
        <v>60087</v>
      </c>
      <c r="R11" s="557">
        <f>VLOOKUP(B11,'[12]Oct 1 MFP LEA MER'!$B$6:$M$74,12,FALSE)</f>
        <v>593</v>
      </c>
    </row>
    <row r="12" spans="1:18">
      <c r="A12" s="546">
        <f t="shared" si="6"/>
        <v>8</v>
      </c>
      <c r="B12" s="269">
        <v>8</v>
      </c>
      <c r="C12" s="270" t="s">
        <v>80</v>
      </c>
      <c r="D12" s="557">
        <v>3</v>
      </c>
      <c r="E12" s="1210">
        <f t="shared" si="3"/>
        <v>63000</v>
      </c>
      <c r="F12" s="557">
        <v>1</v>
      </c>
      <c r="G12" s="1173">
        <f t="shared" si="7"/>
        <v>6000</v>
      </c>
      <c r="H12" s="557">
        <v>2</v>
      </c>
      <c r="I12" s="1173">
        <f t="shared" si="8"/>
        <v>8000</v>
      </c>
      <c r="J12" s="1203">
        <f t="shared" si="9"/>
        <v>14000</v>
      </c>
      <c r="K12" s="557">
        <f>'[9]Formatted for MFP'!G11</f>
        <v>560</v>
      </c>
      <c r="L12" s="1190">
        <f t="shared" si="10"/>
        <v>133280</v>
      </c>
      <c r="M12" s="1191">
        <f>IFERROR(VLOOKUP(B12,[10]Allocation_eGMS!$A$8:$E$93,5,FALSE),0)</f>
        <v>0</v>
      </c>
      <c r="N12" s="557">
        <f>'[11]7-12 by LEA'!K14</f>
        <v>8993</v>
      </c>
      <c r="O12" s="1173">
        <f t="shared" si="4"/>
        <v>233818</v>
      </c>
      <c r="P12" s="1174">
        <f t="shared" si="5"/>
        <v>444098</v>
      </c>
      <c r="R12" s="557">
        <f>VLOOKUP(B12,'[12]Oct 1 MFP LEA MER'!$B$6:$M$74,12,FALSE)</f>
        <v>6037</v>
      </c>
    </row>
    <row r="13" spans="1:18">
      <c r="A13" s="546">
        <f t="shared" si="6"/>
        <v>9</v>
      </c>
      <c r="B13" s="269">
        <v>9</v>
      </c>
      <c r="C13" s="270" t="s">
        <v>81</v>
      </c>
      <c r="D13" s="557">
        <v>17</v>
      </c>
      <c r="E13" s="1210">
        <f t="shared" si="3"/>
        <v>357000</v>
      </c>
      <c r="F13" s="557">
        <v>1</v>
      </c>
      <c r="G13" s="1173">
        <f t="shared" si="7"/>
        <v>6000</v>
      </c>
      <c r="H13" s="557">
        <v>8</v>
      </c>
      <c r="I13" s="1173">
        <f t="shared" si="8"/>
        <v>32000</v>
      </c>
      <c r="J13" s="1203">
        <f t="shared" si="9"/>
        <v>38000</v>
      </c>
      <c r="K13" s="557">
        <f>'[9]Formatted for MFP'!G12</f>
        <v>634</v>
      </c>
      <c r="L13" s="1190">
        <f t="shared" si="10"/>
        <v>150892</v>
      </c>
      <c r="M13" s="1191">
        <f>IFERROR(VLOOKUP(B13,[10]Allocation_eGMS!$A$8:$E$93,5,FALSE),0)</f>
        <v>0</v>
      </c>
      <c r="N13" s="557">
        <f>'[11]7-12 by LEA'!K15</f>
        <v>16655</v>
      </c>
      <c r="O13" s="1173">
        <f t="shared" si="4"/>
        <v>433030</v>
      </c>
      <c r="P13" s="1174">
        <f t="shared" si="5"/>
        <v>978922</v>
      </c>
      <c r="R13" s="557">
        <f>VLOOKUP(B13,'[12]Oct 1 MFP LEA MER'!$B$6:$M$74,12,FALSE)</f>
        <v>11172</v>
      </c>
    </row>
    <row r="14" spans="1:18">
      <c r="A14" s="546">
        <f t="shared" si="6"/>
        <v>10</v>
      </c>
      <c r="B14" s="141">
        <v>10</v>
      </c>
      <c r="C14" s="142" t="s">
        <v>82</v>
      </c>
      <c r="D14" s="558">
        <v>31</v>
      </c>
      <c r="E14" s="1211">
        <f t="shared" si="3"/>
        <v>651000</v>
      </c>
      <c r="F14" s="558">
        <v>9</v>
      </c>
      <c r="G14" s="1175">
        <f t="shared" si="7"/>
        <v>54000</v>
      </c>
      <c r="H14" s="558">
        <v>17</v>
      </c>
      <c r="I14" s="1175">
        <f t="shared" si="8"/>
        <v>68000</v>
      </c>
      <c r="J14" s="1204">
        <f t="shared" si="9"/>
        <v>122000</v>
      </c>
      <c r="K14" s="558">
        <f>'[9]Formatted for MFP'!G13</f>
        <v>842</v>
      </c>
      <c r="L14" s="1192">
        <f t="shared" si="10"/>
        <v>200396</v>
      </c>
      <c r="M14" s="1193">
        <f>IFERROR(VLOOKUP(B14,[10]Allocation_eGMS!$A$8:$E$93,5,FALSE),0)</f>
        <v>38340</v>
      </c>
      <c r="N14" s="558">
        <f>'[11]7-12 by LEA'!K16</f>
        <v>13418</v>
      </c>
      <c r="O14" s="1175">
        <f t="shared" si="4"/>
        <v>348868</v>
      </c>
      <c r="P14" s="1176">
        <f t="shared" si="5"/>
        <v>1360604</v>
      </c>
      <c r="R14" s="558">
        <f>VLOOKUP(B14,'[12]Oct 1 MFP LEA MER'!$B$6:$M$74,12,FALSE)</f>
        <v>9013</v>
      </c>
    </row>
    <row r="15" spans="1:18">
      <c r="A15" s="546">
        <f t="shared" si="6"/>
        <v>11</v>
      </c>
      <c r="B15" s="267">
        <v>11</v>
      </c>
      <c r="C15" s="268" t="s">
        <v>83</v>
      </c>
      <c r="D15" s="556">
        <v>0</v>
      </c>
      <c r="E15" s="1209">
        <f t="shared" si="3"/>
        <v>0</v>
      </c>
      <c r="F15" s="556"/>
      <c r="G15" s="1171">
        <f t="shared" si="7"/>
        <v>0</v>
      </c>
      <c r="H15" s="556"/>
      <c r="I15" s="1171">
        <f t="shared" si="8"/>
        <v>0</v>
      </c>
      <c r="J15" s="1202">
        <f t="shared" si="9"/>
        <v>0</v>
      </c>
      <c r="K15" s="556">
        <f>'[9]Formatted for MFP'!G14</f>
        <v>84</v>
      </c>
      <c r="L15" s="1188">
        <f t="shared" si="10"/>
        <v>25000</v>
      </c>
      <c r="M15" s="1189">
        <f>IFERROR(VLOOKUP(B15,[10]Allocation_eGMS!$A$8:$E$93,5,FALSE),0)</f>
        <v>4332</v>
      </c>
      <c r="N15" s="556">
        <f>'[11]7-12 by LEA'!K17</f>
        <v>653</v>
      </c>
      <c r="O15" s="1171">
        <f t="shared" si="4"/>
        <v>16978</v>
      </c>
      <c r="P15" s="1172">
        <f t="shared" si="5"/>
        <v>46310</v>
      </c>
      <c r="R15" s="556">
        <f>VLOOKUP(B15,'[12]Oct 1 MFP LEA MER'!$B$6:$M$74,12,FALSE)</f>
        <v>436</v>
      </c>
    </row>
    <row r="16" spans="1:18">
      <c r="A16" s="546">
        <f t="shared" si="6"/>
        <v>12</v>
      </c>
      <c r="B16" s="269">
        <v>12</v>
      </c>
      <c r="C16" s="270" t="s">
        <v>84</v>
      </c>
      <c r="D16" s="557">
        <v>2</v>
      </c>
      <c r="E16" s="1210">
        <f t="shared" si="3"/>
        <v>42000</v>
      </c>
      <c r="F16" s="557"/>
      <c r="G16" s="1173">
        <f t="shared" si="7"/>
        <v>0</v>
      </c>
      <c r="H16" s="557"/>
      <c r="I16" s="1173">
        <f t="shared" si="8"/>
        <v>0</v>
      </c>
      <c r="J16" s="1203">
        <f t="shared" si="9"/>
        <v>0</v>
      </c>
      <c r="K16" s="557">
        <f>'[9]Formatted for MFP'!G15</f>
        <v>0</v>
      </c>
      <c r="L16" s="1190">
        <f t="shared" si="10"/>
        <v>25000</v>
      </c>
      <c r="M16" s="1191">
        <f>IFERROR(VLOOKUP(B16,[10]Allocation_eGMS!$A$8:$E$93,5,FALSE),0)</f>
        <v>0</v>
      </c>
      <c r="N16" s="557">
        <f>'[11]7-12 by LEA'!K18</f>
        <v>564</v>
      </c>
      <c r="O16" s="1173">
        <f t="shared" si="4"/>
        <v>14664</v>
      </c>
      <c r="P16" s="1174">
        <f t="shared" si="5"/>
        <v>81664</v>
      </c>
      <c r="R16" s="557">
        <f>VLOOKUP(B16,'[12]Oct 1 MFP LEA MER'!$B$6:$M$74,12,FALSE)</f>
        <v>384</v>
      </c>
    </row>
    <row r="17" spans="1:18">
      <c r="A17" s="546">
        <f t="shared" si="6"/>
        <v>13</v>
      </c>
      <c r="B17" s="269">
        <v>13</v>
      </c>
      <c r="C17" s="270" t="s">
        <v>85</v>
      </c>
      <c r="D17" s="557">
        <v>0</v>
      </c>
      <c r="E17" s="1210">
        <f t="shared" si="3"/>
        <v>0</v>
      </c>
      <c r="F17" s="557"/>
      <c r="G17" s="1173">
        <f t="shared" si="7"/>
        <v>0</v>
      </c>
      <c r="H17" s="557"/>
      <c r="I17" s="1173">
        <f t="shared" si="8"/>
        <v>0</v>
      </c>
      <c r="J17" s="1203">
        <f t="shared" si="9"/>
        <v>0</v>
      </c>
      <c r="K17" s="557">
        <f>'[9]Formatted for MFP'!G16</f>
        <v>7</v>
      </c>
      <c r="L17" s="1190">
        <f t="shared" si="10"/>
        <v>25000</v>
      </c>
      <c r="M17" s="1191">
        <f>IFERROR(VLOOKUP(B17,[10]Allocation_eGMS!$A$8:$E$93,5,FALSE),0)</f>
        <v>4617</v>
      </c>
      <c r="N17" s="557">
        <f>'[11]7-12 by LEA'!K19</f>
        <v>576</v>
      </c>
      <c r="O17" s="1173">
        <f t="shared" si="4"/>
        <v>14976</v>
      </c>
      <c r="P17" s="1174">
        <f t="shared" si="5"/>
        <v>44593</v>
      </c>
      <c r="R17" s="557">
        <f>VLOOKUP(B17,'[12]Oct 1 MFP LEA MER'!$B$6:$M$74,12,FALSE)</f>
        <v>364</v>
      </c>
    </row>
    <row r="18" spans="1:18">
      <c r="A18" s="546">
        <f t="shared" si="6"/>
        <v>14</v>
      </c>
      <c r="B18" s="269">
        <v>14</v>
      </c>
      <c r="C18" s="270" t="s">
        <v>86</v>
      </c>
      <c r="D18" s="557">
        <v>0</v>
      </c>
      <c r="E18" s="1210">
        <f t="shared" si="3"/>
        <v>0</v>
      </c>
      <c r="F18" s="557"/>
      <c r="G18" s="1173">
        <f t="shared" si="7"/>
        <v>0</v>
      </c>
      <c r="H18" s="557"/>
      <c r="I18" s="1173">
        <f t="shared" si="8"/>
        <v>0</v>
      </c>
      <c r="J18" s="1203">
        <f t="shared" si="9"/>
        <v>0</v>
      </c>
      <c r="K18" s="557">
        <f>'[9]Formatted for MFP'!G17</f>
        <v>38</v>
      </c>
      <c r="L18" s="1190">
        <f t="shared" si="10"/>
        <v>25000</v>
      </c>
      <c r="M18" s="1191">
        <f>IFERROR(VLOOKUP(B18,[10]Allocation_eGMS!$A$8:$E$93,5,FALSE),0)</f>
        <v>0</v>
      </c>
      <c r="N18" s="557">
        <f>'[11]7-12 by LEA'!K20</f>
        <v>732</v>
      </c>
      <c r="O18" s="1173">
        <f t="shared" si="4"/>
        <v>19032</v>
      </c>
      <c r="P18" s="1174">
        <f t="shared" si="5"/>
        <v>44032</v>
      </c>
      <c r="R18" s="557">
        <f>VLOOKUP(B18,'[12]Oct 1 MFP LEA MER'!$B$6:$M$74,12,FALSE)</f>
        <v>465</v>
      </c>
    </row>
    <row r="19" spans="1:18">
      <c r="A19" s="546">
        <f t="shared" si="6"/>
        <v>15</v>
      </c>
      <c r="B19" s="141">
        <v>15</v>
      </c>
      <c r="C19" s="142" t="s">
        <v>87</v>
      </c>
      <c r="D19" s="558">
        <v>2</v>
      </c>
      <c r="E19" s="1211">
        <f t="shared" si="3"/>
        <v>42000</v>
      </c>
      <c r="F19" s="558">
        <v>1</v>
      </c>
      <c r="G19" s="1175">
        <f t="shared" si="7"/>
        <v>6000</v>
      </c>
      <c r="H19" s="558">
        <v>1</v>
      </c>
      <c r="I19" s="1175">
        <f t="shared" si="8"/>
        <v>4000</v>
      </c>
      <c r="J19" s="1204">
        <f t="shared" si="9"/>
        <v>10000</v>
      </c>
      <c r="K19" s="558">
        <f>'[9]Formatted for MFP'!G18</f>
        <v>0</v>
      </c>
      <c r="L19" s="1192">
        <f t="shared" si="10"/>
        <v>25000</v>
      </c>
      <c r="M19" s="1193">
        <f>IFERROR(VLOOKUP(B19,[10]Allocation_eGMS!$A$8:$E$93,5,FALSE),0)</f>
        <v>0</v>
      </c>
      <c r="N19" s="558">
        <f>'[11]7-12 by LEA'!K21</f>
        <v>1422</v>
      </c>
      <c r="O19" s="1175">
        <f t="shared" si="4"/>
        <v>36972</v>
      </c>
      <c r="P19" s="1176">
        <f t="shared" si="5"/>
        <v>113972</v>
      </c>
      <c r="R19" s="558">
        <f>VLOOKUP(B19,'[12]Oct 1 MFP LEA MER'!$B$6:$M$74,12,FALSE)</f>
        <v>937</v>
      </c>
    </row>
    <row r="20" spans="1:18">
      <c r="A20" s="546">
        <f t="shared" si="6"/>
        <v>16</v>
      </c>
      <c r="B20" s="267">
        <v>16</v>
      </c>
      <c r="C20" s="268" t="s">
        <v>88</v>
      </c>
      <c r="D20" s="556">
        <v>1</v>
      </c>
      <c r="E20" s="1209">
        <f t="shared" si="3"/>
        <v>21000</v>
      </c>
      <c r="F20" s="556"/>
      <c r="G20" s="1171">
        <f t="shared" si="7"/>
        <v>0</v>
      </c>
      <c r="H20" s="556"/>
      <c r="I20" s="1171">
        <f t="shared" si="8"/>
        <v>0</v>
      </c>
      <c r="J20" s="1202">
        <f t="shared" si="9"/>
        <v>0</v>
      </c>
      <c r="K20" s="556">
        <f>'[9]Formatted for MFP'!G19</f>
        <v>63</v>
      </c>
      <c r="L20" s="1188">
        <f t="shared" si="10"/>
        <v>25000</v>
      </c>
      <c r="M20" s="1189">
        <f>IFERROR(VLOOKUP(B20,[10]Allocation_eGMS!$A$8:$E$93,5,FALSE),0)</f>
        <v>53856</v>
      </c>
      <c r="N20" s="556">
        <f>'[11]7-12 by LEA'!K22</f>
        <v>2120</v>
      </c>
      <c r="O20" s="1171">
        <f t="shared" si="4"/>
        <v>55120</v>
      </c>
      <c r="P20" s="1172">
        <f t="shared" si="5"/>
        <v>154976</v>
      </c>
      <c r="R20" s="556">
        <f>VLOOKUP(B20,'[12]Oct 1 MFP LEA MER'!$B$6:$M$74,12,FALSE)</f>
        <v>1399</v>
      </c>
    </row>
    <row r="21" spans="1:18">
      <c r="A21" s="546">
        <f t="shared" si="6"/>
        <v>17</v>
      </c>
      <c r="B21" s="269">
        <v>17</v>
      </c>
      <c r="C21" s="270" t="s">
        <v>89</v>
      </c>
      <c r="D21" s="557">
        <v>14</v>
      </c>
      <c r="E21" s="1210">
        <f t="shared" si="3"/>
        <v>294000</v>
      </c>
      <c r="F21" s="557">
        <v>3</v>
      </c>
      <c r="G21" s="1173">
        <f t="shared" si="7"/>
        <v>18000</v>
      </c>
      <c r="H21" s="557">
        <v>7</v>
      </c>
      <c r="I21" s="1173">
        <f t="shared" si="8"/>
        <v>28000</v>
      </c>
      <c r="J21" s="1203">
        <f t="shared" si="9"/>
        <v>46000</v>
      </c>
      <c r="K21" s="557">
        <f>'[9]Formatted for MFP'!G20</f>
        <v>613</v>
      </c>
      <c r="L21" s="1190">
        <f t="shared" si="10"/>
        <v>145894</v>
      </c>
      <c r="M21" s="1191">
        <f>IFERROR(VLOOKUP(B21,[10]Allocation_eGMS!$A$8:$E$93,5,FALSE),0)</f>
        <v>52763</v>
      </c>
      <c r="N21" s="557">
        <f>'[11]7-12 by LEA'!K23</f>
        <v>16633</v>
      </c>
      <c r="O21" s="1173">
        <f t="shared" si="4"/>
        <v>432458</v>
      </c>
      <c r="P21" s="1174">
        <f t="shared" si="5"/>
        <v>971115</v>
      </c>
      <c r="R21" s="557">
        <f>VLOOKUP(B21,'[12]Oct 1 MFP LEA MER'!$B$6:$M$74,12,FALSE)</f>
        <v>11253</v>
      </c>
    </row>
    <row r="22" spans="1:18">
      <c r="A22" s="546">
        <f t="shared" si="6"/>
        <v>18</v>
      </c>
      <c r="B22" s="269">
        <v>18</v>
      </c>
      <c r="C22" s="270" t="s">
        <v>90</v>
      </c>
      <c r="D22" s="557">
        <v>1</v>
      </c>
      <c r="E22" s="1210">
        <f t="shared" si="3"/>
        <v>21000</v>
      </c>
      <c r="F22" s="557"/>
      <c r="G22" s="1173">
        <f t="shared" si="7"/>
        <v>0</v>
      </c>
      <c r="H22" s="557"/>
      <c r="I22" s="1173">
        <f t="shared" si="8"/>
        <v>0</v>
      </c>
      <c r="J22" s="1203">
        <f t="shared" si="9"/>
        <v>0</v>
      </c>
      <c r="K22" s="557">
        <f>'[9]Formatted for MFP'!G21</f>
        <v>59</v>
      </c>
      <c r="L22" s="1190">
        <f t="shared" si="10"/>
        <v>25000</v>
      </c>
      <c r="M22" s="1191">
        <f>IFERROR(VLOOKUP(B22,[10]Allocation_eGMS!$A$8:$E$93,5,FALSE),0)</f>
        <v>0</v>
      </c>
      <c r="N22" s="557">
        <f>'[11]7-12 by LEA'!K24</f>
        <v>429</v>
      </c>
      <c r="O22" s="1173">
        <f t="shared" si="4"/>
        <v>11154</v>
      </c>
      <c r="P22" s="1174">
        <f t="shared" si="5"/>
        <v>57154</v>
      </c>
      <c r="R22" s="557">
        <f>VLOOKUP(B22,'[12]Oct 1 MFP LEA MER'!$B$6:$M$74,12,FALSE)</f>
        <v>271</v>
      </c>
    </row>
    <row r="23" spans="1:18">
      <c r="A23" s="546">
        <f t="shared" si="6"/>
        <v>19</v>
      </c>
      <c r="B23" s="269">
        <v>19</v>
      </c>
      <c r="C23" s="270" t="s">
        <v>91</v>
      </c>
      <c r="D23" s="557">
        <v>0</v>
      </c>
      <c r="E23" s="1210">
        <f t="shared" si="3"/>
        <v>0</v>
      </c>
      <c r="F23" s="557"/>
      <c r="G23" s="1173">
        <f t="shared" si="7"/>
        <v>0</v>
      </c>
      <c r="H23" s="557"/>
      <c r="I23" s="1173">
        <f t="shared" si="8"/>
        <v>0</v>
      </c>
      <c r="J23" s="1203">
        <f t="shared" si="9"/>
        <v>0</v>
      </c>
      <c r="K23" s="557">
        <f>'[9]Formatted for MFP'!G22</f>
        <v>100</v>
      </c>
      <c r="L23" s="1190">
        <f t="shared" si="10"/>
        <v>25000</v>
      </c>
      <c r="M23" s="1191">
        <f>IFERROR(VLOOKUP(B23,[10]Allocation_eGMS!$A$8:$E$93,5,FALSE),0)</f>
        <v>37028</v>
      </c>
      <c r="N23" s="557">
        <f>'[11]7-12 by LEA'!K25</f>
        <v>765</v>
      </c>
      <c r="O23" s="1173">
        <f t="shared" si="4"/>
        <v>19890</v>
      </c>
      <c r="P23" s="1174">
        <f t="shared" si="5"/>
        <v>81918</v>
      </c>
      <c r="R23" s="557">
        <f>VLOOKUP(B23,'[12]Oct 1 MFP LEA MER'!$B$6:$M$74,12,FALSE)</f>
        <v>518</v>
      </c>
    </row>
    <row r="24" spans="1:18">
      <c r="A24" s="546">
        <f t="shared" si="6"/>
        <v>20</v>
      </c>
      <c r="B24" s="141">
        <v>20</v>
      </c>
      <c r="C24" s="142" t="s">
        <v>92</v>
      </c>
      <c r="D24" s="558">
        <v>0</v>
      </c>
      <c r="E24" s="1211">
        <f t="shared" si="3"/>
        <v>0</v>
      </c>
      <c r="F24" s="558"/>
      <c r="G24" s="1175">
        <f t="shared" si="7"/>
        <v>0</v>
      </c>
      <c r="H24" s="558"/>
      <c r="I24" s="1175">
        <f t="shared" si="8"/>
        <v>0</v>
      </c>
      <c r="J24" s="1204">
        <f t="shared" si="9"/>
        <v>0</v>
      </c>
      <c r="K24" s="558">
        <f>'[9]Formatted for MFP'!G23</f>
        <v>259</v>
      </c>
      <c r="L24" s="1192">
        <f t="shared" si="10"/>
        <v>61642</v>
      </c>
      <c r="M24" s="1193">
        <f>IFERROR(VLOOKUP(B24,[10]Allocation_eGMS!$A$8:$E$93,5,FALSE),0)</f>
        <v>18047</v>
      </c>
      <c r="N24" s="558">
        <f>'[11]7-12 by LEA'!K26</f>
        <v>2418</v>
      </c>
      <c r="O24" s="1175">
        <f t="shared" si="4"/>
        <v>62868</v>
      </c>
      <c r="P24" s="1176">
        <f t="shared" si="5"/>
        <v>142557</v>
      </c>
      <c r="R24" s="558">
        <f>VLOOKUP(B24,'[12]Oct 1 MFP LEA MER'!$B$6:$M$74,12,FALSE)</f>
        <v>1548</v>
      </c>
    </row>
    <row r="25" spans="1:18">
      <c r="A25" s="546">
        <f t="shared" si="6"/>
        <v>21</v>
      </c>
      <c r="B25" s="267">
        <v>21</v>
      </c>
      <c r="C25" s="268" t="s">
        <v>93</v>
      </c>
      <c r="D25" s="556">
        <v>0</v>
      </c>
      <c r="E25" s="1209">
        <f t="shared" si="3"/>
        <v>0</v>
      </c>
      <c r="F25" s="556"/>
      <c r="G25" s="1171">
        <f t="shared" si="7"/>
        <v>0</v>
      </c>
      <c r="H25" s="556"/>
      <c r="I25" s="1171">
        <f t="shared" si="8"/>
        <v>0</v>
      </c>
      <c r="J25" s="1202">
        <f t="shared" si="9"/>
        <v>0</v>
      </c>
      <c r="K25" s="556">
        <f>'[9]Formatted for MFP'!G24</f>
        <v>15</v>
      </c>
      <c r="L25" s="1188">
        <f t="shared" si="10"/>
        <v>25000</v>
      </c>
      <c r="M25" s="1189">
        <f>IFERROR(VLOOKUP(B25,[10]Allocation_eGMS!$A$8:$E$93,5,FALSE),0)</f>
        <v>0</v>
      </c>
      <c r="N25" s="556">
        <f>'[11]7-12 by LEA'!K27</f>
        <v>1165</v>
      </c>
      <c r="O25" s="1171">
        <f t="shared" si="4"/>
        <v>30290</v>
      </c>
      <c r="P25" s="1172">
        <f t="shared" si="5"/>
        <v>55290</v>
      </c>
      <c r="R25" s="556">
        <f>VLOOKUP(B25,'[12]Oct 1 MFP LEA MER'!$B$6:$M$74,12,FALSE)</f>
        <v>717</v>
      </c>
    </row>
    <row r="26" spans="1:18">
      <c r="A26" s="546">
        <f t="shared" si="6"/>
        <v>22</v>
      </c>
      <c r="B26" s="269">
        <v>22</v>
      </c>
      <c r="C26" s="270" t="s">
        <v>94</v>
      </c>
      <c r="D26" s="557">
        <v>0</v>
      </c>
      <c r="E26" s="1210">
        <f t="shared" si="3"/>
        <v>0</v>
      </c>
      <c r="F26" s="557"/>
      <c r="G26" s="1173">
        <f t="shared" si="7"/>
        <v>0</v>
      </c>
      <c r="H26" s="557"/>
      <c r="I26" s="1173">
        <f t="shared" si="8"/>
        <v>0</v>
      </c>
      <c r="J26" s="1203">
        <f t="shared" si="9"/>
        <v>0</v>
      </c>
      <c r="K26" s="557">
        <f>'[9]Formatted for MFP'!G25</f>
        <v>105</v>
      </c>
      <c r="L26" s="1190">
        <f t="shared" si="10"/>
        <v>25000</v>
      </c>
      <c r="M26" s="1191">
        <f>IFERROR(VLOOKUP(B26,[10]Allocation_eGMS!$A$8:$E$93,5,FALSE),0)</f>
        <v>38361</v>
      </c>
      <c r="N26" s="557">
        <f>'[11]7-12 by LEA'!K28</f>
        <v>1380</v>
      </c>
      <c r="O26" s="1173">
        <f t="shared" si="4"/>
        <v>35880</v>
      </c>
      <c r="P26" s="1174">
        <f t="shared" si="5"/>
        <v>99241</v>
      </c>
      <c r="R26" s="557">
        <f>VLOOKUP(B26,'[12]Oct 1 MFP LEA MER'!$B$6:$M$74,12,FALSE)</f>
        <v>931</v>
      </c>
    </row>
    <row r="27" spans="1:18">
      <c r="A27" s="546">
        <f t="shared" si="6"/>
        <v>23</v>
      </c>
      <c r="B27" s="269">
        <v>23</v>
      </c>
      <c r="C27" s="270" t="s">
        <v>95</v>
      </c>
      <c r="D27" s="557">
        <v>9</v>
      </c>
      <c r="E27" s="1210">
        <f t="shared" si="3"/>
        <v>189000</v>
      </c>
      <c r="F27" s="557">
        <v>3</v>
      </c>
      <c r="G27" s="1173">
        <f t="shared" si="7"/>
        <v>18000</v>
      </c>
      <c r="H27" s="557">
        <v>3</v>
      </c>
      <c r="I27" s="1173">
        <f t="shared" si="8"/>
        <v>12000</v>
      </c>
      <c r="J27" s="1203">
        <f t="shared" si="9"/>
        <v>30000</v>
      </c>
      <c r="K27" s="557">
        <f>'[9]Formatted for MFP'!G26</f>
        <v>435</v>
      </c>
      <c r="L27" s="1190">
        <f t="shared" si="10"/>
        <v>103530</v>
      </c>
      <c r="M27" s="1191">
        <f>IFERROR(VLOOKUP(B27,[10]Allocation_eGMS!$A$8:$E$93,5,FALSE),0)</f>
        <v>55005</v>
      </c>
      <c r="N27" s="557">
        <f>'[11]7-12 by LEA'!K29</f>
        <v>5797</v>
      </c>
      <c r="O27" s="1173">
        <f t="shared" si="4"/>
        <v>150722</v>
      </c>
      <c r="P27" s="1174">
        <f t="shared" si="5"/>
        <v>528257</v>
      </c>
      <c r="R27" s="557">
        <f>VLOOKUP(B27,'[12]Oct 1 MFP LEA MER'!$B$6:$M$74,12,FALSE)</f>
        <v>3801</v>
      </c>
    </row>
    <row r="28" spans="1:18">
      <c r="A28" s="546">
        <f t="shared" si="6"/>
        <v>24</v>
      </c>
      <c r="B28" s="269">
        <v>24</v>
      </c>
      <c r="C28" s="270" t="s">
        <v>96</v>
      </c>
      <c r="D28" s="557">
        <v>0</v>
      </c>
      <c r="E28" s="1210">
        <f t="shared" si="3"/>
        <v>0</v>
      </c>
      <c r="F28" s="557"/>
      <c r="G28" s="1173">
        <f t="shared" si="7"/>
        <v>0</v>
      </c>
      <c r="H28" s="557"/>
      <c r="I28" s="1173">
        <f t="shared" si="8"/>
        <v>0</v>
      </c>
      <c r="J28" s="1203">
        <f t="shared" si="9"/>
        <v>0</v>
      </c>
      <c r="K28" s="557">
        <f>'[9]Formatted for MFP'!G27</f>
        <v>99</v>
      </c>
      <c r="L28" s="1190">
        <f t="shared" si="10"/>
        <v>25000</v>
      </c>
      <c r="M28" s="1191">
        <f>IFERROR(VLOOKUP(B28,[10]Allocation_eGMS!$A$8:$E$93,5,FALSE),0)</f>
        <v>0</v>
      </c>
      <c r="N28" s="557">
        <f>'[11]7-12 by LEA'!K30</f>
        <v>1876</v>
      </c>
      <c r="O28" s="1173">
        <f t="shared" si="4"/>
        <v>48776</v>
      </c>
      <c r="P28" s="1174">
        <f t="shared" si="5"/>
        <v>73776</v>
      </c>
      <c r="R28" s="557">
        <f>VLOOKUP(B28,'[12]Oct 1 MFP LEA MER'!$B$6:$M$74,12,FALSE)</f>
        <v>1129</v>
      </c>
    </row>
    <row r="29" spans="1:18">
      <c r="A29" s="546">
        <f t="shared" si="6"/>
        <v>25</v>
      </c>
      <c r="B29" s="141">
        <v>25</v>
      </c>
      <c r="C29" s="142" t="s">
        <v>97</v>
      </c>
      <c r="D29" s="558">
        <v>0</v>
      </c>
      <c r="E29" s="1211">
        <f t="shared" si="3"/>
        <v>0</v>
      </c>
      <c r="F29" s="558"/>
      <c r="G29" s="1175">
        <f t="shared" si="7"/>
        <v>0</v>
      </c>
      <c r="H29" s="558"/>
      <c r="I29" s="1175">
        <f t="shared" si="8"/>
        <v>0</v>
      </c>
      <c r="J29" s="1204">
        <f t="shared" si="9"/>
        <v>0</v>
      </c>
      <c r="K29" s="558">
        <f>'[9]Formatted for MFP'!G28</f>
        <v>158</v>
      </c>
      <c r="L29" s="1192">
        <f t="shared" si="10"/>
        <v>37604</v>
      </c>
      <c r="M29" s="1193">
        <f>IFERROR(VLOOKUP(B29,[10]Allocation_eGMS!$A$8:$E$93,5,FALSE),0)</f>
        <v>16369</v>
      </c>
      <c r="N29" s="558">
        <f>'[11]7-12 by LEA'!K31</f>
        <v>909</v>
      </c>
      <c r="O29" s="1175">
        <f t="shared" si="4"/>
        <v>23634</v>
      </c>
      <c r="P29" s="1176">
        <f t="shared" si="5"/>
        <v>77607</v>
      </c>
      <c r="R29" s="558">
        <f>VLOOKUP(B29,'[12]Oct 1 MFP LEA MER'!$B$6:$M$74,12,FALSE)</f>
        <v>577</v>
      </c>
    </row>
    <row r="30" spans="1:18">
      <c r="A30" s="546">
        <f t="shared" si="6"/>
        <v>26</v>
      </c>
      <c r="B30" s="267">
        <v>26</v>
      </c>
      <c r="C30" s="268" t="s">
        <v>98</v>
      </c>
      <c r="D30" s="556">
        <v>11</v>
      </c>
      <c r="E30" s="1209">
        <f t="shared" si="3"/>
        <v>231000</v>
      </c>
      <c r="F30" s="556">
        <v>1</v>
      </c>
      <c r="G30" s="1171">
        <f t="shared" si="7"/>
        <v>6000</v>
      </c>
      <c r="H30" s="556">
        <v>1</v>
      </c>
      <c r="I30" s="1171">
        <f t="shared" si="8"/>
        <v>4000</v>
      </c>
      <c r="J30" s="1202">
        <f t="shared" si="9"/>
        <v>10000</v>
      </c>
      <c r="K30" s="556">
        <f>'[9]Formatted for MFP'!G29</f>
        <v>1114</v>
      </c>
      <c r="L30" s="1188">
        <f t="shared" si="10"/>
        <v>265132</v>
      </c>
      <c r="M30" s="1189">
        <f>IFERROR(VLOOKUP(B30,[10]Allocation_eGMS!$A$8:$E$93,5,FALSE),0)</f>
        <v>187457</v>
      </c>
      <c r="N30" s="556">
        <f>'[11]7-12 by LEA'!K32</f>
        <v>17824</v>
      </c>
      <c r="O30" s="1171">
        <f t="shared" si="4"/>
        <v>463424</v>
      </c>
      <c r="P30" s="1172">
        <f t="shared" si="5"/>
        <v>1157013</v>
      </c>
      <c r="R30" s="556">
        <f>VLOOKUP(B30,'[12]Oct 1 MFP LEA MER'!$B$6:$M$74,12,FALSE)</f>
        <v>12084</v>
      </c>
    </row>
    <row r="31" spans="1:18">
      <c r="A31" s="546">
        <f t="shared" si="6"/>
        <v>27</v>
      </c>
      <c r="B31" s="269">
        <v>27</v>
      </c>
      <c r="C31" s="270" t="s">
        <v>99</v>
      </c>
      <c r="D31" s="557">
        <v>0</v>
      </c>
      <c r="E31" s="1210">
        <f t="shared" si="3"/>
        <v>0</v>
      </c>
      <c r="F31" s="557"/>
      <c r="G31" s="1173">
        <f t="shared" si="7"/>
        <v>0</v>
      </c>
      <c r="H31" s="557"/>
      <c r="I31" s="1173">
        <f t="shared" si="8"/>
        <v>0</v>
      </c>
      <c r="J31" s="1203">
        <f t="shared" si="9"/>
        <v>0</v>
      </c>
      <c r="K31" s="557">
        <f>'[9]Formatted for MFP'!G30</f>
        <v>52</v>
      </c>
      <c r="L31" s="1190">
        <f t="shared" si="10"/>
        <v>25000</v>
      </c>
      <c r="M31" s="1191">
        <f>IFERROR(VLOOKUP(B31,[10]Allocation_eGMS!$A$8:$E$93,5,FALSE),0)</f>
        <v>0</v>
      </c>
      <c r="N31" s="557">
        <f>'[11]7-12 by LEA'!K33</f>
        <v>2507</v>
      </c>
      <c r="O31" s="1173">
        <f t="shared" si="4"/>
        <v>65182</v>
      </c>
      <c r="P31" s="1174">
        <f t="shared" si="5"/>
        <v>90182</v>
      </c>
      <c r="R31" s="557">
        <f>VLOOKUP(B31,'[12]Oct 1 MFP LEA MER'!$B$6:$M$74,12,FALSE)</f>
        <v>1634</v>
      </c>
    </row>
    <row r="32" spans="1:18">
      <c r="A32" s="546">
        <f t="shared" si="6"/>
        <v>28</v>
      </c>
      <c r="B32" s="269">
        <v>28</v>
      </c>
      <c r="C32" s="270" t="s">
        <v>100</v>
      </c>
      <c r="D32" s="557">
        <v>35</v>
      </c>
      <c r="E32" s="1210">
        <f t="shared" si="3"/>
        <v>735000</v>
      </c>
      <c r="F32" s="557">
        <v>12</v>
      </c>
      <c r="G32" s="1173">
        <f t="shared" si="7"/>
        <v>72000</v>
      </c>
      <c r="H32" s="557">
        <v>8</v>
      </c>
      <c r="I32" s="1173">
        <f t="shared" si="8"/>
        <v>32000</v>
      </c>
      <c r="J32" s="1203">
        <f t="shared" si="9"/>
        <v>104000</v>
      </c>
      <c r="K32" s="557">
        <f>'[9]Formatted for MFP'!G31</f>
        <v>532</v>
      </c>
      <c r="L32" s="1190">
        <f t="shared" si="10"/>
        <v>126616</v>
      </c>
      <c r="M32" s="1191">
        <f>IFERROR(VLOOKUP(B32,[10]Allocation_eGMS!$A$8:$E$93,5,FALSE),0)</f>
        <v>0</v>
      </c>
      <c r="N32" s="557">
        <f>'[11]7-12 by LEA'!K34</f>
        <v>12906</v>
      </c>
      <c r="O32" s="1173">
        <f t="shared" si="4"/>
        <v>335556</v>
      </c>
      <c r="P32" s="1174">
        <f t="shared" si="5"/>
        <v>1301172</v>
      </c>
      <c r="R32" s="557">
        <f>VLOOKUP(B32,'[12]Oct 1 MFP LEA MER'!$B$6:$M$74,12,FALSE)</f>
        <v>8693</v>
      </c>
    </row>
    <row r="33" spans="1:18">
      <c r="A33" s="546">
        <f t="shared" si="6"/>
        <v>29</v>
      </c>
      <c r="B33" s="269">
        <v>29</v>
      </c>
      <c r="C33" s="270" t="s">
        <v>101</v>
      </c>
      <c r="D33" s="557">
        <v>31</v>
      </c>
      <c r="E33" s="1210">
        <f t="shared" si="3"/>
        <v>651000</v>
      </c>
      <c r="F33" s="557">
        <v>8</v>
      </c>
      <c r="G33" s="1173">
        <f t="shared" si="7"/>
        <v>48000</v>
      </c>
      <c r="H33" s="557">
        <v>7</v>
      </c>
      <c r="I33" s="1173">
        <f t="shared" si="8"/>
        <v>28000</v>
      </c>
      <c r="J33" s="1203">
        <f t="shared" si="9"/>
        <v>76000</v>
      </c>
      <c r="K33" s="557">
        <f>'[9]Formatted for MFP'!G32</f>
        <v>400</v>
      </c>
      <c r="L33" s="1190">
        <f t="shared" si="10"/>
        <v>95200</v>
      </c>
      <c r="M33" s="1191">
        <f>IFERROR(VLOOKUP(B33,[10]Allocation_eGMS!$A$8:$E$93,5,FALSE),0)</f>
        <v>0</v>
      </c>
      <c r="N33" s="557">
        <f>'[11]7-12 by LEA'!K35</f>
        <v>5859</v>
      </c>
      <c r="O33" s="1173">
        <f t="shared" si="4"/>
        <v>152334</v>
      </c>
      <c r="P33" s="1174">
        <f t="shared" si="5"/>
        <v>974534</v>
      </c>
      <c r="R33" s="557">
        <f>VLOOKUP(B33,'[12]Oct 1 MFP LEA MER'!$B$6:$M$74,12,FALSE)</f>
        <v>3996</v>
      </c>
    </row>
    <row r="34" spans="1:18">
      <c r="A34" s="546">
        <f t="shared" si="6"/>
        <v>30</v>
      </c>
      <c r="B34" s="141">
        <v>30</v>
      </c>
      <c r="C34" s="142" t="s">
        <v>102</v>
      </c>
      <c r="D34" s="558">
        <v>0</v>
      </c>
      <c r="E34" s="1211">
        <f t="shared" si="3"/>
        <v>0</v>
      </c>
      <c r="F34" s="558"/>
      <c r="G34" s="1175">
        <f t="shared" si="7"/>
        <v>0</v>
      </c>
      <c r="H34" s="558"/>
      <c r="I34" s="1175">
        <f t="shared" si="8"/>
        <v>0</v>
      </c>
      <c r="J34" s="1204">
        <f t="shared" si="9"/>
        <v>0</v>
      </c>
      <c r="K34" s="558">
        <f>'[9]Formatted for MFP'!G33</f>
        <v>102</v>
      </c>
      <c r="L34" s="1192">
        <f t="shared" si="10"/>
        <v>25000</v>
      </c>
      <c r="M34" s="1193">
        <f>IFERROR(VLOOKUP(B34,[10]Allocation_eGMS!$A$8:$E$93,5,FALSE),0)</f>
        <v>30584</v>
      </c>
      <c r="N34" s="558">
        <f>'[11]7-12 by LEA'!K36</f>
        <v>1074</v>
      </c>
      <c r="O34" s="1175">
        <f t="shared" si="4"/>
        <v>27924</v>
      </c>
      <c r="P34" s="1176">
        <f t="shared" si="5"/>
        <v>83508</v>
      </c>
      <c r="R34" s="558">
        <f>VLOOKUP(B34,'[12]Oct 1 MFP LEA MER'!$B$6:$M$74,12,FALSE)</f>
        <v>750</v>
      </c>
    </row>
    <row r="35" spans="1:18">
      <c r="A35" s="546">
        <f t="shared" si="6"/>
        <v>31</v>
      </c>
      <c r="B35" s="267">
        <v>31</v>
      </c>
      <c r="C35" s="268" t="s">
        <v>103</v>
      </c>
      <c r="D35" s="556">
        <v>0</v>
      </c>
      <c r="E35" s="1209">
        <f t="shared" si="3"/>
        <v>0</v>
      </c>
      <c r="F35" s="556"/>
      <c r="G35" s="1171">
        <f t="shared" si="7"/>
        <v>0</v>
      </c>
      <c r="H35" s="556"/>
      <c r="I35" s="1171">
        <f t="shared" si="8"/>
        <v>0</v>
      </c>
      <c r="J35" s="1202">
        <f t="shared" si="9"/>
        <v>0</v>
      </c>
      <c r="K35" s="556">
        <f>'[9]Formatted for MFP'!G34</f>
        <v>80</v>
      </c>
      <c r="L35" s="1188">
        <f t="shared" si="10"/>
        <v>25000</v>
      </c>
      <c r="M35" s="1189">
        <f>IFERROR(VLOOKUP(B35,[10]Allocation_eGMS!$A$8:$E$93,5,FALSE),0)</f>
        <v>19541</v>
      </c>
      <c r="N35" s="556">
        <f>'[11]7-12 by LEA'!K37</f>
        <v>2805</v>
      </c>
      <c r="O35" s="1171">
        <f t="shared" si="4"/>
        <v>72930</v>
      </c>
      <c r="P35" s="1172">
        <f t="shared" si="5"/>
        <v>117471</v>
      </c>
      <c r="R35" s="556">
        <f>VLOOKUP(B35,'[12]Oct 1 MFP LEA MER'!$B$6:$M$74,12,FALSE)</f>
        <v>1848</v>
      </c>
    </row>
    <row r="36" spans="1:18">
      <c r="A36" s="546">
        <f t="shared" si="6"/>
        <v>32</v>
      </c>
      <c r="B36" s="269">
        <v>32</v>
      </c>
      <c r="C36" s="270" t="s">
        <v>104</v>
      </c>
      <c r="D36" s="557">
        <v>0</v>
      </c>
      <c r="E36" s="1210">
        <f t="shared" si="3"/>
        <v>0</v>
      </c>
      <c r="F36" s="557"/>
      <c r="G36" s="1173">
        <f t="shared" si="7"/>
        <v>0</v>
      </c>
      <c r="H36" s="557"/>
      <c r="I36" s="1173">
        <f t="shared" si="8"/>
        <v>0</v>
      </c>
      <c r="J36" s="1203">
        <f t="shared" si="9"/>
        <v>0</v>
      </c>
      <c r="K36" s="557">
        <f>'[9]Formatted for MFP'!G35</f>
        <v>2721.5</v>
      </c>
      <c r="L36" s="1190">
        <f t="shared" si="10"/>
        <v>647717</v>
      </c>
      <c r="M36" s="1191">
        <f>IFERROR(VLOOKUP(B36,[10]Allocation_eGMS!$A$8:$E$93,5,FALSE),0)</f>
        <v>6333</v>
      </c>
      <c r="N36" s="557">
        <f>'[11]7-12 by LEA'!K38</f>
        <v>10744</v>
      </c>
      <c r="O36" s="1173">
        <f t="shared" si="4"/>
        <v>279344</v>
      </c>
      <c r="P36" s="1174">
        <f t="shared" si="5"/>
        <v>933394</v>
      </c>
      <c r="R36" s="557">
        <f>VLOOKUP(B36,'[12]Oct 1 MFP LEA MER'!$B$6:$M$74,12,FALSE)</f>
        <v>6975</v>
      </c>
    </row>
    <row r="37" spans="1:18">
      <c r="A37" s="546">
        <f t="shared" si="6"/>
        <v>33</v>
      </c>
      <c r="B37" s="269">
        <v>33</v>
      </c>
      <c r="C37" s="270" t="s">
        <v>105</v>
      </c>
      <c r="D37" s="557">
        <v>0</v>
      </c>
      <c r="E37" s="1210">
        <f t="shared" si="3"/>
        <v>0</v>
      </c>
      <c r="F37" s="557"/>
      <c r="G37" s="1173">
        <f t="shared" si="7"/>
        <v>0</v>
      </c>
      <c r="H37" s="557"/>
      <c r="I37" s="1173">
        <f t="shared" si="8"/>
        <v>0</v>
      </c>
      <c r="J37" s="1203">
        <f t="shared" si="9"/>
        <v>0</v>
      </c>
      <c r="K37" s="557">
        <f>'[9]Formatted for MFP'!G36</f>
        <v>67</v>
      </c>
      <c r="L37" s="1190">
        <f t="shared" si="10"/>
        <v>25000</v>
      </c>
      <c r="M37" s="1191">
        <f>IFERROR(VLOOKUP(B37,[10]Allocation_eGMS!$A$8:$E$93,5,FALSE),0)</f>
        <v>0</v>
      </c>
      <c r="N37" s="557">
        <f>'[11]7-12 by LEA'!K39</f>
        <v>743</v>
      </c>
      <c r="O37" s="1173">
        <f t="shared" ref="O37:O68" si="11">ROUND(N37*$O$3,0)</f>
        <v>19318</v>
      </c>
      <c r="P37" s="1174">
        <f t="shared" ref="P37:P68" si="12">+L37+J37+E37+M37+O37</f>
        <v>44318</v>
      </c>
      <c r="R37" s="557">
        <f>VLOOKUP(B37,'[12]Oct 1 MFP LEA MER'!$B$6:$M$74,12,FALSE)</f>
        <v>504</v>
      </c>
    </row>
    <row r="38" spans="1:18">
      <c r="A38" s="546">
        <f t="shared" si="6"/>
        <v>34</v>
      </c>
      <c r="B38" s="269">
        <v>34</v>
      </c>
      <c r="C38" s="270" t="s">
        <v>106</v>
      </c>
      <c r="D38" s="557">
        <v>0</v>
      </c>
      <c r="E38" s="1210">
        <f t="shared" si="3"/>
        <v>0</v>
      </c>
      <c r="F38" s="557"/>
      <c r="G38" s="1173">
        <f t="shared" si="7"/>
        <v>0</v>
      </c>
      <c r="H38" s="557"/>
      <c r="I38" s="1173">
        <f t="shared" si="8"/>
        <v>0</v>
      </c>
      <c r="J38" s="1203">
        <f t="shared" si="9"/>
        <v>0</v>
      </c>
      <c r="K38" s="557">
        <f>'[9]Formatted for MFP'!G37</f>
        <v>99</v>
      </c>
      <c r="L38" s="1190">
        <f t="shared" si="10"/>
        <v>25000</v>
      </c>
      <c r="M38" s="1191">
        <f>IFERROR(VLOOKUP(B38,[10]Allocation_eGMS!$A$8:$E$93,5,FALSE),0)</f>
        <v>0</v>
      </c>
      <c r="N38" s="557">
        <f>'[11]7-12 by LEA'!K40</f>
        <v>1767</v>
      </c>
      <c r="O38" s="1173">
        <f t="shared" si="11"/>
        <v>45942</v>
      </c>
      <c r="P38" s="1174">
        <f t="shared" si="12"/>
        <v>70942</v>
      </c>
      <c r="R38" s="557">
        <f>VLOOKUP(B38,'[12]Oct 1 MFP LEA MER'!$B$6:$M$74,12,FALSE)</f>
        <v>1100</v>
      </c>
    </row>
    <row r="39" spans="1:18">
      <c r="A39" s="546">
        <f t="shared" si="6"/>
        <v>35</v>
      </c>
      <c r="B39" s="141">
        <v>35</v>
      </c>
      <c r="C39" s="142" t="s">
        <v>107</v>
      </c>
      <c r="D39" s="558">
        <v>0</v>
      </c>
      <c r="E39" s="1211">
        <f t="shared" si="3"/>
        <v>0</v>
      </c>
      <c r="F39" s="558"/>
      <c r="G39" s="1175">
        <f t="shared" si="7"/>
        <v>0</v>
      </c>
      <c r="H39" s="558"/>
      <c r="I39" s="1175">
        <f t="shared" si="8"/>
        <v>0</v>
      </c>
      <c r="J39" s="1204">
        <f t="shared" si="9"/>
        <v>0</v>
      </c>
      <c r="K39" s="558">
        <f>'[9]Formatted for MFP'!G38</f>
        <v>140</v>
      </c>
      <c r="L39" s="1192">
        <f t="shared" si="10"/>
        <v>33320</v>
      </c>
      <c r="M39" s="1193">
        <f>IFERROR(VLOOKUP(B39,[10]Allocation_eGMS!$A$8:$E$93,5,FALSE),0)</f>
        <v>0</v>
      </c>
      <c r="N39" s="558">
        <f>'[11]7-12 by LEA'!K41</f>
        <v>2677</v>
      </c>
      <c r="O39" s="1175">
        <f t="shared" si="11"/>
        <v>69602</v>
      </c>
      <c r="P39" s="1176">
        <f t="shared" si="12"/>
        <v>102922</v>
      </c>
      <c r="R39" s="558">
        <f>VLOOKUP(B39,'[12]Oct 1 MFP LEA MER'!$B$6:$M$74,12,FALSE)</f>
        <v>1739</v>
      </c>
    </row>
    <row r="40" spans="1:18">
      <c r="A40" s="546">
        <f t="shared" si="6"/>
        <v>36</v>
      </c>
      <c r="B40" s="267">
        <v>36</v>
      </c>
      <c r="C40" s="268" t="s">
        <v>108</v>
      </c>
      <c r="D40" s="556">
        <v>27</v>
      </c>
      <c r="E40" s="1209">
        <f t="shared" si="3"/>
        <v>567000</v>
      </c>
      <c r="F40" s="556">
        <v>6</v>
      </c>
      <c r="G40" s="1171">
        <f t="shared" si="7"/>
        <v>36000</v>
      </c>
      <c r="H40" s="556">
        <v>7</v>
      </c>
      <c r="I40" s="1171">
        <f t="shared" si="8"/>
        <v>28000</v>
      </c>
      <c r="J40" s="1202">
        <f t="shared" si="9"/>
        <v>64000</v>
      </c>
      <c r="K40" s="556">
        <f>'[9]Formatted for MFP'!G39</f>
        <v>0</v>
      </c>
      <c r="L40" s="1188">
        <f t="shared" si="10"/>
        <v>25000</v>
      </c>
      <c r="M40" s="1189">
        <f>IFERROR(VLOOKUP(B40,[10]Allocation_eGMS!$A$8:$E$93,5,FALSE),0)</f>
        <v>142140</v>
      </c>
      <c r="N40" s="556">
        <f>'[11]7-12 by LEA'!K42</f>
        <v>6556</v>
      </c>
      <c r="O40" s="1171">
        <f t="shared" si="11"/>
        <v>170456</v>
      </c>
      <c r="P40" s="1172">
        <f t="shared" si="12"/>
        <v>968596</v>
      </c>
      <c r="R40" s="556">
        <f>VLOOKUP(B40,'[12]Oct 1 MFP LEA MER'!$B$6:$M$74,12,FALSE)</f>
        <v>5379</v>
      </c>
    </row>
    <row r="41" spans="1:18">
      <c r="A41" s="546">
        <f t="shared" si="6"/>
        <v>37</v>
      </c>
      <c r="B41" s="269">
        <v>37</v>
      </c>
      <c r="C41" s="270" t="s">
        <v>109</v>
      </c>
      <c r="D41" s="557">
        <v>1</v>
      </c>
      <c r="E41" s="1210">
        <f t="shared" si="3"/>
        <v>21000</v>
      </c>
      <c r="F41" s="557"/>
      <c r="G41" s="1173">
        <f t="shared" si="7"/>
        <v>0</v>
      </c>
      <c r="H41" s="557"/>
      <c r="I41" s="1173">
        <f t="shared" si="8"/>
        <v>0</v>
      </c>
      <c r="J41" s="1203">
        <f t="shared" si="9"/>
        <v>0</v>
      </c>
      <c r="K41" s="557">
        <f>'[9]Formatted for MFP'!G40</f>
        <v>240.5</v>
      </c>
      <c r="L41" s="1190">
        <f t="shared" si="10"/>
        <v>57239</v>
      </c>
      <c r="M41" s="1191">
        <f>IFERROR(VLOOKUP(B41,[10]Allocation_eGMS!$A$8:$E$93,5,FALSE),0)</f>
        <v>0</v>
      </c>
      <c r="N41" s="557">
        <f>'[11]7-12 by LEA'!K43</f>
        <v>8497</v>
      </c>
      <c r="O41" s="1173">
        <f t="shared" si="11"/>
        <v>220922</v>
      </c>
      <c r="P41" s="1174">
        <f t="shared" si="12"/>
        <v>299161</v>
      </c>
      <c r="R41" s="557">
        <f>VLOOKUP(B41,'[12]Oct 1 MFP LEA MER'!$B$6:$M$74,12,FALSE)</f>
        <v>5595</v>
      </c>
    </row>
    <row r="42" spans="1:18">
      <c r="A42" s="546">
        <f t="shared" si="6"/>
        <v>38</v>
      </c>
      <c r="B42" s="269">
        <v>38</v>
      </c>
      <c r="C42" s="270" t="s">
        <v>110</v>
      </c>
      <c r="D42" s="557">
        <v>3</v>
      </c>
      <c r="E42" s="1210">
        <f t="shared" si="3"/>
        <v>63000</v>
      </c>
      <c r="F42" s="557"/>
      <c r="G42" s="1173">
        <f t="shared" si="7"/>
        <v>0</v>
      </c>
      <c r="H42" s="557"/>
      <c r="I42" s="1173">
        <f t="shared" si="8"/>
        <v>0</v>
      </c>
      <c r="J42" s="1203">
        <f t="shared" si="9"/>
        <v>0</v>
      </c>
      <c r="K42" s="557">
        <f>'[9]Formatted for MFP'!G41</f>
        <v>27</v>
      </c>
      <c r="L42" s="1190">
        <f t="shared" si="10"/>
        <v>25000</v>
      </c>
      <c r="M42" s="1191">
        <f>IFERROR(VLOOKUP(B42,[10]Allocation_eGMS!$A$8:$E$93,5,FALSE),0)</f>
        <v>0</v>
      </c>
      <c r="N42" s="557">
        <f>'[11]7-12 by LEA'!K44</f>
        <v>1704</v>
      </c>
      <c r="O42" s="1173">
        <f t="shared" si="11"/>
        <v>44304</v>
      </c>
      <c r="P42" s="1174">
        <f t="shared" si="12"/>
        <v>132304</v>
      </c>
      <c r="R42" s="557">
        <f>VLOOKUP(B42,'[12]Oct 1 MFP LEA MER'!$B$6:$M$74,12,FALSE)</f>
        <v>1195</v>
      </c>
    </row>
    <row r="43" spans="1:18">
      <c r="A43" s="546">
        <f t="shared" si="6"/>
        <v>39</v>
      </c>
      <c r="B43" s="269">
        <v>39</v>
      </c>
      <c r="C43" s="270" t="s">
        <v>111</v>
      </c>
      <c r="D43" s="557">
        <v>1</v>
      </c>
      <c r="E43" s="1210">
        <f t="shared" si="3"/>
        <v>21000</v>
      </c>
      <c r="F43" s="557"/>
      <c r="G43" s="1173">
        <f t="shared" si="7"/>
        <v>0</v>
      </c>
      <c r="H43" s="557"/>
      <c r="I43" s="1173">
        <f t="shared" si="8"/>
        <v>0</v>
      </c>
      <c r="J43" s="1203">
        <f t="shared" si="9"/>
        <v>0</v>
      </c>
      <c r="K43" s="557">
        <f>'[9]Formatted for MFP'!G42</f>
        <v>68</v>
      </c>
      <c r="L43" s="1190">
        <f t="shared" si="10"/>
        <v>25000</v>
      </c>
      <c r="M43" s="1191">
        <f>IFERROR(VLOOKUP(B43,[10]Allocation_eGMS!$A$8:$E$93,5,FALSE),0)</f>
        <v>9256</v>
      </c>
      <c r="N43" s="557">
        <f>'[11]7-12 by LEA'!K45</f>
        <v>1008</v>
      </c>
      <c r="O43" s="1173">
        <f t="shared" si="11"/>
        <v>26208</v>
      </c>
      <c r="P43" s="1174">
        <f t="shared" si="12"/>
        <v>81464</v>
      </c>
      <c r="R43" s="557">
        <f>VLOOKUP(B43,'[12]Oct 1 MFP LEA MER'!$B$6:$M$74,12,FALSE)</f>
        <v>759</v>
      </c>
    </row>
    <row r="44" spans="1:18">
      <c r="A44" s="546">
        <f t="shared" si="6"/>
        <v>40</v>
      </c>
      <c r="B44" s="141">
        <v>40</v>
      </c>
      <c r="C44" s="142" t="s">
        <v>112</v>
      </c>
      <c r="D44" s="558">
        <v>0</v>
      </c>
      <c r="E44" s="1211">
        <f t="shared" si="3"/>
        <v>0</v>
      </c>
      <c r="F44" s="558"/>
      <c r="G44" s="1175">
        <f t="shared" si="7"/>
        <v>0</v>
      </c>
      <c r="H44" s="558"/>
      <c r="I44" s="1175">
        <f t="shared" si="8"/>
        <v>0</v>
      </c>
      <c r="J44" s="1204">
        <f t="shared" si="9"/>
        <v>0</v>
      </c>
      <c r="K44" s="558">
        <f>'[9]Formatted for MFP'!G43</f>
        <v>622.5</v>
      </c>
      <c r="L44" s="1192">
        <f t="shared" si="10"/>
        <v>148155</v>
      </c>
      <c r="M44" s="1193">
        <f>IFERROR(VLOOKUP(B44,[10]Allocation_eGMS!$A$8:$E$93,5,FALSE),0)</f>
        <v>260731</v>
      </c>
      <c r="N44" s="558">
        <f>'[11]7-12 by LEA'!K46</f>
        <v>10039</v>
      </c>
      <c r="O44" s="1175">
        <f t="shared" si="11"/>
        <v>261014</v>
      </c>
      <c r="P44" s="1176">
        <f t="shared" si="12"/>
        <v>669900</v>
      </c>
      <c r="R44" s="558">
        <f>VLOOKUP(B44,'[12]Oct 1 MFP LEA MER'!$B$6:$M$74,12,FALSE)</f>
        <v>6375</v>
      </c>
    </row>
    <row r="45" spans="1:18">
      <c r="A45" s="546">
        <f t="shared" si="6"/>
        <v>41</v>
      </c>
      <c r="B45" s="267">
        <v>41</v>
      </c>
      <c r="C45" s="268" t="s">
        <v>113</v>
      </c>
      <c r="D45" s="556">
        <v>0</v>
      </c>
      <c r="E45" s="1209">
        <f t="shared" si="3"/>
        <v>0</v>
      </c>
      <c r="F45" s="556"/>
      <c r="G45" s="1171">
        <f t="shared" si="7"/>
        <v>0</v>
      </c>
      <c r="H45" s="556"/>
      <c r="I45" s="1171">
        <f t="shared" si="8"/>
        <v>0</v>
      </c>
      <c r="J45" s="1202">
        <f t="shared" si="9"/>
        <v>0</v>
      </c>
      <c r="K45" s="556">
        <f>'[9]Formatted for MFP'!G44</f>
        <v>48</v>
      </c>
      <c r="L45" s="1188">
        <f t="shared" si="10"/>
        <v>25000</v>
      </c>
      <c r="M45" s="1189">
        <f>IFERROR(VLOOKUP(B45,[10]Allocation_eGMS!$A$8:$E$93,5,FALSE),0)</f>
        <v>0</v>
      </c>
      <c r="N45" s="556">
        <f>'[11]7-12 by LEA'!K47</f>
        <v>622</v>
      </c>
      <c r="O45" s="1171">
        <f t="shared" si="11"/>
        <v>16172</v>
      </c>
      <c r="P45" s="1172">
        <f t="shared" si="12"/>
        <v>41172</v>
      </c>
      <c r="R45" s="556">
        <f>VLOOKUP(B45,'[12]Oct 1 MFP LEA MER'!$B$6:$M$74,12,FALSE)</f>
        <v>371</v>
      </c>
    </row>
    <row r="46" spans="1:18">
      <c r="A46" s="546">
        <f t="shared" si="6"/>
        <v>42</v>
      </c>
      <c r="B46" s="269">
        <v>42</v>
      </c>
      <c r="C46" s="270" t="s">
        <v>114</v>
      </c>
      <c r="D46" s="557">
        <v>0</v>
      </c>
      <c r="E46" s="1210">
        <f t="shared" si="3"/>
        <v>0</v>
      </c>
      <c r="F46" s="557"/>
      <c r="G46" s="1173">
        <f t="shared" si="7"/>
        <v>0</v>
      </c>
      <c r="H46" s="557"/>
      <c r="I46" s="1173">
        <f t="shared" si="8"/>
        <v>0</v>
      </c>
      <c r="J46" s="1203">
        <f t="shared" si="9"/>
        <v>0</v>
      </c>
      <c r="K46" s="557">
        <f>'[9]Formatted for MFP'!G45</f>
        <v>135</v>
      </c>
      <c r="L46" s="1190">
        <f t="shared" si="10"/>
        <v>32130</v>
      </c>
      <c r="M46" s="1191">
        <f>IFERROR(VLOOKUP(B46,[10]Allocation_eGMS!$A$8:$E$93,5,FALSE),0)</f>
        <v>29161</v>
      </c>
      <c r="N46" s="557">
        <f>'[11]7-12 by LEA'!K48</f>
        <v>1428</v>
      </c>
      <c r="O46" s="1173">
        <f t="shared" si="11"/>
        <v>37128</v>
      </c>
      <c r="P46" s="1174">
        <f t="shared" si="12"/>
        <v>98419</v>
      </c>
      <c r="R46" s="557">
        <f>VLOOKUP(B46,'[12]Oct 1 MFP LEA MER'!$B$6:$M$74,12,FALSE)</f>
        <v>893</v>
      </c>
    </row>
    <row r="47" spans="1:18">
      <c r="A47" s="546">
        <f t="shared" si="6"/>
        <v>43</v>
      </c>
      <c r="B47" s="269">
        <v>43</v>
      </c>
      <c r="C47" s="270" t="s">
        <v>115</v>
      </c>
      <c r="D47" s="557">
        <v>0</v>
      </c>
      <c r="E47" s="1210">
        <f t="shared" si="3"/>
        <v>0</v>
      </c>
      <c r="F47" s="557"/>
      <c r="G47" s="1173">
        <f t="shared" si="7"/>
        <v>0</v>
      </c>
      <c r="H47" s="557"/>
      <c r="I47" s="1173">
        <f t="shared" si="8"/>
        <v>0</v>
      </c>
      <c r="J47" s="1203">
        <f t="shared" si="9"/>
        <v>0</v>
      </c>
      <c r="K47" s="557">
        <f>'[9]Formatted for MFP'!G46</f>
        <v>71</v>
      </c>
      <c r="L47" s="1190">
        <f t="shared" si="10"/>
        <v>25000</v>
      </c>
      <c r="M47" s="1191">
        <f>IFERROR(VLOOKUP(B47,[10]Allocation_eGMS!$A$8:$E$93,5,FALSE),0)</f>
        <v>32691</v>
      </c>
      <c r="N47" s="557">
        <f>'[11]7-12 by LEA'!K49</f>
        <v>1715</v>
      </c>
      <c r="O47" s="1173">
        <f t="shared" si="11"/>
        <v>44590</v>
      </c>
      <c r="P47" s="1174">
        <f t="shared" si="12"/>
        <v>102281</v>
      </c>
      <c r="R47" s="557">
        <f>VLOOKUP(B47,'[12]Oct 1 MFP LEA MER'!$B$6:$M$74,12,FALSE)</f>
        <v>1113</v>
      </c>
    </row>
    <row r="48" spans="1:18">
      <c r="A48" s="546">
        <f t="shared" si="6"/>
        <v>44</v>
      </c>
      <c r="B48" s="269">
        <v>44</v>
      </c>
      <c r="C48" s="270" t="s">
        <v>116</v>
      </c>
      <c r="D48" s="557">
        <v>0</v>
      </c>
      <c r="E48" s="1210">
        <f t="shared" si="3"/>
        <v>0</v>
      </c>
      <c r="F48" s="557"/>
      <c r="G48" s="1173">
        <f t="shared" si="7"/>
        <v>0</v>
      </c>
      <c r="H48" s="557"/>
      <c r="I48" s="1173">
        <f t="shared" si="8"/>
        <v>0</v>
      </c>
      <c r="J48" s="1203">
        <f t="shared" si="9"/>
        <v>0</v>
      </c>
      <c r="K48" s="557">
        <f>'[9]Formatted for MFP'!G47</f>
        <v>49</v>
      </c>
      <c r="L48" s="1190">
        <f t="shared" si="10"/>
        <v>25000</v>
      </c>
      <c r="M48" s="1191">
        <f>IFERROR(VLOOKUP(B48,[10]Allocation_eGMS!$A$8:$E$93,5,FALSE),0)</f>
        <v>137341</v>
      </c>
      <c r="N48" s="557">
        <f>'[11]7-12 by LEA'!K50</f>
        <v>2620</v>
      </c>
      <c r="O48" s="1173">
        <f t="shared" si="11"/>
        <v>68120</v>
      </c>
      <c r="P48" s="1174">
        <f t="shared" si="12"/>
        <v>230461</v>
      </c>
      <c r="R48" s="557">
        <f>VLOOKUP(B48,'[12]Oct 1 MFP LEA MER'!$B$6:$M$74,12,FALSE)</f>
        <v>1794</v>
      </c>
    </row>
    <row r="49" spans="1:18">
      <c r="A49" s="546">
        <f t="shared" si="6"/>
        <v>45</v>
      </c>
      <c r="B49" s="141">
        <v>45</v>
      </c>
      <c r="C49" s="142" t="s">
        <v>117</v>
      </c>
      <c r="D49" s="558">
        <v>0</v>
      </c>
      <c r="E49" s="1211">
        <f t="shared" si="3"/>
        <v>0</v>
      </c>
      <c r="F49" s="558"/>
      <c r="G49" s="1175">
        <f t="shared" si="7"/>
        <v>0</v>
      </c>
      <c r="H49" s="558"/>
      <c r="I49" s="1175">
        <f t="shared" si="8"/>
        <v>0</v>
      </c>
      <c r="J49" s="1204">
        <f t="shared" si="9"/>
        <v>0</v>
      </c>
      <c r="K49" s="558">
        <f>'[9]Formatted for MFP'!G48</f>
        <v>318</v>
      </c>
      <c r="L49" s="1192">
        <f t="shared" si="10"/>
        <v>75684</v>
      </c>
      <c r="M49" s="1193">
        <f>IFERROR(VLOOKUP(B49,[10]Allocation_eGMS!$A$8:$E$93,5,FALSE),0)</f>
        <v>271362</v>
      </c>
      <c r="N49" s="558">
        <f>'[11]7-12 by LEA'!K51</f>
        <v>4366</v>
      </c>
      <c r="O49" s="1175">
        <f t="shared" si="11"/>
        <v>113516</v>
      </c>
      <c r="P49" s="1176">
        <f t="shared" si="12"/>
        <v>460562</v>
      </c>
      <c r="R49" s="558">
        <f>VLOOKUP(B49,'[12]Oct 1 MFP LEA MER'!$B$6:$M$74,12,FALSE)</f>
        <v>2942</v>
      </c>
    </row>
    <row r="50" spans="1:18">
      <c r="A50" s="546">
        <f t="shared" si="6"/>
        <v>46</v>
      </c>
      <c r="B50" s="267">
        <v>46</v>
      </c>
      <c r="C50" s="268" t="s">
        <v>118</v>
      </c>
      <c r="D50" s="556">
        <v>0</v>
      </c>
      <c r="E50" s="1209">
        <f t="shared" si="3"/>
        <v>0</v>
      </c>
      <c r="F50" s="556"/>
      <c r="G50" s="1171">
        <f t="shared" si="7"/>
        <v>0</v>
      </c>
      <c r="H50" s="556"/>
      <c r="I50" s="1171">
        <f t="shared" si="8"/>
        <v>0</v>
      </c>
      <c r="J50" s="1202">
        <f t="shared" si="9"/>
        <v>0</v>
      </c>
      <c r="K50" s="556">
        <f>'[9]Formatted for MFP'!G49</f>
        <v>0</v>
      </c>
      <c r="L50" s="1188">
        <f t="shared" si="10"/>
        <v>25000</v>
      </c>
      <c r="M50" s="1189">
        <f>IFERROR(VLOOKUP(B50,[10]Allocation_eGMS!$A$8:$E$93,5,FALSE),0)</f>
        <v>0</v>
      </c>
      <c r="N50" s="556">
        <f>'[11]7-12 by LEA'!K52</f>
        <v>282</v>
      </c>
      <c r="O50" s="1171">
        <f t="shared" si="11"/>
        <v>7332</v>
      </c>
      <c r="P50" s="1172">
        <f t="shared" si="12"/>
        <v>32332</v>
      </c>
      <c r="R50" s="556">
        <f>VLOOKUP(B50,'[12]Oct 1 MFP LEA MER'!$B$6:$M$74,12,FALSE)</f>
        <v>302</v>
      </c>
    </row>
    <row r="51" spans="1:18">
      <c r="A51" s="546">
        <f t="shared" si="6"/>
        <v>47</v>
      </c>
      <c r="B51" s="269">
        <v>47</v>
      </c>
      <c r="C51" s="270" t="s">
        <v>119</v>
      </c>
      <c r="D51" s="557">
        <v>0</v>
      </c>
      <c r="E51" s="1210">
        <f t="shared" si="3"/>
        <v>0</v>
      </c>
      <c r="F51" s="557"/>
      <c r="G51" s="1173">
        <f t="shared" si="7"/>
        <v>0</v>
      </c>
      <c r="H51" s="557"/>
      <c r="I51" s="1173">
        <f t="shared" si="8"/>
        <v>0</v>
      </c>
      <c r="J51" s="1203">
        <f t="shared" si="9"/>
        <v>0</v>
      </c>
      <c r="K51" s="557">
        <f>'[9]Formatted for MFP'!G50</f>
        <v>196</v>
      </c>
      <c r="L51" s="1190">
        <f t="shared" si="10"/>
        <v>46648</v>
      </c>
      <c r="M51" s="1191">
        <f>IFERROR(VLOOKUP(B51,[10]Allocation_eGMS!$A$8:$E$93,5,FALSE),0)</f>
        <v>72154</v>
      </c>
      <c r="N51" s="557">
        <f>'[11]7-12 by LEA'!K53</f>
        <v>1624</v>
      </c>
      <c r="O51" s="1173">
        <f t="shared" si="11"/>
        <v>42224</v>
      </c>
      <c r="P51" s="1174">
        <f t="shared" si="12"/>
        <v>161026</v>
      </c>
      <c r="R51" s="557">
        <f>VLOOKUP(B51,'[12]Oct 1 MFP LEA MER'!$B$6:$M$74,12,FALSE)</f>
        <v>1066</v>
      </c>
    </row>
    <row r="52" spans="1:18">
      <c r="A52" s="546">
        <f t="shared" si="6"/>
        <v>48</v>
      </c>
      <c r="B52" s="269">
        <v>48</v>
      </c>
      <c r="C52" s="270" t="s">
        <v>144</v>
      </c>
      <c r="D52" s="557">
        <v>0</v>
      </c>
      <c r="E52" s="1210">
        <f t="shared" si="3"/>
        <v>0</v>
      </c>
      <c r="F52" s="557"/>
      <c r="G52" s="1173">
        <f t="shared" si="7"/>
        <v>0</v>
      </c>
      <c r="H52" s="557"/>
      <c r="I52" s="1173">
        <f t="shared" si="8"/>
        <v>0</v>
      </c>
      <c r="J52" s="1203">
        <f t="shared" si="9"/>
        <v>0</v>
      </c>
      <c r="K52" s="557">
        <f>'[9]Formatted for MFP'!G51</f>
        <v>360</v>
      </c>
      <c r="L52" s="1190">
        <f t="shared" si="10"/>
        <v>85680</v>
      </c>
      <c r="M52" s="1191">
        <f>IFERROR(VLOOKUP(B52,[10]Allocation_eGMS!$A$8:$E$93,5,FALSE),0)</f>
        <v>85097</v>
      </c>
      <c r="N52" s="557">
        <f>'[11]7-12 by LEA'!K54</f>
        <v>2365</v>
      </c>
      <c r="O52" s="1173">
        <f t="shared" si="11"/>
        <v>61490</v>
      </c>
      <c r="P52" s="1174">
        <f t="shared" si="12"/>
        <v>232267</v>
      </c>
      <c r="R52" s="557">
        <f>VLOOKUP(B52,'[12]Oct 1 MFP LEA MER'!$B$6:$M$74,12,FALSE)</f>
        <v>1530</v>
      </c>
    </row>
    <row r="53" spans="1:18">
      <c r="A53" s="546">
        <f t="shared" si="6"/>
        <v>49</v>
      </c>
      <c r="B53" s="269">
        <v>49</v>
      </c>
      <c r="C53" s="270" t="s">
        <v>120</v>
      </c>
      <c r="D53" s="557">
        <v>4</v>
      </c>
      <c r="E53" s="1210">
        <f t="shared" si="3"/>
        <v>84000</v>
      </c>
      <c r="F53" s="557"/>
      <c r="G53" s="1173">
        <f t="shared" si="7"/>
        <v>0</v>
      </c>
      <c r="H53" s="557"/>
      <c r="I53" s="1173">
        <f t="shared" si="8"/>
        <v>0</v>
      </c>
      <c r="J53" s="1203">
        <f t="shared" si="9"/>
        <v>0</v>
      </c>
      <c r="K53" s="557">
        <f>'[9]Formatted for MFP'!G52</f>
        <v>603</v>
      </c>
      <c r="L53" s="1190">
        <f t="shared" si="10"/>
        <v>143514</v>
      </c>
      <c r="M53" s="1191">
        <f>IFERROR(VLOOKUP(B53,[10]Allocation_eGMS!$A$8:$E$93,5,FALSE),0)</f>
        <v>0</v>
      </c>
      <c r="N53" s="557">
        <f>'[11]7-12 by LEA'!K55</f>
        <v>5684</v>
      </c>
      <c r="O53" s="1173">
        <f t="shared" si="11"/>
        <v>147784</v>
      </c>
      <c r="P53" s="1174">
        <f t="shared" si="12"/>
        <v>375298</v>
      </c>
      <c r="R53" s="557">
        <f>VLOOKUP(B53,'[12]Oct 1 MFP LEA MER'!$B$6:$M$74,12,FALSE)</f>
        <v>3701</v>
      </c>
    </row>
    <row r="54" spans="1:18">
      <c r="A54" s="546">
        <f t="shared" si="6"/>
        <v>50</v>
      </c>
      <c r="B54" s="141">
        <v>50</v>
      </c>
      <c r="C54" s="142" t="s">
        <v>121</v>
      </c>
      <c r="D54" s="558">
        <v>9</v>
      </c>
      <c r="E54" s="1211">
        <f t="shared" si="3"/>
        <v>189000</v>
      </c>
      <c r="F54" s="558">
        <v>4</v>
      </c>
      <c r="G54" s="1175">
        <f t="shared" si="7"/>
        <v>24000</v>
      </c>
      <c r="H54" s="558">
        <v>1</v>
      </c>
      <c r="I54" s="1175">
        <f t="shared" si="8"/>
        <v>4000</v>
      </c>
      <c r="J54" s="1204">
        <f t="shared" si="9"/>
        <v>28000</v>
      </c>
      <c r="K54" s="558">
        <f>'[9]Formatted for MFP'!G53</f>
        <v>266</v>
      </c>
      <c r="L54" s="1192">
        <f t="shared" si="10"/>
        <v>63308</v>
      </c>
      <c r="M54" s="1193">
        <f>IFERROR(VLOOKUP(B54,[10]Allocation_eGMS!$A$8:$E$93,5,FALSE),0)</f>
        <v>11857</v>
      </c>
      <c r="N54" s="558">
        <f>'[11]7-12 by LEA'!K56</f>
        <v>3425</v>
      </c>
      <c r="O54" s="1175">
        <f t="shared" si="11"/>
        <v>89050</v>
      </c>
      <c r="P54" s="1176">
        <f t="shared" si="12"/>
        <v>381215</v>
      </c>
      <c r="R54" s="558">
        <f>VLOOKUP(B54,'[12]Oct 1 MFP LEA MER'!$B$6:$M$74,12,FALSE)</f>
        <v>2323</v>
      </c>
    </row>
    <row r="55" spans="1:18">
      <c r="A55" s="546">
        <f t="shared" si="6"/>
        <v>51</v>
      </c>
      <c r="B55" s="267">
        <v>51</v>
      </c>
      <c r="C55" s="268" t="s">
        <v>122</v>
      </c>
      <c r="D55" s="556">
        <v>0</v>
      </c>
      <c r="E55" s="1209">
        <f t="shared" si="3"/>
        <v>0</v>
      </c>
      <c r="F55" s="556"/>
      <c r="G55" s="1171">
        <f t="shared" si="7"/>
        <v>0</v>
      </c>
      <c r="H55" s="556"/>
      <c r="I55" s="1171">
        <f t="shared" si="8"/>
        <v>0</v>
      </c>
      <c r="J55" s="1202">
        <f t="shared" si="9"/>
        <v>0</v>
      </c>
      <c r="K55" s="556">
        <f>'[9]Formatted for MFP'!G54</f>
        <v>263</v>
      </c>
      <c r="L55" s="1188">
        <f t="shared" si="10"/>
        <v>62594</v>
      </c>
      <c r="M55" s="1189">
        <f>IFERROR(VLOOKUP(B55,[10]Allocation_eGMS!$A$8:$E$93,5,FALSE),0)</f>
        <v>24324</v>
      </c>
      <c r="N55" s="556">
        <f>'[11]7-12 by LEA'!K57</f>
        <v>3918</v>
      </c>
      <c r="O55" s="1171">
        <f t="shared" si="11"/>
        <v>101868</v>
      </c>
      <c r="P55" s="1172">
        <f t="shared" si="12"/>
        <v>188786</v>
      </c>
      <c r="R55" s="556">
        <f>VLOOKUP(B55,'[12]Oct 1 MFP LEA MER'!$B$6:$M$74,12,FALSE)</f>
        <v>2777</v>
      </c>
    </row>
    <row r="56" spans="1:18">
      <c r="A56" s="546">
        <f t="shared" si="6"/>
        <v>52</v>
      </c>
      <c r="B56" s="269">
        <v>52</v>
      </c>
      <c r="C56" s="270" t="s">
        <v>123</v>
      </c>
      <c r="D56" s="557">
        <v>0</v>
      </c>
      <c r="E56" s="1210">
        <f t="shared" si="3"/>
        <v>0</v>
      </c>
      <c r="F56" s="557"/>
      <c r="G56" s="1173">
        <f t="shared" si="7"/>
        <v>0</v>
      </c>
      <c r="H56" s="557"/>
      <c r="I56" s="1173">
        <f t="shared" si="8"/>
        <v>0</v>
      </c>
      <c r="J56" s="1203">
        <f t="shared" si="9"/>
        <v>0</v>
      </c>
      <c r="K56" s="557">
        <f>'[9]Formatted for MFP'!G55</f>
        <v>2150</v>
      </c>
      <c r="L56" s="1190">
        <f t="shared" si="10"/>
        <v>511700</v>
      </c>
      <c r="M56" s="1191">
        <f>IFERROR(VLOOKUP(B56,[10]Allocation_eGMS!$A$8:$E$93,5,FALSE),0)</f>
        <v>148080</v>
      </c>
      <c r="N56" s="557">
        <f>'[11]7-12 by LEA'!K58</f>
        <v>16357</v>
      </c>
      <c r="O56" s="1173">
        <f t="shared" si="11"/>
        <v>425282</v>
      </c>
      <c r="P56" s="1174">
        <f t="shared" si="12"/>
        <v>1085062</v>
      </c>
      <c r="R56" s="557">
        <f>VLOOKUP(B56,'[12]Oct 1 MFP LEA MER'!$B$6:$M$74,12,FALSE)</f>
        <v>10930</v>
      </c>
    </row>
    <row r="57" spans="1:18">
      <c r="A57" s="546">
        <f t="shared" si="6"/>
        <v>53</v>
      </c>
      <c r="B57" s="269">
        <v>53</v>
      </c>
      <c r="C57" s="270" t="s">
        <v>124</v>
      </c>
      <c r="D57" s="557">
        <v>5</v>
      </c>
      <c r="E57" s="1210">
        <f t="shared" si="3"/>
        <v>105000</v>
      </c>
      <c r="F57" s="557"/>
      <c r="G57" s="1173">
        <f t="shared" si="7"/>
        <v>0</v>
      </c>
      <c r="H57" s="557">
        <v>1</v>
      </c>
      <c r="I57" s="1173">
        <f t="shared" si="8"/>
        <v>4000</v>
      </c>
      <c r="J57" s="1203">
        <f t="shared" si="9"/>
        <v>4000</v>
      </c>
      <c r="K57" s="557">
        <f>'[9]Formatted for MFP'!G56</f>
        <v>390</v>
      </c>
      <c r="L57" s="1190">
        <f t="shared" si="10"/>
        <v>92820</v>
      </c>
      <c r="M57" s="1191">
        <f>IFERROR(VLOOKUP(B57,[10]Allocation_eGMS!$A$8:$E$93,5,FALSE),0)</f>
        <v>92353</v>
      </c>
      <c r="N57" s="557">
        <f>'[11]7-12 by LEA'!K59</f>
        <v>8376</v>
      </c>
      <c r="O57" s="1173">
        <f t="shared" si="11"/>
        <v>217776</v>
      </c>
      <c r="P57" s="1174">
        <f t="shared" si="12"/>
        <v>511949</v>
      </c>
      <c r="R57" s="557">
        <f>VLOOKUP(B57,'[12]Oct 1 MFP LEA MER'!$B$6:$M$74,12,FALSE)</f>
        <v>5629</v>
      </c>
    </row>
    <row r="58" spans="1:18">
      <c r="A58" s="546">
        <f t="shared" si="6"/>
        <v>54</v>
      </c>
      <c r="B58" s="269">
        <v>54</v>
      </c>
      <c r="C58" s="270" t="s">
        <v>125</v>
      </c>
      <c r="D58" s="557">
        <v>0</v>
      </c>
      <c r="E58" s="1210">
        <f t="shared" si="3"/>
        <v>0</v>
      </c>
      <c r="F58" s="557"/>
      <c r="G58" s="1173">
        <f t="shared" si="7"/>
        <v>0</v>
      </c>
      <c r="H58" s="557"/>
      <c r="I58" s="1173">
        <f t="shared" si="8"/>
        <v>0</v>
      </c>
      <c r="J58" s="1203">
        <f t="shared" si="9"/>
        <v>0</v>
      </c>
      <c r="K58" s="557">
        <f>'[9]Formatted for MFP'!G57</f>
        <v>27</v>
      </c>
      <c r="L58" s="1190">
        <f t="shared" si="10"/>
        <v>25000</v>
      </c>
      <c r="M58" s="1191">
        <f>IFERROR(VLOOKUP(B58,[10]Allocation_eGMS!$A$8:$E$93,5,FALSE),0)</f>
        <v>4464</v>
      </c>
      <c r="N58" s="557">
        <f>'[11]7-12 by LEA'!K60</f>
        <v>277</v>
      </c>
      <c r="O58" s="1173">
        <f t="shared" si="11"/>
        <v>7202</v>
      </c>
      <c r="P58" s="1174">
        <f t="shared" si="12"/>
        <v>36666</v>
      </c>
      <c r="R58" s="557">
        <f>VLOOKUP(B58,'[12]Oct 1 MFP LEA MER'!$B$6:$M$74,12,FALSE)</f>
        <v>170</v>
      </c>
    </row>
    <row r="59" spans="1:18">
      <c r="A59" s="546">
        <f t="shared" si="6"/>
        <v>55</v>
      </c>
      <c r="B59" s="141">
        <v>55</v>
      </c>
      <c r="C59" s="142" t="s">
        <v>126</v>
      </c>
      <c r="D59" s="558">
        <v>0</v>
      </c>
      <c r="E59" s="1211">
        <f t="shared" si="3"/>
        <v>0</v>
      </c>
      <c r="F59" s="558"/>
      <c r="G59" s="1175">
        <f t="shared" si="7"/>
        <v>0</v>
      </c>
      <c r="H59" s="558"/>
      <c r="I59" s="1175">
        <f t="shared" si="8"/>
        <v>0</v>
      </c>
      <c r="J59" s="1204">
        <f t="shared" si="9"/>
        <v>0</v>
      </c>
      <c r="K59" s="558">
        <f>'[9]Formatted for MFP'!G58</f>
        <v>796</v>
      </c>
      <c r="L59" s="1192">
        <f t="shared" si="10"/>
        <v>189448</v>
      </c>
      <c r="M59" s="1193">
        <f>IFERROR(VLOOKUP(B59,[10]Allocation_eGMS!$A$8:$E$93,5,FALSE),0)</f>
        <v>261322</v>
      </c>
      <c r="N59" s="558">
        <f>'[11]7-12 by LEA'!K61</f>
        <v>7380</v>
      </c>
      <c r="O59" s="1175">
        <f t="shared" si="11"/>
        <v>191880</v>
      </c>
      <c r="P59" s="1176">
        <f t="shared" si="12"/>
        <v>642650</v>
      </c>
      <c r="R59" s="558">
        <f>VLOOKUP(B59,'[12]Oct 1 MFP LEA MER'!$B$6:$M$74,12,FALSE)</f>
        <v>4773</v>
      </c>
    </row>
    <row r="60" spans="1:18">
      <c r="A60" s="546">
        <f t="shared" si="6"/>
        <v>56</v>
      </c>
      <c r="B60" s="267">
        <v>56</v>
      </c>
      <c r="C60" s="268" t="s">
        <v>127</v>
      </c>
      <c r="D60" s="556">
        <v>0</v>
      </c>
      <c r="E60" s="1209">
        <f t="shared" si="3"/>
        <v>0</v>
      </c>
      <c r="F60" s="556"/>
      <c r="G60" s="1171">
        <f t="shared" si="7"/>
        <v>0</v>
      </c>
      <c r="H60" s="556"/>
      <c r="I60" s="1171">
        <f t="shared" si="8"/>
        <v>0</v>
      </c>
      <c r="J60" s="1202">
        <f t="shared" si="9"/>
        <v>0</v>
      </c>
      <c r="K60" s="556">
        <f>'[9]Formatted for MFP'!G59</f>
        <v>30</v>
      </c>
      <c r="L60" s="1188">
        <f t="shared" si="10"/>
        <v>25000</v>
      </c>
      <c r="M60" s="1189">
        <f>IFERROR(VLOOKUP(B60,[10]Allocation_eGMS!$A$8:$E$93,5,FALSE),0)</f>
        <v>18200</v>
      </c>
      <c r="N60" s="556">
        <f>'[11]7-12 by LEA'!K62</f>
        <v>1021</v>
      </c>
      <c r="O60" s="1171">
        <f t="shared" si="11"/>
        <v>26546</v>
      </c>
      <c r="P60" s="1172">
        <f t="shared" si="12"/>
        <v>69746</v>
      </c>
      <c r="R60" s="556">
        <f>VLOOKUP(B60,'[12]Oct 1 MFP LEA MER'!$B$6:$M$74,12,FALSE)</f>
        <v>665</v>
      </c>
    </row>
    <row r="61" spans="1:18">
      <c r="A61" s="546">
        <f t="shared" si="6"/>
        <v>57</v>
      </c>
      <c r="B61" s="269">
        <v>57</v>
      </c>
      <c r="C61" s="270" t="s">
        <v>128</v>
      </c>
      <c r="D61" s="557">
        <v>0</v>
      </c>
      <c r="E61" s="1210">
        <f t="shared" si="3"/>
        <v>0</v>
      </c>
      <c r="F61" s="557"/>
      <c r="G61" s="1173">
        <f t="shared" si="7"/>
        <v>0</v>
      </c>
      <c r="H61" s="557"/>
      <c r="I61" s="1173">
        <f t="shared" si="8"/>
        <v>0</v>
      </c>
      <c r="J61" s="1203">
        <f t="shared" si="9"/>
        <v>0</v>
      </c>
      <c r="K61" s="557">
        <f>'[9]Formatted for MFP'!G60</f>
        <v>306</v>
      </c>
      <c r="L61" s="1190">
        <f t="shared" si="10"/>
        <v>72828</v>
      </c>
      <c r="M61" s="1191">
        <f>IFERROR(VLOOKUP(B61,[10]Allocation_eGMS!$A$8:$E$93,5,FALSE),0)</f>
        <v>38133</v>
      </c>
      <c r="N61" s="557">
        <f>'[11]7-12 by LEA'!K63</f>
        <v>3750</v>
      </c>
      <c r="O61" s="1173">
        <f t="shared" si="11"/>
        <v>97500</v>
      </c>
      <c r="P61" s="1174">
        <f t="shared" si="12"/>
        <v>208461</v>
      </c>
      <c r="R61" s="557">
        <f>VLOOKUP(B61,'[12]Oct 1 MFP LEA MER'!$B$6:$M$74,12,FALSE)</f>
        <v>2492</v>
      </c>
    </row>
    <row r="62" spans="1:18">
      <c r="A62" s="546">
        <f t="shared" si="6"/>
        <v>58</v>
      </c>
      <c r="B62" s="269">
        <v>58</v>
      </c>
      <c r="C62" s="270" t="s">
        <v>129</v>
      </c>
      <c r="D62" s="557">
        <v>0</v>
      </c>
      <c r="E62" s="1210">
        <f t="shared" si="3"/>
        <v>0</v>
      </c>
      <c r="F62" s="557"/>
      <c r="G62" s="1173">
        <f t="shared" si="7"/>
        <v>0</v>
      </c>
      <c r="H62" s="557"/>
      <c r="I62" s="1173">
        <f t="shared" si="8"/>
        <v>0</v>
      </c>
      <c r="J62" s="1203">
        <f t="shared" si="9"/>
        <v>0</v>
      </c>
      <c r="K62" s="557">
        <f>'[9]Formatted for MFP'!G61</f>
        <v>322</v>
      </c>
      <c r="L62" s="1190">
        <f t="shared" si="10"/>
        <v>76636</v>
      </c>
      <c r="M62" s="1191">
        <f>IFERROR(VLOOKUP(B62,[10]Allocation_eGMS!$A$8:$E$93,5,FALSE),0)</f>
        <v>0</v>
      </c>
      <c r="N62" s="557">
        <f>'[11]7-12 by LEA'!K64</f>
        <v>3622</v>
      </c>
      <c r="O62" s="1173">
        <f t="shared" si="11"/>
        <v>94172</v>
      </c>
      <c r="P62" s="1174">
        <f t="shared" si="12"/>
        <v>170808</v>
      </c>
      <c r="R62" s="557">
        <f>VLOOKUP(B62,'[12]Oct 1 MFP LEA MER'!$B$6:$M$74,12,FALSE)</f>
        <v>2255</v>
      </c>
    </row>
    <row r="63" spans="1:18">
      <c r="A63" s="546">
        <f t="shared" si="6"/>
        <v>59</v>
      </c>
      <c r="B63" s="269">
        <v>59</v>
      </c>
      <c r="C63" s="270" t="s">
        <v>130</v>
      </c>
      <c r="D63" s="557">
        <v>0</v>
      </c>
      <c r="E63" s="1210">
        <f t="shared" si="3"/>
        <v>0</v>
      </c>
      <c r="F63" s="557"/>
      <c r="G63" s="1173">
        <f t="shared" si="7"/>
        <v>0</v>
      </c>
      <c r="H63" s="557"/>
      <c r="I63" s="1173">
        <f t="shared" si="8"/>
        <v>0</v>
      </c>
      <c r="J63" s="1203">
        <f t="shared" si="9"/>
        <v>0</v>
      </c>
      <c r="K63" s="557">
        <f>'[9]Formatted for MFP'!G62</f>
        <v>178</v>
      </c>
      <c r="L63" s="1190">
        <f t="shared" si="10"/>
        <v>42364</v>
      </c>
      <c r="M63" s="1191">
        <f>IFERROR(VLOOKUP(B63,[10]Allocation_eGMS!$A$8:$E$93,5,FALSE),0)</f>
        <v>35013</v>
      </c>
      <c r="N63" s="557">
        <f>'[11]7-12 by LEA'!K65</f>
        <v>2309</v>
      </c>
      <c r="O63" s="1173">
        <f t="shared" si="11"/>
        <v>60034</v>
      </c>
      <c r="P63" s="1174">
        <f t="shared" si="12"/>
        <v>137411</v>
      </c>
      <c r="R63" s="557">
        <f>VLOOKUP(B63,'[12]Oct 1 MFP LEA MER'!$B$6:$M$74,12,FALSE)</f>
        <v>1508</v>
      </c>
    </row>
    <row r="64" spans="1:18">
      <c r="A64" s="546">
        <f t="shared" si="6"/>
        <v>60</v>
      </c>
      <c r="B64" s="141">
        <v>60</v>
      </c>
      <c r="C64" s="142" t="s">
        <v>131</v>
      </c>
      <c r="D64" s="558">
        <v>0</v>
      </c>
      <c r="E64" s="1211">
        <f t="shared" si="3"/>
        <v>0</v>
      </c>
      <c r="F64" s="558"/>
      <c r="G64" s="1175">
        <f t="shared" si="7"/>
        <v>0</v>
      </c>
      <c r="H64" s="558"/>
      <c r="I64" s="1175">
        <f t="shared" si="8"/>
        <v>0</v>
      </c>
      <c r="J64" s="1204">
        <f t="shared" si="9"/>
        <v>0</v>
      </c>
      <c r="K64" s="558">
        <f>'[9]Formatted for MFP'!G63</f>
        <v>60</v>
      </c>
      <c r="L64" s="1192">
        <f t="shared" si="10"/>
        <v>25000</v>
      </c>
      <c r="M64" s="1193">
        <f>IFERROR(VLOOKUP(B64,[10]Allocation_eGMS!$A$8:$E$93,5,FALSE),0)</f>
        <v>0</v>
      </c>
      <c r="N64" s="558">
        <f>'[11]7-12 by LEA'!K66</f>
        <v>2805</v>
      </c>
      <c r="O64" s="1175">
        <f t="shared" si="11"/>
        <v>72930</v>
      </c>
      <c r="P64" s="1176">
        <f t="shared" si="12"/>
        <v>97930</v>
      </c>
      <c r="R64" s="558">
        <f>VLOOKUP(B64,'[12]Oct 1 MFP LEA MER'!$B$6:$M$74,12,FALSE)</f>
        <v>1790</v>
      </c>
    </row>
    <row r="65" spans="1:18">
      <c r="A65" s="546">
        <f t="shared" si="6"/>
        <v>61</v>
      </c>
      <c r="B65" s="267">
        <v>61</v>
      </c>
      <c r="C65" s="268" t="s">
        <v>132</v>
      </c>
      <c r="D65" s="556">
        <v>0</v>
      </c>
      <c r="E65" s="1209">
        <f t="shared" si="3"/>
        <v>0</v>
      </c>
      <c r="F65" s="556"/>
      <c r="G65" s="1171">
        <f t="shared" si="7"/>
        <v>0</v>
      </c>
      <c r="H65" s="556"/>
      <c r="I65" s="1171">
        <f t="shared" si="8"/>
        <v>0</v>
      </c>
      <c r="J65" s="1202">
        <f t="shared" si="9"/>
        <v>0</v>
      </c>
      <c r="K65" s="556">
        <f>'[9]Formatted for MFP'!G64</f>
        <v>68</v>
      </c>
      <c r="L65" s="1188">
        <f t="shared" si="10"/>
        <v>25000</v>
      </c>
      <c r="M65" s="1189">
        <f>IFERROR(VLOOKUP(B65,[10]Allocation_eGMS!$A$8:$E$93,5,FALSE),0)</f>
        <v>126725</v>
      </c>
      <c r="N65" s="556">
        <f>'[11]7-12 by LEA'!K67</f>
        <v>1545</v>
      </c>
      <c r="O65" s="1171">
        <f t="shared" si="11"/>
        <v>40170</v>
      </c>
      <c r="P65" s="1172">
        <f t="shared" si="12"/>
        <v>191895</v>
      </c>
      <c r="R65" s="556">
        <f>VLOOKUP(B65,'[12]Oct 1 MFP LEA MER'!$B$6:$M$74,12,FALSE)</f>
        <v>1037</v>
      </c>
    </row>
    <row r="66" spans="1:18">
      <c r="A66" s="546">
        <f t="shared" si="6"/>
        <v>62</v>
      </c>
      <c r="B66" s="269">
        <v>62</v>
      </c>
      <c r="C66" s="270" t="s">
        <v>133</v>
      </c>
      <c r="D66" s="557">
        <v>0</v>
      </c>
      <c r="E66" s="1210">
        <f t="shared" si="3"/>
        <v>0</v>
      </c>
      <c r="F66" s="557"/>
      <c r="G66" s="1173">
        <f t="shared" si="7"/>
        <v>0</v>
      </c>
      <c r="H66" s="557"/>
      <c r="I66" s="1173">
        <f t="shared" si="8"/>
        <v>0</v>
      </c>
      <c r="J66" s="1203">
        <f t="shared" si="9"/>
        <v>0</v>
      </c>
      <c r="K66" s="557">
        <f>'[9]Formatted for MFP'!G65</f>
        <v>75</v>
      </c>
      <c r="L66" s="1190">
        <f t="shared" si="10"/>
        <v>25000</v>
      </c>
      <c r="M66" s="1191">
        <f>IFERROR(VLOOKUP(B66,[10]Allocation_eGMS!$A$8:$E$93,5,FALSE),0)</f>
        <v>0</v>
      </c>
      <c r="N66" s="557">
        <f>'[11]7-12 by LEA'!K68</f>
        <v>879</v>
      </c>
      <c r="O66" s="1173">
        <f t="shared" si="11"/>
        <v>22854</v>
      </c>
      <c r="P66" s="1174">
        <f t="shared" si="12"/>
        <v>47854</v>
      </c>
      <c r="R66" s="557">
        <f>VLOOKUP(B66,'[12]Oct 1 MFP LEA MER'!$B$6:$M$74,12,FALSE)</f>
        <v>534</v>
      </c>
    </row>
    <row r="67" spans="1:18">
      <c r="A67" s="546">
        <f t="shared" si="6"/>
        <v>63</v>
      </c>
      <c r="B67" s="269">
        <v>63</v>
      </c>
      <c r="C67" s="270" t="s">
        <v>134</v>
      </c>
      <c r="D67" s="557">
        <v>0</v>
      </c>
      <c r="E67" s="1210">
        <f t="shared" si="3"/>
        <v>0</v>
      </c>
      <c r="F67" s="557"/>
      <c r="G67" s="1173">
        <f t="shared" si="7"/>
        <v>0</v>
      </c>
      <c r="H67" s="557"/>
      <c r="I67" s="1173">
        <f t="shared" si="8"/>
        <v>0</v>
      </c>
      <c r="J67" s="1203">
        <f t="shared" si="9"/>
        <v>0</v>
      </c>
      <c r="K67" s="557">
        <f>'[9]Formatted for MFP'!G66</f>
        <v>51</v>
      </c>
      <c r="L67" s="1190">
        <f t="shared" si="10"/>
        <v>25000</v>
      </c>
      <c r="M67" s="1191">
        <f>IFERROR(VLOOKUP(B67,[10]Allocation_eGMS!$A$8:$E$93,5,FALSE),0)</f>
        <v>11004</v>
      </c>
      <c r="N67" s="557">
        <f>'[11]7-12 by LEA'!K69</f>
        <v>946</v>
      </c>
      <c r="O67" s="1173">
        <f t="shared" si="11"/>
        <v>24596</v>
      </c>
      <c r="P67" s="1174">
        <f t="shared" si="12"/>
        <v>60600</v>
      </c>
      <c r="R67" s="557">
        <f>VLOOKUP(B67,'[12]Oct 1 MFP LEA MER'!$B$6:$M$74,12,FALSE)</f>
        <v>604</v>
      </c>
    </row>
    <row r="68" spans="1:18">
      <c r="A68" s="546">
        <f t="shared" si="6"/>
        <v>64</v>
      </c>
      <c r="B68" s="269">
        <v>64</v>
      </c>
      <c r="C68" s="270" t="s">
        <v>135</v>
      </c>
      <c r="D68" s="557">
        <v>0</v>
      </c>
      <c r="E68" s="1210">
        <f t="shared" si="3"/>
        <v>0</v>
      </c>
      <c r="F68" s="557"/>
      <c r="G68" s="1173">
        <f t="shared" si="7"/>
        <v>0</v>
      </c>
      <c r="H68" s="557"/>
      <c r="I68" s="1173">
        <f t="shared" si="8"/>
        <v>0</v>
      </c>
      <c r="J68" s="1203">
        <f t="shared" si="9"/>
        <v>0</v>
      </c>
      <c r="K68" s="557">
        <f>'[9]Formatted for MFP'!G67</f>
        <v>105.0420168067227</v>
      </c>
      <c r="L68" s="1190">
        <f t="shared" si="10"/>
        <v>25000.000000000004</v>
      </c>
      <c r="M68" s="1191">
        <f>IFERROR(VLOOKUP(B68,[10]Allocation_eGMS!$A$8:$E$93,5,FALSE),0)</f>
        <v>0</v>
      </c>
      <c r="N68" s="557">
        <f>'[11]7-12 by LEA'!K70</f>
        <v>1034</v>
      </c>
      <c r="O68" s="1173">
        <f t="shared" si="11"/>
        <v>26884</v>
      </c>
      <c r="P68" s="1174">
        <f t="shared" si="12"/>
        <v>51884</v>
      </c>
      <c r="R68" s="557">
        <f>VLOOKUP(B68,'[12]Oct 1 MFP LEA MER'!$B$6:$M$74,12,FALSE)</f>
        <v>697</v>
      </c>
    </row>
    <row r="69" spans="1:18">
      <c r="A69" s="546">
        <f t="shared" si="6"/>
        <v>65</v>
      </c>
      <c r="B69" s="141">
        <v>65</v>
      </c>
      <c r="C69" s="142" t="s">
        <v>136</v>
      </c>
      <c r="D69" s="558">
        <v>0</v>
      </c>
      <c r="E69" s="1211">
        <f t="shared" ref="E69:E73" si="13">ROUND($E$3*D69,0)</f>
        <v>0</v>
      </c>
      <c r="F69" s="558"/>
      <c r="G69" s="1175">
        <f t="shared" si="7"/>
        <v>0</v>
      </c>
      <c r="H69" s="558"/>
      <c r="I69" s="1175">
        <f t="shared" si="8"/>
        <v>0</v>
      </c>
      <c r="J69" s="1204">
        <f t="shared" si="9"/>
        <v>0</v>
      </c>
      <c r="K69" s="558">
        <f>'[9]Formatted for MFP'!G68</f>
        <v>77</v>
      </c>
      <c r="L69" s="1192">
        <f t="shared" si="10"/>
        <v>25000</v>
      </c>
      <c r="M69" s="1193">
        <f>IFERROR(VLOOKUP(B69,[10]Allocation_eGMS!$A$8:$E$93,5,FALSE),0)</f>
        <v>30093</v>
      </c>
      <c r="N69" s="558">
        <f>'[11]7-12 by LEA'!K71</f>
        <v>3263</v>
      </c>
      <c r="O69" s="1175">
        <f t="shared" ref="O69:O73" si="14">ROUND(N69*$O$3,0)</f>
        <v>84838</v>
      </c>
      <c r="P69" s="1176">
        <f t="shared" ref="P69:P73" si="15">+L69+J69+E69+M69+O69</f>
        <v>139931</v>
      </c>
      <c r="R69" s="558">
        <f>VLOOKUP(B69,'[12]Oct 1 MFP LEA MER'!$B$6:$M$74,12,FALSE)</f>
        <v>2059</v>
      </c>
    </row>
    <row r="70" spans="1:18">
      <c r="A70" s="546">
        <f t="shared" ref="A70:A120" si="16">+VALUE(B70)</f>
        <v>66</v>
      </c>
      <c r="B70" s="267">
        <v>66</v>
      </c>
      <c r="C70" s="268" t="s">
        <v>137</v>
      </c>
      <c r="D70" s="556">
        <v>0</v>
      </c>
      <c r="E70" s="559">
        <f t="shared" si="13"/>
        <v>0</v>
      </c>
      <c r="F70" s="556"/>
      <c r="G70" s="1171">
        <f>ROUND($G$3*F70,0)</f>
        <v>0</v>
      </c>
      <c r="H70" s="556"/>
      <c r="I70" s="1171">
        <f>ROUND($I$3*H70,0)</f>
        <v>0</v>
      </c>
      <c r="J70" s="1202">
        <f>G70+I70</f>
        <v>0</v>
      </c>
      <c r="K70" s="556">
        <f>'[9]Formatted for MFP'!G69</f>
        <v>77</v>
      </c>
      <c r="L70" s="1188">
        <f t="shared" ref="L70:L73" si="17">IF($L$3*K70&lt;25000,25000,$L$3*K70)</f>
        <v>25000</v>
      </c>
      <c r="M70" s="1189">
        <f>IFERROR(VLOOKUP(B70,[10]Allocation_eGMS!$A$8:$E$93,5,FALSE),0)</f>
        <v>5474</v>
      </c>
      <c r="N70" s="556">
        <f>'[11]7-12 by LEA'!K72</f>
        <v>770</v>
      </c>
      <c r="O70" s="1171">
        <f t="shared" si="14"/>
        <v>20020</v>
      </c>
      <c r="P70" s="1172">
        <f t="shared" si="15"/>
        <v>50494</v>
      </c>
      <c r="R70" s="556">
        <f>VLOOKUP(B70,'[12]Oct 1 MFP LEA MER'!$B$6:$M$74,12,FALSE)</f>
        <v>454</v>
      </c>
    </row>
    <row r="71" spans="1:18">
      <c r="A71" s="546">
        <f t="shared" si="16"/>
        <v>67</v>
      </c>
      <c r="B71" s="560">
        <v>67</v>
      </c>
      <c r="C71" s="561" t="s">
        <v>28</v>
      </c>
      <c r="D71" s="562">
        <v>0</v>
      </c>
      <c r="E71" s="563">
        <f t="shared" si="13"/>
        <v>0</v>
      </c>
      <c r="F71" s="562"/>
      <c r="G71" s="1177">
        <f>ROUND($G$3*F71,0)</f>
        <v>0</v>
      </c>
      <c r="H71" s="562"/>
      <c r="I71" s="1177">
        <f>ROUND($I$3*H71,0)</f>
        <v>0</v>
      </c>
      <c r="J71" s="1205">
        <f>G71+I71</f>
        <v>0</v>
      </c>
      <c r="K71" s="562">
        <f>'[9]Formatted for MFP'!G70</f>
        <v>215</v>
      </c>
      <c r="L71" s="1194">
        <f t="shared" si="17"/>
        <v>51170</v>
      </c>
      <c r="M71" s="1195">
        <f>IFERROR(VLOOKUP(B71,[10]Allocation_eGMS!$A$8:$E$93,5,FALSE),0)</f>
        <v>0</v>
      </c>
      <c r="N71" s="562">
        <f>'[11]7-12 by LEA'!K73</f>
        <v>2397</v>
      </c>
      <c r="O71" s="1177">
        <f t="shared" si="14"/>
        <v>62322</v>
      </c>
      <c r="P71" s="1178">
        <f t="shared" si="15"/>
        <v>113492</v>
      </c>
      <c r="R71" s="562">
        <f>VLOOKUP(B71,'[12]Oct 1 MFP LEA MER'!$B$6:$M$74,12,FALSE)</f>
        <v>1577</v>
      </c>
    </row>
    <row r="72" spans="1:18">
      <c r="A72" s="564">
        <f t="shared" si="16"/>
        <v>68</v>
      </c>
      <c r="B72" s="565">
        <v>68</v>
      </c>
      <c r="C72" s="270" t="s">
        <v>27</v>
      </c>
      <c r="D72" s="557">
        <v>0</v>
      </c>
      <c r="E72" s="566">
        <f t="shared" si="13"/>
        <v>0</v>
      </c>
      <c r="F72" s="557"/>
      <c r="G72" s="1173">
        <f>ROUND($G$3*F72,0)</f>
        <v>0</v>
      </c>
      <c r="H72" s="557"/>
      <c r="I72" s="1173">
        <f>ROUND($I$3*H72,0)</f>
        <v>0</v>
      </c>
      <c r="J72" s="1203">
        <f>G72+I72</f>
        <v>0</v>
      </c>
      <c r="K72" s="557">
        <f>'[9]Formatted for MFP'!G71</f>
        <v>42</v>
      </c>
      <c r="L72" s="1190">
        <f t="shared" si="17"/>
        <v>25000</v>
      </c>
      <c r="M72" s="1191">
        <f>IFERROR(VLOOKUP(B72,[10]Allocation_eGMS!$A$8:$E$93,5,FALSE),0)</f>
        <v>0</v>
      </c>
      <c r="N72" s="557">
        <f>'[11]7-12 by LEA'!K74</f>
        <v>710</v>
      </c>
      <c r="O72" s="1173">
        <f t="shared" si="14"/>
        <v>18460</v>
      </c>
      <c r="P72" s="1174">
        <f t="shared" si="15"/>
        <v>43460</v>
      </c>
      <c r="R72" s="557">
        <f>VLOOKUP(B72,'[12]Oct 1 MFP LEA MER'!$B$6:$M$74,12,FALSE)</f>
        <v>482</v>
      </c>
    </row>
    <row r="73" spans="1:18">
      <c r="A73" s="546">
        <f t="shared" si="16"/>
        <v>69</v>
      </c>
      <c r="B73" s="567">
        <v>69</v>
      </c>
      <c r="C73" s="142" t="s">
        <v>147</v>
      </c>
      <c r="D73" s="558">
        <v>0</v>
      </c>
      <c r="E73" s="568">
        <f t="shared" si="13"/>
        <v>0</v>
      </c>
      <c r="F73" s="558"/>
      <c r="G73" s="1175">
        <f>ROUND($G$3*F73,0)</f>
        <v>0</v>
      </c>
      <c r="H73" s="558"/>
      <c r="I73" s="1175">
        <f>ROUND($I$3*H73,0)</f>
        <v>0</v>
      </c>
      <c r="J73" s="1204">
        <f>G73+I73</f>
        <v>0</v>
      </c>
      <c r="K73" s="558">
        <f>'[9]Formatted for MFP'!G72</f>
        <v>175</v>
      </c>
      <c r="L73" s="1192">
        <f t="shared" si="17"/>
        <v>41650</v>
      </c>
      <c r="M73" s="1193">
        <f>IFERROR(VLOOKUP(B73,[10]Allocation_eGMS!$A$8:$E$93,5,FALSE),0)</f>
        <v>6616</v>
      </c>
      <c r="N73" s="558">
        <f>'[11]7-12 by LEA'!K75</f>
        <v>1869</v>
      </c>
      <c r="O73" s="1175">
        <f t="shared" si="14"/>
        <v>48594</v>
      </c>
      <c r="P73" s="1176">
        <f t="shared" si="15"/>
        <v>96860</v>
      </c>
      <c r="R73" s="558">
        <f>VLOOKUP(B73,'[12]Oct 1 MFP LEA MER'!$B$6:$M$74,12,FALSE)</f>
        <v>1310</v>
      </c>
    </row>
    <row r="74" spans="1:18" ht="13.5" thickBot="1">
      <c r="A74" s="546">
        <f t="shared" si="16"/>
        <v>0</v>
      </c>
      <c r="B74" s="143"/>
      <c r="C74" s="144" t="s">
        <v>490</v>
      </c>
      <c r="D74" s="405">
        <f>SUM(D5:D73)</f>
        <v>211</v>
      </c>
      <c r="E74" s="1212">
        <f>SUM(E5:E73)</f>
        <v>4431000</v>
      </c>
      <c r="F74" s="405">
        <f t="shared" ref="F74:P74" si="18">SUM(F5:F73)</f>
        <v>53</v>
      </c>
      <c r="G74" s="1179">
        <f t="shared" si="18"/>
        <v>318000</v>
      </c>
      <c r="H74" s="405">
        <f t="shared" si="18"/>
        <v>64</v>
      </c>
      <c r="I74" s="1179">
        <f t="shared" si="18"/>
        <v>256000</v>
      </c>
      <c r="J74" s="1206">
        <f t="shared" si="18"/>
        <v>574000</v>
      </c>
      <c r="K74" s="405">
        <f t="shared" si="18"/>
        <v>19407.542016806721</v>
      </c>
      <c r="L74" s="1196">
        <f>SUM(L5:L73)</f>
        <v>5047031</v>
      </c>
      <c r="M74" s="1197">
        <f t="shared" si="18"/>
        <v>2830382</v>
      </c>
      <c r="N74" s="405">
        <f t="shared" si="18"/>
        <v>273209</v>
      </c>
      <c r="O74" s="1179">
        <f t="shared" si="18"/>
        <v>7103434</v>
      </c>
      <c r="P74" s="1180">
        <f t="shared" si="18"/>
        <v>19985847</v>
      </c>
      <c r="R74" s="405">
        <f t="shared" ref="R74" si="19">SUM(R5:R73)</f>
        <v>182428</v>
      </c>
    </row>
    <row r="75" spans="1:18" s="570" customFormat="1" ht="7.15" customHeight="1" thickTop="1">
      <c r="A75" s="546">
        <f t="shared" si="16"/>
        <v>0</v>
      </c>
      <c r="B75" s="569"/>
      <c r="C75" s="90"/>
      <c r="D75" s="406"/>
      <c r="E75" s="1182"/>
      <c r="F75" s="406"/>
      <c r="G75" s="1181"/>
      <c r="H75" s="406"/>
      <c r="I75" s="1181"/>
      <c r="J75" s="1182"/>
      <c r="K75" s="406"/>
      <c r="L75" s="1182"/>
      <c r="M75" s="1182"/>
      <c r="N75" s="406"/>
      <c r="O75" s="1181"/>
      <c r="P75" s="1182"/>
      <c r="R75" s="406"/>
    </row>
    <row r="76" spans="1:18" s="570" customFormat="1">
      <c r="A76" s="546">
        <f t="shared" si="16"/>
        <v>318001</v>
      </c>
      <c r="B76" s="571">
        <v>318001</v>
      </c>
      <c r="C76" s="572" t="s">
        <v>480</v>
      </c>
      <c r="D76" s="556">
        <v>0</v>
      </c>
      <c r="E76" s="559">
        <f>ROUND($E$3*D76,0)</f>
        <v>0</v>
      </c>
      <c r="F76" s="556"/>
      <c r="G76" s="1171">
        <f>ROUND($G$3*F76,0)</f>
        <v>0</v>
      </c>
      <c r="H76" s="556"/>
      <c r="I76" s="1171">
        <f>ROUND($I$3*H76,0)</f>
        <v>0</v>
      </c>
      <c r="J76" s="1202">
        <f>G76+I76</f>
        <v>0</v>
      </c>
      <c r="K76" s="556"/>
      <c r="L76" s="1188">
        <f>IF(R76&gt;0,IF($L$3*K76&lt;10000,10000,$L$3*K76),0)</f>
        <v>10000</v>
      </c>
      <c r="M76" s="1189">
        <f>IFERROR(VLOOKUP(B76,[10]Allocation_eGMS!$A$8:$E$93,5,FALSE),0)</f>
        <v>0</v>
      </c>
      <c r="N76" s="556">
        <f>VLOOKUP(B76,'[11]7-12 by Site'!$A$6:$I$148,9,FALSE)</f>
        <v>658</v>
      </c>
      <c r="O76" s="1171">
        <f>ROUND(N76*$O$3,0)</f>
        <v>17108</v>
      </c>
      <c r="P76" s="1172">
        <f>+L76+J76+E76+M76+O76</f>
        <v>27108</v>
      </c>
      <c r="R76" s="556">
        <f>VLOOKUP(B76,'[12]Oct 1 MFP Site MER'!$B$6:$M$110,12,FALSE)</f>
        <v>448</v>
      </c>
    </row>
    <row r="77" spans="1:18" s="570" customFormat="1">
      <c r="A77" s="546">
        <f t="shared" si="16"/>
        <v>319001</v>
      </c>
      <c r="B77" s="573">
        <v>319001</v>
      </c>
      <c r="C77" s="89" t="s">
        <v>481</v>
      </c>
      <c r="D77" s="558">
        <v>0</v>
      </c>
      <c r="E77" s="568">
        <f>ROUND($E$3*D77,0)</f>
        <v>0</v>
      </c>
      <c r="F77" s="558"/>
      <c r="G77" s="1175">
        <f>ROUND($G$3*F77,0)</f>
        <v>0</v>
      </c>
      <c r="H77" s="558"/>
      <c r="I77" s="1175">
        <f>ROUND($I$3*H77,0)</f>
        <v>0</v>
      </c>
      <c r="J77" s="1204">
        <f>G77+I77</f>
        <v>0</v>
      </c>
      <c r="K77" s="558"/>
      <c r="L77" s="1192">
        <f>IF(R77&gt;0,IF($L$3*K77&lt;10000,10000,$L$3*K77),0)</f>
        <v>10000</v>
      </c>
      <c r="M77" s="1193">
        <f>IFERROR(VLOOKUP(B77,[10]Allocation_eGMS!$A$8:$E$93,5,FALSE),0)</f>
        <v>0</v>
      </c>
      <c r="N77" s="558">
        <f>VLOOKUP(B77,'[11]7-12 by Site'!$A$6:$I$148,9,FALSE)</f>
        <v>341</v>
      </c>
      <c r="O77" s="1175">
        <f>ROUND(N77*$O$3,0)</f>
        <v>8866</v>
      </c>
      <c r="P77" s="1176">
        <f>+L77+J77+E77+M77+O77</f>
        <v>18866</v>
      </c>
      <c r="R77" s="558">
        <f>VLOOKUP(B77,'[12]Oct 1 MFP Site MER'!$B$6:$M$110,12,FALSE)</f>
        <v>396</v>
      </c>
    </row>
    <row r="78" spans="1:18" ht="13.5" thickBot="1">
      <c r="A78" s="546">
        <f t="shared" si="16"/>
        <v>0</v>
      </c>
      <c r="B78" s="143"/>
      <c r="C78" s="144" t="s">
        <v>482</v>
      </c>
      <c r="D78" s="405">
        <f>SUM(D76:D77)</f>
        <v>0</v>
      </c>
      <c r="E78" s="1212">
        <f>SUM(E76:E77)</f>
        <v>0</v>
      </c>
      <c r="F78" s="405">
        <f>SUM(F76:F77)</f>
        <v>0</v>
      </c>
      <c r="G78" s="1179">
        <f t="shared" ref="G78:P78" si="20">SUM(G76:G77)</f>
        <v>0</v>
      </c>
      <c r="H78" s="405">
        <f t="shared" si="20"/>
        <v>0</v>
      </c>
      <c r="I78" s="1179">
        <f t="shared" si="20"/>
        <v>0</v>
      </c>
      <c r="J78" s="1206">
        <f t="shared" si="20"/>
        <v>0</v>
      </c>
      <c r="K78" s="405">
        <f t="shared" si="20"/>
        <v>0</v>
      </c>
      <c r="L78" s="1196">
        <f t="shared" si="20"/>
        <v>20000</v>
      </c>
      <c r="M78" s="1197">
        <f t="shared" si="20"/>
        <v>0</v>
      </c>
      <c r="N78" s="405">
        <f t="shared" si="20"/>
        <v>999</v>
      </c>
      <c r="O78" s="1179">
        <f t="shared" si="20"/>
        <v>25974</v>
      </c>
      <c r="P78" s="1180">
        <f t="shared" si="20"/>
        <v>45974</v>
      </c>
      <c r="R78" s="405">
        <f t="shared" ref="R78" si="21">SUM(R76:R77)</f>
        <v>844</v>
      </c>
    </row>
    <row r="79" spans="1:18" ht="7.15" customHeight="1" thickTop="1">
      <c r="A79" s="546">
        <f t="shared" si="16"/>
        <v>0</v>
      </c>
      <c r="B79" s="574"/>
      <c r="C79" s="91"/>
      <c r="D79" s="406"/>
      <c r="E79" s="1182"/>
      <c r="F79" s="406"/>
      <c r="G79" s="1181"/>
      <c r="H79" s="406"/>
      <c r="I79" s="1181"/>
      <c r="J79" s="1182"/>
      <c r="K79" s="406"/>
      <c r="L79" s="1182"/>
      <c r="M79" s="1182"/>
      <c r="N79" s="406"/>
      <c r="O79" s="1181"/>
      <c r="P79" s="1182"/>
      <c r="R79" s="406"/>
    </row>
    <row r="80" spans="1:18">
      <c r="A80" s="575">
        <f t="shared" si="16"/>
        <v>302006</v>
      </c>
      <c r="B80" s="571">
        <v>302006</v>
      </c>
      <c r="C80" s="572" t="s">
        <v>989</v>
      </c>
      <c r="D80" s="556">
        <v>0</v>
      </c>
      <c r="E80" s="559">
        <f>ROUND($E$3*D80,0)</f>
        <v>0</v>
      </c>
      <c r="F80" s="556"/>
      <c r="G80" s="1171">
        <f>ROUND($G$3*F80,0)</f>
        <v>0</v>
      </c>
      <c r="H80" s="556"/>
      <c r="I80" s="1171">
        <f>ROUND($I$3*H80,0)</f>
        <v>0</v>
      </c>
      <c r="J80" s="1202">
        <f>G80+I80</f>
        <v>0</v>
      </c>
      <c r="K80" s="556"/>
      <c r="L80" s="1188">
        <f>IF(R80&gt;0,IF($L$3*K80&lt;10000,10000,$L$3*K80),0)</f>
        <v>10000</v>
      </c>
      <c r="M80" s="1189">
        <f>IFERROR(VLOOKUP(B80,[10]Allocation_eGMS!$A$8:$E$93,5,FALSE),0)</f>
        <v>0</v>
      </c>
      <c r="N80" s="556">
        <f>VLOOKUP(B80,'[11]7-12 by Site'!$A$6:$I$148,9,FALSE)</f>
        <v>278</v>
      </c>
      <c r="O80" s="1171">
        <f>ROUND(N80*$O$3,0)</f>
        <v>7228</v>
      </c>
      <c r="P80" s="1172">
        <f>+L80+J80+E80+M80+O80</f>
        <v>17228</v>
      </c>
      <c r="R80" s="556">
        <f>VLOOKUP(B80,'[12]Oct 1 MFP Site MER'!$B$6:$M$110,12,FALSE)</f>
        <v>308</v>
      </c>
    </row>
    <row r="81" spans="1:18">
      <c r="A81" s="575">
        <f t="shared" si="16"/>
        <v>334001</v>
      </c>
      <c r="B81" s="573">
        <v>334001</v>
      </c>
      <c r="C81" s="89" t="s">
        <v>990</v>
      </c>
      <c r="D81" s="558">
        <v>0</v>
      </c>
      <c r="E81" s="568">
        <f>ROUND($E$3*D81,0)</f>
        <v>0</v>
      </c>
      <c r="F81" s="558"/>
      <c r="G81" s="1175">
        <f>ROUND($G$3*F81,0)</f>
        <v>0</v>
      </c>
      <c r="H81" s="558"/>
      <c r="I81" s="1175">
        <f>ROUND($I$3*H81,0)</f>
        <v>0</v>
      </c>
      <c r="J81" s="1204">
        <f>G81+I81</f>
        <v>0</v>
      </c>
      <c r="K81" s="558"/>
      <c r="L81" s="1192">
        <f>IF(R81&gt;0,IF($L$3*K81&lt;10000,10000,$L$3*K81),0)</f>
        <v>10000</v>
      </c>
      <c r="M81" s="1193">
        <f>IFERROR(VLOOKUP(B81,[10]Allocation_eGMS!$A$8:$E$93,5,FALSE),0)</f>
        <v>0</v>
      </c>
      <c r="N81" s="558">
        <f>VLOOKUP(B81,'[11]7-12 by Site'!$A$6:$I$148,9,FALSE)</f>
        <v>175</v>
      </c>
      <c r="O81" s="1175">
        <f>ROUND(N81*$O$3,0)</f>
        <v>4550</v>
      </c>
      <c r="P81" s="1176">
        <f>+L81+J81+E81+M81+O81</f>
        <v>14550</v>
      </c>
      <c r="R81" s="558">
        <f>VLOOKUP(B81,'[12]Oct 1 MFP Site MER'!$B$6:$M$110,12,FALSE)</f>
        <v>242</v>
      </c>
    </row>
    <row r="82" spans="1:18" ht="13.5" thickBot="1">
      <c r="A82" s="546">
        <f t="shared" si="16"/>
        <v>0</v>
      </c>
      <c r="B82" s="143"/>
      <c r="C82" s="144" t="s">
        <v>496</v>
      </c>
      <c r="D82" s="405">
        <f t="shared" ref="D82:L82" si="22">SUM(D80:D81)</f>
        <v>0</v>
      </c>
      <c r="E82" s="1212">
        <f t="shared" si="22"/>
        <v>0</v>
      </c>
      <c r="F82" s="405">
        <f t="shared" si="22"/>
        <v>0</v>
      </c>
      <c r="G82" s="1179">
        <f t="shared" si="22"/>
        <v>0</v>
      </c>
      <c r="H82" s="405">
        <f t="shared" si="22"/>
        <v>0</v>
      </c>
      <c r="I82" s="1179">
        <f t="shared" si="22"/>
        <v>0</v>
      </c>
      <c r="J82" s="1206">
        <f t="shared" si="22"/>
        <v>0</v>
      </c>
      <c r="K82" s="405">
        <f t="shared" si="22"/>
        <v>0</v>
      </c>
      <c r="L82" s="1196">
        <f t="shared" si="22"/>
        <v>20000</v>
      </c>
      <c r="M82" s="1197">
        <f>SUM(M80:M81)</f>
        <v>0</v>
      </c>
      <c r="N82" s="405">
        <f>SUM(N80:N81)</f>
        <v>453</v>
      </c>
      <c r="O82" s="1179">
        <f>SUM(O80:O81)</f>
        <v>11778</v>
      </c>
      <c r="P82" s="1180">
        <f>SUM(P80:P81)</f>
        <v>31778</v>
      </c>
      <c r="R82" s="405">
        <f>SUM(R80:R81)</f>
        <v>550</v>
      </c>
    </row>
    <row r="83" spans="1:18" ht="7.15" customHeight="1" thickTop="1">
      <c r="A83" s="546">
        <f t="shared" si="16"/>
        <v>0</v>
      </c>
      <c r="B83" s="576"/>
      <c r="C83" s="92"/>
      <c r="D83" s="406"/>
      <c r="E83" s="1182"/>
      <c r="F83" s="406"/>
      <c r="G83" s="1181"/>
      <c r="H83" s="406"/>
      <c r="I83" s="1181"/>
      <c r="J83" s="1182"/>
      <c r="K83" s="406"/>
      <c r="L83" s="1182"/>
      <c r="M83" s="1182"/>
      <c r="N83" s="406"/>
      <c r="O83" s="1181"/>
      <c r="P83" s="1182"/>
      <c r="R83" s="406"/>
    </row>
    <row r="84" spans="1:18">
      <c r="A84" s="575">
        <f t="shared" si="16"/>
        <v>321001</v>
      </c>
      <c r="B84" s="267">
        <v>321001</v>
      </c>
      <c r="C84" s="268" t="s">
        <v>991</v>
      </c>
      <c r="D84" s="556">
        <v>0</v>
      </c>
      <c r="E84" s="1209">
        <f t="shared" ref="E84:E91" si="23">ROUND($E$3*D84,0)</f>
        <v>0</v>
      </c>
      <c r="F84" s="556"/>
      <c r="G84" s="1171">
        <f t="shared" ref="G84:G91" si="24">ROUND($G$3*F84,0)</f>
        <v>0</v>
      </c>
      <c r="H84" s="556"/>
      <c r="I84" s="1171">
        <f t="shared" ref="I84:I91" si="25">ROUND($I$3*H84,0)</f>
        <v>0</v>
      </c>
      <c r="J84" s="1202">
        <f t="shared" ref="J84:J91" si="26">G84+I84</f>
        <v>0</v>
      </c>
      <c r="K84" s="556"/>
      <c r="L84" s="1188">
        <f t="shared" ref="L84:L91" si="27">IF(R84&gt;0,IF($L$3*K84&lt;10000,10000,$L$3*K84),0)</f>
        <v>0</v>
      </c>
      <c r="M84" s="1189">
        <f>IFERROR(VLOOKUP(B84,[10]Allocation_eGMS!$A$8:$E$93,5,FALSE),0)</f>
        <v>0</v>
      </c>
      <c r="N84" s="556">
        <f>VLOOKUP(B84,'[11]7-12 by Site'!$A$6:$I$148,9,FALSE)</f>
        <v>0</v>
      </c>
      <c r="O84" s="1171">
        <f t="shared" ref="O84:O91" si="28">ROUND(N84*$O$3,0)</f>
        <v>0</v>
      </c>
      <c r="P84" s="1172">
        <f t="shared" ref="P84:P91" si="29">+L84+J84+E84+M84+O84</f>
        <v>0</v>
      </c>
      <c r="R84" s="556">
        <f>VLOOKUP(B84,'[12]Oct 1 MFP Site MER'!$B$6:$M$110,12,FALSE)</f>
        <v>0</v>
      </c>
    </row>
    <row r="85" spans="1:18">
      <c r="A85" s="575">
        <f t="shared" si="16"/>
        <v>329001</v>
      </c>
      <c r="B85" s="269">
        <v>329001</v>
      </c>
      <c r="C85" s="270" t="s">
        <v>992</v>
      </c>
      <c r="D85" s="557">
        <v>0</v>
      </c>
      <c r="E85" s="1210">
        <f t="shared" si="23"/>
        <v>0</v>
      </c>
      <c r="F85" s="557"/>
      <c r="G85" s="1173">
        <f t="shared" si="24"/>
        <v>0</v>
      </c>
      <c r="H85" s="557"/>
      <c r="I85" s="1173">
        <f t="shared" si="25"/>
        <v>0</v>
      </c>
      <c r="J85" s="1203">
        <f t="shared" si="26"/>
        <v>0</v>
      </c>
      <c r="K85" s="557"/>
      <c r="L85" s="1190">
        <f t="shared" si="27"/>
        <v>0</v>
      </c>
      <c r="M85" s="1191">
        <f>IFERROR(VLOOKUP(B85,[10]Allocation_eGMS!$A$8:$E$93,5,FALSE),0)</f>
        <v>0</v>
      </c>
      <c r="N85" s="557">
        <f>VLOOKUP(B85,'[11]7-12 by Site'!$A$6:$I$148,9,FALSE)</f>
        <v>75</v>
      </c>
      <c r="O85" s="1173">
        <f t="shared" si="28"/>
        <v>1950</v>
      </c>
      <c r="P85" s="1174">
        <f t="shared" si="29"/>
        <v>1950</v>
      </c>
      <c r="R85" s="557">
        <f>VLOOKUP(B85,'[12]Oct 1 MFP Site MER'!$B$6:$M$110,12,FALSE)</f>
        <v>0</v>
      </c>
    </row>
    <row r="86" spans="1:18">
      <c r="A86" s="575">
        <f t="shared" si="16"/>
        <v>331001</v>
      </c>
      <c r="B86" s="269">
        <v>331001</v>
      </c>
      <c r="C86" s="270" t="s">
        <v>993</v>
      </c>
      <c r="D86" s="557">
        <v>20</v>
      </c>
      <c r="E86" s="1210">
        <f t="shared" si="23"/>
        <v>420000</v>
      </c>
      <c r="F86" s="557">
        <v>5</v>
      </c>
      <c r="G86" s="1173">
        <f t="shared" si="24"/>
        <v>30000</v>
      </c>
      <c r="H86" s="557">
        <v>9</v>
      </c>
      <c r="I86" s="1173">
        <f t="shared" si="25"/>
        <v>36000</v>
      </c>
      <c r="J86" s="1203">
        <f t="shared" si="26"/>
        <v>66000</v>
      </c>
      <c r="K86" s="557"/>
      <c r="L86" s="1190">
        <f t="shared" si="27"/>
        <v>0</v>
      </c>
      <c r="M86" s="1191">
        <f>IFERROR(VLOOKUP(B86,[10]Allocation_eGMS!$A$8:$E$93,5,FALSE),0)</f>
        <v>0</v>
      </c>
      <c r="N86" s="557">
        <f>VLOOKUP(B86,'[11]7-12 by Site'!$A$6:$I$148,9,FALSE)</f>
        <v>74</v>
      </c>
      <c r="O86" s="1173">
        <f t="shared" si="28"/>
        <v>1924</v>
      </c>
      <c r="P86" s="1174">
        <f t="shared" si="29"/>
        <v>487924</v>
      </c>
      <c r="R86" s="557">
        <f>VLOOKUP(B86,'[12]Oct 1 MFP Site MER'!$B$6:$M$110,12,FALSE)</f>
        <v>0</v>
      </c>
    </row>
    <row r="87" spans="1:18">
      <c r="A87" s="575">
        <f t="shared" si="16"/>
        <v>333001</v>
      </c>
      <c r="B87" s="269">
        <v>333001</v>
      </c>
      <c r="C87" s="270" t="s">
        <v>994</v>
      </c>
      <c r="D87" s="557">
        <v>0</v>
      </c>
      <c r="E87" s="1210">
        <f t="shared" si="23"/>
        <v>0</v>
      </c>
      <c r="F87" s="557"/>
      <c r="G87" s="1173">
        <f t="shared" si="24"/>
        <v>0</v>
      </c>
      <c r="H87" s="557"/>
      <c r="I87" s="1173">
        <f t="shared" si="25"/>
        <v>0</v>
      </c>
      <c r="J87" s="1203">
        <f t="shared" si="26"/>
        <v>0</v>
      </c>
      <c r="K87" s="557"/>
      <c r="L87" s="1190">
        <f t="shared" si="27"/>
        <v>10000</v>
      </c>
      <c r="M87" s="1191">
        <f>IFERROR(VLOOKUP(B87,[10]Allocation_eGMS!$A$8:$E$93,5,FALSE),0)</f>
        <v>0</v>
      </c>
      <c r="N87" s="557">
        <f>VLOOKUP(B87,'[11]7-12 by Site'!$A$6:$I$148,9,FALSE)</f>
        <v>333</v>
      </c>
      <c r="O87" s="1173">
        <f t="shared" si="28"/>
        <v>8658</v>
      </c>
      <c r="P87" s="1174">
        <f t="shared" si="29"/>
        <v>18658</v>
      </c>
      <c r="R87" s="557">
        <f>VLOOKUP(B87,'[12]Oct 1 MFP Site MER'!$B$6:$M$110,12,FALSE)</f>
        <v>226</v>
      </c>
    </row>
    <row r="88" spans="1:18">
      <c r="A88" s="575">
        <f t="shared" si="16"/>
        <v>336001</v>
      </c>
      <c r="B88" s="141">
        <v>336001</v>
      </c>
      <c r="C88" s="142" t="s">
        <v>995</v>
      </c>
      <c r="D88" s="558">
        <v>0</v>
      </c>
      <c r="E88" s="1211">
        <f t="shared" si="23"/>
        <v>0</v>
      </c>
      <c r="F88" s="558"/>
      <c r="G88" s="1175">
        <f t="shared" si="24"/>
        <v>0</v>
      </c>
      <c r="H88" s="558"/>
      <c r="I88" s="1175">
        <f t="shared" si="25"/>
        <v>0</v>
      </c>
      <c r="J88" s="1204">
        <f t="shared" si="26"/>
        <v>0</v>
      </c>
      <c r="K88" s="558">
        <f>'[9]Formatted for MFP'!$G$75</f>
        <v>15</v>
      </c>
      <c r="L88" s="1192">
        <f t="shared" si="27"/>
        <v>10000</v>
      </c>
      <c r="M88" s="1193">
        <f>IFERROR(VLOOKUP(B88,[10]Allocation_eGMS!$A$8:$E$93,5,FALSE),0)</f>
        <v>0</v>
      </c>
      <c r="N88" s="558">
        <f>VLOOKUP(B88,'[11]7-12 by Site'!$A$6:$I$148,9,FALSE)</f>
        <v>410</v>
      </c>
      <c r="O88" s="1175">
        <f t="shared" si="28"/>
        <v>10660</v>
      </c>
      <c r="P88" s="1176">
        <f t="shared" si="29"/>
        <v>20660</v>
      </c>
      <c r="R88" s="558">
        <f>VLOOKUP(B88,'[12]Oct 1 MFP Site MER'!$B$6:$M$110,12,FALSE)</f>
        <v>230</v>
      </c>
    </row>
    <row r="89" spans="1:18">
      <c r="A89" s="575">
        <f t="shared" si="16"/>
        <v>337001</v>
      </c>
      <c r="B89" s="269">
        <v>337001</v>
      </c>
      <c r="C89" s="270" t="s">
        <v>996</v>
      </c>
      <c r="D89" s="557">
        <v>0</v>
      </c>
      <c r="E89" s="566">
        <f t="shared" si="23"/>
        <v>0</v>
      </c>
      <c r="F89" s="557"/>
      <c r="G89" s="1173">
        <f t="shared" si="24"/>
        <v>0</v>
      </c>
      <c r="H89" s="557"/>
      <c r="I89" s="1173">
        <f t="shared" si="25"/>
        <v>0</v>
      </c>
      <c r="J89" s="1203">
        <f t="shared" si="26"/>
        <v>0</v>
      </c>
      <c r="K89" s="557"/>
      <c r="L89" s="1190">
        <f t="shared" si="27"/>
        <v>0</v>
      </c>
      <c r="M89" s="1191">
        <f>IFERROR(VLOOKUP(B89,[10]Allocation_eGMS!$A$8:$E$93,5,FALSE),0)</f>
        <v>0</v>
      </c>
      <c r="N89" s="557">
        <f>VLOOKUP(B89,'[11]7-12 by Site'!$A$6:$I$148,9,FALSE)</f>
        <v>214</v>
      </c>
      <c r="O89" s="1173">
        <f t="shared" si="28"/>
        <v>5564</v>
      </c>
      <c r="P89" s="1174">
        <f t="shared" si="29"/>
        <v>5564</v>
      </c>
      <c r="R89" s="557">
        <f>VLOOKUP(B89,'[12]Oct 1 MFP Site MER'!$B$6:$M$110,12,FALSE)</f>
        <v>0</v>
      </c>
    </row>
    <row r="90" spans="1:18">
      <c r="A90" s="575">
        <f t="shared" si="16"/>
        <v>339001</v>
      </c>
      <c r="B90" s="269">
        <v>339001</v>
      </c>
      <c r="C90" s="270" t="s">
        <v>997</v>
      </c>
      <c r="D90" s="557">
        <v>0</v>
      </c>
      <c r="E90" s="566">
        <f t="shared" si="23"/>
        <v>0</v>
      </c>
      <c r="F90" s="557"/>
      <c r="G90" s="1173">
        <f t="shared" si="24"/>
        <v>0</v>
      </c>
      <c r="H90" s="557"/>
      <c r="I90" s="1173">
        <f t="shared" si="25"/>
        <v>0</v>
      </c>
      <c r="J90" s="1203">
        <f t="shared" si="26"/>
        <v>0</v>
      </c>
      <c r="K90" s="557"/>
      <c r="L90" s="1190">
        <f t="shared" si="27"/>
        <v>0</v>
      </c>
      <c r="M90" s="1191">
        <f>IFERROR(VLOOKUP(B90,[10]Allocation_eGMS!$A$8:$E$93,5,FALSE),0)</f>
        <v>0</v>
      </c>
      <c r="N90" s="557">
        <f>VLOOKUP(B90,'[11]7-12 by Site'!$A$6:$I$148,9,FALSE)</f>
        <v>84</v>
      </c>
      <c r="O90" s="1173">
        <f t="shared" si="28"/>
        <v>2184</v>
      </c>
      <c r="P90" s="1174">
        <f t="shared" si="29"/>
        <v>2184</v>
      </c>
      <c r="R90" s="557">
        <f>VLOOKUP(B90,'[12]Oct 1 MFP Site MER'!$B$6:$M$110,12,FALSE)</f>
        <v>0</v>
      </c>
    </row>
    <row r="91" spans="1:18">
      <c r="A91" s="575">
        <f t="shared" si="16"/>
        <v>340001</v>
      </c>
      <c r="B91" s="141">
        <v>340001</v>
      </c>
      <c r="C91" s="142" t="s">
        <v>998</v>
      </c>
      <c r="D91" s="558">
        <v>0</v>
      </c>
      <c r="E91" s="568">
        <f t="shared" si="23"/>
        <v>0</v>
      </c>
      <c r="F91" s="558"/>
      <c r="G91" s="1175">
        <f t="shared" si="24"/>
        <v>0</v>
      </c>
      <c r="H91" s="558"/>
      <c r="I91" s="1175">
        <f t="shared" si="25"/>
        <v>0</v>
      </c>
      <c r="J91" s="1204">
        <f t="shared" si="26"/>
        <v>0</v>
      </c>
      <c r="K91" s="558"/>
      <c r="L91" s="1192">
        <f t="shared" si="27"/>
        <v>0</v>
      </c>
      <c r="M91" s="1193">
        <f>IFERROR(VLOOKUP(B91,[10]Allocation_eGMS!$A$8:$E$93,5,FALSE),0)</f>
        <v>0</v>
      </c>
      <c r="N91" s="558">
        <f>VLOOKUP(B91,'[11]7-12 by Site'!$A$6:$I$148,9,FALSE)</f>
        <v>29</v>
      </c>
      <c r="O91" s="1175">
        <f t="shared" si="28"/>
        <v>754</v>
      </c>
      <c r="P91" s="1176">
        <f t="shared" si="29"/>
        <v>754</v>
      </c>
      <c r="R91" s="558">
        <f>VLOOKUP(B91,'[12]Oct 1 MFP Site MER'!$B$6:$M$110,12,FALSE)</f>
        <v>0</v>
      </c>
    </row>
    <row r="92" spans="1:18" ht="13.5" thickBot="1">
      <c r="A92" s="546">
        <f t="shared" si="16"/>
        <v>0</v>
      </c>
      <c r="B92" s="143"/>
      <c r="C92" s="144" t="s">
        <v>483</v>
      </c>
      <c r="D92" s="405">
        <f>SUM(D84:D91)</f>
        <v>20</v>
      </c>
      <c r="E92" s="1212">
        <f>SUM(E84:E91)</f>
        <v>420000</v>
      </c>
      <c r="F92" s="405">
        <f>SUM(F84:F91)</f>
        <v>5</v>
      </c>
      <c r="G92" s="1179">
        <f t="shared" ref="G92:P92" si="30">SUM(G84:G91)</f>
        <v>30000</v>
      </c>
      <c r="H92" s="405">
        <f t="shared" si="30"/>
        <v>9</v>
      </c>
      <c r="I92" s="1179">
        <f t="shared" si="30"/>
        <v>36000</v>
      </c>
      <c r="J92" s="1206">
        <f t="shared" si="30"/>
        <v>66000</v>
      </c>
      <c r="K92" s="405">
        <f t="shared" si="30"/>
        <v>15</v>
      </c>
      <c r="L92" s="1196">
        <f t="shared" si="30"/>
        <v>20000</v>
      </c>
      <c r="M92" s="1197">
        <f t="shared" si="30"/>
        <v>0</v>
      </c>
      <c r="N92" s="405">
        <f t="shared" si="30"/>
        <v>1219</v>
      </c>
      <c r="O92" s="1179">
        <f t="shared" si="30"/>
        <v>31694</v>
      </c>
      <c r="P92" s="1180">
        <f t="shared" si="30"/>
        <v>537694</v>
      </c>
      <c r="R92" s="405">
        <f t="shared" ref="R92" si="31">SUM(R84:R91)</f>
        <v>456</v>
      </c>
    </row>
    <row r="93" spans="1:18" ht="7.15" customHeight="1" thickTop="1">
      <c r="A93" s="546">
        <f t="shared" si="16"/>
        <v>0</v>
      </c>
      <c r="B93" s="576"/>
      <c r="C93" s="92"/>
      <c r="D93" s="406"/>
      <c r="E93" s="1182"/>
      <c r="F93" s="406"/>
      <c r="G93" s="1181"/>
      <c r="H93" s="406"/>
      <c r="I93" s="1181"/>
      <c r="J93" s="1182"/>
      <c r="K93" s="406"/>
      <c r="L93" s="1182"/>
      <c r="M93" s="1182"/>
      <c r="N93" s="406"/>
      <c r="O93" s="1181"/>
      <c r="P93" s="1182"/>
      <c r="R93" s="406"/>
    </row>
    <row r="94" spans="1:18">
      <c r="A94" s="546">
        <f t="shared" si="16"/>
        <v>328001</v>
      </c>
      <c r="B94" s="267">
        <v>328001</v>
      </c>
      <c r="C94" s="268" t="s">
        <v>497</v>
      </c>
      <c r="D94" s="556">
        <v>0</v>
      </c>
      <c r="E94" s="1209">
        <f t="shared" ref="E94:E118" si="32">ROUND($E$3*D94,0)</f>
        <v>0</v>
      </c>
      <c r="F94" s="556"/>
      <c r="G94" s="1171">
        <f t="shared" ref="G94:G118" si="33">ROUND($G$3*F94,0)</f>
        <v>0</v>
      </c>
      <c r="H94" s="556"/>
      <c r="I94" s="1171">
        <f t="shared" ref="I94:I118" si="34">ROUND($I$3*H94,0)</f>
        <v>0</v>
      </c>
      <c r="J94" s="1202">
        <f t="shared" ref="J94:J118" si="35">G94+I94</f>
        <v>0</v>
      </c>
      <c r="K94" s="556"/>
      <c r="L94" s="1188">
        <f t="shared" ref="L94:L118" si="36">IF(R94&gt;0,IF($L$3*K94&lt;10000,10000,$L$3*K94),0)</f>
        <v>0</v>
      </c>
      <c r="M94" s="1189">
        <f>IFERROR(VLOOKUP(B94,[10]Allocation_eGMS!$A$8:$E$93,5,FALSE),0)</f>
        <v>0</v>
      </c>
      <c r="N94" s="556">
        <f>VLOOKUP(B94,'[11]7-12 by Site'!$A$6:$I$148,9,FALSE)</f>
        <v>74</v>
      </c>
      <c r="O94" s="1171">
        <f t="shared" ref="O94:O118" si="37">ROUND(N94*$O$3,0)</f>
        <v>1924</v>
      </c>
      <c r="P94" s="1172">
        <f t="shared" ref="P94:P118" si="38">+L94+J94+E94+M94+O94</f>
        <v>1924</v>
      </c>
      <c r="R94" s="556">
        <f>VLOOKUP(B94,'[12]Oct 1 MFP Site MER'!$B$6:$M$110,12,FALSE)</f>
        <v>0</v>
      </c>
    </row>
    <row r="95" spans="1:18">
      <c r="A95" s="546">
        <f t="shared" si="16"/>
        <v>328002</v>
      </c>
      <c r="B95" s="269">
        <v>328002</v>
      </c>
      <c r="C95" s="270" t="s">
        <v>507</v>
      </c>
      <c r="D95" s="557">
        <v>0</v>
      </c>
      <c r="E95" s="1210">
        <f t="shared" si="32"/>
        <v>0</v>
      </c>
      <c r="F95" s="557"/>
      <c r="G95" s="1173">
        <f t="shared" si="33"/>
        <v>0</v>
      </c>
      <c r="H95" s="557"/>
      <c r="I95" s="1173">
        <f t="shared" si="34"/>
        <v>0</v>
      </c>
      <c r="J95" s="1203">
        <f t="shared" si="35"/>
        <v>0</v>
      </c>
      <c r="K95" s="557"/>
      <c r="L95" s="1190">
        <f t="shared" si="36"/>
        <v>10000</v>
      </c>
      <c r="M95" s="1191">
        <f>IFERROR(VLOOKUP(B95,[10]Allocation_eGMS!$A$8:$E$93,5,FALSE),0)</f>
        <v>0</v>
      </c>
      <c r="N95" s="557">
        <v>110</v>
      </c>
      <c r="O95" s="1173">
        <f t="shared" si="37"/>
        <v>2860</v>
      </c>
      <c r="P95" s="1174">
        <f t="shared" si="38"/>
        <v>12860</v>
      </c>
      <c r="R95" s="557">
        <f>VLOOKUP(B95,'[12]Oct 1 MFP Site MER'!$B$6:$M$110,12,FALSE)</f>
        <v>103</v>
      </c>
    </row>
    <row r="96" spans="1:18">
      <c r="A96" s="546">
        <f t="shared" si="16"/>
        <v>341001</v>
      </c>
      <c r="B96" s="269">
        <v>341001</v>
      </c>
      <c r="C96" s="270" t="s">
        <v>498</v>
      </c>
      <c r="D96" s="557">
        <v>0</v>
      </c>
      <c r="E96" s="1210">
        <f t="shared" si="32"/>
        <v>0</v>
      </c>
      <c r="F96" s="557"/>
      <c r="G96" s="1173">
        <f t="shared" si="33"/>
        <v>0</v>
      </c>
      <c r="H96" s="557"/>
      <c r="I96" s="1173">
        <f t="shared" si="34"/>
        <v>0</v>
      </c>
      <c r="J96" s="1203">
        <f t="shared" si="35"/>
        <v>0</v>
      </c>
      <c r="K96" s="557">
        <f>'[9]Formatted for MFP'!$G$76</f>
        <v>16</v>
      </c>
      <c r="L96" s="1190">
        <f t="shared" si="36"/>
        <v>10000</v>
      </c>
      <c r="M96" s="1191">
        <f>IFERROR(VLOOKUP(B96,[10]Allocation_eGMS!$A$8:$E$93,5,FALSE),0)</f>
        <v>0</v>
      </c>
      <c r="N96" s="557">
        <f>VLOOKUP(B96,'[11]7-12 by Site'!$A$6:$I$148,9,FALSE)</f>
        <v>192</v>
      </c>
      <c r="O96" s="1173">
        <f t="shared" si="37"/>
        <v>4992</v>
      </c>
      <c r="P96" s="1174">
        <f t="shared" si="38"/>
        <v>14992</v>
      </c>
      <c r="R96" s="557">
        <f>VLOOKUP(B96,'[12]Oct 1 MFP Site MER'!$B$6:$M$110,12,FALSE)</f>
        <v>137</v>
      </c>
    </row>
    <row r="97" spans="1:18">
      <c r="A97" s="546">
        <f t="shared" si="16"/>
        <v>343001</v>
      </c>
      <c r="B97" s="269">
        <v>343001</v>
      </c>
      <c r="C97" s="270" t="s">
        <v>904</v>
      </c>
      <c r="D97" s="557">
        <v>0</v>
      </c>
      <c r="E97" s="1210">
        <f t="shared" si="32"/>
        <v>0</v>
      </c>
      <c r="F97" s="557"/>
      <c r="G97" s="1173">
        <f t="shared" si="33"/>
        <v>0</v>
      </c>
      <c r="H97" s="557"/>
      <c r="I97" s="1173">
        <f t="shared" si="34"/>
        <v>0</v>
      </c>
      <c r="J97" s="1203">
        <f t="shared" si="35"/>
        <v>0</v>
      </c>
      <c r="K97" s="557"/>
      <c r="L97" s="1190">
        <f t="shared" si="36"/>
        <v>10000</v>
      </c>
      <c r="M97" s="1191">
        <f>IFERROR(VLOOKUP(B97,[10]Allocation_eGMS!$A$8:$E$93,5,FALSE),0)</f>
        <v>0</v>
      </c>
      <c r="N97" s="557">
        <f>VLOOKUP(B97,'[11]7-12 by Site'!$A$6:$I$148,9,FALSE)</f>
        <v>275</v>
      </c>
      <c r="O97" s="1173">
        <f t="shared" si="37"/>
        <v>7150</v>
      </c>
      <c r="P97" s="1174">
        <f t="shared" si="38"/>
        <v>17150</v>
      </c>
      <c r="R97" s="557">
        <f>VLOOKUP(B97,'[12]Oct 1 MFP Site MER'!$B$6:$M$110,12,FALSE)</f>
        <v>346</v>
      </c>
    </row>
    <row r="98" spans="1:18">
      <c r="A98" s="546">
        <f t="shared" si="16"/>
        <v>343002</v>
      </c>
      <c r="B98" s="141">
        <v>343002</v>
      </c>
      <c r="C98" s="142" t="s">
        <v>999</v>
      </c>
      <c r="D98" s="558">
        <v>0</v>
      </c>
      <c r="E98" s="1211">
        <f t="shared" si="32"/>
        <v>0</v>
      </c>
      <c r="F98" s="558"/>
      <c r="G98" s="1175">
        <f t="shared" si="33"/>
        <v>0</v>
      </c>
      <c r="H98" s="558"/>
      <c r="I98" s="1175">
        <f t="shared" si="34"/>
        <v>0</v>
      </c>
      <c r="J98" s="1204">
        <f t="shared" si="35"/>
        <v>0</v>
      </c>
      <c r="K98" s="558"/>
      <c r="L98" s="1192">
        <f t="shared" si="36"/>
        <v>10000</v>
      </c>
      <c r="M98" s="1193">
        <f>IFERROR(VLOOKUP(B98,[10]Allocation_eGMS!$A$8:$E$93,5,FALSE),0)</f>
        <v>0</v>
      </c>
      <c r="N98" s="558">
        <f>VLOOKUP(B98,'[11]7-12 by Site'!$A$6:$I$148,9,FALSE)</f>
        <v>911</v>
      </c>
      <c r="O98" s="1175">
        <f t="shared" si="37"/>
        <v>23686</v>
      </c>
      <c r="P98" s="1176">
        <f t="shared" si="38"/>
        <v>33686</v>
      </c>
      <c r="R98" s="558">
        <f>VLOOKUP(B98,'[12]Oct 1 MFP Site MER'!$B$6:$M$110,12,FALSE)</f>
        <v>556</v>
      </c>
    </row>
    <row r="99" spans="1:18">
      <c r="A99" s="546">
        <f t="shared" si="16"/>
        <v>344001</v>
      </c>
      <c r="B99" s="267">
        <v>344001</v>
      </c>
      <c r="C99" s="268" t="s">
        <v>499</v>
      </c>
      <c r="D99" s="556">
        <v>0</v>
      </c>
      <c r="E99" s="1209">
        <f t="shared" si="32"/>
        <v>0</v>
      </c>
      <c r="F99" s="556"/>
      <c r="G99" s="1171">
        <f t="shared" si="33"/>
        <v>0</v>
      </c>
      <c r="H99" s="556"/>
      <c r="I99" s="1171">
        <f t="shared" si="34"/>
        <v>0</v>
      </c>
      <c r="J99" s="1202">
        <f t="shared" si="35"/>
        <v>0</v>
      </c>
      <c r="K99" s="556"/>
      <c r="L99" s="1188">
        <f t="shared" si="36"/>
        <v>10000</v>
      </c>
      <c r="M99" s="1189">
        <f>IFERROR(VLOOKUP(B99,[10]Allocation_eGMS!$A$8:$E$93,5,FALSE),0)</f>
        <v>11333</v>
      </c>
      <c r="N99" s="556">
        <f>VLOOKUP(B99,'[11]7-12 by Site'!$A$6:$I$148,9,FALSE)</f>
        <v>461</v>
      </c>
      <c r="O99" s="1171">
        <f t="shared" si="37"/>
        <v>11986</v>
      </c>
      <c r="P99" s="1172">
        <f t="shared" si="38"/>
        <v>33319</v>
      </c>
      <c r="R99" s="556">
        <f>VLOOKUP(B99,'[12]Oct 1 MFP Site MER'!$B$6:$M$110,12,FALSE)</f>
        <v>546</v>
      </c>
    </row>
    <row r="100" spans="1:18">
      <c r="A100" s="546">
        <f t="shared" si="16"/>
        <v>345001</v>
      </c>
      <c r="B100" s="269">
        <v>345001</v>
      </c>
      <c r="C100" s="270" t="s">
        <v>485</v>
      </c>
      <c r="D100" s="557">
        <v>0</v>
      </c>
      <c r="E100" s="1210">
        <f t="shared" si="32"/>
        <v>0</v>
      </c>
      <c r="F100" s="557"/>
      <c r="G100" s="1173">
        <f t="shared" si="33"/>
        <v>0</v>
      </c>
      <c r="H100" s="557"/>
      <c r="I100" s="1173">
        <f t="shared" si="34"/>
        <v>0</v>
      </c>
      <c r="J100" s="1203">
        <f t="shared" si="35"/>
        <v>0</v>
      </c>
      <c r="K100" s="557"/>
      <c r="L100" s="1190">
        <f t="shared" si="36"/>
        <v>10000</v>
      </c>
      <c r="M100" s="1191">
        <f>IFERROR(VLOOKUP(B100,[10]Allocation_eGMS!$A$8:$E$93,5,FALSE),0)</f>
        <v>0</v>
      </c>
      <c r="N100" s="557">
        <f>VLOOKUP(B100,'[11]7-12 by Site'!$A$6:$I$148,9,FALSE)</f>
        <v>770</v>
      </c>
      <c r="O100" s="1173">
        <f t="shared" si="37"/>
        <v>20020</v>
      </c>
      <c r="P100" s="1174">
        <f t="shared" si="38"/>
        <v>30020</v>
      </c>
      <c r="R100" s="557">
        <f>VLOOKUP(B100,'[12]Oct 1 MFP Site MER'!$B$6:$M$110,12,FALSE)</f>
        <v>814</v>
      </c>
    </row>
    <row r="101" spans="1:18">
      <c r="A101" s="546">
        <f t="shared" si="16"/>
        <v>346001</v>
      </c>
      <c r="B101" s="269">
        <v>346001</v>
      </c>
      <c r="C101" s="270" t="s">
        <v>500</v>
      </c>
      <c r="D101" s="557">
        <v>0</v>
      </c>
      <c r="E101" s="1210">
        <f t="shared" si="32"/>
        <v>0</v>
      </c>
      <c r="F101" s="557"/>
      <c r="G101" s="1173">
        <f t="shared" si="33"/>
        <v>0</v>
      </c>
      <c r="H101" s="557"/>
      <c r="I101" s="1173">
        <f t="shared" si="34"/>
        <v>0</v>
      </c>
      <c r="J101" s="1203">
        <f t="shared" si="35"/>
        <v>0</v>
      </c>
      <c r="K101" s="557"/>
      <c r="L101" s="1190">
        <f t="shared" si="36"/>
        <v>0</v>
      </c>
      <c r="M101" s="1191">
        <f>IFERROR(VLOOKUP(B101,[10]Allocation_eGMS!$A$8:$E$93,5,FALSE),0)</f>
        <v>0</v>
      </c>
      <c r="N101" s="557">
        <f>VLOOKUP(B101,'[11]7-12 by Site'!$A$6:$I$148,9,FALSE)</f>
        <v>200</v>
      </c>
      <c r="O101" s="1173">
        <f t="shared" si="37"/>
        <v>5200</v>
      </c>
      <c r="P101" s="1174">
        <f t="shared" si="38"/>
        <v>5200</v>
      </c>
      <c r="R101" s="557">
        <f>VLOOKUP(B101,'[12]Oct 1 MFP Site MER'!$B$6:$M$110,12,FALSE)</f>
        <v>0</v>
      </c>
    </row>
    <row r="102" spans="1:18">
      <c r="A102" s="546">
        <f t="shared" si="16"/>
        <v>347001</v>
      </c>
      <c r="B102" s="269">
        <v>347001</v>
      </c>
      <c r="C102" s="270" t="s">
        <v>501</v>
      </c>
      <c r="D102" s="557">
        <v>22</v>
      </c>
      <c r="E102" s="1210">
        <f t="shared" si="32"/>
        <v>462000</v>
      </c>
      <c r="F102" s="557">
        <v>4</v>
      </c>
      <c r="G102" s="1173">
        <f t="shared" si="33"/>
        <v>24000</v>
      </c>
      <c r="H102" s="1300">
        <f>18-1</f>
        <v>17</v>
      </c>
      <c r="I102" s="1173">
        <f t="shared" si="34"/>
        <v>68000</v>
      </c>
      <c r="J102" s="1203">
        <f t="shared" si="35"/>
        <v>92000</v>
      </c>
      <c r="K102" s="557"/>
      <c r="L102" s="1190">
        <f t="shared" si="36"/>
        <v>0</v>
      </c>
      <c r="M102" s="1191">
        <f>IFERROR(VLOOKUP(B102,[10]Allocation_eGMS!$A$8:$E$93,5,FALSE),0)</f>
        <v>0</v>
      </c>
      <c r="N102" s="557">
        <f>VLOOKUP(B102,'[11]7-12 by Site'!$A$6:$I$148,9,FALSE)</f>
        <v>0</v>
      </c>
      <c r="O102" s="1173">
        <f t="shared" si="37"/>
        <v>0</v>
      </c>
      <c r="P102" s="1174">
        <f t="shared" si="38"/>
        <v>554000</v>
      </c>
      <c r="R102" s="557">
        <f>VLOOKUP(B102,'[12]Oct 1 MFP Site MER'!$B$6:$M$110,12,FALSE)</f>
        <v>0</v>
      </c>
    </row>
    <row r="103" spans="1:18">
      <c r="A103" s="546">
        <f t="shared" si="16"/>
        <v>348001</v>
      </c>
      <c r="B103" s="141">
        <v>348001</v>
      </c>
      <c r="C103" s="142" t="s">
        <v>502</v>
      </c>
      <c r="D103" s="558">
        <v>0</v>
      </c>
      <c r="E103" s="1211">
        <f t="shared" si="32"/>
        <v>0</v>
      </c>
      <c r="F103" s="558"/>
      <c r="G103" s="1175">
        <f t="shared" si="33"/>
        <v>0</v>
      </c>
      <c r="H103" s="558"/>
      <c r="I103" s="1175">
        <f t="shared" si="34"/>
        <v>0</v>
      </c>
      <c r="J103" s="1204">
        <f t="shared" si="35"/>
        <v>0</v>
      </c>
      <c r="K103" s="558"/>
      <c r="L103" s="1192">
        <f t="shared" si="36"/>
        <v>10000</v>
      </c>
      <c r="M103" s="1193">
        <f>IFERROR(VLOOKUP(B103,[10]Allocation_eGMS!$A$8:$E$93,5,FALSE),0)</f>
        <v>0</v>
      </c>
      <c r="N103" s="558">
        <f>VLOOKUP(B103,'[11]7-12 by Site'!$A$6:$I$148,9,FALSE)</f>
        <v>357</v>
      </c>
      <c r="O103" s="1175">
        <f t="shared" si="37"/>
        <v>9282</v>
      </c>
      <c r="P103" s="1176">
        <f t="shared" si="38"/>
        <v>19282</v>
      </c>
      <c r="R103" s="558">
        <f>VLOOKUP(B103,'[12]Oct 1 MFP Site MER'!$B$6:$M$110,12,FALSE)</f>
        <v>540</v>
      </c>
    </row>
    <row r="104" spans="1:18">
      <c r="A104" s="546">
        <f t="shared" si="16"/>
        <v>349001</v>
      </c>
      <c r="B104" s="267">
        <v>349001</v>
      </c>
      <c r="C104" s="268" t="s">
        <v>503</v>
      </c>
      <c r="D104" s="556">
        <v>0</v>
      </c>
      <c r="E104" s="1209">
        <f t="shared" si="32"/>
        <v>0</v>
      </c>
      <c r="F104" s="556"/>
      <c r="G104" s="1171">
        <f t="shared" si="33"/>
        <v>0</v>
      </c>
      <c r="H104" s="556"/>
      <c r="I104" s="1171">
        <f t="shared" si="34"/>
        <v>0</v>
      </c>
      <c r="J104" s="1202">
        <f t="shared" si="35"/>
        <v>0</v>
      </c>
      <c r="K104" s="556"/>
      <c r="L104" s="1188">
        <f t="shared" si="36"/>
        <v>10000</v>
      </c>
      <c r="M104" s="1189">
        <f>IFERROR(VLOOKUP(B104,[10]Allocation_eGMS!$A$8:$E$93,5,FALSE),0)</f>
        <v>0</v>
      </c>
      <c r="N104" s="556">
        <f>VLOOKUP(B104,'[11]7-12 by Site'!$A$6:$I$148,9,FALSE)</f>
        <v>121</v>
      </c>
      <c r="O104" s="1171">
        <f t="shared" si="37"/>
        <v>3146</v>
      </c>
      <c r="P104" s="1172">
        <f t="shared" si="38"/>
        <v>13146</v>
      </c>
      <c r="R104" s="556">
        <f>VLOOKUP(B104,'[12]Oct 1 MFP Site MER'!$B$6:$M$110,12,FALSE)</f>
        <v>42</v>
      </c>
    </row>
    <row r="105" spans="1:18">
      <c r="A105" s="546" t="e">
        <f t="shared" si="16"/>
        <v>#VALUE!</v>
      </c>
      <c r="B105" s="269" t="s">
        <v>625</v>
      </c>
      <c r="C105" s="270" t="s">
        <v>492</v>
      </c>
      <c r="D105" s="557">
        <v>0</v>
      </c>
      <c r="E105" s="1210">
        <f t="shared" si="32"/>
        <v>0</v>
      </c>
      <c r="F105" s="557"/>
      <c r="G105" s="1173">
        <f t="shared" si="33"/>
        <v>0</v>
      </c>
      <c r="H105" s="557"/>
      <c r="I105" s="1173">
        <f t="shared" si="34"/>
        <v>0</v>
      </c>
      <c r="J105" s="1203">
        <f t="shared" si="35"/>
        <v>0</v>
      </c>
      <c r="K105" s="557"/>
      <c r="L105" s="1190">
        <f t="shared" si="36"/>
        <v>10000</v>
      </c>
      <c r="M105" s="1191">
        <f>IFERROR(VLOOKUP(B105,[10]Allocation_eGMS!$A$8:$E$93,5,FALSE),0)</f>
        <v>0</v>
      </c>
      <c r="N105" s="557">
        <f>VLOOKUP(B105,'[11]7-12 by Site'!$A$6:$I$148,9,FALSE)</f>
        <v>95</v>
      </c>
      <c r="O105" s="1173">
        <f t="shared" si="37"/>
        <v>2470</v>
      </c>
      <c r="P105" s="1174">
        <f t="shared" si="38"/>
        <v>12470</v>
      </c>
      <c r="R105" s="557">
        <f>VLOOKUP(B105,'[12]Oct 1 MFP Site MER'!$B$6:$M$110,12,FALSE)</f>
        <v>102</v>
      </c>
    </row>
    <row r="106" spans="1:18">
      <c r="A106" s="546" t="e">
        <f t="shared" si="16"/>
        <v>#VALUE!</v>
      </c>
      <c r="B106" s="269" t="s">
        <v>626</v>
      </c>
      <c r="C106" s="270" t="s">
        <v>484</v>
      </c>
      <c r="D106" s="557">
        <v>0</v>
      </c>
      <c r="E106" s="1210">
        <f t="shared" si="32"/>
        <v>0</v>
      </c>
      <c r="F106" s="557"/>
      <c r="G106" s="1173">
        <f t="shared" si="33"/>
        <v>0</v>
      </c>
      <c r="H106" s="557"/>
      <c r="I106" s="1173">
        <f t="shared" si="34"/>
        <v>0</v>
      </c>
      <c r="J106" s="1203">
        <f t="shared" si="35"/>
        <v>0</v>
      </c>
      <c r="K106" s="557"/>
      <c r="L106" s="1190">
        <f t="shared" si="36"/>
        <v>0</v>
      </c>
      <c r="M106" s="1191">
        <f>IFERROR(VLOOKUP(B106,[10]Allocation_eGMS!$A$8:$E$93,5,FALSE),0)</f>
        <v>6127</v>
      </c>
      <c r="N106" s="557">
        <f>VLOOKUP(B106,'[11]7-12 by Site'!$A$6:$I$148,9,FALSE)</f>
        <v>0</v>
      </c>
      <c r="O106" s="1173">
        <f t="shared" si="37"/>
        <v>0</v>
      </c>
      <c r="P106" s="1174">
        <f t="shared" si="38"/>
        <v>6127</v>
      </c>
      <c r="R106" s="557">
        <f>VLOOKUP(B106,'[12]Oct 1 MFP Site MER'!$B$6:$M$110,12,FALSE)</f>
        <v>0</v>
      </c>
    </row>
    <row r="107" spans="1:18">
      <c r="A107" s="546" t="e">
        <f t="shared" si="16"/>
        <v>#VALUE!</v>
      </c>
      <c r="B107" s="269" t="s">
        <v>627</v>
      </c>
      <c r="C107" s="270" t="s">
        <v>494</v>
      </c>
      <c r="D107" s="557">
        <v>0</v>
      </c>
      <c r="E107" s="1210">
        <f t="shared" si="32"/>
        <v>0</v>
      </c>
      <c r="F107" s="557"/>
      <c r="G107" s="1173">
        <f t="shared" si="33"/>
        <v>0</v>
      </c>
      <c r="H107" s="557"/>
      <c r="I107" s="1173">
        <f t="shared" si="34"/>
        <v>0</v>
      </c>
      <c r="J107" s="1203">
        <f t="shared" si="35"/>
        <v>0</v>
      </c>
      <c r="K107" s="557"/>
      <c r="L107" s="1190">
        <f t="shared" si="36"/>
        <v>0</v>
      </c>
      <c r="M107" s="1191">
        <f>IFERROR(VLOOKUP(B107,[10]Allocation_eGMS!$A$8:$E$93,5,FALSE),0)</f>
        <v>0</v>
      </c>
      <c r="N107" s="557">
        <f>VLOOKUP(B107,'[11]7-12 by Site'!$A$6:$I$148,9,FALSE)</f>
        <v>0</v>
      </c>
      <c r="O107" s="1173">
        <f t="shared" si="37"/>
        <v>0</v>
      </c>
      <c r="P107" s="1174">
        <f t="shared" si="38"/>
        <v>0</v>
      </c>
      <c r="R107" s="557">
        <f>VLOOKUP(B107,'[12]Oct 1 MFP Site MER'!$B$6:$M$110,12,FALSE)</f>
        <v>0</v>
      </c>
    </row>
    <row r="108" spans="1:18">
      <c r="A108" s="546" t="e">
        <f t="shared" si="16"/>
        <v>#VALUE!</v>
      </c>
      <c r="B108" s="141" t="s">
        <v>660</v>
      </c>
      <c r="C108" s="142" t="s">
        <v>591</v>
      </c>
      <c r="D108" s="558">
        <v>0</v>
      </c>
      <c r="E108" s="1211">
        <f t="shared" si="32"/>
        <v>0</v>
      </c>
      <c r="F108" s="558"/>
      <c r="G108" s="1175">
        <f t="shared" si="33"/>
        <v>0</v>
      </c>
      <c r="H108" s="558"/>
      <c r="I108" s="1175">
        <f t="shared" si="34"/>
        <v>0</v>
      </c>
      <c r="J108" s="1204">
        <f t="shared" si="35"/>
        <v>0</v>
      </c>
      <c r="K108" s="558"/>
      <c r="L108" s="1192">
        <f t="shared" si="36"/>
        <v>0</v>
      </c>
      <c r="M108" s="1193">
        <f>IFERROR(VLOOKUP(B108,[10]Allocation_eGMS!$A$8:$E$93,5,FALSE),0)</f>
        <v>0</v>
      </c>
      <c r="N108" s="558">
        <v>0</v>
      </c>
      <c r="O108" s="1175">
        <f t="shared" si="37"/>
        <v>0</v>
      </c>
      <c r="P108" s="1176">
        <f t="shared" si="38"/>
        <v>0</v>
      </c>
      <c r="R108" s="558">
        <f>VLOOKUP(B108,'[12]Oct 1 MFP Site MER'!$B$6:$M$110,12,FALSE)</f>
        <v>0</v>
      </c>
    </row>
    <row r="109" spans="1:18">
      <c r="A109" s="546" t="e">
        <f t="shared" si="16"/>
        <v>#VALUE!</v>
      </c>
      <c r="B109" s="267" t="s">
        <v>628</v>
      </c>
      <c r="C109" s="268" t="s">
        <v>495</v>
      </c>
      <c r="D109" s="556">
        <v>0</v>
      </c>
      <c r="E109" s="1209">
        <f t="shared" si="32"/>
        <v>0</v>
      </c>
      <c r="F109" s="556"/>
      <c r="G109" s="1171">
        <f t="shared" si="33"/>
        <v>0</v>
      </c>
      <c r="H109" s="556"/>
      <c r="I109" s="1171">
        <f t="shared" si="34"/>
        <v>0</v>
      </c>
      <c r="J109" s="1202">
        <f t="shared" si="35"/>
        <v>0</v>
      </c>
      <c r="K109" s="556"/>
      <c r="L109" s="1188">
        <f t="shared" si="36"/>
        <v>10000</v>
      </c>
      <c r="M109" s="1189">
        <f>IFERROR(VLOOKUP(B109,[10]Allocation_eGMS!$A$8:$E$93,5,FALSE),0)</f>
        <v>6718</v>
      </c>
      <c r="N109" s="556">
        <f>VLOOKUP(B109,'[11]7-12 by Site'!$A$6:$I$148,9,FALSE)</f>
        <v>94</v>
      </c>
      <c r="O109" s="1171">
        <f t="shared" si="37"/>
        <v>2444</v>
      </c>
      <c r="P109" s="1172">
        <f t="shared" si="38"/>
        <v>19162</v>
      </c>
      <c r="R109" s="556">
        <f>VLOOKUP(B109,'[12]Oct 1 MFP Site MER'!$B$6:$M$110,12,FALSE)</f>
        <v>79</v>
      </c>
    </row>
    <row r="110" spans="1:18">
      <c r="A110" s="546" t="e">
        <f t="shared" si="16"/>
        <v>#VALUE!</v>
      </c>
      <c r="B110" s="269" t="s">
        <v>629</v>
      </c>
      <c r="C110" s="270" t="s">
        <v>493</v>
      </c>
      <c r="D110" s="557">
        <v>0</v>
      </c>
      <c r="E110" s="1210">
        <f t="shared" si="32"/>
        <v>0</v>
      </c>
      <c r="F110" s="557">
        <v>1</v>
      </c>
      <c r="G110" s="1173">
        <f t="shared" si="33"/>
        <v>6000</v>
      </c>
      <c r="H110" s="557"/>
      <c r="I110" s="1173">
        <f t="shared" si="34"/>
        <v>0</v>
      </c>
      <c r="J110" s="1203">
        <f t="shared" si="35"/>
        <v>6000</v>
      </c>
      <c r="K110" s="557"/>
      <c r="L110" s="1190">
        <f t="shared" si="36"/>
        <v>10000</v>
      </c>
      <c r="M110" s="1191">
        <f>IFERROR(VLOOKUP(B110,[10]Allocation_eGMS!$A$8:$E$93,5,FALSE),0)</f>
        <v>0</v>
      </c>
      <c r="N110" s="557">
        <f>VLOOKUP(B110,'[11]7-12 by Site'!$A$6:$I$148,9,FALSE)</f>
        <v>27</v>
      </c>
      <c r="O110" s="1173">
        <f t="shared" si="37"/>
        <v>702</v>
      </c>
      <c r="P110" s="1174">
        <f t="shared" si="38"/>
        <v>16702</v>
      </c>
      <c r="R110" s="557">
        <f>VLOOKUP(B110,'[12]Oct 1 MFP Site MER'!$B$6:$M$110,12,FALSE)</f>
        <v>51</v>
      </c>
    </row>
    <row r="111" spans="1:18">
      <c r="A111" s="546" t="e">
        <f t="shared" si="16"/>
        <v>#VALUE!</v>
      </c>
      <c r="B111" s="269" t="s">
        <v>630</v>
      </c>
      <c r="C111" s="270" t="s">
        <v>491</v>
      </c>
      <c r="D111" s="557">
        <v>0</v>
      </c>
      <c r="E111" s="1210">
        <f t="shared" si="32"/>
        <v>0</v>
      </c>
      <c r="F111" s="557"/>
      <c r="G111" s="1173">
        <f t="shared" si="33"/>
        <v>0</v>
      </c>
      <c r="H111" s="557"/>
      <c r="I111" s="1173">
        <f t="shared" si="34"/>
        <v>0</v>
      </c>
      <c r="J111" s="1203">
        <f t="shared" si="35"/>
        <v>0</v>
      </c>
      <c r="K111" s="557"/>
      <c r="L111" s="1190">
        <f t="shared" si="36"/>
        <v>0</v>
      </c>
      <c r="M111" s="1191">
        <f>IFERROR(VLOOKUP(B111,[10]Allocation_eGMS!$A$8:$E$93,5,FALSE),0)</f>
        <v>0</v>
      </c>
      <c r="N111" s="557">
        <f>VLOOKUP(B111,'[11]7-12 by Site'!$A$6:$I$148,9,FALSE)</f>
        <v>0</v>
      </c>
      <c r="O111" s="1173">
        <f t="shared" si="37"/>
        <v>0</v>
      </c>
      <c r="P111" s="1174">
        <f t="shared" si="38"/>
        <v>0</v>
      </c>
      <c r="R111" s="557">
        <f>VLOOKUP(B111,'[12]Oct 1 MFP Site MER'!$B$6:$M$110,12,FALSE)</f>
        <v>0</v>
      </c>
    </row>
    <row r="112" spans="1:18">
      <c r="A112" s="546" t="e">
        <f t="shared" si="16"/>
        <v>#VALUE!</v>
      </c>
      <c r="B112" s="269" t="s">
        <v>657</v>
      </c>
      <c r="C112" s="270" t="s">
        <v>504</v>
      </c>
      <c r="D112" s="557">
        <v>0</v>
      </c>
      <c r="E112" s="1210">
        <f t="shared" si="32"/>
        <v>0</v>
      </c>
      <c r="F112" s="557"/>
      <c r="G112" s="1173">
        <f t="shared" si="33"/>
        <v>0</v>
      </c>
      <c r="H112" s="557"/>
      <c r="I112" s="1173">
        <f t="shared" si="34"/>
        <v>0</v>
      </c>
      <c r="J112" s="1203">
        <f t="shared" si="35"/>
        <v>0</v>
      </c>
      <c r="K112" s="557"/>
      <c r="L112" s="1190">
        <f t="shared" si="36"/>
        <v>0</v>
      </c>
      <c r="M112" s="1191">
        <f>IFERROR(VLOOKUP(B112,[10]Allocation_eGMS!$A$8:$E$93,5,FALSE),0)</f>
        <v>0</v>
      </c>
      <c r="N112" s="557">
        <v>0</v>
      </c>
      <c r="O112" s="1173">
        <f t="shared" si="37"/>
        <v>0</v>
      </c>
      <c r="P112" s="1174">
        <f t="shared" si="38"/>
        <v>0</v>
      </c>
      <c r="R112" s="557">
        <f>VLOOKUP(B112,'[12]Oct 1 MFP Site MER'!$B$6:$M$110,12,FALSE)</f>
        <v>0</v>
      </c>
    </row>
    <row r="113" spans="1:18">
      <c r="A113" s="546" t="e">
        <f t="shared" si="16"/>
        <v>#VALUE!</v>
      </c>
      <c r="B113" s="141" t="s">
        <v>658</v>
      </c>
      <c r="C113" s="142" t="s">
        <v>505</v>
      </c>
      <c r="D113" s="558">
        <v>0</v>
      </c>
      <c r="E113" s="1211">
        <f t="shared" si="32"/>
        <v>0</v>
      </c>
      <c r="F113" s="558"/>
      <c r="G113" s="1175">
        <f t="shared" si="33"/>
        <v>0</v>
      </c>
      <c r="H113" s="558"/>
      <c r="I113" s="1175">
        <f t="shared" si="34"/>
        <v>0</v>
      </c>
      <c r="J113" s="1204">
        <f t="shared" si="35"/>
        <v>0</v>
      </c>
      <c r="K113" s="558"/>
      <c r="L113" s="1192">
        <f t="shared" si="36"/>
        <v>10000</v>
      </c>
      <c r="M113" s="1193">
        <f>IFERROR(VLOOKUP(B113,[10]Allocation_eGMS!$A$8:$E$93,5,FALSE),0)</f>
        <v>0</v>
      </c>
      <c r="N113" s="558">
        <v>200</v>
      </c>
      <c r="O113" s="1175">
        <f t="shared" si="37"/>
        <v>5200</v>
      </c>
      <c r="P113" s="1176">
        <f t="shared" si="38"/>
        <v>15200</v>
      </c>
      <c r="R113" s="558">
        <f>VLOOKUP(B113,'[12]Oct 1 MFP Site MER'!$B$6:$M$110,12,FALSE)</f>
        <v>200</v>
      </c>
    </row>
    <row r="114" spans="1:18">
      <c r="A114" s="546" t="e">
        <f t="shared" si="16"/>
        <v>#VALUE!</v>
      </c>
      <c r="B114" s="267" t="s">
        <v>659</v>
      </c>
      <c r="C114" s="268" t="s">
        <v>506</v>
      </c>
      <c r="D114" s="556">
        <v>0</v>
      </c>
      <c r="E114" s="1209">
        <f t="shared" si="32"/>
        <v>0</v>
      </c>
      <c r="F114" s="556"/>
      <c r="G114" s="1171">
        <f t="shared" si="33"/>
        <v>0</v>
      </c>
      <c r="H114" s="556"/>
      <c r="I114" s="1171">
        <f t="shared" si="34"/>
        <v>0</v>
      </c>
      <c r="J114" s="1202">
        <f t="shared" si="35"/>
        <v>0</v>
      </c>
      <c r="K114" s="556"/>
      <c r="L114" s="1188">
        <f t="shared" si="36"/>
        <v>0</v>
      </c>
      <c r="M114" s="1189">
        <f>IFERROR(VLOOKUP(B114,[10]Allocation_eGMS!$A$8:$E$93,5,FALSE),0)</f>
        <v>0</v>
      </c>
      <c r="N114" s="556">
        <v>0</v>
      </c>
      <c r="O114" s="1171">
        <f t="shared" si="37"/>
        <v>0</v>
      </c>
      <c r="P114" s="1172">
        <f t="shared" si="38"/>
        <v>0</v>
      </c>
      <c r="R114" s="556">
        <f>VLOOKUP(B114,'[12]Oct 1 MFP Site MER'!$B$6:$M$110,12,FALSE)</f>
        <v>0</v>
      </c>
    </row>
    <row r="115" spans="1:18">
      <c r="A115" s="546" t="e">
        <f t="shared" si="16"/>
        <v>#VALUE!</v>
      </c>
      <c r="B115" s="269" t="s">
        <v>675</v>
      </c>
      <c r="C115" s="270" t="s">
        <v>676</v>
      </c>
      <c r="D115" s="557">
        <v>0</v>
      </c>
      <c r="E115" s="1210">
        <f t="shared" si="32"/>
        <v>0</v>
      </c>
      <c r="F115" s="557"/>
      <c r="G115" s="1173">
        <f t="shared" si="33"/>
        <v>0</v>
      </c>
      <c r="H115" s="557"/>
      <c r="I115" s="1173">
        <f t="shared" si="34"/>
        <v>0</v>
      </c>
      <c r="J115" s="1203">
        <f t="shared" si="35"/>
        <v>0</v>
      </c>
      <c r="K115" s="557"/>
      <c r="L115" s="1190">
        <f t="shared" si="36"/>
        <v>0</v>
      </c>
      <c r="M115" s="1191">
        <f>IFERROR(VLOOKUP(B115,[10]Allocation_eGMS!$A$8:$E$93,5,FALSE),0)</f>
        <v>0</v>
      </c>
      <c r="N115" s="557">
        <v>0</v>
      </c>
      <c r="O115" s="1173">
        <f t="shared" si="37"/>
        <v>0</v>
      </c>
      <c r="P115" s="1174">
        <f t="shared" si="38"/>
        <v>0</v>
      </c>
      <c r="R115" s="557">
        <f>VLOOKUP(B115,'[12]Oct 1 MFP Site MER'!$B$6:$M$110,12,FALSE)</f>
        <v>0</v>
      </c>
    </row>
    <row r="116" spans="1:18">
      <c r="A116" s="546" t="e">
        <f t="shared" si="16"/>
        <v>#VALUE!</v>
      </c>
      <c r="B116" s="269" t="s">
        <v>661</v>
      </c>
      <c r="C116" s="270" t="s">
        <v>508</v>
      </c>
      <c r="D116" s="557">
        <v>0</v>
      </c>
      <c r="E116" s="1210">
        <f t="shared" si="32"/>
        <v>0</v>
      </c>
      <c r="F116" s="557"/>
      <c r="G116" s="1173">
        <f t="shared" si="33"/>
        <v>0</v>
      </c>
      <c r="H116" s="557"/>
      <c r="I116" s="1173">
        <f t="shared" si="34"/>
        <v>0</v>
      </c>
      <c r="J116" s="1203">
        <f t="shared" si="35"/>
        <v>0</v>
      </c>
      <c r="K116" s="557"/>
      <c r="L116" s="1190">
        <f t="shared" si="36"/>
        <v>10000</v>
      </c>
      <c r="M116" s="1191">
        <f>IFERROR(VLOOKUP(B116,[10]Allocation_eGMS!$A$8:$E$93,5,FALSE),0)</f>
        <v>0</v>
      </c>
      <c r="N116" s="557">
        <v>64</v>
      </c>
      <c r="O116" s="1173">
        <f t="shared" si="37"/>
        <v>1664</v>
      </c>
      <c r="P116" s="1174">
        <f t="shared" si="38"/>
        <v>11664</v>
      </c>
      <c r="R116" s="557">
        <f>VLOOKUP(B116,'[12]Oct 1 MFP Site MER'!$B$6:$M$110,12,FALSE)</f>
        <v>49</v>
      </c>
    </row>
    <row r="117" spans="1:18">
      <c r="A117" s="546" t="e">
        <f t="shared" si="16"/>
        <v>#VALUE!</v>
      </c>
      <c r="B117" s="269" t="s">
        <v>662</v>
      </c>
      <c r="C117" s="270" t="s">
        <v>509</v>
      </c>
      <c r="D117" s="557">
        <v>0</v>
      </c>
      <c r="E117" s="1210">
        <f t="shared" si="32"/>
        <v>0</v>
      </c>
      <c r="F117" s="557"/>
      <c r="G117" s="1173">
        <f t="shared" si="33"/>
        <v>0</v>
      </c>
      <c r="H117" s="557"/>
      <c r="I117" s="1173">
        <f t="shared" si="34"/>
        <v>0</v>
      </c>
      <c r="J117" s="1203">
        <f t="shared" si="35"/>
        <v>0</v>
      </c>
      <c r="K117" s="557"/>
      <c r="L117" s="1190">
        <f t="shared" si="36"/>
        <v>0</v>
      </c>
      <c r="M117" s="1191">
        <f>IFERROR(VLOOKUP(B117,[10]Allocation_eGMS!$A$8:$E$93,5,FALSE),0)</f>
        <v>0</v>
      </c>
      <c r="N117" s="557">
        <v>0</v>
      </c>
      <c r="O117" s="1173">
        <f t="shared" si="37"/>
        <v>0</v>
      </c>
      <c r="P117" s="1174">
        <f t="shared" si="38"/>
        <v>0</v>
      </c>
      <c r="R117" s="557">
        <f>VLOOKUP(B117,'[12]Oct 1 MFP Site MER'!$B$6:$M$110,12,FALSE)</f>
        <v>0</v>
      </c>
    </row>
    <row r="118" spans="1:18">
      <c r="A118" s="546" t="e">
        <f t="shared" si="16"/>
        <v>#VALUE!</v>
      </c>
      <c r="B118" s="141" t="s">
        <v>663</v>
      </c>
      <c r="C118" s="142" t="s">
        <v>510</v>
      </c>
      <c r="D118" s="558">
        <v>0</v>
      </c>
      <c r="E118" s="1211">
        <f t="shared" si="32"/>
        <v>0</v>
      </c>
      <c r="F118" s="558"/>
      <c r="G118" s="1175">
        <f t="shared" si="33"/>
        <v>0</v>
      </c>
      <c r="H118" s="558"/>
      <c r="I118" s="1175">
        <f t="shared" si="34"/>
        <v>0</v>
      </c>
      <c r="J118" s="1204">
        <f t="shared" si="35"/>
        <v>0</v>
      </c>
      <c r="K118" s="558"/>
      <c r="L118" s="1192">
        <f t="shared" si="36"/>
        <v>0</v>
      </c>
      <c r="M118" s="1193">
        <f>IFERROR(VLOOKUP(B118,[10]Allocation_eGMS!$A$8:$E$93,5,FALSE),0)</f>
        <v>0</v>
      </c>
      <c r="N118" s="558">
        <v>0</v>
      </c>
      <c r="O118" s="1175">
        <f t="shared" si="37"/>
        <v>0</v>
      </c>
      <c r="P118" s="1176">
        <f t="shared" si="38"/>
        <v>0</v>
      </c>
      <c r="R118" s="558">
        <f>VLOOKUP(B118,'[12]Oct 1 MFP Site MER'!$B$6:$M$110,12,FALSE)</f>
        <v>0</v>
      </c>
    </row>
    <row r="119" spans="1:18" ht="13.5" thickBot="1">
      <c r="A119" s="546">
        <f t="shared" si="16"/>
        <v>0</v>
      </c>
      <c r="B119" s="143"/>
      <c r="C119" s="144" t="s">
        <v>1001</v>
      </c>
      <c r="D119" s="405">
        <f>SUM(D94:D118)</f>
        <v>22</v>
      </c>
      <c r="E119" s="1212">
        <f>SUM(E94:E118)</f>
        <v>462000</v>
      </c>
      <c r="F119" s="405">
        <f t="shared" ref="F119:P119" si="39">SUM(F94:F118)</f>
        <v>5</v>
      </c>
      <c r="G119" s="1179">
        <f t="shared" si="39"/>
        <v>30000</v>
      </c>
      <c r="H119" s="405">
        <f t="shared" si="39"/>
        <v>17</v>
      </c>
      <c r="I119" s="1179">
        <f t="shared" si="39"/>
        <v>68000</v>
      </c>
      <c r="J119" s="1206">
        <f t="shared" si="39"/>
        <v>98000</v>
      </c>
      <c r="K119" s="405">
        <f t="shared" si="39"/>
        <v>16</v>
      </c>
      <c r="L119" s="1196">
        <f t="shared" si="39"/>
        <v>130000</v>
      </c>
      <c r="M119" s="1197">
        <f t="shared" si="39"/>
        <v>24178</v>
      </c>
      <c r="N119" s="405">
        <f t="shared" si="39"/>
        <v>3951</v>
      </c>
      <c r="O119" s="1179">
        <f>N119*$O$3</f>
        <v>102726</v>
      </c>
      <c r="P119" s="1180">
        <f t="shared" si="39"/>
        <v>816904</v>
      </c>
      <c r="R119" s="405">
        <f t="shared" ref="R119" si="40">SUM(R94:R118)</f>
        <v>3565</v>
      </c>
    </row>
    <row r="120" spans="1:18" ht="7.15" customHeight="1" thickTop="1">
      <c r="A120" s="546">
        <f t="shared" si="16"/>
        <v>0</v>
      </c>
      <c r="B120" s="577"/>
      <c r="C120" s="93"/>
      <c r="D120" s="406"/>
      <c r="E120" s="1182"/>
      <c r="F120" s="406"/>
      <c r="G120" s="1181"/>
      <c r="H120" s="406"/>
      <c r="I120" s="1181"/>
      <c r="J120" s="1182"/>
      <c r="K120" s="406"/>
      <c r="L120" s="1182"/>
      <c r="M120" s="1182"/>
      <c r="N120" s="406"/>
      <c r="O120" s="1181"/>
      <c r="P120" s="1182"/>
      <c r="R120" s="406"/>
    </row>
    <row r="121" spans="1:18">
      <c r="A121" s="546">
        <f t="shared" ref="A121:A186" si="41">+VALUE(B121)</f>
        <v>300001</v>
      </c>
      <c r="B121" s="267">
        <v>300001</v>
      </c>
      <c r="C121" s="268" t="s">
        <v>925</v>
      </c>
      <c r="D121" s="556">
        <v>0</v>
      </c>
      <c r="E121" s="1209">
        <f t="shared" ref="E121:E177" si="42">ROUND($E$3*D121,0)</f>
        <v>0</v>
      </c>
      <c r="F121" s="556"/>
      <c r="G121" s="1171">
        <f t="shared" ref="G121:G177" si="43">ROUND($G$3*F121,0)</f>
        <v>0</v>
      </c>
      <c r="H121" s="556"/>
      <c r="I121" s="1171">
        <f t="shared" ref="I121:I177" si="44">ROUND($I$3*H121,0)</f>
        <v>0</v>
      </c>
      <c r="J121" s="1202">
        <f t="shared" ref="J121:J177" si="45">G121+I121</f>
        <v>0</v>
      </c>
      <c r="K121" s="556"/>
      <c r="L121" s="1188">
        <f t="shared" ref="L121:L152" si="46">IF(R121&gt;0,IF($L$3*K121&lt;10000,10000,$L$3*K121),0)</f>
        <v>0</v>
      </c>
      <c r="M121" s="1189">
        <f>IFERROR(VLOOKUP(B121,[10]Allocation_eGMS!$A$8:$E$93,5,FALSE),0)</f>
        <v>8141</v>
      </c>
      <c r="N121" s="556">
        <f>VLOOKUP(B121,'[11]7-12 by Site'!$A$6:$I$148,9,FALSE)</f>
        <v>96</v>
      </c>
      <c r="O121" s="1171">
        <f t="shared" ref="O121:O152" si="47">ROUND(N121*$O$3,0)</f>
        <v>2496</v>
      </c>
      <c r="P121" s="1172">
        <f t="shared" ref="P121:P152" si="48">+L121+J121+E121+M121+O121</f>
        <v>10637</v>
      </c>
      <c r="R121" s="556">
        <f>VLOOKUP(B121,'[12]Oct 1 MFP Site MER'!$B$6:$M$110,12,FALSE)</f>
        <v>0</v>
      </c>
    </row>
    <row r="122" spans="1:18">
      <c r="A122" s="546">
        <f t="shared" si="41"/>
        <v>300002</v>
      </c>
      <c r="B122" s="269">
        <v>300002</v>
      </c>
      <c r="C122" s="270" t="s">
        <v>926</v>
      </c>
      <c r="D122" s="557">
        <v>0</v>
      </c>
      <c r="E122" s="1210">
        <f t="shared" si="42"/>
        <v>0</v>
      </c>
      <c r="F122" s="557"/>
      <c r="G122" s="1173">
        <f t="shared" si="43"/>
        <v>0</v>
      </c>
      <c r="H122" s="557"/>
      <c r="I122" s="1173">
        <f t="shared" si="44"/>
        <v>0</v>
      </c>
      <c r="J122" s="1203">
        <f t="shared" si="45"/>
        <v>0</v>
      </c>
      <c r="K122" s="557"/>
      <c r="L122" s="1190">
        <f t="shared" si="46"/>
        <v>0</v>
      </c>
      <c r="M122" s="1191">
        <f>IFERROR(VLOOKUP(B122,[10]Allocation_eGMS!$A$8:$E$93,5,FALSE),0)</f>
        <v>31844</v>
      </c>
      <c r="N122" s="557">
        <f>VLOOKUP(B122,'[11]7-12 by Site'!$A$6:$I$148,9,FALSE)</f>
        <v>108</v>
      </c>
      <c r="O122" s="1173">
        <f t="shared" si="47"/>
        <v>2808</v>
      </c>
      <c r="P122" s="1174">
        <f t="shared" si="48"/>
        <v>34652</v>
      </c>
      <c r="R122" s="557">
        <f>VLOOKUP(B122,'[12]Oct 1 MFP Site MER'!$B$6:$M$110,12,FALSE)</f>
        <v>0</v>
      </c>
    </row>
    <row r="123" spans="1:18">
      <c r="A123" s="546">
        <f t="shared" si="41"/>
        <v>300003</v>
      </c>
      <c r="B123" s="269">
        <v>300003</v>
      </c>
      <c r="C123" s="270" t="s">
        <v>927</v>
      </c>
      <c r="D123" s="557">
        <v>0</v>
      </c>
      <c r="E123" s="1210">
        <f t="shared" si="42"/>
        <v>0</v>
      </c>
      <c r="F123" s="557"/>
      <c r="G123" s="1173">
        <f t="shared" si="43"/>
        <v>0</v>
      </c>
      <c r="H123" s="557"/>
      <c r="I123" s="1173">
        <f t="shared" si="44"/>
        <v>0</v>
      </c>
      <c r="J123" s="1203">
        <f t="shared" si="45"/>
        <v>0</v>
      </c>
      <c r="K123" s="557"/>
      <c r="L123" s="1190">
        <f t="shared" si="46"/>
        <v>10000</v>
      </c>
      <c r="M123" s="1191">
        <f>IFERROR(VLOOKUP(B123,[10]Allocation_eGMS!$A$8:$E$93,5,FALSE),0)</f>
        <v>141588</v>
      </c>
      <c r="N123" s="557">
        <f>VLOOKUP(B123,'[11]7-12 by Site'!$A$6:$I$148,9,FALSE)</f>
        <v>660</v>
      </c>
      <c r="O123" s="1173">
        <f t="shared" si="47"/>
        <v>17160</v>
      </c>
      <c r="P123" s="1174">
        <f t="shared" si="48"/>
        <v>168748</v>
      </c>
      <c r="R123" s="557">
        <f>VLOOKUP(B123,'[12]Oct 1 MFP Site MER'!$B$6:$M$110,12,FALSE)</f>
        <v>698</v>
      </c>
    </row>
    <row r="124" spans="1:18">
      <c r="A124" s="546">
        <f t="shared" si="41"/>
        <v>300004</v>
      </c>
      <c r="B124" s="269">
        <v>300004</v>
      </c>
      <c r="C124" s="270" t="s">
        <v>928</v>
      </c>
      <c r="D124" s="557">
        <v>0</v>
      </c>
      <c r="E124" s="1210">
        <f t="shared" si="42"/>
        <v>0</v>
      </c>
      <c r="F124" s="557"/>
      <c r="G124" s="1173">
        <f t="shared" si="43"/>
        <v>0</v>
      </c>
      <c r="H124" s="557"/>
      <c r="I124" s="1173">
        <f t="shared" si="44"/>
        <v>0</v>
      </c>
      <c r="J124" s="1203">
        <f t="shared" si="45"/>
        <v>0</v>
      </c>
      <c r="K124" s="557"/>
      <c r="L124" s="1190">
        <f t="shared" si="46"/>
        <v>0</v>
      </c>
      <c r="M124" s="1191">
        <f>IFERROR(VLOOKUP(B124,[10]Allocation_eGMS!$A$8:$E$93,5,FALSE),0)</f>
        <v>22279</v>
      </c>
      <c r="N124" s="557">
        <f>VLOOKUP(B124,'[11]7-12 by Site'!$A$6:$I$148,9,FALSE)</f>
        <v>110</v>
      </c>
      <c r="O124" s="1173">
        <f t="shared" si="47"/>
        <v>2860</v>
      </c>
      <c r="P124" s="1174">
        <f t="shared" si="48"/>
        <v>25139</v>
      </c>
      <c r="R124" s="557">
        <f>VLOOKUP(B124,'[12]Oct 1 MFP Site MER'!$B$6:$M$110,12,FALSE)</f>
        <v>0</v>
      </c>
    </row>
    <row r="125" spans="1:18" ht="13.15" customHeight="1">
      <c r="A125" s="546">
        <f t="shared" si="41"/>
        <v>360001</v>
      </c>
      <c r="B125" s="141">
        <v>360001</v>
      </c>
      <c r="C125" s="148" t="s">
        <v>929</v>
      </c>
      <c r="D125" s="558">
        <v>0</v>
      </c>
      <c r="E125" s="1211">
        <f t="shared" si="42"/>
        <v>0</v>
      </c>
      <c r="F125" s="558"/>
      <c r="G125" s="1175">
        <f t="shared" si="43"/>
        <v>0</v>
      </c>
      <c r="H125" s="558"/>
      <c r="I125" s="1175">
        <f t="shared" si="44"/>
        <v>0</v>
      </c>
      <c r="J125" s="1204">
        <f t="shared" si="45"/>
        <v>0</v>
      </c>
      <c r="K125" s="558"/>
      <c r="L125" s="1192">
        <f t="shared" si="46"/>
        <v>10000</v>
      </c>
      <c r="M125" s="1193">
        <f>IFERROR(VLOOKUP(B125,[10]Allocation_eGMS!$A$8:$E$93,5,FALSE),0)</f>
        <v>0</v>
      </c>
      <c r="N125" s="558">
        <f>VLOOKUP(B125,'[11]7-12 by Site'!$A$6:$I$148,9,FALSE)</f>
        <v>145</v>
      </c>
      <c r="O125" s="1175">
        <f t="shared" si="47"/>
        <v>3770</v>
      </c>
      <c r="P125" s="1176">
        <f t="shared" si="48"/>
        <v>13770</v>
      </c>
      <c r="R125" s="558">
        <f>VLOOKUP(B125,'[12]Oct 1 MFP Site MER'!$B$6:$M$110,12,FALSE)</f>
        <v>164</v>
      </c>
    </row>
    <row r="126" spans="1:18" ht="13.15" customHeight="1">
      <c r="A126" s="546">
        <f t="shared" si="41"/>
        <v>361001</v>
      </c>
      <c r="B126" s="267">
        <v>361001</v>
      </c>
      <c r="C126" s="268" t="s">
        <v>930</v>
      </c>
      <c r="D126" s="556">
        <v>0</v>
      </c>
      <c r="E126" s="1209">
        <f t="shared" si="42"/>
        <v>0</v>
      </c>
      <c r="F126" s="556"/>
      <c r="G126" s="1171">
        <f t="shared" si="43"/>
        <v>0</v>
      </c>
      <c r="H126" s="556"/>
      <c r="I126" s="1171">
        <f t="shared" si="44"/>
        <v>0</v>
      </c>
      <c r="J126" s="1202">
        <f t="shared" si="45"/>
        <v>0</v>
      </c>
      <c r="K126" s="556"/>
      <c r="L126" s="1188">
        <f t="shared" si="46"/>
        <v>10000</v>
      </c>
      <c r="M126" s="1189">
        <f>IFERROR(VLOOKUP(B126,[10]Allocation_eGMS!$A$8:$E$93,5,FALSE),0)</f>
        <v>0</v>
      </c>
      <c r="N126" s="556">
        <f>VLOOKUP(B126,'[11]7-12 by Site'!$A$6:$I$148,9,FALSE)</f>
        <v>234</v>
      </c>
      <c r="O126" s="1171">
        <f t="shared" si="47"/>
        <v>6084</v>
      </c>
      <c r="P126" s="1172">
        <f t="shared" si="48"/>
        <v>16084</v>
      </c>
      <c r="R126" s="556">
        <f>VLOOKUP(B126,'[12]Oct 1 MFP Site MER'!$B$6:$M$110,12,FALSE)</f>
        <v>138</v>
      </c>
    </row>
    <row r="127" spans="1:18">
      <c r="A127" s="546">
        <f t="shared" si="41"/>
        <v>363001</v>
      </c>
      <c r="B127" s="269">
        <v>363001</v>
      </c>
      <c r="C127" s="270" t="s">
        <v>931</v>
      </c>
      <c r="D127" s="557">
        <v>0</v>
      </c>
      <c r="E127" s="1210">
        <f t="shared" si="42"/>
        <v>0</v>
      </c>
      <c r="F127" s="557"/>
      <c r="G127" s="1173">
        <f t="shared" si="43"/>
        <v>0</v>
      </c>
      <c r="H127" s="557"/>
      <c r="I127" s="1173">
        <f t="shared" si="44"/>
        <v>0</v>
      </c>
      <c r="J127" s="1203">
        <f t="shared" si="45"/>
        <v>0</v>
      </c>
      <c r="K127" s="557"/>
      <c r="L127" s="1190">
        <f t="shared" si="46"/>
        <v>0</v>
      </c>
      <c r="M127" s="1191">
        <f>IFERROR(VLOOKUP(B127,[10]Allocation_eGMS!$A$8:$E$93,5,FALSE),0)</f>
        <v>10204</v>
      </c>
      <c r="N127" s="557">
        <f>VLOOKUP(B127,'[11]7-12 by Site'!$A$6:$I$148,9,FALSE)</f>
        <v>118</v>
      </c>
      <c r="O127" s="1173">
        <f t="shared" si="47"/>
        <v>3068</v>
      </c>
      <c r="P127" s="1174">
        <f t="shared" si="48"/>
        <v>13272</v>
      </c>
      <c r="R127" s="557">
        <f>VLOOKUP(B127,'[12]Oct 1 MFP Site MER'!$B$6:$M$110,12,FALSE)</f>
        <v>0</v>
      </c>
    </row>
    <row r="128" spans="1:18">
      <c r="A128" s="546">
        <f t="shared" si="41"/>
        <v>363002</v>
      </c>
      <c r="B128" s="269">
        <v>363002</v>
      </c>
      <c r="C128" s="270" t="s">
        <v>932</v>
      </c>
      <c r="D128" s="557">
        <v>0</v>
      </c>
      <c r="E128" s="1210">
        <f t="shared" si="42"/>
        <v>0</v>
      </c>
      <c r="F128" s="557"/>
      <c r="G128" s="1173">
        <f t="shared" si="43"/>
        <v>0</v>
      </c>
      <c r="H128" s="557"/>
      <c r="I128" s="1173">
        <f t="shared" si="44"/>
        <v>0</v>
      </c>
      <c r="J128" s="1203">
        <f t="shared" si="45"/>
        <v>0</v>
      </c>
      <c r="K128" s="557"/>
      <c r="L128" s="1190">
        <f t="shared" si="46"/>
        <v>0</v>
      </c>
      <c r="M128" s="1191">
        <f>IFERROR(VLOOKUP(B128,[10]Allocation_eGMS!$A$8:$E$93,5,FALSE),0)</f>
        <v>24681</v>
      </c>
      <c r="N128" s="557">
        <f>VLOOKUP(B128,'[11]7-12 by Site'!$A$6:$I$148,9,FALSE)</f>
        <v>0</v>
      </c>
      <c r="O128" s="1173">
        <f t="shared" si="47"/>
        <v>0</v>
      </c>
      <c r="P128" s="1174">
        <f t="shared" si="48"/>
        <v>24681</v>
      </c>
      <c r="R128" s="557">
        <f>VLOOKUP(B128,'[12]Oct 1 MFP Site MER'!$B$6:$M$110,12,FALSE)</f>
        <v>0</v>
      </c>
    </row>
    <row r="129" spans="1:18">
      <c r="A129" s="546">
        <f t="shared" si="41"/>
        <v>364001</v>
      </c>
      <c r="B129" s="269">
        <v>364001</v>
      </c>
      <c r="C129" s="270" t="s">
        <v>933</v>
      </c>
      <c r="D129" s="557">
        <v>0</v>
      </c>
      <c r="E129" s="1210">
        <f t="shared" si="42"/>
        <v>0</v>
      </c>
      <c r="F129" s="557"/>
      <c r="G129" s="1173">
        <f t="shared" si="43"/>
        <v>0</v>
      </c>
      <c r="H129" s="557"/>
      <c r="I129" s="1173">
        <f t="shared" si="44"/>
        <v>0</v>
      </c>
      <c r="J129" s="1203">
        <f t="shared" si="45"/>
        <v>0</v>
      </c>
      <c r="K129" s="557"/>
      <c r="L129" s="1190">
        <f t="shared" si="46"/>
        <v>0</v>
      </c>
      <c r="M129" s="1191">
        <f>IFERROR(VLOOKUP(B129,[10]Allocation_eGMS!$A$8:$E$93,5,FALSE),0)</f>
        <v>37971</v>
      </c>
      <c r="N129" s="557">
        <f>VLOOKUP(B129,'[11]7-12 by Site'!$A$6:$I$148,9,FALSE)</f>
        <v>103</v>
      </c>
      <c r="O129" s="1173">
        <f t="shared" si="47"/>
        <v>2678</v>
      </c>
      <c r="P129" s="1174">
        <f t="shared" si="48"/>
        <v>40649</v>
      </c>
      <c r="R129" s="557">
        <f>VLOOKUP(B129,'[12]Oct 1 MFP Site MER'!$B$6:$M$110,12,FALSE)</f>
        <v>0</v>
      </c>
    </row>
    <row r="130" spans="1:18" ht="13.15" customHeight="1">
      <c r="A130" s="546">
        <f t="shared" si="41"/>
        <v>366001</v>
      </c>
      <c r="B130" s="141">
        <v>366001</v>
      </c>
      <c r="C130" s="142" t="s">
        <v>934</v>
      </c>
      <c r="D130" s="558">
        <v>0</v>
      </c>
      <c r="E130" s="1211">
        <f t="shared" si="42"/>
        <v>0</v>
      </c>
      <c r="F130" s="558"/>
      <c r="G130" s="1175">
        <f t="shared" si="43"/>
        <v>0</v>
      </c>
      <c r="H130" s="558"/>
      <c r="I130" s="1175">
        <f t="shared" si="44"/>
        <v>0</v>
      </c>
      <c r="J130" s="1204">
        <f t="shared" si="45"/>
        <v>0</v>
      </c>
      <c r="K130" s="558"/>
      <c r="L130" s="1192">
        <f t="shared" si="46"/>
        <v>0</v>
      </c>
      <c r="M130" s="1193">
        <f>IFERROR(VLOOKUP(B130,[10]Allocation_eGMS!$A$8:$E$93,5,FALSE),0)</f>
        <v>0</v>
      </c>
      <c r="N130" s="558">
        <f>VLOOKUP(B130,'[11]7-12 by Site'!$A$6:$I$148,9,FALSE)</f>
        <v>21</v>
      </c>
      <c r="O130" s="1175">
        <f t="shared" si="47"/>
        <v>546</v>
      </c>
      <c r="P130" s="1176">
        <f t="shared" si="48"/>
        <v>546</v>
      </c>
      <c r="R130" s="558">
        <f>VLOOKUP(B130,'[12]Oct 1 MFP Site MER'!$B$6:$M$110,12,FALSE)</f>
        <v>0</v>
      </c>
    </row>
    <row r="131" spans="1:18">
      <c r="A131" s="546">
        <f t="shared" si="41"/>
        <v>367001</v>
      </c>
      <c r="B131" s="267">
        <v>367001</v>
      </c>
      <c r="C131" s="268" t="s">
        <v>935</v>
      </c>
      <c r="D131" s="556">
        <v>0</v>
      </c>
      <c r="E131" s="1209">
        <f t="shared" si="42"/>
        <v>0</v>
      </c>
      <c r="F131" s="556"/>
      <c r="G131" s="1171">
        <f t="shared" si="43"/>
        <v>0</v>
      </c>
      <c r="H131" s="556"/>
      <c r="I131" s="1171">
        <f t="shared" si="44"/>
        <v>0</v>
      </c>
      <c r="J131" s="1202">
        <f t="shared" si="45"/>
        <v>0</v>
      </c>
      <c r="K131" s="556"/>
      <c r="L131" s="1188">
        <f t="shared" si="46"/>
        <v>0</v>
      </c>
      <c r="M131" s="1189">
        <f>IFERROR(VLOOKUP(B131,[10]Allocation_eGMS!$A$8:$E$93,5,FALSE),0)</f>
        <v>0</v>
      </c>
      <c r="N131" s="556">
        <f>VLOOKUP(B131,'[11]7-12 by Site'!$A$6:$I$148,9,FALSE)</f>
        <v>66</v>
      </c>
      <c r="O131" s="1171">
        <f t="shared" si="47"/>
        <v>1716</v>
      </c>
      <c r="P131" s="1172">
        <f t="shared" si="48"/>
        <v>1716</v>
      </c>
      <c r="R131" s="556">
        <f>VLOOKUP(B131,'[12]Oct 1 MFP Site MER'!$B$6:$M$110,12,FALSE)</f>
        <v>0</v>
      </c>
    </row>
    <row r="132" spans="1:18" ht="13.15" customHeight="1">
      <c r="A132" s="546">
        <f t="shared" si="41"/>
        <v>368001</v>
      </c>
      <c r="B132" s="269">
        <v>368001</v>
      </c>
      <c r="C132" s="271" t="s">
        <v>936</v>
      </c>
      <c r="D132" s="557">
        <v>0</v>
      </c>
      <c r="E132" s="1210">
        <f t="shared" si="42"/>
        <v>0</v>
      </c>
      <c r="F132" s="557"/>
      <c r="G132" s="1173">
        <f t="shared" si="43"/>
        <v>0</v>
      </c>
      <c r="H132" s="557"/>
      <c r="I132" s="1173">
        <f t="shared" si="44"/>
        <v>0</v>
      </c>
      <c r="J132" s="1203">
        <f t="shared" si="45"/>
        <v>0</v>
      </c>
      <c r="K132" s="557"/>
      <c r="L132" s="1190">
        <f t="shared" si="46"/>
        <v>0</v>
      </c>
      <c r="M132" s="1191">
        <f>IFERROR(VLOOKUP(B132,[10]Allocation_eGMS!$A$8:$E$93,5,FALSE),0)</f>
        <v>29266</v>
      </c>
      <c r="N132" s="557">
        <f>VLOOKUP(B132,'[11]7-12 by Site'!$A$6:$I$148,9,FALSE)</f>
        <v>0</v>
      </c>
      <c r="O132" s="1173">
        <f t="shared" si="47"/>
        <v>0</v>
      </c>
      <c r="P132" s="1174">
        <f t="shared" si="48"/>
        <v>29266</v>
      </c>
      <c r="R132" s="557">
        <f>VLOOKUP(B132,'[12]Oct 1 MFP Site MER'!$B$6:$M$110,12,FALSE)</f>
        <v>0</v>
      </c>
    </row>
    <row r="133" spans="1:18">
      <c r="A133" s="546">
        <f t="shared" si="41"/>
        <v>369001</v>
      </c>
      <c r="B133" s="269">
        <v>369001</v>
      </c>
      <c r="C133" s="270" t="s">
        <v>937</v>
      </c>
      <c r="D133" s="557">
        <v>0</v>
      </c>
      <c r="E133" s="1210">
        <f t="shared" si="42"/>
        <v>0</v>
      </c>
      <c r="F133" s="557"/>
      <c r="G133" s="1173">
        <f t="shared" si="43"/>
        <v>0</v>
      </c>
      <c r="H133" s="557"/>
      <c r="I133" s="1173">
        <f t="shared" si="44"/>
        <v>0</v>
      </c>
      <c r="J133" s="1203">
        <f t="shared" si="45"/>
        <v>0</v>
      </c>
      <c r="K133" s="557"/>
      <c r="L133" s="1190">
        <f t="shared" si="46"/>
        <v>0</v>
      </c>
      <c r="M133" s="1191">
        <f>IFERROR(VLOOKUP(B133,[10]Allocation_eGMS!$A$8:$E$93,5,FALSE),0)</f>
        <v>15840</v>
      </c>
      <c r="N133" s="557">
        <f>VLOOKUP(B133,'[11]7-12 by Site'!$A$6:$I$148,9,FALSE)</f>
        <v>138</v>
      </c>
      <c r="O133" s="1173">
        <f t="shared" si="47"/>
        <v>3588</v>
      </c>
      <c r="P133" s="1174">
        <f t="shared" si="48"/>
        <v>19428</v>
      </c>
      <c r="R133" s="557">
        <f>VLOOKUP(B133,'[12]Oct 1 MFP Site MER'!$B$6:$M$110,12,FALSE)</f>
        <v>0</v>
      </c>
    </row>
    <row r="134" spans="1:18">
      <c r="A134" s="546">
        <f t="shared" si="41"/>
        <v>369002</v>
      </c>
      <c r="B134" s="269">
        <v>369002</v>
      </c>
      <c r="C134" s="270" t="s">
        <v>938</v>
      </c>
      <c r="D134" s="557">
        <v>0</v>
      </c>
      <c r="E134" s="1210">
        <f t="shared" si="42"/>
        <v>0</v>
      </c>
      <c r="F134" s="557"/>
      <c r="G134" s="1173">
        <f t="shared" si="43"/>
        <v>0</v>
      </c>
      <c r="H134" s="557"/>
      <c r="I134" s="1173">
        <f t="shared" si="44"/>
        <v>0</v>
      </c>
      <c r="J134" s="1203">
        <f t="shared" si="45"/>
        <v>0</v>
      </c>
      <c r="K134" s="557"/>
      <c r="L134" s="1190">
        <f t="shared" si="46"/>
        <v>0</v>
      </c>
      <c r="M134" s="1191">
        <f>IFERROR(VLOOKUP(B134,[10]Allocation_eGMS!$A$8:$E$93,5,FALSE),0)</f>
        <v>91436</v>
      </c>
      <c r="N134" s="557">
        <f>VLOOKUP(B134,'[11]7-12 by Site'!$A$6:$I$148,9,FALSE)</f>
        <v>132</v>
      </c>
      <c r="O134" s="1173">
        <f t="shared" si="47"/>
        <v>3432</v>
      </c>
      <c r="P134" s="1174">
        <f t="shared" si="48"/>
        <v>94868</v>
      </c>
      <c r="R134" s="557">
        <f>VLOOKUP(B134,'[12]Oct 1 MFP Site MER'!$B$6:$M$110,12,FALSE)</f>
        <v>0</v>
      </c>
    </row>
    <row r="135" spans="1:18">
      <c r="A135" s="546">
        <f t="shared" si="41"/>
        <v>369003</v>
      </c>
      <c r="B135" s="141">
        <v>369003</v>
      </c>
      <c r="C135" s="142" t="s">
        <v>939</v>
      </c>
      <c r="D135" s="558">
        <v>0</v>
      </c>
      <c r="E135" s="1211">
        <f t="shared" si="42"/>
        <v>0</v>
      </c>
      <c r="F135" s="558"/>
      <c r="G135" s="1175">
        <f t="shared" si="43"/>
        <v>0</v>
      </c>
      <c r="H135" s="558"/>
      <c r="I135" s="1175">
        <f t="shared" si="44"/>
        <v>0</v>
      </c>
      <c r="J135" s="1204">
        <f t="shared" si="45"/>
        <v>0</v>
      </c>
      <c r="K135" s="558"/>
      <c r="L135" s="1192">
        <f t="shared" si="46"/>
        <v>0</v>
      </c>
      <c r="M135" s="1193">
        <f>IFERROR(VLOOKUP(B135,[10]Allocation_eGMS!$A$8:$E$93,5,FALSE),0)</f>
        <v>0</v>
      </c>
      <c r="N135" s="558">
        <f>VLOOKUP(B135,'[11]7-12 by Site'!$A$6:$I$148,9,FALSE)</f>
        <v>124</v>
      </c>
      <c r="O135" s="1175">
        <f t="shared" si="47"/>
        <v>3224</v>
      </c>
      <c r="P135" s="1176">
        <f t="shared" si="48"/>
        <v>3224</v>
      </c>
      <c r="R135" s="558">
        <f>VLOOKUP(B135,'[12]Oct 1 MFP Site MER'!$B$6:$M$110,12,FALSE)</f>
        <v>0</v>
      </c>
    </row>
    <row r="136" spans="1:18">
      <c r="A136" s="546">
        <f t="shared" si="41"/>
        <v>369004</v>
      </c>
      <c r="B136" s="267">
        <v>369004</v>
      </c>
      <c r="C136" s="268" t="s">
        <v>940</v>
      </c>
      <c r="D136" s="556">
        <v>0</v>
      </c>
      <c r="E136" s="1209">
        <f t="shared" si="42"/>
        <v>0</v>
      </c>
      <c r="F136" s="556"/>
      <c r="G136" s="1171">
        <f t="shared" si="43"/>
        <v>0</v>
      </c>
      <c r="H136" s="556"/>
      <c r="I136" s="1171">
        <f t="shared" si="44"/>
        <v>0</v>
      </c>
      <c r="J136" s="1202">
        <f t="shared" si="45"/>
        <v>0</v>
      </c>
      <c r="K136" s="556"/>
      <c r="L136" s="1188">
        <f t="shared" si="46"/>
        <v>10000</v>
      </c>
      <c r="M136" s="1189">
        <f>IFERROR(VLOOKUP(B136,[10]Allocation_eGMS!$A$8:$E$93,5,FALSE),0)</f>
        <v>0</v>
      </c>
      <c r="N136" s="556">
        <f>VLOOKUP(B136,'[11]7-12 by Site'!$A$6:$I$148,9,FALSE)</f>
        <v>174</v>
      </c>
      <c r="O136" s="1171">
        <f t="shared" si="47"/>
        <v>4524</v>
      </c>
      <c r="P136" s="1172">
        <f t="shared" si="48"/>
        <v>14524</v>
      </c>
      <c r="R136" s="556">
        <f>VLOOKUP(B136,'[12]Oct 1 MFP Site MER'!$B$6:$M$110,12,FALSE)</f>
        <v>178</v>
      </c>
    </row>
    <row r="137" spans="1:18">
      <c r="A137" s="546">
        <f t="shared" si="41"/>
        <v>369005</v>
      </c>
      <c r="B137" s="269">
        <v>369005</v>
      </c>
      <c r="C137" s="270" t="s">
        <v>941</v>
      </c>
      <c r="D137" s="557">
        <v>0</v>
      </c>
      <c r="E137" s="1210">
        <f t="shared" si="42"/>
        <v>0</v>
      </c>
      <c r="F137" s="557"/>
      <c r="G137" s="1173">
        <f t="shared" si="43"/>
        <v>0</v>
      </c>
      <c r="H137" s="557"/>
      <c r="I137" s="1173">
        <f t="shared" si="44"/>
        <v>0</v>
      </c>
      <c r="J137" s="1203">
        <f t="shared" si="45"/>
        <v>0</v>
      </c>
      <c r="K137" s="557"/>
      <c r="L137" s="1190">
        <f t="shared" si="46"/>
        <v>10000</v>
      </c>
      <c r="M137" s="1191">
        <f>IFERROR(VLOOKUP(B137,[10]Allocation_eGMS!$A$8:$E$93,5,FALSE),0)</f>
        <v>0</v>
      </c>
      <c r="N137" s="557">
        <f>VLOOKUP(B137,'[11]7-12 by Site'!$A$6:$I$148,9,FALSE)</f>
        <v>177</v>
      </c>
      <c r="O137" s="1173">
        <f t="shared" si="47"/>
        <v>4602</v>
      </c>
      <c r="P137" s="1174">
        <f t="shared" si="48"/>
        <v>14602</v>
      </c>
      <c r="R137" s="557">
        <f>VLOOKUP(B137,'[12]Oct 1 MFP Site MER'!$B$6:$M$110,12,FALSE)</f>
        <v>163</v>
      </c>
    </row>
    <row r="138" spans="1:18">
      <c r="A138" s="546">
        <f t="shared" si="41"/>
        <v>369006</v>
      </c>
      <c r="B138" s="269">
        <v>369006</v>
      </c>
      <c r="C138" s="270" t="s">
        <v>942</v>
      </c>
      <c r="D138" s="557">
        <v>0</v>
      </c>
      <c r="E138" s="1210">
        <f t="shared" si="42"/>
        <v>0</v>
      </c>
      <c r="F138" s="557"/>
      <c r="G138" s="1173">
        <f t="shared" si="43"/>
        <v>0</v>
      </c>
      <c r="H138" s="557"/>
      <c r="I138" s="1173">
        <f t="shared" si="44"/>
        <v>0</v>
      </c>
      <c r="J138" s="1203">
        <f t="shared" si="45"/>
        <v>0</v>
      </c>
      <c r="K138" s="557"/>
      <c r="L138" s="1190">
        <f t="shared" si="46"/>
        <v>0</v>
      </c>
      <c r="M138" s="1191">
        <f>IFERROR(VLOOKUP(B138,[10]Allocation_eGMS!$A$8:$E$93,5,FALSE),0)</f>
        <v>31948</v>
      </c>
      <c r="N138" s="557">
        <f>VLOOKUP(B138,'[11]7-12 by Site'!$A$6:$I$148,9,FALSE)</f>
        <v>167</v>
      </c>
      <c r="O138" s="1173">
        <f t="shared" si="47"/>
        <v>4342</v>
      </c>
      <c r="P138" s="1174">
        <f t="shared" si="48"/>
        <v>36290</v>
      </c>
      <c r="R138" s="557">
        <f>VLOOKUP(B138,'[12]Oct 1 MFP Site MER'!$B$6:$M$110,12,FALSE)</f>
        <v>0</v>
      </c>
    </row>
    <row r="139" spans="1:18">
      <c r="A139" s="546">
        <f t="shared" si="41"/>
        <v>373001</v>
      </c>
      <c r="B139" s="269">
        <v>373001</v>
      </c>
      <c r="C139" s="270" t="s">
        <v>943</v>
      </c>
      <c r="D139" s="557">
        <v>0</v>
      </c>
      <c r="E139" s="1210">
        <f t="shared" si="42"/>
        <v>0</v>
      </c>
      <c r="F139" s="557"/>
      <c r="G139" s="1173">
        <f t="shared" si="43"/>
        <v>0</v>
      </c>
      <c r="H139" s="557"/>
      <c r="I139" s="1173">
        <f t="shared" si="44"/>
        <v>0</v>
      </c>
      <c r="J139" s="1203">
        <f t="shared" si="45"/>
        <v>0</v>
      </c>
      <c r="K139" s="557"/>
      <c r="L139" s="1190">
        <f t="shared" si="46"/>
        <v>0</v>
      </c>
      <c r="M139" s="1191">
        <f>IFERROR(VLOOKUP(B139,[10]Allocation_eGMS!$A$8:$E$93,5,FALSE),0)</f>
        <v>0</v>
      </c>
      <c r="N139" s="557">
        <f>VLOOKUP(B139,'[11]7-12 by Site'!$A$6:$I$148,9,FALSE)</f>
        <v>0</v>
      </c>
      <c r="O139" s="1173">
        <f t="shared" si="47"/>
        <v>0</v>
      </c>
      <c r="P139" s="1174">
        <f t="shared" si="48"/>
        <v>0</v>
      </c>
      <c r="R139" s="557">
        <f>VLOOKUP(B139,'[12]Oct 1 MFP Site MER'!$B$6:$M$110,12,FALSE)</f>
        <v>0</v>
      </c>
    </row>
    <row r="140" spans="1:18">
      <c r="A140" s="546">
        <f t="shared" si="41"/>
        <v>373002</v>
      </c>
      <c r="B140" s="141">
        <v>373002</v>
      </c>
      <c r="C140" s="142" t="s">
        <v>944</v>
      </c>
      <c r="D140" s="558">
        <v>0</v>
      </c>
      <c r="E140" s="1211">
        <f t="shared" si="42"/>
        <v>0</v>
      </c>
      <c r="F140" s="558"/>
      <c r="G140" s="1175">
        <f t="shared" si="43"/>
        <v>0</v>
      </c>
      <c r="H140" s="558"/>
      <c r="I140" s="1175">
        <f t="shared" si="44"/>
        <v>0</v>
      </c>
      <c r="J140" s="1204">
        <f t="shared" si="45"/>
        <v>0</v>
      </c>
      <c r="K140" s="558"/>
      <c r="L140" s="1192">
        <f t="shared" si="46"/>
        <v>0</v>
      </c>
      <c r="M140" s="1193">
        <f>IFERROR(VLOOKUP(B140,[10]Allocation_eGMS!$A$8:$E$93,5,FALSE),0)</f>
        <v>0</v>
      </c>
      <c r="N140" s="558">
        <f>VLOOKUP(B140,'[11]7-12 by Site'!$A$6:$I$148,9,FALSE)</f>
        <v>0</v>
      </c>
      <c r="O140" s="1175">
        <f t="shared" si="47"/>
        <v>0</v>
      </c>
      <c r="P140" s="1176">
        <f t="shared" si="48"/>
        <v>0</v>
      </c>
      <c r="R140" s="558">
        <f>VLOOKUP(B140,'[12]Oct 1 MFP Site MER'!$B$6:$M$110,12,FALSE)</f>
        <v>0</v>
      </c>
    </row>
    <row r="141" spans="1:18">
      <c r="A141" s="546">
        <f t="shared" si="41"/>
        <v>374001</v>
      </c>
      <c r="B141" s="267">
        <v>374001</v>
      </c>
      <c r="C141" s="268" t="s">
        <v>945</v>
      </c>
      <c r="D141" s="556">
        <v>0</v>
      </c>
      <c r="E141" s="1209">
        <f t="shared" si="42"/>
        <v>0</v>
      </c>
      <c r="F141" s="556"/>
      <c r="G141" s="1171">
        <f t="shared" si="43"/>
        <v>0</v>
      </c>
      <c r="H141" s="556"/>
      <c r="I141" s="1171">
        <f t="shared" si="44"/>
        <v>0</v>
      </c>
      <c r="J141" s="1202">
        <f t="shared" si="45"/>
        <v>0</v>
      </c>
      <c r="K141" s="556"/>
      <c r="L141" s="1188">
        <f t="shared" si="46"/>
        <v>0</v>
      </c>
      <c r="M141" s="1189">
        <f>IFERROR(VLOOKUP(B141,[10]Allocation_eGMS!$A$8:$E$93,5,FALSE),0)</f>
        <v>0</v>
      </c>
      <c r="N141" s="556">
        <f>VLOOKUP(B141,'[11]7-12 by Site'!$A$6:$I$148,9,FALSE)</f>
        <v>66</v>
      </c>
      <c r="O141" s="1171">
        <f t="shared" si="47"/>
        <v>1716</v>
      </c>
      <c r="P141" s="1172">
        <f t="shared" si="48"/>
        <v>1716</v>
      </c>
      <c r="R141" s="556">
        <f>VLOOKUP(B141,'[12]Oct 1 MFP Site MER'!$B$6:$M$110,12,FALSE)</f>
        <v>0</v>
      </c>
    </row>
    <row r="142" spans="1:18">
      <c r="A142" s="546">
        <f t="shared" si="41"/>
        <v>381001</v>
      </c>
      <c r="B142" s="269">
        <v>381001</v>
      </c>
      <c r="C142" s="270" t="s">
        <v>946</v>
      </c>
      <c r="D142" s="557">
        <v>0</v>
      </c>
      <c r="E142" s="1210">
        <f t="shared" si="42"/>
        <v>0</v>
      </c>
      <c r="F142" s="557"/>
      <c r="G142" s="1173">
        <f t="shared" si="43"/>
        <v>0</v>
      </c>
      <c r="H142" s="557"/>
      <c r="I142" s="1173">
        <f t="shared" si="44"/>
        <v>0</v>
      </c>
      <c r="J142" s="1203">
        <f t="shared" si="45"/>
        <v>0</v>
      </c>
      <c r="K142" s="557"/>
      <c r="L142" s="1190">
        <f t="shared" si="46"/>
        <v>0</v>
      </c>
      <c r="M142" s="1191">
        <f>IFERROR(VLOOKUP(B142,[10]Allocation_eGMS!$A$8:$E$93,5,FALSE),0)</f>
        <v>27295</v>
      </c>
      <c r="N142" s="557">
        <f>VLOOKUP(B142,'[11]7-12 by Site'!$A$6:$I$148,9,FALSE)</f>
        <v>0</v>
      </c>
      <c r="O142" s="1173">
        <f t="shared" si="47"/>
        <v>0</v>
      </c>
      <c r="P142" s="1174">
        <f t="shared" si="48"/>
        <v>27295</v>
      </c>
      <c r="R142" s="557">
        <f>VLOOKUP(B142,'[12]Oct 1 MFP Site MER'!$B$6:$M$110,12,FALSE)</f>
        <v>0</v>
      </c>
    </row>
    <row r="143" spans="1:18">
      <c r="A143" s="546">
        <f t="shared" si="41"/>
        <v>382001</v>
      </c>
      <c r="B143" s="269">
        <v>382001</v>
      </c>
      <c r="C143" s="270" t="s">
        <v>947</v>
      </c>
      <c r="D143" s="557">
        <v>0</v>
      </c>
      <c r="E143" s="1210">
        <f t="shared" si="42"/>
        <v>0</v>
      </c>
      <c r="F143" s="557"/>
      <c r="G143" s="1173">
        <f t="shared" si="43"/>
        <v>0</v>
      </c>
      <c r="H143" s="557"/>
      <c r="I143" s="1173">
        <f t="shared" si="44"/>
        <v>0</v>
      </c>
      <c r="J143" s="1203">
        <f t="shared" si="45"/>
        <v>0</v>
      </c>
      <c r="K143" s="557"/>
      <c r="L143" s="1190">
        <f t="shared" si="46"/>
        <v>10000</v>
      </c>
      <c r="M143" s="1191">
        <f>IFERROR(VLOOKUP(B143,[10]Allocation_eGMS!$A$8:$E$93,5,FALSE),0)</f>
        <v>24819</v>
      </c>
      <c r="N143" s="557">
        <f>VLOOKUP(B143,'[11]7-12 by Site'!$A$6:$I$148,9,FALSE)</f>
        <v>433</v>
      </c>
      <c r="O143" s="1173">
        <f t="shared" si="47"/>
        <v>11258</v>
      </c>
      <c r="P143" s="1174">
        <f t="shared" si="48"/>
        <v>46077</v>
      </c>
      <c r="R143" s="557">
        <f>VLOOKUP(B143,'[12]Oct 1 MFP Site MER'!$B$6:$M$110,12,FALSE)</f>
        <v>460</v>
      </c>
    </row>
    <row r="144" spans="1:18">
      <c r="A144" s="546">
        <f t="shared" si="41"/>
        <v>382002</v>
      </c>
      <c r="B144" s="269">
        <v>382002</v>
      </c>
      <c r="C144" s="270" t="s">
        <v>948</v>
      </c>
      <c r="D144" s="557">
        <v>0</v>
      </c>
      <c r="E144" s="1210">
        <f t="shared" si="42"/>
        <v>0</v>
      </c>
      <c r="F144" s="557"/>
      <c r="G144" s="1173">
        <f t="shared" si="43"/>
        <v>0</v>
      </c>
      <c r="H144" s="557"/>
      <c r="I144" s="1173">
        <f t="shared" si="44"/>
        <v>0</v>
      </c>
      <c r="J144" s="1203">
        <f t="shared" si="45"/>
        <v>0</v>
      </c>
      <c r="K144" s="557"/>
      <c r="L144" s="1190">
        <f t="shared" si="46"/>
        <v>10000</v>
      </c>
      <c r="M144" s="1191">
        <f>IFERROR(VLOOKUP(B144,[10]Allocation_eGMS!$A$8:$E$93,5,FALSE),0)</f>
        <v>99206</v>
      </c>
      <c r="N144" s="557">
        <f>VLOOKUP(B144,'[11]7-12 by Site'!$A$6:$I$148,9,FALSE)</f>
        <v>202</v>
      </c>
      <c r="O144" s="1173">
        <f t="shared" si="47"/>
        <v>5252</v>
      </c>
      <c r="P144" s="1174">
        <f t="shared" si="48"/>
        <v>114458</v>
      </c>
      <c r="R144" s="557">
        <f>VLOOKUP(B144,'[12]Oct 1 MFP Site MER'!$B$6:$M$110,12,FALSE)</f>
        <v>305</v>
      </c>
    </row>
    <row r="145" spans="1:18">
      <c r="A145" s="546">
        <f t="shared" si="41"/>
        <v>382003</v>
      </c>
      <c r="B145" s="141">
        <v>382003</v>
      </c>
      <c r="C145" s="142" t="s">
        <v>949</v>
      </c>
      <c r="D145" s="558">
        <v>0</v>
      </c>
      <c r="E145" s="1211">
        <f t="shared" si="42"/>
        <v>0</v>
      </c>
      <c r="F145" s="558"/>
      <c r="G145" s="1175">
        <f t="shared" si="43"/>
        <v>0</v>
      </c>
      <c r="H145" s="558"/>
      <c r="I145" s="1175">
        <f t="shared" si="44"/>
        <v>0</v>
      </c>
      <c r="J145" s="1204">
        <f t="shared" si="45"/>
        <v>0</v>
      </c>
      <c r="K145" s="558"/>
      <c r="L145" s="1192">
        <f t="shared" si="46"/>
        <v>10000</v>
      </c>
      <c r="M145" s="1193">
        <f>IFERROR(VLOOKUP(B145,[10]Allocation_eGMS!$A$8:$E$93,5,FALSE),0)</f>
        <v>37914</v>
      </c>
      <c r="N145" s="558">
        <f>VLOOKUP(B145,'[11]7-12 by Site'!$A$6:$I$148,9,FALSE)</f>
        <v>186</v>
      </c>
      <c r="O145" s="1175">
        <f t="shared" si="47"/>
        <v>4836</v>
      </c>
      <c r="P145" s="1176">
        <f t="shared" si="48"/>
        <v>52750</v>
      </c>
      <c r="R145" s="558">
        <f>VLOOKUP(B145,'[12]Oct 1 MFP Site MER'!$B$6:$M$110,12,FALSE)</f>
        <v>287</v>
      </c>
    </row>
    <row r="146" spans="1:18">
      <c r="A146" s="546">
        <f t="shared" si="41"/>
        <v>384001</v>
      </c>
      <c r="B146" s="267">
        <v>384001</v>
      </c>
      <c r="C146" s="268" t="s">
        <v>950</v>
      </c>
      <c r="D146" s="556">
        <v>0</v>
      </c>
      <c r="E146" s="1209">
        <f t="shared" si="42"/>
        <v>0</v>
      </c>
      <c r="F146" s="556"/>
      <c r="G146" s="1171">
        <f t="shared" si="43"/>
        <v>0</v>
      </c>
      <c r="H146" s="556"/>
      <c r="I146" s="1171">
        <f t="shared" si="44"/>
        <v>0</v>
      </c>
      <c r="J146" s="1202">
        <f t="shared" si="45"/>
        <v>0</v>
      </c>
      <c r="K146" s="556"/>
      <c r="L146" s="1188">
        <f t="shared" si="46"/>
        <v>10000</v>
      </c>
      <c r="M146" s="1189">
        <f>IFERROR(VLOOKUP(B146,[10]Allocation_eGMS!$A$8:$E$93,5,FALSE),0)</f>
        <v>13353</v>
      </c>
      <c r="N146" s="556">
        <f>VLOOKUP(B146,'[11]7-12 by Site'!$A$6:$I$148,9,FALSE)</f>
        <v>282</v>
      </c>
      <c r="O146" s="1171">
        <f t="shared" si="47"/>
        <v>7332</v>
      </c>
      <c r="P146" s="1172">
        <f t="shared" si="48"/>
        <v>30685</v>
      </c>
      <c r="R146" s="556">
        <f>VLOOKUP(B146,'[12]Oct 1 MFP Site MER'!$B$6:$M$110,12,FALSE)</f>
        <v>202</v>
      </c>
    </row>
    <row r="147" spans="1:18">
      <c r="A147" s="546">
        <f t="shared" si="41"/>
        <v>385001</v>
      </c>
      <c r="B147" s="269">
        <v>385001</v>
      </c>
      <c r="C147" s="270" t="s">
        <v>951</v>
      </c>
      <c r="D147" s="557">
        <v>0</v>
      </c>
      <c r="E147" s="1210">
        <f t="shared" si="42"/>
        <v>0</v>
      </c>
      <c r="F147" s="557"/>
      <c r="G147" s="1173">
        <f t="shared" si="43"/>
        <v>0</v>
      </c>
      <c r="H147" s="557"/>
      <c r="I147" s="1173">
        <f t="shared" si="44"/>
        <v>0</v>
      </c>
      <c r="J147" s="1203">
        <f t="shared" si="45"/>
        <v>0</v>
      </c>
      <c r="K147" s="557"/>
      <c r="L147" s="1190">
        <f t="shared" si="46"/>
        <v>0</v>
      </c>
      <c r="M147" s="1191">
        <f>IFERROR(VLOOKUP(B147,[10]Allocation_eGMS!$A$8:$E$93,5,FALSE),0)</f>
        <v>26900</v>
      </c>
      <c r="N147" s="557">
        <f>VLOOKUP(B147,'[11]7-12 by Site'!$A$6:$I$148,9,FALSE)</f>
        <v>0</v>
      </c>
      <c r="O147" s="1173">
        <f t="shared" si="47"/>
        <v>0</v>
      </c>
      <c r="P147" s="1174">
        <f t="shared" si="48"/>
        <v>26900</v>
      </c>
      <c r="R147" s="557">
        <f>VLOOKUP(B147,'[12]Oct 1 MFP Site MER'!$B$6:$M$110,12,FALSE)</f>
        <v>0</v>
      </c>
    </row>
    <row r="148" spans="1:18">
      <c r="A148" s="546">
        <f t="shared" si="41"/>
        <v>385002</v>
      </c>
      <c r="B148" s="269">
        <v>385002</v>
      </c>
      <c r="C148" s="270" t="s">
        <v>952</v>
      </c>
      <c r="D148" s="557">
        <v>0</v>
      </c>
      <c r="E148" s="1210">
        <f t="shared" si="42"/>
        <v>0</v>
      </c>
      <c r="F148" s="557"/>
      <c r="G148" s="1173">
        <f t="shared" si="43"/>
        <v>0</v>
      </c>
      <c r="H148" s="557"/>
      <c r="I148" s="1173">
        <f t="shared" si="44"/>
        <v>0</v>
      </c>
      <c r="J148" s="1203">
        <f t="shared" si="45"/>
        <v>0</v>
      </c>
      <c r="K148" s="557"/>
      <c r="L148" s="1190">
        <f t="shared" si="46"/>
        <v>10000</v>
      </c>
      <c r="M148" s="1191">
        <f>IFERROR(VLOOKUP(B148,[10]Allocation_eGMS!$A$8:$E$93,5,FALSE),0)</f>
        <v>35644</v>
      </c>
      <c r="N148" s="557">
        <f>VLOOKUP(B148,'[11]7-12 by Site'!$A$6:$I$148,9,FALSE)</f>
        <v>443</v>
      </c>
      <c r="O148" s="1173">
        <f t="shared" si="47"/>
        <v>11518</v>
      </c>
      <c r="P148" s="1174">
        <f t="shared" si="48"/>
        <v>57162</v>
      </c>
      <c r="R148" s="557">
        <f>VLOOKUP(B148,'[12]Oct 1 MFP Site MER'!$B$6:$M$110,12,FALSE)</f>
        <v>368</v>
      </c>
    </row>
    <row r="149" spans="1:18">
      <c r="A149" s="546">
        <f t="shared" si="41"/>
        <v>385003</v>
      </c>
      <c r="B149" s="269">
        <v>385003</v>
      </c>
      <c r="C149" s="270" t="s">
        <v>953</v>
      </c>
      <c r="D149" s="557">
        <v>0</v>
      </c>
      <c r="E149" s="1210">
        <f t="shared" si="42"/>
        <v>0</v>
      </c>
      <c r="F149" s="557"/>
      <c r="G149" s="1173">
        <f t="shared" si="43"/>
        <v>0</v>
      </c>
      <c r="H149" s="557"/>
      <c r="I149" s="1173">
        <f t="shared" si="44"/>
        <v>0</v>
      </c>
      <c r="J149" s="1203">
        <f t="shared" si="45"/>
        <v>0</v>
      </c>
      <c r="K149" s="557"/>
      <c r="L149" s="1190">
        <f t="shared" si="46"/>
        <v>0</v>
      </c>
      <c r="M149" s="1191">
        <f>IFERROR(VLOOKUP(B149,[10]Allocation_eGMS!$A$8:$E$93,5,FALSE),0)</f>
        <v>12057</v>
      </c>
      <c r="N149" s="557">
        <f>VLOOKUP(B149,'[11]7-12 by Site'!$A$6:$I$148,9,FALSE)</f>
        <v>0</v>
      </c>
      <c r="O149" s="1173">
        <f t="shared" si="47"/>
        <v>0</v>
      </c>
      <c r="P149" s="1174">
        <f t="shared" si="48"/>
        <v>12057</v>
      </c>
      <c r="R149" s="557">
        <f>VLOOKUP(B149,'[12]Oct 1 MFP Site MER'!$B$6:$M$110,12,FALSE)</f>
        <v>0</v>
      </c>
    </row>
    <row r="150" spans="1:18">
      <c r="A150" s="546">
        <f t="shared" si="41"/>
        <v>388001</v>
      </c>
      <c r="B150" s="141">
        <v>388001</v>
      </c>
      <c r="C150" s="142" t="s">
        <v>954</v>
      </c>
      <c r="D150" s="558">
        <v>0</v>
      </c>
      <c r="E150" s="1211">
        <f t="shared" si="42"/>
        <v>0</v>
      </c>
      <c r="F150" s="558"/>
      <c r="G150" s="1175">
        <f t="shared" si="43"/>
        <v>0</v>
      </c>
      <c r="H150" s="558"/>
      <c r="I150" s="1175">
        <f t="shared" si="44"/>
        <v>0</v>
      </c>
      <c r="J150" s="1204">
        <f t="shared" si="45"/>
        <v>0</v>
      </c>
      <c r="K150" s="558"/>
      <c r="L150" s="1192">
        <f t="shared" si="46"/>
        <v>0</v>
      </c>
      <c r="M150" s="1193">
        <f>IFERROR(VLOOKUP(B150,[10]Allocation_eGMS!$A$8:$E$93,5,FALSE),0)</f>
        <v>61536</v>
      </c>
      <c r="N150" s="558">
        <f>VLOOKUP(B150,'[11]7-12 by Site'!$A$6:$I$148,9,FALSE)</f>
        <v>140</v>
      </c>
      <c r="O150" s="1175">
        <f t="shared" si="47"/>
        <v>3640</v>
      </c>
      <c r="P150" s="1176">
        <f t="shared" si="48"/>
        <v>65176</v>
      </c>
      <c r="R150" s="558">
        <f>VLOOKUP(B150,'[12]Oct 1 MFP Site MER'!$B$6:$M$110,12,FALSE)</f>
        <v>0</v>
      </c>
    </row>
    <row r="151" spans="1:18" ht="13.15" customHeight="1">
      <c r="A151" s="546">
        <f t="shared" si="41"/>
        <v>390001</v>
      </c>
      <c r="B151" s="267">
        <v>390001</v>
      </c>
      <c r="C151" s="272" t="s">
        <v>955</v>
      </c>
      <c r="D151" s="556">
        <v>0</v>
      </c>
      <c r="E151" s="1209">
        <f t="shared" si="42"/>
        <v>0</v>
      </c>
      <c r="F151" s="556"/>
      <c r="G151" s="1171">
        <f t="shared" si="43"/>
        <v>0</v>
      </c>
      <c r="H151" s="556"/>
      <c r="I151" s="1171">
        <f t="shared" si="44"/>
        <v>0</v>
      </c>
      <c r="J151" s="1202">
        <f t="shared" si="45"/>
        <v>0</v>
      </c>
      <c r="K151" s="556"/>
      <c r="L151" s="1188">
        <f t="shared" si="46"/>
        <v>0</v>
      </c>
      <c r="M151" s="1189">
        <f>IFERROR(VLOOKUP(B151,[10]Allocation_eGMS!$A$8:$E$93,5,FALSE),0)</f>
        <v>0</v>
      </c>
      <c r="N151" s="556">
        <f>VLOOKUP(B151,'[11]7-12 by Site'!$A$6:$I$148,9,FALSE)</f>
        <v>97</v>
      </c>
      <c r="O151" s="1171">
        <f t="shared" si="47"/>
        <v>2522</v>
      </c>
      <c r="P151" s="1172">
        <f t="shared" si="48"/>
        <v>2522</v>
      </c>
      <c r="R151" s="556">
        <f>VLOOKUP(B151,'[12]Oct 1 MFP Site MER'!$B$6:$M$110,12,FALSE)</f>
        <v>0</v>
      </c>
    </row>
    <row r="152" spans="1:18">
      <c r="A152" s="546">
        <f t="shared" si="41"/>
        <v>391001</v>
      </c>
      <c r="B152" s="269">
        <v>391001</v>
      </c>
      <c r="C152" s="270" t="s">
        <v>956</v>
      </c>
      <c r="D152" s="557">
        <v>0</v>
      </c>
      <c r="E152" s="1210">
        <f t="shared" si="42"/>
        <v>0</v>
      </c>
      <c r="F152" s="557"/>
      <c r="G152" s="1173">
        <f t="shared" si="43"/>
        <v>0</v>
      </c>
      <c r="H152" s="557"/>
      <c r="I152" s="1173">
        <f t="shared" si="44"/>
        <v>0</v>
      </c>
      <c r="J152" s="1203">
        <f t="shared" si="45"/>
        <v>0</v>
      </c>
      <c r="K152" s="557"/>
      <c r="L152" s="1190">
        <f t="shared" si="46"/>
        <v>10000</v>
      </c>
      <c r="M152" s="1191">
        <f>IFERROR(VLOOKUP(B152,[10]Allocation_eGMS!$A$8:$E$93,5,FALSE),0)</f>
        <v>0</v>
      </c>
      <c r="N152" s="557">
        <f>VLOOKUP(B152,'[11]7-12 by Site'!$A$6:$I$148,9,FALSE)</f>
        <v>267</v>
      </c>
      <c r="O152" s="1173">
        <f t="shared" si="47"/>
        <v>6942</v>
      </c>
      <c r="P152" s="1174">
        <f t="shared" si="48"/>
        <v>16942</v>
      </c>
      <c r="R152" s="557">
        <f>VLOOKUP(B152,'[12]Oct 1 MFP Site MER'!$B$6:$M$110,12,FALSE)</f>
        <v>158</v>
      </c>
    </row>
    <row r="153" spans="1:18">
      <c r="A153" s="546">
        <f t="shared" si="41"/>
        <v>391002</v>
      </c>
      <c r="B153" s="269">
        <v>391002</v>
      </c>
      <c r="C153" s="270" t="s">
        <v>957</v>
      </c>
      <c r="D153" s="557">
        <v>0</v>
      </c>
      <c r="E153" s="1210">
        <f t="shared" si="42"/>
        <v>0</v>
      </c>
      <c r="F153" s="557"/>
      <c r="G153" s="1173">
        <f t="shared" si="43"/>
        <v>0</v>
      </c>
      <c r="H153" s="557"/>
      <c r="I153" s="1173">
        <f t="shared" si="44"/>
        <v>0</v>
      </c>
      <c r="J153" s="1203">
        <f t="shared" si="45"/>
        <v>0</v>
      </c>
      <c r="K153" s="557"/>
      <c r="L153" s="1190">
        <f t="shared" ref="L153:L177" si="49">IF(R153&gt;0,IF($L$3*K153&lt;10000,10000,$L$3*K153),0)</f>
        <v>0</v>
      </c>
      <c r="M153" s="1191">
        <f>IFERROR(VLOOKUP(B153,[10]Allocation_eGMS!$A$8:$E$93,5,FALSE),0)</f>
        <v>29395</v>
      </c>
      <c r="N153" s="557">
        <f>VLOOKUP(B153,'[11]7-12 by Site'!$A$6:$I$148,9,FALSE)</f>
        <v>79</v>
      </c>
      <c r="O153" s="1173">
        <f t="shared" ref="O153:O177" si="50">ROUND(N153*$O$3,0)</f>
        <v>2054</v>
      </c>
      <c r="P153" s="1174">
        <f t="shared" ref="P153:P177" si="51">+L153+J153+E153+M153+O153</f>
        <v>31449</v>
      </c>
      <c r="R153" s="557">
        <f>VLOOKUP(B153,'[12]Oct 1 MFP Site MER'!$B$6:$M$110,12,FALSE)</f>
        <v>0</v>
      </c>
    </row>
    <row r="154" spans="1:18">
      <c r="A154" s="546">
        <f t="shared" si="41"/>
        <v>392001</v>
      </c>
      <c r="B154" s="269">
        <v>392001</v>
      </c>
      <c r="C154" s="270" t="s">
        <v>958</v>
      </c>
      <c r="D154" s="557">
        <v>0</v>
      </c>
      <c r="E154" s="1210">
        <f t="shared" si="42"/>
        <v>0</v>
      </c>
      <c r="F154" s="557"/>
      <c r="G154" s="1173">
        <f t="shared" si="43"/>
        <v>0</v>
      </c>
      <c r="H154" s="557"/>
      <c r="I154" s="1173">
        <f t="shared" si="44"/>
        <v>0</v>
      </c>
      <c r="J154" s="1203">
        <f t="shared" si="45"/>
        <v>0</v>
      </c>
      <c r="K154" s="557"/>
      <c r="L154" s="1190">
        <f t="shared" si="49"/>
        <v>0</v>
      </c>
      <c r="M154" s="1191">
        <f>IFERROR(VLOOKUP(B154,[10]Allocation_eGMS!$A$8:$E$93,5,FALSE),0)</f>
        <v>0</v>
      </c>
      <c r="N154" s="557">
        <f>VLOOKUP(B154,'[11]7-12 by Site'!$A$6:$I$148,9,FALSE)</f>
        <v>103</v>
      </c>
      <c r="O154" s="1173">
        <f t="shared" si="50"/>
        <v>2678</v>
      </c>
      <c r="P154" s="1174">
        <f t="shared" si="51"/>
        <v>2678</v>
      </c>
      <c r="R154" s="557">
        <f>VLOOKUP(B154,'[12]Oct 1 MFP Site MER'!$B$6:$M$110,12,FALSE)</f>
        <v>0</v>
      </c>
    </row>
    <row r="155" spans="1:18">
      <c r="A155" s="546">
        <f t="shared" si="41"/>
        <v>393001</v>
      </c>
      <c r="B155" s="141">
        <v>393001</v>
      </c>
      <c r="C155" s="142" t="s">
        <v>959</v>
      </c>
      <c r="D155" s="558">
        <v>0</v>
      </c>
      <c r="E155" s="1211">
        <f t="shared" si="42"/>
        <v>0</v>
      </c>
      <c r="F155" s="558"/>
      <c r="G155" s="1175">
        <f t="shared" si="43"/>
        <v>0</v>
      </c>
      <c r="H155" s="558"/>
      <c r="I155" s="1175">
        <f t="shared" si="44"/>
        <v>0</v>
      </c>
      <c r="J155" s="1204">
        <f t="shared" si="45"/>
        <v>0</v>
      </c>
      <c r="K155" s="558"/>
      <c r="L155" s="1192">
        <f t="shared" si="49"/>
        <v>0</v>
      </c>
      <c r="M155" s="1193">
        <f>IFERROR(VLOOKUP(B155,[10]Allocation_eGMS!$A$8:$E$93,5,FALSE),0)</f>
        <v>17598</v>
      </c>
      <c r="N155" s="558">
        <f>VLOOKUP(B155,'[11]7-12 by Site'!$A$6:$I$148,9,FALSE)</f>
        <v>197</v>
      </c>
      <c r="O155" s="1175">
        <f t="shared" si="50"/>
        <v>5122</v>
      </c>
      <c r="P155" s="1176">
        <f t="shared" si="51"/>
        <v>22720</v>
      </c>
      <c r="R155" s="558">
        <f>VLOOKUP(B155,'[12]Oct 1 MFP Site MER'!$B$6:$M$110,12,FALSE)</f>
        <v>0</v>
      </c>
    </row>
    <row r="156" spans="1:18">
      <c r="A156" s="546">
        <f t="shared" si="41"/>
        <v>393002</v>
      </c>
      <c r="B156" s="267">
        <v>393002</v>
      </c>
      <c r="C156" s="268" t="s">
        <v>960</v>
      </c>
      <c r="D156" s="556">
        <v>0</v>
      </c>
      <c r="E156" s="1209">
        <f t="shared" si="42"/>
        <v>0</v>
      </c>
      <c r="F156" s="556"/>
      <c r="G156" s="1171">
        <f t="shared" si="43"/>
        <v>0</v>
      </c>
      <c r="H156" s="556"/>
      <c r="I156" s="1171">
        <f t="shared" si="44"/>
        <v>0</v>
      </c>
      <c r="J156" s="1202">
        <f t="shared" si="45"/>
        <v>0</v>
      </c>
      <c r="K156" s="556"/>
      <c r="L156" s="1188">
        <f t="shared" si="49"/>
        <v>0</v>
      </c>
      <c r="M156" s="1189">
        <f>IFERROR(VLOOKUP(B156,[10]Allocation_eGMS!$A$8:$E$93,5,FALSE),0)</f>
        <v>15666</v>
      </c>
      <c r="N156" s="556">
        <f>VLOOKUP(B156,'[11]7-12 by Site'!$A$6:$I$148,9,FALSE)</f>
        <v>110</v>
      </c>
      <c r="O156" s="1171">
        <f t="shared" si="50"/>
        <v>2860</v>
      </c>
      <c r="P156" s="1172">
        <f t="shared" si="51"/>
        <v>18526</v>
      </c>
      <c r="R156" s="556">
        <f>VLOOKUP(B156,'[12]Oct 1 MFP Site MER'!$B$6:$M$110,12,FALSE)</f>
        <v>0</v>
      </c>
    </row>
    <row r="157" spans="1:18">
      <c r="A157" s="546">
        <f t="shared" si="41"/>
        <v>393003</v>
      </c>
      <c r="B157" s="269">
        <v>393003</v>
      </c>
      <c r="C157" s="270" t="s">
        <v>961</v>
      </c>
      <c r="D157" s="557">
        <v>0</v>
      </c>
      <c r="E157" s="1210">
        <f t="shared" si="42"/>
        <v>0</v>
      </c>
      <c r="F157" s="557"/>
      <c r="G157" s="1173">
        <f t="shared" si="43"/>
        <v>0</v>
      </c>
      <c r="H157" s="557"/>
      <c r="I157" s="1173">
        <f t="shared" si="44"/>
        <v>0</v>
      </c>
      <c r="J157" s="1203">
        <f t="shared" si="45"/>
        <v>0</v>
      </c>
      <c r="K157" s="557"/>
      <c r="L157" s="1190">
        <f t="shared" si="49"/>
        <v>0</v>
      </c>
      <c r="M157" s="1191">
        <f>IFERROR(VLOOKUP(B157,[10]Allocation_eGMS!$A$8:$E$93,5,FALSE),0)</f>
        <v>5542</v>
      </c>
      <c r="N157" s="557">
        <f>VLOOKUP(B157,'[11]7-12 by Site'!$A$6:$I$148,9,FALSE)</f>
        <v>91</v>
      </c>
      <c r="O157" s="1173">
        <f t="shared" si="50"/>
        <v>2366</v>
      </c>
      <c r="P157" s="1174">
        <f t="shared" si="51"/>
        <v>7908</v>
      </c>
      <c r="R157" s="557">
        <f>VLOOKUP(B157,'[12]Oct 1 MFP Site MER'!$B$6:$M$110,12,FALSE)</f>
        <v>0</v>
      </c>
    </row>
    <row r="158" spans="1:18">
      <c r="A158" s="546">
        <f t="shared" si="41"/>
        <v>395001</v>
      </c>
      <c r="B158" s="269">
        <v>395001</v>
      </c>
      <c r="C158" s="270" t="s">
        <v>962</v>
      </c>
      <c r="D158" s="557">
        <v>0</v>
      </c>
      <c r="E158" s="1210">
        <f t="shared" si="42"/>
        <v>0</v>
      </c>
      <c r="F158" s="557"/>
      <c r="G158" s="1173">
        <f t="shared" si="43"/>
        <v>0</v>
      </c>
      <c r="H158" s="557"/>
      <c r="I158" s="1173">
        <f t="shared" si="44"/>
        <v>0</v>
      </c>
      <c r="J158" s="1203">
        <f t="shared" si="45"/>
        <v>0</v>
      </c>
      <c r="K158" s="557"/>
      <c r="L158" s="1190">
        <f t="shared" si="49"/>
        <v>0</v>
      </c>
      <c r="M158" s="1191">
        <f>IFERROR(VLOOKUP(B158,[10]Allocation_eGMS!$A$8:$E$93,5,FALSE),0)</f>
        <v>5561</v>
      </c>
      <c r="N158" s="557">
        <f>VLOOKUP(B158,'[11]7-12 by Site'!$A$6:$I$148,9,FALSE)</f>
        <v>145</v>
      </c>
      <c r="O158" s="1173">
        <f t="shared" si="50"/>
        <v>3770</v>
      </c>
      <c r="P158" s="1174">
        <f t="shared" si="51"/>
        <v>9331</v>
      </c>
      <c r="R158" s="557">
        <f>VLOOKUP(B158,'[12]Oct 1 MFP Site MER'!$B$6:$M$110,12,FALSE)</f>
        <v>0</v>
      </c>
    </row>
    <row r="159" spans="1:18">
      <c r="A159" s="546">
        <f t="shared" si="41"/>
        <v>395002</v>
      </c>
      <c r="B159" s="269">
        <v>395002</v>
      </c>
      <c r="C159" s="270" t="s">
        <v>963</v>
      </c>
      <c r="D159" s="557">
        <v>0</v>
      </c>
      <c r="E159" s="1210">
        <f t="shared" si="42"/>
        <v>0</v>
      </c>
      <c r="F159" s="557"/>
      <c r="G159" s="1173">
        <f t="shared" si="43"/>
        <v>0</v>
      </c>
      <c r="H159" s="557"/>
      <c r="I159" s="1173">
        <f t="shared" si="44"/>
        <v>0</v>
      </c>
      <c r="J159" s="1203">
        <f t="shared" si="45"/>
        <v>0</v>
      </c>
      <c r="K159" s="557"/>
      <c r="L159" s="1190">
        <f t="shared" si="49"/>
        <v>0</v>
      </c>
      <c r="M159" s="1191">
        <f>IFERROR(VLOOKUP(B159,[10]Allocation_eGMS!$A$8:$E$93,5,FALSE),0)</f>
        <v>5478</v>
      </c>
      <c r="N159" s="557">
        <f>VLOOKUP(B159,'[11]7-12 by Site'!$A$6:$I$148,9,FALSE)</f>
        <v>190</v>
      </c>
      <c r="O159" s="1173">
        <f t="shared" si="50"/>
        <v>4940</v>
      </c>
      <c r="P159" s="1174">
        <f t="shared" si="51"/>
        <v>10418</v>
      </c>
      <c r="R159" s="557">
        <f>VLOOKUP(B159,'[12]Oct 1 MFP Site MER'!$B$6:$M$110,12,FALSE)</f>
        <v>0</v>
      </c>
    </row>
    <row r="160" spans="1:18">
      <c r="A160" s="546">
        <f t="shared" si="41"/>
        <v>395003</v>
      </c>
      <c r="B160" s="141">
        <v>395003</v>
      </c>
      <c r="C160" s="142" t="s">
        <v>964</v>
      </c>
      <c r="D160" s="558">
        <v>0</v>
      </c>
      <c r="E160" s="1211">
        <f t="shared" si="42"/>
        <v>0</v>
      </c>
      <c r="F160" s="558"/>
      <c r="G160" s="1175">
        <f t="shared" si="43"/>
        <v>0</v>
      </c>
      <c r="H160" s="558"/>
      <c r="I160" s="1175">
        <f t="shared" si="44"/>
        <v>0</v>
      </c>
      <c r="J160" s="1204">
        <f t="shared" si="45"/>
        <v>0</v>
      </c>
      <c r="K160" s="558"/>
      <c r="L160" s="1192">
        <f t="shared" si="49"/>
        <v>0</v>
      </c>
      <c r="M160" s="1193">
        <f>IFERROR(VLOOKUP(B160,[10]Allocation_eGMS!$A$8:$E$93,5,FALSE),0)</f>
        <v>5748</v>
      </c>
      <c r="N160" s="558">
        <f>VLOOKUP(B160,'[11]7-12 by Site'!$A$6:$I$148,9,FALSE)</f>
        <v>122</v>
      </c>
      <c r="O160" s="1175">
        <f t="shared" si="50"/>
        <v>3172</v>
      </c>
      <c r="P160" s="1176">
        <f t="shared" si="51"/>
        <v>8920</v>
      </c>
      <c r="R160" s="558">
        <f>VLOOKUP(B160,'[12]Oct 1 MFP Site MER'!$B$6:$M$110,12,FALSE)</f>
        <v>0</v>
      </c>
    </row>
    <row r="161" spans="1:18">
      <c r="A161" s="546">
        <f t="shared" si="41"/>
        <v>395004</v>
      </c>
      <c r="B161" s="267">
        <v>395004</v>
      </c>
      <c r="C161" s="268" t="s">
        <v>965</v>
      </c>
      <c r="D161" s="556">
        <v>0</v>
      </c>
      <c r="E161" s="1209">
        <f t="shared" si="42"/>
        <v>0</v>
      </c>
      <c r="F161" s="556"/>
      <c r="G161" s="1171">
        <f t="shared" si="43"/>
        <v>0</v>
      </c>
      <c r="H161" s="556"/>
      <c r="I161" s="1171">
        <f t="shared" si="44"/>
        <v>0</v>
      </c>
      <c r="J161" s="1202">
        <f t="shared" si="45"/>
        <v>0</v>
      </c>
      <c r="K161" s="556"/>
      <c r="L161" s="1188">
        <f t="shared" si="49"/>
        <v>0</v>
      </c>
      <c r="M161" s="1189">
        <f>IFERROR(VLOOKUP(B161,[10]Allocation_eGMS!$A$8:$E$93,5,FALSE),0)</f>
        <v>5408</v>
      </c>
      <c r="N161" s="556">
        <f>VLOOKUP(B161,'[11]7-12 by Site'!$A$6:$I$148,9,FALSE)</f>
        <v>127</v>
      </c>
      <c r="O161" s="1171">
        <f t="shared" si="50"/>
        <v>3302</v>
      </c>
      <c r="P161" s="1172">
        <f t="shared" si="51"/>
        <v>8710</v>
      </c>
      <c r="R161" s="556">
        <f>VLOOKUP(B161,'[12]Oct 1 MFP Site MER'!$B$6:$M$110,12,FALSE)</f>
        <v>0</v>
      </c>
    </row>
    <row r="162" spans="1:18">
      <c r="A162" s="546">
        <f t="shared" si="41"/>
        <v>395005</v>
      </c>
      <c r="B162" s="269">
        <v>395005</v>
      </c>
      <c r="C162" s="270" t="s">
        <v>966</v>
      </c>
      <c r="D162" s="557">
        <v>0</v>
      </c>
      <c r="E162" s="1210">
        <f t="shared" si="42"/>
        <v>0</v>
      </c>
      <c r="F162" s="557"/>
      <c r="G162" s="1173">
        <f t="shared" si="43"/>
        <v>0</v>
      </c>
      <c r="H162" s="557"/>
      <c r="I162" s="1173">
        <f t="shared" si="44"/>
        <v>0</v>
      </c>
      <c r="J162" s="1203">
        <f t="shared" si="45"/>
        <v>0</v>
      </c>
      <c r="K162" s="557">
        <f>'[9]Formatted for MFP'!$G$77</f>
        <v>72</v>
      </c>
      <c r="L162" s="1190">
        <f t="shared" si="49"/>
        <v>17136</v>
      </c>
      <c r="M162" s="1191">
        <f>IFERROR(VLOOKUP(B162,[10]Allocation_eGMS!$A$8:$E$93,5,FALSE),0)</f>
        <v>5405</v>
      </c>
      <c r="N162" s="557">
        <f>VLOOKUP(B162,'[11]7-12 by Site'!$A$6:$I$148,9,FALSE)</f>
        <v>1170</v>
      </c>
      <c r="O162" s="1173">
        <f t="shared" si="50"/>
        <v>30420</v>
      </c>
      <c r="P162" s="1174">
        <f t="shared" si="51"/>
        <v>52961</v>
      </c>
      <c r="R162" s="557">
        <f>VLOOKUP(B162,'[12]Oct 1 MFP Site MER'!$B$6:$M$110,12,FALSE)</f>
        <v>1316</v>
      </c>
    </row>
    <row r="163" spans="1:18">
      <c r="A163" s="546">
        <f t="shared" si="41"/>
        <v>395007</v>
      </c>
      <c r="B163" s="269">
        <v>395007</v>
      </c>
      <c r="C163" s="270" t="s">
        <v>967</v>
      </c>
      <c r="D163" s="557">
        <v>0</v>
      </c>
      <c r="E163" s="1210">
        <f t="shared" si="42"/>
        <v>0</v>
      </c>
      <c r="F163" s="557"/>
      <c r="G163" s="1173">
        <f t="shared" si="43"/>
        <v>0</v>
      </c>
      <c r="H163" s="557"/>
      <c r="I163" s="1173">
        <f t="shared" si="44"/>
        <v>0</v>
      </c>
      <c r="J163" s="1203">
        <f t="shared" si="45"/>
        <v>0</v>
      </c>
      <c r="K163" s="557"/>
      <c r="L163" s="1190">
        <f t="shared" si="49"/>
        <v>10000</v>
      </c>
      <c r="M163" s="1191">
        <f>IFERROR(VLOOKUP(B163,[10]Allocation_eGMS!$A$8:$E$93,5,FALSE),0)</f>
        <v>5718</v>
      </c>
      <c r="N163" s="557">
        <f>VLOOKUP(B163,'[11]7-12 by Site'!$A$6:$I$148,9,FALSE)</f>
        <v>234</v>
      </c>
      <c r="O163" s="1173">
        <f t="shared" si="50"/>
        <v>6084</v>
      </c>
      <c r="P163" s="1174">
        <f t="shared" si="51"/>
        <v>21802</v>
      </c>
      <c r="R163" s="557">
        <f>VLOOKUP(B163,'[12]Oct 1 MFP Site MER'!$B$6:$M$110,12,FALSE)</f>
        <v>299</v>
      </c>
    </row>
    <row r="164" spans="1:18">
      <c r="A164" s="546">
        <f t="shared" si="41"/>
        <v>397001</v>
      </c>
      <c r="B164" s="269">
        <v>397001</v>
      </c>
      <c r="C164" s="270" t="s">
        <v>968</v>
      </c>
      <c r="D164" s="557">
        <v>0</v>
      </c>
      <c r="E164" s="1210">
        <f t="shared" si="42"/>
        <v>0</v>
      </c>
      <c r="F164" s="557"/>
      <c r="G164" s="1173">
        <f t="shared" si="43"/>
        <v>0</v>
      </c>
      <c r="H164" s="557"/>
      <c r="I164" s="1173">
        <f t="shared" si="44"/>
        <v>0</v>
      </c>
      <c r="J164" s="1203">
        <f t="shared" si="45"/>
        <v>0</v>
      </c>
      <c r="K164" s="557"/>
      <c r="L164" s="1190">
        <f t="shared" si="49"/>
        <v>10000</v>
      </c>
      <c r="M164" s="1191">
        <f>IFERROR(VLOOKUP(B164,[10]Allocation_eGMS!$A$8:$E$93,5,FALSE),0)</f>
        <v>0</v>
      </c>
      <c r="N164" s="557">
        <f>VLOOKUP(B164,'[11]7-12 by Site'!$A$6:$I$148,9,FALSE)</f>
        <v>423</v>
      </c>
      <c r="O164" s="1173">
        <f t="shared" si="50"/>
        <v>10998</v>
      </c>
      <c r="P164" s="1174">
        <f t="shared" si="51"/>
        <v>20998</v>
      </c>
      <c r="R164" s="557">
        <f>VLOOKUP(B164,'[12]Oct 1 MFP Site MER'!$B$6:$M$110,12,FALSE)</f>
        <v>291</v>
      </c>
    </row>
    <row r="165" spans="1:18">
      <c r="A165" s="546">
        <f t="shared" si="41"/>
        <v>398001</v>
      </c>
      <c r="B165" s="141">
        <v>398001</v>
      </c>
      <c r="C165" s="142" t="s">
        <v>969</v>
      </c>
      <c r="D165" s="558">
        <v>0</v>
      </c>
      <c r="E165" s="1211">
        <f t="shared" si="42"/>
        <v>0</v>
      </c>
      <c r="F165" s="558"/>
      <c r="G165" s="1175">
        <f t="shared" si="43"/>
        <v>0</v>
      </c>
      <c r="H165" s="558"/>
      <c r="I165" s="1175">
        <f t="shared" si="44"/>
        <v>0</v>
      </c>
      <c r="J165" s="1204">
        <f t="shared" si="45"/>
        <v>0</v>
      </c>
      <c r="K165" s="558"/>
      <c r="L165" s="1192">
        <f t="shared" si="49"/>
        <v>0</v>
      </c>
      <c r="M165" s="1193">
        <f>IFERROR(VLOOKUP(B165,[10]Allocation_eGMS!$A$8:$E$93,5,FALSE),0)</f>
        <v>0</v>
      </c>
      <c r="N165" s="558">
        <f>VLOOKUP(B165,'[11]7-12 by Site'!$A$6:$I$148,9,FALSE)</f>
        <v>203</v>
      </c>
      <c r="O165" s="1175">
        <f t="shared" si="50"/>
        <v>5278</v>
      </c>
      <c r="P165" s="1176">
        <f t="shared" si="51"/>
        <v>5278</v>
      </c>
      <c r="R165" s="558">
        <f>VLOOKUP(B165,'[12]Oct 1 MFP Site MER'!$B$6:$M$110,12,FALSE)</f>
        <v>0</v>
      </c>
    </row>
    <row r="166" spans="1:18">
      <c r="A166" s="546">
        <f t="shared" si="41"/>
        <v>398002</v>
      </c>
      <c r="B166" s="267">
        <v>398002</v>
      </c>
      <c r="C166" s="268" t="s">
        <v>970</v>
      </c>
      <c r="D166" s="556">
        <v>0</v>
      </c>
      <c r="E166" s="1209">
        <f t="shared" si="42"/>
        <v>0</v>
      </c>
      <c r="F166" s="556"/>
      <c r="G166" s="1171">
        <f t="shared" si="43"/>
        <v>0</v>
      </c>
      <c r="H166" s="556"/>
      <c r="I166" s="1171">
        <f t="shared" si="44"/>
        <v>0</v>
      </c>
      <c r="J166" s="1202">
        <f t="shared" si="45"/>
        <v>0</v>
      </c>
      <c r="K166" s="556"/>
      <c r="L166" s="1188">
        <f t="shared" si="49"/>
        <v>0</v>
      </c>
      <c r="M166" s="1189">
        <f>IFERROR(VLOOKUP(B166,[10]Allocation_eGMS!$A$8:$E$93,5,FALSE),0)</f>
        <v>52292</v>
      </c>
      <c r="N166" s="556">
        <f>VLOOKUP(B166,'[11]7-12 by Site'!$A$6:$I$148,9,FALSE)</f>
        <v>213</v>
      </c>
      <c r="O166" s="1171">
        <f t="shared" si="50"/>
        <v>5538</v>
      </c>
      <c r="P166" s="1172">
        <f t="shared" si="51"/>
        <v>57830</v>
      </c>
      <c r="R166" s="556">
        <f>VLOOKUP(B166,'[12]Oct 1 MFP Site MER'!$B$6:$M$110,12,FALSE)</f>
        <v>0</v>
      </c>
    </row>
    <row r="167" spans="1:18">
      <c r="A167" s="546">
        <f t="shared" si="41"/>
        <v>398003</v>
      </c>
      <c r="B167" s="269">
        <v>398003</v>
      </c>
      <c r="C167" s="270" t="s">
        <v>971</v>
      </c>
      <c r="D167" s="557">
        <v>0</v>
      </c>
      <c r="E167" s="1210">
        <f t="shared" si="42"/>
        <v>0</v>
      </c>
      <c r="F167" s="557"/>
      <c r="G167" s="1173">
        <f t="shared" si="43"/>
        <v>0</v>
      </c>
      <c r="H167" s="557"/>
      <c r="I167" s="1173">
        <f t="shared" si="44"/>
        <v>0</v>
      </c>
      <c r="J167" s="1203">
        <f t="shared" si="45"/>
        <v>0</v>
      </c>
      <c r="K167" s="557"/>
      <c r="L167" s="1190">
        <f t="shared" si="49"/>
        <v>0</v>
      </c>
      <c r="M167" s="1191">
        <f>IFERROR(VLOOKUP(B167,[10]Allocation_eGMS!$A$8:$E$93,5,FALSE),0)</f>
        <v>8587</v>
      </c>
      <c r="N167" s="557">
        <f>VLOOKUP(B167,'[11]7-12 by Site'!$A$6:$I$148,9,FALSE)</f>
        <v>213</v>
      </c>
      <c r="O167" s="1173">
        <f t="shared" si="50"/>
        <v>5538</v>
      </c>
      <c r="P167" s="1174">
        <f t="shared" si="51"/>
        <v>14125</v>
      </c>
      <c r="R167" s="557">
        <f>VLOOKUP(B167,'[12]Oct 1 MFP Site MER'!$B$6:$M$110,12,FALSE)</f>
        <v>0</v>
      </c>
    </row>
    <row r="168" spans="1:18">
      <c r="A168" s="546">
        <f t="shared" si="41"/>
        <v>398004</v>
      </c>
      <c r="B168" s="269">
        <v>398004</v>
      </c>
      <c r="C168" s="270" t="s">
        <v>972</v>
      </c>
      <c r="D168" s="557">
        <v>0</v>
      </c>
      <c r="E168" s="1210">
        <f t="shared" si="42"/>
        <v>0</v>
      </c>
      <c r="F168" s="557"/>
      <c r="G168" s="1173">
        <f t="shared" si="43"/>
        <v>0</v>
      </c>
      <c r="H168" s="557"/>
      <c r="I168" s="1173">
        <f t="shared" si="44"/>
        <v>0</v>
      </c>
      <c r="J168" s="1203">
        <f t="shared" si="45"/>
        <v>0</v>
      </c>
      <c r="K168" s="557"/>
      <c r="L168" s="1190">
        <f t="shared" si="49"/>
        <v>0</v>
      </c>
      <c r="M168" s="1191">
        <f>IFERROR(VLOOKUP(B168,[10]Allocation_eGMS!$A$8:$E$93,5,FALSE),0)</f>
        <v>6230</v>
      </c>
      <c r="N168" s="557">
        <f>VLOOKUP(B168,'[11]7-12 by Site'!$A$6:$I$148,9,FALSE)</f>
        <v>0</v>
      </c>
      <c r="O168" s="1173">
        <f t="shared" si="50"/>
        <v>0</v>
      </c>
      <c r="P168" s="1174">
        <f t="shared" si="51"/>
        <v>6230</v>
      </c>
      <c r="R168" s="557">
        <f>VLOOKUP(B168,'[12]Oct 1 MFP Site MER'!$B$6:$M$110,12,FALSE)</f>
        <v>0</v>
      </c>
    </row>
    <row r="169" spans="1:18">
      <c r="A169" s="546">
        <f t="shared" si="41"/>
        <v>398005</v>
      </c>
      <c r="B169" s="269">
        <v>398005</v>
      </c>
      <c r="C169" s="270" t="s">
        <v>973</v>
      </c>
      <c r="D169" s="557">
        <v>0</v>
      </c>
      <c r="E169" s="1210">
        <f t="shared" si="42"/>
        <v>0</v>
      </c>
      <c r="F169" s="557"/>
      <c r="G169" s="1173">
        <f t="shared" si="43"/>
        <v>0</v>
      </c>
      <c r="H169" s="557"/>
      <c r="I169" s="1173">
        <f t="shared" si="44"/>
        <v>0</v>
      </c>
      <c r="J169" s="1203">
        <f t="shared" si="45"/>
        <v>0</v>
      </c>
      <c r="K169" s="557"/>
      <c r="L169" s="1190">
        <f t="shared" si="49"/>
        <v>10000</v>
      </c>
      <c r="M169" s="1191">
        <f>IFERROR(VLOOKUP(B169,[10]Allocation_eGMS!$A$8:$E$93,5,FALSE),0)</f>
        <v>0</v>
      </c>
      <c r="N169" s="557">
        <f>VLOOKUP(B169,'[11]7-12 by Site'!$A$6:$I$148,9,FALSE)</f>
        <v>418</v>
      </c>
      <c r="O169" s="1173">
        <f t="shared" si="50"/>
        <v>10868</v>
      </c>
      <c r="P169" s="1174">
        <f t="shared" si="51"/>
        <v>20868</v>
      </c>
      <c r="R169" s="557">
        <f>VLOOKUP(B169,'[12]Oct 1 MFP Site MER'!$B$6:$M$110,12,FALSE)</f>
        <v>445</v>
      </c>
    </row>
    <row r="170" spans="1:18">
      <c r="A170" s="546">
        <f t="shared" si="41"/>
        <v>398006</v>
      </c>
      <c r="B170" s="141">
        <v>398006</v>
      </c>
      <c r="C170" s="142" t="s">
        <v>974</v>
      </c>
      <c r="D170" s="558">
        <v>0</v>
      </c>
      <c r="E170" s="1211">
        <f t="shared" si="42"/>
        <v>0</v>
      </c>
      <c r="F170" s="558"/>
      <c r="G170" s="1175">
        <f t="shared" si="43"/>
        <v>0</v>
      </c>
      <c r="H170" s="558"/>
      <c r="I170" s="1175">
        <f t="shared" si="44"/>
        <v>0</v>
      </c>
      <c r="J170" s="1204">
        <f t="shared" si="45"/>
        <v>0</v>
      </c>
      <c r="K170" s="558"/>
      <c r="L170" s="1192">
        <f t="shared" si="49"/>
        <v>0</v>
      </c>
      <c r="M170" s="1193">
        <f>IFERROR(VLOOKUP(B170,[10]Allocation_eGMS!$A$8:$E$93,5,FALSE),0)</f>
        <v>19001</v>
      </c>
      <c r="N170" s="558">
        <f>VLOOKUP(B170,'[11]7-12 by Site'!$A$6:$I$148,9,FALSE)</f>
        <v>208</v>
      </c>
      <c r="O170" s="1175">
        <f t="shared" si="50"/>
        <v>5408</v>
      </c>
      <c r="P170" s="1176">
        <f t="shared" si="51"/>
        <v>24409</v>
      </c>
      <c r="R170" s="558">
        <f>VLOOKUP(B170,'[12]Oct 1 MFP Site MER'!$B$6:$M$110,12,FALSE)</f>
        <v>0</v>
      </c>
    </row>
    <row r="171" spans="1:18">
      <c r="A171" s="546">
        <f>+VALUE(B171)</f>
        <v>398007</v>
      </c>
      <c r="B171" s="267">
        <v>398007</v>
      </c>
      <c r="C171" s="268" t="s">
        <v>975</v>
      </c>
      <c r="D171" s="556">
        <v>0</v>
      </c>
      <c r="E171" s="1209">
        <f>ROUND($E$3*D171,0)</f>
        <v>0</v>
      </c>
      <c r="F171" s="556"/>
      <c r="G171" s="1171">
        <f t="shared" si="43"/>
        <v>0</v>
      </c>
      <c r="H171" s="556"/>
      <c r="I171" s="1171">
        <f t="shared" si="44"/>
        <v>0</v>
      </c>
      <c r="J171" s="1202">
        <f t="shared" si="45"/>
        <v>0</v>
      </c>
      <c r="K171" s="556"/>
      <c r="L171" s="1188">
        <f t="shared" si="49"/>
        <v>0</v>
      </c>
      <c r="M171" s="1189">
        <f>IFERROR(VLOOKUP(B171,[10]Allocation_eGMS!$A$8:$E$93,5,FALSE),0)</f>
        <v>0</v>
      </c>
      <c r="N171" s="556">
        <v>0</v>
      </c>
      <c r="O171" s="1171">
        <f t="shared" si="50"/>
        <v>0</v>
      </c>
      <c r="P171" s="1172">
        <f t="shared" si="51"/>
        <v>0</v>
      </c>
      <c r="R171" s="556">
        <f>VLOOKUP(B171,'[12]Oct 1 MFP Site MER'!$B$6:$M$110,12,FALSE)</f>
        <v>0</v>
      </c>
    </row>
    <row r="172" spans="1:18">
      <c r="A172" s="546">
        <f t="shared" si="41"/>
        <v>399001</v>
      </c>
      <c r="B172" s="269">
        <v>399001</v>
      </c>
      <c r="C172" s="270" t="s">
        <v>976</v>
      </c>
      <c r="D172" s="557">
        <v>0</v>
      </c>
      <c r="E172" s="1210">
        <f t="shared" si="42"/>
        <v>0</v>
      </c>
      <c r="F172" s="557"/>
      <c r="G172" s="1173">
        <f t="shared" si="43"/>
        <v>0</v>
      </c>
      <c r="H172" s="557"/>
      <c r="I172" s="1173">
        <f t="shared" si="44"/>
        <v>0</v>
      </c>
      <c r="J172" s="1203">
        <f t="shared" si="45"/>
        <v>0</v>
      </c>
      <c r="K172" s="557"/>
      <c r="L172" s="1190">
        <f t="shared" si="49"/>
        <v>0</v>
      </c>
      <c r="M172" s="1191">
        <f>IFERROR(VLOOKUP(B172,[10]Allocation_eGMS!$A$8:$E$93,5,FALSE),0)</f>
        <v>0</v>
      </c>
      <c r="N172" s="557">
        <f>VLOOKUP(B172,'[11]7-12 by Site'!$A$6:$I$148,9,FALSE)</f>
        <v>109</v>
      </c>
      <c r="O172" s="1173">
        <f t="shared" si="50"/>
        <v>2834</v>
      </c>
      <c r="P172" s="1174">
        <f t="shared" si="51"/>
        <v>2834</v>
      </c>
      <c r="R172" s="557">
        <f>VLOOKUP(B172,'[12]Oct 1 MFP Site MER'!$B$6:$M$110,12,FALSE)</f>
        <v>0</v>
      </c>
    </row>
    <row r="173" spans="1:18">
      <c r="A173" s="546">
        <f t="shared" si="41"/>
        <v>399002</v>
      </c>
      <c r="B173" s="269">
        <v>399002</v>
      </c>
      <c r="C173" s="270" t="s">
        <v>977</v>
      </c>
      <c r="D173" s="557">
        <v>0</v>
      </c>
      <c r="E173" s="1210">
        <f t="shared" si="42"/>
        <v>0</v>
      </c>
      <c r="F173" s="557"/>
      <c r="G173" s="1173">
        <f t="shared" si="43"/>
        <v>0</v>
      </c>
      <c r="H173" s="557"/>
      <c r="I173" s="1173">
        <f t="shared" si="44"/>
        <v>0</v>
      </c>
      <c r="J173" s="1203">
        <f t="shared" si="45"/>
        <v>0</v>
      </c>
      <c r="K173" s="557"/>
      <c r="L173" s="1190">
        <f t="shared" si="49"/>
        <v>0</v>
      </c>
      <c r="M173" s="1191">
        <f>IFERROR(VLOOKUP(B173,[10]Allocation_eGMS!$A$8:$E$93,5,FALSE),0)</f>
        <v>22817</v>
      </c>
      <c r="N173" s="557">
        <f>VLOOKUP(B173,'[11]7-12 by Site'!$A$6:$I$148,9,FALSE)</f>
        <v>93</v>
      </c>
      <c r="O173" s="1173">
        <f t="shared" si="50"/>
        <v>2418</v>
      </c>
      <c r="P173" s="1174">
        <f t="shared" si="51"/>
        <v>25235</v>
      </c>
      <c r="R173" s="557">
        <f>VLOOKUP(B173,'[12]Oct 1 MFP Site MER'!$B$6:$M$110,12,FALSE)</f>
        <v>0</v>
      </c>
    </row>
    <row r="174" spans="1:18">
      <c r="A174" s="546">
        <f t="shared" si="41"/>
        <v>399003</v>
      </c>
      <c r="B174" s="269">
        <v>399003</v>
      </c>
      <c r="C174" s="270" t="s">
        <v>978</v>
      </c>
      <c r="D174" s="557">
        <v>0</v>
      </c>
      <c r="E174" s="1210">
        <f t="shared" si="42"/>
        <v>0</v>
      </c>
      <c r="F174" s="557"/>
      <c r="G174" s="1173">
        <f t="shared" si="43"/>
        <v>0</v>
      </c>
      <c r="H174" s="557"/>
      <c r="I174" s="1173">
        <f t="shared" si="44"/>
        <v>0</v>
      </c>
      <c r="J174" s="1203">
        <f t="shared" si="45"/>
        <v>0</v>
      </c>
      <c r="K174" s="557"/>
      <c r="L174" s="1190">
        <f t="shared" si="49"/>
        <v>10000</v>
      </c>
      <c r="M174" s="1191">
        <f>IFERROR(VLOOKUP(B174,[10]Allocation_eGMS!$A$8:$E$93,5,FALSE),0)</f>
        <v>45468</v>
      </c>
      <c r="N174" s="557">
        <f>VLOOKUP(B174,'[11]7-12 by Site'!$A$6:$I$148,9,FALSE)</f>
        <v>379</v>
      </c>
      <c r="O174" s="1173">
        <f t="shared" si="50"/>
        <v>9854</v>
      </c>
      <c r="P174" s="1174">
        <f t="shared" si="51"/>
        <v>65322</v>
      </c>
      <c r="R174" s="557">
        <f>VLOOKUP(B174,'[12]Oct 1 MFP Site MER'!$B$6:$M$110,12,FALSE)</f>
        <v>427</v>
      </c>
    </row>
    <row r="175" spans="1:18" ht="13.15" customHeight="1">
      <c r="A175" s="546">
        <f t="shared" si="41"/>
        <v>399004</v>
      </c>
      <c r="B175" s="141">
        <v>399004</v>
      </c>
      <c r="C175" s="148" t="s">
        <v>979</v>
      </c>
      <c r="D175" s="558">
        <v>0</v>
      </c>
      <c r="E175" s="1211">
        <f t="shared" si="42"/>
        <v>0</v>
      </c>
      <c r="F175" s="558"/>
      <c r="G175" s="1175">
        <f t="shared" si="43"/>
        <v>0</v>
      </c>
      <c r="H175" s="558"/>
      <c r="I175" s="1175">
        <f t="shared" si="44"/>
        <v>0</v>
      </c>
      <c r="J175" s="1204">
        <f t="shared" si="45"/>
        <v>0</v>
      </c>
      <c r="K175" s="558"/>
      <c r="L175" s="1192">
        <f t="shared" si="49"/>
        <v>0</v>
      </c>
      <c r="M175" s="1193">
        <f>IFERROR(VLOOKUP(B175,[10]Allocation_eGMS!$A$8:$E$93,5,FALSE),0)</f>
        <v>35202</v>
      </c>
      <c r="N175" s="558">
        <f>VLOOKUP(B175,'[11]7-12 by Site'!$A$6:$I$148,9,FALSE)</f>
        <v>118</v>
      </c>
      <c r="O175" s="1175">
        <f t="shared" si="50"/>
        <v>3068</v>
      </c>
      <c r="P175" s="1176">
        <f t="shared" si="51"/>
        <v>38270</v>
      </c>
      <c r="R175" s="558">
        <f>VLOOKUP(B175,'[12]Oct 1 MFP Site MER'!$B$6:$M$110,12,FALSE)</f>
        <v>0</v>
      </c>
    </row>
    <row r="176" spans="1:18">
      <c r="A176" s="546">
        <f t="shared" si="41"/>
        <v>399005</v>
      </c>
      <c r="B176" s="571">
        <v>399005</v>
      </c>
      <c r="C176" s="578" t="s">
        <v>980</v>
      </c>
      <c r="D176" s="556">
        <v>0</v>
      </c>
      <c r="E176" s="559">
        <f t="shared" si="42"/>
        <v>0</v>
      </c>
      <c r="F176" s="556"/>
      <c r="G176" s="1171">
        <f t="shared" si="43"/>
        <v>0</v>
      </c>
      <c r="H176" s="556"/>
      <c r="I176" s="1171">
        <f t="shared" si="44"/>
        <v>0</v>
      </c>
      <c r="J176" s="1202">
        <f t="shared" si="45"/>
        <v>0</v>
      </c>
      <c r="K176" s="556"/>
      <c r="L176" s="1188">
        <f t="shared" si="49"/>
        <v>0</v>
      </c>
      <c r="M176" s="1189">
        <f>IFERROR(VLOOKUP(B176,[10]Allocation_eGMS!$A$8:$E$93,5,FALSE),0)</f>
        <v>26334</v>
      </c>
      <c r="N176" s="556">
        <f>VLOOKUP(B176,'[11]7-12 by Site'!$A$6:$I$148,9,FALSE)</f>
        <v>160</v>
      </c>
      <c r="O176" s="1171">
        <f t="shared" si="50"/>
        <v>4160</v>
      </c>
      <c r="P176" s="1172">
        <f t="shared" si="51"/>
        <v>30494</v>
      </c>
      <c r="R176" s="556">
        <f>VLOOKUP(B176,'[12]Oct 1 MFP Site MER'!$B$6:$M$110,12,FALSE)</f>
        <v>0</v>
      </c>
    </row>
    <row r="177" spans="1:18">
      <c r="A177" s="546" t="e">
        <f t="shared" si="41"/>
        <v>#VALUE!</v>
      </c>
      <c r="B177" s="567" t="s">
        <v>403</v>
      </c>
      <c r="C177" s="579" t="s">
        <v>981</v>
      </c>
      <c r="D177" s="558">
        <v>0</v>
      </c>
      <c r="E177" s="568">
        <f t="shared" si="42"/>
        <v>0</v>
      </c>
      <c r="F177" s="558"/>
      <c r="G177" s="1175">
        <f t="shared" si="43"/>
        <v>0</v>
      </c>
      <c r="H177" s="558"/>
      <c r="I177" s="1175">
        <f t="shared" si="44"/>
        <v>0</v>
      </c>
      <c r="J177" s="1204">
        <f t="shared" si="45"/>
        <v>0</v>
      </c>
      <c r="K177" s="558"/>
      <c r="L177" s="1192">
        <f t="shared" si="49"/>
        <v>0</v>
      </c>
      <c r="M177" s="1193">
        <f>IFERROR(VLOOKUP(B177,[10]Allocation_eGMS!$A$8:$E$93,5,FALSE),0)</f>
        <v>0</v>
      </c>
      <c r="N177" s="558">
        <f>VLOOKUP(B177,'[11]7-12 by Site'!$A$6:$I$148,9,FALSE)</f>
        <v>124</v>
      </c>
      <c r="O177" s="1175">
        <f t="shared" si="50"/>
        <v>3224</v>
      </c>
      <c r="P177" s="1176">
        <f t="shared" si="51"/>
        <v>3224</v>
      </c>
      <c r="R177" s="558">
        <f>VLOOKUP(B177,'[12]Oct 1 MFP Site MER'!$B$6:$M$110,12,FALSE)</f>
        <v>0</v>
      </c>
    </row>
    <row r="178" spans="1:18" ht="13.5" thickBot="1">
      <c r="B178" s="143"/>
      <c r="C178" s="144" t="s">
        <v>486</v>
      </c>
      <c r="D178" s="405">
        <f t="shared" ref="D178:P178" si="52">SUM(D121:D177)</f>
        <v>0</v>
      </c>
      <c r="E178" s="1212">
        <f t="shared" si="52"/>
        <v>0</v>
      </c>
      <c r="F178" s="405">
        <f t="shared" si="52"/>
        <v>0</v>
      </c>
      <c r="G178" s="1179">
        <f t="shared" si="52"/>
        <v>0</v>
      </c>
      <c r="H178" s="405">
        <f t="shared" si="52"/>
        <v>0</v>
      </c>
      <c r="I178" s="1179">
        <f t="shared" si="52"/>
        <v>0</v>
      </c>
      <c r="J178" s="1206">
        <f t="shared" si="52"/>
        <v>0</v>
      </c>
      <c r="K178" s="405">
        <f t="shared" si="52"/>
        <v>72</v>
      </c>
      <c r="L178" s="1196">
        <f t="shared" si="52"/>
        <v>167136</v>
      </c>
      <c r="M178" s="1197">
        <f t="shared" si="52"/>
        <v>1101372</v>
      </c>
      <c r="N178" s="405">
        <f t="shared" si="52"/>
        <v>9918</v>
      </c>
      <c r="O178" s="1179">
        <f t="shared" si="52"/>
        <v>257868</v>
      </c>
      <c r="P178" s="1180">
        <f t="shared" si="52"/>
        <v>1526376</v>
      </c>
      <c r="R178" s="405">
        <f t="shared" ref="R178" si="53">SUM(R121:R177)</f>
        <v>5899</v>
      </c>
    </row>
    <row r="179" spans="1:18" ht="7.15" customHeight="1" thickTop="1">
      <c r="B179" s="577"/>
      <c r="C179" s="93"/>
      <c r="D179" s="406"/>
      <c r="E179" s="1182"/>
      <c r="F179" s="406"/>
      <c r="G179" s="1181"/>
      <c r="H179" s="406"/>
      <c r="I179" s="1181"/>
      <c r="J179" s="1182"/>
      <c r="K179" s="406"/>
      <c r="L179" s="1182"/>
      <c r="M179" s="1182"/>
      <c r="N179" s="406"/>
      <c r="O179" s="1181"/>
      <c r="P179" s="1182"/>
      <c r="R179" s="406"/>
    </row>
    <row r="180" spans="1:18" ht="13.5" thickBot="1">
      <c r="B180" s="145">
        <v>396</v>
      </c>
      <c r="C180" s="144" t="s">
        <v>714</v>
      </c>
      <c r="D180" s="540">
        <v>0</v>
      </c>
      <c r="E180" s="1213">
        <f t="shared" ref="E180" si="54">ROUND($E$3*D180,0)</f>
        <v>0</v>
      </c>
      <c r="F180" s="583"/>
      <c r="G180" s="1183">
        <f t="shared" ref="G180" si="55">ROUND($G$3*F180,0)</f>
        <v>0</v>
      </c>
      <c r="H180" s="583"/>
      <c r="I180" s="1183">
        <f t="shared" ref="I180" si="56">ROUND($I$3*H180,0)</f>
        <v>0</v>
      </c>
      <c r="J180" s="1207">
        <f t="shared" ref="J180" si="57">G180+I180</f>
        <v>0</v>
      </c>
      <c r="K180" s="583"/>
      <c r="L180" s="1198">
        <f>IF(R180&gt;0,IF($L$3*K180&lt;10000,10000,$L$3*K180),0)</f>
        <v>0</v>
      </c>
      <c r="M180" s="1199">
        <f>IFERROR(VLOOKUP(B180,[10]Allocation_eGMS!$A$8:$E$93,5,FALSE),0)</f>
        <v>44068</v>
      </c>
      <c r="N180" s="540">
        <v>0</v>
      </c>
      <c r="O180" s="1183">
        <f>ROUND(N180*$O$3,0)</f>
        <v>0</v>
      </c>
      <c r="P180" s="1184">
        <f>+L180+J180+E180+M180+O180</f>
        <v>44068</v>
      </c>
      <c r="R180" s="583">
        <v>0</v>
      </c>
    </row>
    <row r="181" spans="1:18" ht="7.15" customHeight="1" thickTop="1">
      <c r="B181" s="577"/>
      <c r="C181" s="138"/>
      <c r="D181" s="406"/>
      <c r="E181" s="1182"/>
      <c r="F181" s="406"/>
      <c r="G181" s="1181"/>
      <c r="H181" s="406"/>
      <c r="I181" s="1181"/>
      <c r="J181" s="1182"/>
      <c r="K181" s="406"/>
      <c r="L181" s="1182"/>
      <c r="M181" s="1182"/>
      <c r="N181" s="406"/>
      <c r="O181" s="1181"/>
      <c r="P181" s="1182"/>
      <c r="R181" s="406"/>
    </row>
    <row r="182" spans="1:18">
      <c r="A182" s="546">
        <f t="shared" si="41"/>
        <v>389002</v>
      </c>
      <c r="B182" s="267">
        <v>389002</v>
      </c>
      <c r="C182" s="268" t="s">
        <v>982</v>
      </c>
      <c r="D182" s="556">
        <v>0</v>
      </c>
      <c r="E182" s="1209">
        <f t="shared" ref="E182" si="58">ROUND($E$3*D182,0)</f>
        <v>0</v>
      </c>
      <c r="F182" s="556"/>
      <c r="G182" s="1171">
        <f t="shared" ref="G182:G187" si="59">ROUND($G$3*F182,0)</f>
        <v>0</v>
      </c>
      <c r="H182" s="556"/>
      <c r="I182" s="1171">
        <f t="shared" ref="I182:I187" si="60">ROUND($I$3*H182,0)</f>
        <v>0</v>
      </c>
      <c r="J182" s="1202">
        <f t="shared" ref="J182:J187" si="61">G182+I182</f>
        <v>0</v>
      </c>
      <c r="K182" s="556"/>
      <c r="L182" s="1188">
        <f t="shared" ref="L182:L187" si="62">IF(R182&gt;0,IF($L$3*K182&lt;10000,10000,$L$3*K182),0)</f>
        <v>0</v>
      </c>
      <c r="M182" s="1189">
        <f>IFERROR(VLOOKUP(B182,[10]Allocation_eGMS!$A$8:$E$93,5,FALSE),0)</f>
        <v>0</v>
      </c>
      <c r="N182" s="556">
        <f>VLOOKUP(B182,'[11]7-12 by Site'!$A$6:$I$148,9,FALSE)</f>
        <v>365</v>
      </c>
      <c r="O182" s="1171">
        <f t="shared" ref="O182:O187" si="63">ROUND(N182*$O$3,0)</f>
        <v>9490</v>
      </c>
      <c r="P182" s="1172">
        <f t="shared" ref="P182:P187" si="64">+L182+J182+E182+M182+O182</f>
        <v>9490</v>
      </c>
      <c r="R182" s="556">
        <f>VLOOKUP(B182,'[12]Oct 1 MFP Site MER'!$B$6:$M$110,12,FALSE)</f>
        <v>0</v>
      </c>
    </row>
    <row r="183" spans="1:18">
      <c r="A183" s="546" t="e">
        <f t="shared" si="41"/>
        <v>#VALUE!</v>
      </c>
      <c r="B183" s="269" t="s">
        <v>664</v>
      </c>
      <c r="C183" s="270" t="s">
        <v>983</v>
      </c>
      <c r="D183" s="557">
        <v>0</v>
      </c>
      <c r="E183" s="1210">
        <f>ROUND($E$3*D183,0)</f>
        <v>0</v>
      </c>
      <c r="F183" s="557"/>
      <c r="G183" s="1173">
        <f>ROUND($G$3*F183,0)</f>
        <v>0</v>
      </c>
      <c r="H183" s="557"/>
      <c r="I183" s="1173">
        <f>ROUND($I$3*H183,0)</f>
        <v>0</v>
      </c>
      <c r="J183" s="1203">
        <f>G183+I183</f>
        <v>0</v>
      </c>
      <c r="K183" s="557"/>
      <c r="L183" s="1190">
        <f t="shared" si="62"/>
        <v>0</v>
      </c>
      <c r="M183" s="1191">
        <f>IFERROR(VLOOKUP(B183,[10]Allocation_eGMS!$A$8:$E$93,5,FALSE),0)</f>
        <v>0</v>
      </c>
      <c r="N183" s="557">
        <v>0</v>
      </c>
      <c r="O183" s="1173">
        <f t="shared" si="63"/>
        <v>0</v>
      </c>
      <c r="P183" s="1174">
        <f t="shared" si="64"/>
        <v>0</v>
      </c>
      <c r="R183" s="557">
        <f>VLOOKUP(B183,'[12]Oct 1 MFP Site MER'!$B$6:$M$110,12,FALSE)</f>
        <v>0</v>
      </c>
    </row>
    <row r="184" spans="1:18">
      <c r="A184" s="546" t="e">
        <f t="shared" si="41"/>
        <v>#VALUE!</v>
      </c>
      <c r="B184" s="269" t="s">
        <v>665</v>
      </c>
      <c r="C184" s="270" t="s">
        <v>984</v>
      </c>
      <c r="D184" s="557">
        <v>0</v>
      </c>
      <c r="E184" s="1210">
        <f>ROUND($E$3*D184,0)</f>
        <v>0</v>
      </c>
      <c r="F184" s="557"/>
      <c r="G184" s="1173">
        <f>ROUND($G$3*F184,0)</f>
        <v>0</v>
      </c>
      <c r="H184" s="557"/>
      <c r="I184" s="1173">
        <f>ROUND($I$3*H184,0)</f>
        <v>0</v>
      </c>
      <c r="J184" s="1203">
        <f>G184+I184</f>
        <v>0</v>
      </c>
      <c r="K184" s="557"/>
      <c r="L184" s="1190">
        <f t="shared" si="62"/>
        <v>0</v>
      </c>
      <c r="M184" s="1191">
        <f>IFERROR(VLOOKUP(B184,[10]Allocation_eGMS!$A$8:$E$93,5,FALSE),0)</f>
        <v>0</v>
      </c>
      <c r="N184" s="557">
        <v>180</v>
      </c>
      <c r="O184" s="1173">
        <f t="shared" si="63"/>
        <v>4680</v>
      </c>
      <c r="P184" s="1174">
        <f t="shared" si="64"/>
        <v>4680</v>
      </c>
      <c r="R184" s="557">
        <f>VLOOKUP(B184,'[12]Oct 1 MFP Site MER'!$B$6:$M$110,12,FALSE)</f>
        <v>0</v>
      </c>
    </row>
    <row r="185" spans="1:18">
      <c r="A185" s="546" t="e">
        <f t="shared" si="41"/>
        <v>#VALUE!</v>
      </c>
      <c r="B185" s="269" t="s">
        <v>902</v>
      </c>
      <c r="C185" s="270" t="s">
        <v>985</v>
      </c>
      <c r="D185" s="557">
        <v>0</v>
      </c>
      <c r="E185" s="1210">
        <f>ROUND($E$3*D185,0)</f>
        <v>0</v>
      </c>
      <c r="F185" s="557"/>
      <c r="G185" s="1173">
        <f>ROUND($G$3*F185,0)</f>
        <v>0</v>
      </c>
      <c r="H185" s="557"/>
      <c r="I185" s="1173">
        <f>ROUND($I$3*H185,0)</f>
        <v>0</v>
      </c>
      <c r="J185" s="1203">
        <f>G185+I185</f>
        <v>0</v>
      </c>
      <c r="K185" s="557"/>
      <c r="L185" s="1190">
        <f t="shared" si="62"/>
        <v>0</v>
      </c>
      <c r="M185" s="1191">
        <f>IFERROR(VLOOKUP(B185,[10]Allocation_eGMS!$A$8:$E$93,5,FALSE),0)</f>
        <v>0</v>
      </c>
      <c r="N185" s="557">
        <v>0</v>
      </c>
      <c r="O185" s="1173">
        <f t="shared" si="63"/>
        <v>0</v>
      </c>
      <c r="P185" s="1174">
        <f t="shared" si="64"/>
        <v>0</v>
      </c>
      <c r="R185" s="557">
        <f>VLOOKUP(B185,'[12]Oct 1 MFP Site MER'!$B$6:$M$110,12,FALSE)</f>
        <v>0</v>
      </c>
    </row>
    <row r="186" spans="1:18">
      <c r="A186" s="546" t="e">
        <f t="shared" si="41"/>
        <v>#VALUE!</v>
      </c>
      <c r="B186" s="141" t="s">
        <v>667</v>
      </c>
      <c r="C186" s="142" t="s">
        <v>986</v>
      </c>
      <c r="D186" s="558">
        <v>0</v>
      </c>
      <c r="E186" s="1211">
        <f>ROUND($E$3*D186,0)</f>
        <v>0</v>
      </c>
      <c r="F186" s="558"/>
      <c r="G186" s="1175">
        <f t="shared" si="59"/>
        <v>0</v>
      </c>
      <c r="H186" s="558"/>
      <c r="I186" s="1175">
        <f t="shared" si="60"/>
        <v>0</v>
      </c>
      <c r="J186" s="1204">
        <f t="shared" si="61"/>
        <v>0</v>
      </c>
      <c r="K186" s="558"/>
      <c r="L186" s="1192">
        <f t="shared" si="62"/>
        <v>0</v>
      </c>
      <c r="M186" s="1193">
        <f>IFERROR(VLOOKUP(B186,[10]Allocation_eGMS!$A$8:$E$93,5,FALSE),0)</f>
        <v>0</v>
      </c>
      <c r="N186" s="558">
        <v>0</v>
      </c>
      <c r="O186" s="1175">
        <f t="shared" si="63"/>
        <v>0</v>
      </c>
      <c r="P186" s="1176">
        <f t="shared" si="64"/>
        <v>0</v>
      </c>
      <c r="R186" s="558">
        <f>VLOOKUP(B186,'[12]Oct 1 MFP Site MER'!$B$6:$M$110,12,FALSE)</f>
        <v>0</v>
      </c>
    </row>
    <row r="187" spans="1:18">
      <c r="A187" s="546" t="e">
        <f t="shared" ref="A187:A195" si="65">+VALUE(B187)</f>
        <v>#VALUE!</v>
      </c>
      <c r="B187" s="567" t="s">
        <v>666</v>
      </c>
      <c r="C187" s="580" t="s">
        <v>987</v>
      </c>
      <c r="D187" s="558">
        <v>0</v>
      </c>
      <c r="E187" s="568">
        <f>ROUND($E$3*D187,0)</f>
        <v>0</v>
      </c>
      <c r="F187" s="558"/>
      <c r="G187" s="1175">
        <f t="shared" si="59"/>
        <v>0</v>
      </c>
      <c r="H187" s="558"/>
      <c r="I187" s="1175">
        <f t="shared" si="60"/>
        <v>0</v>
      </c>
      <c r="J187" s="1204">
        <f t="shared" si="61"/>
        <v>0</v>
      </c>
      <c r="K187" s="558"/>
      <c r="L187" s="1192">
        <f t="shared" si="62"/>
        <v>10000</v>
      </c>
      <c r="M187" s="1193">
        <f>IFERROR(VLOOKUP(B187,[10]Allocation_eGMS!$A$8:$E$93,5,FALSE),0)</f>
        <v>0</v>
      </c>
      <c r="N187" s="558">
        <v>400</v>
      </c>
      <c r="O187" s="1175">
        <f t="shared" si="63"/>
        <v>10400</v>
      </c>
      <c r="P187" s="1176">
        <f t="shared" si="64"/>
        <v>20400</v>
      </c>
      <c r="R187" s="558">
        <f>VLOOKUP(B187,'[12]Oct 1 MFP Site MER'!$B$6:$M$110,12,FALSE)</f>
        <v>365</v>
      </c>
    </row>
    <row r="188" spans="1:18" ht="13.5" thickBot="1">
      <c r="A188" s="546">
        <f t="shared" si="65"/>
        <v>0</v>
      </c>
      <c r="B188" s="143"/>
      <c r="C188" s="144" t="s">
        <v>487</v>
      </c>
      <c r="D188" s="405">
        <f>SUM(D182:D187)</f>
        <v>0</v>
      </c>
      <c r="E188" s="1212">
        <f>SUM(E182:E187)</f>
        <v>0</v>
      </c>
      <c r="F188" s="405">
        <f>SUM(F182:F187)</f>
        <v>0</v>
      </c>
      <c r="G188" s="1179">
        <f t="shared" ref="G188:P188" si="66">SUM(G182:G187)</f>
        <v>0</v>
      </c>
      <c r="H188" s="405">
        <f t="shared" si="66"/>
        <v>0</v>
      </c>
      <c r="I188" s="1179">
        <f t="shared" si="66"/>
        <v>0</v>
      </c>
      <c r="J188" s="1206">
        <f t="shared" si="66"/>
        <v>0</v>
      </c>
      <c r="K188" s="405">
        <f t="shared" si="66"/>
        <v>0</v>
      </c>
      <c r="L188" s="1196">
        <f t="shared" si="66"/>
        <v>10000</v>
      </c>
      <c r="M188" s="1197">
        <f t="shared" si="66"/>
        <v>0</v>
      </c>
      <c r="N188" s="405">
        <f t="shared" si="66"/>
        <v>945</v>
      </c>
      <c r="O188" s="1179">
        <f t="shared" si="66"/>
        <v>24570</v>
      </c>
      <c r="P188" s="1180">
        <f t="shared" si="66"/>
        <v>34570</v>
      </c>
      <c r="R188" s="405">
        <f t="shared" ref="R188" si="67">SUM(R182:R187)</f>
        <v>365</v>
      </c>
    </row>
    <row r="189" spans="1:18" ht="7.15" customHeight="1" thickTop="1">
      <c r="A189" s="546">
        <f t="shared" si="65"/>
        <v>0</v>
      </c>
      <c r="B189" s="577"/>
      <c r="C189" s="93"/>
      <c r="D189" s="406"/>
      <c r="E189" s="1182"/>
      <c r="F189" s="406"/>
      <c r="G189" s="1181"/>
      <c r="H189" s="406"/>
      <c r="I189" s="1181"/>
      <c r="J189" s="1182"/>
      <c r="K189" s="406"/>
      <c r="L189" s="1182"/>
      <c r="M189" s="1182"/>
      <c r="N189" s="406"/>
      <c r="O189" s="1181"/>
      <c r="P189" s="1182"/>
      <c r="R189" s="406"/>
    </row>
    <row r="190" spans="1:18">
      <c r="A190" s="546">
        <f t="shared" si="65"/>
        <v>371001</v>
      </c>
      <c r="B190" s="573">
        <v>371001</v>
      </c>
      <c r="C190" s="94" t="s">
        <v>988</v>
      </c>
      <c r="D190" s="581">
        <v>0</v>
      </c>
      <c r="E190" s="582">
        <f>ROUND($E$3*D190,0)</f>
        <v>0</v>
      </c>
      <c r="F190" s="581"/>
      <c r="G190" s="1185">
        <f>ROUND($G$3*F190,0)</f>
        <v>0</v>
      </c>
      <c r="H190" s="581"/>
      <c r="I190" s="1185">
        <f>ROUND($I$3*H190,0)</f>
        <v>0</v>
      </c>
      <c r="J190" s="1208">
        <f>G190+I190</f>
        <v>0</v>
      </c>
      <c r="K190" s="581"/>
      <c r="L190" s="1200">
        <f>IF(R190&gt;0,IF($L$3*K190&lt;10000,10000,$L$3*K190),0)</f>
        <v>0</v>
      </c>
      <c r="M190" s="1201">
        <f>IFERROR(VLOOKUP(B190,[10]Allocation_eGMS!$A$8:$E$93,5,FALSE),0)</f>
        <v>0</v>
      </c>
      <c r="N190" s="581">
        <f>VLOOKUP(B190,'[11]7-12 by Site'!$A$6:$I$148,9,FALSE)</f>
        <v>356</v>
      </c>
      <c r="O190" s="1185">
        <f>ROUND(N190*$O$3,0)</f>
        <v>9256</v>
      </c>
      <c r="P190" s="1186">
        <f>+L190+J190+E190+M190+O190</f>
        <v>9256</v>
      </c>
      <c r="R190" s="581">
        <f>VLOOKUP(B190,'[12]Oct 1 MFP Site MER'!$B$6:$M$110,12,FALSE)</f>
        <v>0</v>
      </c>
    </row>
    <row r="191" spans="1:18" ht="13.5" thickBot="1">
      <c r="A191" s="546">
        <f t="shared" si="65"/>
        <v>0</v>
      </c>
      <c r="B191" s="143"/>
      <c r="C191" s="144" t="s">
        <v>488</v>
      </c>
      <c r="D191" s="405">
        <f>SUM(D190)</f>
        <v>0</v>
      </c>
      <c r="E191" s="1212">
        <f>SUM(E190)</f>
        <v>0</v>
      </c>
      <c r="F191" s="405">
        <f>SUM(F190)</f>
        <v>0</v>
      </c>
      <c r="G191" s="1187">
        <f t="shared" ref="G191:P191" si="68">SUM(G190)</f>
        <v>0</v>
      </c>
      <c r="H191" s="405">
        <f t="shared" si="68"/>
        <v>0</v>
      </c>
      <c r="I191" s="1187">
        <f t="shared" si="68"/>
        <v>0</v>
      </c>
      <c r="J191" s="1206">
        <f t="shared" si="68"/>
        <v>0</v>
      </c>
      <c r="K191" s="405">
        <f t="shared" si="68"/>
        <v>0</v>
      </c>
      <c r="L191" s="1196">
        <f t="shared" si="68"/>
        <v>0</v>
      </c>
      <c r="M191" s="1197">
        <f t="shared" si="68"/>
        <v>0</v>
      </c>
      <c r="N191" s="405">
        <f t="shared" si="68"/>
        <v>356</v>
      </c>
      <c r="O191" s="1187">
        <f t="shared" si="68"/>
        <v>9256</v>
      </c>
      <c r="P191" s="1180">
        <f t="shared" si="68"/>
        <v>9256</v>
      </c>
      <c r="R191" s="405">
        <f t="shared" ref="R191" si="69">SUM(R190)</f>
        <v>0</v>
      </c>
    </row>
    <row r="192" spans="1:18" ht="7.15" customHeight="1" thickTop="1">
      <c r="A192" s="546">
        <f t="shared" si="65"/>
        <v>0</v>
      </c>
      <c r="B192" s="577"/>
      <c r="C192" s="138"/>
      <c r="D192" s="406"/>
      <c r="E192" s="1182"/>
      <c r="F192" s="406"/>
      <c r="G192" s="1181"/>
      <c r="H192" s="406"/>
      <c r="I192" s="1181"/>
      <c r="J192" s="1182"/>
      <c r="K192" s="406"/>
      <c r="L192" s="1182"/>
      <c r="M192" s="1182"/>
      <c r="N192" s="406"/>
      <c r="O192" s="1181"/>
      <c r="P192" s="1182"/>
      <c r="R192" s="406"/>
    </row>
    <row r="193" spans="1:18" ht="13.5" thickBot="1">
      <c r="A193" s="546" t="e">
        <f t="shared" si="65"/>
        <v>#VALUE!</v>
      </c>
      <c r="B193" s="145" t="s">
        <v>624</v>
      </c>
      <c r="C193" s="144" t="s">
        <v>221</v>
      </c>
      <c r="D193" s="540">
        <v>0</v>
      </c>
      <c r="E193" s="1213">
        <f>ROUND($E$3*D193,0)</f>
        <v>0</v>
      </c>
      <c r="F193" s="583"/>
      <c r="G193" s="1183">
        <f>ROUND($G$3*F193,0)</f>
        <v>0</v>
      </c>
      <c r="H193" s="583"/>
      <c r="I193" s="1183">
        <f>ROUND($I$3*H193,0)</f>
        <v>0</v>
      </c>
      <c r="J193" s="1207">
        <f>G193+I193</f>
        <v>0</v>
      </c>
      <c r="K193" s="583"/>
      <c r="L193" s="1198">
        <f>IF(R193&gt;0,IF($L$3*K193&lt;10000,10000,$L$3*K193),0)</f>
        <v>10000</v>
      </c>
      <c r="M193" s="1199">
        <f>IFERROR(VLOOKUP(B193,[10]Allocation_eGMS!$A$8:$E$93,5,FALSE),0)</f>
        <v>0</v>
      </c>
      <c r="N193" s="540">
        <v>279</v>
      </c>
      <c r="O193" s="1183">
        <f>ROUND(N193*$O$3,0)</f>
        <v>7254</v>
      </c>
      <c r="P193" s="1184">
        <f>+L193+J193+E193+M193+O193</f>
        <v>17254</v>
      </c>
      <c r="R193" s="583">
        <f>VLOOKUP(B193,'[12]Oct 1 MFP Site MER'!$B$6:$M$110,12,FALSE)</f>
        <v>235</v>
      </c>
    </row>
    <row r="194" spans="1:18" ht="7.15" customHeight="1" thickTop="1">
      <c r="A194" s="546">
        <f t="shared" si="65"/>
        <v>0</v>
      </c>
      <c r="B194" s="584"/>
      <c r="C194" s="95"/>
      <c r="D194" s="406"/>
      <c r="E194" s="1182"/>
      <c r="F194" s="406"/>
      <c r="G194" s="1182"/>
      <c r="H194" s="406"/>
      <c r="I194" s="1182"/>
      <c r="J194" s="1182"/>
      <c r="K194" s="406"/>
      <c r="L194" s="1182"/>
      <c r="M194" s="1182"/>
      <c r="N194" s="406"/>
      <c r="O194" s="1182"/>
      <c r="P194" s="1182"/>
      <c r="R194" s="406"/>
    </row>
    <row r="195" spans="1:18" ht="13.5" thickBot="1">
      <c r="A195" s="546">
        <f t="shared" si="65"/>
        <v>0</v>
      </c>
      <c r="B195" s="143"/>
      <c r="C195" s="144" t="s">
        <v>489</v>
      </c>
      <c r="D195" s="405">
        <f t="shared" ref="D195:L195" si="70">+D74+D78+D82+D92+D119+D178+D180+D188+D191+D193</f>
        <v>253</v>
      </c>
      <c r="E195" s="1212">
        <f t="shared" si="70"/>
        <v>5313000</v>
      </c>
      <c r="F195" s="405">
        <f t="shared" si="70"/>
        <v>63</v>
      </c>
      <c r="G195" s="1187">
        <f t="shared" si="70"/>
        <v>378000</v>
      </c>
      <c r="H195" s="405">
        <f t="shared" si="70"/>
        <v>90</v>
      </c>
      <c r="I195" s="1187">
        <f t="shared" si="70"/>
        <v>360000</v>
      </c>
      <c r="J195" s="1206">
        <f t="shared" si="70"/>
        <v>738000</v>
      </c>
      <c r="K195" s="405">
        <f t="shared" si="70"/>
        <v>19510.542016806721</v>
      </c>
      <c r="L195" s="1196">
        <f t="shared" si="70"/>
        <v>5424167</v>
      </c>
      <c r="M195" s="1197">
        <f>+M74+M78+M82+M92+M119+M178+M180+M188+M191+M193</f>
        <v>4000000</v>
      </c>
      <c r="N195" s="405">
        <f t="shared" ref="N195:P195" si="71">+N74+N78+N82+N92+N119+N178+N180+N188+N191+N193</f>
        <v>291329</v>
      </c>
      <c r="O195" s="1187">
        <f t="shared" si="71"/>
        <v>7574554</v>
      </c>
      <c r="P195" s="1180">
        <f t="shared" si="71"/>
        <v>23049721</v>
      </c>
      <c r="R195" s="405">
        <f>+R74+R78+R82+R92+R119+R178+R188+R191+R193</f>
        <v>194342</v>
      </c>
    </row>
    <row r="196" spans="1:18" ht="13.5" thickTop="1">
      <c r="K196" s="586"/>
      <c r="L196" s="586"/>
    </row>
  </sheetData>
  <sheetProtection formatCells="0" formatColumns="0" formatRows="0"/>
  <sortState ref="B181:P183">
    <sortCondition ref="B181"/>
  </sortState>
  <mergeCells count="14">
    <mergeCell ref="N1:O1"/>
    <mergeCell ref="R2:R3"/>
    <mergeCell ref="P1:P3"/>
    <mergeCell ref="N2:N3"/>
    <mergeCell ref="B1:B3"/>
    <mergeCell ref="C1:C3"/>
    <mergeCell ref="D1:E1"/>
    <mergeCell ref="F1:J1"/>
    <mergeCell ref="M1:M3"/>
    <mergeCell ref="F2:F3"/>
    <mergeCell ref="H2:H3"/>
    <mergeCell ref="J2:J3"/>
    <mergeCell ref="K1:L1"/>
    <mergeCell ref="K2:K3"/>
  </mergeCells>
  <conditionalFormatting sqref="K5:K179 K181:K195">
    <cfRule type="expression" dxfId="57" priority="3">
      <formula>K5&gt;R5</formula>
    </cfRule>
  </conditionalFormatting>
  <conditionalFormatting sqref="K180">
    <cfRule type="expression" dxfId="56" priority="1">
      <formula>K180&gt;R180</formula>
    </cfRule>
  </conditionalFormatting>
  <printOptions horizontalCentered="1"/>
  <pageMargins left="0.25" right="0.2" top="0.96" bottom="0.65" header="0.35" footer="0.35"/>
  <pageSetup paperSize="5" scale="64" firstPageNumber="35" orientation="portrait" r:id="rId1"/>
  <headerFooter alignWithMargins="0">
    <oddHeader>&amp;L&amp;"Arial,Bold"&amp;18&amp;K000000Table 4:  FY2014-15 Budget Letter (March 2015)
Level 4 Supplementary Allocations</oddHeader>
    <oddFooter>&amp;R&amp;P</oddFooter>
  </headerFooter>
  <colBreaks count="1" manualBreakCount="1">
    <brk id="10" max="19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"/>
  <sheetViews>
    <sheetView view="pageBreakPreview" zoomScale="70" zoomScaleNormal="75" zoomScaleSheetLayoutView="70" workbookViewId="0">
      <pane xSplit="2" ySplit="4" topLeftCell="C5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8.85546875" defaultRowHeight="12.75"/>
  <cols>
    <col min="1" max="1" width="7" style="427" bestFit="1" customWidth="1"/>
    <col min="2" max="2" width="23.85546875" style="427" bestFit="1" customWidth="1"/>
    <col min="3" max="3" width="14.5703125" style="427" customWidth="1"/>
    <col min="4" max="4" width="16.7109375" style="427" bestFit="1" customWidth="1"/>
    <col min="5" max="5" width="13.7109375" style="427" customWidth="1"/>
    <col min="6" max="7" width="16" style="427" customWidth="1"/>
    <col min="8" max="8" width="15.5703125" style="427" customWidth="1"/>
    <col min="9" max="11" width="15.7109375" style="427" customWidth="1"/>
    <col min="12" max="14" width="15.140625" style="427" customWidth="1"/>
    <col min="15" max="15" width="14.85546875" style="427" customWidth="1"/>
    <col min="16" max="16" width="16.140625" style="427" customWidth="1"/>
    <col min="17" max="17" width="17.42578125" style="427" customWidth="1"/>
    <col min="18" max="18" width="15.85546875" style="427" customWidth="1"/>
    <col min="19" max="19" width="14.28515625" style="427" customWidth="1"/>
    <col min="20" max="20" width="13.42578125" style="427" bestFit="1" customWidth="1"/>
    <col min="21" max="21" width="14.7109375" style="427" customWidth="1"/>
    <col min="22" max="22" width="14.140625" style="427" customWidth="1"/>
    <col min="23" max="23" width="13.5703125" style="427" customWidth="1"/>
    <col min="24" max="24" width="19.7109375" style="427" customWidth="1"/>
    <col min="25" max="16384" width="8.85546875" style="427"/>
  </cols>
  <sheetData>
    <row r="1" spans="1:24" ht="23.45" customHeight="1">
      <c r="A1" s="1400" t="s">
        <v>259</v>
      </c>
      <c r="B1" s="1400" t="s">
        <v>142</v>
      </c>
      <c r="C1" s="1402" t="s">
        <v>742</v>
      </c>
      <c r="D1" s="1403"/>
      <c r="E1" s="1403"/>
      <c r="F1" s="1403"/>
      <c r="G1" s="1403"/>
      <c r="H1" s="1403"/>
      <c r="I1" s="1403"/>
      <c r="J1" s="1403"/>
      <c r="K1" s="1403"/>
      <c r="L1" s="1403"/>
      <c r="M1" s="1403"/>
      <c r="N1" s="1404"/>
      <c r="O1" s="1402" t="s">
        <v>742</v>
      </c>
      <c r="P1" s="1403"/>
      <c r="Q1" s="1403"/>
      <c r="R1" s="1403"/>
      <c r="S1" s="1403"/>
      <c r="T1" s="1403"/>
      <c r="U1" s="1403"/>
      <c r="V1" s="1403"/>
      <c r="W1" s="1403"/>
      <c r="X1" s="1404"/>
    </row>
    <row r="2" spans="1:24" s="754" customFormat="1" ht="23.45" customHeight="1">
      <c r="A2" s="1401"/>
      <c r="B2" s="1401"/>
      <c r="C2" s="749"/>
      <c r="D2" s="750"/>
      <c r="E2" s="751"/>
      <c r="F2" s="399"/>
      <c r="G2" s="399"/>
      <c r="H2" s="399"/>
      <c r="I2" s="1397" t="s">
        <v>411</v>
      </c>
      <c r="J2" s="1398"/>
      <c r="K2" s="1399"/>
      <c r="L2" s="399"/>
      <c r="M2" s="752"/>
      <c r="N2" s="753"/>
      <c r="O2" s="1394" t="s">
        <v>725</v>
      </c>
      <c r="P2" s="1396"/>
      <c r="Q2" s="752"/>
      <c r="R2" s="752"/>
      <c r="S2" s="752"/>
      <c r="T2" s="752"/>
      <c r="U2" s="1394" t="s">
        <v>732</v>
      </c>
      <c r="V2" s="1395"/>
      <c r="W2" s="1396"/>
      <c r="X2" s="753"/>
    </row>
    <row r="3" spans="1:24" ht="178.15" customHeight="1">
      <c r="A3" s="1367"/>
      <c r="B3" s="1367"/>
      <c r="C3" s="755" t="s">
        <v>618</v>
      </c>
      <c r="D3" s="756" t="s">
        <v>892</v>
      </c>
      <c r="E3" s="756" t="s">
        <v>276</v>
      </c>
      <c r="F3" s="756" t="s">
        <v>247</v>
      </c>
      <c r="G3" s="756" t="s">
        <v>726</v>
      </c>
      <c r="H3" s="757" t="s">
        <v>420</v>
      </c>
      <c r="I3" s="758" t="s">
        <v>551</v>
      </c>
      <c r="J3" s="758" t="s">
        <v>552</v>
      </c>
      <c r="K3" s="758" t="s">
        <v>430</v>
      </c>
      <c r="L3" s="756" t="s">
        <v>421</v>
      </c>
      <c r="M3" s="636" t="s">
        <v>712</v>
      </c>
      <c r="N3" s="756" t="s">
        <v>422</v>
      </c>
      <c r="O3" s="759" t="s">
        <v>689</v>
      </c>
      <c r="P3" s="759" t="s">
        <v>724</v>
      </c>
      <c r="Q3" s="760" t="s">
        <v>730</v>
      </c>
      <c r="R3" s="760" t="s">
        <v>546</v>
      </c>
      <c r="S3" s="760" t="s">
        <v>553</v>
      </c>
      <c r="T3" s="760" t="s">
        <v>415</v>
      </c>
      <c r="U3" s="759" t="s">
        <v>727</v>
      </c>
      <c r="V3" s="759" t="s">
        <v>728</v>
      </c>
      <c r="W3" s="759" t="s">
        <v>729</v>
      </c>
      <c r="X3" s="760" t="s">
        <v>731</v>
      </c>
    </row>
    <row r="4" spans="1:24">
      <c r="A4" s="761"/>
      <c r="B4" s="762"/>
      <c r="C4" s="763">
        <v>1</v>
      </c>
      <c r="D4" s="763">
        <f t="shared" ref="D4:H4" si="0">C4+1</f>
        <v>2</v>
      </c>
      <c r="E4" s="763">
        <f t="shared" si="0"/>
        <v>3</v>
      </c>
      <c r="F4" s="763">
        <f t="shared" si="0"/>
        <v>4</v>
      </c>
      <c r="G4" s="763">
        <f t="shared" si="0"/>
        <v>5</v>
      </c>
      <c r="H4" s="763">
        <f t="shared" si="0"/>
        <v>6</v>
      </c>
      <c r="I4" s="763">
        <f t="shared" ref="I4" si="1">H4+1</f>
        <v>7</v>
      </c>
      <c r="J4" s="763">
        <f t="shared" ref="J4" si="2">I4+1</f>
        <v>8</v>
      </c>
      <c r="K4" s="763">
        <f t="shared" ref="K4" si="3">J4+1</f>
        <v>9</v>
      </c>
      <c r="L4" s="763">
        <f t="shared" ref="L4" si="4">K4+1</f>
        <v>10</v>
      </c>
      <c r="M4" s="763">
        <f t="shared" ref="M4:N4" si="5">L4+1</f>
        <v>11</v>
      </c>
      <c r="N4" s="763">
        <f t="shared" si="5"/>
        <v>12</v>
      </c>
      <c r="O4" s="763">
        <f t="shared" ref="O4" si="6">N4+1</f>
        <v>13</v>
      </c>
      <c r="P4" s="763">
        <f t="shared" ref="P4" si="7">O4+1</f>
        <v>14</v>
      </c>
      <c r="Q4" s="763">
        <f t="shared" ref="Q4" si="8">P4+1</f>
        <v>15</v>
      </c>
      <c r="R4" s="763">
        <f t="shared" ref="R4" si="9">Q4+1</f>
        <v>16</v>
      </c>
      <c r="S4" s="763">
        <f t="shared" ref="S4" si="10">R4+1</f>
        <v>17</v>
      </c>
      <c r="T4" s="763">
        <f t="shared" ref="T4" si="11">S4+1</f>
        <v>18</v>
      </c>
      <c r="U4" s="763">
        <f t="shared" ref="U4" si="12">T4+1</f>
        <v>19</v>
      </c>
      <c r="V4" s="763">
        <f t="shared" ref="V4" si="13">U4+1</f>
        <v>20</v>
      </c>
      <c r="W4" s="763">
        <f t="shared" ref="W4" si="14">V4+1</f>
        <v>21</v>
      </c>
      <c r="X4" s="763">
        <f t="shared" ref="X4" si="15">W4+1</f>
        <v>22</v>
      </c>
    </row>
    <row r="5" spans="1:24" ht="28.15" customHeight="1">
      <c r="A5" s="764">
        <v>318001</v>
      </c>
      <c r="B5" s="765" t="s">
        <v>160</v>
      </c>
      <c r="C5" s="766">
        <f>+'Table 8 Membership 2.1.14'!AH74</f>
        <v>1394</v>
      </c>
      <c r="D5" s="767">
        <f>'Table 3 Levels 1&amp;2'!AL73</f>
        <v>4479.9292126977662</v>
      </c>
      <c r="E5" s="767">
        <f>C5*ROUND(D5,0)</f>
        <v>6245120</v>
      </c>
      <c r="F5" s="767">
        <v>605.97185873605952</v>
      </c>
      <c r="G5" s="767">
        <f>F5*C5</f>
        <v>844724.77107806702</v>
      </c>
      <c r="H5" s="768">
        <f>E5+G5</f>
        <v>7089844.7710780669</v>
      </c>
      <c r="I5" s="769">
        <f>'[1]October midyear adj'!K75</f>
        <v>101718.02142867651</v>
      </c>
      <c r="J5" s="769">
        <f>'[1]February midyear adj'!$K$75</f>
        <v>0</v>
      </c>
      <c r="K5" s="770">
        <f>SUM(I5:J5)</f>
        <v>101718.02142867651</v>
      </c>
      <c r="L5" s="768">
        <f>+H5+K5</f>
        <v>7191562.7925067432</v>
      </c>
      <c r="M5" s="767">
        <v>0</v>
      </c>
      <c r="N5" s="768">
        <f>SUM(L5:M5)</f>
        <v>7191562.7925067432</v>
      </c>
      <c r="O5" s="771">
        <f>+'Table 4 Level 4'!E76</f>
        <v>0</v>
      </c>
      <c r="P5" s="771">
        <f>+'Table 4 Level 4'!O76</f>
        <v>17108</v>
      </c>
      <c r="Q5" s="768">
        <f>SUM(N5:P5)</f>
        <v>7208670.7925067432</v>
      </c>
      <c r="R5" s="769">
        <f>8*'[2]Table 5A1_Labs'!T5</f>
        <v>4737968</v>
      </c>
      <c r="S5" s="769">
        <f>+Q5-R5</f>
        <v>2470702.7925067432</v>
      </c>
      <c r="T5" s="768">
        <f>ROUND(S5/$T$10,0)</f>
        <v>617676</v>
      </c>
      <c r="U5" s="767">
        <f>+'Table 4 Level 4'!J76</f>
        <v>0</v>
      </c>
      <c r="V5" s="767">
        <f>+'Table 4 Level 4'!L76</f>
        <v>10000</v>
      </c>
      <c r="W5" s="767">
        <f>+'Table 4 Level 4'!M76</f>
        <v>0</v>
      </c>
      <c r="X5" s="768">
        <f>+Q5+U5+V5+W5</f>
        <v>7218670.7925067432</v>
      </c>
    </row>
    <row r="6" spans="1:24" ht="28.15" customHeight="1">
      <c r="A6" s="772">
        <v>319001</v>
      </c>
      <c r="B6" s="773" t="s">
        <v>161</v>
      </c>
      <c r="C6" s="766">
        <f>+'Table 8 Membership 2.1.14'!AI74</f>
        <v>588</v>
      </c>
      <c r="D6" s="767">
        <f>'Table 3 Levels 1&amp;2'!AL73</f>
        <v>4479.9292126977662</v>
      </c>
      <c r="E6" s="767">
        <f>C6*ROUND(D6,0)</f>
        <v>2634240</v>
      </c>
      <c r="F6" s="767">
        <v>699.89832861189802</v>
      </c>
      <c r="G6" s="767">
        <f>F6*C6</f>
        <v>411540.21722379606</v>
      </c>
      <c r="H6" s="768">
        <f>E6+G6</f>
        <v>3045780.2172237961</v>
      </c>
      <c r="I6" s="769">
        <f>'[1]October midyear adj'!K76</f>
        <v>2258404.8080110135</v>
      </c>
      <c r="J6" s="769">
        <f>'[1]February midyear adj'!$K$76</f>
        <v>-248631.72198286391</v>
      </c>
      <c r="K6" s="770">
        <f>SUM(I6:J6)</f>
        <v>2009773.0860281496</v>
      </c>
      <c r="L6" s="768">
        <f>+H6+K6</f>
        <v>5055553.3032519454</v>
      </c>
      <c r="M6" s="767">
        <v>0</v>
      </c>
      <c r="N6" s="768">
        <f>SUM(L6:M6)</f>
        <v>5055553.3032519454</v>
      </c>
      <c r="O6" s="771">
        <f>+'Table 4 Level 4'!E77</f>
        <v>0</v>
      </c>
      <c r="P6" s="771">
        <f>+'Table 4 Level 4'!O77</f>
        <v>8866</v>
      </c>
      <c r="Q6" s="768">
        <f>SUM(N6:P6)</f>
        <v>5064419.3032519454</v>
      </c>
      <c r="R6" s="769">
        <f>8*'[2]Table 5A1_Labs'!T6</f>
        <v>2036432</v>
      </c>
      <c r="S6" s="769">
        <f>+Q6-R6</f>
        <v>3027987.3032519454</v>
      </c>
      <c r="T6" s="768">
        <f>ROUND(S6/$T$10,0)</f>
        <v>756997</v>
      </c>
      <c r="U6" s="767">
        <f>+'Table 4 Level 4'!J77</f>
        <v>0</v>
      </c>
      <c r="V6" s="767">
        <f>+'Table 4 Level 4'!L77</f>
        <v>10000</v>
      </c>
      <c r="W6" s="767">
        <f>+'Table 4 Level 4'!M77</f>
        <v>0</v>
      </c>
      <c r="X6" s="768">
        <f>+Q6+U6+V6+W6</f>
        <v>5074419.3032519454</v>
      </c>
    </row>
    <row r="7" spans="1:24" s="599" customFormat="1" ht="28.15" customHeight="1" thickBot="1">
      <c r="A7" s="774"/>
      <c r="B7" s="774" t="s">
        <v>139</v>
      </c>
      <c r="C7" s="775">
        <f>SUM(C5:C6)</f>
        <v>1982</v>
      </c>
      <c r="D7" s="776"/>
      <c r="E7" s="748">
        <f>SUM(E5:E6)</f>
        <v>8879360</v>
      </c>
      <c r="F7" s="748"/>
      <c r="G7" s="748">
        <f t="shared" ref="G7:X7" si="16">SUM(G5:G6)</f>
        <v>1256264.988301863</v>
      </c>
      <c r="H7" s="777">
        <f t="shared" si="16"/>
        <v>10135624.988301862</v>
      </c>
      <c r="I7" s="778">
        <f t="shared" si="16"/>
        <v>2360122.8294396899</v>
      </c>
      <c r="J7" s="778">
        <f t="shared" si="16"/>
        <v>-248631.72198286391</v>
      </c>
      <c r="K7" s="779">
        <f t="shared" si="16"/>
        <v>2111491.1074568261</v>
      </c>
      <c r="L7" s="777">
        <f t="shared" si="16"/>
        <v>12247116.095758688</v>
      </c>
      <c r="M7" s="748">
        <f>SUM(M5:M6)</f>
        <v>0</v>
      </c>
      <c r="N7" s="777">
        <f t="shared" si="16"/>
        <v>12247116.095758688</v>
      </c>
      <c r="O7" s="780">
        <f t="shared" si="16"/>
        <v>0</v>
      </c>
      <c r="P7" s="780">
        <f t="shared" si="16"/>
        <v>25974</v>
      </c>
      <c r="Q7" s="777">
        <f t="shared" si="16"/>
        <v>12273090.095758688</v>
      </c>
      <c r="R7" s="778">
        <f t="shared" si="16"/>
        <v>6774400</v>
      </c>
      <c r="S7" s="778">
        <f t="shared" si="16"/>
        <v>5498690.0957586886</v>
      </c>
      <c r="T7" s="777">
        <f t="shared" si="16"/>
        <v>1374673</v>
      </c>
      <c r="U7" s="748">
        <f t="shared" si="16"/>
        <v>0</v>
      </c>
      <c r="V7" s="748">
        <f t="shared" si="16"/>
        <v>20000</v>
      </c>
      <c r="W7" s="748">
        <f t="shared" si="16"/>
        <v>0</v>
      </c>
      <c r="X7" s="777">
        <f t="shared" si="16"/>
        <v>12293090.095758688</v>
      </c>
    </row>
    <row r="8" spans="1:24" s="599" customFormat="1" ht="13.5" thickTop="1">
      <c r="B8" s="781"/>
      <c r="C8" s="782"/>
      <c r="D8" s="783"/>
      <c r="E8" s="628"/>
    </row>
    <row r="10" spans="1:24" hidden="1">
      <c r="S10" s="427" t="str">
        <f>'Table 2_State Distrib and Adjs'!$AK$77</f>
        <v>Monthly Pmts Remaining</v>
      </c>
      <c r="T10" s="427">
        <f>'Table 2_State Distrib and Adjs'!$AL$77</f>
        <v>4</v>
      </c>
    </row>
  </sheetData>
  <mergeCells count="7">
    <mergeCell ref="U2:W2"/>
    <mergeCell ref="O2:P2"/>
    <mergeCell ref="I2:K2"/>
    <mergeCell ref="A1:A3"/>
    <mergeCell ref="B1:B3"/>
    <mergeCell ref="C1:N1"/>
    <mergeCell ref="O1:X1"/>
  </mergeCells>
  <phoneticPr fontId="0" type="noConversion"/>
  <printOptions horizontalCentered="1"/>
  <pageMargins left="0.5" right="0.5" top="0.95" bottom="0.5" header="0.25" footer="0.25"/>
  <pageSetup paperSize="5" scale="70" firstPageNumber="3" orientation="landscape" r:id="rId1"/>
  <headerFooter alignWithMargins="0">
    <oddHeader xml:space="preserve">&amp;L&amp;"Arial,Bold"&amp;20Table 5A1: FY2014-15 MFP Budget Letter (March 2015)
Allocation for Lab Schools&amp;R
</oddHeader>
    <oddFooter>&amp;R&amp;12&amp;P</oddFooter>
  </headerFooter>
  <colBreaks count="1" manualBreakCount="1">
    <brk id="14" max="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Z18"/>
  <sheetViews>
    <sheetView view="pageBreakPreview" zoomScale="60" zoomScaleNormal="70" workbookViewId="0">
      <pane xSplit="2" ySplit="4" topLeftCell="C5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9.140625" defaultRowHeight="12.75"/>
  <cols>
    <col min="1" max="1" width="9" style="784" bestFit="1" customWidth="1"/>
    <col min="2" max="2" width="33.7109375" style="784" customWidth="1"/>
    <col min="3" max="4" width="13.7109375" style="784" customWidth="1"/>
    <col min="5" max="5" width="18" style="784" customWidth="1"/>
    <col min="6" max="6" width="16.28515625" style="784" customWidth="1"/>
    <col min="7" max="7" width="15.7109375" style="784" bestFit="1" customWidth="1"/>
    <col min="8" max="8" width="17.140625" style="784" bestFit="1" customWidth="1"/>
    <col min="9" max="9" width="14.28515625" style="784" bestFit="1" customWidth="1"/>
    <col min="10" max="10" width="14" style="784" bestFit="1" customWidth="1"/>
    <col min="11" max="11" width="15.28515625" style="784" customWidth="1"/>
    <col min="12" max="12" width="17.140625" style="784" customWidth="1"/>
    <col min="13" max="13" width="14.28515625" style="784" bestFit="1" customWidth="1"/>
    <col min="14" max="14" width="18" style="784" bestFit="1" customWidth="1"/>
    <col min="15" max="15" width="14.140625" style="784" customWidth="1"/>
    <col min="16" max="16" width="18" style="784" bestFit="1" customWidth="1"/>
    <col min="17" max="18" width="18" style="784" customWidth="1"/>
    <col min="19" max="19" width="20.28515625" style="784" customWidth="1"/>
    <col min="20" max="20" width="15.7109375" style="784" bestFit="1" customWidth="1"/>
    <col min="21" max="21" width="17.140625" style="784" customWidth="1"/>
    <col min="22" max="22" width="15.7109375" style="784" bestFit="1" customWidth="1"/>
    <col min="23" max="23" width="14" style="784" bestFit="1" customWidth="1"/>
    <col min="24" max="24" width="15.140625" style="784" bestFit="1" customWidth="1"/>
    <col min="25" max="25" width="13.7109375" style="784" customWidth="1"/>
    <col min="26" max="26" width="17.42578125" style="784" customWidth="1"/>
    <col min="27" max="16384" width="9.140625" style="784"/>
  </cols>
  <sheetData>
    <row r="1" spans="1:26" ht="25.9" customHeight="1">
      <c r="A1" s="1407" t="s">
        <v>259</v>
      </c>
      <c r="B1" s="1410" t="s">
        <v>398</v>
      </c>
      <c r="C1" s="1402"/>
      <c r="D1" s="1403"/>
      <c r="E1" s="1403"/>
      <c r="F1" s="1403"/>
      <c r="G1" s="1403"/>
      <c r="H1" s="1403"/>
      <c r="I1" s="1403"/>
      <c r="J1" s="1403"/>
      <c r="K1" s="1403"/>
      <c r="L1" s="1403"/>
      <c r="M1" s="1403"/>
      <c r="N1" s="1403"/>
      <c r="O1" s="1403"/>
      <c r="P1" s="1404"/>
      <c r="Q1" s="1402"/>
      <c r="R1" s="1403"/>
      <c r="S1" s="1403"/>
      <c r="T1" s="1403"/>
      <c r="U1" s="1403"/>
      <c r="V1" s="1403"/>
      <c r="W1" s="1403"/>
      <c r="X1" s="1403"/>
      <c r="Y1" s="1403"/>
      <c r="Z1" s="1404"/>
    </row>
    <row r="2" spans="1:26" ht="25.9" customHeight="1">
      <c r="A2" s="1408"/>
      <c r="B2" s="1408"/>
      <c r="C2" s="785"/>
      <c r="D2" s="786"/>
      <c r="E2" s="786"/>
      <c r="F2" s="786"/>
      <c r="G2" s="786"/>
      <c r="H2" s="786"/>
      <c r="I2" s="1411" t="s">
        <v>411</v>
      </c>
      <c r="J2" s="1411"/>
      <c r="K2" s="1411"/>
      <c r="L2" s="786"/>
      <c r="M2" s="786"/>
      <c r="N2" s="786"/>
      <c r="O2" s="786"/>
      <c r="P2" s="787"/>
      <c r="Q2" s="1406" t="s">
        <v>725</v>
      </c>
      <c r="R2" s="1406"/>
      <c r="S2" s="786"/>
      <c r="T2" s="786"/>
      <c r="U2" s="786"/>
      <c r="V2" s="786"/>
      <c r="W2" s="1406" t="s">
        <v>732</v>
      </c>
      <c r="X2" s="1406"/>
      <c r="Y2" s="1406"/>
      <c r="Z2" s="787"/>
    </row>
    <row r="3" spans="1:26" ht="186" customHeight="1">
      <c r="A3" s="1409"/>
      <c r="B3" s="1409"/>
      <c r="C3" s="788" t="s">
        <v>619</v>
      </c>
      <c r="D3" s="788" t="s">
        <v>1052</v>
      </c>
      <c r="E3" s="789" t="s">
        <v>399</v>
      </c>
      <c r="F3" s="789" t="s">
        <v>767</v>
      </c>
      <c r="G3" s="789" t="s">
        <v>400</v>
      </c>
      <c r="H3" s="790" t="s">
        <v>768</v>
      </c>
      <c r="I3" s="791" t="s">
        <v>555</v>
      </c>
      <c r="J3" s="791" t="s">
        <v>554</v>
      </c>
      <c r="K3" s="791" t="s">
        <v>417</v>
      </c>
      <c r="L3" s="792" t="s">
        <v>432</v>
      </c>
      <c r="M3" s="790" t="s">
        <v>652</v>
      </c>
      <c r="N3" s="790" t="s">
        <v>766</v>
      </c>
      <c r="O3" s="793" t="s">
        <v>702</v>
      </c>
      <c r="P3" s="790" t="s">
        <v>765</v>
      </c>
      <c r="Q3" s="794" t="s">
        <v>689</v>
      </c>
      <c r="R3" s="794" t="s">
        <v>724</v>
      </c>
      <c r="S3" s="795" t="s">
        <v>769</v>
      </c>
      <c r="T3" s="792" t="s">
        <v>653</v>
      </c>
      <c r="U3" s="792" t="s">
        <v>547</v>
      </c>
      <c r="V3" s="790" t="s">
        <v>402</v>
      </c>
      <c r="W3" s="794" t="s">
        <v>727</v>
      </c>
      <c r="X3" s="794" t="s">
        <v>728</v>
      </c>
      <c r="Y3" s="794" t="s">
        <v>729</v>
      </c>
      <c r="Z3" s="795" t="s">
        <v>770</v>
      </c>
    </row>
    <row r="4" spans="1:26">
      <c r="A4" s="796"/>
      <c r="B4" s="796"/>
      <c r="C4" s="797">
        <v>1</v>
      </c>
      <c r="D4" s="797">
        <f t="shared" ref="D4:I4" si="0">C4+1</f>
        <v>2</v>
      </c>
      <c r="E4" s="797">
        <f t="shared" si="0"/>
        <v>3</v>
      </c>
      <c r="F4" s="797">
        <f t="shared" si="0"/>
        <v>4</v>
      </c>
      <c r="G4" s="797">
        <f t="shared" si="0"/>
        <v>5</v>
      </c>
      <c r="H4" s="797">
        <f t="shared" si="0"/>
        <v>6</v>
      </c>
      <c r="I4" s="797">
        <f t="shared" si="0"/>
        <v>7</v>
      </c>
      <c r="J4" s="797">
        <f t="shared" ref="J4" si="1">I4+1</f>
        <v>8</v>
      </c>
      <c r="K4" s="797">
        <f t="shared" ref="K4" si="2">J4+1</f>
        <v>9</v>
      </c>
      <c r="L4" s="797">
        <f t="shared" ref="L4" si="3">K4+1</f>
        <v>10</v>
      </c>
      <c r="M4" s="797">
        <f t="shared" ref="M4" si="4">L4+1</f>
        <v>11</v>
      </c>
      <c r="N4" s="797">
        <f t="shared" ref="N4" si="5">M4+1</f>
        <v>12</v>
      </c>
      <c r="O4" s="797">
        <f t="shared" ref="O4:P4" si="6">N4+1</f>
        <v>13</v>
      </c>
      <c r="P4" s="797">
        <f t="shared" si="6"/>
        <v>14</v>
      </c>
      <c r="Q4" s="797">
        <f t="shared" ref="Q4" si="7">P4+1</f>
        <v>15</v>
      </c>
      <c r="R4" s="797">
        <f t="shared" ref="R4" si="8">Q4+1</f>
        <v>16</v>
      </c>
      <c r="S4" s="797">
        <f t="shared" ref="S4" si="9">R4+1</f>
        <v>17</v>
      </c>
      <c r="T4" s="797">
        <f t="shared" ref="T4" si="10">S4+1</f>
        <v>18</v>
      </c>
      <c r="U4" s="797">
        <f t="shared" ref="U4" si="11">T4+1</f>
        <v>19</v>
      </c>
      <c r="V4" s="797">
        <f t="shared" ref="V4" si="12">U4+1</f>
        <v>20</v>
      </c>
      <c r="W4" s="797">
        <f t="shared" ref="W4" si="13">V4+1</f>
        <v>21</v>
      </c>
      <c r="X4" s="797">
        <f t="shared" ref="X4" si="14">W4+1</f>
        <v>22</v>
      </c>
      <c r="Y4" s="797">
        <f t="shared" ref="Y4" si="15">X4+1</f>
        <v>23</v>
      </c>
      <c r="Z4" s="797">
        <f t="shared" ref="Z4" si="16">Y4+1</f>
        <v>24</v>
      </c>
    </row>
    <row r="5" spans="1:26" ht="40.9" customHeight="1">
      <c r="A5" s="798">
        <v>321001</v>
      </c>
      <c r="B5" s="799" t="s">
        <v>909</v>
      </c>
      <c r="C5" s="800">
        <f>+'Table 8 Membership 2.1.14'!X74</f>
        <v>325</v>
      </c>
      <c r="D5" s="801">
        <f>'Table 3 Levels 1&amp;2'!AL68+'[13]FY2014-15 Final'!L68</f>
        <v>9990.1605543943642</v>
      </c>
      <c r="E5" s="802">
        <f>C5*D5</f>
        <v>3246802.1801781682</v>
      </c>
      <c r="F5" s="803">
        <v>716.29552188552179</v>
      </c>
      <c r="G5" s="803">
        <f>C5*F5</f>
        <v>232796.04461279459</v>
      </c>
      <c r="H5" s="802">
        <f>ROUND(E5+G5,0)</f>
        <v>3479598</v>
      </c>
      <c r="I5" s="801">
        <f>'[1]October midyear adj'!K83</f>
        <v>224835.57760187762</v>
      </c>
      <c r="J5" s="804">
        <f>'[1]February midyear adj'!K83</f>
        <v>-107064.56076279886</v>
      </c>
      <c r="K5" s="805">
        <f>I5+J5</f>
        <v>117771.01683907876</v>
      </c>
      <c r="L5" s="806">
        <f>H5+K5</f>
        <v>3597369.0168390786</v>
      </c>
      <c r="M5" s="803">
        <f>-L5*0.25%</f>
        <v>-8993.4225420976964</v>
      </c>
      <c r="N5" s="802">
        <f>SUM(L5:M5)</f>
        <v>3588375.5942969811</v>
      </c>
      <c r="O5" s="807">
        <v>0</v>
      </c>
      <c r="P5" s="802">
        <f t="shared" ref="P5:P14" si="17">SUM(N5:O5)</f>
        <v>3588375.5942969811</v>
      </c>
      <c r="Q5" s="808">
        <f>VLOOKUP(A5,'Table 4 Level 4'!$B$84:$O$91,4,FALSE)</f>
        <v>0</v>
      </c>
      <c r="R5" s="808">
        <f>'Table 4 Level 4'!O84</f>
        <v>0</v>
      </c>
      <c r="S5" s="809">
        <f>SUM(P5:R5)</f>
        <v>3588375.5942969811</v>
      </c>
      <c r="T5" s="587">
        <f>+'[2]Table 5A2- Legacy Type 2'!V5+(3*'[14]Table 5A2- Legacy Type 2'!V5)+(4*'[3]Table 5A2- Legacy Type 2'!V5)</f>
        <v>2291240</v>
      </c>
      <c r="U5" s="587">
        <f>S5-T5</f>
        <v>1297135.5942969811</v>
      </c>
      <c r="V5" s="802">
        <f>ROUND(U5/$V$18,0)</f>
        <v>324284</v>
      </c>
      <c r="W5" s="810">
        <f>VLOOKUP($A5,'Table 4 Level 4'!$B$84:$O$91,9,FALSE)</f>
        <v>0</v>
      </c>
      <c r="X5" s="808">
        <f>VLOOKUP($A5,'Table 4 Level 4'!$B$84:$O$91,11,FALSE)</f>
        <v>0</v>
      </c>
      <c r="Y5" s="808">
        <f>VLOOKUP($A5,'Table 4 Level 4'!$B$84:$O$91,12,FALSE)</f>
        <v>0</v>
      </c>
      <c r="Z5" s="809">
        <f>+S5+W5+X5+Y5</f>
        <v>3588375.5942969811</v>
      </c>
    </row>
    <row r="6" spans="1:26" ht="40.9" customHeight="1">
      <c r="A6" s="798">
        <v>329001</v>
      </c>
      <c r="B6" s="811" t="s">
        <v>910</v>
      </c>
      <c r="C6" s="800">
        <f>+'Table 8 Membership 2.1.14'!Y74</f>
        <v>363</v>
      </c>
      <c r="D6" s="801">
        <f>'Table 3 Levels 1&amp;2'!AL54+'[13]FY2014-15 Final'!L54</f>
        <v>8666.1928602178996</v>
      </c>
      <c r="E6" s="802">
        <f t="shared" ref="E6:E14" si="18">C6*D6</f>
        <v>3145828.0082590976</v>
      </c>
      <c r="F6" s="803">
        <v>598.40363440561384</v>
      </c>
      <c r="G6" s="803">
        <f t="shared" ref="G6:G14" si="19">C6*F6</f>
        <v>217220.51928923783</v>
      </c>
      <c r="H6" s="802">
        <f t="shared" ref="H6:H14" si="20">ROUND(E6+G6,0)</f>
        <v>3363049</v>
      </c>
      <c r="I6" s="801">
        <f>'[1]October midyear adj'!K84</f>
        <v>129704.35092472918</v>
      </c>
      <c r="J6" s="804">
        <f>'[1]February midyear adj'!K84</f>
        <v>-27793.78948387054</v>
      </c>
      <c r="K6" s="805">
        <f>I6+J6</f>
        <v>101910.56144085864</v>
      </c>
      <c r="L6" s="806">
        <f>H6+K6</f>
        <v>3464959.5614408585</v>
      </c>
      <c r="M6" s="803">
        <f t="shared" ref="M6:M14" si="21">-L6*0.25%</f>
        <v>-8662.3989036021467</v>
      </c>
      <c r="N6" s="802">
        <f t="shared" ref="N6:N14" si="22">SUM(L6:M6)</f>
        <v>3456297.1625372563</v>
      </c>
      <c r="O6" s="807">
        <v>0</v>
      </c>
      <c r="P6" s="802">
        <f t="shared" si="17"/>
        <v>3456297.1625372563</v>
      </c>
      <c r="Q6" s="808">
        <f>VLOOKUP(A6,'Table 4 Level 4'!$B$84:$O$91,4,FALSE)</f>
        <v>0</v>
      </c>
      <c r="R6" s="808">
        <f>'Table 4 Level 4'!O85</f>
        <v>1950</v>
      </c>
      <c r="S6" s="809">
        <f t="shared" ref="S6:S14" si="23">SUM(P6:R6)</f>
        <v>3458247.1625372563</v>
      </c>
      <c r="T6" s="587">
        <f>+'[2]Table 5A2- Legacy Type 2'!V6+(3*'[14]Table 5A2- Legacy Type 2'!V6)+(4*'[3]Table 5A2- Legacy Type 2'!V6)</f>
        <v>2258248</v>
      </c>
      <c r="U6" s="587">
        <f>S6-T6</f>
        <v>1199999.1625372563</v>
      </c>
      <c r="V6" s="802">
        <f>ROUND(U6/$V$18,0)</f>
        <v>300000</v>
      </c>
      <c r="W6" s="810">
        <f>VLOOKUP($A6,'Table 4 Level 4'!$B$84:$O$91,9,FALSE)</f>
        <v>0</v>
      </c>
      <c r="X6" s="808">
        <f>VLOOKUP($A6,'Table 4 Level 4'!$B$84:$O$91,11,FALSE)</f>
        <v>0</v>
      </c>
      <c r="Y6" s="808">
        <f>VLOOKUP($A6,'Table 4 Level 4'!$B$84:$O$91,12,FALSE)</f>
        <v>0</v>
      </c>
      <c r="Z6" s="809">
        <f>+S6+W6+X6+Y6</f>
        <v>3458247.1625372563</v>
      </c>
    </row>
    <row r="7" spans="1:26" ht="40.9" customHeight="1">
      <c r="A7" s="812">
        <v>331</v>
      </c>
      <c r="B7" s="813" t="s">
        <v>911</v>
      </c>
      <c r="C7" s="814">
        <f>(+'Table 8 Membership 2.1.14'!Z74)-C8</f>
        <v>626</v>
      </c>
      <c r="D7" s="815">
        <f>'Table 3 Levels 1&amp;2'!AL39+'[13]FY2014-15 Final'!E39</f>
        <v>8411.7009974327848</v>
      </c>
      <c r="E7" s="815">
        <f t="shared" si="18"/>
        <v>5265724.8243929232</v>
      </c>
      <c r="F7" s="815"/>
      <c r="G7" s="815"/>
      <c r="H7" s="815"/>
      <c r="I7" s="815">
        <f>'[1]October midyear adj'!K85</f>
        <v>337680.91273484495</v>
      </c>
      <c r="J7" s="816">
        <f>'[1]February midyear adj'!K85</f>
        <v>-4563.2555774979046</v>
      </c>
      <c r="K7" s="816"/>
      <c r="L7" s="816"/>
      <c r="M7" s="815"/>
      <c r="N7" s="815"/>
      <c r="O7" s="817"/>
      <c r="P7" s="815"/>
      <c r="Q7" s="818"/>
      <c r="R7" s="818"/>
      <c r="S7" s="818"/>
      <c r="T7" s="588"/>
      <c r="U7" s="588"/>
      <c r="V7" s="815"/>
      <c r="W7" s="815"/>
      <c r="X7" s="818"/>
      <c r="Y7" s="818"/>
      <c r="Z7" s="818"/>
    </row>
    <row r="8" spans="1:26" ht="40.9" customHeight="1" thickBot="1">
      <c r="A8" s="819">
        <v>331</v>
      </c>
      <c r="B8" s="820" t="s">
        <v>912</v>
      </c>
      <c r="C8" s="821">
        <v>193</v>
      </c>
      <c r="D8" s="589">
        <f>'Table 3 Levels 1&amp;2'!AL39+'[13]FY2014-15 Final'!L39</f>
        <v>9071.7009974327848</v>
      </c>
      <c r="E8" s="589">
        <f t="shared" ref="E8" si="24">C8*D8</f>
        <v>1750838.2925045274</v>
      </c>
      <c r="F8" s="589"/>
      <c r="G8" s="589"/>
      <c r="H8" s="589"/>
      <c r="I8" s="589">
        <f>'[1]October midyear adj'!K86</f>
        <v>508898.58005978208</v>
      </c>
      <c r="J8" s="589">
        <f>'[1]February midyear adj'!K86</f>
        <v>-34252.789042485332</v>
      </c>
      <c r="K8" s="589"/>
      <c r="L8" s="589"/>
      <c r="M8" s="589"/>
      <c r="N8" s="589"/>
      <c r="O8" s="822"/>
      <c r="P8" s="589"/>
      <c r="Q8" s="589"/>
      <c r="R8" s="589"/>
      <c r="S8" s="589"/>
      <c r="T8" s="589"/>
      <c r="U8" s="589"/>
      <c r="V8" s="589"/>
      <c r="W8" s="589"/>
      <c r="X8" s="589"/>
      <c r="Y8" s="589"/>
      <c r="Z8" s="589"/>
    </row>
    <row r="9" spans="1:26" ht="40.9" customHeight="1" thickBot="1">
      <c r="A9" s="823">
        <v>331001</v>
      </c>
      <c r="B9" s="824" t="s">
        <v>913</v>
      </c>
      <c r="C9" s="825">
        <f>C8+C7</f>
        <v>819</v>
      </c>
      <c r="D9" s="590"/>
      <c r="E9" s="590">
        <f>E8+E7</f>
        <v>7016563.1168974508</v>
      </c>
      <c r="F9" s="590">
        <v>714.81015756302509</v>
      </c>
      <c r="G9" s="590">
        <f t="shared" si="19"/>
        <v>585429.51904411754</v>
      </c>
      <c r="H9" s="590">
        <f t="shared" si="20"/>
        <v>7601993</v>
      </c>
      <c r="I9" s="590">
        <f>'[1]October midyear adj'!K87</f>
        <v>846579.49279462709</v>
      </c>
      <c r="J9" s="590">
        <f>'[1]February midyear adj'!K87</f>
        <v>-38816.044619983237</v>
      </c>
      <c r="K9" s="590">
        <f>I9+J9</f>
        <v>807763.4481746438</v>
      </c>
      <c r="L9" s="590">
        <f t="shared" ref="L9:L14" si="25">H9+K9</f>
        <v>8409756.4481746443</v>
      </c>
      <c r="M9" s="590">
        <f t="shared" ref="M9" si="26">-L9*0.25%</f>
        <v>-21024.391120436612</v>
      </c>
      <c r="N9" s="590">
        <f t="shared" ref="N9" si="27">SUM(L9:M9)</f>
        <v>8388732.0570542067</v>
      </c>
      <c r="O9" s="826">
        <v>-10072</v>
      </c>
      <c r="P9" s="590">
        <f t="shared" si="17"/>
        <v>8378660.0570542067</v>
      </c>
      <c r="Q9" s="590">
        <f>VLOOKUP(A9,'Table 4 Level 4'!$B$84:$O$91,4,FALSE)</f>
        <v>420000</v>
      </c>
      <c r="R9" s="590">
        <f>'Table 4 Level 4'!O86</f>
        <v>1924</v>
      </c>
      <c r="S9" s="590">
        <f t="shared" si="23"/>
        <v>8800584.0570542067</v>
      </c>
      <c r="T9" s="590">
        <f>+'[2]Table 5A2- Legacy Type 2'!V9+(3*'[14]Table 5A2- Legacy Type 2'!V9)+(4*'[3]Table 5A2- Legacy Type 2'!V9)</f>
        <v>5267664</v>
      </c>
      <c r="U9" s="590">
        <f t="shared" ref="U9:U14" si="28">S9-T9</f>
        <v>3532920.0570542067</v>
      </c>
      <c r="V9" s="590">
        <f t="shared" ref="V9:V14" si="29">ROUND(U9/$V$18,0)</f>
        <v>883230</v>
      </c>
      <c r="W9" s="590">
        <f>VLOOKUP($A9,'Table 4 Level 4'!$B$84:$O$91,9,FALSE)</f>
        <v>66000</v>
      </c>
      <c r="X9" s="590">
        <f>VLOOKUP($A9,'Table 4 Level 4'!$B$84:$O$91,11,FALSE)</f>
        <v>0</v>
      </c>
      <c r="Y9" s="590">
        <f>VLOOKUP($A9,'Table 4 Level 4'!$B$84:$O$91,12,FALSE)</f>
        <v>0</v>
      </c>
      <c r="Z9" s="827">
        <f t="shared" ref="Z9:Z14" si="30">+S9+W9+X9+Y9</f>
        <v>8866584.0570542067</v>
      </c>
    </row>
    <row r="10" spans="1:26" ht="40.9" customHeight="1">
      <c r="A10" s="828">
        <v>333001</v>
      </c>
      <c r="B10" s="829" t="s">
        <v>914</v>
      </c>
      <c r="C10" s="830">
        <f>+'Table 8 Membership 2.1.14'!AA74</f>
        <v>716</v>
      </c>
      <c r="D10" s="543">
        <f>'Table 3 Levels 1&amp;2'!AL8+'[13]FY2014-15 Final'!L8</f>
        <v>7191.940566009911</v>
      </c>
      <c r="E10" s="831">
        <f t="shared" si="18"/>
        <v>5149429.4452630961</v>
      </c>
      <c r="F10" s="832">
        <v>536.12413544332276</v>
      </c>
      <c r="G10" s="832">
        <f t="shared" si="19"/>
        <v>383864.88097741909</v>
      </c>
      <c r="H10" s="831">
        <f t="shared" si="20"/>
        <v>5533294</v>
      </c>
      <c r="I10" s="543">
        <f>'[1]October midyear adj'!K88</f>
        <v>38640.323507266163</v>
      </c>
      <c r="J10" s="832">
        <f>'[1]February midyear adj'!K88</f>
        <v>-42504.355857992785</v>
      </c>
      <c r="K10" s="833">
        <f t="shared" ref="K10:K14" si="31">I10+J10</f>
        <v>-3864.0323507266221</v>
      </c>
      <c r="L10" s="831">
        <f t="shared" si="25"/>
        <v>5529429.9676492736</v>
      </c>
      <c r="M10" s="832">
        <f t="shared" si="21"/>
        <v>-13823.574919123184</v>
      </c>
      <c r="N10" s="831">
        <f t="shared" si="22"/>
        <v>5515606.3927301504</v>
      </c>
      <c r="O10" s="834">
        <v>0</v>
      </c>
      <c r="P10" s="831">
        <f t="shared" si="17"/>
        <v>5515606.3927301504</v>
      </c>
      <c r="Q10" s="542">
        <f>VLOOKUP(A10,'Table 4 Level 4'!$B$84:$O$91,4,FALSE)</f>
        <v>0</v>
      </c>
      <c r="R10" s="542">
        <f>'Table 4 Level 4'!O87</f>
        <v>8658</v>
      </c>
      <c r="S10" s="831">
        <f t="shared" si="23"/>
        <v>5524264.3927301504</v>
      </c>
      <c r="T10" s="542">
        <f>+'[2]Table 5A2- Legacy Type 2'!V10+(3*'[14]Table 5A2- Legacy Type 2'!V10)+(4*'[3]Table 5A2- Legacy Type 2'!V10)</f>
        <v>3684457</v>
      </c>
      <c r="U10" s="542">
        <f t="shared" si="28"/>
        <v>1839807.3927301504</v>
      </c>
      <c r="V10" s="831">
        <f t="shared" si="29"/>
        <v>459952</v>
      </c>
      <c r="W10" s="542">
        <f>VLOOKUP($A10,'Table 4 Level 4'!$B$84:$O$91,9,FALSE)</f>
        <v>0</v>
      </c>
      <c r="X10" s="542">
        <f>VLOOKUP($A10,'Table 4 Level 4'!$B$84:$O$91,11,FALSE)</f>
        <v>10000</v>
      </c>
      <c r="Y10" s="542">
        <f>VLOOKUP($A10,'Table 4 Level 4'!$B$84:$O$91,12,FALSE)</f>
        <v>0</v>
      </c>
      <c r="Z10" s="831">
        <f t="shared" si="30"/>
        <v>5534264.3927301504</v>
      </c>
    </row>
    <row r="11" spans="1:26" ht="40.9" customHeight="1">
      <c r="A11" s="798">
        <v>336001</v>
      </c>
      <c r="B11" s="811" t="s">
        <v>915</v>
      </c>
      <c r="C11" s="800">
        <f>+'Table 8 Membership 2.1.14'!AB74</f>
        <v>903</v>
      </c>
      <c r="D11" s="801">
        <f>'Table 3 Levels 1&amp;2'!AL45+'[13]FY2014-15 Final'!L45</f>
        <v>8528.6077751368684</v>
      </c>
      <c r="E11" s="802">
        <f t="shared" si="18"/>
        <v>7701332.8209485924</v>
      </c>
      <c r="F11" s="803">
        <v>527.02354414153262</v>
      </c>
      <c r="G11" s="803">
        <f t="shared" si="19"/>
        <v>475902.26035980397</v>
      </c>
      <c r="H11" s="802">
        <f t="shared" si="20"/>
        <v>8177235</v>
      </c>
      <c r="I11" s="801">
        <f>'[1]October midyear adj'!K89</f>
        <v>-642949.82366876653</v>
      </c>
      <c r="J11" s="804">
        <f>'[1]February midyear adj'!K89</f>
        <v>-18111.262638556804</v>
      </c>
      <c r="K11" s="805">
        <f t="shared" si="31"/>
        <v>-661061.0863073233</v>
      </c>
      <c r="L11" s="806">
        <f t="shared" si="25"/>
        <v>7516173.9136926765</v>
      </c>
      <c r="M11" s="803">
        <f t="shared" si="21"/>
        <v>-18790.434784231693</v>
      </c>
      <c r="N11" s="802">
        <f t="shared" si="22"/>
        <v>7497383.4789084448</v>
      </c>
      <c r="O11" s="807">
        <v>0</v>
      </c>
      <c r="P11" s="802">
        <f t="shared" si="17"/>
        <v>7497383.4789084448</v>
      </c>
      <c r="Q11" s="808">
        <f>VLOOKUP(A11,'Table 4 Level 4'!$B$84:$O$91,4,FALSE)</f>
        <v>0</v>
      </c>
      <c r="R11" s="808">
        <f>'Table 4 Level 4'!O88</f>
        <v>10660</v>
      </c>
      <c r="S11" s="809">
        <f t="shared" si="23"/>
        <v>7508043.4789084448</v>
      </c>
      <c r="T11" s="587">
        <f>+'[2]Table 5A2- Legacy Type 2'!V11+(3*'[14]Table 5A2- Legacy Type 2'!V11)+(4*'[3]Table 5A2- Legacy Type 2'!V11)</f>
        <v>5115673</v>
      </c>
      <c r="U11" s="587">
        <f t="shared" si="28"/>
        <v>2392370.4789084448</v>
      </c>
      <c r="V11" s="802">
        <f t="shared" si="29"/>
        <v>598093</v>
      </c>
      <c r="W11" s="810">
        <f>VLOOKUP($A11,'Table 4 Level 4'!$B$84:$O$91,9,FALSE)</f>
        <v>0</v>
      </c>
      <c r="X11" s="808">
        <f>VLOOKUP($A11,'Table 4 Level 4'!$B$84:$O$91,11,FALSE)</f>
        <v>10000</v>
      </c>
      <c r="Y11" s="808">
        <f>VLOOKUP($A11,'Table 4 Level 4'!$B$84:$O$91,12,FALSE)</f>
        <v>0</v>
      </c>
      <c r="Z11" s="809">
        <f t="shared" si="30"/>
        <v>7518043.4789084448</v>
      </c>
    </row>
    <row r="12" spans="1:26" ht="40.9" customHeight="1">
      <c r="A12" s="798">
        <v>337001</v>
      </c>
      <c r="B12" s="811" t="s">
        <v>916</v>
      </c>
      <c r="C12" s="800">
        <f>+'Table 8 Membership 2.1.14'!AC74</f>
        <v>936</v>
      </c>
      <c r="D12" s="803">
        <f>'Table 3 Levels 1&amp;2'!AL41+'[13]FY2014-15 Final'!L41</f>
        <v>13148.801755291688</v>
      </c>
      <c r="E12" s="802">
        <f t="shared" si="18"/>
        <v>12307278.44295302</v>
      </c>
      <c r="F12" s="803">
        <v>788.90242015830813</v>
      </c>
      <c r="G12" s="803">
        <f t="shared" si="19"/>
        <v>738412.66526817647</v>
      </c>
      <c r="H12" s="802">
        <f t="shared" si="20"/>
        <v>13045691</v>
      </c>
      <c r="I12" s="801">
        <f>'[1]October midyear adj'!K90</f>
        <v>-41813.112526349993</v>
      </c>
      <c r="J12" s="804">
        <f>'[1]February midyear adj'!K90</f>
        <v>0</v>
      </c>
      <c r="K12" s="805">
        <f t="shared" si="31"/>
        <v>-41813.112526349993</v>
      </c>
      <c r="L12" s="806">
        <f t="shared" si="25"/>
        <v>13003877.88747365</v>
      </c>
      <c r="M12" s="803">
        <f t="shared" si="21"/>
        <v>-32509.694718684128</v>
      </c>
      <c r="N12" s="802">
        <f t="shared" si="22"/>
        <v>12971368.192754965</v>
      </c>
      <c r="O12" s="807">
        <v>0</v>
      </c>
      <c r="P12" s="802">
        <f t="shared" si="17"/>
        <v>12971368.192754965</v>
      </c>
      <c r="Q12" s="808">
        <f>VLOOKUP(A12,'Table 4 Level 4'!$B$84:$O$91,4,FALSE)</f>
        <v>0</v>
      </c>
      <c r="R12" s="808">
        <f>'Table 4 Level 4'!O89</f>
        <v>5564</v>
      </c>
      <c r="S12" s="809">
        <f t="shared" si="23"/>
        <v>12976932.192754965</v>
      </c>
      <c r="T12" s="587">
        <f>+'[2]Table 5A2- Legacy Type 2'!V12+(3*'[14]Table 5A2- Legacy Type 2'!V12)+(4*'[3]Table 5A2- Legacy Type 2'!V12)</f>
        <v>8877649</v>
      </c>
      <c r="U12" s="587">
        <f t="shared" si="28"/>
        <v>4099283.1927549653</v>
      </c>
      <c r="V12" s="802">
        <f t="shared" si="29"/>
        <v>1024821</v>
      </c>
      <c r="W12" s="810">
        <f>VLOOKUP($A12,'Table 4 Level 4'!$B$84:$O$91,9,FALSE)</f>
        <v>0</v>
      </c>
      <c r="X12" s="808">
        <f>VLOOKUP($A12,'Table 4 Level 4'!$B$84:$O$91,11,FALSE)</f>
        <v>0</v>
      </c>
      <c r="Y12" s="808">
        <f>VLOOKUP($A12,'Table 4 Level 4'!$B$84:$O$91,12,FALSE)</f>
        <v>0</v>
      </c>
      <c r="Z12" s="809">
        <f t="shared" si="30"/>
        <v>12976932.192754965</v>
      </c>
    </row>
    <row r="13" spans="1:26" ht="40.9" customHeight="1">
      <c r="A13" s="798">
        <v>339001</v>
      </c>
      <c r="B13" s="799" t="s">
        <v>905</v>
      </c>
      <c r="C13" s="800">
        <f>+'Table 8 Membership 2.1.14'!AD74</f>
        <v>346</v>
      </c>
      <c r="D13" s="803">
        <f>'Table 3 Levels 1&amp;2'!AL39+'[13]FY2014-15 Final'!L39</f>
        <v>9071.7009974327848</v>
      </c>
      <c r="E13" s="802">
        <f t="shared" si="18"/>
        <v>3138808.5451117437</v>
      </c>
      <c r="F13" s="803">
        <v>705.7643831168831</v>
      </c>
      <c r="G13" s="803">
        <f t="shared" si="19"/>
        <v>244194.47655844156</v>
      </c>
      <c r="H13" s="802">
        <f t="shared" si="20"/>
        <v>3383003</v>
      </c>
      <c r="I13" s="801">
        <f>'[1]October midyear adj'!K91</f>
        <v>801752.16120507277</v>
      </c>
      <c r="J13" s="804">
        <f>'[1]February midyear adj'!K91</f>
        <v>-190660.5749207185</v>
      </c>
      <c r="K13" s="805">
        <f t="shared" si="31"/>
        <v>611091.58628435433</v>
      </c>
      <c r="L13" s="806">
        <f t="shared" si="25"/>
        <v>3994094.5862843543</v>
      </c>
      <c r="M13" s="803">
        <f t="shared" si="21"/>
        <v>-9985.2364657108865</v>
      </c>
      <c r="N13" s="802">
        <f t="shared" si="22"/>
        <v>3984109.3498186436</v>
      </c>
      <c r="O13" s="807">
        <v>0</v>
      </c>
      <c r="P13" s="802">
        <f t="shared" si="17"/>
        <v>3984109.3498186436</v>
      </c>
      <c r="Q13" s="808">
        <f>VLOOKUP(A13,'Table 4 Level 4'!$B$84:$O$91,4,FALSE)</f>
        <v>0</v>
      </c>
      <c r="R13" s="808">
        <f>'Table 4 Level 4'!O90</f>
        <v>2184</v>
      </c>
      <c r="S13" s="809">
        <f t="shared" si="23"/>
        <v>3986293.3498186436</v>
      </c>
      <c r="T13" s="587">
        <f>+'[2]Table 5A2- Legacy Type 2'!V13+(3*'[14]Table 5A2- Legacy Type 2'!V13)+(4*'[3]Table 5A2- Legacy Type 2'!V13)</f>
        <v>2641812</v>
      </c>
      <c r="U13" s="587">
        <f t="shared" si="28"/>
        <v>1344481.3498186436</v>
      </c>
      <c r="V13" s="802">
        <f t="shared" si="29"/>
        <v>336120</v>
      </c>
      <c r="W13" s="810">
        <f>VLOOKUP($A13,'Table 4 Level 4'!$B$84:$O$91,9,FALSE)</f>
        <v>0</v>
      </c>
      <c r="X13" s="808">
        <f>VLOOKUP($A13,'Table 4 Level 4'!$B$84:$O$91,11,FALSE)</f>
        <v>0</v>
      </c>
      <c r="Y13" s="808">
        <f>VLOOKUP($A13,'Table 4 Level 4'!$B$84:$O$91,12,FALSE)</f>
        <v>0</v>
      </c>
      <c r="Z13" s="809">
        <f t="shared" si="30"/>
        <v>3986293.3498186436</v>
      </c>
    </row>
    <row r="14" spans="1:26" ht="40.9" customHeight="1">
      <c r="A14" s="798">
        <v>340001</v>
      </c>
      <c r="B14" s="811" t="s">
        <v>917</v>
      </c>
      <c r="C14" s="835">
        <f>+'Table 8 Membership 2.1.14'!AE74</f>
        <v>110</v>
      </c>
      <c r="D14" s="810">
        <f>'Table 3 Levels 1&amp;2'!AL32+'[13]FY2014-15 Final'!L32</f>
        <v>8885.0123210173733</v>
      </c>
      <c r="E14" s="802">
        <f t="shared" si="18"/>
        <v>977351.35531191109</v>
      </c>
      <c r="F14" s="810">
        <v>659.21180998497243</v>
      </c>
      <c r="G14" s="810">
        <f t="shared" si="19"/>
        <v>72513.299098346964</v>
      </c>
      <c r="H14" s="802">
        <f t="shared" si="20"/>
        <v>1049865</v>
      </c>
      <c r="I14" s="810">
        <f>'[1]October midyear adj'!K92</f>
        <v>0</v>
      </c>
      <c r="J14" s="804">
        <f>'[1]February midyear adj'!K92</f>
        <v>-4772.1120655011728</v>
      </c>
      <c r="K14" s="805">
        <f t="shared" si="31"/>
        <v>-4772.1120655011728</v>
      </c>
      <c r="L14" s="806">
        <f t="shared" si="25"/>
        <v>1045092.8879344988</v>
      </c>
      <c r="M14" s="803">
        <f t="shared" si="21"/>
        <v>-2612.7322198362472</v>
      </c>
      <c r="N14" s="802">
        <f t="shared" si="22"/>
        <v>1042480.1557146626</v>
      </c>
      <c r="O14" s="807">
        <v>0</v>
      </c>
      <c r="P14" s="802">
        <f t="shared" si="17"/>
        <v>1042480.1557146626</v>
      </c>
      <c r="Q14" s="808">
        <f>VLOOKUP(A14,'Table 4 Level 4'!$B$84:$O$91,4,FALSE)</f>
        <v>0</v>
      </c>
      <c r="R14" s="808">
        <f>'Table 4 Level 4'!O91</f>
        <v>754</v>
      </c>
      <c r="S14" s="809">
        <f t="shared" si="23"/>
        <v>1043234.1557146626</v>
      </c>
      <c r="T14" s="587">
        <f>+'[2]Table 5A2- Legacy Type 2'!V14+(3*'[14]Table 5A2- Legacy Type 2'!V14)+(4*'[3]Table 5A2- Legacy Type 2'!V14)</f>
        <v>700344</v>
      </c>
      <c r="U14" s="587">
        <f t="shared" si="28"/>
        <v>342890.15571466263</v>
      </c>
      <c r="V14" s="802">
        <f t="shared" si="29"/>
        <v>85723</v>
      </c>
      <c r="W14" s="810">
        <f>VLOOKUP($A14,'Table 4 Level 4'!$B$84:$O$91,9,FALSE)</f>
        <v>0</v>
      </c>
      <c r="X14" s="808">
        <f>VLOOKUP($A14,'Table 4 Level 4'!$B$84:$O$91,11,FALSE)</f>
        <v>0</v>
      </c>
      <c r="Y14" s="808">
        <f>VLOOKUP($A14,'Table 4 Level 4'!$B$84:$O$91,12,FALSE)</f>
        <v>0</v>
      </c>
      <c r="Z14" s="809">
        <f t="shared" si="30"/>
        <v>1043234.1557146626</v>
      </c>
    </row>
    <row r="15" spans="1:26" ht="40.9" customHeight="1">
      <c r="A15" s="799"/>
      <c r="B15" s="799" t="s">
        <v>401</v>
      </c>
      <c r="C15" s="836">
        <f>C5+C6+C9+C10+C11+C12+C13+C14</f>
        <v>4518</v>
      </c>
      <c r="D15" s="837"/>
      <c r="E15" s="838">
        <f>E5+E6+E9+E10+E11+E12+E13+E14</f>
        <v>42683393.914923079</v>
      </c>
      <c r="F15" s="837"/>
      <c r="G15" s="837">
        <f t="shared" ref="G15:Z15" si="32">G5+G6+G9+G10+G11+G12+G13+G14</f>
        <v>2950333.6652083378</v>
      </c>
      <c r="H15" s="838">
        <f t="shared" si="32"/>
        <v>45633728</v>
      </c>
      <c r="I15" s="837">
        <f t="shared" si="32"/>
        <v>1356748.9698384563</v>
      </c>
      <c r="J15" s="837">
        <f t="shared" si="32"/>
        <v>-429722.70034942188</v>
      </c>
      <c r="K15" s="839">
        <f t="shared" si="32"/>
        <v>927026.26948903443</v>
      </c>
      <c r="L15" s="838">
        <f t="shared" si="32"/>
        <v>46560754.269489035</v>
      </c>
      <c r="M15" s="837">
        <f t="shared" si="32"/>
        <v>-116401.8856737226</v>
      </c>
      <c r="N15" s="838">
        <f t="shared" si="32"/>
        <v>46444352.383815311</v>
      </c>
      <c r="O15" s="837">
        <f t="shared" si="32"/>
        <v>-10072</v>
      </c>
      <c r="P15" s="838">
        <f t="shared" si="32"/>
        <v>46434280.383815311</v>
      </c>
      <c r="Q15" s="840">
        <f t="shared" si="32"/>
        <v>420000</v>
      </c>
      <c r="R15" s="840">
        <f t="shared" si="32"/>
        <v>31694</v>
      </c>
      <c r="S15" s="841">
        <f t="shared" si="32"/>
        <v>46885974.383815311</v>
      </c>
      <c r="T15" s="842">
        <f t="shared" si="32"/>
        <v>30837087</v>
      </c>
      <c r="U15" s="842">
        <f t="shared" si="32"/>
        <v>16048887.383815309</v>
      </c>
      <c r="V15" s="838">
        <f t="shared" si="32"/>
        <v>4012223</v>
      </c>
      <c r="W15" s="842">
        <f t="shared" si="32"/>
        <v>66000</v>
      </c>
      <c r="X15" s="840">
        <f t="shared" si="32"/>
        <v>20000</v>
      </c>
      <c r="Y15" s="840">
        <f t="shared" si="32"/>
        <v>0</v>
      </c>
      <c r="Z15" s="841">
        <f t="shared" si="32"/>
        <v>46971974.383815311</v>
      </c>
    </row>
    <row r="16" spans="1:26" ht="18.600000000000001" customHeight="1">
      <c r="A16" s="847"/>
      <c r="B16" s="843"/>
      <c r="C16" s="844"/>
      <c r="D16" s="845"/>
      <c r="E16" s="844"/>
      <c r="F16" s="844"/>
      <c r="G16" s="844"/>
      <c r="H16" s="846"/>
      <c r="I16" s="846"/>
      <c r="J16" s="846"/>
      <c r="K16" s="846"/>
      <c r="L16" s="846"/>
      <c r="M16" s="846"/>
      <c r="N16" s="846"/>
      <c r="O16" s="849"/>
      <c r="P16" s="848"/>
      <c r="Q16" s="848"/>
      <c r="R16" s="848"/>
      <c r="S16" s="848"/>
      <c r="T16" s="848"/>
      <c r="U16" s="848"/>
      <c r="V16" s="847"/>
    </row>
    <row r="17" spans="1:22" ht="18.600000000000001" customHeight="1">
      <c r="A17" s="847"/>
      <c r="B17" s="1405"/>
      <c r="C17" s="1405"/>
      <c r="D17" s="1405"/>
      <c r="E17" s="1405"/>
      <c r="F17" s="1405"/>
      <c r="G17" s="1405"/>
      <c r="H17" s="1405"/>
      <c r="I17" s="1405"/>
      <c r="J17" s="1405"/>
      <c r="K17" s="1405"/>
      <c r="L17" s="1405"/>
      <c r="M17" s="1405"/>
      <c r="N17" s="1405"/>
      <c r="O17" s="1405"/>
      <c r="P17" s="848"/>
      <c r="Q17" s="848"/>
      <c r="R17" s="848"/>
      <c r="S17" s="848"/>
      <c r="T17" s="848"/>
      <c r="U17" s="848"/>
      <c r="V17" s="847"/>
    </row>
    <row r="18" spans="1:22" ht="18.600000000000001" hidden="1" customHeight="1">
      <c r="B18" s="850"/>
      <c r="C18" s="844"/>
      <c r="D18" s="845"/>
      <c r="E18" s="844"/>
      <c r="F18" s="844"/>
      <c r="G18" s="844"/>
      <c r="H18" s="846"/>
      <c r="I18" s="846"/>
      <c r="J18" s="846"/>
      <c r="K18" s="846"/>
      <c r="L18" s="846"/>
      <c r="M18" s="846"/>
      <c r="N18" s="846"/>
      <c r="O18" s="849"/>
      <c r="P18" s="851"/>
      <c r="Q18" s="851"/>
      <c r="R18" s="851"/>
      <c r="S18" s="851"/>
      <c r="T18" s="851"/>
      <c r="U18" s="851" t="str">
        <f>'Table 2_State Distrib and Adjs'!$AK$77</f>
        <v>Monthly Pmts Remaining</v>
      </c>
      <c r="V18" s="784">
        <f>'Table 2_State Distrib and Adjs'!$AL$77</f>
        <v>4</v>
      </c>
    </row>
  </sheetData>
  <mergeCells count="8">
    <mergeCell ref="B17:O17"/>
    <mergeCell ref="W2:Y2"/>
    <mergeCell ref="A1:A3"/>
    <mergeCell ref="B1:B3"/>
    <mergeCell ref="Q1:Z1"/>
    <mergeCell ref="C1:P1"/>
    <mergeCell ref="Q2:R2"/>
    <mergeCell ref="I2:K2"/>
  </mergeCells>
  <printOptions horizontalCentered="1"/>
  <pageMargins left="0.5" right="0.5" top="0.7" bottom="0.5" header="0.25" footer="0.25"/>
  <pageSetup paperSize="5" scale="55" firstPageNumber="31" orientation="landscape" r:id="rId1"/>
  <headerFooter>
    <oddHeader>&amp;L&amp;"Arial,Bold"&amp;20Table 5A2:  FY2014-15 MFP Budget Letter (March 2015)
Allocation for Legacy Type 2 Charter Schools</oddHeader>
    <oddFooter>&amp;R&amp;P</oddFooter>
  </headerFooter>
  <colBreaks count="1" manualBreakCount="1">
    <brk id="16" max="2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Z109"/>
  <sheetViews>
    <sheetView view="pageBreakPreview" zoomScale="80" zoomScaleNormal="85" zoomScaleSheetLayoutView="80" workbookViewId="0">
      <pane xSplit="2" ySplit="5" topLeftCell="C6" activePane="bottomRight" state="frozen"/>
      <selection activeCell="C12" sqref="C12"/>
      <selection pane="topRight" activeCell="C12" sqref="C12"/>
      <selection pane="bottomLeft" activeCell="C12" sqref="C12"/>
      <selection pane="bottomRight" activeCell="C12" sqref="C12"/>
    </sheetView>
  </sheetViews>
  <sheetFormatPr defaultColWidth="12.5703125" defaultRowHeight="12.75"/>
  <cols>
    <col min="1" max="1" width="3.85546875" style="425" customWidth="1"/>
    <col min="2" max="2" width="39.5703125" style="425" customWidth="1"/>
    <col min="3" max="3" width="14.42578125" style="600" bestFit="1" customWidth="1"/>
    <col min="4" max="4" width="14.85546875" style="600" customWidth="1"/>
    <col min="5" max="5" width="14.28515625" style="600" customWidth="1"/>
    <col min="6" max="6" width="17.85546875" style="600" customWidth="1"/>
    <col min="7" max="7" width="13.28515625" style="600" customWidth="1"/>
    <col min="8" max="8" width="11.85546875" style="591" bestFit="1" customWidth="1"/>
    <col min="9" max="9" width="15.140625" style="591" customWidth="1"/>
    <col min="10" max="11" width="17" style="591" customWidth="1"/>
    <col min="12" max="12" width="17" style="600" customWidth="1"/>
    <col min="13" max="13" width="17.140625" style="601" customWidth="1"/>
    <col min="14" max="14" width="15.28515625" style="1" bestFit="1" customWidth="1"/>
    <col min="15" max="15" width="11.7109375" style="600" bestFit="1" customWidth="1"/>
    <col min="16" max="16" width="12.42578125" style="600" bestFit="1" customWidth="1"/>
    <col min="17" max="17" width="14.85546875" style="600" customWidth="1"/>
    <col min="18" max="18" width="14.42578125" style="600" bestFit="1" customWidth="1"/>
    <col min="19" max="19" width="16.85546875" style="600" customWidth="1"/>
    <col min="20" max="22" width="14.42578125" style="600" customWidth="1"/>
    <col min="23" max="23" width="14.5703125" style="600" customWidth="1"/>
    <col min="24" max="25" width="14.42578125" style="425" bestFit="1" customWidth="1"/>
    <col min="26" max="16384" width="12.5703125" style="425"/>
  </cols>
  <sheetData>
    <row r="1" spans="1:26" s="592" customFormat="1" ht="45.6" customHeight="1">
      <c r="A1" s="1424" t="s">
        <v>560</v>
      </c>
      <c r="B1" s="1425"/>
      <c r="C1" s="1417" t="s">
        <v>920</v>
      </c>
      <c r="D1" s="1417"/>
      <c r="E1" s="1417"/>
      <c r="F1" s="1417"/>
      <c r="G1" s="1417"/>
      <c r="H1" s="1417"/>
      <c r="I1" s="1417"/>
      <c r="J1" s="1417" t="s">
        <v>920</v>
      </c>
      <c r="K1" s="1417"/>
      <c r="L1" s="1417"/>
      <c r="M1" s="1417"/>
      <c r="N1" s="1431" t="s">
        <v>846</v>
      </c>
      <c r="O1" s="1432"/>
      <c r="P1" s="1432"/>
      <c r="Q1" s="1432"/>
      <c r="R1" s="1432"/>
      <c r="S1" s="1433"/>
      <c r="T1" s="1431" t="s">
        <v>846</v>
      </c>
      <c r="U1" s="1432"/>
      <c r="V1" s="1432"/>
      <c r="W1" s="1433"/>
      <c r="X1" s="1430" t="s">
        <v>852</v>
      </c>
      <c r="Y1" s="1430" t="s">
        <v>853</v>
      </c>
    </row>
    <row r="2" spans="1:26" ht="115.15" customHeight="1">
      <c r="A2" s="1426"/>
      <c r="B2" s="1427"/>
      <c r="C2" s="1416" t="s">
        <v>919</v>
      </c>
      <c r="D2" s="1416" t="s">
        <v>759</v>
      </c>
      <c r="E2" s="593" t="s">
        <v>222</v>
      </c>
      <c r="F2" s="593" t="s">
        <v>223</v>
      </c>
      <c r="G2" s="1416" t="s">
        <v>281</v>
      </c>
      <c r="H2" s="1428" t="s">
        <v>702</v>
      </c>
      <c r="I2" s="1416" t="s">
        <v>720</v>
      </c>
      <c r="J2" s="1416" t="s">
        <v>546</v>
      </c>
      <c r="K2" s="1416" t="s">
        <v>547</v>
      </c>
      <c r="L2" s="1416" t="s">
        <v>277</v>
      </c>
      <c r="M2" s="1416" t="s">
        <v>721</v>
      </c>
      <c r="N2" s="1429" t="s">
        <v>847</v>
      </c>
      <c r="O2" s="1429" t="s">
        <v>635</v>
      </c>
      <c r="P2" s="1429" t="s">
        <v>636</v>
      </c>
      <c r="Q2" s="1429" t="s">
        <v>848</v>
      </c>
      <c r="R2" s="1429" t="s">
        <v>849</v>
      </c>
      <c r="S2" s="1428" t="s">
        <v>702</v>
      </c>
      <c r="T2" s="1429" t="s">
        <v>850</v>
      </c>
      <c r="U2" s="1429" t="s">
        <v>653</v>
      </c>
      <c r="V2" s="1429" t="s">
        <v>547</v>
      </c>
      <c r="W2" s="1429" t="s">
        <v>851</v>
      </c>
      <c r="X2" s="1430"/>
      <c r="Y2" s="1430"/>
    </row>
    <row r="3" spans="1:26" ht="13.15" customHeight="1">
      <c r="A3" s="1219"/>
      <c r="B3" s="1220"/>
      <c r="C3" s="1416"/>
      <c r="D3" s="1416"/>
      <c r="E3" s="594">
        <f>$E$87</f>
        <v>0.31638418079096048</v>
      </c>
      <c r="F3" s="595">
        <f>$C$106</f>
        <v>1470.3473918621949</v>
      </c>
      <c r="G3" s="1416"/>
      <c r="H3" s="1428"/>
      <c r="I3" s="1416"/>
      <c r="J3" s="1416"/>
      <c r="K3" s="1416"/>
      <c r="L3" s="1416"/>
      <c r="M3" s="1416"/>
      <c r="N3" s="1429"/>
      <c r="O3" s="1429"/>
      <c r="P3" s="1429"/>
      <c r="Q3" s="1429"/>
      <c r="R3" s="1429"/>
      <c r="S3" s="1428"/>
      <c r="T3" s="1429"/>
      <c r="U3" s="1429"/>
      <c r="V3" s="1429"/>
      <c r="W3" s="1429"/>
      <c r="X3" s="1430"/>
      <c r="Y3" s="1430"/>
    </row>
    <row r="4" spans="1:26" s="596" customFormat="1" ht="14.25" customHeight="1">
      <c r="A4" s="149"/>
      <c r="B4" s="150"/>
      <c r="C4" s="151">
        <v>1</v>
      </c>
      <c r="D4" s="151">
        <f t="shared" ref="D4:I4" si="0">C4+1</f>
        <v>2</v>
      </c>
      <c r="E4" s="151">
        <f t="shared" si="0"/>
        <v>3</v>
      </c>
      <c r="F4" s="151">
        <f t="shared" si="0"/>
        <v>4</v>
      </c>
      <c r="G4" s="151">
        <f t="shared" si="0"/>
        <v>5</v>
      </c>
      <c r="H4" s="151">
        <f t="shared" si="0"/>
        <v>6</v>
      </c>
      <c r="I4" s="151">
        <f t="shared" si="0"/>
        <v>7</v>
      </c>
      <c r="J4" s="151">
        <f t="shared" ref="J4" si="1">I4+1</f>
        <v>8</v>
      </c>
      <c r="K4" s="151">
        <f t="shared" ref="K4" si="2">J4+1</f>
        <v>9</v>
      </c>
      <c r="L4" s="151">
        <f t="shared" ref="L4" si="3">K4+1</f>
        <v>10</v>
      </c>
      <c r="M4" s="151">
        <f t="shared" ref="M4" si="4">L4+1</f>
        <v>11</v>
      </c>
      <c r="N4" s="151">
        <f t="shared" ref="N4" si="5">M4+1</f>
        <v>12</v>
      </c>
      <c r="O4" s="151">
        <f t="shared" ref="O4" si="6">N4+1</f>
        <v>13</v>
      </c>
      <c r="P4" s="151">
        <f t="shared" ref="P4" si="7">O4+1</f>
        <v>14</v>
      </c>
      <c r="Q4" s="151">
        <f t="shared" ref="Q4" si="8">P4+1</f>
        <v>15</v>
      </c>
      <c r="R4" s="151">
        <f t="shared" ref="R4:S4" si="9">Q4+1</f>
        <v>16</v>
      </c>
      <c r="S4" s="151">
        <f t="shared" si="9"/>
        <v>17</v>
      </c>
      <c r="T4" s="151">
        <f t="shared" ref="T4" si="10">S4+1</f>
        <v>18</v>
      </c>
      <c r="U4" s="151">
        <f t="shared" ref="U4" si="11">T4+1</f>
        <v>19</v>
      </c>
      <c r="V4" s="151">
        <f t="shared" ref="V4" si="12">U4+1</f>
        <v>20</v>
      </c>
      <c r="W4" s="151">
        <f t="shared" ref="W4" si="13">V4+1</f>
        <v>21</v>
      </c>
      <c r="X4" s="151">
        <f t="shared" ref="X4:Y4" si="14">W4+1</f>
        <v>22</v>
      </c>
      <c r="Y4" s="151">
        <f t="shared" si="14"/>
        <v>23</v>
      </c>
    </row>
    <row r="5" spans="1:26" s="598" customFormat="1" ht="27" hidden="1" customHeight="1">
      <c r="A5" s="152"/>
      <c r="B5" s="153"/>
      <c r="C5" s="154" t="s">
        <v>255</v>
      </c>
      <c r="D5" s="155" t="s">
        <v>224</v>
      </c>
      <c r="E5" s="154" t="s">
        <v>225</v>
      </c>
      <c r="F5" s="154" t="s">
        <v>226</v>
      </c>
      <c r="G5" s="154" t="s">
        <v>227</v>
      </c>
      <c r="H5" s="154"/>
      <c r="I5" s="154" t="s">
        <v>433</v>
      </c>
      <c r="J5" s="154"/>
      <c r="K5" s="154" t="s">
        <v>434</v>
      </c>
      <c r="L5" s="154" t="s">
        <v>435</v>
      </c>
      <c r="M5" s="156"/>
      <c r="N5" s="157" t="s">
        <v>224</v>
      </c>
      <c r="O5" s="155" t="s">
        <v>228</v>
      </c>
      <c r="P5" s="155" t="s">
        <v>436</v>
      </c>
      <c r="Q5" s="155" t="s">
        <v>437</v>
      </c>
      <c r="R5" s="155" t="s">
        <v>438</v>
      </c>
      <c r="S5" s="155"/>
      <c r="T5" s="155" t="s">
        <v>439</v>
      </c>
      <c r="U5" s="155"/>
      <c r="V5" s="155" t="s">
        <v>440</v>
      </c>
      <c r="W5" s="155" t="s">
        <v>441</v>
      </c>
      <c r="X5" s="155" t="s">
        <v>442</v>
      </c>
      <c r="Y5" s="155" t="s">
        <v>443</v>
      </c>
      <c r="Z5" s="597"/>
    </row>
    <row r="6" spans="1:26" ht="16.149999999999999" customHeight="1">
      <c r="A6" s="184">
        <v>1</v>
      </c>
      <c r="B6" s="167" t="s">
        <v>73</v>
      </c>
      <c r="C6" s="168">
        <f>'[15]ADM_summary for MFP Use'!E7</f>
        <v>0.79679100000000003</v>
      </c>
      <c r="D6" s="169">
        <f>'Table 3 Levels 1&amp;2'!AP4</f>
        <v>5543.3384413349831</v>
      </c>
      <c r="E6" s="169">
        <f>D6*(1+$E$3)</f>
        <v>7297.1630329437912</v>
      </c>
      <c r="F6" s="169">
        <f>E6+$F$3</f>
        <v>8767.510424805987</v>
      </c>
      <c r="G6" s="376">
        <f>C6*F6</f>
        <v>6985.8733988915874</v>
      </c>
      <c r="H6" s="170">
        <v>0</v>
      </c>
      <c r="I6" s="380">
        <f t="shared" ref="I6:I37" si="15">SUM(G6:H6)</f>
        <v>6985.8733988915874</v>
      </c>
      <c r="J6" s="171">
        <f>8*'[2]Table 5A3_OJJ'!L6</f>
        <v>4656</v>
      </c>
      <c r="K6" s="171">
        <f>I6-J6</f>
        <v>2329.8733988915874</v>
      </c>
      <c r="L6" s="376">
        <f>ROUND(K6/$L$84,0)</f>
        <v>582</v>
      </c>
      <c r="M6" s="380">
        <f>I6</f>
        <v>6985.8733988915874</v>
      </c>
      <c r="N6" s="172">
        <f>'Table 3 Levels 1&amp;2'!AS4</f>
        <v>21497220.5</v>
      </c>
      <c r="O6" s="173">
        <f>'Table 3 Levels 1&amp;2'!C4</f>
        <v>9696</v>
      </c>
      <c r="P6" s="173">
        <f t="shared" ref="P6:P37" si="16">C6+O6</f>
        <v>9696.7967910000007</v>
      </c>
      <c r="Q6" s="174">
        <f>N6/P6</f>
        <v>2216.9403941673258</v>
      </c>
      <c r="R6" s="383">
        <f t="shared" ref="R6:R37" si="17">C6*Q6</f>
        <v>1766.4381536089777</v>
      </c>
      <c r="S6" s="175">
        <v>0</v>
      </c>
      <c r="T6" s="383">
        <f>R6+S6</f>
        <v>1766.4381536089777</v>
      </c>
      <c r="U6" s="174">
        <f>8*'[2]Table 5A3_OJJ'!W6</f>
        <v>1176</v>
      </c>
      <c r="V6" s="174">
        <f>T6-U6</f>
        <v>590.4381536089777</v>
      </c>
      <c r="W6" s="383">
        <f>ROUND(V6/$W$83,0)</f>
        <v>148</v>
      </c>
      <c r="X6" s="393">
        <f t="shared" ref="X6:X69" si="18">M6+T6</f>
        <v>8752.3115525005651</v>
      </c>
      <c r="Y6" s="394">
        <f t="shared" ref="Y6:Y37" si="19">L6+W6</f>
        <v>730</v>
      </c>
    </row>
    <row r="7" spans="1:26" ht="16.149999999999999" customHeight="1">
      <c r="A7" s="185">
        <v>2</v>
      </c>
      <c r="B7" s="176" t="s">
        <v>74</v>
      </c>
      <c r="C7" s="177">
        <f>'[15]ADM_summary for MFP Use'!E8</f>
        <v>0</v>
      </c>
      <c r="D7" s="178">
        <f>'Table 3 Levels 1&amp;2'!AP5</f>
        <v>7158.9466417386639</v>
      </c>
      <c r="E7" s="178">
        <f t="shared" ref="E7:E70" si="20">D7*(1+$E$3)</f>
        <v>9423.9241103113491</v>
      </c>
      <c r="F7" s="178">
        <f t="shared" ref="F7:F70" si="21">E7+$F$3</f>
        <v>10894.271502173544</v>
      </c>
      <c r="G7" s="377">
        <f t="shared" ref="G7:G70" si="22">C7*F7</f>
        <v>0</v>
      </c>
      <c r="H7" s="179">
        <v>0</v>
      </c>
      <c r="I7" s="377">
        <f t="shared" si="15"/>
        <v>0</v>
      </c>
      <c r="J7" s="178">
        <f>8*'[2]Table 5A3_OJJ'!L7</f>
        <v>0</v>
      </c>
      <c r="K7" s="178">
        <f t="shared" ref="K7:K70" si="23">I7-J7</f>
        <v>0</v>
      </c>
      <c r="L7" s="377">
        <f t="shared" ref="L7:L70" si="24">ROUND(K7/$L$84,0)</f>
        <v>0</v>
      </c>
      <c r="M7" s="377">
        <f t="shared" ref="M7:M70" si="25">I7</f>
        <v>0</v>
      </c>
      <c r="N7" s="180">
        <f>'Table 3 Levels 1&amp;2'!AS5</f>
        <v>11234991.24</v>
      </c>
      <c r="O7" s="181">
        <f>'Table 3 Levels 1&amp;2'!C5</f>
        <v>4087</v>
      </c>
      <c r="P7" s="181">
        <f t="shared" si="16"/>
        <v>4087</v>
      </c>
      <c r="Q7" s="182">
        <f t="shared" ref="Q7:Q70" si="26">N7/P7</f>
        <v>2748.9579740641057</v>
      </c>
      <c r="R7" s="384">
        <f t="shared" si="17"/>
        <v>0</v>
      </c>
      <c r="S7" s="183">
        <v>0</v>
      </c>
      <c r="T7" s="384">
        <f t="shared" ref="T7:T70" si="27">R7+S7</f>
        <v>0</v>
      </c>
      <c r="U7" s="182">
        <f>8*'[2]Table 5A3_OJJ'!W7</f>
        <v>0</v>
      </c>
      <c r="V7" s="182">
        <f t="shared" ref="V7:V70" si="28">T7-U7</f>
        <v>0</v>
      </c>
      <c r="W7" s="384">
        <f t="shared" ref="W7:W70" si="29">ROUND(V7/$W$83,0)</f>
        <v>0</v>
      </c>
      <c r="X7" s="395">
        <f t="shared" si="18"/>
        <v>0</v>
      </c>
      <c r="Y7" s="396">
        <f t="shared" si="19"/>
        <v>0</v>
      </c>
    </row>
    <row r="8" spans="1:26" ht="16.149999999999999" customHeight="1">
      <c r="A8" s="185">
        <v>3</v>
      </c>
      <c r="B8" s="176" t="s">
        <v>75</v>
      </c>
      <c r="C8" s="177">
        <f>'[15]ADM_summary for MFP Use'!E9</f>
        <v>1</v>
      </c>
      <c r="D8" s="178">
        <f>'Table 3 Levels 1&amp;2'!AP6</f>
        <v>4752.0262027396811</v>
      </c>
      <c r="E8" s="178">
        <f t="shared" si="20"/>
        <v>6255.4921199906539</v>
      </c>
      <c r="F8" s="178">
        <f t="shared" si="21"/>
        <v>7725.8395118528488</v>
      </c>
      <c r="G8" s="377">
        <f t="shared" si="22"/>
        <v>7725.8395118528488</v>
      </c>
      <c r="H8" s="179">
        <v>0</v>
      </c>
      <c r="I8" s="377">
        <f t="shared" si="15"/>
        <v>7725.8395118528488</v>
      </c>
      <c r="J8" s="178">
        <f>8*'[2]Table 5A3_OJJ'!L8</f>
        <v>5152</v>
      </c>
      <c r="K8" s="178">
        <f t="shared" si="23"/>
        <v>2573.8395118528488</v>
      </c>
      <c r="L8" s="377">
        <f t="shared" si="24"/>
        <v>643</v>
      </c>
      <c r="M8" s="377">
        <f t="shared" si="25"/>
        <v>7725.8395118528488</v>
      </c>
      <c r="N8" s="180">
        <f>'Table 3 Levels 1&amp;2'!AS6</f>
        <v>75937097.159999996</v>
      </c>
      <c r="O8" s="181">
        <f>'Table 3 Levels 1&amp;2'!C6</f>
        <v>20958</v>
      </c>
      <c r="P8" s="181">
        <f t="shared" si="16"/>
        <v>20959</v>
      </c>
      <c r="Q8" s="182">
        <f t="shared" si="26"/>
        <v>3623.1259678419769</v>
      </c>
      <c r="R8" s="384">
        <f t="shared" si="17"/>
        <v>3623.1259678419769</v>
      </c>
      <c r="S8" s="183">
        <v>0</v>
      </c>
      <c r="T8" s="384">
        <f t="shared" si="27"/>
        <v>3623.1259678419769</v>
      </c>
      <c r="U8" s="182">
        <f>8*'[2]Table 5A3_OJJ'!W8</f>
        <v>2416</v>
      </c>
      <c r="V8" s="182">
        <f t="shared" si="28"/>
        <v>1207.1259678419769</v>
      </c>
      <c r="W8" s="384">
        <f t="shared" si="29"/>
        <v>302</v>
      </c>
      <c r="X8" s="395">
        <f t="shared" si="18"/>
        <v>11348.965479694825</v>
      </c>
      <c r="Y8" s="396">
        <f t="shared" si="19"/>
        <v>945</v>
      </c>
    </row>
    <row r="9" spans="1:26" ht="16.149999999999999" customHeight="1">
      <c r="A9" s="185">
        <v>4</v>
      </c>
      <c r="B9" s="176" t="s">
        <v>76</v>
      </c>
      <c r="C9" s="177">
        <f>'[15]ADM_summary for MFP Use'!E10</f>
        <v>0.83422499999999999</v>
      </c>
      <c r="D9" s="178">
        <f>'Table 3 Levels 1&amp;2'!AP7</f>
        <v>6704.8181446878571</v>
      </c>
      <c r="E9" s="178">
        <f t="shared" si="20"/>
        <v>8826.1165407472927</v>
      </c>
      <c r="F9" s="178">
        <f t="shared" si="21"/>
        <v>10296.463932609488</v>
      </c>
      <c r="G9" s="377">
        <f t="shared" si="22"/>
        <v>8589.5676241811489</v>
      </c>
      <c r="H9" s="179">
        <v>0</v>
      </c>
      <c r="I9" s="377">
        <f t="shared" si="15"/>
        <v>8589.5676241811489</v>
      </c>
      <c r="J9" s="178">
        <f>8*'[2]Table 5A3_OJJ'!L9</f>
        <v>5688</v>
      </c>
      <c r="K9" s="178">
        <f t="shared" si="23"/>
        <v>2901.5676241811489</v>
      </c>
      <c r="L9" s="377">
        <f t="shared" si="24"/>
        <v>725</v>
      </c>
      <c r="M9" s="377">
        <f t="shared" si="25"/>
        <v>8589.5676241811489</v>
      </c>
      <c r="N9" s="180">
        <f>'Table 3 Levels 1&amp;2'!AS7</f>
        <v>11538149.08</v>
      </c>
      <c r="O9" s="181">
        <f>'Table 3 Levels 1&amp;2'!C7</f>
        <v>3569</v>
      </c>
      <c r="P9" s="181">
        <f t="shared" si="16"/>
        <v>3569.8342250000001</v>
      </c>
      <c r="Q9" s="182">
        <f t="shared" si="26"/>
        <v>3232.1246177754933</v>
      </c>
      <c r="R9" s="384">
        <f t="shared" si="17"/>
        <v>2696.3191592637609</v>
      </c>
      <c r="S9" s="183">
        <v>0</v>
      </c>
      <c r="T9" s="384">
        <f t="shared" si="27"/>
        <v>2696.3191592637609</v>
      </c>
      <c r="U9" s="182">
        <f>8*'[2]Table 5A3_OJJ'!W9</f>
        <v>1784</v>
      </c>
      <c r="V9" s="182">
        <f t="shared" si="28"/>
        <v>912.31915926376087</v>
      </c>
      <c r="W9" s="384">
        <f t="shared" si="29"/>
        <v>228</v>
      </c>
      <c r="X9" s="395">
        <f t="shared" si="18"/>
        <v>11285.88678344491</v>
      </c>
      <c r="Y9" s="396">
        <f t="shared" si="19"/>
        <v>953</v>
      </c>
    </row>
    <row r="10" spans="1:26" ht="16.149999999999999" customHeight="1">
      <c r="A10" s="158">
        <v>5</v>
      </c>
      <c r="B10" s="159" t="s">
        <v>77</v>
      </c>
      <c r="C10" s="160">
        <f>'[15]ADM_summary for MFP Use'!E11</f>
        <v>1.1016049999999999</v>
      </c>
      <c r="D10" s="161">
        <f>'Table 3 Levels 1&amp;2'!AP8</f>
        <v>5824.8505660099117</v>
      </c>
      <c r="E10" s="161">
        <f t="shared" si="20"/>
        <v>7667.7411405667199</v>
      </c>
      <c r="F10" s="161">
        <f t="shared" si="21"/>
        <v>9138.0885324289156</v>
      </c>
      <c r="G10" s="378">
        <f t="shared" si="22"/>
        <v>10066.564017766355</v>
      </c>
      <c r="H10" s="162">
        <v>0</v>
      </c>
      <c r="I10" s="378">
        <f t="shared" si="15"/>
        <v>10066.564017766355</v>
      </c>
      <c r="J10" s="161">
        <f>8*'[2]Table 5A3_OJJ'!L10</f>
        <v>6608</v>
      </c>
      <c r="K10" s="161">
        <f t="shared" si="23"/>
        <v>3458.5640177663554</v>
      </c>
      <c r="L10" s="378">
        <f t="shared" si="24"/>
        <v>865</v>
      </c>
      <c r="M10" s="378">
        <f t="shared" si="25"/>
        <v>10066.564017766355</v>
      </c>
      <c r="N10" s="163">
        <f>'Table 3 Levels 1&amp;2'!AS8</f>
        <v>11635193</v>
      </c>
      <c r="O10" s="164">
        <f>'Table 3 Levels 1&amp;2'!C8</f>
        <v>5650</v>
      </c>
      <c r="P10" s="164">
        <f t="shared" si="16"/>
        <v>5651.1016049999998</v>
      </c>
      <c r="Q10" s="165">
        <f t="shared" si="26"/>
        <v>2058.9247572022732</v>
      </c>
      <c r="R10" s="385">
        <f t="shared" si="17"/>
        <v>2268.1218071578101</v>
      </c>
      <c r="S10" s="166">
        <v>0</v>
      </c>
      <c r="T10" s="385">
        <f t="shared" si="27"/>
        <v>2268.1218071578101</v>
      </c>
      <c r="U10" s="165">
        <f>8*'[2]Table 5A3_OJJ'!W10</f>
        <v>1488</v>
      </c>
      <c r="V10" s="165">
        <f t="shared" si="28"/>
        <v>780.12180715781005</v>
      </c>
      <c r="W10" s="385">
        <f t="shared" si="29"/>
        <v>195</v>
      </c>
      <c r="X10" s="397">
        <f t="shared" si="18"/>
        <v>12334.685824924165</v>
      </c>
      <c r="Y10" s="398">
        <f t="shared" si="19"/>
        <v>1060</v>
      </c>
    </row>
    <row r="11" spans="1:26" ht="16.149999999999999" customHeight="1">
      <c r="A11" s="184">
        <v>6</v>
      </c>
      <c r="B11" s="167" t="s">
        <v>78</v>
      </c>
      <c r="C11" s="168">
        <f>'[15]ADM_summary for MFP Use'!E12</f>
        <v>2.8074870000000001</v>
      </c>
      <c r="D11" s="169">
        <f>'Table 3 Levels 1&amp;2'!AP9</f>
        <v>5923.9886124955865</v>
      </c>
      <c r="E11" s="169">
        <f t="shared" si="20"/>
        <v>7798.2448966749807</v>
      </c>
      <c r="F11" s="169">
        <f t="shared" si="21"/>
        <v>9268.5922885371765</v>
      </c>
      <c r="G11" s="376">
        <f t="shared" si="22"/>
        <v>26021.452358368373</v>
      </c>
      <c r="H11" s="170">
        <v>0</v>
      </c>
      <c r="I11" s="380">
        <f t="shared" si="15"/>
        <v>26021.452358368373</v>
      </c>
      <c r="J11" s="171">
        <f>8*'[2]Table 5A3_OJJ'!L11</f>
        <v>13848</v>
      </c>
      <c r="K11" s="171">
        <f t="shared" si="23"/>
        <v>12173.452358368373</v>
      </c>
      <c r="L11" s="376">
        <f t="shared" si="24"/>
        <v>3043</v>
      </c>
      <c r="M11" s="380">
        <f t="shared" si="25"/>
        <v>26021.452358368373</v>
      </c>
      <c r="N11" s="172">
        <f>'Table 3 Levels 1&amp;2'!AS9</f>
        <v>19558762.5</v>
      </c>
      <c r="O11" s="173">
        <f>'Table 3 Levels 1&amp;2'!C9</f>
        <v>5892</v>
      </c>
      <c r="P11" s="173">
        <f t="shared" si="16"/>
        <v>5894.807487</v>
      </c>
      <c r="Q11" s="174">
        <f t="shared" si="26"/>
        <v>3317.9645888578279</v>
      </c>
      <c r="R11" s="383">
        <f t="shared" si="17"/>
        <v>9315.1424496786967</v>
      </c>
      <c r="S11" s="175">
        <v>0</v>
      </c>
      <c r="T11" s="383">
        <f t="shared" si="27"/>
        <v>9315.1424496786967</v>
      </c>
      <c r="U11" s="174">
        <f>8*'[2]Table 5A3_OJJ'!W11</f>
        <v>4960</v>
      </c>
      <c r="V11" s="174">
        <f t="shared" si="28"/>
        <v>4355.1424496786967</v>
      </c>
      <c r="W11" s="383">
        <f t="shared" si="29"/>
        <v>1089</v>
      </c>
      <c r="X11" s="393">
        <f t="shared" si="18"/>
        <v>35336.59480804707</v>
      </c>
      <c r="Y11" s="394">
        <f t="shared" si="19"/>
        <v>4132</v>
      </c>
    </row>
    <row r="12" spans="1:26" ht="16.149999999999999" customHeight="1">
      <c r="A12" s="185">
        <v>7</v>
      </c>
      <c r="B12" s="176" t="s">
        <v>79</v>
      </c>
      <c r="C12" s="177">
        <f>'[15]ADM_summary for MFP Use'!E13</f>
        <v>0.459893</v>
      </c>
      <c r="D12" s="178">
        <f>'Table 3 Levels 1&amp;2'!AP10</f>
        <v>2999.923196347032</v>
      </c>
      <c r="E12" s="178">
        <f t="shared" si="20"/>
        <v>3949.0514392590871</v>
      </c>
      <c r="F12" s="178">
        <f t="shared" si="21"/>
        <v>5419.3988311212815</v>
      </c>
      <c r="G12" s="377">
        <f t="shared" si="22"/>
        <v>2492.3435866408595</v>
      </c>
      <c r="H12" s="179">
        <v>0</v>
      </c>
      <c r="I12" s="377">
        <f t="shared" si="15"/>
        <v>2492.3435866408595</v>
      </c>
      <c r="J12" s="178">
        <f>8*'[2]Table 5A3_OJJ'!L12</f>
        <v>1664</v>
      </c>
      <c r="K12" s="178">
        <f t="shared" si="23"/>
        <v>828.34358664085948</v>
      </c>
      <c r="L12" s="377">
        <f t="shared" si="24"/>
        <v>207</v>
      </c>
      <c r="M12" s="377">
        <f t="shared" si="25"/>
        <v>2492.3435866408595</v>
      </c>
      <c r="N12" s="180">
        <f>'Table 3 Levels 1&amp;2'!AS10</f>
        <v>12572839.199999999</v>
      </c>
      <c r="O12" s="181">
        <f>'Table 3 Levels 1&amp;2'!C10</f>
        <v>2190</v>
      </c>
      <c r="P12" s="181">
        <f t="shared" si="16"/>
        <v>2190.4598930000002</v>
      </c>
      <c r="Q12" s="182">
        <f t="shared" si="26"/>
        <v>5739.8171225041451</v>
      </c>
      <c r="R12" s="384">
        <f t="shared" si="17"/>
        <v>2639.701715919799</v>
      </c>
      <c r="S12" s="183">
        <v>0</v>
      </c>
      <c r="T12" s="384">
        <f t="shared" si="27"/>
        <v>2639.701715919799</v>
      </c>
      <c r="U12" s="182">
        <f>8*'[2]Table 5A3_OJJ'!W12</f>
        <v>1760</v>
      </c>
      <c r="V12" s="182">
        <f t="shared" si="28"/>
        <v>879.70171591979897</v>
      </c>
      <c r="W12" s="384">
        <f t="shared" si="29"/>
        <v>220</v>
      </c>
      <c r="X12" s="395">
        <f t="shared" si="18"/>
        <v>5132.0453025606585</v>
      </c>
      <c r="Y12" s="396">
        <f t="shared" si="19"/>
        <v>427</v>
      </c>
    </row>
    <row r="13" spans="1:26" ht="16.149999999999999" customHeight="1">
      <c r="A13" s="185">
        <v>8</v>
      </c>
      <c r="B13" s="176" t="s">
        <v>80</v>
      </c>
      <c r="C13" s="177">
        <f>'[15]ADM_summary for MFP Use'!E14</f>
        <v>7.8869030000000002</v>
      </c>
      <c r="D13" s="178">
        <f>'Table 3 Levels 1&amp;2'!AP11</f>
        <v>5395.5624595588542</v>
      </c>
      <c r="E13" s="178">
        <f t="shared" si="20"/>
        <v>7102.6330682328417</v>
      </c>
      <c r="F13" s="178">
        <f t="shared" si="21"/>
        <v>8572.9804600950374</v>
      </c>
      <c r="G13" s="377">
        <f t="shared" si="22"/>
        <v>67614.26530966493</v>
      </c>
      <c r="H13" s="179">
        <v>0</v>
      </c>
      <c r="I13" s="377">
        <f t="shared" si="15"/>
        <v>67614.26530966493</v>
      </c>
      <c r="J13" s="178">
        <f>8*'[2]Table 5A3_OJJ'!L13</f>
        <v>43760</v>
      </c>
      <c r="K13" s="178">
        <f t="shared" si="23"/>
        <v>23854.26530966493</v>
      </c>
      <c r="L13" s="377">
        <f t="shared" si="24"/>
        <v>5964</v>
      </c>
      <c r="M13" s="377">
        <f t="shared" si="25"/>
        <v>67614.26530966493</v>
      </c>
      <c r="N13" s="180">
        <f>'Table 3 Levels 1&amp;2'!AS11</f>
        <v>73238867</v>
      </c>
      <c r="O13" s="181">
        <f>'Table 3 Levels 1&amp;2'!C11</f>
        <v>21562</v>
      </c>
      <c r="P13" s="181">
        <f t="shared" si="16"/>
        <v>21569.886902999999</v>
      </c>
      <c r="Q13" s="182">
        <f t="shared" si="26"/>
        <v>3395.4219291624445</v>
      </c>
      <c r="R13" s="384">
        <f t="shared" si="17"/>
        <v>26779.363399377071</v>
      </c>
      <c r="S13" s="183">
        <v>0</v>
      </c>
      <c r="T13" s="384">
        <f t="shared" si="27"/>
        <v>26779.363399377071</v>
      </c>
      <c r="U13" s="182">
        <f>8*'[2]Table 5A3_OJJ'!W13</f>
        <v>17336</v>
      </c>
      <c r="V13" s="182">
        <f t="shared" si="28"/>
        <v>9443.3633993770709</v>
      </c>
      <c r="W13" s="384">
        <f t="shared" si="29"/>
        <v>2361</v>
      </c>
      <c r="X13" s="395">
        <f t="shared" si="18"/>
        <v>94393.628709042008</v>
      </c>
      <c r="Y13" s="396">
        <f t="shared" si="19"/>
        <v>8325</v>
      </c>
    </row>
    <row r="14" spans="1:26" ht="16.149999999999999" customHeight="1">
      <c r="A14" s="185">
        <v>9</v>
      </c>
      <c r="B14" s="176" t="s">
        <v>81</v>
      </c>
      <c r="C14" s="177">
        <f>'[15]ADM_summary for MFP Use'!E15</f>
        <v>39.742063999999999</v>
      </c>
      <c r="D14" s="178">
        <f>'Table 3 Levels 1&amp;2'!AP12</f>
        <v>5377.221507204501</v>
      </c>
      <c r="E14" s="178">
        <f t="shared" si="20"/>
        <v>7078.4893286929309</v>
      </c>
      <c r="F14" s="178">
        <f t="shared" si="21"/>
        <v>8548.8367205551258</v>
      </c>
      <c r="G14" s="377">
        <f t="shared" si="22"/>
        <v>339748.41607385193</v>
      </c>
      <c r="H14" s="179">
        <v>0</v>
      </c>
      <c r="I14" s="377">
        <f t="shared" si="15"/>
        <v>339748.41607385193</v>
      </c>
      <c r="J14" s="178">
        <f>8*'[2]Table 5A3_OJJ'!L14</f>
        <v>225992</v>
      </c>
      <c r="K14" s="178">
        <f t="shared" si="23"/>
        <v>113756.41607385193</v>
      </c>
      <c r="L14" s="377">
        <f t="shared" si="24"/>
        <v>28439</v>
      </c>
      <c r="M14" s="377">
        <f t="shared" si="25"/>
        <v>339748.41607385193</v>
      </c>
      <c r="N14" s="180">
        <f>'Table 3 Levels 1&amp;2'!AS12</f>
        <v>140907174.86000001</v>
      </c>
      <c r="O14" s="181">
        <f>'Table 3 Levels 1&amp;2'!C12</f>
        <v>40615</v>
      </c>
      <c r="P14" s="181">
        <f t="shared" si="16"/>
        <v>40654.742063999998</v>
      </c>
      <c r="Q14" s="182">
        <f t="shared" si="26"/>
        <v>3465.9468417775083</v>
      </c>
      <c r="R14" s="384">
        <f t="shared" si="17"/>
        <v>137743.88120651961</v>
      </c>
      <c r="S14" s="183">
        <v>0</v>
      </c>
      <c r="T14" s="384">
        <f t="shared" si="27"/>
        <v>137743.88120651961</v>
      </c>
      <c r="U14" s="182">
        <f>8*'[2]Table 5A3_OJJ'!W14</f>
        <v>91624</v>
      </c>
      <c r="V14" s="182">
        <f t="shared" si="28"/>
        <v>46119.881206519611</v>
      </c>
      <c r="W14" s="384">
        <f t="shared" si="29"/>
        <v>11530</v>
      </c>
      <c r="X14" s="395">
        <f t="shared" si="18"/>
        <v>477492.29728037154</v>
      </c>
      <c r="Y14" s="396">
        <f t="shared" si="19"/>
        <v>39969</v>
      </c>
    </row>
    <row r="15" spans="1:26" ht="16.149999999999999" customHeight="1">
      <c r="A15" s="158">
        <v>10</v>
      </c>
      <c r="B15" s="159" t="s">
        <v>82</v>
      </c>
      <c r="C15" s="160">
        <f>'[15]ADM_summary for MFP Use'!E16</f>
        <v>9.2508210000000002</v>
      </c>
      <c r="D15" s="161">
        <f>'Table 3 Levels 1&amp;2'!AP13</f>
        <v>4992.4147339184719</v>
      </c>
      <c r="E15" s="161">
        <f t="shared" si="20"/>
        <v>6571.9357796779886</v>
      </c>
      <c r="F15" s="161">
        <f t="shared" si="21"/>
        <v>8042.2831715401835</v>
      </c>
      <c r="G15" s="378">
        <f t="shared" si="22"/>
        <v>74397.722051230536</v>
      </c>
      <c r="H15" s="162">
        <v>0</v>
      </c>
      <c r="I15" s="378">
        <f t="shared" si="15"/>
        <v>74397.722051230536</v>
      </c>
      <c r="J15" s="161">
        <f>8*'[2]Table 5A3_OJJ'!L15</f>
        <v>49512</v>
      </c>
      <c r="K15" s="161">
        <f t="shared" si="23"/>
        <v>24885.722051230536</v>
      </c>
      <c r="L15" s="378">
        <f t="shared" si="24"/>
        <v>6221</v>
      </c>
      <c r="M15" s="378">
        <f t="shared" si="25"/>
        <v>74397.722051230536</v>
      </c>
      <c r="N15" s="163">
        <f>'Table 3 Levels 1&amp;2'!AS13</f>
        <v>127324516.5</v>
      </c>
      <c r="O15" s="164">
        <f>'Table 3 Levels 1&amp;2'!C13</f>
        <v>32357</v>
      </c>
      <c r="P15" s="164">
        <f t="shared" si="16"/>
        <v>32366.250821000001</v>
      </c>
      <c r="Q15" s="165">
        <f t="shared" si="26"/>
        <v>3933.8667059141985</v>
      </c>
      <c r="R15" s="385">
        <f t="shared" si="17"/>
        <v>36391.496734271896</v>
      </c>
      <c r="S15" s="166">
        <v>0</v>
      </c>
      <c r="T15" s="385">
        <f t="shared" si="27"/>
        <v>36391.496734271896</v>
      </c>
      <c r="U15" s="165">
        <f>8*'[2]Table 5A3_OJJ'!W15</f>
        <v>24216</v>
      </c>
      <c r="V15" s="165">
        <f t="shared" si="28"/>
        <v>12175.496734271896</v>
      </c>
      <c r="W15" s="385">
        <f t="shared" si="29"/>
        <v>3044</v>
      </c>
      <c r="X15" s="397">
        <f t="shared" si="18"/>
        <v>110789.21878550242</v>
      </c>
      <c r="Y15" s="398">
        <f t="shared" si="19"/>
        <v>9265</v>
      </c>
    </row>
    <row r="16" spans="1:26" ht="16.149999999999999" customHeight="1">
      <c r="A16" s="184">
        <v>11</v>
      </c>
      <c r="B16" s="167" t="s">
        <v>83</v>
      </c>
      <c r="C16" s="168">
        <f>'[15]ADM_summary for MFP Use'!E17</f>
        <v>0</v>
      </c>
      <c r="D16" s="169">
        <f>'Table 3 Levels 1&amp;2'!AP14</f>
        <v>7805.0872236353343</v>
      </c>
      <c r="E16" s="169">
        <f t="shared" si="20"/>
        <v>10274.493350887191</v>
      </c>
      <c r="F16" s="169">
        <f t="shared" si="21"/>
        <v>11744.840742749386</v>
      </c>
      <c r="G16" s="376">
        <f t="shared" si="22"/>
        <v>0</v>
      </c>
      <c r="H16" s="170">
        <v>0</v>
      </c>
      <c r="I16" s="380">
        <f t="shared" si="15"/>
        <v>0</v>
      </c>
      <c r="J16" s="171">
        <f>8*'[2]Table 5A3_OJJ'!L16</f>
        <v>0</v>
      </c>
      <c r="K16" s="171">
        <f t="shared" si="23"/>
        <v>0</v>
      </c>
      <c r="L16" s="376">
        <f t="shared" si="24"/>
        <v>0</v>
      </c>
      <c r="M16" s="380">
        <f t="shared" si="25"/>
        <v>0</v>
      </c>
      <c r="N16" s="172">
        <f>'Table 3 Levels 1&amp;2'!AS14</f>
        <v>5345201.4800000004</v>
      </c>
      <c r="O16" s="173">
        <f>'Table 3 Levels 1&amp;2'!C14</f>
        <v>1569</v>
      </c>
      <c r="P16" s="173">
        <f t="shared" si="16"/>
        <v>1569</v>
      </c>
      <c r="Q16" s="174">
        <f t="shared" si="26"/>
        <v>3406.7568387507968</v>
      </c>
      <c r="R16" s="383">
        <f t="shared" si="17"/>
        <v>0</v>
      </c>
      <c r="S16" s="175">
        <v>0</v>
      </c>
      <c r="T16" s="383">
        <f t="shared" si="27"/>
        <v>0</v>
      </c>
      <c r="U16" s="174">
        <f>8*'[2]Table 5A3_OJJ'!W16</f>
        <v>0</v>
      </c>
      <c r="V16" s="174">
        <f t="shared" si="28"/>
        <v>0</v>
      </c>
      <c r="W16" s="383">
        <f t="shared" si="29"/>
        <v>0</v>
      </c>
      <c r="X16" s="393">
        <f t="shared" si="18"/>
        <v>0</v>
      </c>
      <c r="Y16" s="394">
        <f t="shared" si="19"/>
        <v>0</v>
      </c>
    </row>
    <row r="17" spans="1:25" ht="16.149999999999999" customHeight="1">
      <c r="A17" s="185">
        <v>12</v>
      </c>
      <c r="B17" s="176" t="s">
        <v>84</v>
      </c>
      <c r="C17" s="177">
        <f>'[15]ADM_summary for MFP Use'!E18</f>
        <v>0</v>
      </c>
      <c r="D17" s="178">
        <f>'Table 3 Levels 1&amp;2'!AP15</f>
        <v>2729.9140983606558</v>
      </c>
      <c r="E17" s="178">
        <f t="shared" si="20"/>
        <v>3593.6157340001851</v>
      </c>
      <c r="F17" s="178">
        <f t="shared" si="21"/>
        <v>5063.9631258623795</v>
      </c>
      <c r="G17" s="377">
        <f t="shared" si="22"/>
        <v>0</v>
      </c>
      <c r="H17" s="179">
        <v>0</v>
      </c>
      <c r="I17" s="377">
        <f t="shared" si="15"/>
        <v>0</v>
      </c>
      <c r="J17" s="178">
        <f>8*'[2]Table 5A3_OJJ'!L17</f>
        <v>0</v>
      </c>
      <c r="K17" s="178">
        <f t="shared" si="23"/>
        <v>0</v>
      </c>
      <c r="L17" s="377">
        <f t="shared" si="24"/>
        <v>0</v>
      </c>
      <c r="M17" s="377">
        <f t="shared" si="25"/>
        <v>0</v>
      </c>
      <c r="N17" s="180">
        <f>'Table 3 Levels 1&amp;2'!AS15</f>
        <v>7907034.3799999999</v>
      </c>
      <c r="O17" s="181">
        <f>'Table 3 Levels 1&amp;2'!C15</f>
        <v>1220</v>
      </c>
      <c r="P17" s="181">
        <f t="shared" si="16"/>
        <v>1220</v>
      </c>
      <c r="Q17" s="182">
        <f t="shared" si="26"/>
        <v>6481.1757213114752</v>
      </c>
      <c r="R17" s="384">
        <f t="shared" si="17"/>
        <v>0</v>
      </c>
      <c r="S17" s="183">
        <v>0</v>
      </c>
      <c r="T17" s="384">
        <f t="shared" si="27"/>
        <v>0</v>
      </c>
      <c r="U17" s="182">
        <f>8*'[2]Table 5A3_OJJ'!W17</f>
        <v>0</v>
      </c>
      <c r="V17" s="182">
        <f t="shared" si="28"/>
        <v>0</v>
      </c>
      <c r="W17" s="384">
        <f t="shared" si="29"/>
        <v>0</v>
      </c>
      <c r="X17" s="395">
        <f t="shared" si="18"/>
        <v>0</v>
      </c>
      <c r="Y17" s="396">
        <f t="shared" si="19"/>
        <v>0</v>
      </c>
    </row>
    <row r="18" spans="1:25" ht="16.149999999999999" customHeight="1">
      <c r="A18" s="185">
        <v>13</v>
      </c>
      <c r="B18" s="176" t="s">
        <v>85</v>
      </c>
      <c r="C18" s="177">
        <f>'[15]ADM_summary for MFP Use'!E19</f>
        <v>0</v>
      </c>
      <c r="D18" s="178">
        <f>'Table 3 Levels 1&amp;2'!AP16</f>
        <v>7183.0597758332206</v>
      </c>
      <c r="E18" s="178">
        <f t="shared" si="20"/>
        <v>9455.6662585827144</v>
      </c>
      <c r="F18" s="178">
        <f t="shared" si="21"/>
        <v>10926.013650444909</v>
      </c>
      <c r="G18" s="377">
        <f t="shared" si="22"/>
        <v>0</v>
      </c>
      <c r="H18" s="179">
        <v>0</v>
      </c>
      <c r="I18" s="377">
        <f t="shared" si="15"/>
        <v>0</v>
      </c>
      <c r="J18" s="178">
        <f>8*'[2]Table 5A3_OJJ'!L18</f>
        <v>0</v>
      </c>
      <c r="K18" s="178">
        <f t="shared" si="23"/>
        <v>0</v>
      </c>
      <c r="L18" s="377">
        <f t="shared" si="24"/>
        <v>0</v>
      </c>
      <c r="M18" s="377">
        <f t="shared" si="25"/>
        <v>0</v>
      </c>
      <c r="N18" s="180">
        <f>'Table 3 Levels 1&amp;2'!AS16</f>
        <v>4070775</v>
      </c>
      <c r="O18" s="181">
        <f>'Table 3 Levels 1&amp;2'!C16</f>
        <v>1487</v>
      </c>
      <c r="P18" s="181">
        <f t="shared" si="16"/>
        <v>1487</v>
      </c>
      <c r="Q18" s="182">
        <f t="shared" si="26"/>
        <v>2737.5756556825822</v>
      </c>
      <c r="R18" s="384">
        <f t="shared" si="17"/>
        <v>0</v>
      </c>
      <c r="S18" s="183">
        <v>0</v>
      </c>
      <c r="T18" s="384">
        <f t="shared" si="27"/>
        <v>0</v>
      </c>
      <c r="U18" s="182">
        <f>8*'[2]Table 5A3_OJJ'!W18</f>
        <v>0</v>
      </c>
      <c r="V18" s="182">
        <f t="shared" si="28"/>
        <v>0</v>
      </c>
      <c r="W18" s="384">
        <f t="shared" si="29"/>
        <v>0</v>
      </c>
      <c r="X18" s="395">
        <f t="shared" si="18"/>
        <v>0</v>
      </c>
      <c r="Y18" s="396">
        <f t="shared" si="19"/>
        <v>0</v>
      </c>
    </row>
    <row r="19" spans="1:25" ht="16.149999999999999" customHeight="1">
      <c r="A19" s="185">
        <v>14</v>
      </c>
      <c r="B19" s="176" t="s">
        <v>86</v>
      </c>
      <c r="C19" s="177">
        <f>'[15]ADM_summary for MFP Use'!E20</f>
        <v>1</v>
      </c>
      <c r="D19" s="178">
        <f>'Table 3 Levels 1&amp;2'!AP17</f>
        <v>6144.9309412499997</v>
      </c>
      <c r="E19" s="178">
        <f t="shared" si="20"/>
        <v>8089.0898831144059</v>
      </c>
      <c r="F19" s="178">
        <f t="shared" si="21"/>
        <v>9559.4372749766007</v>
      </c>
      <c r="G19" s="377">
        <f t="shared" si="22"/>
        <v>9559.4372749766007</v>
      </c>
      <c r="H19" s="179">
        <v>0</v>
      </c>
      <c r="I19" s="377">
        <f t="shared" si="15"/>
        <v>9559.4372749766007</v>
      </c>
      <c r="J19" s="178">
        <f>8*'[2]Table 5A3_OJJ'!L19</f>
        <v>6376</v>
      </c>
      <c r="K19" s="178">
        <f t="shared" si="23"/>
        <v>3183.4372749766007</v>
      </c>
      <c r="L19" s="377">
        <f t="shared" si="24"/>
        <v>796</v>
      </c>
      <c r="M19" s="377">
        <f t="shared" si="25"/>
        <v>9559.4372749766007</v>
      </c>
      <c r="N19" s="180">
        <f>'Table 3 Levels 1&amp;2'!AS17</f>
        <v>7672850.5</v>
      </c>
      <c r="O19" s="181">
        <f>'Table 3 Levels 1&amp;2'!C17</f>
        <v>1680</v>
      </c>
      <c r="P19" s="181">
        <f t="shared" si="16"/>
        <v>1681</v>
      </c>
      <c r="Q19" s="182">
        <f t="shared" si="26"/>
        <v>4564.4559785841757</v>
      </c>
      <c r="R19" s="384">
        <f t="shared" si="17"/>
        <v>4564.4559785841757</v>
      </c>
      <c r="S19" s="183">
        <v>0</v>
      </c>
      <c r="T19" s="384">
        <f t="shared" si="27"/>
        <v>4564.4559785841757</v>
      </c>
      <c r="U19" s="182">
        <f>8*'[2]Table 5A3_OJJ'!W19</f>
        <v>3040</v>
      </c>
      <c r="V19" s="182">
        <f t="shared" si="28"/>
        <v>1524.4559785841757</v>
      </c>
      <c r="W19" s="384">
        <f t="shared" si="29"/>
        <v>381</v>
      </c>
      <c r="X19" s="395">
        <f t="shared" si="18"/>
        <v>14123.893253560776</v>
      </c>
      <c r="Y19" s="396">
        <f t="shared" si="19"/>
        <v>1177</v>
      </c>
    </row>
    <row r="20" spans="1:25" ht="16.149999999999999" customHeight="1">
      <c r="A20" s="158">
        <v>15</v>
      </c>
      <c r="B20" s="159" t="s">
        <v>87</v>
      </c>
      <c r="C20" s="160">
        <f>'[15]ADM_summary for MFP Use'!E21</f>
        <v>0</v>
      </c>
      <c r="D20" s="161">
        <f>'Table 3 Levels 1&amp;2'!AP18</f>
        <v>6303.6285214059944</v>
      </c>
      <c r="E20" s="161">
        <f t="shared" si="20"/>
        <v>8297.9968671615625</v>
      </c>
      <c r="F20" s="161">
        <f t="shared" si="21"/>
        <v>9768.3442590237573</v>
      </c>
      <c r="G20" s="378">
        <f t="shared" si="22"/>
        <v>0</v>
      </c>
      <c r="H20" s="162">
        <v>0</v>
      </c>
      <c r="I20" s="378">
        <f t="shared" si="15"/>
        <v>0</v>
      </c>
      <c r="J20" s="161">
        <f>8*'[2]Table 5A3_OJJ'!L20</f>
        <v>0</v>
      </c>
      <c r="K20" s="161">
        <f t="shared" si="23"/>
        <v>0</v>
      </c>
      <c r="L20" s="378">
        <f t="shared" si="24"/>
        <v>0</v>
      </c>
      <c r="M20" s="378">
        <f t="shared" si="25"/>
        <v>0</v>
      </c>
      <c r="N20" s="163">
        <f>'Table 3 Levels 1&amp;2'!AS18</f>
        <v>10557172</v>
      </c>
      <c r="O20" s="164">
        <f>'Table 3 Levels 1&amp;2'!C18</f>
        <v>3670</v>
      </c>
      <c r="P20" s="164">
        <f t="shared" si="16"/>
        <v>3670</v>
      </c>
      <c r="Q20" s="165">
        <f t="shared" si="26"/>
        <v>2876.6136239782018</v>
      </c>
      <c r="R20" s="385">
        <f t="shared" si="17"/>
        <v>0</v>
      </c>
      <c r="S20" s="166">
        <v>0</v>
      </c>
      <c r="T20" s="385">
        <f t="shared" si="27"/>
        <v>0</v>
      </c>
      <c r="U20" s="165">
        <f>8*'[2]Table 5A3_OJJ'!W20</f>
        <v>0</v>
      </c>
      <c r="V20" s="165">
        <f t="shared" si="28"/>
        <v>0</v>
      </c>
      <c r="W20" s="385">
        <f t="shared" si="29"/>
        <v>0</v>
      </c>
      <c r="X20" s="397">
        <f t="shared" si="18"/>
        <v>0</v>
      </c>
      <c r="Y20" s="398">
        <f t="shared" si="19"/>
        <v>0</v>
      </c>
    </row>
    <row r="21" spans="1:25" ht="16.149999999999999" customHeight="1">
      <c r="A21" s="184">
        <v>16</v>
      </c>
      <c r="B21" s="167" t="s">
        <v>88</v>
      </c>
      <c r="C21" s="168">
        <f>'[15]ADM_summary for MFP Use'!E22</f>
        <v>1.7860959999999999</v>
      </c>
      <c r="D21" s="169">
        <f>'Table 3 Levels 1&amp;2'!AP19</f>
        <v>2666.9794354342025</v>
      </c>
      <c r="E21" s="169">
        <f t="shared" si="20"/>
        <v>3510.769539300391</v>
      </c>
      <c r="F21" s="169">
        <f t="shared" si="21"/>
        <v>4981.1169311625854</v>
      </c>
      <c r="G21" s="376">
        <f t="shared" si="22"/>
        <v>8896.7530262817691</v>
      </c>
      <c r="H21" s="170">
        <v>0</v>
      </c>
      <c r="I21" s="380">
        <f t="shared" si="15"/>
        <v>8896.7530262817691</v>
      </c>
      <c r="J21" s="171">
        <f>8*'[2]Table 5A3_OJJ'!L21</f>
        <v>5928</v>
      </c>
      <c r="K21" s="171">
        <f t="shared" si="23"/>
        <v>2968.7530262817691</v>
      </c>
      <c r="L21" s="376">
        <f t="shared" si="24"/>
        <v>742</v>
      </c>
      <c r="M21" s="380">
        <f t="shared" si="25"/>
        <v>8896.7530262817691</v>
      </c>
      <c r="N21" s="172">
        <f>'Table 3 Levels 1&amp;2'!AS19</f>
        <v>27826331.579999998</v>
      </c>
      <c r="O21" s="173">
        <f>'Table 3 Levels 1&amp;2'!C19</f>
        <v>4871</v>
      </c>
      <c r="P21" s="173">
        <f t="shared" si="16"/>
        <v>4872.7860959999998</v>
      </c>
      <c r="Q21" s="174">
        <f t="shared" si="26"/>
        <v>5710.5588121018145</v>
      </c>
      <c r="R21" s="383">
        <f t="shared" si="17"/>
        <v>10199.606252059803</v>
      </c>
      <c r="S21" s="175">
        <v>0</v>
      </c>
      <c r="T21" s="383">
        <f t="shared" si="27"/>
        <v>10199.606252059803</v>
      </c>
      <c r="U21" s="174">
        <f>8*'[2]Table 5A3_OJJ'!W21</f>
        <v>6800</v>
      </c>
      <c r="V21" s="174">
        <f t="shared" si="28"/>
        <v>3399.6062520598025</v>
      </c>
      <c r="W21" s="383">
        <f t="shared" si="29"/>
        <v>850</v>
      </c>
      <c r="X21" s="393">
        <f t="shared" si="18"/>
        <v>19096.359278341573</v>
      </c>
      <c r="Y21" s="394">
        <f t="shared" si="19"/>
        <v>1592</v>
      </c>
    </row>
    <row r="22" spans="1:25" ht="16.149999999999999" customHeight="1">
      <c r="A22" s="185">
        <v>17</v>
      </c>
      <c r="B22" s="176" t="s">
        <v>89</v>
      </c>
      <c r="C22" s="177">
        <f>'[15]ADM_summary for MFP Use'!E23</f>
        <v>27.538188000000002</v>
      </c>
      <c r="D22" s="178">
        <f>'Table 3 Levels 1&amp;2'!AP20</f>
        <v>4165.0756609935179</v>
      </c>
      <c r="E22" s="178">
        <f t="shared" si="20"/>
        <v>5482.8397119293204</v>
      </c>
      <c r="F22" s="178">
        <f t="shared" si="21"/>
        <v>6953.1871037915153</v>
      </c>
      <c r="G22" s="377">
        <f t="shared" si="22"/>
        <v>191478.17366338626</v>
      </c>
      <c r="H22" s="179">
        <v>0</v>
      </c>
      <c r="I22" s="377">
        <f t="shared" si="15"/>
        <v>191478.17366338626</v>
      </c>
      <c r="J22" s="178">
        <f>8*'[2]Table 5A3_OJJ'!L22</f>
        <v>120744</v>
      </c>
      <c r="K22" s="178">
        <f t="shared" si="23"/>
        <v>70734.17366338626</v>
      </c>
      <c r="L22" s="377">
        <f t="shared" si="24"/>
        <v>17684</v>
      </c>
      <c r="M22" s="377">
        <f t="shared" si="25"/>
        <v>191478.17366338626</v>
      </c>
      <c r="N22" s="180">
        <f>'Table 3 Levels 1&amp;2'!AS20</f>
        <v>204625642.80000001</v>
      </c>
      <c r="O22" s="181">
        <f>'Table 3 Levels 1&amp;2'!C20</f>
        <v>43364</v>
      </c>
      <c r="P22" s="181">
        <f t="shared" si="16"/>
        <v>43391.538187999999</v>
      </c>
      <c r="Q22" s="182">
        <f t="shared" si="26"/>
        <v>4715.7960133478182</v>
      </c>
      <c r="R22" s="384">
        <f t="shared" si="17"/>
        <v>129864.47718522273</v>
      </c>
      <c r="S22" s="183">
        <v>0</v>
      </c>
      <c r="T22" s="384">
        <f t="shared" si="27"/>
        <v>129864.47718522273</v>
      </c>
      <c r="U22" s="182">
        <f>8*'[2]Table 5A3_OJJ'!W22</f>
        <v>81896</v>
      </c>
      <c r="V22" s="182">
        <f t="shared" si="28"/>
        <v>47968.477185222728</v>
      </c>
      <c r="W22" s="384">
        <f t="shared" si="29"/>
        <v>11992</v>
      </c>
      <c r="X22" s="395">
        <f t="shared" si="18"/>
        <v>321342.65084860899</v>
      </c>
      <c r="Y22" s="396">
        <f t="shared" si="19"/>
        <v>29676</v>
      </c>
    </row>
    <row r="23" spans="1:25" ht="16.149999999999999" customHeight="1">
      <c r="A23" s="185">
        <v>18</v>
      </c>
      <c r="B23" s="176" t="s">
        <v>90</v>
      </c>
      <c r="C23" s="177">
        <f>'[15]ADM_summary for MFP Use'!E24</f>
        <v>0.64705900000000005</v>
      </c>
      <c r="D23" s="178">
        <f>'Table 3 Levels 1&amp;2'!AP21</f>
        <v>7200.5033500475738</v>
      </c>
      <c r="E23" s="178">
        <f t="shared" si="20"/>
        <v>9478.6287037349412</v>
      </c>
      <c r="F23" s="178">
        <f t="shared" si="21"/>
        <v>10948.976095597136</v>
      </c>
      <c r="G23" s="377">
        <f t="shared" si="22"/>
        <v>7084.633523440988</v>
      </c>
      <c r="H23" s="179">
        <v>0</v>
      </c>
      <c r="I23" s="377">
        <f t="shared" si="15"/>
        <v>7084.633523440988</v>
      </c>
      <c r="J23" s="178">
        <f>8*'[2]Table 5A3_OJJ'!L23</f>
        <v>4720</v>
      </c>
      <c r="K23" s="178">
        <f t="shared" si="23"/>
        <v>2364.633523440988</v>
      </c>
      <c r="L23" s="377">
        <f t="shared" si="24"/>
        <v>591</v>
      </c>
      <c r="M23" s="377">
        <f t="shared" si="25"/>
        <v>7084.633523440988</v>
      </c>
      <c r="N23" s="180">
        <f>'Table 3 Levels 1&amp;2'!AS21</f>
        <v>3458507.5</v>
      </c>
      <c r="O23" s="181">
        <f>'Table 3 Levels 1&amp;2'!C21</f>
        <v>1051</v>
      </c>
      <c r="P23" s="181">
        <f t="shared" si="16"/>
        <v>1051.6470589999999</v>
      </c>
      <c r="Q23" s="182">
        <f t="shared" si="26"/>
        <v>3288.6579869187844</v>
      </c>
      <c r="R23" s="384">
        <f t="shared" si="17"/>
        <v>2127.9557483576818</v>
      </c>
      <c r="S23" s="183">
        <v>0</v>
      </c>
      <c r="T23" s="384">
        <f t="shared" si="27"/>
        <v>2127.9557483576818</v>
      </c>
      <c r="U23" s="182">
        <f>8*'[2]Table 5A3_OJJ'!W23</f>
        <v>1416</v>
      </c>
      <c r="V23" s="182">
        <f t="shared" si="28"/>
        <v>711.95574835768184</v>
      </c>
      <c r="W23" s="384">
        <f t="shared" si="29"/>
        <v>178</v>
      </c>
      <c r="X23" s="395">
        <f t="shared" si="18"/>
        <v>9212.5892717986699</v>
      </c>
      <c r="Y23" s="396">
        <f t="shared" si="19"/>
        <v>769</v>
      </c>
    </row>
    <row r="24" spans="1:25" ht="16.149999999999999" customHeight="1">
      <c r="A24" s="185">
        <v>19</v>
      </c>
      <c r="B24" s="176" t="s">
        <v>91</v>
      </c>
      <c r="C24" s="177">
        <f>'[15]ADM_summary for MFP Use'!E25</f>
        <v>1</v>
      </c>
      <c r="D24" s="178">
        <f>'Table 3 Levels 1&amp;2'!AP22</f>
        <v>6219.822186946044</v>
      </c>
      <c r="E24" s="178">
        <f t="shared" si="20"/>
        <v>8187.6755342284077</v>
      </c>
      <c r="F24" s="178">
        <f t="shared" si="21"/>
        <v>9658.0229260906017</v>
      </c>
      <c r="G24" s="377">
        <f t="shared" si="22"/>
        <v>9658.0229260906017</v>
      </c>
      <c r="H24" s="179">
        <v>0</v>
      </c>
      <c r="I24" s="377">
        <f t="shared" si="15"/>
        <v>9658.0229260906017</v>
      </c>
      <c r="J24" s="178">
        <f>8*'[2]Table 5A3_OJJ'!L24</f>
        <v>6440</v>
      </c>
      <c r="K24" s="178">
        <f t="shared" si="23"/>
        <v>3218.0229260906017</v>
      </c>
      <c r="L24" s="377">
        <f t="shared" si="24"/>
        <v>805</v>
      </c>
      <c r="M24" s="377">
        <f t="shared" si="25"/>
        <v>9658.0229260906017</v>
      </c>
      <c r="N24" s="180">
        <f>'Table 3 Levels 1&amp;2'!AS22</f>
        <v>4966129.5</v>
      </c>
      <c r="O24" s="181">
        <f>'Table 3 Levels 1&amp;2'!C22</f>
        <v>1909</v>
      </c>
      <c r="P24" s="181">
        <f t="shared" si="16"/>
        <v>1910</v>
      </c>
      <c r="Q24" s="182">
        <f t="shared" si="26"/>
        <v>2600.0678010471206</v>
      </c>
      <c r="R24" s="384">
        <f t="shared" si="17"/>
        <v>2600.0678010471206</v>
      </c>
      <c r="S24" s="183">
        <v>0</v>
      </c>
      <c r="T24" s="384">
        <f t="shared" si="27"/>
        <v>2600.0678010471206</v>
      </c>
      <c r="U24" s="182">
        <f>8*'[2]Table 5A3_OJJ'!W24</f>
        <v>1736</v>
      </c>
      <c r="V24" s="182">
        <f t="shared" si="28"/>
        <v>864.06780104712061</v>
      </c>
      <c r="W24" s="384">
        <f t="shared" si="29"/>
        <v>216</v>
      </c>
      <c r="X24" s="395">
        <f t="shared" si="18"/>
        <v>12258.090727137722</v>
      </c>
      <c r="Y24" s="396">
        <f t="shared" si="19"/>
        <v>1021</v>
      </c>
    </row>
    <row r="25" spans="1:25" ht="16.149999999999999" customHeight="1">
      <c r="A25" s="158">
        <v>20</v>
      </c>
      <c r="B25" s="159" t="s">
        <v>92</v>
      </c>
      <c r="C25" s="160">
        <f>'[15]ADM_summary for MFP Use'!E26</f>
        <v>3.8051590000000002</v>
      </c>
      <c r="D25" s="161">
        <f>'Table 3 Levels 1&amp;2'!AP23</f>
        <v>5864.6901565562002</v>
      </c>
      <c r="E25" s="161">
        <f t="shared" si="20"/>
        <v>7720.185347331043</v>
      </c>
      <c r="F25" s="161">
        <f t="shared" si="21"/>
        <v>9190.5327391932369</v>
      </c>
      <c r="G25" s="378">
        <f t="shared" si="22"/>
        <v>34971.438367335802</v>
      </c>
      <c r="H25" s="162">
        <v>0</v>
      </c>
      <c r="I25" s="378">
        <f t="shared" si="15"/>
        <v>34971.438367335802</v>
      </c>
      <c r="J25" s="161">
        <f>8*'[2]Table 5A3_OJJ'!L25</f>
        <v>23312</v>
      </c>
      <c r="K25" s="161">
        <f t="shared" si="23"/>
        <v>11659.438367335802</v>
      </c>
      <c r="L25" s="378">
        <f t="shared" si="24"/>
        <v>2915</v>
      </c>
      <c r="M25" s="378">
        <f t="shared" si="25"/>
        <v>34971.438367335802</v>
      </c>
      <c r="N25" s="163">
        <f>'Table 3 Levels 1&amp;2'!AS23</f>
        <v>15834074.5</v>
      </c>
      <c r="O25" s="164">
        <f>'Table 3 Levels 1&amp;2'!C23</f>
        <v>5854</v>
      </c>
      <c r="P25" s="164">
        <f t="shared" si="16"/>
        <v>5857.8051589999995</v>
      </c>
      <c r="Q25" s="165">
        <f t="shared" si="26"/>
        <v>2703.0729206949372</v>
      </c>
      <c r="R25" s="385">
        <f t="shared" si="17"/>
        <v>10285.622251838628</v>
      </c>
      <c r="S25" s="166">
        <v>0</v>
      </c>
      <c r="T25" s="385">
        <f t="shared" si="27"/>
        <v>10285.622251838628</v>
      </c>
      <c r="U25" s="165">
        <f>8*'[2]Table 5A3_OJJ'!W25</f>
        <v>6856</v>
      </c>
      <c r="V25" s="165">
        <f t="shared" si="28"/>
        <v>3429.6222518386276</v>
      </c>
      <c r="W25" s="385">
        <f t="shared" si="29"/>
        <v>857</v>
      </c>
      <c r="X25" s="397">
        <f t="shared" si="18"/>
        <v>45257.06061917443</v>
      </c>
      <c r="Y25" s="398">
        <f t="shared" si="19"/>
        <v>3772</v>
      </c>
    </row>
    <row r="26" spans="1:25" ht="16.149999999999999" customHeight="1">
      <c r="A26" s="184">
        <v>21</v>
      </c>
      <c r="B26" s="167" t="s">
        <v>93</v>
      </c>
      <c r="C26" s="168">
        <f>'[15]ADM_summary for MFP Use'!E27</f>
        <v>2.009531</v>
      </c>
      <c r="D26" s="169">
        <f>'Table 3 Levels 1&amp;2'!AP24</f>
        <v>6692.6542295867775</v>
      </c>
      <c r="E26" s="169">
        <f t="shared" si="20"/>
        <v>8810.1041553317464</v>
      </c>
      <c r="F26" s="169">
        <f t="shared" si="21"/>
        <v>10280.451547193941</v>
      </c>
      <c r="G26" s="376">
        <f t="shared" si="22"/>
        <v>20658.886078084186</v>
      </c>
      <c r="H26" s="170">
        <v>0</v>
      </c>
      <c r="I26" s="380">
        <f t="shared" si="15"/>
        <v>20658.886078084186</v>
      </c>
      <c r="J26" s="171">
        <f>8*'[2]Table 5A3_OJJ'!L26</f>
        <v>13880</v>
      </c>
      <c r="K26" s="171">
        <f t="shared" si="23"/>
        <v>6778.886078084186</v>
      </c>
      <c r="L26" s="376">
        <f t="shared" si="24"/>
        <v>1695</v>
      </c>
      <c r="M26" s="380">
        <f t="shared" si="25"/>
        <v>20658.886078084186</v>
      </c>
      <c r="N26" s="172">
        <f>'Table 3 Levels 1&amp;2'!AS24</f>
        <v>7260887</v>
      </c>
      <c r="O26" s="173">
        <f>'Table 3 Levels 1&amp;2'!C24</f>
        <v>2904</v>
      </c>
      <c r="P26" s="173">
        <f t="shared" si="16"/>
        <v>2906.0095310000002</v>
      </c>
      <c r="Q26" s="174">
        <f t="shared" si="26"/>
        <v>2498.5764576971028</v>
      </c>
      <c r="R26" s="383">
        <f t="shared" si="17"/>
        <v>5020.9668476125162</v>
      </c>
      <c r="S26" s="175">
        <v>0</v>
      </c>
      <c r="T26" s="383">
        <f t="shared" si="27"/>
        <v>5020.9668476125162</v>
      </c>
      <c r="U26" s="174">
        <f>8*'[2]Table 5A3_OJJ'!W26</f>
        <v>3376</v>
      </c>
      <c r="V26" s="174">
        <f t="shared" si="28"/>
        <v>1644.9668476125162</v>
      </c>
      <c r="W26" s="383">
        <f t="shared" si="29"/>
        <v>411</v>
      </c>
      <c r="X26" s="393">
        <f t="shared" si="18"/>
        <v>25679.852925696701</v>
      </c>
      <c r="Y26" s="394">
        <f t="shared" si="19"/>
        <v>2106</v>
      </c>
    </row>
    <row r="27" spans="1:25" ht="16.149999999999999" customHeight="1">
      <c r="A27" s="185">
        <v>22</v>
      </c>
      <c r="B27" s="176" t="s">
        <v>94</v>
      </c>
      <c r="C27" s="177">
        <f>'[15]ADM_summary for MFP Use'!E28</f>
        <v>0.75401099999999999</v>
      </c>
      <c r="D27" s="178">
        <f>'Table 3 Levels 1&amp;2'!AP25</f>
        <v>6912.4699808195992</v>
      </c>
      <c r="E27" s="178">
        <f t="shared" si="20"/>
        <v>9099.4661329433147</v>
      </c>
      <c r="F27" s="178">
        <f t="shared" si="21"/>
        <v>10569.81352480551</v>
      </c>
      <c r="G27" s="377">
        <f t="shared" si="22"/>
        <v>7969.7556656521274</v>
      </c>
      <c r="H27" s="179">
        <v>0</v>
      </c>
      <c r="I27" s="377">
        <f t="shared" si="15"/>
        <v>7969.7556656521274</v>
      </c>
      <c r="J27" s="178">
        <f>8*'[2]Table 5A3_OJJ'!L27</f>
        <v>5312</v>
      </c>
      <c r="K27" s="178">
        <f t="shared" si="23"/>
        <v>2657.7556656521274</v>
      </c>
      <c r="L27" s="377">
        <f t="shared" si="24"/>
        <v>664</v>
      </c>
      <c r="M27" s="377">
        <f t="shared" si="25"/>
        <v>7969.7556656521274</v>
      </c>
      <c r="N27" s="180">
        <f>'Table 3 Levels 1&amp;2'!AS25</f>
        <v>5504018</v>
      </c>
      <c r="O27" s="181">
        <f>'Table 3 Levels 1&amp;2'!C25</f>
        <v>3143</v>
      </c>
      <c r="P27" s="181">
        <f t="shared" si="16"/>
        <v>3143.754011</v>
      </c>
      <c r="Q27" s="182">
        <f t="shared" si="26"/>
        <v>1750.7788398015343</v>
      </c>
      <c r="R27" s="384">
        <f t="shared" si="17"/>
        <v>1320.1065037775948</v>
      </c>
      <c r="S27" s="183">
        <v>0</v>
      </c>
      <c r="T27" s="384">
        <f t="shared" si="27"/>
        <v>1320.1065037775948</v>
      </c>
      <c r="U27" s="182">
        <f>8*'[2]Table 5A3_OJJ'!W27</f>
        <v>880</v>
      </c>
      <c r="V27" s="182">
        <f t="shared" si="28"/>
        <v>440.10650377759475</v>
      </c>
      <c r="W27" s="384">
        <f t="shared" si="29"/>
        <v>110</v>
      </c>
      <c r="X27" s="395">
        <f t="shared" si="18"/>
        <v>9289.8621694297217</v>
      </c>
      <c r="Y27" s="396">
        <f t="shared" si="19"/>
        <v>774</v>
      </c>
    </row>
    <row r="28" spans="1:25" ht="16.149999999999999" customHeight="1">
      <c r="A28" s="185">
        <v>23</v>
      </c>
      <c r="B28" s="176" t="s">
        <v>95</v>
      </c>
      <c r="C28" s="177">
        <f>'[15]ADM_summary for MFP Use'!E29</f>
        <v>6.3753650000000004</v>
      </c>
      <c r="D28" s="178">
        <f>'Table 3 Levels 1&amp;2'!AP26</f>
        <v>5699.6015265979167</v>
      </c>
      <c r="E28" s="178">
        <f t="shared" si="20"/>
        <v>7502.8652864255064</v>
      </c>
      <c r="F28" s="178">
        <f t="shared" si="21"/>
        <v>8973.2126782877021</v>
      </c>
      <c r="G28" s="377">
        <f t="shared" si="22"/>
        <v>57207.506046711678</v>
      </c>
      <c r="H28" s="179">
        <v>0</v>
      </c>
      <c r="I28" s="377">
        <f t="shared" si="15"/>
        <v>57207.506046711678</v>
      </c>
      <c r="J28" s="178">
        <f>8*'[2]Table 5A3_OJJ'!L28</f>
        <v>38136</v>
      </c>
      <c r="K28" s="178">
        <f t="shared" si="23"/>
        <v>19071.506046711678</v>
      </c>
      <c r="L28" s="377">
        <f t="shared" si="24"/>
        <v>4768</v>
      </c>
      <c r="M28" s="377">
        <f t="shared" si="25"/>
        <v>57207.506046711678</v>
      </c>
      <c r="N28" s="180">
        <f>'Table 3 Levels 1&amp;2'!AS26</f>
        <v>46012409.200000003</v>
      </c>
      <c r="O28" s="181">
        <f>'Table 3 Levels 1&amp;2'!C26</f>
        <v>13537</v>
      </c>
      <c r="P28" s="181">
        <f t="shared" si="16"/>
        <v>13543.375365</v>
      </c>
      <c r="Q28" s="182">
        <f t="shared" si="26"/>
        <v>3397.4107606076827</v>
      </c>
      <c r="R28" s="384">
        <f t="shared" si="17"/>
        <v>21659.733653801599</v>
      </c>
      <c r="S28" s="183">
        <v>0</v>
      </c>
      <c r="T28" s="384">
        <f t="shared" si="27"/>
        <v>21659.733653801599</v>
      </c>
      <c r="U28" s="182">
        <f>8*'[2]Table 5A3_OJJ'!W28</f>
        <v>14440</v>
      </c>
      <c r="V28" s="182">
        <f t="shared" si="28"/>
        <v>7219.7336538015988</v>
      </c>
      <c r="W28" s="384">
        <f t="shared" si="29"/>
        <v>1805</v>
      </c>
      <c r="X28" s="395">
        <f t="shared" si="18"/>
        <v>78867.239700513281</v>
      </c>
      <c r="Y28" s="396">
        <f t="shared" si="19"/>
        <v>6573</v>
      </c>
    </row>
    <row r="29" spans="1:25" ht="16.149999999999999" customHeight="1">
      <c r="A29" s="185">
        <v>24</v>
      </c>
      <c r="B29" s="176" t="s">
        <v>96</v>
      </c>
      <c r="C29" s="177">
        <f>'[15]ADM_summary for MFP Use'!E30</f>
        <v>2.1925129999999999</v>
      </c>
      <c r="D29" s="178">
        <f>'Table 3 Levels 1&amp;2'!AP27</f>
        <v>3465.9240361576999</v>
      </c>
      <c r="E29" s="178">
        <f t="shared" si="20"/>
        <v>4562.4875730211525</v>
      </c>
      <c r="F29" s="178">
        <f t="shared" si="21"/>
        <v>6032.8349648833473</v>
      </c>
      <c r="G29" s="377">
        <f t="shared" si="22"/>
        <v>13227.069087361282</v>
      </c>
      <c r="H29" s="179">
        <v>0</v>
      </c>
      <c r="I29" s="377">
        <f t="shared" si="15"/>
        <v>13227.069087361282</v>
      </c>
      <c r="J29" s="178">
        <f>8*'[2]Table 5A3_OJJ'!L29</f>
        <v>6712</v>
      </c>
      <c r="K29" s="178">
        <f t="shared" si="23"/>
        <v>6515.0690873612821</v>
      </c>
      <c r="L29" s="377">
        <f t="shared" si="24"/>
        <v>1629</v>
      </c>
      <c r="M29" s="377">
        <f t="shared" si="25"/>
        <v>13227.069087361282</v>
      </c>
      <c r="N29" s="180">
        <f>'Table 3 Levels 1&amp;2'!AS27</f>
        <v>25186085.48</v>
      </c>
      <c r="O29" s="181">
        <f>'Table 3 Levels 1&amp;2'!C27</f>
        <v>4591</v>
      </c>
      <c r="P29" s="181">
        <f t="shared" si="16"/>
        <v>4593.192513</v>
      </c>
      <c r="Q29" s="182">
        <f t="shared" si="26"/>
        <v>5483.3507214680076</v>
      </c>
      <c r="R29" s="384">
        <f t="shared" si="17"/>
        <v>12022.317740377985</v>
      </c>
      <c r="S29" s="183">
        <v>0</v>
      </c>
      <c r="T29" s="384">
        <f t="shared" si="27"/>
        <v>12022.317740377985</v>
      </c>
      <c r="U29" s="182">
        <f>8*'[2]Table 5A3_OJJ'!W29</f>
        <v>6096</v>
      </c>
      <c r="V29" s="182">
        <f t="shared" si="28"/>
        <v>5926.3177403779846</v>
      </c>
      <c r="W29" s="384">
        <f t="shared" si="29"/>
        <v>1482</v>
      </c>
      <c r="X29" s="395">
        <f t="shared" si="18"/>
        <v>25249.386827739268</v>
      </c>
      <c r="Y29" s="396">
        <f t="shared" si="19"/>
        <v>3111</v>
      </c>
    </row>
    <row r="30" spans="1:25" ht="16.149999999999999" customHeight="1">
      <c r="A30" s="158">
        <v>25</v>
      </c>
      <c r="B30" s="159" t="s">
        <v>97</v>
      </c>
      <c r="C30" s="160">
        <f>'[15]ADM_summary for MFP Use'!E31</f>
        <v>6.8547999999999998E-2</v>
      </c>
      <c r="D30" s="161">
        <f>'Table 3 Levels 1&amp;2'!AP28</f>
        <v>4826.8020274945693</v>
      </c>
      <c r="E30" s="161">
        <f t="shared" si="20"/>
        <v>6353.9258328035858</v>
      </c>
      <c r="F30" s="161">
        <f t="shared" si="21"/>
        <v>7824.2732246657806</v>
      </c>
      <c r="G30" s="378">
        <f t="shared" si="22"/>
        <v>536.33828100438996</v>
      </c>
      <c r="H30" s="162">
        <v>0</v>
      </c>
      <c r="I30" s="378">
        <f t="shared" si="15"/>
        <v>536.33828100438996</v>
      </c>
      <c r="J30" s="161">
        <f>8*'[2]Table 5A3_OJJ'!L30</f>
        <v>360</v>
      </c>
      <c r="K30" s="161">
        <f t="shared" si="23"/>
        <v>176.33828100438996</v>
      </c>
      <c r="L30" s="378">
        <f t="shared" si="24"/>
        <v>44</v>
      </c>
      <c r="M30" s="378">
        <f t="shared" si="25"/>
        <v>536.33828100438996</v>
      </c>
      <c r="N30" s="163">
        <f>'Table 3 Levels 1&amp;2'!AS28</f>
        <v>9995072.6199999992</v>
      </c>
      <c r="O30" s="164">
        <f>'Table 3 Levels 1&amp;2'!C28</f>
        <v>2287</v>
      </c>
      <c r="P30" s="164">
        <f t="shared" si="16"/>
        <v>2287.0685480000002</v>
      </c>
      <c r="Q30" s="165">
        <f t="shared" si="26"/>
        <v>4370.2549399931668</v>
      </c>
      <c r="R30" s="385">
        <f t="shared" si="17"/>
        <v>299.5722356266516</v>
      </c>
      <c r="S30" s="166">
        <v>0</v>
      </c>
      <c r="T30" s="385">
        <f t="shared" si="27"/>
        <v>299.5722356266516</v>
      </c>
      <c r="U30" s="165">
        <f>8*'[2]Table 5A3_OJJ'!W30</f>
        <v>200</v>
      </c>
      <c r="V30" s="165">
        <f t="shared" si="28"/>
        <v>99.572235626651604</v>
      </c>
      <c r="W30" s="385">
        <f t="shared" si="29"/>
        <v>25</v>
      </c>
      <c r="X30" s="397">
        <f t="shared" si="18"/>
        <v>835.91051663104156</v>
      </c>
      <c r="Y30" s="398">
        <f t="shared" si="19"/>
        <v>69</v>
      </c>
    </row>
    <row r="31" spans="1:25" ht="16.149999999999999" customHeight="1">
      <c r="A31" s="184">
        <v>26</v>
      </c>
      <c r="B31" s="167" t="s">
        <v>98</v>
      </c>
      <c r="C31" s="168">
        <f>'[15]ADM_summary for MFP Use'!E32</f>
        <v>16.513327</v>
      </c>
      <c r="D31" s="169">
        <f>'Table 3 Levels 1&amp;2'!AP29</f>
        <v>4261.3949970570829</v>
      </c>
      <c r="E31" s="169">
        <f t="shared" si="20"/>
        <v>5609.6329622276853</v>
      </c>
      <c r="F31" s="169">
        <f t="shared" si="21"/>
        <v>7079.9803540898802</v>
      </c>
      <c r="G31" s="376">
        <f t="shared" si="22"/>
        <v>116914.03074066198</v>
      </c>
      <c r="H31" s="170">
        <v>0</v>
      </c>
      <c r="I31" s="380">
        <f t="shared" si="15"/>
        <v>116914.03074066198</v>
      </c>
      <c r="J31" s="171">
        <f>8*'[2]Table 5A3_OJJ'!L31</f>
        <v>77496</v>
      </c>
      <c r="K31" s="171">
        <f t="shared" si="23"/>
        <v>39418.030740661983</v>
      </c>
      <c r="L31" s="376">
        <f t="shared" si="24"/>
        <v>9855</v>
      </c>
      <c r="M31" s="380">
        <f t="shared" si="25"/>
        <v>116914.03074066198</v>
      </c>
      <c r="N31" s="172">
        <f>'Table 3 Levels 1&amp;2'!AS29</f>
        <v>217418348.86000001</v>
      </c>
      <c r="O31" s="173">
        <f>'Table 3 Levels 1&amp;2'!C29</f>
        <v>45429</v>
      </c>
      <c r="P31" s="173">
        <f t="shared" si="16"/>
        <v>45445.513327000001</v>
      </c>
      <c r="Q31" s="174">
        <f t="shared" si="26"/>
        <v>4784.154318944129</v>
      </c>
      <c r="R31" s="383">
        <f t="shared" si="17"/>
        <v>79002.304687186697</v>
      </c>
      <c r="S31" s="175">
        <v>0</v>
      </c>
      <c r="T31" s="383">
        <f t="shared" si="27"/>
        <v>79002.304687186697</v>
      </c>
      <c r="U31" s="174">
        <f>8*'[2]Table 5A3_OJJ'!W31</f>
        <v>52368</v>
      </c>
      <c r="V31" s="174">
        <f t="shared" si="28"/>
        <v>26634.304687186697</v>
      </c>
      <c r="W31" s="383">
        <f t="shared" si="29"/>
        <v>6659</v>
      </c>
      <c r="X31" s="393">
        <f t="shared" si="18"/>
        <v>195916.33542784868</v>
      </c>
      <c r="Y31" s="394">
        <f t="shared" si="19"/>
        <v>16514</v>
      </c>
    </row>
    <row r="32" spans="1:25" ht="16.149999999999999" customHeight="1">
      <c r="A32" s="185">
        <v>27</v>
      </c>
      <c r="B32" s="176" t="s">
        <v>99</v>
      </c>
      <c r="C32" s="177">
        <f>'[15]ADM_summary for MFP Use'!E33</f>
        <v>2.572193</v>
      </c>
      <c r="D32" s="178">
        <f>'Table 3 Levels 1&amp;2'!AP30</f>
        <v>6497.961383997701</v>
      </c>
      <c r="E32" s="178">
        <f t="shared" si="20"/>
        <v>8553.8135732851097</v>
      </c>
      <c r="F32" s="178">
        <f t="shared" si="21"/>
        <v>10024.160965147305</v>
      </c>
      <c r="G32" s="377">
        <f t="shared" si="22"/>
        <v>25784.076665425142</v>
      </c>
      <c r="H32" s="179">
        <v>0</v>
      </c>
      <c r="I32" s="377">
        <f t="shared" si="15"/>
        <v>25784.076665425142</v>
      </c>
      <c r="J32" s="178">
        <f>8*'[2]Table 5A3_OJJ'!L32</f>
        <v>17192</v>
      </c>
      <c r="K32" s="178">
        <f t="shared" si="23"/>
        <v>8592.076665425142</v>
      </c>
      <c r="L32" s="377">
        <f t="shared" si="24"/>
        <v>2148</v>
      </c>
      <c r="M32" s="377">
        <f t="shared" si="25"/>
        <v>25784.076665425142</v>
      </c>
      <c r="N32" s="180">
        <f>'Table 3 Levels 1&amp;2'!AS30</f>
        <v>17760319.140000001</v>
      </c>
      <c r="O32" s="181">
        <f>'Table 3 Levels 1&amp;2'!C30</f>
        <v>5637</v>
      </c>
      <c r="P32" s="181">
        <f t="shared" si="16"/>
        <v>5639.572193</v>
      </c>
      <c r="Q32" s="182">
        <f t="shared" si="26"/>
        <v>3149.2316317972882</v>
      </c>
      <c r="R32" s="384">
        <f t="shared" si="17"/>
        <v>8100.4315586875618</v>
      </c>
      <c r="S32" s="183">
        <v>0</v>
      </c>
      <c r="T32" s="384">
        <f t="shared" si="27"/>
        <v>8100.4315586875618</v>
      </c>
      <c r="U32" s="182">
        <f>8*'[2]Table 5A3_OJJ'!W32</f>
        <v>5400</v>
      </c>
      <c r="V32" s="182">
        <f t="shared" si="28"/>
        <v>2700.4315586875618</v>
      </c>
      <c r="W32" s="384">
        <f t="shared" si="29"/>
        <v>675</v>
      </c>
      <c r="X32" s="395">
        <f t="shared" si="18"/>
        <v>33884.508224112702</v>
      </c>
      <c r="Y32" s="396">
        <f t="shared" si="19"/>
        <v>2823</v>
      </c>
    </row>
    <row r="33" spans="1:25" ht="16.149999999999999" customHeight="1">
      <c r="A33" s="185">
        <v>28</v>
      </c>
      <c r="B33" s="176" t="s">
        <v>100</v>
      </c>
      <c r="C33" s="177">
        <f>'[15]ADM_summary for MFP Use'!E34</f>
        <v>4.9349230000000004</v>
      </c>
      <c r="D33" s="178">
        <f>'Table 3 Levels 1&amp;2'!AP31</f>
        <v>3831.8158846568822</v>
      </c>
      <c r="E33" s="178">
        <f t="shared" si="20"/>
        <v>5044.1418142658395</v>
      </c>
      <c r="F33" s="178">
        <f t="shared" si="21"/>
        <v>6514.4892061280343</v>
      </c>
      <c r="G33" s="377">
        <f t="shared" si="22"/>
        <v>32148.50261657298</v>
      </c>
      <c r="H33" s="179">
        <v>0</v>
      </c>
      <c r="I33" s="377">
        <f t="shared" si="15"/>
        <v>32148.50261657298</v>
      </c>
      <c r="J33" s="178">
        <f>8*'[2]Table 5A3_OJJ'!L33</f>
        <v>21432</v>
      </c>
      <c r="K33" s="178">
        <f t="shared" si="23"/>
        <v>10716.50261657298</v>
      </c>
      <c r="L33" s="377">
        <f t="shared" si="24"/>
        <v>2679</v>
      </c>
      <c r="M33" s="377">
        <f t="shared" si="25"/>
        <v>32148.50261657298</v>
      </c>
      <c r="N33" s="180">
        <f>'Table 3 Levels 1&amp;2'!AS31</f>
        <v>130453036.36</v>
      </c>
      <c r="O33" s="181">
        <f>'Table 3 Levels 1&amp;2'!C31</f>
        <v>30205</v>
      </c>
      <c r="P33" s="181">
        <f t="shared" si="16"/>
        <v>30209.934923000001</v>
      </c>
      <c r="Q33" s="182">
        <f t="shared" si="26"/>
        <v>4318.2163977679083</v>
      </c>
      <c r="R33" s="384">
        <f t="shared" si="17"/>
        <v>21310.065420322</v>
      </c>
      <c r="S33" s="183">
        <v>0</v>
      </c>
      <c r="T33" s="384">
        <f t="shared" si="27"/>
        <v>21310.065420322</v>
      </c>
      <c r="U33" s="182">
        <f>8*'[2]Table 5A3_OJJ'!W33</f>
        <v>14208</v>
      </c>
      <c r="V33" s="182">
        <f t="shared" si="28"/>
        <v>7102.0654203220001</v>
      </c>
      <c r="W33" s="384">
        <f t="shared" si="29"/>
        <v>1776</v>
      </c>
      <c r="X33" s="395">
        <f t="shared" si="18"/>
        <v>53458.568036894983</v>
      </c>
      <c r="Y33" s="396">
        <f t="shared" si="19"/>
        <v>4455</v>
      </c>
    </row>
    <row r="34" spans="1:25" ht="16.149999999999999" customHeight="1">
      <c r="A34" s="185">
        <v>29</v>
      </c>
      <c r="B34" s="176" t="s">
        <v>101</v>
      </c>
      <c r="C34" s="177">
        <f>'[15]ADM_summary for MFP Use'!E35</f>
        <v>8.8813200000000005</v>
      </c>
      <c r="D34" s="178">
        <f>'Table 3 Levels 1&amp;2'!AP32</f>
        <v>4593.9623210173722</v>
      </c>
      <c r="E34" s="178">
        <f t="shared" si="20"/>
        <v>6047.4193265369931</v>
      </c>
      <c r="F34" s="178">
        <f t="shared" si="21"/>
        <v>7517.766718399188</v>
      </c>
      <c r="G34" s="377">
        <f t="shared" si="22"/>
        <v>66767.691911453076</v>
      </c>
      <c r="H34" s="179">
        <v>0</v>
      </c>
      <c r="I34" s="377">
        <f t="shared" si="15"/>
        <v>66767.691911453076</v>
      </c>
      <c r="J34" s="178">
        <f>8*'[2]Table 5A3_OJJ'!L34</f>
        <v>39496</v>
      </c>
      <c r="K34" s="178">
        <f t="shared" si="23"/>
        <v>27271.691911453076</v>
      </c>
      <c r="L34" s="377">
        <f t="shared" si="24"/>
        <v>6818</v>
      </c>
      <c r="M34" s="377">
        <f t="shared" si="25"/>
        <v>66767.691911453076</v>
      </c>
      <c r="N34" s="180">
        <f>'Table 3 Levels 1&amp;2'!AS32</f>
        <v>51284974.299999997</v>
      </c>
      <c r="O34" s="181">
        <f>'Table 3 Levels 1&amp;2'!C32</f>
        <v>13838</v>
      </c>
      <c r="P34" s="181">
        <f t="shared" si="16"/>
        <v>13846.88132</v>
      </c>
      <c r="Q34" s="182">
        <f t="shared" si="26"/>
        <v>3703.7202179183546</v>
      </c>
      <c r="R34" s="384">
        <f t="shared" si="17"/>
        <v>32893.924445802644</v>
      </c>
      <c r="S34" s="183">
        <v>0</v>
      </c>
      <c r="T34" s="384">
        <f t="shared" si="27"/>
        <v>32893.924445802644</v>
      </c>
      <c r="U34" s="182">
        <f>8*'[2]Table 5A3_OJJ'!W34</f>
        <v>19464</v>
      </c>
      <c r="V34" s="182">
        <f t="shared" si="28"/>
        <v>13429.924445802644</v>
      </c>
      <c r="W34" s="384">
        <f t="shared" si="29"/>
        <v>3357</v>
      </c>
      <c r="X34" s="395">
        <f t="shared" si="18"/>
        <v>99661.616357255727</v>
      </c>
      <c r="Y34" s="396">
        <f t="shared" si="19"/>
        <v>10175</v>
      </c>
    </row>
    <row r="35" spans="1:25" ht="16.149999999999999" customHeight="1">
      <c r="A35" s="158">
        <v>30</v>
      </c>
      <c r="B35" s="159" t="s">
        <v>102</v>
      </c>
      <c r="C35" s="160">
        <f>'[15]ADM_summary for MFP Use'!E36</f>
        <v>0.540107</v>
      </c>
      <c r="D35" s="161">
        <f>'Table 3 Levels 1&amp;2'!AP33</f>
        <v>6531.7027273996755</v>
      </c>
      <c r="E35" s="161">
        <f t="shared" si="20"/>
        <v>8598.230143978104</v>
      </c>
      <c r="F35" s="161">
        <f t="shared" si="21"/>
        <v>10068.577535840299</v>
      </c>
      <c r="G35" s="378">
        <f t="shared" si="22"/>
        <v>5438.1092071500962</v>
      </c>
      <c r="H35" s="162">
        <v>0</v>
      </c>
      <c r="I35" s="378">
        <f t="shared" si="15"/>
        <v>5438.1092071500962</v>
      </c>
      <c r="J35" s="161">
        <f>8*'[2]Table 5A3_OJJ'!L35</f>
        <v>3624</v>
      </c>
      <c r="K35" s="161">
        <f t="shared" si="23"/>
        <v>1814.1092071500962</v>
      </c>
      <c r="L35" s="378">
        <f t="shared" si="24"/>
        <v>454</v>
      </c>
      <c r="M35" s="378">
        <f t="shared" si="25"/>
        <v>5438.1092071500962</v>
      </c>
      <c r="N35" s="163">
        <f>'Table 3 Levels 1&amp;2'!AS33</f>
        <v>7779558.7000000002</v>
      </c>
      <c r="O35" s="164">
        <f>'Table 3 Levels 1&amp;2'!C33</f>
        <v>2468</v>
      </c>
      <c r="P35" s="164">
        <f t="shared" si="16"/>
        <v>2468.5401069999998</v>
      </c>
      <c r="Q35" s="165">
        <f t="shared" si="26"/>
        <v>3151.4815894380772</v>
      </c>
      <c r="R35" s="385">
        <f t="shared" si="17"/>
        <v>1702.1372668266315</v>
      </c>
      <c r="S35" s="166">
        <v>0</v>
      </c>
      <c r="T35" s="385">
        <f t="shared" si="27"/>
        <v>1702.1372668266315</v>
      </c>
      <c r="U35" s="165">
        <f>8*'[2]Table 5A3_OJJ'!W35</f>
        <v>1136</v>
      </c>
      <c r="V35" s="165">
        <f t="shared" si="28"/>
        <v>566.1372668266315</v>
      </c>
      <c r="W35" s="385">
        <f t="shared" si="29"/>
        <v>142</v>
      </c>
      <c r="X35" s="397">
        <f t="shared" si="18"/>
        <v>7140.2464739767274</v>
      </c>
      <c r="Y35" s="398">
        <f t="shared" si="19"/>
        <v>596</v>
      </c>
    </row>
    <row r="36" spans="1:25" ht="16.149999999999999" customHeight="1">
      <c r="A36" s="184">
        <v>31</v>
      </c>
      <c r="B36" s="167" t="s">
        <v>103</v>
      </c>
      <c r="C36" s="168">
        <f>'[15]ADM_summary for MFP Use'!E37</f>
        <v>1.4171119999999999</v>
      </c>
      <c r="D36" s="169">
        <f>'Table 3 Levels 1&amp;2'!AP34</f>
        <v>5141.4476716868539</v>
      </c>
      <c r="E36" s="169">
        <f t="shared" si="20"/>
        <v>6768.1203813730899</v>
      </c>
      <c r="F36" s="169">
        <f t="shared" si="21"/>
        <v>8238.4677732352848</v>
      </c>
      <c r="G36" s="376">
        <f t="shared" si="22"/>
        <v>11674.831543065</v>
      </c>
      <c r="H36" s="170">
        <v>0</v>
      </c>
      <c r="I36" s="380">
        <f t="shared" si="15"/>
        <v>11674.831543065</v>
      </c>
      <c r="J36" s="171">
        <f>8*'[2]Table 5A3_OJJ'!L36</f>
        <v>7784</v>
      </c>
      <c r="K36" s="171">
        <f t="shared" si="23"/>
        <v>3890.831543065</v>
      </c>
      <c r="L36" s="376">
        <f t="shared" si="24"/>
        <v>973</v>
      </c>
      <c r="M36" s="380">
        <f t="shared" si="25"/>
        <v>11674.831543065</v>
      </c>
      <c r="N36" s="172">
        <f>'Table 3 Levels 1&amp;2'!AS34</f>
        <v>24473388</v>
      </c>
      <c r="O36" s="173">
        <f>'Table 3 Levels 1&amp;2'!C34</f>
        <v>6374</v>
      </c>
      <c r="P36" s="173">
        <f t="shared" si="16"/>
        <v>6375.4171120000001</v>
      </c>
      <c r="Q36" s="174">
        <f t="shared" si="26"/>
        <v>3838.7116591846925</v>
      </c>
      <c r="R36" s="383">
        <f t="shared" si="17"/>
        <v>5439.884356770538</v>
      </c>
      <c r="S36" s="175">
        <v>0</v>
      </c>
      <c r="T36" s="383">
        <f t="shared" si="27"/>
        <v>5439.884356770538</v>
      </c>
      <c r="U36" s="174">
        <f>8*'[2]Table 5A3_OJJ'!W36</f>
        <v>3624</v>
      </c>
      <c r="V36" s="174">
        <f t="shared" si="28"/>
        <v>1815.884356770538</v>
      </c>
      <c r="W36" s="383">
        <f t="shared" si="29"/>
        <v>454</v>
      </c>
      <c r="X36" s="393">
        <f t="shared" si="18"/>
        <v>17114.715899835537</v>
      </c>
      <c r="Y36" s="394">
        <f t="shared" si="19"/>
        <v>1427</v>
      </c>
    </row>
    <row r="37" spans="1:25" ht="16.149999999999999" customHeight="1">
      <c r="A37" s="185">
        <v>32</v>
      </c>
      <c r="B37" s="176" t="s">
        <v>104</v>
      </c>
      <c r="C37" s="177">
        <f>'[15]ADM_summary for MFP Use'!E38</f>
        <v>4.0227930000000001</v>
      </c>
      <c r="D37" s="178">
        <f>'Table 3 Levels 1&amp;2'!AP35</f>
        <v>6212.5891890611274</v>
      </c>
      <c r="E37" s="178">
        <f t="shared" si="20"/>
        <v>8178.1541302330097</v>
      </c>
      <c r="F37" s="178">
        <f t="shared" si="21"/>
        <v>9648.5015220952046</v>
      </c>
      <c r="G37" s="377">
        <f t="shared" si="22"/>
        <v>38813.924383573933</v>
      </c>
      <c r="H37" s="179">
        <v>0</v>
      </c>
      <c r="I37" s="377">
        <f t="shared" si="15"/>
        <v>38813.924383573933</v>
      </c>
      <c r="J37" s="178">
        <f>8*'[2]Table 5A3_OJJ'!L37</f>
        <v>25192</v>
      </c>
      <c r="K37" s="178">
        <f t="shared" si="23"/>
        <v>13621.924383573933</v>
      </c>
      <c r="L37" s="377">
        <f t="shared" si="24"/>
        <v>3405</v>
      </c>
      <c r="M37" s="377">
        <f t="shared" si="25"/>
        <v>38813.924383573933</v>
      </c>
      <c r="N37" s="180">
        <f>'Table 3 Levels 1&amp;2'!AS35</f>
        <v>52190877.5</v>
      </c>
      <c r="O37" s="181">
        <f>'Table 3 Levels 1&amp;2'!C35</f>
        <v>25177</v>
      </c>
      <c r="P37" s="181">
        <f t="shared" si="16"/>
        <v>25181.022793</v>
      </c>
      <c r="Q37" s="182">
        <f t="shared" si="26"/>
        <v>2072.6273880546423</v>
      </c>
      <c r="R37" s="384">
        <f t="shared" si="17"/>
        <v>8337.750948274499</v>
      </c>
      <c r="S37" s="183">
        <v>0</v>
      </c>
      <c r="T37" s="384">
        <f t="shared" si="27"/>
        <v>8337.750948274499</v>
      </c>
      <c r="U37" s="182">
        <f>8*'[2]Table 5A3_OJJ'!W37</f>
        <v>5416</v>
      </c>
      <c r="V37" s="182">
        <f t="shared" si="28"/>
        <v>2921.750948274499</v>
      </c>
      <c r="W37" s="384">
        <f t="shared" si="29"/>
        <v>730</v>
      </c>
      <c r="X37" s="395">
        <f t="shared" si="18"/>
        <v>47151.675331848433</v>
      </c>
      <c r="Y37" s="396">
        <f t="shared" si="19"/>
        <v>4135</v>
      </c>
    </row>
    <row r="38" spans="1:25" ht="16.149999999999999" customHeight="1">
      <c r="A38" s="185">
        <v>33</v>
      </c>
      <c r="B38" s="176" t="s">
        <v>105</v>
      </c>
      <c r="C38" s="177">
        <f>'[15]ADM_summary for MFP Use'!E39</f>
        <v>0.101604</v>
      </c>
      <c r="D38" s="178">
        <f>'Table 3 Levels 1&amp;2'!AP36</f>
        <v>6111.5354558085228</v>
      </c>
      <c r="E38" s="178">
        <f t="shared" si="20"/>
        <v>8045.1285943694111</v>
      </c>
      <c r="F38" s="178">
        <f t="shared" si="21"/>
        <v>9515.4759862316059</v>
      </c>
      <c r="G38" s="377">
        <f t="shared" si="22"/>
        <v>966.8104221050761</v>
      </c>
      <c r="H38" s="179">
        <v>0</v>
      </c>
      <c r="I38" s="377">
        <f t="shared" ref="I38:I69" si="30">SUM(G38:H38)</f>
        <v>966.8104221050761</v>
      </c>
      <c r="J38" s="178">
        <f>8*'[2]Table 5A3_OJJ'!L38</f>
        <v>648</v>
      </c>
      <c r="K38" s="178">
        <f t="shared" si="23"/>
        <v>318.8104221050761</v>
      </c>
      <c r="L38" s="377">
        <f t="shared" si="24"/>
        <v>80</v>
      </c>
      <c r="M38" s="377">
        <f t="shared" si="25"/>
        <v>966.8104221050761</v>
      </c>
      <c r="N38" s="180">
        <f>'Table 3 Levels 1&amp;2'!AS36</f>
        <v>5978340</v>
      </c>
      <c r="O38" s="181">
        <f>'Table 3 Levels 1&amp;2'!C36</f>
        <v>1713</v>
      </c>
      <c r="P38" s="181">
        <f t="shared" ref="P38:P69" si="31">C38+O38</f>
        <v>1713.101604</v>
      </c>
      <c r="Q38" s="182">
        <f t="shared" si="26"/>
        <v>3489.7754961182095</v>
      </c>
      <c r="R38" s="384">
        <f t="shared" ref="R38:R69" si="32">C38*Q38</f>
        <v>354.57514950759457</v>
      </c>
      <c r="S38" s="183">
        <v>0</v>
      </c>
      <c r="T38" s="384">
        <f t="shared" si="27"/>
        <v>354.57514950759457</v>
      </c>
      <c r="U38" s="182">
        <f>8*'[2]Table 5A3_OJJ'!W38</f>
        <v>240</v>
      </c>
      <c r="V38" s="182">
        <f t="shared" si="28"/>
        <v>114.57514950759457</v>
      </c>
      <c r="W38" s="384">
        <f t="shared" si="29"/>
        <v>29</v>
      </c>
      <c r="X38" s="395">
        <f t="shared" si="18"/>
        <v>1321.3855716126707</v>
      </c>
      <c r="Y38" s="396">
        <f t="shared" ref="Y38:Y74" si="33">L38+W38</f>
        <v>109</v>
      </c>
    </row>
    <row r="39" spans="1:25" ht="16.149999999999999" customHeight="1">
      <c r="A39" s="185">
        <v>34</v>
      </c>
      <c r="B39" s="176" t="s">
        <v>106</v>
      </c>
      <c r="C39" s="177">
        <f>'[15]ADM_summary for MFP Use'!E40</f>
        <v>0.90374399999999999</v>
      </c>
      <c r="D39" s="178">
        <f>'Table 3 Levels 1&amp;2'!AP37</f>
        <v>6936.2076842789011</v>
      </c>
      <c r="E39" s="178">
        <f t="shared" si="20"/>
        <v>9130.7140702654451</v>
      </c>
      <c r="F39" s="178">
        <f t="shared" si="21"/>
        <v>10601.06146212764</v>
      </c>
      <c r="G39" s="377">
        <f t="shared" si="22"/>
        <v>9580.6456900290814</v>
      </c>
      <c r="H39" s="179">
        <v>0</v>
      </c>
      <c r="I39" s="377">
        <f t="shared" si="30"/>
        <v>9580.6456900290814</v>
      </c>
      <c r="J39" s="178">
        <f>8*'[2]Table 5A3_OJJ'!L39</f>
        <v>6384</v>
      </c>
      <c r="K39" s="178">
        <f t="shared" si="23"/>
        <v>3196.6456900290814</v>
      </c>
      <c r="L39" s="377">
        <f t="shared" si="24"/>
        <v>799</v>
      </c>
      <c r="M39" s="377">
        <f t="shared" si="25"/>
        <v>9580.6456900290814</v>
      </c>
      <c r="N39" s="180">
        <f>'Table 3 Levels 1&amp;2'!AS37</f>
        <v>12696175</v>
      </c>
      <c r="O39" s="181">
        <f>'Table 3 Levels 1&amp;2'!C37</f>
        <v>4403</v>
      </c>
      <c r="P39" s="181">
        <f t="shared" si="31"/>
        <v>4403.9037440000002</v>
      </c>
      <c r="Q39" s="182">
        <f t="shared" si="26"/>
        <v>2882.9365349543841</v>
      </c>
      <c r="R39" s="384">
        <f t="shared" si="32"/>
        <v>2605.4365958458147</v>
      </c>
      <c r="S39" s="183">
        <v>0</v>
      </c>
      <c r="T39" s="384">
        <f t="shared" si="27"/>
        <v>2605.4365958458147</v>
      </c>
      <c r="U39" s="182">
        <f>8*'[2]Table 5A3_OJJ'!W39</f>
        <v>1736</v>
      </c>
      <c r="V39" s="182">
        <f t="shared" si="28"/>
        <v>869.43659584581474</v>
      </c>
      <c r="W39" s="384">
        <f t="shared" si="29"/>
        <v>217</v>
      </c>
      <c r="X39" s="395">
        <f t="shared" si="18"/>
        <v>12186.082285874896</v>
      </c>
      <c r="Y39" s="396">
        <f t="shared" si="33"/>
        <v>1016</v>
      </c>
    </row>
    <row r="40" spans="1:25" ht="16.149999999999999" customHeight="1">
      <c r="A40" s="158">
        <v>35</v>
      </c>
      <c r="B40" s="159" t="s">
        <v>107</v>
      </c>
      <c r="C40" s="160">
        <f>'[15]ADM_summary for MFP Use'!E41</f>
        <v>3.030662</v>
      </c>
      <c r="D40" s="161">
        <f>'Table 3 Levels 1&amp;2'!AP38</f>
        <v>5704.2082060477605</v>
      </c>
      <c r="E40" s="161">
        <f t="shared" si="20"/>
        <v>7508.9294463792548</v>
      </c>
      <c r="F40" s="161">
        <f t="shared" si="21"/>
        <v>8979.2768382414506</v>
      </c>
      <c r="G40" s="378">
        <f t="shared" si="22"/>
        <v>27213.153101138512</v>
      </c>
      <c r="H40" s="162">
        <v>0</v>
      </c>
      <c r="I40" s="378">
        <f t="shared" si="30"/>
        <v>27213.153101138512</v>
      </c>
      <c r="J40" s="161">
        <f>8*'[2]Table 5A3_OJJ'!L40</f>
        <v>18144</v>
      </c>
      <c r="K40" s="161">
        <f t="shared" si="23"/>
        <v>9069.1531011385123</v>
      </c>
      <c r="L40" s="378">
        <f t="shared" si="24"/>
        <v>2267</v>
      </c>
      <c r="M40" s="378">
        <f t="shared" si="25"/>
        <v>27213.153101138512</v>
      </c>
      <c r="N40" s="163">
        <f>'Table 3 Levels 1&amp;2'!AS38</f>
        <v>21122279</v>
      </c>
      <c r="O40" s="164">
        <f>'Table 3 Levels 1&amp;2'!C38</f>
        <v>6407</v>
      </c>
      <c r="P40" s="164">
        <f t="shared" si="31"/>
        <v>6410.0306620000001</v>
      </c>
      <c r="Q40" s="165">
        <f t="shared" si="26"/>
        <v>3295.1915698652238</v>
      </c>
      <c r="R40" s="385">
        <f t="shared" si="32"/>
        <v>9986.6118735108794</v>
      </c>
      <c r="S40" s="166">
        <v>0</v>
      </c>
      <c r="T40" s="385">
        <f t="shared" si="27"/>
        <v>9986.6118735108794</v>
      </c>
      <c r="U40" s="165">
        <f>8*'[2]Table 5A3_OJJ'!W40</f>
        <v>6656</v>
      </c>
      <c r="V40" s="165">
        <f t="shared" si="28"/>
        <v>3330.6118735108794</v>
      </c>
      <c r="W40" s="385">
        <f t="shared" si="29"/>
        <v>833</v>
      </c>
      <c r="X40" s="397">
        <f t="shared" si="18"/>
        <v>37199.764974649392</v>
      </c>
      <c r="Y40" s="398">
        <f t="shared" si="33"/>
        <v>3100</v>
      </c>
    </row>
    <row r="41" spans="1:25" ht="16.149999999999999" customHeight="1">
      <c r="A41" s="184">
        <v>36</v>
      </c>
      <c r="B41" s="167" t="s">
        <v>108</v>
      </c>
      <c r="C41" s="168">
        <f>'[15]ADM_summary for MFP Use'!E42</f>
        <v>33.825468999999998</v>
      </c>
      <c r="D41" s="169">
        <f>'Table 3 Levels 1&amp;2'!AP39</f>
        <v>4335.3686873887582</v>
      </c>
      <c r="E41" s="169">
        <f t="shared" si="20"/>
        <v>5707.010757975032</v>
      </c>
      <c r="F41" s="169">
        <f t="shared" si="21"/>
        <v>7177.3581498372268</v>
      </c>
      <c r="G41" s="376">
        <f t="shared" si="22"/>
        <v>242777.50559921647</v>
      </c>
      <c r="H41" s="170">
        <v>0</v>
      </c>
      <c r="I41" s="380">
        <f t="shared" si="30"/>
        <v>242777.50559921647</v>
      </c>
      <c r="J41" s="171">
        <f>8*'[2]Table 5A3_OJJ'!L41</f>
        <v>158776</v>
      </c>
      <c r="K41" s="171">
        <f t="shared" si="23"/>
        <v>84001.505599216471</v>
      </c>
      <c r="L41" s="376">
        <f t="shared" si="24"/>
        <v>21000</v>
      </c>
      <c r="M41" s="380">
        <f t="shared" si="25"/>
        <v>242777.50559921647</v>
      </c>
      <c r="N41" s="172">
        <f>'Table 3 Levels 1&amp;2'!AS39</f>
        <v>190506508.97999999</v>
      </c>
      <c r="O41" s="173">
        <f>'Table 3 Levels 1&amp;2'!C39</f>
        <v>42117</v>
      </c>
      <c r="P41" s="173">
        <f t="shared" si="31"/>
        <v>42150.825469000003</v>
      </c>
      <c r="Q41" s="174">
        <f t="shared" si="26"/>
        <v>4519.6388649638375</v>
      </c>
      <c r="R41" s="383">
        <f t="shared" si="32"/>
        <v>152878.90431802947</v>
      </c>
      <c r="S41" s="175">
        <v>0</v>
      </c>
      <c r="T41" s="383">
        <f t="shared" si="27"/>
        <v>152878.90431802947</v>
      </c>
      <c r="U41" s="174">
        <f>8*'[2]Table 5A3_OJJ'!W41</f>
        <v>99984</v>
      </c>
      <c r="V41" s="174">
        <f t="shared" si="28"/>
        <v>52894.904318029468</v>
      </c>
      <c r="W41" s="383">
        <f t="shared" si="29"/>
        <v>13224</v>
      </c>
      <c r="X41" s="393">
        <f t="shared" si="18"/>
        <v>395656.40991724597</v>
      </c>
      <c r="Y41" s="394">
        <f t="shared" si="33"/>
        <v>34224</v>
      </c>
    </row>
    <row r="42" spans="1:25" ht="16.149999999999999" customHeight="1">
      <c r="A42" s="185">
        <v>37</v>
      </c>
      <c r="B42" s="176" t="s">
        <v>109</v>
      </c>
      <c r="C42" s="177">
        <f>'[15]ADM_summary for MFP Use'!E43</f>
        <v>6.4545459999999997</v>
      </c>
      <c r="D42" s="178">
        <f>'Table 3 Levels 1&amp;2'!AP40</f>
        <v>6318.9939260317688</v>
      </c>
      <c r="E42" s="178">
        <f t="shared" si="20"/>
        <v>8318.223642742385</v>
      </c>
      <c r="F42" s="178">
        <f t="shared" si="21"/>
        <v>9788.5710346045798</v>
      </c>
      <c r="G42" s="377">
        <f t="shared" si="22"/>
        <v>63180.782017122852</v>
      </c>
      <c r="H42" s="179">
        <v>0</v>
      </c>
      <c r="I42" s="377">
        <f t="shared" si="30"/>
        <v>63180.782017122852</v>
      </c>
      <c r="J42" s="178">
        <f>8*'[2]Table 5A3_OJJ'!L42</f>
        <v>42120</v>
      </c>
      <c r="K42" s="178">
        <f t="shared" si="23"/>
        <v>21060.782017122852</v>
      </c>
      <c r="L42" s="377">
        <f t="shared" si="24"/>
        <v>5265</v>
      </c>
      <c r="M42" s="377">
        <f t="shared" si="25"/>
        <v>63180.782017122852</v>
      </c>
      <c r="N42" s="180">
        <f>'Table 3 Levels 1&amp;2'!AS40</f>
        <v>57591999.899999999</v>
      </c>
      <c r="O42" s="181">
        <f>'Table 3 Levels 1&amp;2'!C40</f>
        <v>19478</v>
      </c>
      <c r="P42" s="181">
        <f t="shared" si="31"/>
        <v>19484.454546000001</v>
      </c>
      <c r="Q42" s="182">
        <f t="shared" si="26"/>
        <v>2955.792258081105</v>
      </c>
      <c r="R42" s="384">
        <f t="shared" si="32"/>
        <v>19078.297096228362</v>
      </c>
      <c r="S42" s="183">
        <v>0</v>
      </c>
      <c r="T42" s="384">
        <f t="shared" si="27"/>
        <v>19078.297096228362</v>
      </c>
      <c r="U42" s="182">
        <f>8*'[2]Table 5A3_OJJ'!W42</f>
        <v>12720</v>
      </c>
      <c r="V42" s="182">
        <f t="shared" si="28"/>
        <v>6358.2970962283616</v>
      </c>
      <c r="W42" s="384">
        <f t="shared" si="29"/>
        <v>1590</v>
      </c>
      <c r="X42" s="395">
        <f t="shared" si="18"/>
        <v>82259.07911335121</v>
      </c>
      <c r="Y42" s="396">
        <f t="shared" si="33"/>
        <v>6855</v>
      </c>
    </row>
    <row r="43" spans="1:25" ht="16.149999999999999" customHeight="1">
      <c r="A43" s="185">
        <v>38</v>
      </c>
      <c r="B43" s="176" t="s">
        <v>110</v>
      </c>
      <c r="C43" s="177">
        <f>'[15]ADM_summary for MFP Use'!E44</f>
        <v>0.86693500000000001</v>
      </c>
      <c r="D43" s="178">
        <f>'Table 3 Levels 1&amp;2'!AP41</f>
        <v>2918.7217552916882</v>
      </c>
      <c r="E43" s="178">
        <f t="shared" si="20"/>
        <v>3842.1591467964031</v>
      </c>
      <c r="F43" s="178">
        <f t="shared" si="21"/>
        <v>5312.5065386585975</v>
      </c>
      <c r="G43" s="377">
        <f t="shared" si="22"/>
        <v>4605.5978560919912</v>
      </c>
      <c r="H43" s="179">
        <v>0</v>
      </c>
      <c r="I43" s="377">
        <f t="shared" si="30"/>
        <v>4605.5978560919912</v>
      </c>
      <c r="J43" s="178">
        <f>8*'[2]Table 5A3_OJJ'!L43</f>
        <v>3072</v>
      </c>
      <c r="K43" s="178">
        <f t="shared" si="23"/>
        <v>1533.5978560919912</v>
      </c>
      <c r="L43" s="377">
        <f t="shared" si="24"/>
        <v>383</v>
      </c>
      <c r="M43" s="377">
        <f t="shared" si="25"/>
        <v>4605.5978560919912</v>
      </c>
      <c r="N43" s="180">
        <f>'Table 3 Levels 1&amp;2'!AS41</f>
        <v>24506073.239999998</v>
      </c>
      <c r="O43" s="181">
        <f>'Table 3 Levels 1&amp;2'!C41</f>
        <v>3874</v>
      </c>
      <c r="P43" s="181">
        <f t="shared" si="31"/>
        <v>3874.866935</v>
      </c>
      <c r="Q43" s="182">
        <f t="shared" si="26"/>
        <v>6324.3651075207817</v>
      </c>
      <c r="R43" s="384">
        <f t="shared" si="32"/>
        <v>5482.8134644885286</v>
      </c>
      <c r="S43" s="183">
        <v>0</v>
      </c>
      <c r="T43" s="384">
        <f t="shared" si="27"/>
        <v>5482.8134644885286</v>
      </c>
      <c r="U43" s="182">
        <f>8*'[2]Table 5A3_OJJ'!W43</f>
        <v>3656</v>
      </c>
      <c r="V43" s="182">
        <f t="shared" si="28"/>
        <v>1826.8134644885286</v>
      </c>
      <c r="W43" s="384">
        <f t="shared" si="29"/>
        <v>457</v>
      </c>
      <c r="X43" s="395">
        <f t="shared" si="18"/>
        <v>10088.411320580519</v>
      </c>
      <c r="Y43" s="396">
        <f t="shared" si="33"/>
        <v>840</v>
      </c>
    </row>
    <row r="44" spans="1:25" ht="16.149999999999999" customHeight="1">
      <c r="A44" s="185">
        <v>39</v>
      </c>
      <c r="B44" s="176" t="s">
        <v>111</v>
      </c>
      <c r="C44" s="177">
        <f>'[15]ADM_summary for MFP Use'!E45</f>
        <v>0.68026500000000001</v>
      </c>
      <c r="D44" s="178">
        <f>'Table 3 Levels 1&amp;2'!AP42</f>
        <v>4436.5614113573311</v>
      </c>
      <c r="E44" s="178">
        <f t="shared" si="20"/>
        <v>5840.2192590184077</v>
      </c>
      <c r="F44" s="178">
        <f t="shared" si="21"/>
        <v>7310.5666508806025</v>
      </c>
      <c r="G44" s="377">
        <f t="shared" si="22"/>
        <v>4973.1226227612933</v>
      </c>
      <c r="H44" s="179">
        <v>0</v>
      </c>
      <c r="I44" s="377">
        <f t="shared" si="30"/>
        <v>4973.1226227612933</v>
      </c>
      <c r="J44" s="178">
        <f>8*'[2]Table 5A3_OJJ'!L44</f>
        <v>3312</v>
      </c>
      <c r="K44" s="178">
        <f t="shared" si="23"/>
        <v>1661.1226227612933</v>
      </c>
      <c r="L44" s="377">
        <f t="shared" si="24"/>
        <v>415</v>
      </c>
      <c r="M44" s="377">
        <f t="shared" si="25"/>
        <v>4973.1226227612933</v>
      </c>
      <c r="N44" s="180">
        <f>'Table 3 Levels 1&amp;2'!AS42</f>
        <v>12816968.5</v>
      </c>
      <c r="O44" s="181">
        <f>'Table 3 Levels 1&amp;2'!C42</f>
        <v>2797</v>
      </c>
      <c r="P44" s="181">
        <f t="shared" si="31"/>
        <v>2797.680265</v>
      </c>
      <c r="Q44" s="182">
        <f t="shared" si="26"/>
        <v>4581.2842376396429</v>
      </c>
      <c r="R44" s="384">
        <f t="shared" si="32"/>
        <v>3116.4873219179317</v>
      </c>
      <c r="S44" s="183">
        <v>0</v>
      </c>
      <c r="T44" s="384">
        <f t="shared" si="27"/>
        <v>3116.4873219179317</v>
      </c>
      <c r="U44" s="182">
        <f>8*'[2]Table 5A3_OJJ'!W44</f>
        <v>2080</v>
      </c>
      <c r="V44" s="182">
        <f t="shared" si="28"/>
        <v>1036.4873219179317</v>
      </c>
      <c r="W44" s="384">
        <f t="shared" si="29"/>
        <v>259</v>
      </c>
      <c r="X44" s="395">
        <f t="shared" si="18"/>
        <v>8089.609944679225</v>
      </c>
      <c r="Y44" s="396">
        <f t="shared" si="33"/>
        <v>674</v>
      </c>
    </row>
    <row r="45" spans="1:25" ht="16.149999999999999" customHeight="1">
      <c r="A45" s="158">
        <v>40</v>
      </c>
      <c r="B45" s="159" t="s">
        <v>112</v>
      </c>
      <c r="C45" s="160">
        <f>'[15]ADM_summary for MFP Use'!E46</f>
        <v>12.879527</v>
      </c>
      <c r="D45" s="161">
        <f>'Table 3 Levels 1&amp;2'!AP43</f>
        <v>5822.0810285698408</v>
      </c>
      <c r="E45" s="161">
        <f t="shared" si="20"/>
        <v>7664.0953652925018</v>
      </c>
      <c r="F45" s="161">
        <f t="shared" si="21"/>
        <v>9134.4427571546967</v>
      </c>
      <c r="G45" s="378">
        <f t="shared" si="22"/>
        <v>117647.30212072836</v>
      </c>
      <c r="H45" s="162">
        <v>0</v>
      </c>
      <c r="I45" s="378">
        <f t="shared" si="30"/>
        <v>117647.30212072836</v>
      </c>
      <c r="J45" s="161">
        <f>8*'[2]Table 5A3_OJJ'!L45</f>
        <v>78432</v>
      </c>
      <c r="K45" s="161">
        <f t="shared" si="23"/>
        <v>39215.30212072836</v>
      </c>
      <c r="L45" s="378">
        <f t="shared" si="24"/>
        <v>9804</v>
      </c>
      <c r="M45" s="378">
        <f t="shared" si="25"/>
        <v>117647.30212072836</v>
      </c>
      <c r="N45" s="163">
        <f>'Table 3 Levels 1&amp;2'!AS43</f>
        <v>71285794</v>
      </c>
      <c r="O45" s="164">
        <f>'Table 3 Levels 1&amp;2'!C43</f>
        <v>23024</v>
      </c>
      <c r="P45" s="164">
        <f t="shared" si="31"/>
        <v>23036.879527000001</v>
      </c>
      <c r="Q45" s="165">
        <f t="shared" si="26"/>
        <v>3094.4205753409719</v>
      </c>
      <c r="R45" s="385">
        <f t="shared" si="32"/>
        <v>39854.673349459583</v>
      </c>
      <c r="S45" s="166">
        <v>0</v>
      </c>
      <c r="T45" s="385">
        <f t="shared" si="27"/>
        <v>39854.673349459583</v>
      </c>
      <c r="U45" s="165">
        <f>8*'[2]Table 5A3_OJJ'!W45</f>
        <v>26568</v>
      </c>
      <c r="V45" s="165">
        <f t="shared" si="28"/>
        <v>13286.673349459583</v>
      </c>
      <c r="W45" s="385">
        <f t="shared" si="29"/>
        <v>3322</v>
      </c>
      <c r="X45" s="397">
        <f t="shared" si="18"/>
        <v>157501.97547018796</v>
      </c>
      <c r="Y45" s="398">
        <f t="shared" si="33"/>
        <v>13126</v>
      </c>
    </row>
    <row r="46" spans="1:25" ht="16.149999999999999" customHeight="1">
      <c r="A46" s="184">
        <v>41</v>
      </c>
      <c r="B46" s="167" t="s">
        <v>113</v>
      </c>
      <c r="C46" s="168">
        <f>'[15]ADM_summary for MFP Use'!E47</f>
        <v>1</v>
      </c>
      <c r="D46" s="169">
        <f>'Table 3 Levels 1&amp;2'!AP44</f>
        <v>4177.4148574716473</v>
      </c>
      <c r="E46" s="169">
        <f t="shared" si="20"/>
        <v>5499.0828349768008</v>
      </c>
      <c r="F46" s="169">
        <f t="shared" si="21"/>
        <v>6969.4302268389956</v>
      </c>
      <c r="G46" s="376">
        <f t="shared" si="22"/>
        <v>6969.4302268389956</v>
      </c>
      <c r="H46" s="170">
        <v>0</v>
      </c>
      <c r="I46" s="380">
        <f t="shared" si="30"/>
        <v>6969.4302268389956</v>
      </c>
      <c r="J46" s="171">
        <f>8*'[2]Table 5A3_OJJ'!L46</f>
        <v>4648</v>
      </c>
      <c r="K46" s="171">
        <f t="shared" si="23"/>
        <v>2321.4302268389956</v>
      </c>
      <c r="L46" s="376">
        <f t="shared" si="24"/>
        <v>580</v>
      </c>
      <c r="M46" s="380">
        <f t="shared" si="25"/>
        <v>6969.4302268389956</v>
      </c>
      <c r="N46" s="172">
        <f>'Table 3 Levels 1&amp;2'!AS44</f>
        <v>7432016.5599999996</v>
      </c>
      <c r="O46" s="173">
        <f>'Table 3 Levels 1&amp;2'!C44</f>
        <v>1451</v>
      </c>
      <c r="P46" s="173">
        <f t="shared" si="31"/>
        <v>1452</v>
      </c>
      <c r="Q46" s="174">
        <f t="shared" si="26"/>
        <v>5118.4687052341596</v>
      </c>
      <c r="R46" s="383">
        <f t="shared" si="32"/>
        <v>5118.4687052341596</v>
      </c>
      <c r="S46" s="175">
        <v>0</v>
      </c>
      <c r="T46" s="383">
        <f t="shared" si="27"/>
        <v>5118.4687052341596</v>
      </c>
      <c r="U46" s="174">
        <f>8*'[2]Table 5A3_OJJ'!W46</f>
        <v>3416</v>
      </c>
      <c r="V46" s="174">
        <f t="shared" si="28"/>
        <v>1702.4687052341596</v>
      </c>
      <c r="W46" s="383">
        <f t="shared" si="29"/>
        <v>426</v>
      </c>
      <c r="X46" s="393">
        <f t="shared" si="18"/>
        <v>12087.898932073156</v>
      </c>
      <c r="Y46" s="394">
        <f t="shared" si="33"/>
        <v>1006</v>
      </c>
    </row>
    <row r="47" spans="1:25" ht="16.149999999999999" customHeight="1">
      <c r="A47" s="185">
        <v>42</v>
      </c>
      <c r="B47" s="176" t="s">
        <v>114</v>
      </c>
      <c r="C47" s="177">
        <f>'[15]ADM_summary for MFP Use'!E48</f>
        <v>3.0481280000000002</v>
      </c>
      <c r="D47" s="178">
        <f>'Table 3 Levels 1&amp;2'!AP45</f>
        <v>5647.8877751368673</v>
      </c>
      <c r="E47" s="178">
        <f t="shared" si="20"/>
        <v>7434.7901220728254</v>
      </c>
      <c r="F47" s="178">
        <f t="shared" si="21"/>
        <v>8905.1375139350203</v>
      </c>
      <c r="G47" s="377">
        <f t="shared" si="22"/>
        <v>27143.999000075728</v>
      </c>
      <c r="H47" s="179">
        <v>0</v>
      </c>
      <c r="I47" s="377">
        <f t="shared" si="30"/>
        <v>27143.999000075728</v>
      </c>
      <c r="J47" s="178">
        <f>8*'[2]Table 5A3_OJJ'!L47</f>
        <v>18096</v>
      </c>
      <c r="K47" s="178">
        <f t="shared" si="23"/>
        <v>9047.999000075728</v>
      </c>
      <c r="L47" s="377">
        <f t="shared" si="24"/>
        <v>2262</v>
      </c>
      <c r="M47" s="377">
        <f t="shared" si="25"/>
        <v>27143.999000075728</v>
      </c>
      <c r="N47" s="180">
        <f>'Table 3 Levels 1&amp;2'!AS45</f>
        <v>11910886</v>
      </c>
      <c r="O47" s="181">
        <f>'Table 3 Levels 1&amp;2'!C45</f>
        <v>3244</v>
      </c>
      <c r="P47" s="181">
        <f t="shared" si="31"/>
        <v>3247.0481279999999</v>
      </c>
      <c r="Q47" s="182">
        <f t="shared" si="26"/>
        <v>3668.219727724344</v>
      </c>
      <c r="R47" s="384">
        <f t="shared" si="32"/>
        <v>11181.20326222895</v>
      </c>
      <c r="S47" s="183">
        <v>0</v>
      </c>
      <c r="T47" s="384">
        <f t="shared" si="27"/>
        <v>11181.20326222895</v>
      </c>
      <c r="U47" s="182">
        <f>8*'[2]Table 5A3_OJJ'!W47</f>
        <v>7456</v>
      </c>
      <c r="V47" s="182">
        <f t="shared" si="28"/>
        <v>3725.2032622289498</v>
      </c>
      <c r="W47" s="384">
        <f t="shared" si="29"/>
        <v>931</v>
      </c>
      <c r="X47" s="395">
        <f t="shared" si="18"/>
        <v>38325.20226230468</v>
      </c>
      <c r="Y47" s="396">
        <f t="shared" si="33"/>
        <v>3193</v>
      </c>
    </row>
    <row r="48" spans="1:25" ht="16.149999999999999" customHeight="1">
      <c r="A48" s="185">
        <v>43</v>
      </c>
      <c r="B48" s="176" t="s">
        <v>115</v>
      </c>
      <c r="C48" s="177">
        <f>'[15]ADM_summary for MFP Use'!E49</f>
        <v>1.8990849999999999</v>
      </c>
      <c r="D48" s="178">
        <f>'Table 3 Levels 1&amp;2'!AP46</f>
        <v>6363.3538720594697</v>
      </c>
      <c r="E48" s="178">
        <f t="shared" si="20"/>
        <v>8376.6183739539902</v>
      </c>
      <c r="F48" s="178">
        <f t="shared" si="21"/>
        <v>9846.965765816185</v>
      </c>
      <c r="G48" s="377">
        <f t="shared" si="22"/>
        <v>18700.224981375028</v>
      </c>
      <c r="H48" s="179">
        <v>0</v>
      </c>
      <c r="I48" s="377">
        <f t="shared" si="30"/>
        <v>18700.224981375028</v>
      </c>
      <c r="J48" s="178">
        <f>8*'[2]Table 5A3_OJJ'!L48</f>
        <v>12464</v>
      </c>
      <c r="K48" s="178">
        <f t="shared" si="23"/>
        <v>6236.2249813750277</v>
      </c>
      <c r="L48" s="377">
        <f t="shared" si="24"/>
        <v>1559</v>
      </c>
      <c r="M48" s="377">
        <f t="shared" si="25"/>
        <v>18700.224981375028</v>
      </c>
      <c r="N48" s="180">
        <f>'Table 3 Levels 1&amp;2'!AS46</f>
        <v>13825912.939999999</v>
      </c>
      <c r="O48" s="181">
        <f>'Table 3 Levels 1&amp;2'!C46</f>
        <v>4111</v>
      </c>
      <c r="P48" s="181">
        <f t="shared" si="31"/>
        <v>4112.899085</v>
      </c>
      <c r="Q48" s="182">
        <f t="shared" si="26"/>
        <v>3361.5979031491356</v>
      </c>
      <c r="R48" s="384">
        <f t="shared" si="32"/>
        <v>6383.9601539019759</v>
      </c>
      <c r="S48" s="183">
        <v>0</v>
      </c>
      <c r="T48" s="384">
        <f t="shared" si="27"/>
        <v>6383.9601539019759</v>
      </c>
      <c r="U48" s="182">
        <f>8*'[2]Table 5A3_OJJ'!W48</f>
        <v>4256</v>
      </c>
      <c r="V48" s="182">
        <f t="shared" si="28"/>
        <v>2127.9601539019759</v>
      </c>
      <c r="W48" s="384">
        <f t="shared" si="29"/>
        <v>532</v>
      </c>
      <c r="X48" s="395">
        <f t="shared" si="18"/>
        <v>25084.185135277003</v>
      </c>
      <c r="Y48" s="396">
        <f t="shared" si="33"/>
        <v>2091</v>
      </c>
    </row>
    <row r="49" spans="1:25" ht="16.149999999999999" customHeight="1">
      <c r="A49" s="185">
        <v>44</v>
      </c>
      <c r="B49" s="176" t="s">
        <v>116</v>
      </c>
      <c r="C49" s="177">
        <f>'[15]ADM_summary for MFP Use'!E50</f>
        <v>0.47142899999999999</v>
      </c>
      <c r="D49" s="178">
        <f>'Table 3 Levels 1&amp;2'!AP47</f>
        <v>5560.7558151820349</v>
      </c>
      <c r="E49" s="178">
        <f t="shared" si="20"/>
        <v>7320.0909883469722</v>
      </c>
      <c r="F49" s="178">
        <f t="shared" si="21"/>
        <v>8790.438380209167</v>
      </c>
      <c r="G49" s="377">
        <f t="shared" si="22"/>
        <v>4144.0675751436274</v>
      </c>
      <c r="H49" s="179">
        <v>0</v>
      </c>
      <c r="I49" s="377">
        <f t="shared" si="30"/>
        <v>4144.0675751436274</v>
      </c>
      <c r="J49" s="178">
        <f>8*'[2]Table 5A3_OJJ'!L49</f>
        <v>2760</v>
      </c>
      <c r="K49" s="178">
        <f t="shared" si="23"/>
        <v>1384.0675751436274</v>
      </c>
      <c r="L49" s="377">
        <f t="shared" si="24"/>
        <v>346</v>
      </c>
      <c r="M49" s="377">
        <f t="shared" si="25"/>
        <v>4144.0675751436274</v>
      </c>
      <c r="N49" s="180">
        <f>'Table 3 Levels 1&amp;2'!AS47</f>
        <v>23802113.5</v>
      </c>
      <c r="O49" s="181">
        <f>'Table 3 Levels 1&amp;2'!C47</f>
        <v>6680</v>
      </c>
      <c r="P49" s="181">
        <f t="shared" si="31"/>
        <v>6680.4714290000002</v>
      </c>
      <c r="Q49" s="182">
        <f t="shared" si="26"/>
        <v>3562.9391956793293</v>
      </c>
      <c r="R49" s="384">
        <f t="shared" si="32"/>
        <v>1679.6728620799104</v>
      </c>
      <c r="S49" s="183">
        <v>0</v>
      </c>
      <c r="T49" s="384">
        <f t="shared" si="27"/>
        <v>1679.6728620799104</v>
      </c>
      <c r="U49" s="182">
        <f>8*'[2]Table 5A3_OJJ'!W49</f>
        <v>1120</v>
      </c>
      <c r="V49" s="182">
        <f t="shared" si="28"/>
        <v>559.67286207991037</v>
      </c>
      <c r="W49" s="384">
        <f t="shared" si="29"/>
        <v>140</v>
      </c>
      <c r="X49" s="395">
        <f t="shared" si="18"/>
        <v>5823.7404372235378</v>
      </c>
      <c r="Y49" s="396">
        <f t="shared" si="33"/>
        <v>486</v>
      </c>
    </row>
    <row r="50" spans="1:25" ht="16.149999999999999" customHeight="1">
      <c r="A50" s="158">
        <v>45</v>
      </c>
      <c r="B50" s="159" t="s">
        <v>117</v>
      </c>
      <c r="C50" s="160">
        <f>'[15]ADM_summary for MFP Use'!E51</f>
        <v>1.1665080000000001</v>
      </c>
      <c r="D50" s="161">
        <f>'Table 3 Levels 1&amp;2'!AP48</f>
        <v>2808.0072499469102</v>
      </c>
      <c r="E50" s="161">
        <f t="shared" si="20"/>
        <v>3696.4163233764411</v>
      </c>
      <c r="F50" s="161">
        <f t="shared" si="21"/>
        <v>5166.763715238636</v>
      </c>
      <c r="G50" s="378">
        <f t="shared" si="22"/>
        <v>6027.0712079355917</v>
      </c>
      <c r="H50" s="162">
        <v>0</v>
      </c>
      <c r="I50" s="378">
        <f t="shared" si="30"/>
        <v>6027.0712079355917</v>
      </c>
      <c r="J50" s="161">
        <f>8*'[2]Table 5A3_OJJ'!L50</f>
        <v>4184</v>
      </c>
      <c r="K50" s="161">
        <f t="shared" si="23"/>
        <v>1843.0712079355917</v>
      </c>
      <c r="L50" s="378">
        <f t="shared" si="24"/>
        <v>461</v>
      </c>
      <c r="M50" s="378">
        <f t="shared" si="25"/>
        <v>6027.0712079355917</v>
      </c>
      <c r="N50" s="163">
        <f>'Table 3 Levels 1&amp;2'!AS48</f>
        <v>51637295</v>
      </c>
      <c r="O50" s="164">
        <f>'Table 3 Levels 1&amp;2'!C48</f>
        <v>9418</v>
      </c>
      <c r="P50" s="164">
        <f t="shared" si="31"/>
        <v>9419.1665080000002</v>
      </c>
      <c r="Q50" s="165">
        <f t="shared" si="26"/>
        <v>5482.1512026719975</v>
      </c>
      <c r="R50" s="385">
        <f t="shared" si="32"/>
        <v>6394.9732351265066</v>
      </c>
      <c r="S50" s="166">
        <v>0</v>
      </c>
      <c r="T50" s="385">
        <f t="shared" si="27"/>
        <v>6394.9732351265066</v>
      </c>
      <c r="U50" s="165">
        <f>8*'[2]Table 5A3_OJJ'!W50</f>
        <v>4440</v>
      </c>
      <c r="V50" s="165">
        <f t="shared" si="28"/>
        <v>1954.9732351265066</v>
      </c>
      <c r="W50" s="385">
        <f t="shared" si="29"/>
        <v>489</v>
      </c>
      <c r="X50" s="397">
        <f t="shared" si="18"/>
        <v>12422.044443062099</v>
      </c>
      <c r="Y50" s="398">
        <f t="shared" si="33"/>
        <v>950</v>
      </c>
    </row>
    <row r="51" spans="1:25" ht="16.149999999999999" customHeight="1">
      <c r="A51" s="184">
        <v>46</v>
      </c>
      <c r="B51" s="167" t="s">
        <v>118</v>
      </c>
      <c r="C51" s="168">
        <f>'[15]ADM_summary for MFP Use'!E52</f>
        <v>0</v>
      </c>
      <c r="D51" s="169">
        <f>'Table 3 Levels 1&amp;2'!AP49</f>
        <v>6779.2744468088376</v>
      </c>
      <c r="E51" s="169">
        <f t="shared" si="20"/>
        <v>8924.1296390195439</v>
      </c>
      <c r="F51" s="169">
        <f t="shared" si="21"/>
        <v>10394.477030881739</v>
      </c>
      <c r="G51" s="376">
        <f t="shared" si="22"/>
        <v>0</v>
      </c>
      <c r="H51" s="170">
        <v>0</v>
      </c>
      <c r="I51" s="380">
        <f t="shared" si="30"/>
        <v>0</v>
      </c>
      <c r="J51" s="171">
        <f>8*'[2]Table 5A3_OJJ'!L51</f>
        <v>0</v>
      </c>
      <c r="K51" s="171">
        <f t="shared" si="23"/>
        <v>0</v>
      </c>
      <c r="L51" s="376">
        <f t="shared" si="24"/>
        <v>0</v>
      </c>
      <c r="M51" s="380">
        <f t="shared" si="25"/>
        <v>0</v>
      </c>
      <c r="N51" s="172">
        <f>'Table 3 Levels 1&amp;2'!AS49</f>
        <v>2594961.5</v>
      </c>
      <c r="O51" s="173">
        <f>'Table 3 Levels 1&amp;2'!C49</f>
        <v>1041</v>
      </c>
      <c r="P51" s="173">
        <f t="shared" si="31"/>
        <v>1041</v>
      </c>
      <c r="Q51" s="174">
        <f t="shared" si="26"/>
        <v>2492.758405379443</v>
      </c>
      <c r="R51" s="383">
        <f t="shared" si="32"/>
        <v>0</v>
      </c>
      <c r="S51" s="175">
        <v>0</v>
      </c>
      <c r="T51" s="383">
        <f t="shared" si="27"/>
        <v>0</v>
      </c>
      <c r="U51" s="174">
        <f>8*'[2]Table 5A3_OJJ'!W51</f>
        <v>0</v>
      </c>
      <c r="V51" s="174">
        <f t="shared" si="28"/>
        <v>0</v>
      </c>
      <c r="W51" s="383">
        <f t="shared" si="29"/>
        <v>0</v>
      </c>
      <c r="X51" s="393">
        <f t="shared" si="18"/>
        <v>0</v>
      </c>
      <c r="Y51" s="394">
        <f t="shared" si="33"/>
        <v>0</v>
      </c>
    </row>
    <row r="52" spans="1:25" ht="16.149999999999999" customHeight="1">
      <c r="A52" s="185">
        <v>47</v>
      </c>
      <c r="B52" s="176" t="s">
        <v>119</v>
      </c>
      <c r="C52" s="177">
        <f>'[15]ADM_summary for MFP Use'!E53</f>
        <v>0.137097</v>
      </c>
      <c r="D52" s="178">
        <f>'Table 3 Levels 1&amp;2'!AP50</f>
        <v>3434.9085257646734</v>
      </c>
      <c r="E52" s="178">
        <f t="shared" si="20"/>
        <v>4521.6592457806155</v>
      </c>
      <c r="F52" s="178">
        <f t="shared" si="21"/>
        <v>5992.0066376428103</v>
      </c>
      <c r="G52" s="377">
        <f t="shared" si="22"/>
        <v>821.48613400091631</v>
      </c>
      <c r="H52" s="179">
        <v>0</v>
      </c>
      <c r="I52" s="377">
        <f t="shared" si="30"/>
        <v>821.48613400091631</v>
      </c>
      <c r="J52" s="178">
        <f>8*'[2]Table 5A3_OJJ'!L52</f>
        <v>544</v>
      </c>
      <c r="K52" s="178">
        <f t="shared" si="23"/>
        <v>277.48613400091631</v>
      </c>
      <c r="L52" s="377">
        <f t="shared" si="24"/>
        <v>69</v>
      </c>
      <c r="M52" s="377">
        <f t="shared" si="25"/>
        <v>821.48613400091631</v>
      </c>
      <c r="N52" s="180">
        <f>'Table 3 Levels 1&amp;2'!AS50</f>
        <v>21672425.140000001</v>
      </c>
      <c r="O52" s="181">
        <f>'Table 3 Levels 1&amp;2'!C50</f>
        <v>3629</v>
      </c>
      <c r="P52" s="181">
        <f t="shared" si="31"/>
        <v>3629.1370969999998</v>
      </c>
      <c r="Q52" s="182">
        <f t="shared" si="26"/>
        <v>5971.7846310946352</v>
      </c>
      <c r="R52" s="384">
        <f t="shared" si="32"/>
        <v>818.71375756918121</v>
      </c>
      <c r="S52" s="183">
        <v>0</v>
      </c>
      <c r="T52" s="384">
        <f t="shared" si="27"/>
        <v>818.71375756918121</v>
      </c>
      <c r="U52" s="182">
        <f>8*'[2]Table 5A3_OJJ'!W52</f>
        <v>544</v>
      </c>
      <c r="V52" s="182">
        <f t="shared" si="28"/>
        <v>274.71375756918121</v>
      </c>
      <c r="W52" s="384">
        <f t="shared" si="29"/>
        <v>69</v>
      </c>
      <c r="X52" s="395">
        <f t="shared" si="18"/>
        <v>1640.1998915700974</v>
      </c>
      <c r="Y52" s="396">
        <f t="shared" si="33"/>
        <v>138</v>
      </c>
    </row>
    <row r="53" spans="1:25" ht="16.149999999999999" customHeight="1">
      <c r="A53" s="185">
        <v>48</v>
      </c>
      <c r="B53" s="176" t="s">
        <v>144</v>
      </c>
      <c r="C53" s="177">
        <f>'[15]ADM_summary for MFP Use'!E54</f>
        <v>1.994653</v>
      </c>
      <c r="D53" s="178">
        <f>'Table 3 Levels 1&amp;2'!AP51</f>
        <v>4854.4282529800721</v>
      </c>
      <c r="E53" s="178">
        <f t="shared" si="20"/>
        <v>6390.2925590076657</v>
      </c>
      <c r="F53" s="178">
        <f t="shared" si="21"/>
        <v>7860.6399508698605</v>
      </c>
      <c r="G53" s="377">
        <f t="shared" si="22"/>
        <v>15679.24905992242</v>
      </c>
      <c r="H53" s="179">
        <v>0</v>
      </c>
      <c r="I53" s="377">
        <f t="shared" si="30"/>
        <v>15679.24905992242</v>
      </c>
      <c r="J53" s="178">
        <f>8*'[2]Table 5A3_OJJ'!L53</f>
        <v>10456</v>
      </c>
      <c r="K53" s="178">
        <f t="shared" si="23"/>
        <v>5223.2490599224202</v>
      </c>
      <c r="L53" s="377">
        <f t="shared" si="24"/>
        <v>1306</v>
      </c>
      <c r="M53" s="377">
        <f t="shared" si="25"/>
        <v>15679.24905992242</v>
      </c>
      <c r="N53" s="180">
        <f>'Table 3 Levels 1&amp;2'!AS51</f>
        <v>26636898.219999999</v>
      </c>
      <c r="O53" s="181">
        <f>'Table 3 Levels 1&amp;2'!C51</f>
        <v>5795</v>
      </c>
      <c r="P53" s="181">
        <f t="shared" si="31"/>
        <v>5796.9946529999997</v>
      </c>
      <c r="Q53" s="182">
        <f t="shared" si="26"/>
        <v>4594.949592754092</v>
      </c>
      <c r="R53" s="384">
        <f t="shared" si="32"/>
        <v>9165.3299900357288</v>
      </c>
      <c r="S53" s="183">
        <v>0</v>
      </c>
      <c r="T53" s="384">
        <f t="shared" si="27"/>
        <v>9165.3299900357288</v>
      </c>
      <c r="U53" s="182">
        <f>8*'[2]Table 5A3_OJJ'!W53</f>
        <v>6112</v>
      </c>
      <c r="V53" s="182">
        <f t="shared" si="28"/>
        <v>3053.3299900357288</v>
      </c>
      <c r="W53" s="384">
        <f t="shared" si="29"/>
        <v>763</v>
      </c>
      <c r="X53" s="395">
        <f t="shared" si="18"/>
        <v>24844.579049958149</v>
      </c>
      <c r="Y53" s="396">
        <f t="shared" si="33"/>
        <v>2069</v>
      </c>
    </row>
    <row r="54" spans="1:25" ht="16.149999999999999" customHeight="1">
      <c r="A54" s="185">
        <v>49</v>
      </c>
      <c r="B54" s="176" t="s">
        <v>120</v>
      </c>
      <c r="C54" s="177">
        <f>'[15]ADM_summary for MFP Use'!E55</f>
        <v>7.9069779999999996</v>
      </c>
      <c r="D54" s="178">
        <f>'Table 3 Levels 1&amp;2'!AP52</f>
        <v>5570.3155315659187</v>
      </c>
      <c r="E54" s="178">
        <f t="shared" si="20"/>
        <v>7332.6752477675655</v>
      </c>
      <c r="F54" s="178">
        <f t="shared" si="21"/>
        <v>8803.0226396297603</v>
      </c>
      <c r="G54" s="377">
        <f t="shared" si="22"/>
        <v>69605.306345054443</v>
      </c>
      <c r="H54" s="179">
        <v>0</v>
      </c>
      <c r="I54" s="377">
        <f t="shared" si="30"/>
        <v>69605.306345054443</v>
      </c>
      <c r="J54" s="178">
        <f>8*'[2]Table 5A3_OJJ'!L54</f>
        <v>45616</v>
      </c>
      <c r="K54" s="178">
        <f t="shared" si="23"/>
        <v>23989.306345054443</v>
      </c>
      <c r="L54" s="377">
        <f t="shared" si="24"/>
        <v>5997</v>
      </c>
      <c r="M54" s="377">
        <f t="shared" si="25"/>
        <v>69605.306345054443</v>
      </c>
      <c r="N54" s="180">
        <f>'Table 3 Levels 1&amp;2'!AS52</f>
        <v>35651054</v>
      </c>
      <c r="O54" s="181">
        <f>'Table 3 Levels 1&amp;2'!C52</f>
        <v>14495</v>
      </c>
      <c r="P54" s="181">
        <f t="shared" si="31"/>
        <v>14502.906978000001</v>
      </c>
      <c r="Q54" s="182">
        <f t="shared" si="26"/>
        <v>2458.2005562112763</v>
      </c>
      <c r="R54" s="384">
        <f t="shared" si="32"/>
        <v>19436.937717550325</v>
      </c>
      <c r="S54" s="183">
        <v>0</v>
      </c>
      <c r="T54" s="384">
        <f t="shared" si="27"/>
        <v>19436.937717550325</v>
      </c>
      <c r="U54" s="182">
        <f>8*'[2]Table 5A3_OJJ'!W54</f>
        <v>12736</v>
      </c>
      <c r="V54" s="182">
        <f t="shared" si="28"/>
        <v>6700.937717550325</v>
      </c>
      <c r="W54" s="384">
        <f t="shared" si="29"/>
        <v>1675</v>
      </c>
      <c r="X54" s="395">
        <f t="shared" si="18"/>
        <v>89042.244062604761</v>
      </c>
      <c r="Y54" s="396">
        <f t="shared" si="33"/>
        <v>7672</v>
      </c>
    </row>
    <row r="55" spans="1:25" ht="16.149999999999999" customHeight="1">
      <c r="A55" s="158">
        <v>50</v>
      </c>
      <c r="B55" s="159" t="s">
        <v>121</v>
      </c>
      <c r="C55" s="160">
        <f>'[15]ADM_summary for MFP Use'!E56</f>
        <v>2.181171</v>
      </c>
      <c r="D55" s="161">
        <f>'Table 3 Levels 1&amp;2'!AP53</f>
        <v>5812.1492722701687</v>
      </c>
      <c r="E55" s="161">
        <f t="shared" si="20"/>
        <v>7651.0213584121429</v>
      </c>
      <c r="F55" s="161">
        <f t="shared" si="21"/>
        <v>9121.3687502743378</v>
      </c>
      <c r="G55" s="378">
        <f t="shared" si="22"/>
        <v>19895.264998404626</v>
      </c>
      <c r="H55" s="162">
        <v>0</v>
      </c>
      <c r="I55" s="378">
        <f t="shared" si="30"/>
        <v>19895.264998404626</v>
      </c>
      <c r="J55" s="161">
        <f>8*'[2]Table 5A3_OJJ'!L55</f>
        <v>12776</v>
      </c>
      <c r="K55" s="161">
        <f t="shared" si="23"/>
        <v>7119.2649984046257</v>
      </c>
      <c r="L55" s="378">
        <f t="shared" si="24"/>
        <v>1780</v>
      </c>
      <c r="M55" s="378">
        <f t="shared" si="25"/>
        <v>19895.264998404626</v>
      </c>
      <c r="N55" s="163">
        <f>'Table 3 Levels 1&amp;2'!AS53</f>
        <v>25445779.5</v>
      </c>
      <c r="O55" s="164">
        <f>'Table 3 Levels 1&amp;2'!C53</f>
        <v>7921</v>
      </c>
      <c r="P55" s="164">
        <f t="shared" si="31"/>
        <v>7923.1811710000002</v>
      </c>
      <c r="Q55" s="165">
        <f t="shared" si="26"/>
        <v>3211.5609817348704</v>
      </c>
      <c r="R55" s="385">
        <f t="shared" si="32"/>
        <v>7004.9636780916289</v>
      </c>
      <c r="S55" s="166">
        <v>0</v>
      </c>
      <c r="T55" s="385">
        <f t="shared" si="27"/>
        <v>7004.9636780916289</v>
      </c>
      <c r="U55" s="165">
        <f>8*'[2]Table 5A3_OJJ'!W55</f>
        <v>4496</v>
      </c>
      <c r="V55" s="165">
        <f t="shared" si="28"/>
        <v>2508.9636780916289</v>
      </c>
      <c r="W55" s="385">
        <f t="shared" si="29"/>
        <v>627</v>
      </c>
      <c r="X55" s="397">
        <f t="shared" si="18"/>
        <v>26900.228676496256</v>
      </c>
      <c r="Y55" s="398">
        <f t="shared" si="33"/>
        <v>2407</v>
      </c>
    </row>
    <row r="56" spans="1:25" ht="16.149999999999999" customHeight="1">
      <c r="A56" s="184">
        <v>51</v>
      </c>
      <c r="B56" s="167" t="s">
        <v>122</v>
      </c>
      <c r="C56" s="168">
        <f>'[15]ADM_summary for MFP Use'!E57</f>
        <v>2.6410659999999999</v>
      </c>
      <c r="D56" s="169">
        <f>'Table 3 Levels 1&amp;2'!AP54</f>
        <v>4860.8528602178994</v>
      </c>
      <c r="E56" s="169">
        <f t="shared" si="20"/>
        <v>6398.7498103433363</v>
      </c>
      <c r="F56" s="169">
        <f t="shared" si="21"/>
        <v>7869.0972022055312</v>
      </c>
      <c r="G56" s="376">
        <f t="shared" si="22"/>
        <v>20782.805071440154</v>
      </c>
      <c r="H56" s="170">
        <v>0</v>
      </c>
      <c r="I56" s="380">
        <f t="shared" si="30"/>
        <v>20782.805071440154</v>
      </c>
      <c r="J56" s="171">
        <f>8*'[2]Table 5A3_OJJ'!L56</f>
        <v>14152</v>
      </c>
      <c r="K56" s="171">
        <f t="shared" si="23"/>
        <v>6630.8050714401543</v>
      </c>
      <c r="L56" s="376">
        <f t="shared" si="24"/>
        <v>1658</v>
      </c>
      <c r="M56" s="380">
        <f t="shared" si="25"/>
        <v>20782.805071440154</v>
      </c>
      <c r="N56" s="172">
        <f>'Table 3 Levels 1&amp;2'!AS54</f>
        <v>37878815.799999997</v>
      </c>
      <c r="O56" s="173">
        <f>'Table 3 Levels 1&amp;2'!C54</f>
        <v>8894</v>
      </c>
      <c r="P56" s="173">
        <f t="shared" si="31"/>
        <v>8896.6410660000001</v>
      </c>
      <c r="Q56" s="174">
        <f t="shared" si="26"/>
        <v>4257.6535929678248</v>
      </c>
      <c r="R56" s="383">
        <f t="shared" si="32"/>
        <v>11244.744144165161</v>
      </c>
      <c r="S56" s="175">
        <v>0</v>
      </c>
      <c r="T56" s="383">
        <f t="shared" si="27"/>
        <v>11244.744144165161</v>
      </c>
      <c r="U56" s="174">
        <f>8*'[2]Table 5A3_OJJ'!W56</f>
        <v>7656</v>
      </c>
      <c r="V56" s="174">
        <f t="shared" si="28"/>
        <v>3588.7441441651608</v>
      </c>
      <c r="W56" s="383">
        <f t="shared" si="29"/>
        <v>897</v>
      </c>
      <c r="X56" s="393">
        <f t="shared" si="18"/>
        <v>32027.549215605315</v>
      </c>
      <c r="Y56" s="394">
        <f t="shared" si="33"/>
        <v>2555</v>
      </c>
    </row>
    <row r="57" spans="1:25" ht="16.149999999999999" customHeight="1">
      <c r="A57" s="185">
        <v>52</v>
      </c>
      <c r="B57" s="176" t="s">
        <v>123</v>
      </c>
      <c r="C57" s="177">
        <f>'[15]ADM_summary for MFP Use'!E58</f>
        <v>13.554399999999999</v>
      </c>
      <c r="D57" s="178">
        <f>'Table 3 Levels 1&amp;2'!AP55</f>
        <v>5720.6445845228181</v>
      </c>
      <c r="E57" s="178">
        <f t="shared" si="20"/>
        <v>7530.5660349933141</v>
      </c>
      <c r="F57" s="178">
        <f t="shared" si="21"/>
        <v>9000.9134268555099</v>
      </c>
      <c r="G57" s="377">
        <f t="shared" si="22"/>
        <v>122001.98095297032</v>
      </c>
      <c r="H57" s="179">
        <v>0</v>
      </c>
      <c r="I57" s="377">
        <f t="shared" si="30"/>
        <v>122001.98095297032</v>
      </c>
      <c r="J57" s="178">
        <f>8*'[2]Table 5A3_OJJ'!L57</f>
        <v>75912</v>
      </c>
      <c r="K57" s="178">
        <f t="shared" si="23"/>
        <v>46089.98095297032</v>
      </c>
      <c r="L57" s="377">
        <f t="shared" si="24"/>
        <v>11522</v>
      </c>
      <c r="M57" s="377">
        <f t="shared" si="25"/>
        <v>122001.98095297032</v>
      </c>
      <c r="N57" s="180">
        <f>'Table 3 Levels 1&amp;2'!AS55</f>
        <v>134534271.08000001</v>
      </c>
      <c r="O57" s="181">
        <f>'Table 3 Levels 1&amp;2'!C55</f>
        <v>37226</v>
      </c>
      <c r="P57" s="181">
        <f t="shared" si="31"/>
        <v>37239.554400000001</v>
      </c>
      <c r="Q57" s="182">
        <f>N57/P57</f>
        <v>3612.6713449610988</v>
      </c>
      <c r="R57" s="384">
        <f t="shared" si="32"/>
        <v>48967.592478140716</v>
      </c>
      <c r="S57" s="183">
        <v>0</v>
      </c>
      <c r="T57" s="384">
        <f t="shared" si="27"/>
        <v>48967.592478140716</v>
      </c>
      <c r="U57" s="182">
        <f>8*'[2]Table 5A3_OJJ'!W57</f>
        <v>30472</v>
      </c>
      <c r="V57" s="182">
        <f t="shared" si="28"/>
        <v>18495.592478140716</v>
      </c>
      <c r="W57" s="384">
        <f t="shared" si="29"/>
        <v>4624</v>
      </c>
      <c r="X57" s="395">
        <f t="shared" si="18"/>
        <v>170969.57343111103</v>
      </c>
      <c r="Y57" s="396">
        <f t="shared" si="33"/>
        <v>16146</v>
      </c>
    </row>
    <row r="58" spans="1:25" ht="16.149999999999999" customHeight="1">
      <c r="A58" s="185">
        <v>53</v>
      </c>
      <c r="B58" s="176" t="s">
        <v>124</v>
      </c>
      <c r="C58" s="177">
        <f>'[15]ADM_summary for MFP Use'!E59</f>
        <v>10.065575000000001</v>
      </c>
      <c r="D58" s="178">
        <f>'Table 3 Levels 1&amp;2'!AP56</f>
        <v>5749.890819404548</v>
      </c>
      <c r="E58" s="178">
        <f t="shared" si="20"/>
        <v>7569.0653159393205</v>
      </c>
      <c r="F58" s="178">
        <f t="shared" si="21"/>
        <v>9039.4127078015154</v>
      </c>
      <c r="G58" s="377">
        <f t="shared" si="22"/>
        <v>90986.886566329238</v>
      </c>
      <c r="H58" s="179">
        <v>0</v>
      </c>
      <c r="I58" s="377">
        <f t="shared" si="30"/>
        <v>90986.886566329238</v>
      </c>
      <c r="J58" s="178">
        <f>8*'[2]Table 5A3_OJJ'!L58</f>
        <v>60656</v>
      </c>
      <c r="K58" s="178">
        <f t="shared" si="23"/>
        <v>30330.886566329238</v>
      </c>
      <c r="L58" s="377">
        <f t="shared" si="24"/>
        <v>7583</v>
      </c>
      <c r="M58" s="377">
        <f t="shared" si="25"/>
        <v>90986.886566329238</v>
      </c>
      <c r="N58" s="180">
        <f>'Table 3 Levels 1&amp;2'!AS56</f>
        <v>41420128</v>
      </c>
      <c r="O58" s="181">
        <f>'Table 3 Levels 1&amp;2'!C56</f>
        <v>19434</v>
      </c>
      <c r="P58" s="181">
        <f t="shared" si="31"/>
        <v>19444.065575000001</v>
      </c>
      <c r="Q58" s="182">
        <f t="shared" si="26"/>
        <v>2130.2195181472484</v>
      </c>
      <c r="R58" s="384">
        <f t="shared" si="32"/>
        <v>21441.884326374991</v>
      </c>
      <c r="S58" s="183">
        <v>0</v>
      </c>
      <c r="T58" s="384">
        <f t="shared" si="27"/>
        <v>21441.884326374991</v>
      </c>
      <c r="U58" s="182">
        <f>8*'[2]Table 5A3_OJJ'!W58</f>
        <v>14296</v>
      </c>
      <c r="V58" s="182">
        <f t="shared" si="28"/>
        <v>7145.8843263749914</v>
      </c>
      <c r="W58" s="384">
        <f t="shared" si="29"/>
        <v>1786</v>
      </c>
      <c r="X58" s="395">
        <f t="shared" si="18"/>
        <v>112428.77089270423</v>
      </c>
      <c r="Y58" s="396">
        <f t="shared" si="33"/>
        <v>9369</v>
      </c>
    </row>
    <row r="59" spans="1:25" ht="16.149999999999999" customHeight="1">
      <c r="A59" s="185">
        <v>54</v>
      </c>
      <c r="B59" s="176" t="s">
        <v>125</v>
      </c>
      <c r="C59" s="177">
        <f>'[15]ADM_summary for MFP Use'!E60</f>
        <v>1</v>
      </c>
      <c r="D59" s="178">
        <f>'Table 3 Levels 1&amp;2'!AP57</f>
        <v>6818.5298370516712</v>
      </c>
      <c r="E59" s="178">
        <f t="shared" si="20"/>
        <v>8975.8048137459846</v>
      </c>
      <c r="F59" s="178">
        <f t="shared" si="21"/>
        <v>10446.152205608179</v>
      </c>
      <c r="G59" s="377">
        <f t="shared" si="22"/>
        <v>10446.152205608179</v>
      </c>
      <c r="H59" s="179">
        <v>0</v>
      </c>
      <c r="I59" s="377">
        <f t="shared" si="30"/>
        <v>10446.152205608179</v>
      </c>
      <c r="J59" s="178">
        <f>8*'[2]Table 5A3_OJJ'!L59</f>
        <v>6968</v>
      </c>
      <c r="K59" s="178">
        <f t="shared" si="23"/>
        <v>3478.1522056081794</v>
      </c>
      <c r="L59" s="377">
        <f t="shared" si="24"/>
        <v>870</v>
      </c>
      <c r="M59" s="377">
        <f t="shared" si="25"/>
        <v>10446.152205608179</v>
      </c>
      <c r="N59" s="180">
        <f>'Table 3 Levels 1&amp;2'!AS57</f>
        <v>2597837.5</v>
      </c>
      <c r="O59" s="181">
        <f>'Table 3 Levels 1&amp;2'!C57</f>
        <v>658</v>
      </c>
      <c r="P59" s="181">
        <f t="shared" si="31"/>
        <v>659</v>
      </c>
      <c r="Q59" s="182">
        <f t="shared" si="26"/>
        <v>3942.0902883156296</v>
      </c>
      <c r="R59" s="384">
        <f t="shared" si="32"/>
        <v>3942.0902883156296</v>
      </c>
      <c r="S59" s="183">
        <v>0</v>
      </c>
      <c r="T59" s="384">
        <f t="shared" si="27"/>
        <v>3942.0902883156296</v>
      </c>
      <c r="U59" s="182">
        <f>8*'[2]Table 5A3_OJJ'!W59</f>
        <v>2632</v>
      </c>
      <c r="V59" s="182">
        <f t="shared" si="28"/>
        <v>1310.0902883156296</v>
      </c>
      <c r="W59" s="384">
        <f t="shared" si="29"/>
        <v>328</v>
      </c>
      <c r="X59" s="395">
        <f t="shared" si="18"/>
        <v>14388.242493923808</v>
      </c>
      <c r="Y59" s="396">
        <f t="shared" si="33"/>
        <v>1198</v>
      </c>
    </row>
    <row r="60" spans="1:25" ht="16.149999999999999" customHeight="1">
      <c r="A60" s="158">
        <v>55</v>
      </c>
      <c r="B60" s="159" t="s">
        <v>126</v>
      </c>
      <c r="C60" s="160">
        <f>'[15]ADM_summary for MFP Use'!E61</f>
        <v>19.126833000000001</v>
      </c>
      <c r="D60" s="161">
        <f>'Table 3 Levels 1&amp;2'!AP58</f>
        <v>5061.9625491298484</v>
      </c>
      <c r="E60" s="161">
        <f t="shared" si="20"/>
        <v>6663.4874234308172</v>
      </c>
      <c r="F60" s="161">
        <f t="shared" si="21"/>
        <v>8133.8348152930121</v>
      </c>
      <c r="G60" s="378">
        <f t="shared" si="22"/>
        <v>155574.50016169529</v>
      </c>
      <c r="H60" s="162">
        <v>0</v>
      </c>
      <c r="I60" s="378">
        <f t="shared" si="30"/>
        <v>155574.50016169529</v>
      </c>
      <c r="J60" s="161">
        <f>8*'[2]Table 5A3_OJJ'!L60</f>
        <v>100728</v>
      </c>
      <c r="K60" s="161">
        <f t="shared" si="23"/>
        <v>54846.500161695294</v>
      </c>
      <c r="L60" s="378">
        <f t="shared" si="24"/>
        <v>13712</v>
      </c>
      <c r="M60" s="378">
        <f t="shared" si="25"/>
        <v>155574.50016169529</v>
      </c>
      <c r="N60" s="163">
        <f>'Table 3 Levels 1&amp;2'!AS58</f>
        <v>60175861</v>
      </c>
      <c r="O60" s="164">
        <f>'Table 3 Levels 1&amp;2'!C58</f>
        <v>17790</v>
      </c>
      <c r="P60" s="164">
        <f t="shared" si="31"/>
        <v>17809.126832999998</v>
      </c>
      <c r="Q60" s="165">
        <f t="shared" si="26"/>
        <v>3378.9338222071165</v>
      </c>
      <c r="R60" s="385">
        <f t="shared" si="32"/>
        <v>64628.302935407213</v>
      </c>
      <c r="S60" s="166">
        <v>0</v>
      </c>
      <c r="T60" s="385">
        <f t="shared" si="27"/>
        <v>64628.302935407213</v>
      </c>
      <c r="U60" s="165">
        <f>8*'[2]Table 5A3_OJJ'!W60</f>
        <v>41848</v>
      </c>
      <c r="V60" s="165">
        <f t="shared" si="28"/>
        <v>22780.302935407213</v>
      </c>
      <c r="W60" s="385">
        <f t="shared" si="29"/>
        <v>5695</v>
      </c>
      <c r="X60" s="397">
        <f t="shared" si="18"/>
        <v>220202.8030971025</v>
      </c>
      <c r="Y60" s="398">
        <f t="shared" si="33"/>
        <v>19407</v>
      </c>
    </row>
    <row r="61" spans="1:25" ht="16.149999999999999" customHeight="1">
      <c r="A61" s="184">
        <v>56</v>
      </c>
      <c r="B61" s="167" t="s">
        <v>127</v>
      </c>
      <c r="C61" s="168">
        <f>'[15]ADM_summary for MFP Use'!E62</f>
        <v>0</v>
      </c>
      <c r="D61" s="169">
        <f>'Table 3 Levels 1&amp;2'!AP59</f>
        <v>5643.1509408288284</v>
      </c>
      <c r="E61" s="169">
        <f t="shared" si="20"/>
        <v>7428.554628322695</v>
      </c>
      <c r="F61" s="169">
        <f t="shared" si="21"/>
        <v>8898.9020201848907</v>
      </c>
      <c r="G61" s="376">
        <f t="shared" si="22"/>
        <v>0</v>
      </c>
      <c r="H61" s="170">
        <v>0</v>
      </c>
      <c r="I61" s="380">
        <f t="shared" si="30"/>
        <v>0</v>
      </c>
      <c r="J61" s="171">
        <f>8*'[2]Table 5A3_OJJ'!L61</f>
        <v>0</v>
      </c>
      <c r="K61" s="171">
        <f t="shared" si="23"/>
        <v>0</v>
      </c>
      <c r="L61" s="376">
        <f t="shared" si="24"/>
        <v>0</v>
      </c>
      <c r="M61" s="380">
        <f t="shared" si="25"/>
        <v>0</v>
      </c>
      <c r="N61" s="172">
        <f>'Table 3 Levels 1&amp;2'!AS59</f>
        <v>8582781.5</v>
      </c>
      <c r="O61" s="173">
        <f>'Table 3 Levels 1&amp;2'!C59</f>
        <v>2886</v>
      </c>
      <c r="P61" s="173">
        <f t="shared" si="31"/>
        <v>2886</v>
      </c>
      <c r="Q61" s="174">
        <f t="shared" si="26"/>
        <v>2973.9367636867637</v>
      </c>
      <c r="R61" s="383">
        <f t="shared" si="32"/>
        <v>0</v>
      </c>
      <c r="S61" s="175">
        <v>0</v>
      </c>
      <c r="T61" s="383">
        <f t="shared" si="27"/>
        <v>0</v>
      </c>
      <c r="U61" s="174">
        <f>8*'[2]Table 5A3_OJJ'!W61</f>
        <v>0</v>
      </c>
      <c r="V61" s="174">
        <f t="shared" si="28"/>
        <v>0</v>
      </c>
      <c r="W61" s="383">
        <f t="shared" si="29"/>
        <v>0</v>
      </c>
      <c r="X61" s="393">
        <f t="shared" si="18"/>
        <v>0</v>
      </c>
      <c r="Y61" s="394">
        <f t="shared" si="33"/>
        <v>0</v>
      </c>
    </row>
    <row r="62" spans="1:25" ht="16.149999999999999" customHeight="1">
      <c r="A62" s="185">
        <v>57</v>
      </c>
      <c r="B62" s="176" t="s">
        <v>128</v>
      </c>
      <c r="C62" s="177">
        <f>'[15]ADM_summary for MFP Use'!E63</f>
        <v>2.990815</v>
      </c>
      <c r="D62" s="178">
        <f>'Table 3 Levels 1&amp;2'!AP60</f>
        <v>5390.5022979230689</v>
      </c>
      <c r="E62" s="178">
        <f t="shared" si="20"/>
        <v>7095.9719515032484</v>
      </c>
      <c r="F62" s="178">
        <f t="shared" si="21"/>
        <v>8566.3193433654433</v>
      </c>
      <c r="G62" s="377">
        <f t="shared" si="22"/>
        <v>25620.276386927519</v>
      </c>
      <c r="H62" s="179">
        <v>0</v>
      </c>
      <c r="I62" s="377">
        <f t="shared" si="30"/>
        <v>25620.276386927519</v>
      </c>
      <c r="J62" s="178">
        <f>8*'[2]Table 5A3_OJJ'!L62</f>
        <v>13600</v>
      </c>
      <c r="K62" s="178">
        <f t="shared" si="23"/>
        <v>12020.276386927519</v>
      </c>
      <c r="L62" s="377">
        <f t="shared" si="24"/>
        <v>3005</v>
      </c>
      <c r="M62" s="377">
        <f t="shared" si="25"/>
        <v>25620.276386927519</v>
      </c>
      <c r="N62" s="180">
        <f>'Table 3 Levels 1&amp;2'!AS60</f>
        <v>27831859.5</v>
      </c>
      <c r="O62" s="181">
        <f>'Table 3 Levels 1&amp;2'!C60</f>
        <v>9125</v>
      </c>
      <c r="P62" s="181">
        <f t="shared" si="31"/>
        <v>9127.9908149999992</v>
      </c>
      <c r="Q62" s="182">
        <f t="shared" si="26"/>
        <v>3049.0674305088028</v>
      </c>
      <c r="R62" s="384">
        <f t="shared" si="32"/>
        <v>9119.1966071771858</v>
      </c>
      <c r="S62" s="183">
        <v>0</v>
      </c>
      <c r="T62" s="384">
        <f t="shared" si="27"/>
        <v>9119.1966071771858</v>
      </c>
      <c r="U62" s="182">
        <f>8*'[2]Table 5A3_OJJ'!W62</f>
        <v>4840</v>
      </c>
      <c r="V62" s="182">
        <f t="shared" si="28"/>
        <v>4279.1966071771858</v>
      </c>
      <c r="W62" s="384">
        <f t="shared" si="29"/>
        <v>1070</v>
      </c>
      <c r="X62" s="395">
        <f t="shared" si="18"/>
        <v>34739.472994104704</v>
      </c>
      <c r="Y62" s="396">
        <f t="shared" si="33"/>
        <v>4075</v>
      </c>
    </row>
    <row r="63" spans="1:25" ht="16.149999999999999" customHeight="1">
      <c r="A63" s="185">
        <v>58</v>
      </c>
      <c r="B63" s="176" t="s">
        <v>129</v>
      </c>
      <c r="C63" s="177">
        <f>'[15]ADM_summary for MFP Use'!E64</f>
        <v>0</v>
      </c>
      <c r="D63" s="178">
        <f>'Table 3 Levels 1&amp;2'!AP61</f>
        <v>6370.1529637882122</v>
      </c>
      <c r="E63" s="178">
        <f t="shared" si="20"/>
        <v>8385.5685907494535</v>
      </c>
      <c r="F63" s="178">
        <f t="shared" si="21"/>
        <v>9855.9159826116484</v>
      </c>
      <c r="G63" s="377">
        <f t="shared" si="22"/>
        <v>0</v>
      </c>
      <c r="H63" s="179">
        <v>0</v>
      </c>
      <c r="I63" s="377">
        <f t="shared" si="30"/>
        <v>0</v>
      </c>
      <c r="J63" s="178">
        <f>8*'[2]Table 5A3_OJJ'!L63</f>
        <v>0</v>
      </c>
      <c r="K63" s="178">
        <f t="shared" si="23"/>
        <v>0</v>
      </c>
      <c r="L63" s="377">
        <f t="shared" si="24"/>
        <v>0</v>
      </c>
      <c r="M63" s="377">
        <f t="shared" si="25"/>
        <v>0</v>
      </c>
      <c r="N63" s="180">
        <f>'Table 3 Levels 1&amp;2'!AS61</f>
        <v>20217963</v>
      </c>
      <c r="O63" s="181">
        <f>'Table 3 Levels 1&amp;2'!C61</f>
        <v>9009</v>
      </c>
      <c r="P63" s="181">
        <f t="shared" si="31"/>
        <v>9009</v>
      </c>
      <c r="Q63" s="182">
        <f t="shared" si="26"/>
        <v>2244.196137196137</v>
      </c>
      <c r="R63" s="384">
        <f t="shared" si="32"/>
        <v>0</v>
      </c>
      <c r="S63" s="183">
        <v>0</v>
      </c>
      <c r="T63" s="384">
        <f t="shared" si="27"/>
        <v>0</v>
      </c>
      <c r="U63" s="182">
        <f>8*'[2]Table 5A3_OJJ'!W63</f>
        <v>0</v>
      </c>
      <c r="V63" s="182">
        <f t="shared" si="28"/>
        <v>0</v>
      </c>
      <c r="W63" s="384">
        <f t="shared" si="29"/>
        <v>0</v>
      </c>
      <c r="X63" s="395">
        <f t="shared" si="18"/>
        <v>0</v>
      </c>
      <c r="Y63" s="396">
        <f t="shared" si="33"/>
        <v>0</v>
      </c>
    </row>
    <row r="64" spans="1:25" ht="16.149999999999999" customHeight="1">
      <c r="A64" s="185">
        <v>59</v>
      </c>
      <c r="B64" s="176" t="s">
        <v>130</v>
      </c>
      <c r="C64" s="177">
        <f>'[15]ADM_summary for MFP Use'!E65</f>
        <v>1.0362910000000001</v>
      </c>
      <c r="D64" s="178">
        <f>'Table 3 Levels 1&amp;2'!AP62</f>
        <v>7311.4662935218494</v>
      </c>
      <c r="E64" s="178">
        <f t="shared" si="20"/>
        <v>9624.6985671784787</v>
      </c>
      <c r="F64" s="178">
        <f t="shared" si="21"/>
        <v>11095.045959040674</v>
      </c>
      <c r="G64" s="377">
        <f t="shared" si="22"/>
        <v>11497.69627194022</v>
      </c>
      <c r="H64" s="179">
        <v>0</v>
      </c>
      <c r="I64" s="377">
        <f t="shared" si="30"/>
        <v>11497.69627194022</v>
      </c>
      <c r="J64" s="178">
        <f>8*'[2]Table 5A3_OJJ'!L64</f>
        <v>7664</v>
      </c>
      <c r="K64" s="178">
        <f t="shared" si="23"/>
        <v>3833.69627194022</v>
      </c>
      <c r="L64" s="377">
        <f t="shared" si="24"/>
        <v>958</v>
      </c>
      <c r="M64" s="377">
        <f t="shared" si="25"/>
        <v>11497.69627194022</v>
      </c>
      <c r="N64" s="180">
        <f>'Table 3 Levels 1&amp;2'!AS62</f>
        <v>9202657</v>
      </c>
      <c r="O64" s="181">
        <f>'Table 3 Levels 1&amp;2'!C62</f>
        <v>5149</v>
      </c>
      <c r="P64" s="181">
        <f t="shared" si="31"/>
        <v>5150.0362910000003</v>
      </c>
      <c r="Q64" s="182">
        <f t="shared" si="26"/>
        <v>1786.9110973222071</v>
      </c>
      <c r="R64" s="384">
        <f t="shared" si="32"/>
        <v>1851.7598879551274</v>
      </c>
      <c r="S64" s="183">
        <v>0</v>
      </c>
      <c r="T64" s="384">
        <f t="shared" si="27"/>
        <v>1851.7598879551274</v>
      </c>
      <c r="U64" s="182">
        <f>8*'[2]Table 5A3_OJJ'!W64</f>
        <v>1232</v>
      </c>
      <c r="V64" s="182">
        <f t="shared" si="28"/>
        <v>619.7598879551274</v>
      </c>
      <c r="W64" s="384">
        <f t="shared" si="29"/>
        <v>155</v>
      </c>
      <c r="X64" s="395">
        <f t="shared" si="18"/>
        <v>13349.456159895348</v>
      </c>
      <c r="Y64" s="396">
        <f t="shared" si="33"/>
        <v>1113</v>
      </c>
    </row>
    <row r="65" spans="1:25" ht="16.149999999999999" customHeight="1">
      <c r="A65" s="158">
        <v>60</v>
      </c>
      <c r="B65" s="159" t="s">
        <v>131</v>
      </c>
      <c r="C65" s="160">
        <f>'[15]ADM_summary for MFP Use'!E66</f>
        <v>3.6110069999999999</v>
      </c>
      <c r="D65" s="161">
        <f>'Table 3 Levels 1&amp;2'!AP63</f>
        <v>5895.2640900638289</v>
      </c>
      <c r="E65" s="161">
        <f t="shared" si="20"/>
        <v>7760.4323897450404</v>
      </c>
      <c r="F65" s="161">
        <f t="shared" si="21"/>
        <v>9230.7797816072343</v>
      </c>
      <c r="G65" s="378">
        <f t="shared" si="22"/>
        <v>33332.410406842195</v>
      </c>
      <c r="H65" s="162">
        <v>0</v>
      </c>
      <c r="I65" s="378">
        <f t="shared" si="30"/>
        <v>33332.410406842195</v>
      </c>
      <c r="J65" s="161">
        <f>8*'[2]Table 5A3_OJJ'!L65</f>
        <v>22224</v>
      </c>
      <c r="K65" s="161">
        <f t="shared" si="23"/>
        <v>11108.410406842195</v>
      </c>
      <c r="L65" s="378">
        <f t="shared" si="24"/>
        <v>2777</v>
      </c>
      <c r="M65" s="378">
        <f t="shared" si="25"/>
        <v>33332.410406842195</v>
      </c>
      <c r="N65" s="163">
        <f>'Table 3 Levels 1&amp;2'!AS63</f>
        <v>21604223.960000001</v>
      </c>
      <c r="O65" s="164">
        <f>'Table 3 Levels 1&amp;2'!C63</f>
        <v>6441</v>
      </c>
      <c r="P65" s="164">
        <f t="shared" si="31"/>
        <v>6444.6110070000004</v>
      </c>
      <c r="Q65" s="165">
        <f t="shared" si="26"/>
        <v>3352.2929369257431</v>
      </c>
      <c r="R65" s="385">
        <f t="shared" si="32"/>
        <v>12105.153261289417</v>
      </c>
      <c r="S65" s="166">
        <v>0</v>
      </c>
      <c r="T65" s="385">
        <f t="shared" si="27"/>
        <v>12105.153261289417</v>
      </c>
      <c r="U65" s="165">
        <f>8*'[2]Table 5A3_OJJ'!W65</f>
        <v>8072</v>
      </c>
      <c r="V65" s="165">
        <f t="shared" si="28"/>
        <v>4033.1532612894171</v>
      </c>
      <c r="W65" s="385">
        <f t="shared" si="29"/>
        <v>1008</v>
      </c>
      <c r="X65" s="397">
        <f t="shared" si="18"/>
        <v>45437.56366813161</v>
      </c>
      <c r="Y65" s="398">
        <f t="shared" si="33"/>
        <v>3785</v>
      </c>
    </row>
    <row r="66" spans="1:25" ht="16.149999999999999" customHeight="1">
      <c r="A66" s="184">
        <v>61</v>
      </c>
      <c r="B66" s="167" t="s">
        <v>132</v>
      </c>
      <c r="C66" s="168">
        <f>'[15]ADM_summary for MFP Use'!E67</f>
        <v>0.83892500000000003</v>
      </c>
      <c r="D66" s="169">
        <f>'Table 3 Levels 1&amp;2'!AP64</f>
        <v>3687.8675356369185</v>
      </c>
      <c r="E66" s="169">
        <f t="shared" si="20"/>
        <v>4854.650484764983</v>
      </c>
      <c r="F66" s="169">
        <f t="shared" si="21"/>
        <v>6324.9978766271779</v>
      </c>
      <c r="G66" s="376">
        <f t="shared" si="22"/>
        <v>5306.1988436494557</v>
      </c>
      <c r="H66" s="170">
        <v>0</v>
      </c>
      <c r="I66" s="380">
        <f t="shared" si="30"/>
        <v>5306.1988436494557</v>
      </c>
      <c r="J66" s="171">
        <f>8*'[2]Table 5A3_OJJ'!L66</f>
        <v>3536</v>
      </c>
      <c r="K66" s="171">
        <f t="shared" si="23"/>
        <v>1770.1988436494557</v>
      </c>
      <c r="L66" s="376">
        <f t="shared" si="24"/>
        <v>443</v>
      </c>
      <c r="M66" s="380">
        <f t="shared" si="25"/>
        <v>5306.1988436494557</v>
      </c>
      <c r="N66" s="172">
        <f>'Table 3 Levels 1&amp;2'!AS64</f>
        <v>18548760.620000001</v>
      </c>
      <c r="O66" s="173">
        <f>'Table 3 Levels 1&amp;2'!C64</f>
        <v>3621</v>
      </c>
      <c r="P66" s="173">
        <f t="shared" si="31"/>
        <v>3621.838925</v>
      </c>
      <c r="Q66" s="174">
        <f t="shared" si="26"/>
        <v>5121.3654179830764</v>
      </c>
      <c r="R66" s="383">
        <f t="shared" si="32"/>
        <v>4296.4414832814527</v>
      </c>
      <c r="S66" s="175">
        <v>0</v>
      </c>
      <c r="T66" s="383">
        <f t="shared" si="27"/>
        <v>4296.4414832814527</v>
      </c>
      <c r="U66" s="174">
        <f>8*'[2]Table 5A3_OJJ'!W66</f>
        <v>2864</v>
      </c>
      <c r="V66" s="174">
        <f t="shared" si="28"/>
        <v>1432.4414832814527</v>
      </c>
      <c r="W66" s="383">
        <f t="shared" si="29"/>
        <v>358</v>
      </c>
      <c r="X66" s="393">
        <f t="shared" si="18"/>
        <v>9602.6403269309085</v>
      </c>
      <c r="Y66" s="394">
        <f t="shared" si="33"/>
        <v>801</v>
      </c>
    </row>
    <row r="67" spans="1:25" ht="16.149999999999999" customHeight="1">
      <c r="A67" s="185">
        <v>62</v>
      </c>
      <c r="B67" s="176" t="s">
        <v>133</v>
      </c>
      <c r="C67" s="177">
        <f>'[15]ADM_summary for MFP Use'!E68</f>
        <v>0.97860899999999995</v>
      </c>
      <c r="D67" s="178">
        <f>'Table 3 Levels 1&amp;2'!AP65</f>
        <v>6417.154538516008</v>
      </c>
      <c r="E67" s="178">
        <f t="shared" si="20"/>
        <v>8447.4407201933882</v>
      </c>
      <c r="F67" s="178">
        <f t="shared" si="21"/>
        <v>9917.788112055583</v>
      </c>
      <c r="G67" s="377">
        <f t="shared" si="22"/>
        <v>9705.636706550602</v>
      </c>
      <c r="H67" s="179">
        <v>0</v>
      </c>
      <c r="I67" s="377">
        <f t="shared" si="30"/>
        <v>9705.636706550602</v>
      </c>
      <c r="J67" s="178">
        <f>8*'[2]Table 5A3_OJJ'!L67</f>
        <v>6472</v>
      </c>
      <c r="K67" s="178">
        <f t="shared" si="23"/>
        <v>3233.636706550602</v>
      </c>
      <c r="L67" s="377">
        <f t="shared" si="24"/>
        <v>808</v>
      </c>
      <c r="M67" s="377">
        <f t="shared" si="25"/>
        <v>9705.636706550602</v>
      </c>
      <c r="N67" s="180">
        <f>'Table 3 Levels 1&amp;2'!AS65</f>
        <v>4324948</v>
      </c>
      <c r="O67" s="181">
        <f>'Table 3 Levels 1&amp;2'!C65</f>
        <v>2124</v>
      </c>
      <c r="P67" s="181">
        <f t="shared" si="31"/>
        <v>2124.9786089999998</v>
      </c>
      <c r="Q67" s="182">
        <f t="shared" si="26"/>
        <v>2035.2901350076604</v>
      </c>
      <c r="R67" s="384">
        <f t="shared" si="32"/>
        <v>1991.7532437297114</v>
      </c>
      <c r="S67" s="183">
        <v>0</v>
      </c>
      <c r="T67" s="384">
        <f t="shared" si="27"/>
        <v>1991.7532437297114</v>
      </c>
      <c r="U67" s="182">
        <f>8*'[2]Table 5A3_OJJ'!W67</f>
        <v>1328</v>
      </c>
      <c r="V67" s="182">
        <f t="shared" si="28"/>
        <v>663.75324372971136</v>
      </c>
      <c r="W67" s="384">
        <f t="shared" si="29"/>
        <v>166</v>
      </c>
      <c r="X67" s="395">
        <f t="shared" si="18"/>
        <v>11697.389950280314</v>
      </c>
      <c r="Y67" s="396">
        <f t="shared" si="33"/>
        <v>974</v>
      </c>
    </row>
    <row r="68" spans="1:25" ht="16.149999999999999" customHeight="1">
      <c r="A68" s="185">
        <v>63</v>
      </c>
      <c r="B68" s="176" t="s">
        <v>134</v>
      </c>
      <c r="C68" s="177">
        <f>'[15]ADM_summary for MFP Use'!E69</f>
        <v>0.51336899999999996</v>
      </c>
      <c r="D68" s="178">
        <f>'Table 3 Levels 1&amp;2'!AP66</f>
        <v>4881.1713481848083</v>
      </c>
      <c r="E68" s="178">
        <f t="shared" si="20"/>
        <v>6425.4967464805668</v>
      </c>
      <c r="F68" s="178">
        <f t="shared" si="21"/>
        <v>7895.8441383427617</v>
      </c>
      <c r="G68" s="377">
        <f t="shared" si="22"/>
        <v>4053.4816094568851</v>
      </c>
      <c r="H68" s="179">
        <v>0</v>
      </c>
      <c r="I68" s="377">
        <f t="shared" si="30"/>
        <v>4053.4816094568851</v>
      </c>
      <c r="J68" s="178">
        <f>8*'[2]Table 5A3_OJJ'!L68</f>
        <v>2704</v>
      </c>
      <c r="K68" s="178">
        <f t="shared" si="23"/>
        <v>1349.4816094568851</v>
      </c>
      <c r="L68" s="377">
        <f t="shared" si="24"/>
        <v>337</v>
      </c>
      <c r="M68" s="377">
        <f t="shared" si="25"/>
        <v>4053.4816094568851</v>
      </c>
      <c r="N68" s="180">
        <f>'Table 3 Levels 1&amp;2'!AS66</f>
        <v>10367518.220000001</v>
      </c>
      <c r="O68" s="181">
        <f>'Table 3 Levels 1&amp;2'!C66</f>
        <v>2038</v>
      </c>
      <c r="P68" s="181">
        <f t="shared" si="31"/>
        <v>2038.513369</v>
      </c>
      <c r="Q68" s="182">
        <f t="shared" si="26"/>
        <v>5085.8230206681565</v>
      </c>
      <c r="R68" s="384">
        <f t="shared" si="32"/>
        <v>2610.9038782973907</v>
      </c>
      <c r="S68" s="183">
        <v>0</v>
      </c>
      <c r="T68" s="384">
        <f t="shared" si="27"/>
        <v>2610.9038782973907</v>
      </c>
      <c r="U68" s="182">
        <f>8*'[2]Table 5A3_OJJ'!W68</f>
        <v>1744</v>
      </c>
      <c r="V68" s="182">
        <f t="shared" si="28"/>
        <v>866.90387829739075</v>
      </c>
      <c r="W68" s="384">
        <f t="shared" si="29"/>
        <v>217</v>
      </c>
      <c r="X68" s="395">
        <f t="shared" si="18"/>
        <v>6664.3854877542763</v>
      </c>
      <c r="Y68" s="396">
        <f t="shared" si="33"/>
        <v>554</v>
      </c>
    </row>
    <row r="69" spans="1:25" ht="16.149999999999999" customHeight="1">
      <c r="A69" s="185">
        <v>64</v>
      </c>
      <c r="B69" s="176" t="s">
        <v>135</v>
      </c>
      <c r="C69" s="177">
        <f>'[15]ADM_summary for MFP Use'!E70</f>
        <v>0.59358200000000005</v>
      </c>
      <c r="D69" s="178">
        <f>'Table 3 Levels 1&amp;2'!AP67</f>
        <v>6870.4907532778252</v>
      </c>
      <c r="E69" s="178">
        <f t="shared" si="20"/>
        <v>9044.2053418854994</v>
      </c>
      <c r="F69" s="178">
        <f t="shared" si="21"/>
        <v>10514.552733747694</v>
      </c>
      <c r="G69" s="377">
        <f t="shared" si="22"/>
        <v>6241.2492408034241</v>
      </c>
      <c r="H69" s="179">
        <v>0</v>
      </c>
      <c r="I69" s="377">
        <f t="shared" si="30"/>
        <v>6241.2492408034241</v>
      </c>
      <c r="J69" s="178">
        <f>8*'[2]Table 5A3_OJJ'!L69</f>
        <v>4160</v>
      </c>
      <c r="K69" s="178">
        <f t="shared" si="23"/>
        <v>2081.2492408034241</v>
      </c>
      <c r="L69" s="377">
        <f t="shared" si="24"/>
        <v>520</v>
      </c>
      <c r="M69" s="377">
        <f t="shared" si="25"/>
        <v>6241.2492408034241</v>
      </c>
      <c r="N69" s="180">
        <f>'Table 3 Levels 1&amp;2'!AS67</f>
        <v>7398667</v>
      </c>
      <c r="O69" s="181">
        <f>'Table 3 Levels 1&amp;2'!C67</f>
        <v>2354</v>
      </c>
      <c r="P69" s="181">
        <f t="shared" si="31"/>
        <v>2354.593582</v>
      </c>
      <c r="Q69" s="182">
        <f t="shared" si="26"/>
        <v>3142.2267760177733</v>
      </c>
      <c r="R69" s="384">
        <f t="shared" si="32"/>
        <v>1865.1692541621821</v>
      </c>
      <c r="S69" s="183">
        <v>0</v>
      </c>
      <c r="T69" s="384">
        <f t="shared" si="27"/>
        <v>1865.1692541621821</v>
      </c>
      <c r="U69" s="182">
        <f>8*'[2]Table 5A3_OJJ'!W69</f>
        <v>1240</v>
      </c>
      <c r="V69" s="182">
        <f t="shared" si="28"/>
        <v>625.16925416218214</v>
      </c>
      <c r="W69" s="384">
        <f t="shared" si="29"/>
        <v>156</v>
      </c>
      <c r="X69" s="395">
        <f t="shared" si="18"/>
        <v>8106.4184949656064</v>
      </c>
      <c r="Y69" s="396">
        <f t="shared" si="33"/>
        <v>676</v>
      </c>
    </row>
    <row r="70" spans="1:25" ht="16.149999999999999" customHeight="1">
      <c r="A70" s="158">
        <v>65</v>
      </c>
      <c r="B70" s="159" t="s">
        <v>136</v>
      </c>
      <c r="C70" s="160">
        <f>'[15]ADM_summary for MFP Use'!E71</f>
        <v>0</v>
      </c>
      <c r="D70" s="161">
        <f>'Table 3 Levels 1&amp;2'!AP68</f>
        <v>5604.2805543943632</v>
      </c>
      <c r="E70" s="161">
        <f t="shared" si="20"/>
        <v>7377.3862665191336</v>
      </c>
      <c r="F70" s="161">
        <f t="shared" si="21"/>
        <v>8847.7336583813285</v>
      </c>
      <c r="G70" s="378">
        <f t="shared" si="22"/>
        <v>0</v>
      </c>
      <c r="H70" s="162">
        <v>0</v>
      </c>
      <c r="I70" s="378">
        <f t="shared" ref="I70:I74" si="34">SUM(G70:H70)</f>
        <v>0</v>
      </c>
      <c r="J70" s="161">
        <f>8*'[2]Table 5A3_OJJ'!L70</f>
        <v>0</v>
      </c>
      <c r="K70" s="161">
        <f t="shared" si="23"/>
        <v>0</v>
      </c>
      <c r="L70" s="378">
        <f t="shared" si="24"/>
        <v>0</v>
      </c>
      <c r="M70" s="378">
        <f t="shared" si="25"/>
        <v>0</v>
      </c>
      <c r="N70" s="163">
        <f>'Table 3 Levels 1&amp;2'!AS68</f>
        <v>32861223.02</v>
      </c>
      <c r="O70" s="164">
        <f>'Table 3 Levels 1&amp;2'!C68</f>
        <v>8176</v>
      </c>
      <c r="P70" s="164">
        <f t="shared" ref="P70:P74" si="35">C70+O70</f>
        <v>8176</v>
      </c>
      <c r="Q70" s="165">
        <f t="shared" si="26"/>
        <v>4019.2298214285715</v>
      </c>
      <c r="R70" s="385">
        <f t="shared" ref="R70:R74" si="36">C70*Q70</f>
        <v>0</v>
      </c>
      <c r="S70" s="166">
        <v>0</v>
      </c>
      <c r="T70" s="385">
        <f t="shared" si="27"/>
        <v>0</v>
      </c>
      <c r="U70" s="165">
        <f>8*'[2]Table 5A3_OJJ'!W70</f>
        <v>0</v>
      </c>
      <c r="V70" s="165">
        <f t="shared" si="28"/>
        <v>0</v>
      </c>
      <c r="W70" s="385">
        <f t="shared" si="29"/>
        <v>0</v>
      </c>
      <c r="X70" s="397">
        <f t="shared" ref="X70:X73" si="37">M70+T70</f>
        <v>0</v>
      </c>
      <c r="Y70" s="398">
        <f t="shared" si="33"/>
        <v>0</v>
      </c>
    </row>
    <row r="71" spans="1:25" ht="16.149999999999999" customHeight="1">
      <c r="A71" s="184">
        <v>66</v>
      </c>
      <c r="B71" s="167" t="s">
        <v>137</v>
      </c>
      <c r="C71" s="168">
        <f>'[15]ADM_summary for MFP Use'!E72</f>
        <v>0</v>
      </c>
      <c r="D71" s="169">
        <f>'Table 3 Levels 1&amp;2'!AP69</f>
        <v>7294.068543391003</v>
      </c>
      <c r="E71" s="169">
        <f t="shared" ref="E71:E75" si="38">D71*(1+$E$3)</f>
        <v>9601.7964441248787</v>
      </c>
      <c r="F71" s="169">
        <f t="shared" ref="F71:F75" si="39">E71+$F$3</f>
        <v>11072.143835987074</v>
      </c>
      <c r="G71" s="376">
        <f>C71*F71</f>
        <v>0</v>
      </c>
      <c r="H71" s="170">
        <v>0</v>
      </c>
      <c r="I71" s="380">
        <f t="shared" si="34"/>
        <v>0</v>
      </c>
      <c r="J71" s="171">
        <f>8*'[2]Table 5A3_OJJ'!L71</f>
        <v>0</v>
      </c>
      <c r="K71" s="171">
        <f t="shared" ref="K71:K74" si="40">I71-J71</f>
        <v>0</v>
      </c>
      <c r="L71" s="376">
        <f t="shared" ref="L71:L80" si="41">ROUND(K71/$L$84,0)</f>
        <v>0</v>
      </c>
      <c r="M71" s="380">
        <f t="shared" ref="M71:M74" si="42">I71</f>
        <v>0</v>
      </c>
      <c r="N71" s="172">
        <f>'Table 3 Levels 1&amp;2'!AS69</f>
        <v>7392583</v>
      </c>
      <c r="O71" s="173">
        <f>'Table 3 Levels 1&amp;2'!C69</f>
        <v>2023</v>
      </c>
      <c r="P71" s="173">
        <f t="shared" si="35"/>
        <v>2023</v>
      </c>
      <c r="Q71" s="174">
        <f t="shared" ref="Q71:Q75" si="43">N71/P71</f>
        <v>3654.2674246169054</v>
      </c>
      <c r="R71" s="383">
        <f t="shared" si="36"/>
        <v>0</v>
      </c>
      <c r="S71" s="175">
        <v>0</v>
      </c>
      <c r="T71" s="383">
        <f t="shared" ref="T71:T74" si="44">R71+S71</f>
        <v>0</v>
      </c>
      <c r="U71" s="174">
        <f>8*'[2]Table 5A3_OJJ'!W71</f>
        <v>0</v>
      </c>
      <c r="V71" s="174">
        <f t="shared" ref="V71:V74" si="45">T71-U71</f>
        <v>0</v>
      </c>
      <c r="W71" s="383">
        <f t="shared" ref="W71:W74" si="46">ROUND(V71/$W$83,0)</f>
        <v>0</v>
      </c>
      <c r="X71" s="393">
        <f t="shared" si="37"/>
        <v>0</v>
      </c>
      <c r="Y71" s="394">
        <f t="shared" si="33"/>
        <v>0</v>
      </c>
    </row>
    <row r="72" spans="1:25" ht="16.149999999999999" customHeight="1">
      <c r="A72" s="185">
        <v>67</v>
      </c>
      <c r="B72" s="176" t="s">
        <v>28</v>
      </c>
      <c r="C72" s="177">
        <f>'[15]ADM_summary for MFP Use'!E73</f>
        <v>0</v>
      </c>
      <c r="D72" s="178">
        <f>'Table 3 Levels 1&amp;2'!AP70</f>
        <v>5744.7567736134115</v>
      </c>
      <c r="E72" s="178">
        <f t="shared" si="38"/>
        <v>7562.3069392764119</v>
      </c>
      <c r="F72" s="178">
        <f t="shared" si="39"/>
        <v>9032.6543311386067</v>
      </c>
      <c r="G72" s="377">
        <f>C72*F72</f>
        <v>0</v>
      </c>
      <c r="H72" s="179">
        <v>0</v>
      </c>
      <c r="I72" s="377">
        <f t="shared" si="34"/>
        <v>0</v>
      </c>
      <c r="J72" s="178">
        <f>8*'[2]Table 5A3_OJJ'!L72</f>
        <v>0</v>
      </c>
      <c r="K72" s="178">
        <f t="shared" si="40"/>
        <v>0</v>
      </c>
      <c r="L72" s="377">
        <f t="shared" si="41"/>
        <v>0</v>
      </c>
      <c r="M72" s="377">
        <f t="shared" si="42"/>
        <v>0</v>
      </c>
      <c r="N72" s="180">
        <f>'Table 3 Levels 1&amp;2'!AS70</f>
        <v>17275552.760000002</v>
      </c>
      <c r="O72" s="181">
        <f>'Table 3 Levels 1&amp;2'!C70</f>
        <v>5261</v>
      </c>
      <c r="P72" s="181">
        <f t="shared" si="35"/>
        <v>5261</v>
      </c>
      <c r="Q72" s="182">
        <f t="shared" si="43"/>
        <v>3283.7013419502</v>
      </c>
      <c r="R72" s="384">
        <f t="shared" si="36"/>
        <v>0</v>
      </c>
      <c r="S72" s="183">
        <v>0</v>
      </c>
      <c r="T72" s="384">
        <f t="shared" si="44"/>
        <v>0</v>
      </c>
      <c r="U72" s="182">
        <f>8*'[2]Table 5A3_OJJ'!W72</f>
        <v>0</v>
      </c>
      <c r="V72" s="182">
        <f t="shared" si="45"/>
        <v>0</v>
      </c>
      <c r="W72" s="384">
        <f t="shared" si="46"/>
        <v>0</v>
      </c>
      <c r="X72" s="395">
        <f t="shared" si="37"/>
        <v>0</v>
      </c>
      <c r="Y72" s="396">
        <f t="shared" si="33"/>
        <v>0</v>
      </c>
    </row>
    <row r="73" spans="1:25" ht="16.149999999999999" customHeight="1">
      <c r="A73" s="185">
        <v>68</v>
      </c>
      <c r="B73" s="187" t="s">
        <v>27</v>
      </c>
      <c r="C73" s="177">
        <f>'[15]ADM_summary for MFP Use'!E74</f>
        <v>0.235294</v>
      </c>
      <c r="D73" s="178">
        <f>'Table 3 Levels 1&amp;2'!AP71</f>
        <v>7188.8644202560608</v>
      </c>
      <c r="E73" s="178">
        <f t="shared" si="38"/>
        <v>9463.307400676058</v>
      </c>
      <c r="F73" s="178">
        <f t="shared" si="39"/>
        <v>10933.654792538253</v>
      </c>
      <c r="G73" s="377">
        <f>C73*F73</f>
        <v>2572.6233707554957</v>
      </c>
      <c r="H73" s="179">
        <v>0</v>
      </c>
      <c r="I73" s="377">
        <f t="shared" si="34"/>
        <v>2572.6233707554957</v>
      </c>
      <c r="J73" s="178">
        <f>8*'[2]Table 5A3_OJJ'!L73</f>
        <v>1712</v>
      </c>
      <c r="K73" s="178">
        <f t="shared" si="40"/>
        <v>860.62337075549567</v>
      </c>
      <c r="L73" s="377">
        <f t="shared" si="41"/>
        <v>215</v>
      </c>
      <c r="M73" s="377">
        <f t="shared" si="42"/>
        <v>2572.6233707554957</v>
      </c>
      <c r="N73" s="180">
        <f>'Table 3 Levels 1&amp;2'!AS71</f>
        <v>4835631</v>
      </c>
      <c r="O73" s="181">
        <f>'Table 3 Levels 1&amp;2'!C71</f>
        <v>1609</v>
      </c>
      <c r="P73" s="181">
        <f t="shared" si="35"/>
        <v>1609.2352940000001</v>
      </c>
      <c r="Q73" s="182">
        <f t="shared" si="43"/>
        <v>3004.9247726728022</v>
      </c>
      <c r="R73" s="384">
        <f t="shared" si="36"/>
        <v>707.04076946127429</v>
      </c>
      <c r="S73" s="183">
        <v>0</v>
      </c>
      <c r="T73" s="384">
        <f t="shared" si="44"/>
        <v>707.04076946127429</v>
      </c>
      <c r="U73" s="182">
        <f>8*'[2]Table 5A3_OJJ'!W73</f>
        <v>472</v>
      </c>
      <c r="V73" s="182">
        <f t="shared" si="45"/>
        <v>235.04076946127429</v>
      </c>
      <c r="W73" s="384">
        <f t="shared" si="46"/>
        <v>59</v>
      </c>
      <c r="X73" s="395">
        <f t="shared" si="37"/>
        <v>3279.6641402167697</v>
      </c>
      <c r="Y73" s="396">
        <f t="shared" si="33"/>
        <v>274</v>
      </c>
    </row>
    <row r="74" spans="1:25" ht="16.149999999999999" customHeight="1">
      <c r="A74" s="185">
        <v>69</v>
      </c>
      <c r="B74" s="176" t="s">
        <v>147</v>
      </c>
      <c r="C74" s="177">
        <f>'[15]ADM_summary for MFP Use'!E75</f>
        <v>0</v>
      </c>
      <c r="D74" s="178">
        <f>'Table 3 Levels 1&amp;2'!AP72</f>
        <v>6428.1647921281337</v>
      </c>
      <c r="E74" s="178">
        <f t="shared" si="38"/>
        <v>8461.9344438748885</v>
      </c>
      <c r="F74" s="178">
        <f t="shared" si="39"/>
        <v>9932.2818357370834</v>
      </c>
      <c r="G74" s="377">
        <f>C74*F74</f>
        <v>0</v>
      </c>
      <c r="H74" s="179">
        <v>0</v>
      </c>
      <c r="I74" s="377">
        <f t="shared" si="34"/>
        <v>0</v>
      </c>
      <c r="J74" s="178">
        <f>8*'[2]Table 5A3_OJJ'!L74</f>
        <v>0</v>
      </c>
      <c r="K74" s="178">
        <f t="shared" si="40"/>
        <v>0</v>
      </c>
      <c r="L74" s="377">
        <f t="shared" si="41"/>
        <v>0</v>
      </c>
      <c r="M74" s="377">
        <f t="shared" si="42"/>
        <v>0</v>
      </c>
      <c r="N74" s="180">
        <f>'Table 3 Levels 1&amp;2'!AS72</f>
        <v>12401236.58</v>
      </c>
      <c r="O74" s="181">
        <f>'Table 3 Levels 1&amp;2'!C72</f>
        <v>4313</v>
      </c>
      <c r="P74" s="181">
        <f t="shared" si="35"/>
        <v>4313</v>
      </c>
      <c r="Q74" s="182">
        <f t="shared" si="43"/>
        <v>2875.3156920936704</v>
      </c>
      <c r="R74" s="384">
        <f t="shared" si="36"/>
        <v>0</v>
      </c>
      <c r="S74" s="183">
        <v>0</v>
      </c>
      <c r="T74" s="384">
        <f t="shared" si="44"/>
        <v>0</v>
      </c>
      <c r="U74" s="182">
        <f>8*'[2]Table 5A3_OJJ'!W74</f>
        <v>0</v>
      </c>
      <c r="V74" s="182">
        <f t="shared" si="45"/>
        <v>0</v>
      </c>
      <c r="W74" s="384">
        <f t="shared" si="46"/>
        <v>0</v>
      </c>
      <c r="X74" s="395">
        <f>M74+T74</f>
        <v>0</v>
      </c>
      <c r="Y74" s="396">
        <f t="shared" si="33"/>
        <v>0</v>
      </c>
    </row>
    <row r="75" spans="1:25" s="599" customFormat="1" ht="16.149999999999999" customHeight="1" thickBot="1">
      <c r="A75" s="1414" t="s">
        <v>711</v>
      </c>
      <c r="B75" s="1415"/>
      <c r="C75" s="27">
        <f>SUM(C6:C74)</f>
        <v>285.67160100000007</v>
      </c>
      <c r="D75" s="28">
        <f>'Table 3 Levels 1&amp;2'!AP73</f>
        <v>5184.5770230051867</v>
      </c>
      <c r="E75" s="35">
        <f t="shared" si="38"/>
        <v>6824.8951771763186</v>
      </c>
      <c r="F75" s="35">
        <f t="shared" si="39"/>
        <v>8295.2425690385135</v>
      </c>
      <c r="G75" s="368">
        <f>SUM(G6:G74)</f>
        <v>2340484.1416935907</v>
      </c>
      <c r="H75" s="28">
        <f t="shared" ref="H75:P75" si="47">SUM(H6:H74)</f>
        <v>0</v>
      </c>
      <c r="I75" s="368">
        <f t="shared" si="47"/>
        <v>2340484.1416935907</v>
      </c>
      <c r="J75" s="69">
        <f t="shared" si="47"/>
        <v>1523936</v>
      </c>
      <c r="K75" s="69">
        <f t="shared" si="47"/>
        <v>816548.14169359079</v>
      </c>
      <c r="L75" s="368">
        <f t="shared" si="47"/>
        <v>204135</v>
      </c>
      <c r="M75" s="364">
        <f t="shared" si="47"/>
        <v>2340484.1416935907</v>
      </c>
      <c r="N75" s="123">
        <f t="shared" si="47"/>
        <v>2489593504.9600005</v>
      </c>
      <c r="O75" s="1011">
        <f t="shared" si="47"/>
        <v>678570</v>
      </c>
      <c r="P75" s="1011">
        <f t="shared" si="47"/>
        <v>678855.67160100013</v>
      </c>
      <c r="Q75" s="66">
        <f t="shared" si="43"/>
        <v>3667.3384477860973</v>
      </c>
      <c r="R75" s="330">
        <f>SUM(R6:R74)</f>
        <v>1065289.0265643809</v>
      </c>
      <c r="S75" s="82">
        <f>SUM(S6:S74)</f>
        <v>0</v>
      </c>
      <c r="T75" s="330">
        <f>SUM(T6:T74)</f>
        <v>1065289.0265643809</v>
      </c>
      <c r="U75" s="315">
        <f>SUM(U6:U74)</f>
        <v>692024</v>
      </c>
      <c r="V75" s="315">
        <f t="shared" ref="V75" si="48">SUM(V6:V74)</f>
        <v>373265.02656438068</v>
      </c>
      <c r="W75" s="330">
        <f>SUM(W6:W74)</f>
        <v>93319</v>
      </c>
      <c r="X75" s="389">
        <f>SUM(X6:X74)</f>
        <v>3405773.1682579713</v>
      </c>
      <c r="Y75" s="390">
        <f>SUM(Y6:Y74)</f>
        <v>297454</v>
      </c>
    </row>
    <row r="76" spans="1:25" s="599" customFormat="1" ht="16.149999999999999" customHeight="1" thickTop="1">
      <c r="A76" s="1418" t="s">
        <v>705</v>
      </c>
      <c r="B76" s="1419"/>
      <c r="C76" s="40"/>
      <c r="D76" s="26"/>
      <c r="E76" s="34"/>
      <c r="F76" s="34"/>
      <c r="G76" s="34"/>
      <c r="H76" s="34"/>
      <c r="I76" s="125">
        <f>'Table 4 Level 4'!E193</f>
        <v>0</v>
      </c>
      <c r="J76" s="65">
        <f>8*'[2]Table 5A3_OJJ'!L76</f>
        <v>0</v>
      </c>
      <c r="K76" s="65">
        <f t="shared" ref="K76:K80" si="49">I76-J76</f>
        <v>0</v>
      </c>
      <c r="L76" s="125">
        <f t="shared" si="41"/>
        <v>0</v>
      </c>
      <c r="M76" s="125">
        <f>'Table 4 Level 4'!E193</f>
        <v>0</v>
      </c>
      <c r="N76" s="120"/>
      <c r="O76" s="1012"/>
      <c r="P76" s="1012"/>
      <c r="Q76" s="64"/>
      <c r="R76" s="65"/>
      <c r="S76" s="65"/>
      <c r="T76" s="64"/>
      <c r="U76" s="64"/>
      <c r="V76" s="65"/>
      <c r="W76" s="65"/>
      <c r="X76" s="391">
        <f t="shared" ref="X76:X80" si="50">M76+T76</f>
        <v>0</v>
      </c>
      <c r="Y76" s="391">
        <f>L76+W76</f>
        <v>0</v>
      </c>
    </row>
    <row r="77" spans="1:25" s="599" customFormat="1" ht="16.149999999999999" customHeight="1">
      <c r="A77" s="1420" t="s">
        <v>706</v>
      </c>
      <c r="B77" s="1421"/>
      <c r="C77" s="186"/>
      <c r="D77" s="24"/>
      <c r="E77" s="32"/>
      <c r="F77" s="32"/>
      <c r="G77" s="32"/>
      <c r="H77" s="32"/>
      <c r="I77" s="67"/>
      <c r="J77" s="67"/>
      <c r="K77" s="67"/>
      <c r="L77" s="67">
        <f t="shared" si="41"/>
        <v>0</v>
      </c>
      <c r="M77" s="381">
        <f>'Table 4 Level 4'!J193</f>
        <v>0</v>
      </c>
      <c r="N77" s="121"/>
      <c r="O77" s="1013"/>
      <c r="P77" s="1013"/>
      <c r="Q77" s="64"/>
      <c r="R77" s="80"/>
      <c r="S77" s="80"/>
      <c r="T77" s="64"/>
      <c r="U77" s="64"/>
      <c r="V77" s="67"/>
      <c r="W77" s="67"/>
      <c r="X77" s="392">
        <f t="shared" si="50"/>
        <v>0</v>
      </c>
      <c r="Y77" s="386">
        <f>L77+W77</f>
        <v>0</v>
      </c>
    </row>
    <row r="78" spans="1:25" s="599" customFormat="1" ht="16.149999999999999" customHeight="1">
      <c r="A78" s="1422" t="s">
        <v>707</v>
      </c>
      <c r="B78" s="1423"/>
      <c r="C78" s="38"/>
      <c r="D78" s="24"/>
      <c r="E78" s="32"/>
      <c r="F78" s="32"/>
      <c r="G78" s="32"/>
      <c r="H78" s="32"/>
      <c r="I78" s="67"/>
      <c r="J78" s="67"/>
      <c r="K78" s="67"/>
      <c r="L78" s="67">
        <f t="shared" si="41"/>
        <v>0</v>
      </c>
      <c r="M78" s="381">
        <f>'Table 4 Level 4'!L193</f>
        <v>10000</v>
      </c>
      <c r="N78" s="121"/>
      <c r="O78" s="1013"/>
      <c r="P78" s="1013"/>
      <c r="Q78" s="64"/>
      <c r="R78" s="80"/>
      <c r="S78" s="80"/>
      <c r="T78" s="64"/>
      <c r="U78" s="64"/>
      <c r="V78" s="67"/>
      <c r="W78" s="67"/>
      <c r="X78" s="392">
        <f t="shared" si="50"/>
        <v>10000</v>
      </c>
      <c r="Y78" s="386">
        <f>L78+W78</f>
        <v>0</v>
      </c>
    </row>
    <row r="79" spans="1:25" s="599" customFormat="1" ht="16.149999999999999" customHeight="1">
      <c r="A79" s="1422" t="s">
        <v>708</v>
      </c>
      <c r="B79" s="1423"/>
      <c r="C79" s="38"/>
      <c r="D79" s="24"/>
      <c r="E79" s="32"/>
      <c r="F79" s="32"/>
      <c r="G79" s="32"/>
      <c r="H79" s="32"/>
      <c r="I79" s="67"/>
      <c r="J79" s="67"/>
      <c r="K79" s="67"/>
      <c r="L79" s="67">
        <f t="shared" si="41"/>
        <v>0</v>
      </c>
      <c r="M79" s="381">
        <f>'Table 4 Level 4'!M193</f>
        <v>0</v>
      </c>
      <c r="N79" s="121"/>
      <c r="O79" s="1013"/>
      <c r="P79" s="1013"/>
      <c r="Q79" s="64"/>
      <c r="R79" s="80"/>
      <c r="S79" s="80"/>
      <c r="T79" s="64"/>
      <c r="U79" s="64"/>
      <c r="V79" s="67"/>
      <c r="W79" s="67"/>
      <c r="X79" s="392">
        <f t="shared" si="50"/>
        <v>0</v>
      </c>
      <c r="Y79" s="386">
        <f>L79+W79</f>
        <v>0</v>
      </c>
    </row>
    <row r="80" spans="1:25" s="599" customFormat="1" ht="16.149999999999999" customHeight="1">
      <c r="A80" s="1412" t="s">
        <v>709</v>
      </c>
      <c r="B80" s="1413"/>
      <c r="C80" s="39"/>
      <c r="D80" s="25"/>
      <c r="E80" s="33"/>
      <c r="F80" s="33"/>
      <c r="G80" s="33"/>
      <c r="H80" s="33"/>
      <c r="I80" s="127">
        <f>'Table 4 Level 4'!O193</f>
        <v>7254</v>
      </c>
      <c r="J80" s="68">
        <f>8*'[2]Table 5A3_OJJ'!L80</f>
        <v>4840</v>
      </c>
      <c r="K80" s="68">
        <f t="shared" si="49"/>
        <v>2414</v>
      </c>
      <c r="L80" s="127">
        <f t="shared" si="41"/>
        <v>604</v>
      </c>
      <c r="M80" s="382">
        <f>'Table 4 Level 4'!O193</f>
        <v>7254</v>
      </c>
      <c r="N80" s="122"/>
      <c r="O80" s="1014"/>
      <c r="P80" s="1014"/>
      <c r="Q80" s="79"/>
      <c r="R80" s="81"/>
      <c r="S80" s="81"/>
      <c r="T80" s="79"/>
      <c r="U80" s="79"/>
      <c r="V80" s="68"/>
      <c r="W80" s="68"/>
      <c r="X80" s="387">
        <f t="shared" si="50"/>
        <v>7254</v>
      </c>
      <c r="Y80" s="388">
        <f>L80+W80</f>
        <v>604</v>
      </c>
    </row>
    <row r="81" spans="1:25" s="599" customFormat="1" ht="16.149999999999999" customHeight="1" thickBot="1">
      <c r="A81" s="1414" t="s">
        <v>710</v>
      </c>
      <c r="B81" s="1415"/>
      <c r="C81" s="27">
        <f>SUM(C75:C80)</f>
        <v>285.67160100000007</v>
      </c>
      <c r="D81" s="28">
        <f t="shared" ref="D81:Y81" si="51">SUM(D75:D80)</f>
        <v>5184.5770230051867</v>
      </c>
      <c r="E81" s="35">
        <f t="shared" si="51"/>
        <v>6824.8951771763186</v>
      </c>
      <c r="F81" s="35">
        <f t="shared" si="51"/>
        <v>8295.2425690385135</v>
      </c>
      <c r="G81" s="35">
        <f t="shared" si="51"/>
        <v>2340484.1416935907</v>
      </c>
      <c r="H81" s="28">
        <f t="shared" si="51"/>
        <v>0</v>
      </c>
      <c r="I81" s="379">
        <f t="shared" si="51"/>
        <v>2347738.1416935907</v>
      </c>
      <c r="J81" s="69">
        <f t="shared" si="51"/>
        <v>1528776</v>
      </c>
      <c r="K81" s="69">
        <f t="shared" si="51"/>
        <v>818962.14169359079</v>
      </c>
      <c r="L81" s="368">
        <f t="shared" si="51"/>
        <v>204739</v>
      </c>
      <c r="M81" s="364">
        <f t="shared" si="51"/>
        <v>2357738.1416935907</v>
      </c>
      <c r="N81" s="124">
        <f t="shared" si="51"/>
        <v>2489593504.9600005</v>
      </c>
      <c r="O81" s="1011">
        <f t="shared" si="51"/>
        <v>678570</v>
      </c>
      <c r="P81" s="1011">
        <f t="shared" si="51"/>
        <v>678855.67160100013</v>
      </c>
      <c r="Q81" s="66">
        <f t="shared" si="51"/>
        <v>3667.3384477860973</v>
      </c>
      <c r="R81" s="82">
        <f t="shared" si="51"/>
        <v>1065289.0265643809</v>
      </c>
      <c r="S81" s="82">
        <f t="shared" si="51"/>
        <v>0</v>
      </c>
      <c r="T81" s="66">
        <f t="shared" si="51"/>
        <v>1065289.0265643809</v>
      </c>
      <c r="U81" s="117">
        <f t="shared" si="51"/>
        <v>692024</v>
      </c>
      <c r="V81" s="118">
        <f t="shared" si="51"/>
        <v>373265.02656438068</v>
      </c>
      <c r="W81" s="85">
        <f t="shared" si="51"/>
        <v>93319</v>
      </c>
      <c r="X81" s="389">
        <f t="shared" si="51"/>
        <v>3423027.1682579713</v>
      </c>
      <c r="Y81" s="390">
        <f t="shared" si="51"/>
        <v>298058</v>
      </c>
    </row>
    <row r="82" spans="1:25" ht="16.5" hidden="1" customHeight="1" thickTop="1">
      <c r="A82" s="13"/>
      <c r="C82" s="14"/>
      <c r="O82" s="14"/>
    </row>
    <row r="83" spans="1:25" ht="12.75" hidden="1" customHeight="1">
      <c r="E83" s="425">
        <v>177</v>
      </c>
      <c r="F83" s="425"/>
      <c r="V83" s="600" t="str">
        <f>'Table 2_State Distrib and Adjs'!$AK$77</f>
        <v>Monthly Pmts Remaining</v>
      </c>
      <c r="W83" s="600">
        <f>'Table 2_State Distrib and Adjs'!$AL$77</f>
        <v>4</v>
      </c>
    </row>
    <row r="84" spans="1:25" hidden="1">
      <c r="E84" s="602">
        <v>233</v>
      </c>
      <c r="F84" s="422"/>
      <c r="K84" s="591" t="str">
        <f>'Table 2_State Distrib and Adjs'!$AK$77</f>
        <v>Monthly Pmts Remaining</v>
      </c>
      <c r="L84" s="600">
        <f>'Table 2_State Distrib and Adjs'!$AL$77</f>
        <v>4</v>
      </c>
    </row>
    <row r="85" spans="1:25" hidden="1">
      <c r="E85" s="425">
        <f>E84-E83</f>
        <v>56</v>
      </c>
      <c r="F85" s="425"/>
    </row>
    <row r="86" spans="1:25" hidden="1">
      <c r="E86" s="425"/>
      <c r="F86" s="425"/>
    </row>
    <row r="87" spans="1:25" hidden="1">
      <c r="E87" s="425">
        <f>E85/E83</f>
        <v>0.31638418079096048</v>
      </c>
      <c r="F87" s="425"/>
      <c r="G87" s="603" t="s">
        <v>229</v>
      </c>
      <c r="H87" s="604"/>
      <c r="I87" s="604"/>
      <c r="J87" s="604"/>
      <c r="K87" s="604"/>
      <c r="L87" s="603"/>
      <c r="M87" s="605"/>
    </row>
    <row r="88" spans="1:25" ht="10.5" hidden="1" customHeight="1"/>
    <row r="89" spans="1:25" hidden="1"/>
    <row r="90" spans="1:25" hidden="1">
      <c r="C90" s="606">
        <v>85661</v>
      </c>
      <c r="D90" s="607" t="s">
        <v>230</v>
      </c>
    </row>
    <row r="91" spans="1:25" hidden="1">
      <c r="C91" s="606">
        <v>650290</v>
      </c>
      <c r="D91" s="607" t="s">
        <v>231</v>
      </c>
    </row>
    <row r="92" spans="1:25" hidden="1">
      <c r="C92" s="608">
        <f>C90/C91</f>
        <v>0.13172738316750987</v>
      </c>
      <c r="D92" s="607" t="s">
        <v>232</v>
      </c>
    </row>
    <row r="93" spans="1:25" hidden="1">
      <c r="C93" s="606"/>
      <c r="D93" s="607"/>
    </row>
    <row r="94" spans="1:25" hidden="1">
      <c r="C94" s="606">
        <v>128510</v>
      </c>
      <c r="D94" s="609" t="s">
        <v>879</v>
      </c>
    </row>
    <row r="95" spans="1:25" hidden="1">
      <c r="C95" s="606">
        <v>911320</v>
      </c>
      <c r="D95" s="607" t="s">
        <v>233</v>
      </c>
    </row>
    <row r="96" spans="1:25" hidden="1">
      <c r="C96" s="608">
        <f>C94/C95</f>
        <v>0.14101523065443533</v>
      </c>
      <c r="D96" s="607" t="s">
        <v>234</v>
      </c>
    </row>
    <row r="97" spans="3:4" hidden="1">
      <c r="C97" s="606"/>
      <c r="D97" s="607"/>
    </row>
    <row r="98" spans="3:4" hidden="1">
      <c r="C98" s="610">
        <v>2663489616</v>
      </c>
      <c r="D98" s="611" t="s">
        <v>235</v>
      </c>
    </row>
    <row r="99" spans="3:4" hidden="1">
      <c r="C99" s="612">
        <f>C96</f>
        <v>0.14101523065443533</v>
      </c>
      <c r="D99" s="611"/>
    </row>
    <row r="100" spans="3:4" hidden="1">
      <c r="C100" s="613">
        <f>C98*C99</f>
        <v>375592602.54593337</v>
      </c>
      <c r="D100" s="607" t="s">
        <v>236</v>
      </c>
    </row>
    <row r="101" spans="3:4" hidden="1">
      <c r="C101" s="614">
        <f>50%/C96</f>
        <v>3.5457162866702978</v>
      </c>
      <c r="D101" s="611" t="s">
        <v>237</v>
      </c>
    </row>
    <row r="102" spans="3:4" hidden="1">
      <c r="C102" s="613">
        <f>C100*C101</f>
        <v>1331744808</v>
      </c>
      <c r="D102" s="615" t="s">
        <v>880</v>
      </c>
    </row>
    <row r="103" spans="3:4" hidden="1">
      <c r="C103" s="616">
        <f>C91</f>
        <v>650290</v>
      </c>
      <c r="D103" s="611" t="s">
        <v>238</v>
      </c>
    </row>
    <row r="104" spans="3:4" hidden="1">
      <c r="C104" s="613">
        <f>C102/C103</f>
        <v>2047.9244767719017</v>
      </c>
      <c r="D104" s="611" t="s">
        <v>239</v>
      </c>
    </row>
    <row r="105" spans="3:4" hidden="1">
      <c r="C105" s="617">
        <f>(C100/C103)*-1</f>
        <v>-577.57708490970697</v>
      </c>
      <c r="D105" s="611" t="s">
        <v>240</v>
      </c>
    </row>
    <row r="106" spans="3:4" hidden="1">
      <c r="C106" s="618">
        <f>SUM(C104:C105)</f>
        <v>1470.3473918621949</v>
      </c>
      <c r="D106" s="611" t="s">
        <v>241</v>
      </c>
    </row>
    <row r="107" spans="3:4" hidden="1">
      <c r="C107" s="618"/>
      <c r="D107" s="611"/>
    </row>
    <row r="108" spans="3:4" hidden="1">
      <c r="C108" s="618"/>
      <c r="D108" s="611"/>
    </row>
    <row r="109" spans="3:4" ht="13.5" thickTop="1">
      <c r="D109" s="611"/>
    </row>
  </sheetData>
  <mergeCells count="33">
    <mergeCell ref="X1:X3"/>
    <mergeCell ref="Y1:Y3"/>
    <mergeCell ref="Q2:Q3"/>
    <mergeCell ref="R2:R3"/>
    <mergeCell ref="S2:S3"/>
    <mergeCell ref="T2:T3"/>
    <mergeCell ref="U2:U3"/>
    <mergeCell ref="T1:W1"/>
    <mergeCell ref="N1:S1"/>
    <mergeCell ref="H2:H3"/>
    <mergeCell ref="I2:I3"/>
    <mergeCell ref="J2:J3"/>
    <mergeCell ref="V2:V3"/>
    <mergeCell ref="W2:W3"/>
    <mergeCell ref="N2:N3"/>
    <mergeCell ref="O2:O3"/>
    <mergeCell ref="P2:P3"/>
    <mergeCell ref="A80:B80"/>
    <mergeCell ref="A81:B81"/>
    <mergeCell ref="M2:M3"/>
    <mergeCell ref="C1:I1"/>
    <mergeCell ref="J1:M1"/>
    <mergeCell ref="A75:B75"/>
    <mergeCell ref="A76:B76"/>
    <mergeCell ref="A77:B77"/>
    <mergeCell ref="A78:B78"/>
    <mergeCell ref="A79:B79"/>
    <mergeCell ref="K2:K3"/>
    <mergeCell ref="L2:L3"/>
    <mergeCell ref="A1:B2"/>
    <mergeCell ref="C2:C3"/>
    <mergeCell ref="D2:D3"/>
    <mergeCell ref="G2:G3"/>
  </mergeCells>
  <printOptions horizontalCentered="1"/>
  <pageMargins left="0.27" right="0.25" top="0.87" bottom="0.2" header="0.25" footer="0.2"/>
  <pageSetup paperSize="5" scale="65" firstPageNumber="90" fitToWidth="3" orientation="portrait" r:id="rId1"/>
  <headerFooter alignWithMargins="0">
    <oddHeader xml:space="preserve">&amp;L&amp;"Arial,Bold"&amp;16&amp;K000000Table 5A3:  &amp;K000000FY2014-15 MFP Budget Letter (March 2015)
&amp;14&amp;K000000Office of Juvenile Justice&amp;R&amp;"Arial,Bold"&amp;12&amp;KFF0000
</oddHeader>
    <oddFooter>&amp;R&amp;9&amp;P</oddFooter>
  </headerFooter>
  <colBreaks count="3" manualBreakCount="3">
    <brk id="9" max="81" man="1"/>
    <brk id="13" max="81" man="1"/>
    <brk id="19" max="8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82</vt:i4>
      </vt:variant>
    </vt:vector>
  </HeadingPairs>
  <TitlesOfParts>
    <vt:vector size="123" baseType="lpstr">
      <vt:lpstr>Table 2_State Distrib and Adjs</vt:lpstr>
      <vt:lpstr>Table 2A-1_EFT (Annual)</vt:lpstr>
      <vt:lpstr>Table 2A-2 EFT (Monthly)</vt:lpstr>
      <vt:lpstr>Table 3 Levels 1&amp;2</vt:lpstr>
      <vt:lpstr>Table 3A Level 3</vt:lpstr>
      <vt:lpstr>Table 4 Level 4</vt:lpstr>
      <vt:lpstr>Table 5A1_Labs</vt:lpstr>
      <vt:lpstr>Table 5A2- Legacy Type 2</vt:lpstr>
      <vt:lpstr>Table 5A3_OJJ</vt:lpstr>
      <vt:lpstr>Table 5A4_NOCCA</vt:lpstr>
      <vt:lpstr>Table 5A5_LSMSA</vt:lpstr>
      <vt:lpstr>Table 5B1_RSD_Orleans</vt:lpstr>
      <vt:lpstr>Table 5B2_RSD_LA</vt:lpstr>
      <vt:lpstr>Table 5C1A-Madison Prep</vt:lpstr>
      <vt:lpstr>Table 5C1B-DArbonne</vt:lpstr>
      <vt:lpstr>Table 5C1C-Intl_VIBE</vt:lpstr>
      <vt:lpstr>Table 5C1D-NOMMA</vt:lpstr>
      <vt:lpstr>Table 5C1E-LFNO</vt:lpstr>
      <vt:lpstr>Table 5C1F-Lake Charles Charter</vt:lpstr>
      <vt:lpstr>Table 5C1G-JS Clark Academy</vt:lpstr>
      <vt:lpstr>Table 5C1H-Southwest LA Charter</vt:lpstr>
      <vt:lpstr>Table 5C1I-LA Key Academy</vt:lpstr>
      <vt:lpstr>Table 5C1J-Jefferson Chamber</vt:lpstr>
      <vt:lpstr>Table 5C1K-Tallulah Charter</vt:lpstr>
      <vt:lpstr>Table 5C1L-Northshore Charter</vt:lpstr>
      <vt:lpstr>Table 5C1M-B.R. Charter</vt:lpstr>
      <vt:lpstr>Table 5C1N-Delta Charter</vt:lpstr>
      <vt:lpstr>Table 5C1O-Impact</vt:lpstr>
      <vt:lpstr>Table 5C1P-Vision</vt:lpstr>
      <vt:lpstr>Table 5C1Q-Advantage</vt:lpstr>
      <vt:lpstr>Table 5C1R-Iberville</vt:lpstr>
      <vt:lpstr>Table 5C1S-L.C. Coll Prep</vt:lpstr>
      <vt:lpstr>Table 5C1T-Northeast</vt:lpstr>
      <vt:lpstr>Table 5C1U-Acadiana Ren</vt:lpstr>
      <vt:lpstr>Table 5C1V-Laf Ren</vt:lpstr>
      <vt:lpstr>Table 5C1W-Willow</vt:lpstr>
      <vt:lpstr>Table 5C2 - LA Virtual Admy</vt:lpstr>
      <vt:lpstr>Table 5C3 - LA Connections EBR</vt:lpstr>
      <vt:lpstr>Table 6 (Local Deduct Calc.)</vt:lpstr>
      <vt:lpstr>Table 7 Local Revenue</vt:lpstr>
      <vt:lpstr>Table 8 Membership 2.1.14</vt:lpstr>
      <vt:lpstr>'Table 2_State Distrib and Adjs'!Print_Area</vt:lpstr>
      <vt:lpstr>'Table 2A-1_EFT (Annual)'!Print_Area</vt:lpstr>
      <vt:lpstr>'Table 2A-2 EFT (Monthly)'!Print_Area</vt:lpstr>
      <vt:lpstr>'Table 3 Levels 1&amp;2'!Print_Area</vt:lpstr>
      <vt:lpstr>'Table 3A Level 3'!Print_Area</vt:lpstr>
      <vt:lpstr>'Table 4 Level 4'!Print_Area</vt:lpstr>
      <vt:lpstr>'Table 5A1_Labs'!Print_Area</vt:lpstr>
      <vt:lpstr>'Table 5A2- Legacy Type 2'!Print_Area</vt:lpstr>
      <vt:lpstr>'Table 5A3_OJJ'!Print_Area</vt:lpstr>
      <vt:lpstr>'Table 5A4_NOCCA'!Print_Area</vt:lpstr>
      <vt:lpstr>'Table 5A5_LSMSA'!Print_Area</vt:lpstr>
      <vt:lpstr>'Table 5B1_RSD_Orleans'!Print_Area</vt:lpstr>
      <vt:lpstr>'Table 5B2_RSD_LA'!Print_Area</vt:lpstr>
      <vt:lpstr>'Table 5C1A-Madison Prep'!Print_Area</vt:lpstr>
      <vt:lpstr>'Table 5C1B-DArbonne'!Print_Area</vt:lpstr>
      <vt:lpstr>'Table 5C1C-Intl_VIBE'!Print_Area</vt:lpstr>
      <vt:lpstr>'Table 5C1D-NOMMA'!Print_Area</vt:lpstr>
      <vt:lpstr>'Table 5C1E-LFNO'!Print_Area</vt:lpstr>
      <vt:lpstr>'Table 5C1F-Lake Charles Charter'!Print_Area</vt:lpstr>
      <vt:lpstr>'Table 5C1G-JS Clark Academy'!Print_Area</vt:lpstr>
      <vt:lpstr>'Table 5C1H-Southwest LA Charter'!Print_Area</vt:lpstr>
      <vt:lpstr>'Table 5C1I-LA Key Academy'!Print_Area</vt:lpstr>
      <vt:lpstr>'Table 5C1J-Jefferson Chamber'!Print_Area</vt:lpstr>
      <vt:lpstr>'Table 5C1K-Tallulah Charter'!Print_Area</vt:lpstr>
      <vt:lpstr>'Table 5C1L-Northshore Charter'!Print_Area</vt:lpstr>
      <vt:lpstr>'Table 5C1M-B.R. Charter'!Print_Area</vt:lpstr>
      <vt:lpstr>'Table 5C1N-Delta Charter'!Print_Area</vt:lpstr>
      <vt:lpstr>'Table 5C1O-Impact'!Print_Area</vt:lpstr>
      <vt:lpstr>'Table 5C1P-Vision'!Print_Area</vt:lpstr>
      <vt:lpstr>'Table 5C1Q-Advantage'!Print_Area</vt:lpstr>
      <vt:lpstr>'Table 5C1R-Iberville'!Print_Area</vt:lpstr>
      <vt:lpstr>'Table 5C1S-L.C. Coll Prep'!Print_Area</vt:lpstr>
      <vt:lpstr>'Table 5C1T-Northeast'!Print_Area</vt:lpstr>
      <vt:lpstr>'Table 5C1U-Acadiana Ren'!Print_Area</vt:lpstr>
      <vt:lpstr>'Table 5C1V-Laf Ren'!Print_Area</vt:lpstr>
      <vt:lpstr>'Table 5C1W-Willow'!Print_Area</vt:lpstr>
      <vt:lpstr>'Table 5C2 - LA Virtual Admy'!Print_Area</vt:lpstr>
      <vt:lpstr>'Table 5C3 - LA Connections EBR'!Print_Area</vt:lpstr>
      <vt:lpstr>'Table 6 (Local Deduct Calc.)'!Print_Area</vt:lpstr>
      <vt:lpstr>'Table 7 Local Revenue'!Print_Area</vt:lpstr>
      <vt:lpstr>'Table 8 Membership 2.1.14'!Print_Area</vt:lpstr>
      <vt:lpstr>'Table 2_State Distrib and Adjs'!Print_Titles</vt:lpstr>
      <vt:lpstr>'Table 2A-1_EFT (Annual)'!Print_Titles</vt:lpstr>
      <vt:lpstr>'Table 2A-2 EFT (Monthly)'!Print_Titles</vt:lpstr>
      <vt:lpstr>'Table 3 Levels 1&amp;2'!Print_Titles</vt:lpstr>
      <vt:lpstr>'Table 3A Level 3'!Print_Titles</vt:lpstr>
      <vt:lpstr>'Table 4 Level 4'!Print_Titles</vt:lpstr>
      <vt:lpstr>'Table 5A1_Labs'!Print_Titles</vt:lpstr>
      <vt:lpstr>'Table 5A2- Legacy Type 2'!Print_Titles</vt:lpstr>
      <vt:lpstr>'Table 5A3_OJJ'!Print_Titles</vt:lpstr>
      <vt:lpstr>'Table 5A4_NOCCA'!Print_Titles</vt:lpstr>
      <vt:lpstr>'Table 5A5_LSMSA'!Print_Titles</vt:lpstr>
      <vt:lpstr>'Table 5B1_RSD_Orleans'!Print_Titles</vt:lpstr>
      <vt:lpstr>'Table 5B2_RSD_LA'!Print_Titles</vt:lpstr>
      <vt:lpstr>'Table 5C1A-Madison Prep'!Print_Titles</vt:lpstr>
      <vt:lpstr>'Table 5C1B-DArbonne'!Print_Titles</vt:lpstr>
      <vt:lpstr>'Table 5C1C-Intl_VIBE'!Print_Titles</vt:lpstr>
      <vt:lpstr>'Table 5C1D-NOMMA'!Print_Titles</vt:lpstr>
      <vt:lpstr>'Table 5C1E-LFNO'!Print_Titles</vt:lpstr>
      <vt:lpstr>'Table 5C1F-Lake Charles Charter'!Print_Titles</vt:lpstr>
      <vt:lpstr>'Table 5C1G-JS Clark Academy'!Print_Titles</vt:lpstr>
      <vt:lpstr>'Table 5C1H-Southwest LA Charter'!Print_Titles</vt:lpstr>
      <vt:lpstr>'Table 5C1I-LA Key Academy'!Print_Titles</vt:lpstr>
      <vt:lpstr>'Table 5C1J-Jefferson Chamber'!Print_Titles</vt:lpstr>
      <vt:lpstr>'Table 5C1K-Tallulah Charter'!Print_Titles</vt:lpstr>
      <vt:lpstr>'Table 5C1L-Northshore Charter'!Print_Titles</vt:lpstr>
      <vt:lpstr>'Table 5C1M-B.R. Charter'!Print_Titles</vt:lpstr>
      <vt:lpstr>'Table 5C1N-Delta Charter'!Print_Titles</vt:lpstr>
      <vt:lpstr>'Table 5C1O-Impact'!Print_Titles</vt:lpstr>
      <vt:lpstr>'Table 5C1P-Vision'!Print_Titles</vt:lpstr>
      <vt:lpstr>'Table 5C1Q-Advantage'!Print_Titles</vt:lpstr>
      <vt:lpstr>'Table 5C1R-Iberville'!Print_Titles</vt:lpstr>
      <vt:lpstr>'Table 5C1S-L.C. Coll Prep'!Print_Titles</vt:lpstr>
      <vt:lpstr>'Table 5C1T-Northeast'!Print_Titles</vt:lpstr>
      <vt:lpstr>'Table 5C1U-Acadiana Ren'!Print_Titles</vt:lpstr>
      <vt:lpstr>'Table 5C1V-Laf Ren'!Print_Titles</vt:lpstr>
      <vt:lpstr>'Table 5C1W-Willow'!Print_Titles</vt:lpstr>
      <vt:lpstr>'Table 5C2 - LA Virtual Admy'!Print_Titles</vt:lpstr>
      <vt:lpstr>'Table 5C3 - LA Connections EBR'!Print_Titles</vt:lpstr>
      <vt:lpstr>'Table 6 (Local Deduct Calc.)'!Print_Titles</vt:lpstr>
      <vt:lpstr>'Table 7 Local Revenue'!Print_Titles</vt:lpstr>
      <vt:lpstr>'Table 8 Membership 2.1.14'!Print_Titles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Paula Matherne</cp:lastModifiedBy>
  <cp:lastPrinted>2015-03-23T16:46:02Z</cp:lastPrinted>
  <dcterms:created xsi:type="dcterms:W3CDTF">1999-11-15T20:37:39Z</dcterms:created>
  <dcterms:modified xsi:type="dcterms:W3CDTF">2015-03-23T16:46:19Z</dcterms:modified>
</cp:coreProperties>
</file>